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charts/chartEx16.xml" ContentType="application/vnd.ms-office.chartex+xml"/>
  <Override PartName="/xl/charts/style16.xml" ContentType="application/vnd.ms-office.chartstyle+xml"/>
  <Override PartName="/xl/charts/colors16.xml" ContentType="application/vnd.ms-office.chartcolorstyle+xml"/>
  <Override PartName="/xl/charts/chartEx17.xml" ContentType="application/vnd.ms-office.chartex+xml"/>
  <Override PartName="/xl/charts/style17.xml" ContentType="application/vnd.ms-office.chartstyle+xml"/>
  <Override PartName="/xl/charts/colors17.xml" ContentType="application/vnd.ms-office.chartcolorstyle+xml"/>
  <Override PartName="/xl/charts/chartEx18.xml" ContentType="application/vnd.ms-office.chartex+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charts/chartEx19.xml" ContentType="application/vnd.ms-office.chartex+xml"/>
  <Override PartName="/xl/charts/style19.xml" ContentType="application/vnd.ms-office.chartstyle+xml"/>
  <Override PartName="/xl/charts/colors19.xml" ContentType="application/vnd.ms-office.chartcolorstyle+xml"/>
  <Override PartName="/xl/charts/chartEx20.xml" ContentType="application/vnd.ms-office.chartex+xml"/>
  <Override PartName="/xl/charts/style20.xml" ContentType="application/vnd.ms-office.chartstyle+xml"/>
  <Override PartName="/xl/charts/colors20.xml" ContentType="application/vnd.ms-office.chartcolorstyle+xml"/>
  <Override PartName="/xl/charts/chartEx21.xml" ContentType="application/vnd.ms-office.chartex+xml"/>
  <Override PartName="/xl/charts/style21.xml" ContentType="application/vnd.ms-office.chartstyle+xml"/>
  <Override PartName="/xl/charts/colors21.xml" ContentType="application/vnd.ms-office.chartcolorstyle+xml"/>
  <Override PartName="/xl/charts/chartEx22.xml" ContentType="application/vnd.ms-office.chartex+xml"/>
  <Override PartName="/xl/charts/style22.xml" ContentType="application/vnd.ms-office.chartstyle+xml"/>
  <Override PartName="/xl/charts/colors22.xml" ContentType="application/vnd.ms-office.chartcolorstyle+xml"/>
  <Override PartName="/xl/charts/chartEx23.xml" ContentType="application/vnd.ms-office.chartex+xml"/>
  <Override PartName="/xl/charts/style23.xml" ContentType="application/vnd.ms-office.chartstyle+xml"/>
  <Override PartName="/xl/charts/colors23.xml" ContentType="application/vnd.ms-office.chartcolorstyle+xml"/>
  <Override PartName="/xl/charts/chartEx24.xml" ContentType="application/vnd.ms-office.chartex+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charts/chart1.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26.xml" ContentType="application/vnd.ms-office.chartstyle+xml"/>
  <Override PartName="/xl/charts/colors26.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27.xml" ContentType="application/vnd.ms-office.chartstyle+xml"/>
  <Override PartName="/xl/charts/colors27.xml" ContentType="application/vnd.ms-office.chartcolorstyle+xml"/>
  <Override PartName="/xl/charts/chart5.xml" ContentType="application/vnd.openxmlformats-officedocument.drawingml.chart+xml"/>
  <Override PartName="/xl/charts/style28.xml" ContentType="application/vnd.ms-office.chartstyle+xml"/>
  <Override PartName="/xl/charts/colors28.xml" ContentType="application/vnd.ms-office.chartcolorstyle+xml"/>
  <Override PartName="/xl/charts/chart6.xml" ContentType="application/vnd.openxmlformats-officedocument.drawingml.chart+xml"/>
  <Override PartName="/xl/charts/style29.xml" ContentType="application/vnd.ms-office.chartstyle+xml"/>
  <Override PartName="/xl/charts/colors29.xml" ContentType="application/vnd.ms-office.chartcolorstyle+xml"/>
  <Override PartName="/xl/tables/table8.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9.xml" ContentType="application/vnd.openxmlformats-officedocument.spreadsheetml.table+xml"/>
  <Override PartName="/xl/tables/table10.xml" ContentType="application/vnd.openxmlformats-officedocument.spreadsheetml.table+xml"/>
  <Override PartName="/xl/drawings/drawing9.xml" ContentType="application/vnd.openxmlformats-officedocument.drawing+xml"/>
  <Override PartName="/xl/tables/table11.xml" ContentType="application/vnd.openxmlformats-officedocument.spreadsheetml.table+xml"/>
  <Override PartName="/xl/charts/chart7.xml" ContentType="application/vnd.openxmlformats-officedocument.drawingml.chart+xml"/>
  <Override PartName="/xl/charts/style30.xml" ContentType="application/vnd.ms-office.chartstyle+xml"/>
  <Override PartName="/xl/charts/colors30.xml" ContentType="application/vnd.ms-office.chartcolorsty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4.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trlProps/ctrlProp3.xml" ContentType="application/vnd.ms-excel.controlproperties+xml"/>
  <Override PartName="/xl/slicers/slicer3.xml" ContentType="application/vnd.ms-excel.slicer+xml"/>
  <Override PartName="/xl/charts/chart11.xml" ContentType="application/vnd.openxmlformats-officedocument.drawingml.chart+xml"/>
  <Override PartName="/xl/charts/style34.xml" ContentType="application/vnd.ms-office.chartstyle+xml"/>
  <Override PartName="/xl/charts/colors34.xml" ContentType="application/vnd.ms-office.chartcolorstyle+xml"/>
  <Override PartName="/xl/charts/chart12.xml" ContentType="application/vnd.openxmlformats-officedocument.drawingml.chart+xml"/>
  <Override PartName="/xl/charts/style35.xml" ContentType="application/vnd.ms-office.chartstyle+xml"/>
  <Override PartName="/xl/charts/colors35.xml" ContentType="application/vnd.ms-office.chartcolorstyle+xml"/>
  <Override PartName="/xl/charts/chart13.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6.xml" ContentType="application/vnd.openxmlformats-officedocument.spreadsheetml.pivotTable+xml"/>
  <Override PartName="/xl/drawings/drawing14.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7.xml" ContentType="application/vnd.openxmlformats-officedocument.spreadsheetml.pivotTable+xml"/>
  <Override PartName="/xl/drawings/drawing15.xml" ContentType="application/vnd.openxmlformats-officedocument.drawing+xml"/>
  <Override PartName="/xl/slicers/slicer5.xml" ContentType="application/vnd.ms-excel.slicer+xml"/>
  <Override PartName="/xl/charts/chart15.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8.xml" ContentType="application/vnd.openxmlformats-officedocument.spreadsheetml.pivotTable+xml"/>
  <Override PartName="/xl/drawings/drawing16.xml" ContentType="application/vnd.openxmlformats-officedocument.drawing+xml"/>
  <Override PartName="/xl/slicers/slicer6.xml" ContentType="application/vnd.ms-excel.slicer+xml"/>
  <Override PartName="/xl/charts/chart16.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9.xml" ContentType="application/vnd.openxmlformats-officedocument.spreadsheetml.pivotTable+xml"/>
  <Override PartName="/xl/drawings/drawing17.xml" ContentType="application/vnd.openxmlformats-officedocument.drawing+xml"/>
  <Override PartName="/xl/slicers/slicer7.xml" ContentType="application/vnd.ms-excel.slicer+xml"/>
  <Override PartName="/xl/charts/chart17.xml" ContentType="application/vnd.openxmlformats-officedocument.drawingml.chart+xml"/>
  <Override PartName="/xl/charts/style40.xml" ContentType="application/vnd.ms-office.chartstyle+xml"/>
  <Override PartName="/xl/charts/colors40.xml" ContentType="application/vnd.ms-office.chartcolorstyle+xml"/>
  <Override PartName="/xl/tables/table15.xml" ContentType="application/vnd.openxmlformats-officedocument.spreadsheetml.table+xml"/>
  <Override PartName="/xl/drawings/drawing18.xml" ContentType="application/vnd.openxmlformats-officedocument.drawing+xml"/>
  <Override PartName="/xl/slicers/slicer8.xml" ContentType="application/vnd.ms-excel.slicer+xml"/>
  <Override PartName="/xl/charts/chart18.xml" ContentType="application/vnd.openxmlformats-officedocument.drawingml.chart+xml"/>
  <Override PartName="/xl/charts/style41.xml" ContentType="application/vnd.ms-office.chartstyle+xml"/>
  <Override PartName="/xl/charts/colors41.xml" ContentType="application/vnd.ms-office.chartcolorstyle+xml"/>
  <Override PartName="/xl/charts/chart19.xml" ContentType="application/vnd.openxmlformats-officedocument.drawingml.chart+xml"/>
  <Override PartName="/xl/charts/style42.xml" ContentType="application/vnd.ms-office.chartstyle+xml"/>
  <Override PartName="/xl/charts/colors42.xml" ContentType="application/vnd.ms-office.chartcolorstyle+xml"/>
  <Override PartName="/xl/charts/chart20.xml" ContentType="application/vnd.openxmlformats-officedocument.drawingml.chart+xml"/>
  <Override PartName="/xl/charts/style43.xml" ContentType="application/vnd.ms-office.chartstyle+xml"/>
  <Override PartName="/xl/charts/colors43.xml" ContentType="application/vnd.ms-office.chartcolorstyle+xml"/>
  <Override PartName="/xl/charts/chart21.xml" ContentType="application/vnd.openxmlformats-officedocument.drawingml.chart+xml"/>
  <Override PartName="/xl/charts/style44.xml" ContentType="application/vnd.ms-office.chartstyle+xml"/>
  <Override PartName="/xl/charts/colors44.xml" ContentType="application/vnd.ms-office.chartcolorstyle+xml"/>
  <Override PartName="/xl/tables/table16.xml" ContentType="application/vnd.openxmlformats-officedocument.spreadsheetml.table+xml"/>
  <Override PartName="/xl/pivotTables/pivotTable10.xml" ContentType="application/vnd.openxmlformats-officedocument.spreadsheetml.pivotTable+xml"/>
  <Override PartName="/xl/drawings/drawing19.xml" ContentType="application/vnd.openxmlformats-officedocument.drawing+xml"/>
  <Override PartName="/xl/slicers/slicer9.xml" ContentType="application/vnd.ms-excel.slicer+xml"/>
  <Override PartName="/xl/charts/chart22.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11.xml" ContentType="application/vnd.openxmlformats-officedocument.spreadsheetml.pivotTable+xml"/>
  <Override PartName="/xl/drawings/drawing20.xml" ContentType="application/vnd.openxmlformats-officedocument.drawing+xml"/>
  <Override PartName="/xl/slicers/slicer10.xml" ContentType="application/vnd.ms-excel.slicer+xml"/>
  <Override PartName="/xl/charts/chart23.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1.xml" ContentType="application/vnd.openxmlformats-officedocument.drawing+xml"/>
  <Override PartName="/xl/slicers/slicer11.xml" ContentType="application/vnd.ms-excel.slicer+xml"/>
  <Override PartName="/xl/charts/chart24.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12.xml" ContentType="application/vnd.openxmlformats-officedocument.spreadsheetml.pivotTable+xml"/>
  <Override PartName="/xl/drawings/drawing22.xml" ContentType="application/vnd.openxmlformats-officedocument.drawing+xml"/>
  <Override PartName="/xl/charts/chart25.xml" ContentType="application/vnd.openxmlformats-officedocument.drawingml.chart+xml"/>
  <Override PartName="/xl/charts/style48.xml" ContentType="application/vnd.ms-office.chartstyle+xml"/>
  <Override PartName="/xl/charts/colors48.xml" ContentType="application/vnd.ms-office.chartcolorstyle+xml"/>
  <Override PartName="/xl/pivotTables/pivotTable13.xml" ContentType="application/vnd.openxmlformats-officedocument.spreadsheetml.pivotTable+xml"/>
  <Override PartName="/xl/drawings/drawing23.xml" ContentType="application/vnd.openxmlformats-officedocument.drawing+xml"/>
  <Override PartName="/xl/slicers/slicer12.xml" ContentType="application/vnd.ms-excel.slicer+xml"/>
  <Override PartName="/xl/charts/chart26.xml" ContentType="application/vnd.openxmlformats-officedocument.drawingml.chart+xml"/>
  <Override PartName="/xl/charts/style49.xml" ContentType="application/vnd.ms-office.chartstyle+xml"/>
  <Override PartName="/xl/charts/colors49.xml" ContentType="application/vnd.ms-office.chartcolorstyle+xml"/>
  <Override PartName="/xl/pivotTables/pivotTable14.xml" ContentType="application/vnd.openxmlformats-officedocument.spreadsheetml.pivotTable+xml"/>
  <Override PartName="/xl/drawings/drawing24.xml" ContentType="application/vnd.openxmlformats-officedocument.drawing+xml"/>
  <Override PartName="/xl/timelines/timeline1.xml" ContentType="application/vnd.ms-excel.timeline+xml"/>
  <Override PartName="/xl/charts/chart27.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5.xml" ContentType="application/vnd.openxmlformats-officedocument.drawing+xml"/>
  <Override PartName="/xl/drawings/drawing26.xml" ContentType="application/vnd.openxmlformats-officedocument.drawing+xml"/>
  <Override PartName="/xl/slicers/slicer13.xml" ContentType="application/vnd.ms-excel.slicer+xml"/>
  <Override PartName="/xl/timelines/timeline2.xml" ContentType="application/vnd.ms-excel.timeline+xml"/>
  <Override PartName="/xl/charts/chart28.xml" ContentType="application/vnd.openxmlformats-officedocument.drawingml.chart+xml"/>
  <Override PartName="/xl/charts/style51.xml" ContentType="application/vnd.ms-office.chartstyle+xml"/>
  <Override PartName="/xl/charts/colors51.xml" ContentType="application/vnd.ms-office.chartcolorstyle+xml"/>
  <Override PartName="/xl/charts/chart29.xml" ContentType="application/vnd.openxmlformats-officedocument.drawingml.chart+xml"/>
  <Override PartName="/xl/charts/style52.xml" ContentType="application/vnd.ms-office.chartstyle+xml"/>
  <Override PartName="/xl/charts/colors52.xml" ContentType="application/vnd.ms-office.chartcolorstyle+xml"/>
  <Override PartName="/xl/charts/chart30.xml" ContentType="application/vnd.openxmlformats-officedocument.drawingml.chart+xml"/>
  <Override PartName="/xl/charts/style53.xml" ContentType="application/vnd.ms-office.chartstyle+xml"/>
  <Override PartName="/xl/charts/colors53.xml" ContentType="application/vnd.ms-office.chartcolorstyle+xml"/>
  <Override PartName="/xl/charts/chart31.xml" ContentType="application/vnd.openxmlformats-officedocument.drawingml.chart+xml"/>
  <Override PartName="/xl/charts/style54.xml" ContentType="application/vnd.ms-office.chartstyle+xml"/>
  <Override PartName="/xl/charts/colors54.xml" ContentType="application/vnd.ms-office.chartcolorstyle+xml"/>
  <Override PartName="/xl/charts/chart32.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27.xml" ContentType="application/vnd.openxmlformats-officedocument.drawing+xml"/>
  <Override PartName="/xl/pivotTables/pivotTable15.xml" ContentType="application/vnd.openxmlformats-officedocument.spreadsheetml.pivotTable+xml"/>
  <Override PartName="/xl/drawings/drawing28.xml" ContentType="application/vnd.openxmlformats-officedocument.drawing+xml"/>
  <Override PartName="/xl/slicers/slicer14.xml" ContentType="application/vnd.ms-excel.slicer+xml"/>
  <Override PartName="/xl/charts/chart33.xml" ContentType="application/vnd.openxmlformats-officedocument.drawingml.chart+xml"/>
  <Override PartName="/xl/charts/style56.xml" ContentType="application/vnd.ms-office.chartstyle+xml"/>
  <Override PartName="/xl/charts/colors56.xml" ContentType="application/vnd.ms-office.chartcolorstyle+xml"/>
  <Override PartName="/xl/pivotTables/pivotTable16.xml" ContentType="application/vnd.openxmlformats-officedocument.spreadsheetml.pivotTable+xml"/>
  <Override PartName="/xl/drawings/drawing29.xml" ContentType="application/vnd.openxmlformats-officedocument.drawing+xml"/>
  <Override PartName="/xl/slicers/slicer15.xml" ContentType="application/vnd.ms-excel.slicer+xml"/>
  <Override PartName="/xl/charts/chart34.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30.xml" ContentType="application/vnd.openxmlformats-officedocument.drawing+xml"/>
  <Override PartName="/xl/slicers/slicer16.xml" ContentType="application/vnd.ms-excel.slicer+xml"/>
  <Override PartName="/xl/charts/chart35.xml" ContentType="application/vnd.openxmlformats-officedocument.drawingml.chart+xml"/>
  <Override PartName="/xl/charts/style58.xml" ContentType="application/vnd.ms-office.chartstyle+xml"/>
  <Override PartName="/xl/charts/colors58.xml" ContentType="application/vnd.ms-office.chartcolorstyle+xml"/>
  <Override PartName="/xl/charts/chart36.xml" ContentType="application/vnd.openxmlformats-officedocument.drawingml.chart+xml"/>
  <Override PartName="/xl/charts/style59.xml" ContentType="application/vnd.ms-office.chartstyle+xml"/>
  <Override PartName="/xl/charts/colors59.xml" ContentType="application/vnd.ms-office.chartcolorstyle+xml"/>
  <Override PartName="/xl/pivotTables/pivotTable17.xml" ContentType="application/vnd.openxmlformats-officedocument.spreadsheetml.pivotTable+xml"/>
  <Override PartName="/xl/drawings/drawing31.xml" ContentType="application/vnd.openxmlformats-officedocument.drawing+xml"/>
  <Override PartName="/xl/slicers/slicer17.xml" ContentType="application/vnd.ms-excel.slicer+xml"/>
  <Override PartName="/xl/charts/chart37.xml" ContentType="application/vnd.openxmlformats-officedocument.drawingml.chart+xml"/>
  <Override PartName="/xl/charts/style60.xml" ContentType="application/vnd.ms-office.chartstyle+xml"/>
  <Override PartName="/xl/charts/colors60.xml" ContentType="application/vnd.ms-office.chartcolorstyle+xml"/>
  <Override PartName="/xl/pivotTables/pivotTable18.xml" ContentType="application/vnd.openxmlformats-officedocument.spreadsheetml.pivotTable+xml"/>
  <Override PartName="/xl/drawings/drawing32.xml" ContentType="application/vnd.openxmlformats-officedocument.drawing+xml"/>
  <Override PartName="/xl/slicers/slicer18.xml" ContentType="application/vnd.ms-excel.slicer+xml"/>
  <Override PartName="/xl/charts/chart38.xml" ContentType="application/vnd.openxmlformats-officedocument.drawingml.chart+xml"/>
  <Override PartName="/xl/charts/style61.xml" ContentType="application/vnd.ms-office.chartstyle+xml"/>
  <Override PartName="/xl/charts/colors61.xml" ContentType="application/vnd.ms-office.chartcolorstyle+xml"/>
  <Override PartName="/xl/pivotTables/pivotTable19.xml" ContentType="application/vnd.openxmlformats-officedocument.spreadsheetml.pivotTable+xml"/>
  <Override PartName="/xl/drawings/drawing33.xml" ContentType="application/vnd.openxmlformats-officedocument.drawing+xml"/>
  <Override PartName="/xl/charts/chart39.xml" ContentType="application/vnd.openxmlformats-officedocument.drawingml.chart+xml"/>
  <Override PartName="/xl/charts/style62.xml" ContentType="application/vnd.ms-office.chartstyle+xml"/>
  <Override PartName="/xl/charts/colors62.xml" ContentType="application/vnd.ms-office.chartcolorstyle+xml"/>
  <Override PartName="/xl/pivotTables/pivotTable20.xml" ContentType="application/vnd.openxmlformats-officedocument.spreadsheetml.pivotTable+xml"/>
  <Override PartName="/xl/drawings/drawing34.xml" ContentType="application/vnd.openxmlformats-officedocument.drawing+xml"/>
  <Override PartName="/xl/slicers/slicer19.xml" ContentType="application/vnd.ms-excel.slicer+xml"/>
  <Override PartName="/xl/charts/chart40.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35.xml" ContentType="application/vnd.openxmlformats-officedocument.drawing+xml"/>
  <Override PartName="/xl/ctrlProps/ctrlProp4.xml" ContentType="application/vnd.ms-excel.controlproperties+xml"/>
  <Override PartName="/xl/slicers/slicer20.xml" ContentType="application/vnd.ms-excel.slicer+xml"/>
  <Override PartName="/xl/charts/chart41.xml" ContentType="application/vnd.openxmlformats-officedocument.drawingml.chart+xml"/>
  <Override PartName="/xl/charts/style64.xml" ContentType="application/vnd.ms-office.chartstyle+xml"/>
  <Override PartName="/xl/charts/colors64.xml" ContentType="application/vnd.ms-office.chartcolorstyle+xml"/>
  <Override PartName="/xl/charts/chart42.xml" ContentType="application/vnd.openxmlformats-officedocument.drawingml.chart+xml"/>
  <Override PartName="/xl/charts/style65.xml" ContentType="application/vnd.ms-office.chartstyle+xml"/>
  <Override PartName="/xl/charts/colors65.xml" ContentType="application/vnd.ms-office.chartcolorstyle+xml"/>
  <Override PartName="/xl/charts/chart43.xml" ContentType="application/vnd.openxmlformats-officedocument.drawingml.chart+xml"/>
  <Override PartName="/xl/charts/style66.xml" ContentType="application/vnd.ms-office.chartstyle+xml"/>
  <Override PartName="/xl/charts/colors66.xml" ContentType="application/vnd.ms-office.chartcolorstyle+xml"/>
  <Override PartName="/xl/pivotTables/pivotTable21.xml" ContentType="application/vnd.openxmlformats-officedocument.spreadsheetml.pivotTable+xml"/>
  <Override PartName="/xl/drawings/drawing36.xml" ContentType="application/vnd.openxmlformats-officedocument.drawing+xml"/>
  <Override PartName="/xl/slicers/slicer21.xml" ContentType="application/vnd.ms-excel.slicer+xml"/>
  <Override PartName="/xl/charts/chart44.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37.xml" ContentType="application/vnd.openxmlformats-officedocument.drawing+xml"/>
  <Override PartName="/xl/slicers/slicer22.xml" ContentType="application/vnd.ms-excel.slicer+xml"/>
  <Override PartName="/xl/charts/chart45.xml" ContentType="application/vnd.openxmlformats-officedocument.drawingml.chart+xml"/>
  <Override PartName="/xl/charts/style68.xml" ContentType="application/vnd.ms-office.chartstyle+xml"/>
  <Override PartName="/xl/charts/colors68.xml" ContentType="application/vnd.ms-office.chartcolorstyle+xml"/>
  <Override PartName="/xl/pivotTables/pivotTable22.xml" ContentType="application/vnd.openxmlformats-officedocument.spreadsheetml.pivotTable+xml"/>
  <Override PartName="/xl/drawings/drawing38.xml" ContentType="application/vnd.openxmlformats-officedocument.drawing+xml"/>
  <Override PartName="/xl/slicers/slicer23.xml" ContentType="application/vnd.ms-excel.slicer+xml"/>
  <Override PartName="/xl/charts/chart46.xml" ContentType="application/vnd.openxmlformats-officedocument.drawingml.chart+xml"/>
  <Override PartName="/xl/charts/style69.xml" ContentType="application/vnd.ms-office.chartstyle+xml"/>
  <Override PartName="/xl/charts/colors69.xml" ContentType="application/vnd.ms-office.chartcolorstyle+xml"/>
  <Override PartName="/xl/pivotTables/pivotTable23.xml" ContentType="application/vnd.openxmlformats-officedocument.spreadsheetml.pivotTable+xml"/>
  <Override PartName="/xl/drawings/drawing39.xml" ContentType="application/vnd.openxmlformats-officedocument.drawing+xml"/>
  <Override PartName="/xl/slicers/slicer24.xml" ContentType="application/vnd.ms-excel.slicer+xml"/>
  <Override PartName="/xl/charts/chart47.xml" ContentType="application/vnd.openxmlformats-officedocument.drawingml.chart+xml"/>
  <Override PartName="/xl/charts/style70.xml" ContentType="application/vnd.ms-office.chartstyle+xml"/>
  <Override PartName="/xl/charts/colors70.xml" ContentType="application/vnd.ms-office.chartcolorstyle+xml"/>
  <Override PartName="/xl/pivotTables/pivotTable24.xml" ContentType="application/vnd.openxmlformats-officedocument.spreadsheetml.pivotTable+xml"/>
  <Override PartName="/xl/drawings/drawing40.xml" ContentType="application/vnd.openxmlformats-officedocument.drawing+xml"/>
  <Override PartName="/xl/slicers/slicer25.xml" ContentType="application/vnd.ms-excel.slicer+xml"/>
  <Override PartName="/xl/charts/chart48.xml" ContentType="application/vnd.openxmlformats-officedocument.drawingml.chart+xml"/>
  <Override PartName="/xl/charts/style71.xml" ContentType="application/vnd.ms-office.chartstyle+xml"/>
  <Override PartName="/xl/charts/colors71.xml" ContentType="application/vnd.ms-office.chartcolorstyle+xml"/>
  <Override PartName="/xl/pivotTables/pivotTable25.xml" ContentType="application/vnd.openxmlformats-officedocument.spreadsheetml.pivotTable+xml"/>
  <Override PartName="/xl/drawings/drawing41.xml" ContentType="application/vnd.openxmlformats-officedocument.drawing+xml"/>
  <Override PartName="/xl/slicers/slicer26.xml" ContentType="application/vnd.ms-excel.slicer+xml"/>
  <Override PartName="/xl/charts/chart49.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42.xml" ContentType="application/vnd.openxmlformats-officedocument.drawing+xml"/>
  <Override PartName="/xl/slicers/slicer27.xml" ContentType="application/vnd.ms-excel.slicer+xml"/>
  <Override PartName="/xl/charts/chart50.xml" ContentType="application/vnd.openxmlformats-officedocument.drawingml.chart+xml"/>
  <Override PartName="/xl/charts/style73.xml" ContentType="application/vnd.ms-office.chartstyle+xml"/>
  <Override PartName="/xl/charts/colors73.xml" ContentType="application/vnd.ms-office.chartcolorstyle+xml"/>
  <Override PartName="/xl/charts/chart51.xml" ContentType="application/vnd.openxmlformats-officedocument.drawingml.chart+xml"/>
  <Override PartName="/xl/charts/style74.xml" ContentType="application/vnd.ms-office.chartstyle+xml"/>
  <Override PartName="/xl/charts/colors74.xml" ContentType="application/vnd.ms-office.chartcolorstyle+xml"/>
  <Override PartName="/xl/charts/chart52.xml" ContentType="application/vnd.openxmlformats-officedocument.drawingml.chart+xml"/>
  <Override PartName="/xl/charts/style75.xml" ContentType="application/vnd.ms-office.chartstyle+xml"/>
  <Override PartName="/xl/charts/colors75.xml" ContentType="application/vnd.ms-office.chartcolorstyle+xml"/>
  <Override PartName="/xl/charts/chart53.xml" ContentType="application/vnd.openxmlformats-officedocument.drawingml.chart+xml"/>
  <Override PartName="/xl/charts/style76.xml" ContentType="application/vnd.ms-office.chartstyle+xml"/>
  <Override PartName="/xl/charts/colors76.xml" ContentType="application/vnd.ms-office.chartcolorstyle+xml"/>
  <Override PartName="/xl/tables/table17.xml" ContentType="application/vnd.openxmlformats-officedocument.spreadsheetml.table+xml"/>
  <Override PartName="/xl/tables/table18.xml" ContentType="application/vnd.openxmlformats-officedocument.spreadsheetml.table+xml"/>
  <Override PartName="/xl/pivotTables/pivotTable26.xml" ContentType="application/vnd.openxmlformats-officedocument.spreadsheetml.pivotTable+xml"/>
  <Override PartName="/xl/drawings/drawing43.xml" ContentType="application/vnd.openxmlformats-officedocument.drawing+xml"/>
  <Override PartName="/xl/slicers/slicer28.xml" ContentType="application/vnd.ms-excel.slicer+xml"/>
  <Override PartName="/xl/charts/chart54.xml" ContentType="application/vnd.openxmlformats-officedocument.drawingml.chart+xml"/>
  <Override PartName="/xl/charts/style77.xml" ContentType="application/vnd.ms-office.chartstyle+xml"/>
  <Override PartName="/xl/charts/colors77.xml" ContentType="application/vnd.ms-office.chartcolorstyle+xml"/>
  <Override PartName="/xl/pivotTables/pivotTable27.xml" ContentType="application/vnd.openxmlformats-officedocument.spreadsheetml.pivotTable+xml"/>
  <Override PartName="/xl/drawings/drawing44.xml" ContentType="application/vnd.openxmlformats-officedocument.drawing+xml"/>
  <Override PartName="/xl/slicers/slicer29.xml" ContentType="application/vnd.ms-excel.slicer+xml"/>
  <Override PartName="/xl/charts/chart55.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5.xml" ContentType="application/vnd.openxmlformats-officedocument.drawing+xml"/>
  <Override PartName="/xl/slicers/slicer30.xml" ContentType="application/vnd.ms-excel.slicer+xml"/>
  <Override PartName="/xl/charts/chart56.xml" ContentType="application/vnd.openxmlformats-officedocument.drawingml.chart+xml"/>
  <Override PartName="/xl/charts/style79.xml" ContentType="application/vnd.ms-office.chartstyle+xml"/>
  <Override PartName="/xl/charts/colors79.xml" ContentType="application/vnd.ms-office.chartcolorstyle+xml"/>
  <Override PartName="/xl/charts/chart57.xml" ContentType="application/vnd.openxmlformats-officedocument.drawingml.chart+xml"/>
  <Override PartName="/xl/charts/style80.xml" ContentType="application/vnd.ms-office.chartstyle+xml"/>
  <Override PartName="/xl/charts/colors80.xml" ContentType="application/vnd.ms-office.chartcolorstyle+xml"/>
  <Override PartName="/xl/pivotTables/pivotTable28.xml" ContentType="application/vnd.openxmlformats-officedocument.spreadsheetml.pivotTable+xml"/>
  <Override PartName="/xl/drawings/drawing46.xml" ContentType="application/vnd.openxmlformats-officedocument.drawing+xml"/>
  <Override PartName="/xl/slicers/slicer31.xml" ContentType="application/vnd.ms-excel.slicer+xml"/>
  <Override PartName="/xl/charts/chart58.xml" ContentType="application/vnd.openxmlformats-officedocument.drawingml.chart+xml"/>
  <Override PartName="/xl/charts/style81.xml" ContentType="application/vnd.ms-office.chartstyle+xml"/>
  <Override PartName="/xl/charts/colors81.xml" ContentType="application/vnd.ms-office.chartcolorstyle+xml"/>
  <Override PartName="/xl/pivotTables/pivotTable29.xml" ContentType="application/vnd.openxmlformats-officedocument.spreadsheetml.pivotTable+xml"/>
  <Override PartName="/xl/drawings/drawing47.xml" ContentType="application/vnd.openxmlformats-officedocument.drawing+xml"/>
  <Override PartName="/xl/slicers/slicer32.xml" ContentType="application/vnd.ms-excel.slicer+xml"/>
  <Override PartName="/xl/charts/chart59.xml" ContentType="application/vnd.openxmlformats-officedocument.drawingml.chart+xml"/>
  <Override PartName="/xl/charts/style82.xml" ContentType="application/vnd.ms-office.chartstyle+xml"/>
  <Override PartName="/xl/charts/colors82.xml" ContentType="application/vnd.ms-office.chartcolorstyle+xml"/>
  <Override PartName="/xl/pivotTables/pivotTable30.xml" ContentType="application/vnd.openxmlformats-officedocument.spreadsheetml.pivotTable+xml"/>
  <Override PartName="/xl/drawings/drawing48.xml" ContentType="application/vnd.openxmlformats-officedocument.drawing+xml"/>
  <Override PartName="/xl/charts/chart60.xml" ContentType="application/vnd.openxmlformats-officedocument.drawingml.chart+xml"/>
  <Override PartName="/xl/charts/style83.xml" ContentType="application/vnd.ms-office.chartstyle+xml"/>
  <Override PartName="/xl/charts/colors83.xml" ContentType="application/vnd.ms-office.chartcolorstyle+xml"/>
  <Override PartName="/xl/pivotTables/pivotTable31.xml" ContentType="application/vnd.openxmlformats-officedocument.spreadsheetml.pivotTable+xml"/>
  <Override PartName="/xl/drawings/drawing49.xml" ContentType="application/vnd.openxmlformats-officedocument.drawing+xml"/>
  <Override PartName="/xl/charts/chart61.xml" ContentType="application/vnd.openxmlformats-officedocument.drawingml.chart+xml"/>
  <Override PartName="/xl/charts/style84.xml" ContentType="application/vnd.ms-office.chartstyle+xml"/>
  <Override PartName="/xl/charts/colors84.xml" ContentType="application/vnd.ms-office.chartcolorstyle+xml"/>
  <Override PartName="/xl/pivotTables/pivotTable32.xml" ContentType="application/vnd.openxmlformats-officedocument.spreadsheetml.pivotTable+xml"/>
  <Override PartName="/xl/drawings/drawing50.xml" ContentType="application/vnd.openxmlformats-officedocument.drawing+xml"/>
  <Override PartName="/xl/charts/chart62.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51.xml" ContentType="application/vnd.openxmlformats-officedocument.drawing+xml"/>
  <Override PartName="/xl/ctrlProps/ctrlProp5.xml" ContentType="application/vnd.ms-excel.controlproperties+xml"/>
  <Override PartName="/xl/slicers/slicer33.xml" ContentType="application/vnd.ms-excel.slicer+xml"/>
  <Override PartName="/xl/charts/chart63.xml" ContentType="application/vnd.openxmlformats-officedocument.drawingml.chart+xml"/>
  <Override PartName="/xl/charts/style86.xml" ContentType="application/vnd.ms-office.chartstyle+xml"/>
  <Override PartName="/xl/charts/colors86.xml" ContentType="application/vnd.ms-office.chartcolorstyle+xml"/>
  <Override PartName="/xl/charts/chart64.xml" ContentType="application/vnd.openxmlformats-officedocument.drawingml.chart+xml"/>
  <Override PartName="/xl/charts/style87.xml" ContentType="application/vnd.ms-office.chartstyle+xml"/>
  <Override PartName="/xl/charts/colors87.xml" ContentType="application/vnd.ms-office.chartcolorstyle+xml"/>
  <Override PartName="/xl/charts/chart65.xml" ContentType="application/vnd.openxmlformats-officedocument.drawingml.chart+xml"/>
  <Override PartName="/xl/charts/style88.xml" ContentType="application/vnd.ms-office.chartstyle+xml"/>
  <Override PartName="/xl/charts/colors88.xml" ContentType="application/vnd.ms-office.chartcolorstyle+xml"/>
  <Override PartName="/xl/charts/chart66.xml" ContentType="application/vnd.openxmlformats-officedocument.drawingml.chart+xml"/>
  <Override PartName="/xl/charts/style89.xml" ContentType="application/vnd.ms-office.chartstyle+xml"/>
  <Override PartName="/xl/charts/colors89.xml" ContentType="application/vnd.ms-office.chartcolorstyle+xml"/>
  <Override PartName="/xl/charts/chart67.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52.xml" ContentType="application/vnd.openxmlformats-officedocument.drawing+xml"/>
  <Override PartName="/xl/ctrlProps/ctrlProp6.xml" ContentType="application/vnd.ms-excel.controlproperties+xml"/>
  <Override PartName="/xl/slicers/slicer34.xml" ContentType="application/vnd.ms-excel.slicer+xml"/>
  <Override PartName="/xl/charts/chart68.xml" ContentType="application/vnd.openxmlformats-officedocument.drawingml.chart+xml"/>
  <Override PartName="/xl/charts/style91.xml" ContentType="application/vnd.ms-office.chartstyle+xml"/>
  <Override PartName="/xl/charts/colors91.xml" ContentType="application/vnd.ms-office.chartcolorstyle+xml"/>
  <Override PartName="/xl/charts/chart69.xml" ContentType="application/vnd.openxmlformats-officedocument.drawingml.chart+xml"/>
  <Override PartName="/xl/charts/style92.xml" ContentType="application/vnd.ms-office.chartstyle+xml"/>
  <Override PartName="/xl/charts/colors92.xml" ContentType="application/vnd.ms-office.chartcolorstyle+xml"/>
  <Override PartName="/xl/charts/chart70.xml" ContentType="application/vnd.openxmlformats-officedocument.drawingml.chart+xml"/>
  <Override PartName="/xl/charts/style93.xml" ContentType="application/vnd.ms-office.chartstyle+xml"/>
  <Override PartName="/xl/charts/colors93.xml" ContentType="application/vnd.ms-office.chartcolorstyle+xml"/>
  <Override PartName="/xl/charts/chart71.xml" ContentType="application/vnd.openxmlformats-officedocument.drawingml.chart+xml"/>
  <Override PartName="/xl/charts/style94.xml" ContentType="application/vnd.ms-office.chartstyle+xml"/>
  <Override PartName="/xl/charts/colors9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C:\Users\Sabhya Singh\Downloads\"/>
    </mc:Choice>
  </mc:AlternateContent>
  <xr:revisionPtr revIDLastSave="0" documentId="13_ncr:1_{CFCB2062-3795-487C-A54A-E639895CD331}" xr6:coauthVersionLast="47" xr6:coauthVersionMax="47" xr10:uidLastSave="{00000000-0000-0000-0000-000000000000}"/>
  <bookViews>
    <workbookView xWindow="-108" yWindow="-108" windowWidth="23256" windowHeight="12456" firstSheet="16" activeTab="16" xr2:uid="{A9178455-CE37-4192-99CE-F83927A41113}"/>
  </bookViews>
  <sheets>
    <sheet name="Original Data" sheetId="3" r:id="rId1"/>
    <sheet name="Finding Missing Values" sheetId="4" r:id="rId2"/>
    <sheet name="Fixing missing values" sheetId="2" r:id="rId3"/>
    <sheet name="Finding Outliers" sheetId="5" r:id="rId4"/>
    <sheet name="Fixing Outliers " sheetId="12" r:id="rId5"/>
    <sheet name="Removing Duplicates" sheetId="14" r:id="rId6"/>
    <sheet name="Data Representation" sheetId="35" r:id="rId7"/>
    <sheet name="Scenario Summary" sheetId="130" r:id="rId8"/>
    <sheet name="Scenario Summary 2" sheetId="131" r:id="rId9"/>
    <sheet name="Scenarios_For_Demand" sheetId="129" r:id="rId10"/>
    <sheet name="Inconsistensies" sheetId="10" r:id="rId11"/>
    <sheet name="Descriptive Statistic" sheetId="19" r:id="rId12"/>
    <sheet name="Histogram" sheetId="18" r:id="rId13"/>
    <sheet name="Correlation" sheetId="34" r:id="rId14"/>
    <sheet name="Hypothethis_1" sheetId="123" r:id="rId15"/>
    <sheet name="Hypothethis_2" sheetId="125" r:id="rId16"/>
    <sheet name="Dashboard Home" sheetId="121" r:id="rId17"/>
    <sheet name="VBA_macros" sheetId="94" r:id="rId18"/>
    <sheet name="Alerts for shifts" sheetId="116" r:id="rId19"/>
    <sheet name="Demand Forecasting Sheet" sheetId="49" r:id="rId20"/>
    <sheet name="Declining demand alerts." sheetId="60" r:id="rId21"/>
    <sheet name="Optimizing production planning " sheetId="61" r:id="rId22"/>
    <sheet name="Solver for optimizing productio" sheetId="98" r:id="rId23"/>
    <sheet name="Pivot-Consumer prefrences." sheetId="117" r:id="rId24"/>
    <sheet name="Pivot-Unit_Sold by time" sheetId="108" r:id="rId25"/>
    <sheet name="Pivot-AveragePrice Vs Time" sheetId="109" r:id="rId26"/>
    <sheet name="Online_Interest_Index VS Market" sheetId="111" r:id="rId27"/>
    <sheet name="KPI-Demand Trend Analysis" sheetId="113" r:id="rId28"/>
    <sheet name="Dashboard-Automate Demand Trend" sheetId="112" r:id="rId29"/>
    <sheet name="Pivot-Campaign Vs Units" sheetId="101" r:id="rId30"/>
    <sheet name="Pivot-Campaign Vs Spend" sheetId="102" r:id="rId31"/>
    <sheet name="Pivot-Spend by Channel" sheetId="103" r:id="rId32"/>
    <sheet name="Pivot-CostPerUnit Vs Campaign" sheetId="104" r:id="rId33"/>
    <sheet name="Campaign_Table" sheetId="100" r:id="rId34"/>
    <sheet name="KPI-Marketing Campaign" sheetId="105" r:id="rId35"/>
    <sheet name="Dashboard-Marketing Campaign" sheetId="106" r:id="rId36"/>
    <sheet name="Forecasting Table" sheetId="37" r:id="rId37"/>
    <sheet name="Pivot table-Units Sold by Vehic" sheetId="23" r:id="rId38"/>
    <sheet name="Pivot table-Sales over time" sheetId="24" r:id="rId39"/>
    <sheet name="Dashboard-Monitoring Demand Tre" sheetId="119" r:id="rId40"/>
    <sheet name="KPI- monitoring demand" sheetId="120" r:id="rId41"/>
    <sheet name="Pivot table-Market share by Veh" sheetId="25" r:id="rId42"/>
    <sheet name="Pivot table-Units Sold by Regio" sheetId="26" r:id="rId43"/>
    <sheet name="Units_Sold and Average_Price ov" sheetId="27" r:id="rId44"/>
    <sheet name="KPI-Market Demand Trends" sheetId="30" r:id="rId45"/>
    <sheet name="Dashbord-Market Demand Trends" sheetId="32" r:id="rId46"/>
    <sheet name="Report" sheetId="38" r:id="rId47"/>
    <sheet name="PivotTable – Vehicle Type Trend" sheetId="39" r:id="rId48"/>
    <sheet name=" Pivot Chart – Sales Trend Over" sheetId="41" r:id="rId49"/>
    <sheet name="KPI- Total sales by veh_type" sheetId="42" r:id="rId50"/>
    <sheet name="Dashboard-Vehicle_type Trends" sheetId="40" r:id="rId51"/>
    <sheet name="Unit Sold Forecasting Table" sheetId="47" r:id="rId52"/>
    <sheet name="Pivot-Demand across regions" sheetId="45" r:id="rId53"/>
    <sheet name="Pivot-Forecasted Vs Unit_Sold" sheetId="78" r:id="rId54"/>
    <sheet name="Pivot-Trends Over Time" sheetId="82" r:id="rId55"/>
    <sheet name="Pivot-Sales by Vehicle_Type" sheetId="79" r:id="rId56"/>
    <sheet name="Forecasting KPI" sheetId="84" r:id="rId57"/>
    <sheet name="Dashboard-Automate Forecaste" sheetId="83" r:id="rId58"/>
    <sheet name="Pivot-Seasonal Demand Trend" sheetId="55" r:id="rId59"/>
    <sheet name="Seasonal KPIs" sheetId="56" r:id="rId60"/>
    <sheet name="Dashboard-market demand by seas" sheetId="57" r:id="rId61"/>
    <sheet name="Pivot-Production Capacity " sheetId="73" r:id="rId62"/>
    <sheet name="Pivot-Total Forecasted vs. Prod" sheetId="70" r:id="rId63"/>
    <sheet name="Pivot-Total Planned Production" sheetId="62" r:id="rId64"/>
    <sheet name="Pivot-Inventory Level Over Time" sheetId="64" r:id="rId65"/>
    <sheet name="KPI- Production Planning" sheetId="65" r:id="rId66"/>
    <sheet name="Dashboard-Optimizing Production" sheetId="66" r:id="rId67"/>
    <sheet name="Sales Feedback Table" sheetId="67" r:id="rId68"/>
    <sheet name="Feedback_Reference_Table" sheetId="68" r:id="rId69"/>
    <sheet name="Track Forecast Accuracy " sheetId="69" r:id="rId70"/>
    <sheet name="Pivot-Feedback_Adjustment" sheetId="71" r:id="rId71"/>
    <sheet name="Pivot-Tracking Accuracy" sheetId="75" r:id="rId72"/>
    <sheet name="KPI-Sales Feedback" sheetId="77" r:id="rId73"/>
    <sheet name="Dashboard-Improvement Automotiv" sheetId="76" r:id="rId74"/>
    <sheet name="Pivot-Units Sold by Region" sheetId="87" r:id="rId75"/>
    <sheet name="Pivot-Sales Trend" sheetId="36" r:id="rId76"/>
    <sheet name="Pivot-Competitor Sales Comparis" sheetId="90" r:id="rId77"/>
    <sheet name="Pivot-Average Price VS UnitSold" sheetId="88" r:id="rId78"/>
    <sheet name="Pivot-Marketing Spend vs. Deman" sheetId="89" r:id="rId79"/>
    <sheet name="KPI-Automate Market Data " sheetId="91" r:id="rId80"/>
    <sheet name="Dashboard-Automate Market Data" sheetId="92" r:id="rId81"/>
    <sheet name="KPI" sheetId="95" r:id="rId82"/>
    <sheet name="Dashboard-Real-Time Demand" sheetId="93" r:id="rId83"/>
  </sheets>
  <definedNames>
    <definedName name="_xlchart.v1.0" hidden="1">'Finding Outliers'!$J$11:$J$510</definedName>
    <definedName name="_xlchart.v1.1" hidden="1">'Finding Outliers'!$G$10</definedName>
    <definedName name="_xlchart.v1.10" hidden="1">'Fixing Outliers '!$K$11:$K$510</definedName>
    <definedName name="_xlchart.v1.11" hidden="1">'Fixing Outliers '!$J$11:$J$510</definedName>
    <definedName name="_xlchart.v1.12" hidden="1">'Fixing Outliers '!$E$11:$E$510</definedName>
    <definedName name="_xlchart.v1.13" hidden="1">'Fixing Outliers '!$G$10</definedName>
    <definedName name="_xlchart.v1.14" hidden="1">'Fixing Outliers '!$G$11:$G$510</definedName>
    <definedName name="_xlchart.v1.15" hidden="1">'Fixing Outliers '!$H$10</definedName>
    <definedName name="_xlchart.v1.16" hidden="1">'Fixing Outliers '!$H$11:$H$510</definedName>
    <definedName name="_xlchart.v1.17" hidden="1">'Fixing Outliers '!$C$11:$C$510</definedName>
    <definedName name="_xlchart.v1.18" hidden="1">'Removing Duplicates'!$M$11:$M$510</definedName>
    <definedName name="_xlchart.v1.19" hidden="1">'Removing Duplicates'!$F$11:$F$510</definedName>
    <definedName name="_xlchart.v1.2" hidden="1">'Finding Outliers'!$G$11:$G$510</definedName>
    <definedName name="_xlchart.v1.20" hidden="1">'Removing Duplicates'!$L$11:$L$512</definedName>
    <definedName name="_xlchart.v1.21" hidden="1">'Removing Duplicates'!$K$10</definedName>
    <definedName name="_xlchart.v1.22" hidden="1">'Removing Duplicates'!$K$11:$K$510</definedName>
    <definedName name="_xlchart.v1.23" hidden="1">'Removing Duplicates'!$L$10</definedName>
    <definedName name="_xlchart.v1.24" hidden="1">'Removing Duplicates'!$L$11:$L$510</definedName>
    <definedName name="_xlchart.v1.25" hidden="1">'Removing Duplicates'!$M$11:$M$512</definedName>
    <definedName name="_xlchart.v1.26" hidden="1">'Removing Duplicates'!$I$11:$I$510</definedName>
    <definedName name="_xlchart.v1.27" hidden="1">'Data Representation'!$M$11:$M$512</definedName>
    <definedName name="_xlchart.v1.28" hidden="1">'Data Representation'!$I$11:$I$510</definedName>
    <definedName name="_xlchart.v1.29" hidden="1">'Data Representation'!$L$11:$L$512</definedName>
    <definedName name="_xlchart.v1.3" hidden="1">'Finding Outliers'!$H$10</definedName>
    <definedName name="_xlchart.v1.30" hidden="1">'Data Representation'!$K$10</definedName>
    <definedName name="_xlchart.v1.31" hidden="1">'Data Representation'!$K$11:$K$510</definedName>
    <definedName name="_xlchart.v1.32" hidden="1">'Data Representation'!$L$10</definedName>
    <definedName name="_xlchart.v1.33" hidden="1">'Data Representation'!$L$11:$L$510</definedName>
    <definedName name="_xlchart.v1.34" hidden="1">'Data Representation'!$M$11:$M$510</definedName>
    <definedName name="_xlchart.v1.35" hidden="1">'Data Representation'!$F$11:$F$510</definedName>
    <definedName name="_xlchart.v1.4" hidden="1">'Finding Outliers'!$H$11:$H$510</definedName>
    <definedName name="_xlchart.v1.5" hidden="1">'Finding Outliers'!$K$11:$K$510</definedName>
    <definedName name="_xlchart.v1.6" hidden="1">'Finding Outliers'!$I$11:$I$510</definedName>
    <definedName name="_xlchart.v1.7" hidden="1">'Finding Outliers'!$C$11:$C$510</definedName>
    <definedName name="_xlchart.v1.8" hidden="1">'Finding Outliers'!$E$11:$E$510</definedName>
    <definedName name="_xlchart.v1.9" hidden="1">'Fixing Outliers '!$I$11:$I$510</definedName>
    <definedName name="ExternalData_1" localSheetId="6" hidden="1">'Data Representation'!$A$10:$O$511</definedName>
    <definedName name="ExternalData_1" localSheetId="1" hidden="1">'Finding Missing Values'!$A$1:$J$501</definedName>
    <definedName name="ExternalData_1" localSheetId="3" hidden="1">'Finding Outliers'!$A$10:$K$510</definedName>
    <definedName name="ExternalData_1" localSheetId="2" hidden="1">'Fixing missing values'!$A$1:$J$501</definedName>
    <definedName name="ExternalData_1" localSheetId="4" hidden="1">'Fixing Outliers '!$A$10:$K$510</definedName>
    <definedName name="ExternalData_1" localSheetId="0" hidden="1">'Original Data'!$A$1:$J$501</definedName>
    <definedName name="ExternalData_1" localSheetId="5" hidden="1">'Removing Duplicates'!$A$10:$O$510</definedName>
    <definedName name="Forecasted_Units_Sold">Scenarios_For_Demand!$B$6</definedName>
    <definedName name="Fuel_Price">Scenarios_For_Demand!$B$2</definedName>
    <definedName name="GDP_Growth_Rate">Scenarios_For_Demand!$B$3</definedName>
    <definedName name="Marketing_Spend">Scenarios_For_Demand!$B$4</definedName>
    <definedName name="NativeTimeline_Date">#N/A</definedName>
    <definedName name="Online_Interest_Index">Scenarios_For_Demand!$B$5</definedName>
    <definedName name="Slicer_Campaign_Channel">#N/A</definedName>
    <definedName name="Slicer_Month">#N/A</definedName>
    <definedName name="Slicer_Monthy_Sale">#N/A</definedName>
    <definedName name="Slicer_Monthy_Sale1">#N/A</definedName>
    <definedName name="Slicer_Region">#N/A</definedName>
    <definedName name="Slicer_Region1">#N/A</definedName>
    <definedName name="Slicer_Region2">#N/A</definedName>
    <definedName name="Slicer_Region3">#N/A</definedName>
    <definedName name="Slicer_Region4">#N/A</definedName>
    <definedName name="Slicer_Region6">#N/A</definedName>
    <definedName name="Slicer_Vehicle_Type">#N/A</definedName>
    <definedName name="Slicer_Vehicle_Type1">#N/A</definedName>
    <definedName name="Slicer_Vehicle_Type2">#N/A</definedName>
    <definedName name="Slicer_Vehicle_Type3">#N/A</definedName>
    <definedName name="Slicer_Vehicle_type4">#N/A</definedName>
    <definedName name="Slicer_Vehicle_Type5">#N/A</definedName>
    <definedName name="Slicer_Vehicle_Type6">#N/A</definedName>
    <definedName name="Slicer_Vehicle_Type7">#N/A</definedName>
    <definedName name="Slicer_Vehicle_Type8">#N/A</definedName>
    <definedName name="Slicer_Vehicle_Type9">#N/A</definedName>
    <definedName name="Slicer_Years__Date">#N/A</definedName>
    <definedName name="solver_adj" localSheetId="22" hidden="1">'Solver for optimizing productio'!$R$5:$R$9</definedName>
    <definedName name="solver_cvg" localSheetId="22" hidden="1">0.0001</definedName>
    <definedName name="solver_drv" localSheetId="22" hidden="1">1</definedName>
    <definedName name="solver_eng" localSheetId="41" hidden="1">1</definedName>
    <definedName name="solver_eng" localSheetId="22" hidden="1">2</definedName>
    <definedName name="solver_est" localSheetId="22" hidden="1">1</definedName>
    <definedName name="solver_itr" localSheetId="22" hidden="1">2147483647</definedName>
    <definedName name="solver_lhs1" localSheetId="22" hidden="1">'Solver for optimizing productio'!$R$5:$R$9</definedName>
    <definedName name="solver_lhs2" localSheetId="22" hidden="1">'Solver for optimizing productio'!$R$5:$R$9</definedName>
    <definedName name="solver_lhs3" localSheetId="22" hidden="1">'Solver for optimizing productio'!$R$5:$R$9</definedName>
    <definedName name="solver_lhs4" localSheetId="22" hidden="1">'Solver for optimizing productio'!$L$2:$L$501</definedName>
    <definedName name="solver_lhs5" localSheetId="22" hidden="1">'Solver for optimizing productio'!$L$2:$L$501</definedName>
    <definedName name="solver_lhs6" localSheetId="22" hidden="1">'Solver for optimizing productio'!$L$2:$L$501</definedName>
    <definedName name="solver_mip" localSheetId="22" hidden="1">2147483647</definedName>
    <definedName name="solver_mni" localSheetId="22" hidden="1">30</definedName>
    <definedName name="solver_mrt" localSheetId="22" hidden="1">0.075</definedName>
    <definedName name="solver_msl" localSheetId="22" hidden="1">2</definedName>
    <definedName name="solver_neg" localSheetId="41" hidden="1">1</definedName>
    <definedName name="solver_neg" localSheetId="22" hidden="1">1</definedName>
    <definedName name="solver_nod" localSheetId="22" hidden="1">2147483647</definedName>
    <definedName name="solver_num" localSheetId="41" hidden="1">0</definedName>
    <definedName name="solver_num" localSheetId="22" hidden="1">3</definedName>
    <definedName name="solver_nwt" localSheetId="22" hidden="1">1</definedName>
    <definedName name="solver_opt" localSheetId="41" hidden="1">'Pivot table-Market share by Veh'!$A$1</definedName>
    <definedName name="solver_opt" localSheetId="22" hidden="1">'Solver for optimizing productio'!$P$12</definedName>
    <definedName name="solver_pre" localSheetId="22" hidden="1">0.000001</definedName>
    <definedName name="solver_rbv" localSheetId="22" hidden="1">1</definedName>
    <definedName name="solver_rel1" localSheetId="22" hidden="1">1</definedName>
    <definedName name="solver_rel2" localSheetId="22" hidden="1">3</definedName>
    <definedName name="solver_rel3" localSheetId="22" hidden="1">3</definedName>
    <definedName name="solver_rel4" localSheetId="22" hidden="1">3</definedName>
    <definedName name="solver_rel5" localSheetId="22" hidden="1">3</definedName>
    <definedName name="solver_rel6" localSheetId="22" hidden="1">3</definedName>
    <definedName name="solver_rhs1" localSheetId="22" hidden="1">'Solver for optimizing productio'!$Q$5:$Q$9</definedName>
    <definedName name="solver_rhs2" localSheetId="22" hidden="1">'Solver for optimizing productio'!$O$5:$O$9</definedName>
    <definedName name="solver_rhs3" localSheetId="22" hidden="1">0</definedName>
    <definedName name="solver_rhs4" localSheetId="22" hidden="1">0</definedName>
    <definedName name="solver_rhs5" localSheetId="22" hidden="1">0</definedName>
    <definedName name="solver_rhs6" localSheetId="22" hidden="1">0</definedName>
    <definedName name="solver_rlx" localSheetId="22" hidden="1">2</definedName>
    <definedName name="solver_rsd" localSheetId="22" hidden="1">0</definedName>
    <definedName name="solver_scl" localSheetId="22" hidden="1">1</definedName>
    <definedName name="solver_sho" localSheetId="22" hidden="1">2</definedName>
    <definedName name="solver_ssz" localSheetId="22" hidden="1">100</definedName>
    <definedName name="solver_tim" localSheetId="22" hidden="1">2147483647</definedName>
    <definedName name="solver_tol" localSheetId="22" hidden="1">0.01</definedName>
    <definedName name="solver_typ" localSheetId="41" hidden="1">1</definedName>
    <definedName name="solver_typ" localSheetId="22" hidden="1">2</definedName>
    <definedName name="solver_val" localSheetId="41" hidden="1">0</definedName>
    <definedName name="solver_val" localSheetId="22" hidden="1">0</definedName>
    <definedName name="solver_ver" localSheetId="41" hidden="1">3</definedName>
    <definedName name="solver_ver" localSheetId="22" hidden="1">3</definedName>
  </definedNames>
  <calcPr calcId="191029"/>
  <pivotCaches>
    <pivotCache cacheId="0" r:id="rId84"/>
    <pivotCache cacheId="1" r:id="rId85"/>
    <pivotCache cacheId="2" r:id="rId86"/>
    <pivotCache cacheId="3" r:id="rId87"/>
    <pivotCache cacheId="4" r:id="rId88"/>
    <pivotCache cacheId="5" r:id="rId89"/>
    <pivotCache cacheId="6" r:id="rId90"/>
    <pivotCache cacheId="7" r:id="rId91"/>
    <pivotCache cacheId="8" r:id="rId92"/>
    <pivotCache cacheId="9" r:id="rId93"/>
  </pivotCaches>
  <extLst>
    <ext xmlns:x14="http://schemas.microsoft.com/office/spreadsheetml/2009/9/main" uri="{BBE1A952-AA13-448e-AADC-164F8A28A991}">
      <x14:slicerCaches>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502" i="14" l="1"/>
  <c r="P503" i="14"/>
  <c r="P504" i="14"/>
  <c r="P505" i="14"/>
  <c r="P506" i="14"/>
  <c r="P507" i="14"/>
  <c r="P508" i="14"/>
  <c r="P509" i="14"/>
  <c r="P510" i="14"/>
  <c r="P501" i="14"/>
  <c r="B6" i="129"/>
  <c r="P12" i="35"/>
  <c r="P13" i="35"/>
  <c r="P14" i="35"/>
  <c r="P15" i="35"/>
  <c r="P16" i="35"/>
  <c r="P17" i="35"/>
  <c r="P18" i="35"/>
  <c r="P19" i="35"/>
  <c r="P20" i="35"/>
  <c r="P21" i="35"/>
  <c r="P22" i="35"/>
  <c r="P23" i="35"/>
  <c r="P24" i="35"/>
  <c r="P25" i="35"/>
  <c r="P26" i="35"/>
  <c r="P27" i="35"/>
  <c r="P28" i="35"/>
  <c r="P29" i="35"/>
  <c r="P30" i="35"/>
  <c r="P31" i="35"/>
  <c r="P32" i="35"/>
  <c r="P33" i="35"/>
  <c r="P34" i="35"/>
  <c r="P35" i="35"/>
  <c r="P36" i="35"/>
  <c r="P37" i="35"/>
  <c r="P38" i="35"/>
  <c r="P39" i="35"/>
  <c r="P40" i="35"/>
  <c r="P41" i="35"/>
  <c r="P42" i="35"/>
  <c r="P43" i="35"/>
  <c r="P44" i="35"/>
  <c r="P45" i="35"/>
  <c r="P46" i="35"/>
  <c r="P47" i="35"/>
  <c r="P48" i="35"/>
  <c r="P49" i="35"/>
  <c r="P50" i="35"/>
  <c r="P51" i="35"/>
  <c r="P52" i="35"/>
  <c r="P53" i="35"/>
  <c r="P54" i="35"/>
  <c r="P55" i="35"/>
  <c r="P56" i="35"/>
  <c r="P57" i="35"/>
  <c r="P58" i="35"/>
  <c r="P59" i="35"/>
  <c r="P60" i="35"/>
  <c r="P61" i="35"/>
  <c r="P62" i="35"/>
  <c r="P63" i="35"/>
  <c r="P64" i="35"/>
  <c r="P65" i="35"/>
  <c r="P66" i="35"/>
  <c r="P67" i="35"/>
  <c r="P68" i="35"/>
  <c r="P69" i="35"/>
  <c r="P70" i="35"/>
  <c r="P71" i="35"/>
  <c r="P72" i="35"/>
  <c r="P73" i="35"/>
  <c r="P74" i="35"/>
  <c r="P75" i="35"/>
  <c r="P76" i="35"/>
  <c r="P77" i="35"/>
  <c r="P78" i="35"/>
  <c r="P79" i="35"/>
  <c r="P80" i="35"/>
  <c r="P81" i="35"/>
  <c r="P82" i="35"/>
  <c r="P83" i="35"/>
  <c r="P84" i="35"/>
  <c r="P85" i="35"/>
  <c r="P86" i="35"/>
  <c r="P87" i="35"/>
  <c r="P88" i="35"/>
  <c r="P89" i="35"/>
  <c r="P90" i="35"/>
  <c r="P91" i="35"/>
  <c r="P92" i="35"/>
  <c r="P93" i="35"/>
  <c r="P94" i="35"/>
  <c r="P95" i="35"/>
  <c r="P96" i="35"/>
  <c r="P97" i="35"/>
  <c r="P98" i="35"/>
  <c r="P99" i="35"/>
  <c r="P100" i="35"/>
  <c r="P101" i="35"/>
  <c r="P102" i="35"/>
  <c r="P103" i="35"/>
  <c r="P104" i="35"/>
  <c r="P105" i="35"/>
  <c r="P106" i="35"/>
  <c r="P107" i="35"/>
  <c r="P108" i="35"/>
  <c r="P109" i="35"/>
  <c r="P110" i="35"/>
  <c r="P111" i="35"/>
  <c r="P112" i="35"/>
  <c r="P113" i="35"/>
  <c r="P114" i="35"/>
  <c r="P115" i="35"/>
  <c r="P116" i="35"/>
  <c r="P117" i="35"/>
  <c r="P118" i="35"/>
  <c r="P119" i="35"/>
  <c r="P120" i="35"/>
  <c r="P121" i="35"/>
  <c r="P122" i="35"/>
  <c r="P123" i="35"/>
  <c r="P124" i="35"/>
  <c r="P125" i="35"/>
  <c r="P126" i="35"/>
  <c r="P127" i="35"/>
  <c r="P128" i="35"/>
  <c r="P129" i="35"/>
  <c r="P130" i="35"/>
  <c r="P131" i="35"/>
  <c r="P132" i="35"/>
  <c r="P133" i="35"/>
  <c r="P134" i="35"/>
  <c r="P135" i="35"/>
  <c r="P136" i="35"/>
  <c r="P137" i="35"/>
  <c r="P138" i="35"/>
  <c r="P139" i="35"/>
  <c r="P140" i="35"/>
  <c r="P141" i="35"/>
  <c r="P142" i="35"/>
  <c r="P143" i="35"/>
  <c r="P144" i="35"/>
  <c r="P145" i="35"/>
  <c r="P146" i="35"/>
  <c r="P147" i="35"/>
  <c r="P148" i="35"/>
  <c r="P149" i="35"/>
  <c r="P150" i="35"/>
  <c r="P151" i="35"/>
  <c r="P152" i="35"/>
  <c r="P153" i="35"/>
  <c r="P154" i="35"/>
  <c r="P155" i="35"/>
  <c r="P156" i="35"/>
  <c r="P157" i="35"/>
  <c r="P158" i="35"/>
  <c r="P159" i="35"/>
  <c r="P160" i="35"/>
  <c r="P161" i="35"/>
  <c r="P162" i="35"/>
  <c r="P163" i="35"/>
  <c r="P164" i="35"/>
  <c r="P165" i="35"/>
  <c r="P166" i="35"/>
  <c r="P167" i="35"/>
  <c r="P168" i="35"/>
  <c r="P169" i="35"/>
  <c r="P170" i="35"/>
  <c r="P171" i="35"/>
  <c r="P172" i="35"/>
  <c r="P173" i="35"/>
  <c r="P174" i="35"/>
  <c r="P175" i="35"/>
  <c r="P176" i="35"/>
  <c r="P177" i="35"/>
  <c r="P178" i="35"/>
  <c r="P179" i="35"/>
  <c r="P180" i="35"/>
  <c r="P181" i="35"/>
  <c r="P182" i="35"/>
  <c r="P183" i="35"/>
  <c r="P184" i="35"/>
  <c r="P185" i="35"/>
  <c r="P186" i="35"/>
  <c r="P187" i="35"/>
  <c r="P188" i="35"/>
  <c r="P189" i="35"/>
  <c r="P190" i="35"/>
  <c r="P191" i="35"/>
  <c r="P192" i="35"/>
  <c r="P193" i="35"/>
  <c r="P194" i="35"/>
  <c r="P195" i="35"/>
  <c r="P196" i="35"/>
  <c r="P197" i="35"/>
  <c r="P198" i="35"/>
  <c r="P199" i="35"/>
  <c r="P200" i="35"/>
  <c r="P201" i="35"/>
  <c r="P202" i="35"/>
  <c r="P203" i="35"/>
  <c r="P204" i="35"/>
  <c r="P205" i="35"/>
  <c r="P206" i="35"/>
  <c r="P207" i="35"/>
  <c r="P208" i="35"/>
  <c r="P209" i="35"/>
  <c r="P210" i="35"/>
  <c r="P211" i="35"/>
  <c r="P212" i="35"/>
  <c r="P213" i="35"/>
  <c r="P214" i="35"/>
  <c r="P215" i="35"/>
  <c r="P216" i="35"/>
  <c r="P217" i="35"/>
  <c r="P218" i="35"/>
  <c r="P219" i="35"/>
  <c r="P220" i="35"/>
  <c r="P221" i="35"/>
  <c r="P222" i="35"/>
  <c r="P223" i="35"/>
  <c r="P224" i="35"/>
  <c r="P225" i="35"/>
  <c r="P226" i="35"/>
  <c r="P227" i="35"/>
  <c r="P228" i="35"/>
  <c r="P229" i="35"/>
  <c r="P230" i="35"/>
  <c r="P231" i="35"/>
  <c r="P232" i="35"/>
  <c r="P233" i="35"/>
  <c r="P234" i="35"/>
  <c r="P235" i="35"/>
  <c r="P236" i="35"/>
  <c r="P237" i="35"/>
  <c r="P238" i="35"/>
  <c r="P239" i="35"/>
  <c r="P240" i="35"/>
  <c r="P241" i="35"/>
  <c r="P242" i="35"/>
  <c r="P243" i="35"/>
  <c r="P244" i="35"/>
  <c r="P245" i="35"/>
  <c r="P246" i="35"/>
  <c r="P247" i="35"/>
  <c r="P248" i="35"/>
  <c r="P249" i="35"/>
  <c r="P250" i="35"/>
  <c r="P251" i="35"/>
  <c r="P252" i="35"/>
  <c r="P253" i="35"/>
  <c r="P254" i="35"/>
  <c r="P255" i="35"/>
  <c r="P256" i="35"/>
  <c r="P257" i="35"/>
  <c r="P258" i="35"/>
  <c r="P259" i="35"/>
  <c r="P260" i="35"/>
  <c r="P261" i="35"/>
  <c r="P262" i="35"/>
  <c r="P263" i="35"/>
  <c r="P264" i="35"/>
  <c r="P265" i="35"/>
  <c r="P266" i="35"/>
  <c r="P267" i="35"/>
  <c r="P268" i="35"/>
  <c r="P269" i="35"/>
  <c r="P270" i="35"/>
  <c r="P271" i="35"/>
  <c r="P272" i="35"/>
  <c r="P273" i="35"/>
  <c r="P274" i="35"/>
  <c r="P275" i="35"/>
  <c r="P276" i="35"/>
  <c r="P277" i="35"/>
  <c r="P278" i="35"/>
  <c r="P279" i="35"/>
  <c r="P280" i="35"/>
  <c r="P281" i="35"/>
  <c r="P282" i="35"/>
  <c r="P283" i="35"/>
  <c r="P284" i="35"/>
  <c r="P285" i="35"/>
  <c r="P286" i="35"/>
  <c r="P287" i="35"/>
  <c r="P288" i="35"/>
  <c r="P289" i="35"/>
  <c r="P290" i="35"/>
  <c r="P291" i="35"/>
  <c r="P292" i="35"/>
  <c r="P293" i="35"/>
  <c r="P294" i="35"/>
  <c r="P295" i="35"/>
  <c r="P296" i="35"/>
  <c r="P297" i="35"/>
  <c r="P298" i="35"/>
  <c r="P299" i="35"/>
  <c r="P300" i="35"/>
  <c r="P301" i="35"/>
  <c r="P302" i="35"/>
  <c r="P303" i="35"/>
  <c r="P304" i="35"/>
  <c r="P305" i="35"/>
  <c r="P306" i="35"/>
  <c r="P307" i="35"/>
  <c r="P308" i="35"/>
  <c r="P309" i="35"/>
  <c r="P310" i="35"/>
  <c r="P311" i="35"/>
  <c r="P312" i="35"/>
  <c r="P313" i="35"/>
  <c r="P314" i="35"/>
  <c r="P315" i="35"/>
  <c r="P316" i="35"/>
  <c r="P317" i="35"/>
  <c r="P318" i="35"/>
  <c r="P319" i="35"/>
  <c r="P320" i="35"/>
  <c r="P321" i="35"/>
  <c r="P322" i="35"/>
  <c r="P323" i="35"/>
  <c r="P324" i="35"/>
  <c r="P325" i="35"/>
  <c r="P326" i="35"/>
  <c r="P327" i="35"/>
  <c r="P328" i="35"/>
  <c r="P329" i="35"/>
  <c r="P330" i="35"/>
  <c r="P331" i="35"/>
  <c r="P332" i="35"/>
  <c r="P333" i="35"/>
  <c r="P334" i="35"/>
  <c r="P335" i="35"/>
  <c r="P336" i="35"/>
  <c r="P337" i="35"/>
  <c r="P338" i="35"/>
  <c r="P339" i="35"/>
  <c r="P340" i="35"/>
  <c r="P341" i="35"/>
  <c r="P342" i="35"/>
  <c r="P343" i="35"/>
  <c r="P344" i="35"/>
  <c r="P345" i="35"/>
  <c r="P346" i="35"/>
  <c r="P347" i="35"/>
  <c r="P348" i="35"/>
  <c r="P349" i="35"/>
  <c r="P350" i="35"/>
  <c r="P351" i="35"/>
  <c r="P352" i="35"/>
  <c r="P353" i="35"/>
  <c r="P354" i="35"/>
  <c r="P355" i="35"/>
  <c r="P356" i="35"/>
  <c r="P357" i="35"/>
  <c r="P358" i="35"/>
  <c r="P359" i="35"/>
  <c r="P360" i="35"/>
  <c r="P361" i="35"/>
  <c r="P362" i="35"/>
  <c r="P363" i="35"/>
  <c r="P364" i="35"/>
  <c r="P365" i="35"/>
  <c r="P366" i="35"/>
  <c r="P367" i="35"/>
  <c r="P368" i="35"/>
  <c r="P369" i="35"/>
  <c r="P370" i="35"/>
  <c r="P371" i="35"/>
  <c r="P372" i="35"/>
  <c r="P373" i="35"/>
  <c r="P374" i="35"/>
  <c r="P375" i="35"/>
  <c r="P376" i="35"/>
  <c r="P377" i="35"/>
  <c r="P378" i="35"/>
  <c r="P379" i="35"/>
  <c r="P380" i="35"/>
  <c r="P381" i="35"/>
  <c r="P382" i="35"/>
  <c r="P383" i="35"/>
  <c r="P384" i="35"/>
  <c r="P385" i="35"/>
  <c r="P386" i="35"/>
  <c r="P387" i="35"/>
  <c r="P388" i="35"/>
  <c r="P389" i="35"/>
  <c r="P390" i="35"/>
  <c r="P391" i="35"/>
  <c r="P392" i="35"/>
  <c r="P393" i="35"/>
  <c r="P394" i="35"/>
  <c r="P395" i="35"/>
  <c r="P396" i="35"/>
  <c r="P397" i="35"/>
  <c r="P398" i="35"/>
  <c r="P399" i="35"/>
  <c r="P400" i="35"/>
  <c r="P401" i="35"/>
  <c r="P402" i="35"/>
  <c r="P403" i="35"/>
  <c r="P404" i="35"/>
  <c r="P405" i="35"/>
  <c r="P406" i="35"/>
  <c r="P407" i="35"/>
  <c r="P408" i="35"/>
  <c r="P409" i="35"/>
  <c r="P410" i="35"/>
  <c r="P411" i="35"/>
  <c r="P412" i="35"/>
  <c r="P413" i="35"/>
  <c r="P414" i="35"/>
  <c r="P415" i="35"/>
  <c r="P416" i="35"/>
  <c r="P417" i="35"/>
  <c r="P418" i="35"/>
  <c r="P419" i="35"/>
  <c r="P420" i="35"/>
  <c r="P421" i="35"/>
  <c r="P422" i="35"/>
  <c r="P423" i="35"/>
  <c r="P424" i="35"/>
  <c r="P425" i="35"/>
  <c r="P426" i="35"/>
  <c r="P427" i="35"/>
  <c r="P428" i="35"/>
  <c r="P429" i="35"/>
  <c r="P430" i="35"/>
  <c r="P431" i="35"/>
  <c r="P432" i="35"/>
  <c r="P433" i="35"/>
  <c r="P434" i="35"/>
  <c r="P435" i="35"/>
  <c r="P436" i="35"/>
  <c r="P437" i="35"/>
  <c r="P438" i="35"/>
  <c r="P439" i="35"/>
  <c r="P440" i="35"/>
  <c r="P441" i="35"/>
  <c r="P442" i="35"/>
  <c r="P443" i="35"/>
  <c r="P444" i="35"/>
  <c r="P445" i="35"/>
  <c r="P446" i="35"/>
  <c r="P447" i="35"/>
  <c r="P448" i="35"/>
  <c r="P449" i="35"/>
  <c r="P450" i="35"/>
  <c r="P451" i="35"/>
  <c r="P452" i="35"/>
  <c r="P453" i="35"/>
  <c r="P454" i="35"/>
  <c r="P455" i="35"/>
  <c r="P456" i="35"/>
  <c r="P457" i="35"/>
  <c r="P458" i="35"/>
  <c r="P459" i="35"/>
  <c r="P460" i="35"/>
  <c r="P461" i="35"/>
  <c r="P462" i="35"/>
  <c r="P463" i="35"/>
  <c r="P464" i="35"/>
  <c r="P465" i="35"/>
  <c r="P466" i="35"/>
  <c r="P467" i="35"/>
  <c r="P468" i="35"/>
  <c r="P469" i="35"/>
  <c r="P470" i="35"/>
  <c r="P471" i="35"/>
  <c r="P472" i="35"/>
  <c r="P473" i="35"/>
  <c r="P474" i="35"/>
  <c r="P475" i="35"/>
  <c r="P476" i="35"/>
  <c r="P477" i="35"/>
  <c r="P478" i="35"/>
  <c r="P479" i="35"/>
  <c r="P480" i="35"/>
  <c r="P481" i="35"/>
  <c r="P482" i="35"/>
  <c r="P483" i="35"/>
  <c r="P484" i="35"/>
  <c r="P485" i="35"/>
  <c r="P486" i="35"/>
  <c r="P487" i="35"/>
  <c r="P488" i="35"/>
  <c r="P489" i="35"/>
  <c r="P490" i="35"/>
  <c r="P491" i="35"/>
  <c r="P492" i="35"/>
  <c r="P493" i="35"/>
  <c r="P494" i="35"/>
  <c r="P495" i="35"/>
  <c r="P496" i="35"/>
  <c r="P497" i="35"/>
  <c r="P498" i="35"/>
  <c r="P499" i="35"/>
  <c r="P500" i="35"/>
  <c r="P501" i="35"/>
  <c r="P502" i="35"/>
  <c r="P503" i="35"/>
  <c r="P504" i="35"/>
  <c r="P505" i="35"/>
  <c r="P506" i="35"/>
  <c r="P507" i="35"/>
  <c r="P508" i="35"/>
  <c r="P509" i="35"/>
  <c r="P510" i="35"/>
  <c r="P11" i="35"/>
  <c r="H25" i="125"/>
  <c r="H21" i="123"/>
  <c r="N5" i="119" l="1"/>
  <c r="J5" i="119"/>
  <c r="L2" i="120"/>
  <c r="H2" i="120"/>
  <c r="H2" i="116"/>
  <c r="H3" i="116"/>
  <c r="H4" i="116"/>
  <c r="H5" i="116"/>
  <c r="H6" i="116"/>
  <c r="H7" i="116"/>
  <c r="H8" i="116"/>
  <c r="H9" i="116"/>
  <c r="H10" i="116"/>
  <c r="H11" i="116"/>
  <c r="H12" i="116"/>
  <c r="H13" i="116"/>
  <c r="H14" i="116"/>
  <c r="H15" i="116"/>
  <c r="H16" i="116"/>
  <c r="H17" i="116"/>
  <c r="H18" i="116"/>
  <c r="H19" i="116"/>
  <c r="H20" i="116"/>
  <c r="H21" i="116"/>
  <c r="H22" i="116"/>
  <c r="H23" i="116"/>
  <c r="H24" i="116"/>
  <c r="H25" i="116"/>
  <c r="H26" i="116"/>
  <c r="H27" i="116"/>
  <c r="H28" i="116"/>
  <c r="H29" i="116"/>
  <c r="H30" i="116"/>
  <c r="H31" i="116"/>
  <c r="H32" i="116"/>
  <c r="H33" i="116"/>
  <c r="H34" i="116"/>
  <c r="H35" i="116"/>
  <c r="H36" i="116"/>
  <c r="H37" i="116"/>
  <c r="H38" i="116"/>
  <c r="H39" i="116"/>
  <c r="H40" i="116"/>
  <c r="H41" i="116"/>
  <c r="H42" i="116"/>
  <c r="H43" i="116"/>
  <c r="H44" i="116"/>
  <c r="H45" i="116"/>
  <c r="H46" i="116"/>
  <c r="H47" i="116"/>
  <c r="H48" i="116"/>
  <c r="H49" i="116"/>
  <c r="H50" i="116"/>
  <c r="H51" i="116"/>
  <c r="H52" i="116"/>
  <c r="H53" i="116"/>
  <c r="H54" i="116"/>
  <c r="H55" i="116"/>
  <c r="H56" i="116"/>
  <c r="H57" i="116"/>
  <c r="H58" i="116"/>
  <c r="H59" i="116"/>
  <c r="H60" i="116"/>
  <c r="H61" i="116"/>
  <c r="H62" i="116"/>
  <c r="H63" i="116"/>
  <c r="H64" i="116"/>
  <c r="H65" i="116"/>
  <c r="H66" i="116"/>
  <c r="H67" i="116"/>
  <c r="H68" i="116"/>
  <c r="H69" i="116"/>
  <c r="H70" i="116"/>
  <c r="H71" i="116"/>
  <c r="H72" i="116"/>
  <c r="H73" i="116"/>
  <c r="H74" i="116"/>
  <c r="H75" i="116"/>
  <c r="H76" i="116"/>
  <c r="H77" i="116"/>
  <c r="H78" i="116"/>
  <c r="H79" i="116"/>
  <c r="H80" i="116"/>
  <c r="H81" i="116"/>
  <c r="H82" i="116"/>
  <c r="H83" i="116"/>
  <c r="H84" i="116"/>
  <c r="H85" i="116"/>
  <c r="H86" i="116"/>
  <c r="H87" i="116"/>
  <c r="H88" i="116"/>
  <c r="H89" i="116"/>
  <c r="H90" i="116"/>
  <c r="H91" i="116"/>
  <c r="H92" i="116"/>
  <c r="H93" i="116"/>
  <c r="H94" i="116"/>
  <c r="H95" i="116"/>
  <c r="H96" i="116"/>
  <c r="H97" i="116"/>
  <c r="H98" i="116"/>
  <c r="H99" i="116"/>
  <c r="H100" i="116"/>
  <c r="H101" i="116"/>
  <c r="H102" i="116"/>
  <c r="H103" i="116"/>
  <c r="H104" i="116"/>
  <c r="H105" i="116"/>
  <c r="H106" i="116"/>
  <c r="H107" i="116"/>
  <c r="H108" i="116"/>
  <c r="H109" i="116"/>
  <c r="H110" i="116"/>
  <c r="H111" i="116"/>
  <c r="H112" i="116"/>
  <c r="H113" i="116"/>
  <c r="H114" i="116"/>
  <c r="H115" i="116"/>
  <c r="H116" i="116"/>
  <c r="H117" i="116"/>
  <c r="H118" i="116"/>
  <c r="H119" i="116"/>
  <c r="H120" i="116"/>
  <c r="H121" i="116"/>
  <c r="H122" i="116"/>
  <c r="H123" i="116"/>
  <c r="H124" i="116"/>
  <c r="H125" i="116"/>
  <c r="H126" i="116"/>
  <c r="H127" i="116"/>
  <c r="H128" i="116"/>
  <c r="H129" i="116"/>
  <c r="H130" i="116"/>
  <c r="H131" i="116"/>
  <c r="H132" i="116"/>
  <c r="H133" i="116"/>
  <c r="H134" i="116"/>
  <c r="H135" i="116"/>
  <c r="H136" i="116"/>
  <c r="H137" i="116"/>
  <c r="H138" i="116"/>
  <c r="H139" i="116"/>
  <c r="H140" i="116"/>
  <c r="H141" i="116"/>
  <c r="H142" i="116"/>
  <c r="H143" i="116"/>
  <c r="H144" i="116"/>
  <c r="H145" i="116"/>
  <c r="H146" i="116"/>
  <c r="H147" i="116"/>
  <c r="H148" i="116"/>
  <c r="H149" i="116"/>
  <c r="H150" i="116"/>
  <c r="H151" i="116"/>
  <c r="H152" i="116"/>
  <c r="H153" i="116"/>
  <c r="H154" i="116"/>
  <c r="H155" i="116"/>
  <c r="H156" i="116"/>
  <c r="H157" i="116"/>
  <c r="H158" i="116"/>
  <c r="H159" i="116"/>
  <c r="H160" i="116"/>
  <c r="H161" i="116"/>
  <c r="H162" i="116"/>
  <c r="H163" i="116"/>
  <c r="H164" i="116"/>
  <c r="H165" i="116"/>
  <c r="H166" i="116"/>
  <c r="H167" i="116"/>
  <c r="H168" i="116"/>
  <c r="H169" i="116"/>
  <c r="H170" i="116"/>
  <c r="H171" i="116"/>
  <c r="H172" i="116"/>
  <c r="H173" i="116"/>
  <c r="H174" i="116"/>
  <c r="H175" i="116"/>
  <c r="H176" i="116"/>
  <c r="H177" i="116"/>
  <c r="H178" i="116"/>
  <c r="H179" i="116"/>
  <c r="H180" i="116"/>
  <c r="H181" i="116"/>
  <c r="H182" i="116"/>
  <c r="H183" i="116"/>
  <c r="H184" i="116"/>
  <c r="H185" i="116"/>
  <c r="H186" i="116"/>
  <c r="H187" i="116"/>
  <c r="H188" i="116"/>
  <c r="H189" i="116"/>
  <c r="H190" i="116"/>
  <c r="H191" i="116"/>
  <c r="H192" i="116"/>
  <c r="H193" i="116"/>
  <c r="H194" i="116"/>
  <c r="H195" i="116"/>
  <c r="H196" i="116"/>
  <c r="H197" i="116"/>
  <c r="H198" i="116"/>
  <c r="H199" i="116"/>
  <c r="H200" i="116"/>
  <c r="H201" i="116"/>
  <c r="H202" i="116"/>
  <c r="H203" i="116"/>
  <c r="H204" i="116"/>
  <c r="H205" i="116"/>
  <c r="H206" i="116"/>
  <c r="H207" i="116"/>
  <c r="H208" i="116"/>
  <c r="H209" i="116"/>
  <c r="H210" i="116"/>
  <c r="H211" i="116"/>
  <c r="H212" i="116"/>
  <c r="H213" i="116"/>
  <c r="H214" i="116"/>
  <c r="H215" i="116"/>
  <c r="H216" i="116"/>
  <c r="H217" i="116"/>
  <c r="H218" i="116"/>
  <c r="H219" i="116"/>
  <c r="H220" i="116"/>
  <c r="H221" i="116"/>
  <c r="H222" i="116"/>
  <c r="H223" i="116"/>
  <c r="H224" i="116"/>
  <c r="H225" i="116"/>
  <c r="H226" i="116"/>
  <c r="H227" i="116"/>
  <c r="H228" i="116"/>
  <c r="H229" i="116"/>
  <c r="H230" i="116"/>
  <c r="H231" i="116"/>
  <c r="H232" i="116"/>
  <c r="H233" i="116"/>
  <c r="H234" i="116"/>
  <c r="H235" i="116"/>
  <c r="H236" i="116"/>
  <c r="H237" i="116"/>
  <c r="H238" i="116"/>
  <c r="H239" i="116"/>
  <c r="H240" i="116"/>
  <c r="H241" i="116"/>
  <c r="H242" i="116"/>
  <c r="H243" i="116"/>
  <c r="H244" i="116"/>
  <c r="H245" i="116"/>
  <c r="H246" i="116"/>
  <c r="H247" i="116"/>
  <c r="H248" i="116"/>
  <c r="H249" i="116"/>
  <c r="H250" i="116"/>
  <c r="H251" i="116"/>
  <c r="H252" i="116"/>
  <c r="H253" i="116"/>
  <c r="H254" i="116"/>
  <c r="H255" i="116"/>
  <c r="H256" i="116"/>
  <c r="H257" i="116"/>
  <c r="H258" i="116"/>
  <c r="H259" i="116"/>
  <c r="H260" i="116"/>
  <c r="H261" i="116"/>
  <c r="H262" i="116"/>
  <c r="H263" i="116"/>
  <c r="H264" i="116"/>
  <c r="H265" i="116"/>
  <c r="H266" i="116"/>
  <c r="H267" i="116"/>
  <c r="H268" i="116"/>
  <c r="H269" i="116"/>
  <c r="H270" i="116"/>
  <c r="H271" i="116"/>
  <c r="H272" i="116"/>
  <c r="H273" i="116"/>
  <c r="H274" i="116"/>
  <c r="H275" i="116"/>
  <c r="H276" i="116"/>
  <c r="H277" i="116"/>
  <c r="H278" i="116"/>
  <c r="H279" i="116"/>
  <c r="H280" i="116"/>
  <c r="H281" i="116"/>
  <c r="H282" i="116"/>
  <c r="H283" i="116"/>
  <c r="H284" i="116"/>
  <c r="H285" i="116"/>
  <c r="H286" i="116"/>
  <c r="H287" i="116"/>
  <c r="H288" i="116"/>
  <c r="H289" i="116"/>
  <c r="H290" i="116"/>
  <c r="H291" i="116"/>
  <c r="H292" i="116"/>
  <c r="H293" i="116"/>
  <c r="H294" i="116"/>
  <c r="H295" i="116"/>
  <c r="H296" i="116"/>
  <c r="H297" i="116"/>
  <c r="H298" i="116"/>
  <c r="H299" i="116"/>
  <c r="H300" i="116"/>
  <c r="H301" i="116"/>
  <c r="H302" i="116"/>
  <c r="H303" i="116"/>
  <c r="H304" i="116"/>
  <c r="H305" i="116"/>
  <c r="H306" i="116"/>
  <c r="H307" i="116"/>
  <c r="H308" i="116"/>
  <c r="H309" i="116"/>
  <c r="H310" i="116"/>
  <c r="H311" i="116"/>
  <c r="H312" i="116"/>
  <c r="H313" i="116"/>
  <c r="H314" i="116"/>
  <c r="H315" i="116"/>
  <c r="H316" i="116"/>
  <c r="H317" i="116"/>
  <c r="H318" i="116"/>
  <c r="H319" i="116"/>
  <c r="H320" i="116"/>
  <c r="H321" i="116"/>
  <c r="H322" i="116"/>
  <c r="H323" i="116"/>
  <c r="H324" i="116"/>
  <c r="H325" i="116"/>
  <c r="H326" i="116"/>
  <c r="H327" i="116"/>
  <c r="H328" i="116"/>
  <c r="H329" i="116"/>
  <c r="H330" i="116"/>
  <c r="H331" i="116"/>
  <c r="H332" i="116"/>
  <c r="H333" i="116"/>
  <c r="H334" i="116"/>
  <c r="H335" i="116"/>
  <c r="H336" i="116"/>
  <c r="H337" i="116"/>
  <c r="H338" i="116"/>
  <c r="H339" i="116"/>
  <c r="H340" i="116"/>
  <c r="H341" i="116"/>
  <c r="H342" i="116"/>
  <c r="H343" i="116"/>
  <c r="H344" i="116"/>
  <c r="H345" i="116"/>
  <c r="H346" i="116"/>
  <c r="H347" i="116"/>
  <c r="H348" i="116"/>
  <c r="H349" i="116"/>
  <c r="H350" i="116"/>
  <c r="H351" i="116"/>
  <c r="H352" i="116"/>
  <c r="H353" i="116"/>
  <c r="H354" i="116"/>
  <c r="H355" i="116"/>
  <c r="H356" i="116"/>
  <c r="H357" i="116"/>
  <c r="H358" i="116"/>
  <c r="H359" i="116"/>
  <c r="H360" i="116"/>
  <c r="H361" i="116"/>
  <c r="H362" i="116"/>
  <c r="H363" i="116"/>
  <c r="H364" i="116"/>
  <c r="H365" i="116"/>
  <c r="H366" i="116"/>
  <c r="H367" i="116"/>
  <c r="H368" i="116"/>
  <c r="H369" i="116"/>
  <c r="H370" i="116"/>
  <c r="H371" i="116"/>
  <c r="H372" i="116"/>
  <c r="H373" i="116"/>
  <c r="H374" i="116"/>
  <c r="H375" i="116"/>
  <c r="H376" i="116"/>
  <c r="H377" i="116"/>
  <c r="H378" i="116"/>
  <c r="H379" i="116"/>
  <c r="H380" i="116"/>
  <c r="H381" i="116"/>
  <c r="H382" i="116"/>
  <c r="H383" i="116"/>
  <c r="H384" i="116"/>
  <c r="H385" i="116"/>
  <c r="H386" i="116"/>
  <c r="H387" i="116"/>
  <c r="H388" i="116"/>
  <c r="H389" i="116"/>
  <c r="H390" i="116"/>
  <c r="H391" i="116"/>
  <c r="H392" i="116"/>
  <c r="H393" i="116"/>
  <c r="H394" i="116"/>
  <c r="H395" i="116"/>
  <c r="H396" i="116"/>
  <c r="H397" i="116"/>
  <c r="H398" i="116"/>
  <c r="H399" i="116"/>
  <c r="H400" i="116"/>
  <c r="H401" i="116"/>
  <c r="H402" i="116"/>
  <c r="H403" i="116"/>
  <c r="H404" i="116"/>
  <c r="H405" i="116"/>
  <c r="H406" i="116"/>
  <c r="H407" i="116"/>
  <c r="H408" i="116"/>
  <c r="H409" i="116"/>
  <c r="H410" i="116"/>
  <c r="H411" i="116"/>
  <c r="H412" i="116"/>
  <c r="H413" i="116"/>
  <c r="H414" i="116"/>
  <c r="H415" i="116"/>
  <c r="H416" i="116"/>
  <c r="H417" i="116"/>
  <c r="H418" i="116"/>
  <c r="H419" i="116"/>
  <c r="H420" i="116"/>
  <c r="H421" i="116"/>
  <c r="H422" i="116"/>
  <c r="H423" i="116"/>
  <c r="H424" i="116"/>
  <c r="H425" i="116"/>
  <c r="H426" i="116"/>
  <c r="H427" i="116"/>
  <c r="H428" i="116"/>
  <c r="H429" i="116"/>
  <c r="H430" i="116"/>
  <c r="H431" i="116"/>
  <c r="H432" i="116"/>
  <c r="H433" i="116"/>
  <c r="H434" i="116"/>
  <c r="H435" i="116"/>
  <c r="H436" i="116"/>
  <c r="H437" i="116"/>
  <c r="H438" i="116"/>
  <c r="H439" i="116"/>
  <c r="H440" i="116"/>
  <c r="H441" i="116"/>
  <c r="H442" i="116"/>
  <c r="H443" i="116"/>
  <c r="H444" i="116"/>
  <c r="H445" i="116"/>
  <c r="H446" i="116"/>
  <c r="H447" i="116"/>
  <c r="H448" i="116"/>
  <c r="H449" i="116"/>
  <c r="H450" i="116"/>
  <c r="H451" i="116"/>
  <c r="H452" i="116"/>
  <c r="H453" i="116"/>
  <c r="H454" i="116"/>
  <c r="H455" i="116"/>
  <c r="H456" i="116"/>
  <c r="H457" i="116"/>
  <c r="H458" i="116"/>
  <c r="H459" i="116"/>
  <c r="H460" i="116"/>
  <c r="H461" i="116"/>
  <c r="H462" i="116"/>
  <c r="H463" i="116"/>
  <c r="H464" i="116"/>
  <c r="H465" i="116"/>
  <c r="H466" i="116"/>
  <c r="H467" i="116"/>
  <c r="H468" i="116"/>
  <c r="H469" i="116"/>
  <c r="H470" i="116"/>
  <c r="H471" i="116"/>
  <c r="H472" i="116"/>
  <c r="H473" i="116"/>
  <c r="H474" i="116"/>
  <c r="H475" i="116"/>
  <c r="H476" i="116"/>
  <c r="H477" i="116"/>
  <c r="H478" i="116"/>
  <c r="H479" i="116"/>
  <c r="H480" i="116"/>
  <c r="H481" i="116"/>
  <c r="H482" i="116"/>
  <c r="H483" i="116"/>
  <c r="H484" i="116"/>
  <c r="H485" i="116"/>
  <c r="H486" i="116"/>
  <c r="H487" i="116"/>
  <c r="H488" i="116"/>
  <c r="H489" i="116"/>
  <c r="H490" i="116"/>
  <c r="H491" i="116"/>
  <c r="H492" i="116"/>
  <c r="H493" i="116"/>
  <c r="H494" i="116"/>
  <c r="H495" i="116"/>
  <c r="H496" i="116"/>
  <c r="H497" i="116"/>
  <c r="H498" i="116"/>
  <c r="H499" i="116"/>
  <c r="H500" i="116"/>
  <c r="H501" i="116"/>
  <c r="G2" i="116"/>
  <c r="G3" i="116"/>
  <c r="G4" i="116"/>
  <c r="G5" i="116"/>
  <c r="G6" i="116"/>
  <c r="G7" i="116"/>
  <c r="G8" i="116"/>
  <c r="G9" i="116"/>
  <c r="G10" i="116"/>
  <c r="G11" i="116"/>
  <c r="G12" i="116"/>
  <c r="I12" i="116" s="1"/>
  <c r="J12" i="116" s="1"/>
  <c r="G13" i="116"/>
  <c r="G14" i="116"/>
  <c r="G15" i="116"/>
  <c r="G16" i="116"/>
  <c r="G17" i="116"/>
  <c r="G18" i="116"/>
  <c r="G19" i="116"/>
  <c r="I19" i="116" s="1"/>
  <c r="J19" i="116" s="1"/>
  <c r="G20" i="116"/>
  <c r="I20" i="116" s="1"/>
  <c r="J20" i="116" s="1"/>
  <c r="G21" i="116"/>
  <c r="G22" i="116"/>
  <c r="G23" i="116"/>
  <c r="I23" i="116" s="1"/>
  <c r="J23" i="116" s="1"/>
  <c r="G24" i="116"/>
  <c r="I24" i="116" s="1"/>
  <c r="J24" i="116" s="1"/>
  <c r="G25" i="116"/>
  <c r="G26" i="116"/>
  <c r="G27" i="116"/>
  <c r="I27" i="116" s="1"/>
  <c r="J27" i="116" s="1"/>
  <c r="G28" i="116"/>
  <c r="I28" i="116" s="1"/>
  <c r="J28" i="116" s="1"/>
  <c r="G29" i="116"/>
  <c r="G30" i="116"/>
  <c r="G31" i="116"/>
  <c r="I31" i="116" s="1"/>
  <c r="J31" i="116" s="1"/>
  <c r="G32" i="116"/>
  <c r="I32" i="116" s="1"/>
  <c r="J32" i="116" s="1"/>
  <c r="G33" i="116"/>
  <c r="G34" i="116"/>
  <c r="G35" i="116"/>
  <c r="I35" i="116" s="1"/>
  <c r="J35" i="116" s="1"/>
  <c r="G36" i="116"/>
  <c r="I36" i="116" s="1"/>
  <c r="J36" i="116" s="1"/>
  <c r="G37" i="116"/>
  <c r="G38" i="116"/>
  <c r="G39" i="116"/>
  <c r="I39" i="116" s="1"/>
  <c r="J39" i="116" s="1"/>
  <c r="G40" i="116"/>
  <c r="I40" i="116" s="1"/>
  <c r="J40" i="116" s="1"/>
  <c r="G41" i="116"/>
  <c r="G42" i="116"/>
  <c r="G43" i="116"/>
  <c r="I43" i="116" s="1"/>
  <c r="J43" i="116" s="1"/>
  <c r="G44" i="116"/>
  <c r="I44" i="116" s="1"/>
  <c r="J44" i="116" s="1"/>
  <c r="G45" i="116"/>
  <c r="G46" i="116"/>
  <c r="G47" i="116"/>
  <c r="I47" i="116" s="1"/>
  <c r="J47" i="116" s="1"/>
  <c r="G48" i="116"/>
  <c r="I48" i="116" s="1"/>
  <c r="J48" i="116" s="1"/>
  <c r="G49" i="116"/>
  <c r="G50" i="116"/>
  <c r="G51" i="116"/>
  <c r="I51" i="116" s="1"/>
  <c r="J51" i="116" s="1"/>
  <c r="G52" i="116"/>
  <c r="I52" i="116" s="1"/>
  <c r="J52" i="116" s="1"/>
  <c r="G53" i="116"/>
  <c r="G54" i="116"/>
  <c r="G55" i="116"/>
  <c r="G56" i="116"/>
  <c r="I56" i="116" s="1"/>
  <c r="J56" i="116" s="1"/>
  <c r="G57" i="116"/>
  <c r="G58" i="116"/>
  <c r="G59" i="116"/>
  <c r="I59" i="116" s="1"/>
  <c r="J59" i="116" s="1"/>
  <c r="G60" i="116"/>
  <c r="I60" i="116" s="1"/>
  <c r="J60" i="116" s="1"/>
  <c r="G61" i="116"/>
  <c r="G62" i="116"/>
  <c r="G63" i="116"/>
  <c r="I63" i="116" s="1"/>
  <c r="J63" i="116" s="1"/>
  <c r="G64" i="116"/>
  <c r="I64" i="116" s="1"/>
  <c r="J64" i="116" s="1"/>
  <c r="G65" i="116"/>
  <c r="G66" i="116"/>
  <c r="G67" i="116"/>
  <c r="I67" i="116" s="1"/>
  <c r="J67" i="116" s="1"/>
  <c r="G68" i="116"/>
  <c r="I68" i="116" s="1"/>
  <c r="J68" i="116" s="1"/>
  <c r="G69" i="116"/>
  <c r="G70" i="116"/>
  <c r="G71" i="116"/>
  <c r="I71" i="116" s="1"/>
  <c r="J71" i="116" s="1"/>
  <c r="G72" i="116"/>
  <c r="I72" i="116" s="1"/>
  <c r="J72" i="116" s="1"/>
  <c r="G73" i="116"/>
  <c r="G74" i="116"/>
  <c r="G75" i="116"/>
  <c r="G76" i="116"/>
  <c r="I76" i="116" s="1"/>
  <c r="J76" i="116" s="1"/>
  <c r="G77" i="116"/>
  <c r="G78" i="116"/>
  <c r="G79" i="116"/>
  <c r="I79" i="116" s="1"/>
  <c r="J79" i="116" s="1"/>
  <c r="G80" i="116"/>
  <c r="I80" i="116" s="1"/>
  <c r="J80" i="116" s="1"/>
  <c r="G81" i="116"/>
  <c r="G82" i="116"/>
  <c r="G83" i="116"/>
  <c r="I83" i="116" s="1"/>
  <c r="J83" i="116" s="1"/>
  <c r="G84" i="116"/>
  <c r="I84" i="116" s="1"/>
  <c r="J84" i="116" s="1"/>
  <c r="G85" i="116"/>
  <c r="G86" i="116"/>
  <c r="G87" i="116"/>
  <c r="I87" i="116" s="1"/>
  <c r="J87" i="116" s="1"/>
  <c r="G88" i="116"/>
  <c r="I88" i="116" s="1"/>
  <c r="J88" i="116" s="1"/>
  <c r="G89" i="116"/>
  <c r="G90" i="116"/>
  <c r="G91" i="116"/>
  <c r="I91" i="116" s="1"/>
  <c r="J91" i="116" s="1"/>
  <c r="G92" i="116"/>
  <c r="I92" i="116" s="1"/>
  <c r="J92" i="116" s="1"/>
  <c r="G93" i="116"/>
  <c r="G94" i="116"/>
  <c r="G95" i="116"/>
  <c r="I95" i="116" s="1"/>
  <c r="J95" i="116" s="1"/>
  <c r="G96" i="116"/>
  <c r="I96" i="116" s="1"/>
  <c r="J96" i="116" s="1"/>
  <c r="G97" i="116"/>
  <c r="G98" i="116"/>
  <c r="G99" i="116"/>
  <c r="I99" i="116" s="1"/>
  <c r="J99" i="116" s="1"/>
  <c r="G100" i="116"/>
  <c r="I100" i="116" s="1"/>
  <c r="J100" i="116" s="1"/>
  <c r="G101" i="116"/>
  <c r="G102" i="116"/>
  <c r="G103" i="116"/>
  <c r="I103" i="116" s="1"/>
  <c r="J103" i="116" s="1"/>
  <c r="G104" i="116"/>
  <c r="I104" i="116" s="1"/>
  <c r="J104" i="116" s="1"/>
  <c r="G105" i="116"/>
  <c r="G106" i="116"/>
  <c r="G107" i="116"/>
  <c r="I107" i="116" s="1"/>
  <c r="J107" i="116" s="1"/>
  <c r="G108" i="116"/>
  <c r="I108" i="116" s="1"/>
  <c r="J108" i="116" s="1"/>
  <c r="G109" i="116"/>
  <c r="G110" i="116"/>
  <c r="G111" i="116"/>
  <c r="I111" i="116" s="1"/>
  <c r="J111" i="116" s="1"/>
  <c r="G112" i="116"/>
  <c r="I112" i="116" s="1"/>
  <c r="J112" i="116" s="1"/>
  <c r="G113" i="116"/>
  <c r="G114" i="116"/>
  <c r="G115" i="116"/>
  <c r="I115" i="116" s="1"/>
  <c r="J115" i="116" s="1"/>
  <c r="G116" i="116"/>
  <c r="I116" i="116" s="1"/>
  <c r="J116" i="116" s="1"/>
  <c r="G117" i="116"/>
  <c r="G118" i="116"/>
  <c r="G119" i="116"/>
  <c r="I119" i="116" s="1"/>
  <c r="J119" i="116" s="1"/>
  <c r="G120" i="116"/>
  <c r="I120" i="116" s="1"/>
  <c r="J120" i="116" s="1"/>
  <c r="G121" i="116"/>
  <c r="G122" i="116"/>
  <c r="G123" i="116"/>
  <c r="I123" i="116" s="1"/>
  <c r="J123" i="116" s="1"/>
  <c r="G124" i="116"/>
  <c r="I124" i="116" s="1"/>
  <c r="J124" i="116" s="1"/>
  <c r="G125" i="116"/>
  <c r="G126" i="116"/>
  <c r="G127" i="116"/>
  <c r="I127" i="116" s="1"/>
  <c r="J127" i="116" s="1"/>
  <c r="G128" i="116"/>
  <c r="I128" i="116" s="1"/>
  <c r="J128" i="116" s="1"/>
  <c r="G129" i="116"/>
  <c r="G130" i="116"/>
  <c r="G131" i="116"/>
  <c r="I131" i="116" s="1"/>
  <c r="J131" i="116" s="1"/>
  <c r="G132" i="116"/>
  <c r="I132" i="116" s="1"/>
  <c r="J132" i="116" s="1"/>
  <c r="G133" i="116"/>
  <c r="G134" i="116"/>
  <c r="G135" i="116"/>
  <c r="I135" i="116" s="1"/>
  <c r="J135" i="116" s="1"/>
  <c r="G136" i="116"/>
  <c r="I136" i="116" s="1"/>
  <c r="J136" i="116" s="1"/>
  <c r="G137" i="116"/>
  <c r="G138" i="116"/>
  <c r="G139" i="116"/>
  <c r="I139" i="116" s="1"/>
  <c r="J139" i="116" s="1"/>
  <c r="G140" i="116"/>
  <c r="I140" i="116" s="1"/>
  <c r="J140" i="116" s="1"/>
  <c r="G141" i="116"/>
  <c r="G142" i="116"/>
  <c r="G143" i="116"/>
  <c r="I143" i="116" s="1"/>
  <c r="J143" i="116" s="1"/>
  <c r="G144" i="116"/>
  <c r="I144" i="116" s="1"/>
  <c r="J144" i="116" s="1"/>
  <c r="G145" i="116"/>
  <c r="G146" i="116"/>
  <c r="G147" i="116"/>
  <c r="I147" i="116" s="1"/>
  <c r="J147" i="116" s="1"/>
  <c r="G148" i="116"/>
  <c r="I148" i="116" s="1"/>
  <c r="J148" i="116" s="1"/>
  <c r="G149" i="116"/>
  <c r="G150" i="116"/>
  <c r="G151" i="116"/>
  <c r="I151" i="116" s="1"/>
  <c r="J151" i="116" s="1"/>
  <c r="G152" i="116"/>
  <c r="I152" i="116" s="1"/>
  <c r="J152" i="116" s="1"/>
  <c r="G153" i="116"/>
  <c r="G154" i="116"/>
  <c r="G155" i="116"/>
  <c r="I155" i="116" s="1"/>
  <c r="J155" i="116" s="1"/>
  <c r="G156" i="116"/>
  <c r="I156" i="116" s="1"/>
  <c r="J156" i="116" s="1"/>
  <c r="G157" i="116"/>
  <c r="G158" i="116"/>
  <c r="G159" i="116"/>
  <c r="I159" i="116" s="1"/>
  <c r="J159" i="116" s="1"/>
  <c r="G160" i="116"/>
  <c r="I160" i="116" s="1"/>
  <c r="J160" i="116" s="1"/>
  <c r="G161" i="116"/>
  <c r="G162" i="116"/>
  <c r="G163" i="116"/>
  <c r="I163" i="116" s="1"/>
  <c r="J163" i="116" s="1"/>
  <c r="G164" i="116"/>
  <c r="I164" i="116" s="1"/>
  <c r="J164" i="116" s="1"/>
  <c r="G165" i="116"/>
  <c r="G166" i="116"/>
  <c r="G167" i="116"/>
  <c r="I167" i="116" s="1"/>
  <c r="J167" i="116" s="1"/>
  <c r="G168" i="116"/>
  <c r="I168" i="116" s="1"/>
  <c r="J168" i="116" s="1"/>
  <c r="G169" i="116"/>
  <c r="G170" i="116"/>
  <c r="G171" i="116"/>
  <c r="I171" i="116" s="1"/>
  <c r="J171" i="116" s="1"/>
  <c r="G172" i="116"/>
  <c r="I172" i="116" s="1"/>
  <c r="J172" i="116" s="1"/>
  <c r="G173" i="116"/>
  <c r="G174" i="116"/>
  <c r="G175" i="116"/>
  <c r="I175" i="116" s="1"/>
  <c r="J175" i="116" s="1"/>
  <c r="G176" i="116"/>
  <c r="I176" i="116" s="1"/>
  <c r="J176" i="116" s="1"/>
  <c r="G177" i="116"/>
  <c r="G178" i="116"/>
  <c r="G179" i="116"/>
  <c r="I179" i="116" s="1"/>
  <c r="J179" i="116" s="1"/>
  <c r="G180" i="116"/>
  <c r="I180" i="116" s="1"/>
  <c r="J180" i="116" s="1"/>
  <c r="G181" i="116"/>
  <c r="G182" i="116"/>
  <c r="G183" i="116"/>
  <c r="I183" i="116" s="1"/>
  <c r="J183" i="116" s="1"/>
  <c r="G184" i="116"/>
  <c r="I184" i="116" s="1"/>
  <c r="J184" i="116" s="1"/>
  <c r="G185" i="116"/>
  <c r="G186" i="116"/>
  <c r="G187" i="116"/>
  <c r="I187" i="116" s="1"/>
  <c r="J187" i="116" s="1"/>
  <c r="G188" i="116"/>
  <c r="I188" i="116" s="1"/>
  <c r="J188" i="116" s="1"/>
  <c r="G189" i="116"/>
  <c r="G190" i="116"/>
  <c r="G191" i="116"/>
  <c r="I191" i="116" s="1"/>
  <c r="J191" i="116" s="1"/>
  <c r="G192" i="116"/>
  <c r="I192" i="116" s="1"/>
  <c r="J192" i="116" s="1"/>
  <c r="G193" i="116"/>
  <c r="G194" i="116"/>
  <c r="G195" i="116"/>
  <c r="I195" i="116" s="1"/>
  <c r="J195" i="116" s="1"/>
  <c r="G196" i="116"/>
  <c r="I196" i="116" s="1"/>
  <c r="J196" i="116" s="1"/>
  <c r="G197" i="116"/>
  <c r="G198" i="116"/>
  <c r="G199" i="116"/>
  <c r="I199" i="116" s="1"/>
  <c r="J199" i="116" s="1"/>
  <c r="G200" i="116"/>
  <c r="I200" i="116" s="1"/>
  <c r="J200" i="116" s="1"/>
  <c r="G201" i="116"/>
  <c r="G202" i="116"/>
  <c r="G203" i="116"/>
  <c r="I203" i="116" s="1"/>
  <c r="J203" i="116" s="1"/>
  <c r="G204" i="116"/>
  <c r="I204" i="116" s="1"/>
  <c r="J204" i="116" s="1"/>
  <c r="G205" i="116"/>
  <c r="G206" i="116"/>
  <c r="G207" i="116"/>
  <c r="I207" i="116" s="1"/>
  <c r="J207" i="116" s="1"/>
  <c r="G208" i="116"/>
  <c r="I208" i="116" s="1"/>
  <c r="J208" i="116" s="1"/>
  <c r="G209" i="116"/>
  <c r="G210" i="116"/>
  <c r="G211" i="116"/>
  <c r="I211" i="116" s="1"/>
  <c r="J211" i="116" s="1"/>
  <c r="G212" i="116"/>
  <c r="I212" i="116" s="1"/>
  <c r="J212" i="116" s="1"/>
  <c r="G213" i="116"/>
  <c r="G214" i="116"/>
  <c r="G215" i="116"/>
  <c r="I215" i="116" s="1"/>
  <c r="J215" i="116" s="1"/>
  <c r="G216" i="116"/>
  <c r="I216" i="116" s="1"/>
  <c r="J216" i="116" s="1"/>
  <c r="G217" i="116"/>
  <c r="G218" i="116"/>
  <c r="G219" i="116"/>
  <c r="I219" i="116" s="1"/>
  <c r="J219" i="116" s="1"/>
  <c r="G220" i="116"/>
  <c r="I220" i="116" s="1"/>
  <c r="J220" i="116" s="1"/>
  <c r="G221" i="116"/>
  <c r="G222" i="116"/>
  <c r="G223" i="116"/>
  <c r="I223" i="116" s="1"/>
  <c r="J223" i="116" s="1"/>
  <c r="G224" i="116"/>
  <c r="I224" i="116" s="1"/>
  <c r="J224" i="116" s="1"/>
  <c r="G225" i="116"/>
  <c r="G226" i="116"/>
  <c r="G227" i="116"/>
  <c r="I227" i="116" s="1"/>
  <c r="J227" i="116" s="1"/>
  <c r="G228" i="116"/>
  <c r="I228" i="116" s="1"/>
  <c r="J228" i="116" s="1"/>
  <c r="G229" i="116"/>
  <c r="G230" i="116"/>
  <c r="G231" i="116"/>
  <c r="I231" i="116" s="1"/>
  <c r="J231" i="116" s="1"/>
  <c r="G232" i="116"/>
  <c r="I232" i="116" s="1"/>
  <c r="J232" i="116" s="1"/>
  <c r="G233" i="116"/>
  <c r="G234" i="116"/>
  <c r="G235" i="116"/>
  <c r="G236" i="116"/>
  <c r="I236" i="116" s="1"/>
  <c r="J236" i="116" s="1"/>
  <c r="G237" i="116"/>
  <c r="G238" i="116"/>
  <c r="G239" i="116"/>
  <c r="I239" i="116" s="1"/>
  <c r="J239" i="116" s="1"/>
  <c r="G240" i="116"/>
  <c r="I240" i="116" s="1"/>
  <c r="J240" i="116" s="1"/>
  <c r="G241" i="116"/>
  <c r="G242" i="116"/>
  <c r="G243" i="116"/>
  <c r="I243" i="116" s="1"/>
  <c r="J243" i="116" s="1"/>
  <c r="G244" i="116"/>
  <c r="I244" i="116" s="1"/>
  <c r="J244" i="116" s="1"/>
  <c r="G245" i="116"/>
  <c r="G246" i="116"/>
  <c r="G247" i="116"/>
  <c r="I247" i="116" s="1"/>
  <c r="J247" i="116" s="1"/>
  <c r="G248" i="116"/>
  <c r="I248" i="116" s="1"/>
  <c r="J248" i="116" s="1"/>
  <c r="G249" i="116"/>
  <c r="G250" i="116"/>
  <c r="G251" i="116"/>
  <c r="I251" i="116" s="1"/>
  <c r="J251" i="116" s="1"/>
  <c r="G252" i="116"/>
  <c r="I252" i="116" s="1"/>
  <c r="J252" i="116" s="1"/>
  <c r="G253" i="116"/>
  <c r="G254" i="116"/>
  <c r="G255" i="116"/>
  <c r="I255" i="116" s="1"/>
  <c r="J255" i="116" s="1"/>
  <c r="G256" i="116"/>
  <c r="I256" i="116" s="1"/>
  <c r="J256" i="116" s="1"/>
  <c r="G257" i="116"/>
  <c r="G258" i="116"/>
  <c r="G259" i="116"/>
  <c r="I259" i="116" s="1"/>
  <c r="J259" i="116" s="1"/>
  <c r="G260" i="116"/>
  <c r="I260" i="116" s="1"/>
  <c r="J260" i="116" s="1"/>
  <c r="G261" i="116"/>
  <c r="G262" i="116"/>
  <c r="G263" i="116"/>
  <c r="I263" i="116" s="1"/>
  <c r="J263" i="116" s="1"/>
  <c r="G264" i="116"/>
  <c r="I264" i="116" s="1"/>
  <c r="J264" i="116" s="1"/>
  <c r="G265" i="116"/>
  <c r="G266" i="116"/>
  <c r="G267" i="116"/>
  <c r="I267" i="116" s="1"/>
  <c r="J267" i="116" s="1"/>
  <c r="G268" i="116"/>
  <c r="I268" i="116" s="1"/>
  <c r="J268" i="116" s="1"/>
  <c r="G269" i="116"/>
  <c r="G270" i="116"/>
  <c r="G271" i="116"/>
  <c r="I271" i="116" s="1"/>
  <c r="J271" i="116" s="1"/>
  <c r="G272" i="116"/>
  <c r="I272" i="116" s="1"/>
  <c r="J272" i="116" s="1"/>
  <c r="G273" i="116"/>
  <c r="G274" i="116"/>
  <c r="G275" i="116"/>
  <c r="I275" i="116" s="1"/>
  <c r="J275" i="116" s="1"/>
  <c r="G276" i="116"/>
  <c r="I276" i="116" s="1"/>
  <c r="J276" i="116" s="1"/>
  <c r="G277" i="116"/>
  <c r="G278" i="116"/>
  <c r="G279" i="116"/>
  <c r="I279" i="116" s="1"/>
  <c r="J279" i="116" s="1"/>
  <c r="G280" i="116"/>
  <c r="I280" i="116" s="1"/>
  <c r="J280" i="116" s="1"/>
  <c r="G281" i="116"/>
  <c r="G282" i="116"/>
  <c r="G283" i="116"/>
  <c r="I283" i="116" s="1"/>
  <c r="J283" i="116" s="1"/>
  <c r="G284" i="116"/>
  <c r="I284" i="116" s="1"/>
  <c r="J284" i="116" s="1"/>
  <c r="G285" i="116"/>
  <c r="G286" i="116"/>
  <c r="G287" i="116"/>
  <c r="I287" i="116" s="1"/>
  <c r="J287" i="116" s="1"/>
  <c r="G288" i="116"/>
  <c r="I288" i="116" s="1"/>
  <c r="J288" i="116" s="1"/>
  <c r="G289" i="116"/>
  <c r="G290" i="116"/>
  <c r="G291" i="116"/>
  <c r="I291" i="116" s="1"/>
  <c r="J291" i="116" s="1"/>
  <c r="G292" i="116"/>
  <c r="I292" i="116" s="1"/>
  <c r="J292" i="116" s="1"/>
  <c r="G293" i="116"/>
  <c r="G294" i="116"/>
  <c r="G295" i="116"/>
  <c r="I295" i="116" s="1"/>
  <c r="J295" i="116" s="1"/>
  <c r="G296" i="116"/>
  <c r="I296" i="116" s="1"/>
  <c r="J296" i="116" s="1"/>
  <c r="G297" i="116"/>
  <c r="G298" i="116"/>
  <c r="G299" i="116"/>
  <c r="I299" i="116" s="1"/>
  <c r="J299" i="116" s="1"/>
  <c r="G300" i="116"/>
  <c r="I300" i="116" s="1"/>
  <c r="J300" i="116" s="1"/>
  <c r="G301" i="116"/>
  <c r="G302" i="116"/>
  <c r="G303" i="116"/>
  <c r="I303" i="116" s="1"/>
  <c r="J303" i="116" s="1"/>
  <c r="G304" i="116"/>
  <c r="I304" i="116" s="1"/>
  <c r="J304" i="116" s="1"/>
  <c r="G305" i="116"/>
  <c r="G306" i="116"/>
  <c r="G307" i="116"/>
  <c r="I307" i="116" s="1"/>
  <c r="J307" i="116" s="1"/>
  <c r="G308" i="116"/>
  <c r="I308" i="116" s="1"/>
  <c r="J308" i="116" s="1"/>
  <c r="G309" i="116"/>
  <c r="G310" i="116"/>
  <c r="G311" i="116"/>
  <c r="I311" i="116" s="1"/>
  <c r="J311" i="116" s="1"/>
  <c r="G312" i="116"/>
  <c r="I312" i="116" s="1"/>
  <c r="J312" i="116" s="1"/>
  <c r="G313" i="116"/>
  <c r="G314" i="116"/>
  <c r="G315" i="116"/>
  <c r="I315" i="116" s="1"/>
  <c r="J315" i="116" s="1"/>
  <c r="G316" i="116"/>
  <c r="I316" i="116" s="1"/>
  <c r="J316" i="116" s="1"/>
  <c r="G317" i="116"/>
  <c r="G318" i="116"/>
  <c r="G319" i="116"/>
  <c r="I319" i="116" s="1"/>
  <c r="J319" i="116" s="1"/>
  <c r="G320" i="116"/>
  <c r="I320" i="116" s="1"/>
  <c r="J320" i="116" s="1"/>
  <c r="G321" i="116"/>
  <c r="G322" i="116"/>
  <c r="G323" i="116"/>
  <c r="I323" i="116" s="1"/>
  <c r="J323" i="116" s="1"/>
  <c r="G324" i="116"/>
  <c r="I324" i="116" s="1"/>
  <c r="J324" i="116" s="1"/>
  <c r="G325" i="116"/>
  <c r="G326" i="116"/>
  <c r="G327" i="116"/>
  <c r="I327" i="116" s="1"/>
  <c r="J327" i="116" s="1"/>
  <c r="G328" i="116"/>
  <c r="I328" i="116" s="1"/>
  <c r="J328" i="116" s="1"/>
  <c r="G329" i="116"/>
  <c r="G330" i="116"/>
  <c r="G331" i="116"/>
  <c r="I331" i="116" s="1"/>
  <c r="J331" i="116" s="1"/>
  <c r="G332" i="116"/>
  <c r="I332" i="116" s="1"/>
  <c r="J332" i="116" s="1"/>
  <c r="G333" i="116"/>
  <c r="G334" i="116"/>
  <c r="G335" i="116"/>
  <c r="I335" i="116" s="1"/>
  <c r="J335" i="116" s="1"/>
  <c r="G336" i="116"/>
  <c r="I336" i="116" s="1"/>
  <c r="J336" i="116" s="1"/>
  <c r="G337" i="116"/>
  <c r="G338" i="116"/>
  <c r="G339" i="116"/>
  <c r="I339" i="116" s="1"/>
  <c r="J339" i="116" s="1"/>
  <c r="G340" i="116"/>
  <c r="I340" i="116" s="1"/>
  <c r="J340" i="116" s="1"/>
  <c r="G341" i="116"/>
  <c r="G342" i="116"/>
  <c r="G343" i="116"/>
  <c r="I343" i="116" s="1"/>
  <c r="J343" i="116" s="1"/>
  <c r="G344" i="116"/>
  <c r="I344" i="116" s="1"/>
  <c r="J344" i="116" s="1"/>
  <c r="G345" i="116"/>
  <c r="G346" i="116"/>
  <c r="G347" i="116"/>
  <c r="I347" i="116" s="1"/>
  <c r="J347" i="116" s="1"/>
  <c r="G348" i="116"/>
  <c r="I348" i="116" s="1"/>
  <c r="J348" i="116" s="1"/>
  <c r="G349" i="116"/>
  <c r="G350" i="116"/>
  <c r="G351" i="116"/>
  <c r="I351" i="116" s="1"/>
  <c r="J351" i="116" s="1"/>
  <c r="G352" i="116"/>
  <c r="I352" i="116" s="1"/>
  <c r="J352" i="116" s="1"/>
  <c r="G353" i="116"/>
  <c r="G354" i="116"/>
  <c r="G355" i="116"/>
  <c r="I355" i="116" s="1"/>
  <c r="J355" i="116" s="1"/>
  <c r="G356" i="116"/>
  <c r="I356" i="116" s="1"/>
  <c r="J356" i="116" s="1"/>
  <c r="G357" i="116"/>
  <c r="G358" i="116"/>
  <c r="G359" i="116"/>
  <c r="I359" i="116" s="1"/>
  <c r="J359" i="116" s="1"/>
  <c r="G360" i="116"/>
  <c r="I360" i="116" s="1"/>
  <c r="J360" i="116" s="1"/>
  <c r="G361" i="116"/>
  <c r="G362" i="116"/>
  <c r="G363" i="116"/>
  <c r="I363" i="116" s="1"/>
  <c r="J363" i="116" s="1"/>
  <c r="G364" i="116"/>
  <c r="I364" i="116" s="1"/>
  <c r="J364" i="116" s="1"/>
  <c r="G365" i="116"/>
  <c r="G366" i="116"/>
  <c r="G367" i="116"/>
  <c r="I367" i="116" s="1"/>
  <c r="J367" i="116" s="1"/>
  <c r="G368" i="116"/>
  <c r="I368" i="116" s="1"/>
  <c r="J368" i="116" s="1"/>
  <c r="G369" i="116"/>
  <c r="G370" i="116"/>
  <c r="G371" i="116"/>
  <c r="I371" i="116" s="1"/>
  <c r="J371" i="116" s="1"/>
  <c r="G372" i="116"/>
  <c r="I372" i="116" s="1"/>
  <c r="J372" i="116" s="1"/>
  <c r="G373" i="116"/>
  <c r="G374" i="116"/>
  <c r="G375" i="116"/>
  <c r="I375" i="116" s="1"/>
  <c r="J375" i="116" s="1"/>
  <c r="G376" i="116"/>
  <c r="I376" i="116" s="1"/>
  <c r="J376" i="116" s="1"/>
  <c r="G377" i="116"/>
  <c r="G378" i="116"/>
  <c r="G379" i="116"/>
  <c r="I379" i="116" s="1"/>
  <c r="J379" i="116" s="1"/>
  <c r="G380" i="116"/>
  <c r="I380" i="116" s="1"/>
  <c r="J380" i="116" s="1"/>
  <c r="G381" i="116"/>
  <c r="G382" i="116"/>
  <c r="G383" i="116"/>
  <c r="I383" i="116" s="1"/>
  <c r="J383" i="116" s="1"/>
  <c r="G384" i="116"/>
  <c r="I384" i="116" s="1"/>
  <c r="J384" i="116" s="1"/>
  <c r="G385" i="116"/>
  <c r="G386" i="116"/>
  <c r="G387" i="116"/>
  <c r="I387" i="116" s="1"/>
  <c r="J387" i="116" s="1"/>
  <c r="G388" i="116"/>
  <c r="I388" i="116" s="1"/>
  <c r="J388" i="116" s="1"/>
  <c r="G389" i="116"/>
  <c r="G390" i="116"/>
  <c r="G391" i="116"/>
  <c r="I391" i="116" s="1"/>
  <c r="J391" i="116" s="1"/>
  <c r="G392" i="116"/>
  <c r="I392" i="116" s="1"/>
  <c r="J392" i="116" s="1"/>
  <c r="G393" i="116"/>
  <c r="G394" i="116"/>
  <c r="G395" i="116"/>
  <c r="I395" i="116" s="1"/>
  <c r="J395" i="116" s="1"/>
  <c r="G396" i="116"/>
  <c r="I396" i="116" s="1"/>
  <c r="J396" i="116" s="1"/>
  <c r="G397" i="116"/>
  <c r="G398" i="116"/>
  <c r="G399" i="116"/>
  <c r="I399" i="116" s="1"/>
  <c r="J399" i="116" s="1"/>
  <c r="G400" i="116"/>
  <c r="I400" i="116" s="1"/>
  <c r="J400" i="116" s="1"/>
  <c r="G401" i="116"/>
  <c r="G402" i="116"/>
  <c r="G403" i="116"/>
  <c r="I403" i="116" s="1"/>
  <c r="J403" i="116" s="1"/>
  <c r="G404" i="116"/>
  <c r="I404" i="116" s="1"/>
  <c r="J404" i="116" s="1"/>
  <c r="G405" i="116"/>
  <c r="G406" i="116"/>
  <c r="G407" i="116"/>
  <c r="I407" i="116" s="1"/>
  <c r="J407" i="116" s="1"/>
  <c r="G408" i="116"/>
  <c r="I408" i="116" s="1"/>
  <c r="J408" i="116" s="1"/>
  <c r="G409" i="116"/>
  <c r="G410" i="116"/>
  <c r="G411" i="116"/>
  <c r="I411" i="116" s="1"/>
  <c r="J411" i="116" s="1"/>
  <c r="G412" i="116"/>
  <c r="I412" i="116" s="1"/>
  <c r="J412" i="116" s="1"/>
  <c r="G413" i="116"/>
  <c r="G414" i="116"/>
  <c r="G415" i="116"/>
  <c r="I415" i="116" s="1"/>
  <c r="J415" i="116" s="1"/>
  <c r="G416" i="116"/>
  <c r="I416" i="116" s="1"/>
  <c r="J416" i="116" s="1"/>
  <c r="G417" i="116"/>
  <c r="G418" i="116"/>
  <c r="G419" i="116"/>
  <c r="I419" i="116" s="1"/>
  <c r="J419" i="116" s="1"/>
  <c r="G420" i="116"/>
  <c r="I420" i="116" s="1"/>
  <c r="J420" i="116" s="1"/>
  <c r="G421" i="116"/>
  <c r="G422" i="116"/>
  <c r="G423" i="116"/>
  <c r="I423" i="116" s="1"/>
  <c r="J423" i="116" s="1"/>
  <c r="G424" i="116"/>
  <c r="I424" i="116" s="1"/>
  <c r="J424" i="116" s="1"/>
  <c r="G425" i="116"/>
  <c r="G426" i="116"/>
  <c r="G427" i="116"/>
  <c r="I427" i="116" s="1"/>
  <c r="J427" i="116" s="1"/>
  <c r="G428" i="116"/>
  <c r="I428" i="116" s="1"/>
  <c r="J428" i="116" s="1"/>
  <c r="G429" i="116"/>
  <c r="G430" i="116"/>
  <c r="G431" i="116"/>
  <c r="I431" i="116" s="1"/>
  <c r="J431" i="116" s="1"/>
  <c r="G432" i="116"/>
  <c r="I432" i="116" s="1"/>
  <c r="J432" i="116" s="1"/>
  <c r="G433" i="116"/>
  <c r="G434" i="116"/>
  <c r="G435" i="116"/>
  <c r="I435" i="116" s="1"/>
  <c r="J435" i="116" s="1"/>
  <c r="G436" i="116"/>
  <c r="I436" i="116" s="1"/>
  <c r="J436" i="116" s="1"/>
  <c r="G437" i="116"/>
  <c r="G438" i="116"/>
  <c r="G439" i="116"/>
  <c r="I439" i="116" s="1"/>
  <c r="J439" i="116" s="1"/>
  <c r="G440" i="116"/>
  <c r="I440" i="116" s="1"/>
  <c r="J440" i="116" s="1"/>
  <c r="G441" i="116"/>
  <c r="G442" i="116"/>
  <c r="G443" i="116"/>
  <c r="I443" i="116" s="1"/>
  <c r="J443" i="116" s="1"/>
  <c r="G444" i="116"/>
  <c r="I444" i="116" s="1"/>
  <c r="J444" i="116" s="1"/>
  <c r="G445" i="116"/>
  <c r="G446" i="116"/>
  <c r="G447" i="116"/>
  <c r="I447" i="116" s="1"/>
  <c r="J447" i="116" s="1"/>
  <c r="G448" i="116"/>
  <c r="I448" i="116" s="1"/>
  <c r="J448" i="116" s="1"/>
  <c r="G449" i="116"/>
  <c r="G450" i="116"/>
  <c r="G451" i="116"/>
  <c r="G452" i="116"/>
  <c r="I452" i="116" s="1"/>
  <c r="J452" i="116" s="1"/>
  <c r="G453" i="116"/>
  <c r="G454" i="116"/>
  <c r="G455" i="116"/>
  <c r="I455" i="116" s="1"/>
  <c r="J455" i="116" s="1"/>
  <c r="G456" i="116"/>
  <c r="I456" i="116" s="1"/>
  <c r="J456" i="116" s="1"/>
  <c r="G457" i="116"/>
  <c r="G458" i="116"/>
  <c r="G459" i="116"/>
  <c r="I459" i="116" s="1"/>
  <c r="J459" i="116" s="1"/>
  <c r="G460" i="116"/>
  <c r="I460" i="116" s="1"/>
  <c r="J460" i="116" s="1"/>
  <c r="G461" i="116"/>
  <c r="G462" i="116"/>
  <c r="G463" i="116"/>
  <c r="I463" i="116" s="1"/>
  <c r="J463" i="116" s="1"/>
  <c r="G464" i="116"/>
  <c r="I464" i="116" s="1"/>
  <c r="J464" i="116" s="1"/>
  <c r="G465" i="116"/>
  <c r="G466" i="116"/>
  <c r="G467" i="116"/>
  <c r="I467" i="116" s="1"/>
  <c r="J467" i="116" s="1"/>
  <c r="G468" i="116"/>
  <c r="I468" i="116" s="1"/>
  <c r="J468" i="116" s="1"/>
  <c r="G469" i="116"/>
  <c r="G470" i="116"/>
  <c r="G471" i="116"/>
  <c r="I471" i="116" s="1"/>
  <c r="J471" i="116" s="1"/>
  <c r="G472" i="116"/>
  <c r="I472" i="116" s="1"/>
  <c r="J472" i="116" s="1"/>
  <c r="G473" i="116"/>
  <c r="G474" i="116"/>
  <c r="G475" i="116"/>
  <c r="I475" i="116" s="1"/>
  <c r="J475" i="116" s="1"/>
  <c r="G476" i="116"/>
  <c r="I476" i="116" s="1"/>
  <c r="J476" i="116" s="1"/>
  <c r="G477" i="116"/>
  <c r="G478" i="116"/>
  <c r="G479" i="116"/>
  <c r="I479" i="116" s="1"/>
  <c r="J479" i="116" s="1"/>
  <c r="G480" i="116"/>
  <c r="I480" i="116" s="1"/>
  <c r="J480" i="116" s="1"/>
  <c r="G481" i="116"/>
  <c r="G482" i="116"/>
  <c r="G483" i="116"/>
  <c r="I483" i="116" s="1"/>
  <c r="J483" i="116" s="1"/>
  <c r="G484" i="116"/>
  <c r="I484" i="116" s="1"/>
  <c r="J484" i="116" s="1"/>
  <c r="G485" i="116"/>
  <c r="G486" i="116"/>
  <c r="G487" i="116"/>
  <c r="I487" i="116" s="1"/>
  <c r="J487" i="116" s="1"/>
  <c r="G488" i="116"/>
  <c r="I488" i="116" s="1"/>
  <c r="J488" i="116" s="1"/>
  <c r="G489" i="116"/>
  <c r="G490" i="116"/>
  <c r="G491" i="116"/>
  <c r="I491" i="116" s="1"/>
  <c r="J491" i="116" s="1"/>
  <c r="G492" i="116"/>
  <c r="I492" i="116" s="1"/>
  <c r="J492" i="116" s="1"/>
  <c r="G493" i="116"/>
  <c r="G494" i="116"/>
  <c r="G495" i="116"/>
  <c r="I495" i="116" s="1"/>
  <c r="J495" i="116" s="1"/>
  <c r="G496" i="116"/>
  <c r="I496" i="116" s="1"/>
  <c r="J496" i="116" s="1"/>
  <c r="G497" i="116"/>
  <c r="G498" i="116"/>
  <c r="G499" i="116"/>
  <c r="I499" i="116" s="1"/>
  <c r="J499" i="116" s="1"/>
  <c r="G500" i="116"/>
  <c r="I500" i="116" s="1"/>
  <c r="J500" i="116" s="1"/>
  <c r="G501" i="116"/>
  <c r="E3" i="116"/>
  <c r="E4" i="116"/>
  <c r="E5" i="116"/>
  <c r="E6" i="116"/>
  <c r="E7" i="116"/>
  <c r="E8" i="116"/>
  <c r="E9" i="116"/>
  <c r="E10" i="116"/>
  <c r="E11" i="116"/>
  <c r="E12" i="116"/>
  <c r="E13" i="116"/>
  <c r="E14" i="116"/>
  <c r="E15" i="116"/>
  <c r="E16" i="116"/>
  <c r="E17" i="116"/>
  <c r="E18" i="116"/>
  <c r="E19" i="116"/>
  <c r="E20" i="116"/>
  <c r="E21" i="116"/>
  <c r="E22" i="116"/>
  <c r="E23" i="116"/>
  <c r="E24" i="116"/>
  <c r="E25" i="116"/>
  <c r="E26" i="116"/>
  <c r="E27" i="116"/>
  <c r="E28" i="116"/>
  <c r="E29" i="116"/>
  <c r="E30" i="116"/>
  <c r="E31" i="116"/>
  <c r="E32" i="116"/>
  <c r="E33" i="116"/>
  <c r="E34" i="116"/>
  <c r="E35" i="116"/>
  <c r="E36" i="116"/>
  <c r="E37" i="116"/>
  <c r="E38" i="116"/>
  <c r="E39" i="116"/>
  <c r="E40" i="116"/>
  <c r="E41" i="116"/>
  <c r="E42" i="116"/>
  <c r="E43" i="116"/>
  <c r="E44" i="116"/>
  <c r="E45" i="116"/>
  <c r="E46" i="116"/>
  <c r="E47" i="116"/>
  <c r="E48" i="116"/>
  <c r="E49" i="116"/>
  <c r="E50" i="116"/>
  <c r="E51" i="116"/>
  <c r="E52" i="116"/>
  <c r="E53" i="116"/>
  <c r="E54" i="116"/>
  <c r="E55" i="116"/>
  <c r="E56" i="116"/>
  <c r="E57" i="116"/>
  <c r="E58" i="116"/>
  <c r="E59" i="116"/>
  <c r="E60" i="116"/>
  <c r="E61" i="116"/>
  <c r="E62" i="116"/>
  <c r="E63" i="116"/>
  <c r="E64" i="116"/>
  <c r="E65" i="116"/>
  <c r="E66" i="116"/>
  <c r="E67" i="116"/>
  <c r="E68" i="116"/>
  <c r="E69" i="116"/>
  <c r="E70" i="116"/>
  <c r="E71" i="116"/>
  <c r="E72" i="116"/>
  <c r="E73" i="116"/>
  <c r="E74" i="116"/>
  <c r="E75" i="116"/>
  <c r="E76" i="116"/>
  <c r="E77" i="116"/>
  <c r="E78" i="116"/>
  <c r="E79" i="116"/>
  <c r="E80" i="116"/>
  <c r="E81" i="116"/>
  <c r="E82" i="116"/>
  <c r="E83" i="116"/>
  <c r="E84" i="116"/>
  <c r="E85" i="116"/>
  <c r="E86" i="116"/>
  <c r="E87" i="116"/>
  <c r="E88" i="116"/>
  <c r="E89" i="116"/>
  <c r="E90" i="116"/>
  <c r="E91" i="116"/>
  <c r="E92" i="116"/>
  <c r="E93" i="116"/>
  <c r="E94" i="116"/>
  <c r="E95" i="116"/>
  <c r="E96" i="116"/>
  <c r="E97" i="116"/>
  <c r="E98" i="116"/>
  <c r="E99" i="116"/>
  <c r="E100" i="116"/>
  <c r="E101" i="116"/>
  <c r="E102" i="116"/>
  <c r="E103" i="116"/>
  <c r="E104" i="116"/>
  <c r="E105" i="116"/>
  <c r="E106" i="116"/>
  <c r="E107" i="116"/>
  <c r="E108" i="116"/>
  <c r="E109" i="116"/>
  <c r="E110" i="116"/>
  <c r="E111" i="116"/>
  <c r="E112" i="116"/>
  <c r="E113" i="116"/>
  <c r="E114" i="116"/>
  <c r="E115" i="116"/>
  <c r="E116" i="116"/>
  <c r="E117" i="116"/>
  <c r="E118" i="116"/>
  <c r="E119" i="116"/>
  <c r="E120" i="116"/>
  <c r="E121" i="116"/>
  <c r="E122" i="116"/>
  <c r="E123" i="116"/>
  <c r="E124" i="116"/>
  <c r="E125" i="116"/>
  <c r="E126" i="116"/>
  <c r="E127" i="116"/>
  <c r="E128" i="116"/>
  <c r="E129" i="116"/>
  <c r="E130" i="116"/>
  <c r="E131" i="116"/>
  <c r="E132" i="116"/>
  <c r="E133" i="116"/>
  <c r="E134" i="116"/>
  <c r="E135" i="116"/>
  <c r="E136" i="116"/>
  <c r="E137" i="116"/>
  <c r="E138" i="116"/>
  <c r="E139" i="116"/>
  <c r="E140" i="116"/>
  <c r="E141" i="116"/>
  <c r="E142" i="116"/>
  <c r="E143" i="116"/>
  <c r="E144" i="116"/>
  <c r="E145" i="116"/>
  <c r="E146" i="116"/>
  <c r="E147" i="116"/>
  <c r="E148" i="116"/>
  <c r="E149" i="116"/>
  <c r="E150" i="116"/>
  <c r="E151" i="116"/>
  <c r="E152" i="116"/>
  <c r="E153" i="116"/>
  <c r="E154" i="116"/>
  <c r="E155" i="116"/>
  <c r="E156" i="116"/>
  <c r="E157" i="116"/>
  <c r="E158" i="116"/>
  <c r="E159" i="116"/>
  <c r="E160" i="116"/>
  <c r="E161" i="116"/>
  <c r="E162" i="116"/>
  <c r="E163" i="116"/>
  <c r="E164" i="116"/>
  <c r="E165" i="116"/>
  <c r="E166" i="116"/>
  <c r="E167" i="116"/>
  <c r="E168" i="116"/>
  <c r="E169" i="116"/>
  <c r="E170" i="116"/>
  <c r="E171" i="116"/>
  <c r="E172" i="116"/>
  <c r="E173" i="116"/>
  <c r="E174" i="116"/>
  <c r="E175" i="116"/>
  <c r="E176" i="116"/>
  <c r="E177" i="116"/>
  <c r="E178" i="116"/>
  <c r="E179" i="116"/>
  <c r="E180" i="116"/>
  <c r="E181" i="116"/>
  <c r="E182" i="116"/>
  <c r="E183" i="116"/>
  <c r="E184" i="116"/>
  <c r="E185" i="116"/>
  <c r="E186" i="116"/>
  <c r="E187" i="116"/>
  <c r="E188" i="116"/>
  <c r="E189" i="116"/>
  <c r="E190" i="116"/>
  <c r="E191" i="116"/>
  <c r="E192" i="116"/>
  <c r="E193" i="116"/>
  <c r="E194" i="116"/>
  <c r="E195" i="116"/>
  <c r="E196" i="116"/>
  <c r="E197" i="116"/>
  <c r="E198" i="116"/>
  <c r="E199" i="116"/>
  <c r="E200" i="116"/>
  <c r="E201" i="116"/>
  <c r="E202" i="116"/>
  <c r="E203" i="116"/>
  <c r="E204" i="116"/>
  <c r="E205" i="116"/>
  <c r="E206" i="116"/>
  <c r="E207" i="116"/>
  <c r="E208" i="116"/>
  <c r="E209" i="116"/>
  <c r="E210" i="116"/>
  <c r="E211" i="116"/>
  <c r="E212" i="116"/>
  <c r="E213" i="116"/>
  <c r="E214" i="116"/>
  <c r="E215" i="116"/>
  <c r="E216" i="116"/>
  <c r="E217" i="116"/>
  <c r="E218" i="116"/>
  <c r="E219" i="116"/>
  <c r="E220" i="116"/>
  <c r="E221" i="116"/>
  <c r="E222" i="116"/>
  <c r="E223" i="116"/>
  <c r="E224" i="116"/>
  <c r="E225" i="116"/>
  <c r="E226" i="116"/>
  <c r="E227" i="116"/>
  <c r="E228" i="116"/>
  <c r="E229" i="116"/>
  <c r="E230" i="116"/>
  <c r="E231" i="116"/>
  <c r="E232" i="116"/>
  <c r="E233" i="116"/>
  <c r="E234" i="116"/>
  <c r="E235" i="116"/>
  <c r="E236" i="116"/>
  <c r="E237" i="116"/>
  <c r="E238" i="116"/>
  <c r="E239" i="116"/>
  <c r="E240" i="116"/>
  <c r="E241" i="116"/>
  <c r="E242" i="116"/>
  <c r="E243" i="116"/>
  <c r="E244" i="116"/>
  <c r="E245" i="116"/>
  <c r="E246" i="116"/>
  <c r="E247" i="116"/>
  <c r="E248" i="116"/>
  <c r="E249" i="116"/>
  <c r="E250" i="116"/>
  <c r="E251" i="116"/>
  <c r="E252" i="116"/>
  <c r="E253" i="116"/>
  <c r="E254" i="116"/>
  <c r="E255" i="116"/>
  <c r="E256" i="116"/>
  <c r="E257" i="116"/>
  <c r="E258" i="116"/>
  <c r="E259" i="116"/>
  <c r="E260" i="116"/>
  <c r="E261" i="116"/>
  <c r="E262" i="116"/>
  <c r="E263" i="116"/>
  <c r="E264" i="116"/>
  <c r="E265" i="116"/>
  <c r="E266" i="116"/>
  <c r="E267" i="116"/>
  <c r="E268" i="116"/>
  <c r="E269" i="116"/>
  <c r="E270" i="116"/>
  <c r="E271" i="116"/>
  <c r="E272" i="116"/>
  <c r="E273" i="116"/>
  <c r="E274" i="116"/>
  <c r="E275" i="116"/>
  <c r="E276" i="116"/>
  <c r="E277" i="116"/>
  <c r="E278" i="116"/>
  <c r="E279" i="116"/>
  <c r="E280" i="116"/>
  <c r="E281" i="116"/>
  <c r="E282" i="116"/>
  <c r="E283" i="116"/>
  <c r="E284" i="116"/>
  <c r="E285" i="116"/>
  <c r="E286" i="116"/>
  <c r="E287" i="116"/>
  <c r="E288" i="116"/>
  <c r="E289" i="116"/>
  <c r="E290" i="116"/>
  <c r="E291" i="116"/>
  <c r="E292" i="116"/>
  <c r="E293" i="116"/>
  <c r="E294" i="116"/>
  <c r="E295" i="116"/>
  <c r="E296" i="116"/>
  <c r="E297" i="116"/>
  <c r="E298" i="116"/>
  <c r="E299" i="116"/>
  <c r="E300" i="116"/>
  <c r="E301" i="116"/>
  <c r="E302" i="116"/>
  <c r="E303" i="116"/>
  <c r="E304" i="116"/>
  <c r="E305" i="116"/>
  <c r="E306" i="116"/>
  <c r="E307" i="116"/>
  <c r="E308" i="116"/>
  <c r="E309" i="116"/>
  <c r="E310" i="116"/>
  <c r="E311" i="116"/>
  <c r="E312" i="116"/>
  <c r="E313" i="116"/>
  <c r="E314" i="116"/>
  <c r="E315" i="116"/>
  <c r="E316" i="116"/>
  <c r="E317" i="116"/>
  <c r="E318" i="116"/>
  <c r="E319" i="116"/>
  <c r="E320" i="116"/>
  <c r="E321" i="116"/>
  <c r="E322" i="116"/>
  <c r="E323" i="116"/>
  <c r="E324" i="116"/>
  <c r="E325" i="116"/>
  <c r="E326" i="116"/>
  <c r="E327" i="116"/>
  <c r="E328" i="116"/>
  <c r="E329" i="116"/>
  <c r="E330" i="116"/>
  <c r="E331" i="116"/>
  <c r="E332" i="116"/>
  <c r="E333" i="116"/>
  <c r="E334" i="116"/>
  <c r="E335" i="116"/>
  <c r="E336" i="116"/>
  <c r="E337" i="116"/>
  <c r="E338" i="116"/>
  <c r="E339" i="116"/>
  <c r="E340" i="116"/>
  <c r="E341" i="116"/>
  <c r="E342" i="116"/>
  <c r="E343" i="116"/>
  <c r="E344" i="116"/>
  <c r="E345" i="116"/>
  <c r="E346" i="116"/>
  <c r="E347" i="116"/>
  <c r="E348" i="116"/>
  <c r="E349" i="116"/>
  <c r="E350" i="116"/>
  <c r="E351" i="116"/>
  <c r="E352" i="116"/>
  <c r="E353" i="116"/>
  <c r="E354" i="116"/>
  <c r="E355" i="116"/>
  <c r="E356" i="116"/>
  <c r="E357" i="116"/>
  <c r="E358" i="116"/>
  <c r="E359" i="116"/>
  <c r="E360" i="116"/>
  <c r="E361" i="116"/>
  <c r="E362" i="116"/>
  <c r="E363" i="116"/>
  <c r="E364" i="116"/>
  <c r="E365" i="116"/>
  <c r="E366" i="116"/>
  <c r="E367" i="116"/>
  <c r="E368" i="116"/>
  <c r="E369" i="116"/>
  <c r="E370" i="116"/>
  <c r="E371" i="116"/>
  <c r="E372" i="116"/>
  <c r="E373" i="116"/>
  <c r="E374" i="116"/>
  <c r="E375" i="116"/>
  <c r="E376" i="116"/>
  <c r="E377" i="116"/>
  <c r="E378" i="116"/>
  <c r="E379" i="116"/>
  <c r="E380" i="116"/>
  <c r="E381" i="116"/>
  <c r="E382" i="116"/>
  <c r="E383" i="116"/>
  <c r="E384" i="116"/>
  <c r="E385" i="116"/>
  <c r="E386" i="116"/>
  <c r="E387" i="116"/>
  <c r="E388" i="116"/>
  <c r="E389" i="116"/>
  <c r="E390" i="116"/>
  <c r="E391" i="116"/>
  <c r="E392" i="116"/>
  <c r="E393" i="116"/>
  <c r="E394" i="116"/>
  <c r="E395" i="116"/>
  <c r="E396" i="116"/>
  <c r="E397" i="116"/>
  <c r="E398" i="116"/>
  <c r="E399" i="116"/>
  <c r="E400" i="116"/>
  <c r="E401" i="116"/>
  <c r="E402" i="116"/>
  <c r="E403" i="116"/>
  <c r="E404" i="116"/>
  <c r="E405" i="116"/>
  <c r="E406" i="116"/>
  <c r="E407" i="116"/>
  <c r="E408" i="116"/>
  <c r="E409" i="116"/>
  <c r="E410" i="116"/>
  <c r="E411" i="116"/>
  <c r="E412" i="116"/>
  <c r="E413" i="116"/>
  <c r="E414" i="116"/>
  <c r="E415" i="116"/>
  <c r="E416" i="116"/>
  <c r="E417" i="116"/>
  <c r="E418" i="116"/>
  <c r="E419" i="116"/>
  <c r="E420" i="116"/>
  <c r="E421" i="116"/>
  <c r="E422" i="116"/>
  <c r="E423" i="116"/>
  <c r="E424" i="116"/>
  <c r="E425" i="116"/>
  <c r="E426" i="116"/>
  <c r="E427" i="116"/>
  <c r="E428" i="116"/>
  <c r="E429" i="116"/>
  <c r="E430" i="116"/>
  <c r="E431" i="116"/>
  <c r="E432" i="116"/>
  <c r="E433" i="116"/>
  <c r="E434" i="116"/>
  <c r="E435" i="116"/>
  <c r="E436" i="116"/>
  <c r="E437" i="116"/>
  <c r="E438" i="116"/>
  <c r="E439" i="116"/>
  <c r="E440" i="116"/>
  <c r="E441" i="116"/>
  <c r="E442" i="116"/>
  <c r="E443" i="116"/>
  <c r="E444" i="116"/>
  <c r="E445" i="116"/>
  <c r="E446" i="116"/>
  <c r="E447" i="116"/>
  <c r="E448" i="116"/>
  <c r="E449" i="116"/>
  <c r="E450" i="116"/>
  <c r="E451" i="116"/>
  <c r="E452" i="116"/>
  <c r="E453" i="116"/>
  <c r="E454" i="116"/>
  <c r="E455" i="116"/>
  <c r="E456" i="116"/>
  <c r="E457" i="116"/>
  <c r="E458" i="116"/>
  <c r="E459" i="116"/>
  <c r="E460" i="116"/>
  <c r="E461" i="116"/>
  <c r="E462" i="116"/>
  <c r="E463" i="116"/>
  <c r="E464" i="116"/>
  <c r="E465" i="116"/>
  <c r="E466" i="116"/>
  <c r="E467" i="116"/>
  <c r="E468" i="116"/>
  <c r="E469" i="116"/>
  <c r="E470" i="116"/>
  <c r="E471" i="116"/>
  <c r="E472" i="116"/>
  <c r="E473" i="116"/>
  <c r="E474" i="116"/>
  <c r="E475" i="116"/>
  <c r="E476" i="116"/>
  <c r="E477" i="116"/>
  <c r="E478" i="116"/>
  <c r="E479" i="116"/>
  <c r="E480" i="116"/>
  <c r="E481" i="116"/>
  <c r="E482" i="116"/>
  <c r="E483" i="116"/>
  <c r="E484" i="116"/>
  <c r="E485" i="116"/>
  <c r="E486" i="116"/>
  <c r="E487" i="116"/>
  <c r="E488" i="116"/>
  <c r="E489" i="116"/>
  <c r="E490" i="116"/>
  <c r="E491" i="116"/>
  <c r="E492" i="116"/>
  <c r="E493" i="116"/>
  <c r="E494" i="116"/>
  <c r="E495" i="116"/>
  <c r="E496" i="116"/>
  <c r="E497" i="116"/>
  <c r="E498" i="116"/>
  <c r="E499" i="116"/>
  <c r="E500" i="116"/>
  <c r="E501" i="116"/>
  <c r="E2" i="116"/>
  <c r="D501" i="116"/>
  <c r="D500" i="116"/>
  <c r="D499" i="116"/>
  <c r="D498" i="116"/>
  <c r="D497" i="116"/>
  <c r="D496" i="116"/>
  <c r="D495" i="116"/>
  <c r="D494" i="116"/>
  <c r="D493" i="116"/>
  <c r="D492" i="116"/>
  <c r="D491" i="116"/>
  <c r="D490" i="116"/>
  <c r="D489" i="116"/>
  <c r="D488" i="116"/>
  <c r="D487" i="116"/>
  <c r="D486" i="116"/>
  <c r="D485" i="116"/>
  <c r="D484" i="116"/>
  <c r="D483" i="116"/>
  <c r="D482" i="116"/>
  <c r="D481" i="116"/>
  <c r="D480" i="116"/>
  <c r="D479" i="116"/>
  <c r="D478" i="116"/>
  <c r="D477" i="116"/>
  <c r="D476" i="116"/>
  <c r="D475" i="116"/>
  <c r="D474" i="116"/>
  <c r="D473" i="116"/>
  <c r="D472" i="116"/>
  <c r="D471" i="116"/>
  <c r="D470" i="116"/>
  <c r="D469" i="116"/>
  <c r="D468" i="116"/>
  <c r="D467" i="116"/>
  <c r="D466" i="116"/>
  <c r="D465" i="116"/>
  <c r="D464" i="116"/>
  <c r="D463" i="116"/>
  <c r="D462" i="116"/>
  <c r="D461" i="116"/>
  <c r="D460" i="116"/>
  <c r="D459" i="116"/>
  <c r="D458" i="116"/>
  <c r="D457" i="116"/>
  <c r="D456" i="116"/>
  <c r="D455" i="116"/>
  <c r="D454" i="116"/>
  <c r="D453" i="116"/>
  <c r="D452" i="116"/>
  <c r="D451" i="116"/>
  <c r="D450" i="116"/>
  <c r="D449" i="116"/>
  <c r="D448" i="116"/>
  <c r="D447" i="116"/>
  <c r="D446" i="116"/>
  <c r="D445" i="116"/>
  <c r="D444" i="116"/>
  <c r="D443" i="116"/>
  <c r="D442" i="116"/>
  <c r="D441" i="116"/>
  <c r="D440" i="116"/>
  <c r="D439" i="116"/>
  <c r="D438" i="116"/>
  <c r="D437" i="116"/>
  <c r="D436" i="116"/>
  <c r="D435" i="116"/>
  <c r="D434" i="116"/>
  <c r="D433" i="116"/>
  <c r="D432" i="116"/>
  <c r="D431" i="116"/>
  <c r="D430" i="116"/>
  <c r="D429" i="116"/>
  <c r="D428" i="116"/>
  <c r="D427" i="116"/>
  <c r="D426" i="116"/>
  <c r="D425" i="116"/>
  <c r="D424" i="116"/>
  <c r="D423" i="116"/>
  <c r="D422" i="116"/>
  <c r="D421" i="116"/>
  <c r="D420" i="116"/>
  <c r="D419" i="116"/>
  <c r="D418" i="116"/>
  <c r="D417" i="116"/>
  <c r="D416" i="116"/>
  <c r="D415" i="116"/>
  <c r="D414" i="116"/>
  <c r="D413" i="116"/>
  <c r="D412" i="116"/>
  <c r="D411" i="116"/>
  <c r="D410" i="116"/>
  <c r="D409" i="116"/>
  <c r="D408" i="116"/>
  <c r="D407" i="116"/>
  <c r="D406" i="116"/>
  <c r="D405" i="116"/>
  <c r="D404" i="116"/>
  <c r="D403" i="116"/>
  <c r="D402" i="116"/>
  <c r="D401" i="116"/>
  <c r="D400" i="116"/>
  <c r="D399" i="116"/>
  <c r="D398" i="116"/>
  <c r="D397" i="116"/>
  <c r="D396" i="116"/>
  <c r="D395" i="116"/>
  <c r="D394" i="116"/>
  <c r="D393" i="116"/>
  <c r="D392" i="116"/>
  <c r="D391" i="116"/>
  <c r="D390" i="116"/>
  <c r="D389" i="116"/>
  <c r="D388" i="116"/>
  <c r="D387" i="116"/>
  <c r="D386" i="116"/>
  <c r="D385" i="116"/>
  <c r="D384" i="116"/>
  <c r="D383" i="116"/>
  <c r="D382" i="116"/>
  <c r="D381" i="116"/>
  <c r="D380" i="116"/>
  <c r="D379" i="116"/>
  <c r="D378" i="116"/>
  <c r="D377" i="116"/>
  <c r="D376" i="116"/>
  <c r="D375" i="116"/>
  <c r="D374" i="116"/>
  <c r="D373" i="116"/>
  <c r="D372" i="116"/>
  <c r="D371" i="116"/>
  <c r="D370" i="116"/>
  <c r="D369" i="116"/>
  <c r="D368" i="116"/>
  <c r="D367" i="116"/>
  <c r="D366" i="116"/>
  <c r="D365" i="116"/>
  <c r="D364" i="116"/>
  <c r="D363" i="116"/>
  <c r="D362" i="116"/>
  <c r="D361" i="116"/>
  <c r="D360" i="116"/>
  <c r="D359" i="116"/>
  <c r="D358" i="116"/>
  <c r="D357" i="116"/>
  <c r="D356" i="116"/>
  <c r="D355" i="116"/>
  <c r="D354" i="116"/>
  <c r="D353" i="116"/>
  <c r="D352" i="116"/>
  <c r="D351" i="116"/>
  <c r="D350" i="116"/>
  <c r="D349" i="116"/>
  <c r="D348" i="116"/>
  <c r="D347" i="116"/>
  <c r="D346" i="116"/>
  <c r="D345" i="116"/>
  <c r="D344" i="116"/>
  <c r="D343" i="116"/>
  <c r="D342" i="116"/>
  <c r="D341" i="116"/>
  <c r="D340" i="116"/>
  <c r="D339" i="116"/>
  <c r="D338" i="116"/>
  <c r="D337" i="116"/>
  <c r="D336" i="116"/>
  <c r="D335" i="116"/>
  <c r="D334" i="116"/>
  <c r="D333" i="116"/>
  <c r="D332" i="116"/>
  <c r="D331" i="116"/>
  <c r="D330" i="116"/>
  <c r="D329" i="116"/>
  <c r="D328" i="116"/>
  <c r="D327" i="116"/>
  <c r="D326" i="116"/>
  <c r="D325" i="116"/>
  <c r="D324" i="116"/>
  <c r="D323" i="116"/>
  <c r="D322" i="116"/>
  <c r="D321" i="116"/>
  <c r="D320" i="116"/>
  <c r="D319" i="116"/>
  <c r="D318" i="116"/>
  <c r="D317" i="116"/>
  <c r="D316" i="116"/>
  <c r="D315" i="116"/>
  <c r="D314" i="116"/>
  <c r="D313" i="116"/>
  <c r="D312" i="116"/>
  <c r="D311" i="116"/>
  <c r="D310" i="116"/>
  <c r="D309" i="116"/>
  <c r="D308" i="116"/>
  <c r="D307" i="116"/>
  <c r="D306" i="116"/>
  <c r="D305" i="116"/>
  <c r="D304" i="116"/>
  <c r="D303" i="116"/>
  <c r="D302" i="116"/>
  <c r="D301" i="116"/>
  <c r="D300" i="116"/>
  <c r="D299" i="116"/>
  <c r="D298" i="116"/>
  <c r="D297" i="116"/>
  <c r="D296" i="116"/>
  <c r="D295" i="116"/>
  <c r="D294" i="116"/>
  <c r="D293" i="116"/>
  <c r="D292" i="116"/>
  <c r="D291" i="116"/>
  <c r="D290" i="116"/>
  <c r="D289" i="116"/>
  <c r="D288" i="116"/>
  <c r="D287" i="116"/>
  <c r="D286" i="116"/>
  <c r="D285" i="116"/>
  <c r="D284" i="116"/>
  <c r="D283" i="116"/>
  <c r="D282" i="116"/>
  <c r="D281" i="116"/>
  <c r="D280" i="116"/>
  <c r="D279" i="116"/>
  <c r="D278" i="116"/>
  <c r="D277" i="116"/>
  <c r="D276" i="116"/>
  <c r="D275" i="116"/>
  <c r="D274" i="116"/>
  <c r="D273" i="116"/>
  <c r="D272" i="116"/>
  <c r="D271" i="116"/>
  <c r="D270" i="116"/>
  <c r="D269" i="116"/>
  <c r="D268" i="116"/>
  <c r="D267" i="116"/>
  <c r="D266" i="116"/>
  <c r="D265" i="116"/>
  <c r="D264" i="116"/>
  <c r="D263" i="116"/>
  <c r="D262" i="116"/>
  <c r="D261" i="116"/>
  <c r="D260" i="116"/>
  <c r="D259" i="116"/>
  <c r="D258" i="116"/>
  <c r="D257" i="116"/>
  <c r="D256" i="116"/>
  <c r="D255" i="116"/>
  <c r="D254" i="116"/>
  <c r="D253" i="116"/>
  <c r="D252" i="116"/>
  <c r="D251" i="116"/>
  <c r="D250" i="116"/>
  <c r="D249" i="116"/>
  <c r="D248" i="116"/>
  <c r="D247" i="116"/>
  <c r="D246" i="116"/>
  <c r="D245" i="116"/>
  <c r="D244" i="116"/>
  <c r="D243" i="116"/>
  <c r="D242" i="116"/>
  <c r="D241" i="116"/>
  <c r="D240" i="116"/>
  <c r="D239" i="116"/>
  <c r="D238" i="116"/>
  <c r="D237" i="116"/>
  <c r="D236" i="116"/>
  <c r="D235" i="116"/>
  <c r="D234" i="116"/>
  <c r="D233" i="116"/>
  <c r="D232" i="116"/>
  <c r="D231" i="116"/>
  <c r="D230" i="116"/>
  <c r="D229" i="116"/>
  <c r="D228" i="116"/>
  <c r="D227" i="116"/>
  <c r="D226" i="116"/>
  <c r="D225" i="116"/>
  <c r="D224" i="116"/>
  <c r="D223" i="116"/>
  <c r="D222" i="116"/>
  <c r="D221" i="116"/>
  <c r="D220" i="116"/>
  <c r="D219" i="116"/>
  <c r="D218" i="116"/>
  <c r="D217" i="116"/>
  <c r="D216" i="116"/>
  <c r="D215" i="116"/>
  <c r="D214" i="116"/>
  <c r="D213" i="116"/>
  <c r="D212" i="116"/>
  <c r="D211" i="116"/>
  <c r="D210" i="116"/>
  <c r="D209" i="116"/>
  <c r="D208" i="116"/>
  <c r="D207" i="116"/>
  <c r="D206" i="116"/>
  <c r="D205" i="116"/>
  <c r="D204" i="116"/>
  <c r="D203" i="116"/>
  <c r="D202" i="116"/>
  <c r="D201" i="116"/>
  <c r="D200" i="116"/>
  <c r="D199" i="116"/>
  <c r="D198" i="116"/>
  <c r="D197" i="116"/>
  <c r="D196" i="116"/>
  <c r="D195" i="116"/>
  <c r="D194" i="116"/>
  <c r="D193" i="116"/>
  <c r="D192" i="116"/>
  <c r="D191" i="116"/>
  <c r="D190" i="116"/>
  <c r="D189" i="116"/>
  <c r="D188" i="116"/>
  <c r="D187" i="116"/>
  <c r="D186" i="116"/>
  <c r="D185" i="116"/>
  <c r="D184" i="116"/>
  <c r="D183" i="116"/>
  <c r="D182" i="116"/>
  <c r="D181" i="116"/>
  <c r="D180" i="116"/>
  <c r="D179" i="116"/>
  <c r="D178" i="116"/>
  <c r="D177" i="116"/>
  <c r="D176" i="116"/>
  <c r="D175" i="116"/>
  <c r="D174" i="116"/>
  <c r="D173" i="116"/>
  <c r="D172" i="116"/>
  <c r="D171" i="116"/>
  <c r="D170" i="116"/>
  <c r="D169" i="116"/>
  <c r="D168" i="116"/>
  <c r="D167" i="116"/>
  <c r="D166" i="116"/>
  <c r="D165" i="116"/>
  <c r="D164" i="116"/>
  <c r="D163" i="116"/>
  <c r="D162" i="116"/>
  <c r="D161" i="116"/>
  <c r="D160" i="116"/>
  <c r="D159" i="116"/>
  <c r="D158" i="116"/>
  <c r="D157" i="116"/>
  <c r="D156" i="116"/>
  <c r="D155" i="116"/>
  <c r="D154" i="116"/>
  <c r="D153" i="116"/>
  <c r="D152" i="116"/>
  <c r="D151" i="116"/>
  <c r="D150" i="116"/>
  <c r="D149" i="116"/>
  <c r="D148" i="116"/>
  <c r="D147" i="116"/>
  <c r="D146" i="116"/>
  <c r="D145" i="116"/>
  <c r="D144" i="116"/>
  <c r="D143" i="116"/>
  <c r="D142" i="116"/>
  <c r="D141" i="116"/>
  <c r="D140" i="116"/>
  <c r="D139" i="116"/>
  <c r="D138" i="116"/>
  <c r="D137" i="116"/>
  <c r="D136" i="116"/>
  <c r="D135" i="116"/>
  <c r="D134" i="116"/>
  <c r="D133" i="116"/>
  <c r="D132" i="116"/>
  <c r="D131" i="116"/>
  <c r="D130" i="116"/>
  <c r="D129" i="116"/>
  <c r="D128" i="116"/>
  <c r="D127" i="116"/>
  <c r="D126" i="116"/>
  <c r="D125" i="116"/>
  <c r="D124" i="116"/>
  <c r="D123" i="116"/>
  <c r="D122" i="116"/>
  <c r="D121" i="116"/>
  <c r="D120" i="116"/>
  <c r="D119" i="116"/>
  <c r="D118" i="116"/>
  <c r="D117" i="116"/>
  <c r="D116" i="116"/>
  <c r="D115" i="116"/>
  <c r="D114" i="116"/>
  <c r="D113" i="116"/>
  <c r="D112" i="116"/>
  <c r="D111" i="116"/>
  <c r="D110" i="116"/>
  <c r="D109" i="116"/>
  <c r="D108" i="116"/>
  <c r="D107" i="116"/>
  <c r="D106" i="116"/>
  <c r="D105" i="116"/>
  <c r="D104" i="116"/>
  <c r="D103" i="116"/>
  <c r="D102" i="116"/>
  <c r="D101" i="116"/>
  <c r="D100" i="116"/>
  <c r="D99" i="116"/>
  <c r="D98" i="116"/>
  <c r="D97" i="116"/>
  <c r="D96" i="116"/>
  <c r="D95" i="116"/>
  <c r="D94" i="116"/>
  <c r="D93" i="116"/>
  <c r="D92" i="116"/>
  <c r="D91" i="116"/>
  <c r="D90" i="116"/>
  <c r="D89" i="116"/>
  <c r="D88" i="116"/>
  <c r="D87" i="116"/>
  <c r="D86" i="116"/>
  <c r="D85" i="116"/>
  <c r="D84" i="116"/>
  <c r="D83" i="116"/>
  <c r="D82" i="116"/>
  <c r="D81" i="116"/>
  <c r="D80" i="116"/>
  <c r="D79" i="116"/>
  <c r="D78" i="116"/>
  <c r="D77" i="116"/>
  <c r="D76" i="116"/>
  <c r="D75" i="116"/>
  <c r="D74" i="116"/>
  <c r="D73" i="116"/>
  <c r="D72" i="116"/>
  <c r="D71" i="116"/>
  <c r="D70" i="116"/>
  <c r="D69" i="116"/>
  <c r="D68" i="116"/>
  <c r="D67" i="116"/>
  <c r="D66" i="116"/>
  <c r="D65" i="116"/>
  <c r="D64" i="116"/>
  <c r="D63" i="116"/>
  <c r="D62" i="116"/>
  <c r="D61" i="116"/>
  <c r="D60" i="116"/>
  <c r="D59" i="116"/>
  <c r="D58" i="116"/>
  <c r="D57" i="116"/>
  <c r="D56" i="116"/>
  <c r="D55" i="116"/>
  <c r="D54" i="116"/>
  <c r="D53" i="116"/>
  <c r="D52" i="116"/>
  <c r="D51" i="116"/>
  <c r="D50" i="116"/>
  <c r="D49" i="116"/>
  <c r="D48" i="116"/>
  <c r="D47" i="116"/>
  <c r="D46" i="116"/>
  <c r="D45" i="116"/>
  <c r="D44" i="116"/>
  <c r="D43" i="116"/>
  <c r="D42" i="116"/>
  <c r="D41" i="116"/>
  <c r="D40" i="116"/>
  <c r="D39" i="116"/>
  <c r="D38" i="116"/>
  <c r="D37" i="116"/>
  <c r="D36" i="116"/>
  <c r="D35" i="116"/>
  <c r="D34" i="116"/>
  <c r="D33" i="116"/>
  <c r="D32" i="116"/>
  <c r="D31" i="116"/>
  <c r="D30" i="116"/>
  <c r="D29" i="116"/>
  <c r="D28" i="116"/>
  <c r="D27" i="116"/>
  <c r="D26" i="116"/>
  <c r="D25" i="116"/>
  <c r="D24" i="116"/>
  <c r="D23" i="116"/>
  <c r="D22" i="116"/>
  <c r="D21" i="116"/>
  <c r="D20" i="116"/>
  <c r="D19" i="116"/>
  <c r="D18" i="116"/>
  <c r="D17" i="116"/>
  <c r="D16" i="116"/>
  <c r="D15" i="116"/>
  <c r="D14" i="116"/>
  <c r="D13" i="116"/>
  <c r="D12" i="116"/>
  <c r="D11" i="116"/>
  <c r="D10" i="116"/>
  <c r="D9" i="116"/>
  <c r="D8" i="116"/>
  <c r="D7" i="116"/>
  <c r="D6" i="116"/>
  <c r="D5" i="116"/>
  <c r="D4" i="116"/>
  <c r="D3" i="116"/>
  <c r="D2" i="116"/>
  <c r="C3" i="116"/>
  <c r="C4" i="116"/>
  <c r="C5" i="116"/>
  <c r="C6" i="116"/>
  <c r="C7" i="116"/>
  <c r="C8" i="116"/>
  <c r="C9" i="116"/>
  <c r="C10" i="116"/>
  <c r="C11" i="116"/>
  <c r="C12" i="116"/>
  <c r="C13" i="116"/>
  <c r="C14" i="116"/>
  <c r="C15" i="116"/>
  <c r="C16" i="116"/>
  <c r="C17" i="116"/>
  <c r="C18" i="116"/>
  <c r="C19" i="116"/>
  <c r="C20" i="116"/>
  <c r="C21" i="116"/>
  <c r="C22" i="116"/>
  <c r="C23" i="116"/>
  <c r="C24" i="116"/>
  <c r="C25" i="116"/>
  <c r="C26" i="116"/>
  <c r="C27" i="116"/>
  <c r="C28" i="116"/>
  <c r="C29" i="116"/>
  <c r="C30" i="116"/>
  <c r="C31" i="116"/>
  <c r="C32" i="116"/>
  <c r="C33" i="116"/>
  <c r="C34" i="116"/>
  <c r="C35" i="116"/>
  <c r="C36" i="116"/>
  <c r="C37" i="116"/>
  <c r="C38" i="116"/>
  <c r="C39" i="116"/>
  <c r="C40" i="116"/>
  <c r="C41" i="116"/>
  <c r="C42" i="116"/>
  <c r="C43" i="116"/>
  <c r="C44" i="116"/>
  <c r="C45" i="116"/>
  <c r="C46" i="116"/>
  <c r="C47" i="116"/>
  <c r="C48" i="116"/>
  <c r="C49" i="116"/>
  <c r="C50" i="116"/>
  <c r="C51" i="116"/>
  <c r="C52" i="116"/>
  <c r="C53" i="116"/>
  <c r="C54" i="116"/>
  <c r="C55" i="116"/>
  <c r="C56" i="116"/>
  <c r="C57" i="116"/>
  <c r="C58" i="116"/>
  <c r="C59" i="116"/>
  <c r="C60" i="116"/>
  <c r="C61" i="116"/>
  <c r="C62" i="116"/>
  <c r="C63" i="116"/>
  <c r="C64" i="116"/>
  <c r="C65" i="116"/>
  <c r="C66" i="116"/>
  <c r="C67" i="116"/>
  <c r="C68" i="116"/>
  <c r="C69" i="116"/>
  <c r="C70" i="116"/>
  <c r="C71" i="116"/>
  <c r="C72" i="116"/>
  <c r="C73" i="116"/>
  <c r="C74" i="116"/>
  <c r="C75" i="116"/>
  <c r="C76" i="116"/>
  <c r="C77" i="116"/>
  <c r="C78" i="116"/>
  <c r="C79" i="116"/>
  <c r="C80" i="116"/>
  <c r="C81" i="116"/>
  <c r="C82" i="116"/>
  <c r="C83" i="116"/>
  <c r="C84" i="116"/>
  <c r="C85" i="116"/>
  <c r="C86" i="116"/>
  <c r="C87" i="116"/>
  <c r="C88" i="116"/>
  <c r="C89" i="116"/>
  <c r="C90" i="116"/>
  <c r="C91" i="116"/>
  <c r="C92" i="116"/>
  <c r="C93" i="116"/>
  <c r="C94" i="116"/>
  <c r="C95" i="116"/>
  <c r="C96" i="116"/>
  <c r="C97" i="116"/>
  <c r="C98" i="116"/>
  <c r="C99" i="116"/>
  <c r="C100" i="116"/>
  <c r="C101" i="116"/>
  <c r="C102" i="116"/>
  <c r="C103" i="116"/>
  <c r="C104" i="116"/>
  <c r="C105" i="116"/>
  <c r="C106" i="116"/>
  <c r="C107" i="116"/>
  <c r="C108" i="116"/>
  <c r="C109" i="116"/>
  <c r="C110" i="116"/>
  <c r="C111" i="116"/>
  <c r="C112" i="116"/>
  <c r="C113" i="116"/>
  <c r="C114" i="116"/>
  <c r="C115" i="116"/>
  <c r="C116" i="116"/>
  <c r="C117" i="116"/>
  <c r="C118" i="116"/>
  <c r="C119" i="116"/>
  <c r="C120" i="116"/>
  <c r="C121" i="116"/>
  <c r="C122" i="116"/>
  <c r="C123" i="116"/>
  <c r="C124" i="116"/>
  <c r="C125" i="116"/>
  <c r="C126" i="116"/>
  <c r="C127" i="116"/>
  <c r="C128" i="116"/>
  <c r="C129" i="116"/>
  <c r="C130" i="116"/>
  <c r="C131" i="116"/>
  <c r="C132" i="116"/>
  <c r="C133" i="116"/>
  <c r="C134" i="116"/>
  <c r="C135" i="116"/>
  <c r="C136" i="116"/>
  <c r="C137" i="116"/>
  <c r="C138" i="116"/>
  <c r="C139" i="116"/>
  <c r="C140" i="116"/>
  <c r="C141" i="116"/>
  <c r="C142" i="116"/>
  <c r="C143" i="116"/>
  <c r="C144" i="116"/>
  <c r="C145" i="116"/>
  <c r="C146" i="116"/>
  <c r="C147" i="116"/>
  <c r="C148" i="116"/>
  <c r="C149" i="116"/>
  <c r="C150" i="116"/>
  <c r="C151" i="116"/>
  <c r="C152" i="116"/>
  <c r="C153" i="116"/>
  <c r="C154" i="116"/>
  <c r="C155" i="116"/>
  <c r="C156" i="116"/>
  <c r="C157" i="116"/>
  <c r="C158" i="116"/>
  <c r="C159" i="116"/>
  <c r="C160" i="116"/>
  <c r="C161" i="116"/>
  <c r="C162" i="116"/>
  <c r="C163" i="116"/>
  <c r="C164" i="116"/>
  <c r="C165" i="116"/>
  <c r="C166" i="116"/>
  <c r="C167" i="116"/>
  <c r="C168" i="116"/>
  <c r="C169" i="116"/>
  <c r="C170" i="116"/>
  <c r="C171" i="116"/>
  <c r="C172" i="116"/>
  <c r="C173" i="116"/>
  <c r="C174" i="116"/>
  <c r="C175" i="116"/>
  <c r="C176" i="116"/>
  <c r="C177" i="116"/>
  <c r="C178" i="116"/>
  <c r="C179" i="116"/>
  <c r="C180" i="116"/>
  <c r="C181" i="116"/>
  <c r="C182" i="116"/>
  <c r="C183" i="116"/>
  <c r="C184" i="116"/>
  <c r="C185" i="116"/>
  <c r="C186" i="116"/>
  <c r="C187" i="116"/>
  <c r="C188" i="116"/>
  <c r="C189" i="116"/>
  <c r="C190" i="116"/>
  <c r="C191" i="116"/>
  <c r="C192" i="116"/>
  <c r="C193" i="116"/>
  <c r="C194" i="116"/>
  <c r="C195" i="116"/>
  <c r="C196" i="116"/>
  <c r="C197" i="116"/>
  <c r="C198" i="116"/>
  <c r="C199" i="116"/>
  <c r="C200" i="116"/>
  <c r="C201" i="116"/>
  <c r="C202" i="116"/>
  <c r="C203" i="116"/>
  <c r="C204" i="116"/>
  <c r="C205" i="116"/>
  <c r="C206" i="116"/>
  <c r="C207" i="116"/>
  <c r="C208" i="116"/>
  <c r="C209" i="116"/>
  <c r="C210" i="116"/>
  <c r="C211" i="116"/>
  <c r="C212" i="116"/>
  <c r="C213" i="116"/>
  <c r="C214" i="116"/>
  <c r="C215" i="116"/>
  <c r="C216" i="116"/>
  <c r="C217" i="116"/>
  <c r="C218" i="116"/>
  <c r="C219" i="116"/>
  <c r="C220" i="116"/>
  <c r="C221" i="116"/>
  <c r="C222" i="116"/>
  <c r="C223" i="116"/>
  <c r="C224" i="116"/>
  <c r="C225" i="116"/>
  <c r="C226" i="116"/>
  <c r="C227" i="116"/>
  <c r="C228" i="116"/>
  <c r="C229" i="116"/>
  <c r="C230" i="116"/>
  <c r="C231" i="116"/>
  <c r="C232" i="116"/>
  <c r="C233" i="116"/>
  <c r="C234" i="116"/>
  <c r="C235" i="116"/>
  <c r="C236" i="116"/>
  <c r="C237" i="116"/>
  <c r="C238" i="116"/>
  <c r="C239" i="116"/>
  <c r="C240" i="116"/>
  <c r="C241" i="116"/>
  <c r="C242" i="116"/>
  <c r="C243" i="116"/>
  <c r="C244" i="116"/>
  <c r="C245" i="116"/>
  <c r="C246" i="116"/>
  <c r="C247" i="116"/>
  <c r="C248" i="116"/>
  <c r="C249" i="116"/>
  <c r="C250" i="116"/>
  <c r="C251" i="116"/>
  <c r="C252" i="116"/>
  <c r="C253" i="116"/>
  <c r="C254" i="116"/>
  <c r="C255" i="116"/>
  <c r="C256" i="116"/>
  <c r="C257" i="116"/>
  <c r="C258" i="116"/>
  <c r="C259" i="116"/>
  <c r="C260" i="116"/>
  <c r="C261" i="116"/>
  <c r="C262" i="116"/>
  <c r="C263" i="116"/>
  <c r="C264" i="116"/>
  <c r="C265" i="116"/>
  <c r="C266" i="116"/>
  <c r="C267" i="116"/>
  <c r="C268" i="116"/>
  <c r="C269" i="116"/>
  <c r="C270" i="116"/>
  <c r="C271" i="116"/>
  <c r="C272" i="116"/>
  <c r="C273" i="116"/>
  <c r="C274" i="116"/>
  <c r="C275" i="116"/>
  <c r="C276" i="116"/>
  <c r="C277" i="116"/>
  <c r="C278" i="116"/>
  <c r="C279" i="116"/>
  <c r="C280" i="116"/>
  <c r="C281" i="116"/>
  <c r="C282" i="116"/>
  <c r="C283" i="116"/>
  <c r="C284" i="116"/>
  <c r="C285" i="116"/>
  <c r="C286" i="116"/>
  <c r="C287" i="116"/>
  <c r="C288" i="116"/>
  <c r="C289" i="116"/>
  <c r="C290" i="116"/>
  <c r="C291" i="116"/>
  <c r="C292" i="116"/>
  <c r="C293" i="116"/>
  <c r="C294" i="116"/>
  <c r="C295" i="116"/>
  <c r="C296" i="116"/>
  <c r="C297" i="116"/>
  <c r="C298" i="116"/>
  <c r="C299" i="116"/>
  <c r="C300" i="116"/>
  <c r="C301" i="116"/>
  <c r="C302" i="116"/>
  <c r="C303" i="116"/>
  <c r="C304" i="116"/>
  <c r="C305" i="116"/>
  <c r="C306" i="116"/>
  <c r="C307" i="116"/>
  <c r="C308" i="116"/>
  <c r="C309" i="116"/>
  <c r="C310" i="116"/>
  <c r="C311" i="116"/>
  <c r="C312" i="116"/>
  <c r="C313" i="116"/>
  <c r="C314" i="116"/>
  <c r="C315" i="116"/>
  <c r="C316" i="116"/>
  <c r="C317" i="116"/>
  <c r="C318" i="116"/>
  <c r="C319" i="116"/>
  <c r="C320" i="116"/>
  <c r="C321" i="116"/>
  <c r="C322" i="116"/>
  <c r="C323" i="116"/>
  <c r="C324" i="116"/>
  <c r="C325" i="116"/>
  <c r="C326" i="116"/>
  <c r="C327" i="116"/>
  <c r="C328" i="116"/>
  <c r="C329" i="116"/>
  <c r="C330" i="116"/>
  <c r="C331" i="116"/>
  <c r="C332" i="116"/>
  <c r="C333" i="116"/>
  <c r="C334" i="116"/>
  <c r="C335" i="116"/>
  <c r="C336" i="116"/>
  <c r="C337" i="116"/>
  <c r="C338" i="116"/>
  <c r="C339" i="116"/>
  <c r="C340" i="116"/>
  <c r="C341" i="116"/>
  <c r="C342" i="116"/>
  <c r="C343" i="116"/>
  <c r="C344" i="116"/>
  <c r="C345" i="116"/>
  <c r="C346" i="116"/>
  <c r="C347" i="116"/>
  <c r="C348" i="116"/>
  <c r="C349" i="116"/>
  <c r="C350" i="116"/>
  <c r="C351" i="116"/>
  <c r="C352" i="116"/>
  <c r="C353" i="116"/>
  <c r="C354" i="116"/>
  <c r="C355" i="116"/>
  <c r="C356" i="116"/>
  <c r="C357" i="116"/>
  <c r="C358" i="116"/>
  <c r="C359" i="116"/>
  <c r="C360" i="116"/>
  <c r="C361" i="116"/>
  <c r="C362" i="116"/>
  <c r="C363" i="116"/>
  <c r="C364" i="116"/>
  <c r="C365" i="116"/>
  <c r="C366" i="116"/>
  <c r="C367" i="116"/>
  <c r="C368" i="116"/>
  <c r="C369" i="116"/>
  <c r="C370" i="116"/>
  <c r="C371" i="116"/>
  <c r="C372" i="116"/>
  <c r="C373" i="116"/>
  <c r="C374" i="116"/>
  <c r="C375" i="116"/>
  <c r="C376" i="116"/>
  <c r="C377" i="116"/>
  <c r="C378" i="116"/>
  <c r="C379" i="116"/>
  <c r="C380" i="116"/>
  <c r="C381" i="116"/>
  <c r="C382" i="116"/>
  <c r="C383" i="116"/>
  <c r="C384" i="116"/>
  <c r="C385" i="116"/>
  <c r="C386" i="116"/>
  <c r="C387" i="116"/>
  <c r="C388" i="116"/>
  <c r="C389" i="116"/>
  <c r="C390" i="116"/>
  <c r="C391" i="116"/>
  <c r="C392" i="116"/>
  <c r="C393" i="116"/>
  <c r="C394" i="116"/>
  <c r="C395" i="116"/>
  <c r="C396" i="116"/>
  <c r="C397" i="116"/>
  <c r="C398" i="116"/>
  <c r="C399" i="116"/>
  <c r="C400" i="116"/>
  <c r="C401" i="116"/>
  <c r="C402" i="116"/>
  <c r="C403" i="116"/>
  <c r="C404" i="116"/>
  <c r="C405" i="116"/>
  <c r="C406" i="116"/>
  <c r="C407" i="116"/>
  <c r="C408" i="116"/>
  <c r="C409" i="116"/>
  <c r="C410" i="116"/>
  <c r="C411" i="116"/>
  <c r="C412" i="116"/>
  <c r="C413" i="116"/>
  <c r="C414" i="116"/>
  <c r="C415" i="116"/>
  <c r="C416" i="116"/>
  <c r="C417" i="116"/>
  <c r="C418" i="116"/>
  <c r="C419" i="116"/>
  <c r="C420" i="116"/>
  <c r="C421" i="116"/>
  <c r="C422" i="116"/>
  <c r="C423" i="116"/>
  <c r="C424" i="116"/>
  <c r="C425" i="116"/>
  <c r="C426" i="116"/>
  <c r="C427" i="116"/>
  <c r="C428" i="116"/>
  <c r="C429" i="116"/>
  <c r="C430" i="116"/>
  <c r="C431" i="116"/>
  <c r="C432" i="116"/>
  <c r="C433" i="116"/>
  <c r="C434" i="116"/>
  <c r="C435" i="116"/>
  <c r="C436" i="116"/>
  <c r="C437" i="116"/>
  <c r="C438" i="116"/>
  <c r="C439" i="116"/>
  <c r="C440" i="116"/>
  <c r="C441" i="116"/>
  <c r="C442" i="116"/>
  <c r="C443" i="116"/>
  <c r="C444" i="116"/>
  <c r="C445" i="116"/>
  <c r="C446" i="116"/>
  <c r="C447" i="116"/>
  <c r="C448" i="116"/>
  <c r="C449" i="116"/>
  <c r="C450" i="116"/>
  <c r="C451" i="116"/>
  <c r="C452" i="116"/>
  <c r="C453" i="116"/>
  <c r="C454" i="116"/>
  <c r="C455" i="116"/>
  <c r="C456" i="116"/>
  <c r="C457" i="116"/>
  <c r="C458" i="116"/>
  <c r="C459" i="116"/>
  <c r="C460" i="116"/>
  <c r="C461" i="116"/>
  <c r="C462" i="116"/>
  <c r="C463" i="116"/>
  <c r="C464" i="116"/>
  <c r="C465" i="116"/>
  <c r="C466" i="116"/>
  <c r="C467" i="116"/>
  <c r="C468" i="116"/>
  <c r="C469" i="116"/>
  <c r="C470" i="116"/>
  <c r="C471" i="116"/>
  <c r="C472" i="116"/>
  <c r="C473" i="116"/>
  <c r="C474" i="116"/>
  <c r="C475" i="116"/>
  <c r="C476" i="116"/>
  <c r="C477" i="116"/>
  <c r="C478" i="116"/>
  <c r="C479" i="116"/>
  <c r="C480" i="116"/>
  <c r="C481" i="116"/>
  <c r="C482" i="116"/>
  <c r="C483" i="116"/>
  <c r="C484" i="116"/>
  <c r="C485" i="116"/>
  <c r="C486" i="116"/>
  <c r="C487" i="116"/>
  <c r="C488" i="116"/>
  <c r="C489" i="116"/>
  <c r="C490" i="116"/>
  <c r="C491" i="116"/>
  <c r="C492" i="116"/>
  <c r="C493" i="116"/>
  <c r="C494" i="116"/>
  <c r="C495" i="116"/>
  <c r="C496" i="116"/>
  <c r="C497" i="116"/>
  <c r="C498" i="116"/>
  <c r="C499" i="116"/>
  <c r="C500" i="116"/>
  <c r="C501" i="116"/>
  <c r="C2" i="116"/>
  <c r="E12" i="35"/>
  <c r="E11" i="35"/>
  <c r="E13" i="35"/>
  <c r="E14" i="35"/>
  <c r="E15" i="35"/>
  <c r="E16" i="35"/>
  <c r="E17" i="35"/>
  <c r="E18" i="35"/>
  <c r="E19" i="35"/>
  <c r="E20" i="35"/>
  <c r="E21" i="35"/>
  <c r="E22" i="35"/>
  <c r="E23" i="35"/>
  <c r="E24" i="35"/>
  <c r="E25" i="35"/>
  <c r="E26" i="35"/>
  <c r="E27" i="35"/>
  <c r="E28" i="35"/>
  <c r="E29" i="35"/>
  <c r="E30" i="35"/>
  <c r="E31" i="35"/>
  <c r="E32" i="35"/>
  <c r="E33" i="35"/>
  <c r="E34" i="35"/>
  <c r="E35" i="35"/>
  <c r="E36" i="35"/>
  <c r="E37" i="35"/>
  <c r="E38" i="35"/>
  <c r="E39" i="35"/>
  <c r="E40" i="35"/>
  <c r="E41" i="35"/>
  <c r="E42" i="35"/>
  <c r="E43" i="35"/>
  <c r="E44" i="35"/>
  <c r="E45" i="35"/>
  <c r="E46" i="35"/>
  <c r="E47" i="35"/>
  <c r="E48" i="35"/>
  <c r="E49" i="35"/>
  <c r="E50" i="35"/>
  <c r="E51" i="35"/>
  <c r="E52" i="35"/>
  <c r="E53" i="35"/>
  <c r="E54" i="35"/>
  <c r="E55" i="35"/>
  <c r="E56" i="35"/>
  <c r="E57" i="35"/>
  <c r="E58" i="35"/>
  <c r="E59" i="35"/>
  <c r="E60" i="35"/>
  <c r="E61" i="35"/>
  <c r="E62" i="35"/>
  <c r="E63" i="35"/>
  <c r="E64" i="35"/>
  <c r="E65" i="35"/>
  <c r="E66" i="35"/>
  <c r="E67" i="35"/>
  <c r="E68" i="35"/>
  <c r="E69" i="35"/>
  <c r="E70" i="35"/>
  <c r="E71" i="35"/>
  <c r="E72" i="35"/>
  <c r="E73" i="35"/>
  <c r="E74" i="35"/>
  <c r="E75" i="35"/>
  <c r="E76" i="35"/>
  <c r="E77" i="35"/>
  <c r="E78" i="35"/>
  <c r="E79" i="35"/>
  <c r="E80" i="35"/>
  <c r="E81" i="35"/>
  <c r="E82" i="35"/>
  <c r="E83" i="35"/>
  <c r="E84" i="35"/>
  <c r="E85" i="35"/>
  <c r="E86" i="35"/>
  <c r="E87" i="35"/>
  <c r="E88" i="35"/>
  <c r="E89" i="35"/>
  <c r="E90" i="35"/>
  <c r="E91" i="35"/>
  <c r="E92" i="35"/>
  <c r="E93" i="35"/>
  <c r="E94" i="35"/>
  <c r="E95" i="35"/>
  <c r="E96" i="35"/>
  <c r="E97" i="35"/>
  <c r="E98" i="35"/>
  <c r="E99" i="35"/>
  <c r="E100" i="35"/>
  <c r="E101" i="35"/>
  <c r="E102" i="35"/>
  <c r="E103" i="35"/>
  <c r="E104" i="35"/>
  <c r="E105" i="35"/>
  <c r="E106" i="35"/>
  <c r="E107" i="35"/>
  <c r="E108" i="35"/>
  <c r="E109" i="35"/>
  <c r="E110" i="35"/>
  <c r="E111" i="35"/>
  <c r="E112" i="35"/>
  <c r="E113" i="35"/>
  <c r="E114" i="35"/>
  <c r="E115" i="35"/>
  <c r="E116" i="35"/>
  <c r="E117" i="35"/>
  <c r="E118" i="35"/>
  <c r="E119" i="35"/>
  <c r="E120" i="35"/>
  <c r="E121" i="35"/>
  <c r="E122" i="35"/>
  <c r="E123" i="35"/>
  <c r="E124" i="35"/>
  <c r="E125" i="35"/>
  <c r="E126" i="35"/>
  <c r="E127" i="35"/>
  <c r="E128" i="35"/>
  <c r="E129" i="35"/>
  <c r="E130" i="35"/>
  <c r="E131" i="35"/>
  <c r="E132" i="35"/>
  <c r="E133" i="35"/>
  <c r="E134" i="35"/>
  <c r="E135" i="35"/>
  <c r="E136" i="35"/>
  <c r="E137" i="35"/>
  <c r="E138" i="35"/>
  <c r="E139" i="35"/>
  <c r="E140" i="35"/>
  <c r="E141" i="35"/>
  <c r="E142" i="35"/>
  <c r="E143" i="35"/>
  <c r="E144" i="35"/>
  <c r="E145" i="35"/>
  <c r="E146" i="35"/>
  <c r="E147" i="35"/>
  <c r="E148" i="35"/>
  <c r="E149" i="35"/>
  <c r="E150" i="35"/>
  <c r="E151" i="35"/>
  <c r="E152" i="35"/>
  <c r="E153" i="35"/>
  <c r="E154" i="35"/>
  <c r="E155" i="35"/>
  <c r="E156" i="35"/>
  <c r="E157" i="35"/>
  <c r="E158" i="35"/>
  <c r="E159" i="35"/>
  <c r="E160" i="35"/>
  <c r="E161" i="35"/>
  <c r="E162" i="35"/>
  <c r="E163" i="35"/>
  <c r="E164" i="35"/>
  <c r="E165" i="35"/>
  <c r="E166" i="35"/>
  <c r="E167" i="35"/>
  <c r="E168" i="35"/>
  <c r="E169" i="35"/>
  <c r="E170" i="35"/>
  <c r="E171" i="35"/>
  <c r="E172" i="35"/>
  <c r="E173" i="35"/>
  <c r="E174" i="35"/>
  <c r="E175" i="35"/>
  <c r="E176" i="35"/>
  <c r="E177" i="35"/>
  <c r="E178" i="35"/>
  <c r="E179" i="35"/>
  <c r="E180" i="35"/>
  <c r="E181" i="35"/>
  <c r="E182" i="35"/>
  <c r="E183" i="35"/>
  <c r="E184" i="35"/>
  <c r="E185" i="35"/>
  <c r="E186" i="35"/>
  <c r="E187" i="35"/>
  <c r="E188" i="35"/>
  <c r="E189" i="35"/>
  <c r="E190" i="35"/>
  <c r="E191" i="35"/>
  <c r="E192" i="35"/>
  <c r="E193" i="35"/>
  <c r="E194" i="35"/>
  <c r="E195" i="35"/>
  <c r="E196" i="35"/>
  <c r="E197" i="35"/>
  <c r="E198" i="35"/>
  <c r="E199" i="35"/>
  <c r="E200" i="35"/>
  <c r="E201" i="35"/>
  <c r="E202" i="35"/>
  <c r="E203" i="35"/>
  <c r="E204" i="35"/>
  <c r="E205" i="35"/>
  <c r="E206" i="35"/>
  <c r="E207" i="35"/>
  <c r="E208" i="35"/>
  <c r="E209" i="35"/>
  <c r="E210" i="35"/>
  <c r="E211" i="35"/>
  <c r="E212" i="35"/>
  <c r="E213" i="35"/>
  <c r="E214" i="35"/>
  <c r="E215" i="35"/>
  <c r="E216" i="35"/>
  <c r="E217" i="35"/>
  <c r="E218" i="35"/>
  <c r="E219" i="35"/>
  <c r="E220" i="35"/>
  <c r="E221" i="35"/>
  <c r="E222" i="35"/>
  <c r="E223" i="35"/>
  <c r="E224" i="35"/>
  <c r="E225" i="35"/>
  <c r="E226" i="35"/>
  <c r="E227" i="35"/>
  <c r="E228" i="35"/>
  <c r="E229" i="35"/>
  <c r="E230" i="35"/>
  <c r="E231" i="35"/>
  <c r="E232" i="35"/>
  <c r="E233" i="35"/>
  <c r="E234" i="35"/>
  <c r="E235" i="35"/>
  <c r="E236" i="35"/>
  <c r="E237" i="35"/>
  <c r="E238" i="35"/>
  <c r="E239" i="35"/>
  <c r="E240" i="35"/>
  <c r="E241" i="35"/>
  <c r="E242" i="35"/>
  <c r="E243" i="35"/>
  <c r="E244" i="35"/>
  <c r="E245" i="35"/>
  <c r="E246" i="35"/>
  <c r="E247" i="35"/>
  <c r="E248" i="35"/>
  <c r="E249" i="35"/>
  <c r="E250" i="35"/>
  <c r="E251" i="35"/>
  <c r="E252" i="35"/>
  <c r="E253" i="35"/>
  <c r="E254" i="35"/>
  <c r="E255" i="35"/>
  <c r="E256" i="35"/>
  <c r="E257" i="35"/>
  <c r="E258" i="35"/>
  <c r="E259" i="35"/>
  <c r="E260" i="35"/>
  <c r="E261" i="35"/>
  <c r="E262" i="35"/>
  <c r="E263" i="35"/>
  <c r="E264" i="35"/>
  <c r="E265" i="35"/>
  <c r="E266" i="35"/>
  <c r="E267" i="35"/>
  <c r="E268" i="35"/>
  <c r="E269" i="35"/>
  <c r="E270" i="35"/>
  <c r="E271" i="35"/>
  <c r="E272" i="35"/>
  <c r="E273" i="35"/>
  <c r="E274" i="35"/>
  <c r="E275" i="35"/>
  <c r="E276" i="35"/>
  <c r="E277" i="35"/>
  <c r="E278" i="35"/>
  <c r="E279" i="35"/>
  <c r="E280" i="35"/>
  <c r="E281" i="35"/>
  <c r="E282" i="35"/>
  <c r="E283" i="35"/>
  <c r="E284" i="35"/>
  <c r="E285" i="35"/>
  <c r="E286" i="35"/>
  <c r="E287" i="35"/>
  <c r="E288" i="35"/>
  <c r="E289" i="35"/>
  <c r="E290" i="35"/>
  <c r="E291" i="35"/>
  <c r="E292" i="35"/>
  <c r="E293" i="35"/>
  <c r="E294" i="35"/>
  <c r="E295" i="35"/>
  <c r="E296" i="35"/>
  <c r="E297" i="35"/>
  <c r="E298" i="35"/>
  <c r="E299" i="35"/>
  <c r="E300" i="35"/>
  <c r="E301" i="35"/>
  <c r="E302" i="35"/>
  <c r="E303" i="35"/>
  <c r="E304" i="35"/>
  <c r="E305" i="35"/>
  <c r="E306" i="35"/>
  <c r="E307" i="35"/>
  <c r="E308" i="35"/>
  <c r="E309" i="35"/>
  <c r="E310" i="35"/>
  <c r="E311" i="35"/>
  <c r="E312" i="35"/>
  <c r="E313" i="35"/>
  <c r="E314" i="35"/>
  <c r="E315" i="35"/>
  <c r="E316" i="35"/>
  <c r="E317" i="35"/>
  <c r="E318" i="35"/>
  <c r="E319" i="35"/>
  <c r="E320" i="35"/>
  <c r="E321" i="35"/>
  <c r="E322" i="35"/>
  <c r="E323" i="35"/>
  <c r="E324" i="35"/>
  <c r="E325" i="35"/>
  <c r="E326" i="35"/>
  <c r="E327" i="35"/>
  <c r="E328" i="35"/>
  <c r="E329" i="35"/>
  <c r="E330" i="35"/>
  <c r="E331" i="35"/>
  <c r="E332" i="35"/>
  <c r="E333" i="35"/>
  <c r="E334" i="35"/>
  <c r="E335" i="35"/>
  <c r="E336" i="35"/>
  <c r="E337" i="35"/>
  <c r="E338" i="35"/>
  <c r="E339" i="35"/>
  <c r="E340" i="35"/>
  <c r="E341" i="35"/>
  <c r="E342" i="35"/>
  <c r="E343" i="35"/>
  <c r="E344" i="35"/>
  <c r="E345" i="35"/>
  <c r="E346" i="35"/>
  <c r="E347" i="35"/>
  <c r="E348" i="35"/>
  <c r="E349" i="35"/>
  <c r="E350" i="35"/>
  <c r="E351" i="35"/>
  <c r="E352" i="35"/>
  <c r="E353" i="35"/>
  <c r="E354" i="35"/>
  <c r="E355" i="35"/>
  <c r="E356" i="35"/>
  <c r="E357" i="35"/>
  <c r="E358" i="35"/>
  <c r="E359" i="35"/>
  <c r="E360" i="35"/>
  <c r="E361" i="35"/>
  <c r="E362" i="35"/>
  <c r="E363" i="35"/>
  <c r="E364" i="35"/>
  <c r="E365" i="35"/>
  <c r="E366" i="35"/>
  <c r="E367" i="35"/>
  <c r="E368" i="35"/>
  <c r="E369" i="35"/>
  <c r="E370" i="35"/>
  <c r="E371" i="35"/>
  <c r="E372" i="35"/>
  <c r="E373" i="35"/>
  <c r="E374" i="35"/>
  <c r="E375" i="35"/>
  <c r="E376" i="35"/>
  <c r="E377" i="35"/>
  <c r="E378" i="35"/>
  <c r="E379" i="35"/>
  <c r="E380" i="35"/>
  <c r="E381" i="35"/>
  <c r="E382" i="35"/>
  <c r="E383" i="35"/>
  <c r="E384" i="35"/>
  <c r="E385" i="35"/>
  <c r="E386" i="35"/>
  <c r="E387" i="35"/>
  <c r="E388" i="35"/>
  <c r="E389" i="35"/>
  <c r="E390" i="35"/>
  <c r="E391" i="35"/>
  <c r="E392" i="35"/>
  <c r="E393" i="35"/>
  <c r="E394" i="35"/>
  <c r="E395" i="35"/>
  <c r="E396" i="35"/>
  <c r="E397" i="35"/>
  <c r="E398" i="35"/>
  <c r="E399" i="35"/>
  <c r="E400" i="35"/>
  <c r="E401" i="35"/>
  <c r="E402" i="35"/>
  <c r="E403" i="35"/>
  <c r="E404" i="35"/>
  <c r="E405" i="35"/>
  <c r="E406" i="35"/>
  <c r="E407" i="35"/>
  <c r="E408" i="35"/>
  <c r="E409" i="35"/>
  <c r="E410" i="35"/>
  <c r="E411" i="35"/>
  <c r="E412" i="35"/>
  <c r="E413" i="35"/>
  <c r="E414" i="35"/>
  <c r="E415" i="35"/>
  <c r="E416" i="35"/>
  <c r="E417" i="35"/>
  <c r="E418" i="35"/>
  <c r="E419" i="35"/>
  <c r="E420" i="35"/>
  <c r="E421" i="35"/>
  <c r="E422" i="35"/>
  <c r="E423" i="35"/>
  <c r="E424" i="35"/>
  <c r="E425" i="35"/>
  <c r="E426" i="35"/>
  <c r="E427" i="35"/>
  <c r="E428" i="35"/>
  <c r="E429" i="35"/>
  <c r="E430" i="35"/>
  <c r="E431" i="35"/>
  <c r="E432" i="35"/>
  <c r="E433" i="35"/>
  <c r="E434" i="35"/>
  <c r="E435" i="35"/>
  <c r="E436" i="35"/>
  <c r="E437" i="35"/>
  <c r="E438" i="35"/>
  <c r="E439" i="35"/>
  <c r="E440" i="35"/>
  <c r="E441" i="35"/>
  <c r="E442" i="35"/>
  <c r="E443" i="35"/>
  <c r="E444" i="35"/>
  <c r="E445" i="35"/>
  <c r="E446" i="35"/>
  <c r="E447" i="35"/>
  <c r="E448" i="35"/>
  <c r="E449" i="35"/>
  <c r="E450" i="35"/>
  <c r="E451" i="35"/>
  <c r="E452" i="35"/>
  <c r="E453" i="35"/>
  <c r="E454" i="35"/>
  <c r="E455" i="35"/>
  <c r="E456" i="35"/>
  <c r="E457" i="35"/>
  <c r="E458" i="35"/>
  <c r="E459" i="35"/>
  <c r="E460" i="35"/>
  <c r="E461" i="35"/>
  <c r="E462" i="35"/>
  <c r="E463" i="35"/>
  <c r="E464" i="35"/>
  <c r="E465" i="35"/>
  <c r="E466" i="35"/>
  <c r="E467" i="35"/>
  <c r="E468" i="35"/>
  <c r="E469" i="35"/>
  <c r="E470" i="35"/>
  <c r="E471" i="35"/>
  <c r="E472" i="35"/>
  <c r="E473" i="35"/>
  <c r="E474" i="35"/>
  <c r="E475" i="35"/>
  <c r="E476" i="35"/>
  <c r="E477" i="35"/>
  <c r="E478" i="35"/>
  <c r="E479" i="35"/>
  <c r="E480" i="35"/>
  <c r="E481" i="35"/>
  <c r="E482" i="35"/>
  <c r="E483" i="35"/>
  <c r="E484" i="35"/>
  <c r="E485" i="35"/>
  <c r="E486" i="35"/>
  <c r="E487" i="35"/>
  <c r="E488" i="35"/>
  <c r="E489" i="35"/>
  <c r="E490" i="35"/>
  <c r="E491" i="35"/>
  <c r="E492" i="35"/>
  <c r="E493" i="35"/>
  <c r="E494" i="35"/>
  <c r="E495" i="35"/>
  <c r="E496" i="35"/>
  <c r="E497" i="35"/>
  <c r="E498" i="35"/>
  <c r="E499" i="35"/>
  <c r="E500" i="35"/>
  <c r="E501" i="35"/>
  <c r="E502" i="35"/>
  <c r="E503" i="35"/>
  <c r="E504" i="35"/>
  <c r="E505" i="35"/>
  <c r="E506" i="35"/>
  <c r="E507" i="35"/>
  <c r="E508" i="35"/>
  <c r="E509" i="35"/>
  <c r="E510" i="35"/>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M4" i="112"/>
  <c r="I4" i="112"/>
  <c r="M2" i="113"/>
  <c r="I2" i="113"/>
  <c r="Q510" i="35"/>
  <c r="Q509" i="35"/>
  <c r="Q508" i="35"/>
  <c r="Q507" i="35"/>
  <c r="Q506" i="35"/>
  <c r="Q505" i="35"/>
  <c r="Q504" i="35"/>
  <c r="Q503" i="35"/>
  <c r="Q502" i="35"/>
  <c r="Q501" i="35"/>
  <c r="Q500" i="35"/>
  <c r="Q499" i="35"/>
  <c r="Q498" i="35"/>
  <c r="Q497" i="35"/>
  <c r="Q496" i="35"/>
  <c r="Q495" i="35"/>
  <c r="Q494" i="35"/>
  <c r="Q493" i="35"/>
  <c r="Q492" i="35"/>
  <c r="Q491" i="35"/>
  <c r="Q490" i="35"/>
  <c r="Q489" i="35"/>
  <c r="Q488" i="35"/>
  <c r="Q487" i="35"/>
  <c r="Q486" i="35"/>
  <c r="Q485" i="35"/>
  <c r="Q484" i="35"/>
  <c r="Q483" i="35"/>
  <c r="Q482" i="35"/>
  <c r="Q481" i="35"/>
  <c r="Q480" i="35"/>
  <c r="Q479" i="35"/>
  <c r="Q478" i="35"/>
  <c r="Q477" i="35"/>
  <c r="Q476" i="35"/>
  <c r="Q475" i="35"/>
  <c r="Q474" i="35"/>
  <c r="Q473" i="35"/>
  <c r="Q472" i="35"/>
  <c r="Q471" i="35"/>
  <c r="Q470" i="35"/>
  <c r="Q469" i="35"/>
  <c r="Q468" i="35"/>
  <c r="Q467" i="35"/>
  <c r="Q466" i="35"/>
  <c r="Q465" i="35"/>
  <c r="Q464" i="35"/>
  <c r="Q463" i="35"/>
  <c r="Q462" i="35"/>
  <c r="Q461" i="35"/>
  <c r="Q460" i="35"/>
  <c r="Q459" i="35"/>
  <c r="Q458" i="35"/>
  <c r="Q457" i="35"/>
  <c r="Q456" i="35"/>
  <c r="Q455" i="35"/>
  <c r="Q454" i="35"/>
  <c r="Q453" i="35"/>
  <c r="Q452" i="35"/>
  <c r="Q451" i="35"/>
  <c r="Q450" i="35"/>
  <c r="Q449" i="35"/>
  <c r="Q448" i="35"/>
  <c r="Q447" i="35"/>
  <c r="Q446" i="35"/>
  <c r="Q445" i="35"/>
  <c r="Q444" i="35"/>
  <c r="Q443" i="35"/>
  <c r="Q442" i="35"/>
  <c r="Q441" i="35"/>
  <c r="Q440" i="35"/>
  <c r="Q439" i="35"/>
  <c r="Q438" i="35"/>
  <c r="Q437" i="35"/>
  <c r="Q436" i="35"/>
  <c r="Q435" i="35"/>
  <c r="Q434" i="35"/>
  <c r="Q433" i="35"/>
  <c r="Q432" i="35"/>
  <c r="Q431" i="35"/>
  <c r="Q430" i="35"/>
  <c r="Q429" i="35"/>
  <c r="Q428" i="35"/>
  <c r="Q427" i="35"/>
  <c r="Q426" i="35"/>
  <c r="Q425" i="35"/>
  <c r="Q424" i="35"/>
  <c r="Q423" i="35"/>
  <c r="Q422" i="35"/>
  <c r="Q421" i="35"/>
  <c r="Q420" i="35"/>
  <c r="Q419" i="35"/>
  <c r="Q418" i="35"/>
  <c r="Q417" i="35"/>
  <c r="Q416" i="35"/>
  <c r="Q415" i="35"/>
  <c r="Q414" i="35"/>
  <c r="Q413" i="35"/>
  <c r="Q412" i="35"/>
  <c r="Q411" i="35"/>
  <c r="Q410" i="35"/>
  <c r="Q409" i="35"/>
  <c r="Q408" i="35"/>
  <c r="Q407" i="35"/>
  <c r="Q406" i="35"/>
  <c r="Q405" i="35"/>
  <c r="Q404" i="35"/>
  <c r="Q403" i="35"/>
  <c r="Q402" i="35"/>
  <c r="Q401" i="35"/>
  <c r="Q400" i="35"/>
  <c r="Q399" i="35"/>
  <c r="Q398" i="35"/>
  <c r="Q397" i="35"/>
  <c r="Q396" i="35"/>
  <c r="Q395" i="35"/>
  <c r="Q394" i="35"/>
  <c r="Q393" i="35"/>
  <c r="Q392" i="35"/>
  <c r="Q391" i="35"/>
  <c r="Q390" i="35"/>
  <c r="Q389" i="35"/>
  <c r="Q388" i="35"/>
  <c r="Q387" i="35"/>
  <c r="Q386" i="35"/>
  <c r="Q385" i="35"/>
  <c r="Q384" i="35"/>
  <c r="Q383" i="35"/>
  <c r="Q382" i="35"/>
  <c r="Q381" i="35"/>
  <c r="Q380" i="35"/>
  <c r="Q379" i="35"/>
  <c r="Q378" i="35"/>
  <c r="Q377" i="35"/>
  <c r="Q376" i="35"/>
  <c r="Q375" i="35"/>
  <c r="Q374" i="35"/>
  <c r="Q373" i="35"/>
  <c r="Q372" i="35"/>
  <c r="Q371" i="35"/>
  <c r="Q370" i="35"/>
  <c r="Q369" i="35"/>
  <c r="Q368" i="35"/>
  <c r="Q367" i="35"/>
  <c r="Q366" i="35"/>
  <c r="Q365" i="35"/>
  <c r="Q364" i="35"/>
  <c r="Q363" i="35"/>
  <c r="Q362" i="35"/>
  <c r="Q361" i="35"/>
  <c r="Q360" i="35"/>
  <c r="Q359" i="35"/>
  <c r="Q358" i="35"/>
  <c r="Q357" i="35"/>
  <c r="Q356" i="35"/>
  <c r="Q355" i="35"/>
  <c r="Q354" i="35"/>
  <c r="Q353" i="35"/>
  <c r="Q352" i="35"/>
  <c r="Q351" i="35"/>
  <c r="Q350" i="35"/>
  <c r="Q349" i="35"/>
  <c r="Q348" i="35"/>
  <c r="Q347" i="35"/>
  <c r="Q346" i="35"/>
  <c r="Q345" i="35"/>
  <c r="Q344" i="35"/>
  <c r="Q343" i="35"/>
  <c r="Q342" i="35"/>
  <c r="Q341" i="35"/>
  <c r="Q340" i="35"/>
  <c r="Q339" i="35"/>
  <c r="Q338" i="35"/>
  <c r="Q337" i="35"/>
  <c r="Q336" i="35"/>
  <c r="Q335" i="35"/>
  <c r="Q334" i="35"/>
  <c r="Q333" i="35"/>
  <c r="Q332" i="35"/>
  <c r="Q331" i="35"/>
  <c r="Q330" i="35"/>
  <c r="Q329" i="35"/>
  <c r="Q328" i="35"/>
  <c r="Q327" i="35"/>
  <c r="Q326" i="35"/>
  <c r="Q325" i="35"/>
  <c r="Q324" i="35"/>
  <c r="Q323" i="35"/>
  <c r="Q322" i="35"/>
  <c r="Q321" i="35"/>
  <c r="Q320" i="35"/>
  <c r="Q319" i="35"/>
  <c r="Q318" i="35"/>
  <c r="Q317" i="35"/>
  <c r="Q316" i="35"/>
  <c r="Q315" i="35"/>
  <c r="Q314" i="35"/>
  <c r="Q313" i="35"/>
  <c r="Q312" i="35"/>
  <c r="Q311" i="35"/>
  <c r="Q310" i="35"/>
  <c r="Q309" i="35"/>
  <c r="Q308" i="35"/>
  <c r="Q307" i="35"/>
  <c r="Q306" i="35"/>
  <c r="Q305" i="35"/>
  <c r="Q304" i="35"/>
  <c r="Q303" i="35"/>
  <c r="Q302" i="35"/>
  <c r="Q301" i="35"/>
  <c r="Q300" i="35"/>
  <c r="Q299" i="35"/>
  <c r="Q298" i="35"/>
  <c r="Q297" i="35"/>
  <c r="Q296" i="35"/>
  <c r="Q295" i="35"/>
  <c r="Q294" i="35"/>
  <c r="Q293" i="35"/>
  <c r="Q292" i="35"/>
  <c r="Q291" i="35"/>
  <c r="Q290" i="35"/>
  <c r="Q289" i="35"/>
  <c r="Q288" i="35"/>
  <c r="Q287" i="35"/>
  <c r="Q286" i="35"/>
  <c r="Q285" i="35"/>
  <c r="Q284" i="35"/>
  <c r="Q283" i="35"/>
  <c r="Q282" i="35"/>
  <c r="Q281" i="35"/>
  <c r="Q280" i="35"/>
  <c r="Q279" i="35"/>
  <c r="Q278" i="35"/>
  <c r="Q277" i="35"/>
  <c r="Q276" i="35"/>
  <c r="Q275" i="35"/>
  <c r="Q274" i="35"/>
  <c r="Q273" i="35"/>
  <c r="Q272" i="35"/>
  <c r="Q271" i="35"/>
  <c r="Q270" i="35"/>
  <c r="Q269" i="35"/>
  <c r="Q268" i="35"/>
  <c r="Q267" i="35"/>
  <c r="Q266" i="35"/>
  <c r="Q265" i="35"/>
  <c r="Q264" i="35"/>
  <c r="Q263" i="35"/>
  <c r="Q262" i="35"/>
  <c r="Q261" i="35"/>
  <c r="Q260" i="35"/>
  <c r="Q259" i="35"/>
  <c r="Q258" i="35"/>
  <c r="Q257" i="35"/>
  <c r="Q256" i="35"/>
  <c r="Q255" i="35"/>
  <c r="Q254" i="35"/>
  <c r="Q253" i="35"/>
  <c r="Q252" i="35"/>
  <c r="Q251" i="35"/>
  <c r="Q250" i="35"/>
  <c r="Q249" i="35"/>
  <c r="Q248" i="35"/>
  <c r="Q247" i="35"/>
  <c r="Q246" i="35"/>
  <c r="Q245" i="35"/>
  <c r="Q244" i="35"/>
  <c r="Q243" i="35"/>
  <c r="Q242" i="35"/>
  <c r="Q241" i="35"/>
  <c r="Q240" i="35"/>
  <c r="Q239" i="35"/>
  <c r="Q238" i="35"/>
  <c r="Q237" i="35"/>
  <c r="Q236" i="35"/>
  <c r="Q235" i="35"/>
  <c r="Q234" i="35"/>
  <c r="Q233" i="35"/>
  <c r="Q232" i="35"/>
  <c r="Q231" i="35"/>
  <c r="Q230" i="35"/>
  <c r="Q229" i="35"/>
  <c r="Q228" i="35"/>
  <c r="Q227" i="35"/>
  <c r="Q226" i="35"/>
  <c r="Q225" i="35"/>
  <c r="Q224" i="35"/>
  <c r="Q223" i="35"/>
  <c r="Q222" i="35"/>
  <c r="Q221" i="35"/>
  <c r="Q220" i="35"/>
  <c r="Q219" i="35"/>
  <c r="Q218" i="35"/>
  <c r="Q217" i="35"/>
  <c r="Q216" i="35"/>
  <c r="Q215" i="35"/>
  <c r="Q214" i="35"/>
  <c r="Q213" i="35"/>
  <c r="Q212" i="35"/>
  <c r="Q211" i="35"/>
  <c r="Q210" i="35"/>
  <c r="Q209" i="35"/>
  <c r="Q208" i="35"/>
  <c r="Q207" i="35"/>
  <c r="Q206" i="35"/>
  <c r="Q205" i="35"/>
  <c r="Q204" i="35"/>
  <c r="Q203" i="35"/>
  <c r="Q202" i="35"/>
  <c r="Q201" i="35"/>
  <c r="Q200" i="35"/>
  <c r="Q199" i="35"/>
  <c r="Q198" i="35"/>
  <c r="Q197" i="35"/>
  <c r="Q196" i="35"/>
  <c r="Q195" i="35"/>
  <c r="Q194" i="35"/>
  <c r="Q193" i="35"/>
  <c r="Q192" i="35"/>
  <c r="Q191" i="35"/>
  <c r="Q190" i="35"/>
  <c r="Q189" i="35"/>
  <c r="Q188" i="35"/>
  <c r="Q187" i="35"/>
  <c r="Q186" i="35"/>
  <c r="Q185" i="35"/>
  <c r="Q184" i="35"/>
  <c r="Q183" i="35"/>
  <c r="Q182" i="35"/>
  <c r="Q181" i="35"/>
  <c r="Q180" i="35"/>
  <c r="Q179" i="35"/>
  <c r="Q178" i="35"/>
  <c r="Q177" i="35"/>
  <c r="Q176" i="35"/>
  <c r="Q175" i="35"/>
  <c r="Q174" i="35"/>
  <c r="Q173" i="35"/>
  <c r="Q172" i="35"/>
  <c r="Q171" i="35"/>
  <c r="Q170" i="35"/>
  <c r="Q169" i="35"/>
  <c r="Q168" i="35"/>
  <c r="Q167" i="35"/>
  <c r="Q166" i="35"/>
  <c r="Q165" i="35"/>
  <c r="Q164" i="35"/>
  <c r="Q163" i="35"/>
  <c r="Q162" i="35"/>
  <c r="Q161" i="35"/>
  <c r="Q160" i="35"/>
  <c r="Q159" i="35"/>
  <c r="Q158" i="35"/>
  <c r="Q157" i="35"/>
  <c r="Q156" i="35"/>
  <c r="Q155" i="35"/>
  <c r="Q154" i="35"/>
  <c r="Q153" i="35"/>
  <c r="Q152" i="35"/>
  <c r="Q151" i="35"/>
  <c r="Q150" i="35"/>
  <c r="Q149" i="35"/>
  <c r="Q148" i="35"/>
  <c r="Q147" i="35"/>
  <c r="Q146" i="35"/>
  <c r="Q145" i="35"/>
  <c r="Q144" i="35"/>
  <c r="Q143" i="35"/>
  <c r="Q142" i="35"/>
  <c r="Q141" i="35"/>
  <c r="Q140" i="35"/>
  <c r="Q139" i="35"/>
  <c r="Q138" i="35"/>
  <c r="Q137" i="35"/>
  <c r="Q136" i="35"/>
  <c r="Q135" i="35"/>
  <c r="Q134" i="35"/>
  <c r="Q133" i="35"/>
  <c r="Q132" i="35"/>
  <c r="Q131" i="35"/>
  <c r="Q130" i="35"/>
  <c r="Q129" i="35"/>
  <c r="Q128" i="35"/>
  <c r="Q127" i="35"/>
  <c r="Q126" i="35"/>
  <c r="Q125" i="35"/>
  <c r="Q124" i="35"/>
  <c r="Q123" i="35"/>
  <c r="Q122" i="35"/>
  <c r="Q121" i="35"/>
  <c r="Q120" i="35"/>
  <c r="Q119" i="35"/>
  <c r="Q118" i="35"/>
  <c r="Q117" i="35"/>
  <c r="Q116" i="35"/>
  <c r="Q115" i="35"/>
  <c r="Q114" i="35"/>
  <c r="Q113" i="35"/>
  <c r="Q112" i="35"/>
  <c r="Q111" i="35"/>
  <c r="Q110" i="35"/>
  <c r="Q109" i="35"/>
  <c r="Q108" i="35"/>
  <c r="Q107" i="35"/>
  <c r="Q106" i="35"/>
  <c r="Q105" i="35"/>
  <c r="Q104" i="35"/>
  <c r="Q103" i="35"/>
  <c r="Q102" i="35"/>
  <c r="Q101" i="35"/>
  <c r="Q100" i="35"/>
  <c r="Q99" i="35"/>
  <c r="Q98" i="35"/>
  <c r="Q97" i="35"/>
  <c r="Q96" i="35"/>
  <c r="Q95" i="35"/>
  <c r="Q94" i="35"/>
  <c r="Q93" i="35"/>
  <c r="Q92" i="35"/>
  <c r="Q91" i="35"/>
  <c r="Q90" i="35"/>
  <c r="Q89" i="35"/>
  <c r="Q88" i="35"/>
  <c r="Q87" i="35"/>
  <c r="Q86" i="35"/>
  <c r="Q85" i="35"/>
  <c r="Q84" i="35"/>
  <c r="Q83" i="35"/>
  <c r="Q82" i="35"/>
  <c r="Q81" i="35"/>
  <c r="Q80" i="35"/>
  <c r="Q79" i="35"/>
  <c r="Q78" i="35"/>
  <c r="Q77" i="35"/>
  <c r="Q76" i="35"/>
  <c r="Q75" i="35"/>
  <c r="Q74" i="35"/>
  <c r="Q73" i="35"/>
  <c r="Q72" i="35"/>
  <c r="Q71" i="35"/>
  <c r="Q70" i="35"/>
  <c r="Q69" i="35"/>
  <c r="Q68" i="35"/>
  <c r="Q67" i="35"/>
  <c r="Q66" i="35"/>
  <c r="Q65" i="35"/>
  <c r="Q64" i="35"/>
  <c r="Q63" i="35"/>
  <c r="Q62" i="35"/>
  <c r="Q61" i="35"/>
  <c r="Q60" i="35"/>
  <c r="Q59" i="35"/>
  <c r="Q58" i="35"/>
  <c r="Q57" i="35"/>
  <c r="Q56" i="35"/>
  <c r="Q55" i="35"/>
  <c r="Q54" i="35"/>
  <c r="Q53" i="35"/>
  <c r="Q52" i="35"/>
  <c r="Q51" i="35"/>
  <c r="Q50" i="35"/>
  <c r="Q49" i="35"/>
  <c r="Q48" i="35"/>
  <c r="Q47" i="35"/>
  <c r="Q46" i="35"/>
  <c r="Q45" i="35"/>
  <c r="Q44" i="35"/>
  <c r="Q43" i="35"/>
  <c r="Q42" i="35"/>
  <c r="Q41" i="35"/>
  <c r="Q40" i="35"/>
  <c r="Q39" i="35"/>
  <c r="Q38" i="35"/>
  <c r="Q37" i="35"/>
  <c r="Q36" i="35"/>
  <c r="Q35" i="35"/>
  <c r="Q34" i="35"/>
  <c r="Q33" i="35"/>
  <c r="Q32" i="35"/>
  <c r="Q31" i="35"/>
  <c r="Q30" i="35"/>
  <c r="Q29" i="35"/>
  <c r="Q28" i="35"/>
  <c r="Q27" i="35"/>
  <c r="Q26" i="35"/>
  <c r="Q25" i="35"/>
  <c r="Q24" i="35"/>
  <c r="Q23" i="35"/>
  <c r="Q22" i="35"/>
  <c r="Q21" i="35"/>
  <c r="Q20" i="35"/>
  <c r="Q19" i="35"/>
  <c r="Q18" i="35"/>
  <c r="Q17" i="35"/>
  <c r="Q16" i="35"/>
  <c r="Q15" i="35"/>
  <c r="Q14" i="35"/>
  <c r="Q13" i="35"/>
  <c r="Q12" i="35"/>
  <c r="Q11" i="35"/>
  <c r="Q510" i="14"/>
  <c r="Q509" i="14"/>
  <c r="Q508" i="14"/>
  <c r="Q507" i="14"/>
  <c r="Q506" i="14"/>
  <c r="Q505" i="14"/>
  <c r="Q504" i="14"/>
  <c r="Q503" i="14"/>
  <c r="Q502" i="14"/>
  <c r="Q501" i="14"/>
  <c r="Q500" i="14"/>
  <c r="Q499" i="14"/>
  <c r="Q498" i="14"/>
  <c r="Q497" i="14"/>
  <c r="Q496" i="14"/>
  <c r="Q495" i="14"/>
  <c r="Q494" i="14"/>
  <c r="Q493" i="14"/>
  <c r="Q492" i="14"/>
  <c r="Q491" i="14"/>
  <c r="Q490" i="14"/>
  <c r="Q489" i="14"/>
  <c r="Q488" i="14"/>
  <c r="Q487" i="14"/>
  <c r="Q486" i="14"/>
  <c r="Q485" i="14"/>
  <c r="Q484" i="14"/>
  <c r="Q483" i="14"/>
  <c r="Q482" i="14"/>
  <c r="Q481" i="14"/>
  <c r="Q480" i="14"/>
  <c r="Q479" i="14"/>
  <c r="Q478" i="14"/>
  <c r="Q477" i="14"/>
  <c r="Q476" i="14"/>
  <c r="Q475" i="14"/>
  <c r="Q474" i="14"/>
  <c r="Q473" i="14"/>
  <c r="Q472" i="14"/>
  <c r="Q471" i="14"/>
  <c r="Q470" i="14"/>
  <c r="Q469" i="14"/>
  <c r="Q468" i="14"/>
  <c r="Q467" i="14"/>
  <c r="Q466" i="14"/>
  <c r="Q465" i="14"/>
  <c r="Q464" i="14"/>
  <c r="Q463" i="14"/>
  <c r="Q462" i="14"/>
  <c r="Q461" i="14"/>
  <c r="Q460" i="14"/>
  <c r="Q459" i="14"/>
  <c r="Q458" i="14"/>
  <c r="Q457" i="14"/>
  <c r="Q456" i="14"/>
  <c r="Q455" i="14"/>
  <c r="Q454" i="14"/>
  <c r="Q453" i="14"/>
  <c r="Q452" i="14"/>
  <c r="Q451" i="14"/>
  <c r="Q450" i="14"/>
  <c r="Q449" i="14"/>
  <c r="Q448" i="14"/>
  <c r="Q447" i="14"/>
  <c r="Q446" i="14"/>
  <c r="Q445" i="14"/>
  <c r="Q444" i="14"/>
  <c r="Q443" i="14"/>
  <c r="Q442" i="14"/>
  <c r="Q441" i="14"/>
  <c r="Q440" i="14"/>
  <c r="Q439" i="14"/>
  <c r="Q438" i="14"/>
  <c r="Q437" i="14"/>
  <c r="Q436" i="14"/>
  <c r="Q435" i="14"/>
  <c r="Q434" i="14"/>
  <c r="Q433" i="14"/>
  <c r="Q432" i="14"/>
  <c r="Q431" i="14"/>
  <c r="Q430" i="14"/>
  <c r="Q429" i="14"/>
  <c r="Q428" i="14"/>
  <c r="Q427" i="14"/>
  <c r="Q426" i="14"/>
  <c r="Q425" i="14"/>
  <c r="Q424" i="14"/>
  <c r="Q423" i="14"/>
  <c r="Q422" i="14"/>
  <c r="Q421" i="14"/>
  <c r="Q420" i="14"/>
  <c r="Q419" i="14"/>
  <c r="Q418" i="14"/>
  <c r="Q417" i="14"/>
  <c r="Q416" i="14"/>
  <c r="Q415" i="14"/>
  <c r="Q414" i="14"/>
  <c r="Q413" i="14"/>
  <c r="Q412" i="14"/>
  <c r="Q411" i="14"/>
  <c r="Q410" i="14"/>
  <c r="Q409" i="14"/>
  <c r="Q408" i="14"/>
  <c r="Q407" i="14"/>
  <c r="Q406" i="14"/>
  <c r="Q405" i="14"/>
  <c r="Q404" i="14"/>
  <c r="Q403" i="14"/>
  <c r="Q402" i="14"/>
  <c r="Q401" i="14"/>
  <c r="Q400" i="14"/>
  <c r="Q399" i="14"/>
  <c r="Q398" i="14"/>
  <c r="Q397" i="14"/>
  <c r="Q396" i="14"/>
  <c r="Q395" i="14"/>
  <c r="Q394" i="14"/>
  <c r="Q393" i="14"/>
  <c r="Q392" i="14"/>
  <c r="Q391" i="14"/>
  <c r="Q390" i="14"/>
  <c r="Q389" i="14"/>
  <c r="Q388" i="14"/>
  <c r="Q387"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322" i="14"/>
  <c r="Q321" i="14"/>
  <c r="Q320" i="14"/>
  <c r="Q319" i="14"/>
  <c r="Q318" i="14"/>
  <c r="Q317" i="14"/>
  <c r="Q316" i="14"/>
  <c r="Q315" i="14"/>
  <c r="Q314" i="14"/>
  <c r="Q313" i="14"/>
  <c r="Q312" i="14"/>
  <c r="Q311" i="14"/>
  <c r="Q310" i="14"/>
  <c r="Q309" i="14"/>
  <c r="Q308" i="14"/>
  <c r="Q307" i="14"/>
  <c r="Q306" i="14"/>
  <c r="Q305" i="14"/>
  <c r="Q304" i="14"/>
  <c r="Q303" i="14"/>
  <c r="Q302" i="14"/>
  <c r="Q301" i="14"/>
  <c r="Q300" i="14"/>
  <c r="Q299" i="14"/>
  <c r="Q298" i="14"/>
  <c r="Q297" i="14"/>
  <c r="Q296" i="14"/>
  <c r="Q295" i="14"/>
  <c r="Q294" i="14"/>
  <c r="Q293" i="14"/>
  <c r="Q292" i="14"/>
  <c r="Q291" i="14"/>
  <c r="Q290" i="14"/>
  <c r="Q289" i="14"/>
  <c r="Q288" i="14"/>
  <c r="Q287" i="14"/>
  <c r="Q286" i="14"/>
  <c r="Q285" i="14"/>
  <c r="Q284" i="14"/>
  <c r="Q283" i="14"/>
  <c r="Q282" i="14"/>
  <c r="Q281" i="14"/>
  <c r="Q280" i="14"/>
  <c r="Q279" i="14"/>
  <c r="Q278" i="14"/>
  <c r="Q277" i="14"/>
  <c r="Q276" i="14"/>
  <c r="Q275" i="14"/>
  <c r="Q274" i="14"/>
  <c r="Q273" i="14"/>
  <c r="Q272" i="14"/>
  <c r="Q271" i="14"/>
  <c r="Q270" i="14"/>
  <c r="Q269" i="14"/>
  <c r="Q268" i="14"/>
  <c r="Q267" i="14"/>
  <c r="Q266" i="14"/>
  <c r="Q265" i="14"/>
  <c r="Q264" i="14"/>
  <c r="Q263" i="14"/>
  <c r="Q262" i="14"/>
  <c r="Q261" i="14"/>
  <c r="Q260" i="14"/>
  <c r="Q259" i="14"/>
  <c r="Q258" i="14"/>
  <c r="Q257" i="14"/>
  <c r="Q256" i="14"/>
  <c r="Q255" i="14"/>
  <c r="Q254" i="14"/>
  <c r="Q253" i="14"/>
  <c r="Q252" i="14"/>
  <c r="Q251" i="14"/>
  <c r="Q250" i="14"/>
  <c r="Q249" i="14"/>
  <c r="Q248" i="14"/>
  <c r="Q247" i="14"/>
  <c r="Q246" i="14"/>
  <c r="Q245" i="14"/>
  <c r="Q244" i="14"/>
  <c r="Q243" i="14"/>
  <c r="Q242" i="14"/>
  <c r="Q241" i="14"/>
  <c r="Q240" i="14"/>
  <c r="Q239" i="14"/>
  <c r="Q238" i="14"/>
  <c r="Q237" i="14"/>
  <c r="Q236" i="14"/>
  <c r="Q235" i="14"/>
  <c r="Q234" i="14"/>
  <c r="Q233" i="14"/>
  <c r="Q232" i="14"/>
  <c r="Q231" i="14"/>
  <c r="Q230" i="14"/>
  <c r="Q229" i="14"/>
  <c r="Q228" i="14"/>
  <c r="Q227" i="14"/>
  <c r="Q226" i="14"/>
  <c r="Q225" i="14"/>
  <c r="Q224" i="14"/>
  <c r="Q223" i="14"/>
  <c r="Q222" i="14"/>
  <c r="Q221" i="14"/>
  <c r="Q220" i="14"/>
  <c r="Q219" i="14"/>
  <c r="Q218" i="14"/>
  <c r="Q217" i="14"/>
  <c r="Q216" i="14"/>
  <c r="Q215" i="14"/>
  <c r="Q214" i="14"/>
  <c r="Q213" i="14"/>
  <c r="Q212" i="14"/>
  <c r="Q211" i="14"/>
  <c r="Q210" i="14"/>
  <c r="Q209" i="14"/>
  <c r="Q208" i="14"/>
  <c r="Q207" i="14"/>
  <c r="Q206" i="14"/>
  <c r="Q205" i="14"/>
  <c r="Q204" i="14"/>
  <c r="Q203" i="14"/>
  <c r="Q202" i="14"/>
  <c r="Q201" i="14"/>
  <c r="Q200" i="14"/>
  <c r="Q199" i="14"/>
  <c r="Q198" i="14"/>
  <c r="Q197" i="14"/>
  <c r="Q196" i="14"/>
  <c r="Q195" i="14"/>
  <c r="Q194" i="14"/>
  <c r="Q193" i="14"/>
  <c r="Q192" i="14"/>
  <c r="Q191" i="14"/>
  <c r="Q190" i="14"/>
  <c r="Q189" i="14"/>
  <c r="Q188" i="14"/>
  <c r="Q187" i="14"/>
  <c r="Q186" i="14"/>
  <c r="Q185" i="14"/>
  <c r="Q184" i="14"/>
  <c r="Q183" i="14"/>
  <c r="Q182" i="14"/>
  <c r="Q181" i="14"/>
  <c r="Q180" i="14"/>
  <c r="Q179" i="14"/>
  <c r="Q178" i="14"/>
  <c r="Q177" i="14"/>
  <c r="Q176" i="14"/>
  <c r="Q175" i="14"/>
  <c r="Q174" i="14"/>
  <c r="Q173" i="14"/>
  <c r="Q172" i="14"/>
  <c r="Q171" i="14"/>
  <c r="Q170" i="14"/>
  <c r="Q169" i="14"/>
  <c r="Q168" i="14"/>
  <c r="Q167" i="14"/>
  <c r="Q166" i="14"/>
  <c r="Q165" i="14"/>
  <c r="Q164" i="14"/>
  <c r="Q163" i="14"/>
  <c r="Q162" i="14"/>
  <c r="Q161" i="14"/>
  <c r="Q160" i="14"/>
  <c r="Q159" i="14"/>
  <c r="Q158" i="14"/>
  <c r="Q157" i="14"/>
  <c r="Q156" i="14"/>
  <c r="Q155" i="14"/>
  <c r="Q154" i="14"/>
  <c r="Q153" i="14"/>
  <c r="Q152" i="14"/>
  <c r="Q151" i="14"/>
  <c r="Q150" i="14"/>
  <c r="Q149" i="14"/>
  <c r="Q148" i="14"/>
  <c r="Q147" i="14"/>
  <c r="Q146" i="14"/>
  <c r="Q145" i="14"/>
  <c r="Q144" i="14"/>
  <c r="Q143" i="14"/>
  <c r="Q142" i="14"/>
  <c r="Q141" i="14"/>
  <c r="Q140" i="14"/>
  <c r="Q139" i="14"/>
  <c r="Q138" i="14"/>
  <c r="Q137" i="14"/>
  <c r="Q136" i="14"/>
  <c r="Q135" i="14"/>
  <c r="Q134" i="14"/>
  <c r="Q133" i="14"/>
  <c r="Q132" i="14"/>
  <c r="Q131" i="14"/>
  <c r="Q130" i="14"/>
  <c r="Q129" i="14"/>
  <c r="Q128" i="14"/>
  <c r="Q127" i="14"/>
  <c r="Q126" i="14"/>
  <c r="Q125" i="14"/>
  <c r="Q124" i="14"/>
  <c r="Q123" i="14"/>
  <c r="Q122" i="14"/>
  <c r="Q121" i="14"/>
  <c r="Q120" i="14"/>
  <c r="Q119" i="14"/>
  <c r="Q118" i="14"/>
  <c r="Q117" i="14"/>
  <c r="Q116" i="14"/>
  <c r="Q115" i="14"/>
  <c r="Q114" i="14"/>
  <c r="Q113" i="14"/>
  <c r="Q112" i="14"/>
  <c r="Q111" i="14"/>
  <c r="Q110" i="14"/>
  <c r="Q109" i="14"/>
  <c r="Q108" i="14"/>
  <c r="Q107" i="14"/>
  <c r="Q106" i="14"/>
  <c r="Q105" i="14"/>
  <c r="Q104" i="14"/>
  <c r="Q103" i="14"/>
  <c r="Q102" i="14"/>
  <c r="Q101" i="14"/>
  <c r="Q100" i="14"/>
  <c r="Q99" i="14"/>
  <c r="Q98" i="14"/>
  <c r="Q97" i="14"/>
  <c r="Q96" i="14"/>
  <c r="Q95" i="14"/>
  <c r="Q94" i="14"/>
  <c r="Q93" i="14"/>
  <c r="Q92" i="14"/>
  <c r="Q91" i="14"/>
  <c r="Q90" i="14"/>
  <c r="Q89" i="14"/>
  <c r="Q88" i="14"/>
  <c r="Q87" i="14"/>
  <c r="Q86" i="14"/>
  <c r="Q85" i="14"/>
  <c r="Q84" i="14"/>
  <c r="Q83" i="14"/>
  <c r="Q82" i="14"/>
  <c r="Q81" i="14"/>
  <c r="Q80" i="14"/>
  <c r="Q79" i="14"/>
  <c r="Q78" i="14"/>
  <c r="Q77" i="14"/>
  <c r="Q76" i="14"/>
  <c r="Q75" i="14"/>
  <c r="Q74" i="14"/>
  <c r="Q73" i="14"/>
  <c r="Q72" i="14"/>
  <c r="Q71" i="14"/>
  <c r="Q70" i="14"/>
  <c r="Q69" i="14"/>
  <c r="Q68" i="14"/>
  <c r="Q67" i="14"/>
  <c r="Q66" i="14"/>
  <c r="Q65" i="14"/>
  <c r="Q64" i="14"/>
  <c r="Q63" i="14"/>
  <c r="Q62" i="14"/>
  <c r="Q61" i="14"/>
  <c r="Q60" i="14"/>
  <c r="Q59" i="14"/>
  <c r="Q58" i="14"/>
  <c r="Q57" i="14"/>
  <c r="Q56" i="14"/>
  <c r="Q55" i="14"/>
  <c r="Q54" i="14"/>
  <c r="Q53" i="14"/>
  <c r="Q52" i="14"/>
  <c r="Q51" i="14"/>
  <c r="Q50" i="14"/>
  <c r="Q49" i="14"/>
  <c r="Q48" i="14"/>
  <c r="Q47" i="14"/>
  <c r="Q46" i="14"/>
  <c r="Q45" i="14"/>
  <c r="Q44" i="14"/>
  <c r="Q43" i="14"/>
  <c r="Q42" i="14"/>
  <c r="Q41" i="14"/>
  <c r="Q40" i="14"/>
  <c r="Q39" i="14"/>
  <c r="Q38" i="14"/>
  <c r="Q37" i="14"/>
  <c r="Q36" i="14"/>
  <c r="Q35" i="14"/>
  <c r="Q34" i="14"/>
  <c r="Q33" i="14"/>
  <c r="Q32" i="14"/>
  <c r="Q31" i="14"/>
  <c r="Q30" i="14"/>
  <c r="Q29" i="14"/>
  <c r="Q28" i="14"/>
  <c r="Q27" i="14"/>
  <c r="Q26" i="14"/>
  <c r="Q25" i="14"/>
  <c r="Q24" i="14"/>
  <c r="Q23" i="14"/>
  <c r="Q22" i="14"/>
  <c r="Q21" i="14"/>
  <c r="Q20" i="14"/>
  <c r="Q19" i="14"/>
  <c r="Q18" i="14"/>
  <c r="Q17" i="14"/>
  <c r="Q16" i="14"/>
  <c r="Q15" i="14"/>
  <c r="Q14" i="14"/>
  <c r="Q13" i="14"/>
  <c r="Q12" i="14"/>
  <c r="Q11" i="14"/>
  <c r="P500" i="14"/>
  <c r="P499" i="14"/>
  <c r="P498" i="14"/>
  <c r="P497" i="14"/>
  <c r="P496" i="14"/>
  <c r="P495" i="14"/>
  <c r="P494" i="14"/>
  <c r="P493" i="14"/>
  <c r="P492" i="14"/>
  <c r="P491" i="14"/>
  <c r="P490" i="14"/>
  <c r="P489" i="14"/>
  <c r="P488" i="14"/>
  <c r="P487" i="14"/>
  <c r="P486" i="14"/>
  <c r="P485" i="14"/>
  <c r="P484" i="14"/>
  <c r="P483" i="14"/>
  <c r="P482" i="14"/>
  <c r="P481" i="14"/>
  <c r="P480" i="14"/>
  <c r="P479" i="14"/>
  <c r="P478" i="14"/>
  <c r="P477" i="14"/>
  <c r="P476" i="14"/>
  <c r="P475" i="14"/>
  <c r="P474" i="14"/>
  <c r="P473" i="14"/>
  <c r="P472" i="14"/>
  <c r="P471" i="14"/>
  <c r="P470" i="14"/>
  <c r="P469" i="14"/>
  <c r="P468" i="14"/>
  <c r="P467" i="14"/>
  <c r="P466" i="14"/>
  <c r="P465" i="14"/>
  <c r="P464" i="14"/>
  <c r="P463" i="14"/>
  <c r="P462" i="14"/>
  <c r="P461" i="14"/>
  <c r="P460" i="14"/>
  <c r="P459" i="14"/>
  <c r="P458" i="14"/>
  <c r="P457" i="14"/>
  <c r="P456" i="14"/>
  <c r="P455" i="14"/>
  <c r="P454" i="14"/>
  <c r="P453" i="14"/>
  <c r="P452" i="14"/>
  <c r="P451" i="14"/>
  <c r="P450" i="14"/>
  <c r="P449" i="14"/>
  <c r="P448" i="14"/>
  <c r="P447" i="14"/>
  <c r="P446" i="14"/>
  <c r="P445" i="14"/>
  <c r="P444" i="14"/>
  <c r="P443" i="14"/>
  <c r="P442" i="14"/>
  <c r="P441" i="14"/>
  <c r="P440" i="14"/>
  <c r="P439" i="14"/>
  <c r="P438" i="14"/>
  <c r="P437" i="14"/>
  <c r="P436" i="14"/>
  <c r="P435" i="14"/>
  <c r="P434" i="14"/>
  <c r="P433" i="14"/>
  <c r="P432" i="14"/>
  <c r="P431" i="14"/>
  <c r="P430" i="14"/>
  <c r="P429" i="14"/>
  <c r="P428" i="14"/>
  <c r="P427" i="14"/>
  <c r="P426" i="14"/>
  <c r="P425" i="14"/>
  <c r="P424" i="14"/>
  <c r="P423" i="14"/>
  <c r="P422" i="14"/>
  <c r="P421" i="14"/>
  <c r="P420" i="14"/>
  <c r="P419" i="14"/>
  <c r="P418" i="14"/>
  <c r="P417" i="14"/>
  <c r="P416" i="14"/>
  <c r="P415" i="14"/>
  <c r="P414" i="14"/>
  <c r="P413" i="14"/>
  <c r="P412" i="14"/>
  <c r="P411" i="14"/>
  <c r="P410" i="14"/>
  <c r="P409" i="14"/>
  <c r="P408" i="14"/>
  <c r="P407" i="14"/>
  <c r="P406" i="14"/>
  <c r="P405" i="14"/>
  <c r="P404" i="14"/>
  <c r="P403" i="14"/>
  <c r="P402" i="14"/>
  <c r="P401" i="14"/>
  <c r="P400" i="14"/>
  <c r="P399" i="14"/>
  <c r="P398" i="14"/>
  <c r="P397" i="14"/>
  <c r="P396" i="14"/>
  <c r="P395" i="14"/>
  <c r="P394" i="14"/>
  <c r="P393" i="14"/>
  <c r="P392" i="14"/>
  <c r="P391" i="14"/>
  <c r="P390" i="14"/>
  <c r="P389" i="14"/>
  <c r="P388" i="14"/>
  <c r="P387" i="14"/>
  <c r="P386" i="14"/>
  <c r="P385" i="14"/>
  <c r="P384" i="14"/>
  <c r="P383" i="14"/>
  <c r="P382" i="14"/>
  <c r="P381" i="14"/>
  <c r="P380" i="14"/>
  <c r="P379" i="14"/>
  <c r="P378" i="14"/>
  <c r="P377" i="14"/>
  <c r="P376" i="14"/>
  <c r="P375" i="14"/>
  <c r="P374" i="14"/>
  <c r="P373" i="14"/>
  <c r="P372" i="14"/>
  <c r="P371" i="14"/>
  <c r="P370" i="14"/>
  <c r="P369" i="14"/>
  <c r="P368" i="14"/>
  <c r="P367" i="14"/>
  <c r="P366" i="14"/>
  <c r="P365" i="14"/>
  <c r="P364" i="14"/>
  <c r="P363" i="14"/>
  <c r="P362" i="14"/>
  <c r="P361" i="14"/>
  <c r="P360" i="14"/>
  <c r="P359" i="14"/>
  <c r="P358" i="14"/>
  <c r="P357" i="14"/>
  <c r="P356" i="14"/>
  <c r="P355" i="14"/>
  <c r="P354" i="14"/>
  <c r="P353" i="14"/>
  <c r="P352" i="14"/>
  <c r="P351" i="14"/>
  <c r="P350" i="14"/>
  <c r="P349" i="14"/>
  <c r="P348" i="14"/>
  <c r="P347" i="14"/>
  <c r="P346" i="14"/>
  <c r="P345" i="14"/>
  <c r="P344" i="14"/>
  <c r="P343" i="14"/>
  <c r="P342" i="14"/>
  <c r="P341" i="14"/>
  <c r="P340" i="14"/>
  <c r="P339" i="14"/>
  <c r="P338" i="14"/>
  <c r="P337" i="14"/>
  <c r="P336" i="14"/>
  <c r="P335" i="14"/>
  <c r="P334" i="14"/>
  <c r="P333" i="14"/>
  <c r="P332" i="14"/>
  <c r="P331" i="14"/>
  <c r="P330" i="14"/>
  <c r="P329" i="14"/>
  <c r="P328" i="14"/>
  <c r="P327" i="14"/>
  <c r="P326" i="14"/>
  <c r="P325" i="14"/>
  <c r="P324" i="14"/>
  <c r="P323" i="14"/>
  <c r="P322" i="14"/>
  <c r="P321" i="14"/>
  <c r="P320" i="14"/>
  <c r="P319" i="14"/>
  <c r="P318" i="14"/>
  <c r="P317" i="14"/>
  <c r="P316" i="14"/>
  <c r="P315" i="14"/>
  <c r="P314" i="14"/>
  <c r="P313" i="14"/>
  <c r="P312" i="14"/>
  <c r="P311" i="14"/>
  <c r="P310" i="14"/>
  <c r="P309" i="14"/>
  <c r="P308" i="14"/>
  <c r="P307" i="14"/>
  <c r="P306" i="14"/>
  <c r="P305" i="14"/>
  <c r="P304" i="14"/>
  <c r="P303" i="14"/>
  <c r="P302" i="14"/>
  <c r="P301" i="14"/>
  <c r="P300" i="14"/>
  <c r="P299" i="14"/>
  <c r="P298" i="14"/>
  <c r="P297" i="14"/>
  <c r="P296" i="14"/>
  <c r="P295" i="14"/>
  <c r="P294" i="14"/>
  <c r="P293" i="14"/>
  <c r="P292" i="14"/>
  <c r="P291" i="14"/>
  <c r="P290" i="14"/>
  <c r="P289" i="14"/>
  <c r="P288" i="14"/>
  <c r="P287" i="14"/>
  <c r="P286" i="14"/>
  <c r="P285" i="14"/>
  <c r="P284" i="14"/>
  <c r="P283" i="14"/>
  <c r="P282" i="14"/>
  <c r="P281" i="14"/>
  <c r="P280" i="14"/>
  <c r="P279" i="14"/>
  <c r="P278" i="14"/>
  <c r="P277" i="14"/>
  <c r="P276" i="14"/>
  <c r="P275" i="14"/>
  <c r="P274" i="14"/>
  <c r="P273" i="14"/>
  <c r="P272" i="14"/>
  <c r="P271" i="14"/>
  <c r="P270" i="14"/>
  <c r="P269" i="14"/>
  <c r="P268" i="14"/>
  <c r="P267" i="14"/>
  <c r="P266" i="14"/>
  <c r="P265" i="14"/>
  <c r="P264" i="14"/>
  <c r="P263" i="14"/>
  <c r="P262" i="14"/>
  <c r="P261" i="14"/>
  <c r="P260" i="14"/>
  <c r="P259" i="14"/>
  <c r="P258" i="14"/>
  <c r="P257" i="14"/>
  <c r="P256" i="14"/>
  <c r="P255" i="14"/>
  <c r="P254" i="14"/>
  <c r="P253" i="14"/>
  <c r="P252" i="14"/>
  <c r="P251" i="14"/>
  <c r="P250" i="14"/>
  <c r="P249" i="14"/>
  <c r="P248" i="14"/>
  <c r="P247" i="14"/>
  <c r="P246" i="14"/>
  <c r="P245" i="14"/>
  <c r="P244" i="14"/>
  <c r="P243" i="14"/>
  <c r="P242" i="14"/>
  <c r="P241" i="14"/>
  <c r="P240" i="14"/>
  <c r="P239" i="14"/>
  <c r="P238" i="14"/>
  <c r="P237" i="14"/>
  <c r="P236" i="14"/>
  <c r="P235" i="14"/>
  <c r="P234" i="14"/>
  <c r="P233" i="14"/>
  <c r="P232" i="14"/>
  <c r="P231" i="14"/>
  <c r="P230" i="14"/>
  <c r="P229" i="14"/>
  <c r="P228" i="14"/>
  <c r="P227" i="14"/>
  <c r="P226" i="14"/>
  <c r="P225" i="14"/>
  <c r="P224" i="14"/>
  <c r="P223" i="14"/>
  <c r="P222" i="14"/>
  <c r="P221" i="14"/>
  <c r="P220" i="14"/>
  <c r="P219" i="14"/>
  <c r="P218" i="14"/>
  <c r="P217" i="14"/>
  <c r="P216" i="14"/>
  <c r="P215" i="14"/>
  <c r="P214" i="14"/>
  <c r="P213" i="14"/>
  <c r="P212" i="14"/>
  <c r="P211" i="14"/>
  <c r="P210" i="14"/>
  <c r="P209" i="14"/>
  <c r="P208" i="14"/>
  <c r="P207" i="14"/>
  <c r="P206" i="14"/>
  <c r="P205" i="14"/>
  <c r="P204" i="14"/>
  <c r="P203" i="14"/>
  <c r="P202" i="14"/>
  <c r="P201" i="14"/>
  <c r="P200" i="14"/>
  <c r="P199" i="14"/>
  <c r="P198" i="14"/>
  <c r="P197" i="14"/>
  <c r="P196" i="14"/>
  <c r="P195" i="14"/>
  <c r="P194" i="14"/>
  <c r="P193" i="14"/>
  <c r="P192" i="14"/>
  <c r="P191" i="14"/>
  <c r="P190" i="14"/>
  <c r="P189" i="14"/>
  <c r="P188" i="14"/>
  <c r="P187" i="14"/>
  <c r="P186" i="14"/>
  <c r="P185" i="14"/>
  <c r="P184" i="14"/>
  <c r="P183" i="14"/>
  <c r="P182" i="14"/>
  <c r="P181" i="14"/>
  <c r="P180" i="14"/>
  <c r="P179" i="14"/>
  <c r="P178" i="14"/>
  <c r="P177" i="14"/>
  <c r="P176" i="14"/>
  <c r="P175" i="14"/>
  <c r="P174" i="14"/>
  <c r="P173" i="14"/>
  <c r="P172" i="14"/>
  <c r="P171" i="14"/>
  <c r="P170" i="14"/>
  <c r="P169" i="14"/>
  <c r="P168" i="14"/>
  <c r="P167" i="14"/>
  <c r="P166" i="14"/>
  <c r="P165" i="14"/>
  <c r="P164" i="14"/>
  <c r="P163" i="14"/>
  <c r="P162" i="14"/>
  <c r="P161" i="14"/>
  <c r="P160" i="14"/>
  <c r="P159" i="14"/>
  <c r="P158" i="14"/>
  <c r="P157" i="14"/>
  <c r="P156" i="14"/>
  <c r="P155" i="14"/>
  <c r="P154" i="14"/>
  <c r="P153" i="14"/>
  <c r="P152" i="14"/>
  <c r="P151" i="14"/>
  <c r="P150" i="14"/>
  <c r="P149" i="14"/>
  <c r="P148" i="14"/>
  <c r="P147" i="14"/>
  <c r="P146" i="14"/>
  <c r="P145" i="14"/>
  <c r="P144" i="14"/>
  <c r="P143" i="14"/>
  <c r="P142" i="14"/>
  <c r="P141" i="14"/>
  <c r="P140" i="14"/>
  <c r="P139" i="14"/>
  <c r="P138" i="14"/>
  <c r="P137" i="14"/>
  <c r="P136" i="14"/>
  <c r="P135" i="14"/>
  <c r="P134" i="14"/>
  <c r="P133" i="14"/>
  <c r="P132" i="14"/>
  <c r="P131" i="14"/>
  <c r="P130" i="14"/>
  <c r="P129" i="14"/>
  <c r="P128" i="14"/>
  <c r="P127" i="14"/>
  <c r="P126" i="14"/>
  <c r="P125" i="14"/>
  <c r="P124" i="14"/>
  <c r="P123" i="14"/>
  <c r="P122" i="14"/>
  <c r="P121" i="14"/>
  <c r="P120" i="14"/>
  <c r="P119" i="14"/>
  <c r="P118" i="14"/>
  <c r="P117" i="14"/>
  <c r="P116" i="14"/>
  <c r="P115" i="14"/>
  <c r="P114" i="14"/>
  <c r="P113" i="14"/>
  <c r="P112" i="14"/>
  <c r="P111" i="14"/>
  <c r="P110" i="14"/>
  <c r="P109" i="14"/>
  <c r="P108" i="14"/>
  <c r="P107" i="14"/>
  <c r="P106" i="14"/>
  <c r="P105" i="14"/>
  <c r="P104" i="14"/>
  <c r="P103" i="14"/>
  <c r="P102" i="14"/>
  <c r="P101" i="14"/>
  <c r="P100" i="14"/>
  <c r="P99" i="14"/>
  <c r="P98" i="14"/>
  <c r="P97" i="14"/>
  <c r="P96" i="14"/>
  <c r="P95" i="14"/>
  <c r="P94" i="14"/>
  <c r="P93" i="14"/>
  <c r="P92" i="14"/>
  <c r="P91" i="14"/>
  <c r="P90" i="14"/>
  <c r="P89" i="14"/>
  <c r="P88" i="14"/>
  <c r="P87" i="14"/>
  <c r="P86" i="14"/>
  <c r="P85" i="14"/>
  <c r="P84" i="14"/>
  <c r="P83" i="14"/>
  <c r="P82" i="14"/>
  <c r="P81" i="14"/>
  <c r="P80" i="14"/>
  <c r="P79" i="14"/>
  <c r="P78" i="14"/>
  <c r="P77" i="14"/>
  <c r="P76" i="14"/>
  <c r="P75" i="14"/>
  <c r="P74" i="14"/>
  <c r="P73" i="14"/>
  <c r="P72" i="14"/>
  <c r="P71" i="14"/>
  <c r="P70" i="14"/>
  <c r="P69" i="14"/>
  <c r="P68" i="14"/>
  <c r="P67" i="14"/>
  <c r="P66" i="14"/>
  <c r="P65" i="14"/>
  <c r="P64" i="14"/>
  <c r="P63" i="14"/>
  <c r="P62" i="14"/>
  <c r="P61" i="14"/>
  <c r="P60" i="14"/>
  <c r="P59" i="14"/>
  <c r="P58" i="14"/>
  <c r="P57" i="14"/>
  <c r="P56" i="14"/>
  <c r="P55" i="14"/>
  <c r="P54" i="14"/>
  <c r="P53" i="14"/>
  <c r="P52" i="14"/>
  <c r="P51" i="14"/>
  <c r="P50" i="14"/>
  <c r="P49" i="14"/>
  <c r="P48" i="14"/>
  <c r="P47" i="14"/>
  <c r="P46" i="14"/>
  <c r="P45" i="14"/>
  <c r="P44" i="14"/>
  <c r="P43" i="14"/>
  <c r="P42" i="14"/>
  <c r="P41" i="14"/>
  <c r="P40" i="14"/>
  <c r="P39" i="14"/>
  <c r="P38" i="14"/>
  <c r="P37" i="14"/>
  <c r="P36" i="14"/>
  <c r="P35" i="14"/>
  <c r="P34" i="14"/>
  <c r="P33" i="14"/>
  <c r="P32" i="14"/>
  <c r="P31" i="14"/>
  <c r="P30" i="14"/>
  <c r="P29" i="14"/>
  <c r="P28" i="14"/>
  <c r="P27" i="14"/>
  <c r="P26" i="14"/>
  <c r="P25" i="14"/>
  <c r="P24" i="14"/>
  <c r="P23" i="14"/>
  <c r="P22" i="14"/>
  <c r="P21" i="14"/>
  <c r="P20" i="14"/>
  <c r="P19" i="14"/>
  <c r="P18" i="14"/>
  <c r="P17" i="14"/>
  <c r="P16" i="14"/>
  <c r="P15" i="14"/>
  <c r="P14" i="14"/>
  <c r="P13" i="14"/>
  <c r="P12" i="14"/>
  <c r="P11" i="14"/>
  <c r="O5" i="106" a="1"/>
  <c r="O5" i="106" s="1"/>
  <c r="L5" i="106"/>
  <c r="H5" i="106"/>
  <c r="L2" i="105"/>
  <c r="H4" i="105" a="1"/>
  <c r="H4" i="105" s="1"/>
  <c r="H2" i="105"/>
  <c r="J2" i="100"/>
  <c r="J3" i="100"/>
  <c r="J4" i="100"/>
  <c r="J5" i="100"/>
  <c r="J6" i="100"/>
  <c r="J7" i="100"/>
  <c r="J8" i="100"/>
  <c r="J9" i="100"/>
  <c r="J10" i="100"/>
  <c r="J11" i="100"/>
  <c r="J12" i="100"/>
  <c r="J13" i="100"/>
  <c r="J14" i="100"/>
  <c r="J15" i="100"/>
  <c r="J16" i="100"/>
  <c r="J17" i="100"/>
  <c r="J18" i="100"/>
  <c r="J19" i="100"/>
  <c r="J20" i="100"/>
  <c r="J21" i="100"/>
  <c r="J22" i="100"/>
  <c r="J23" i="100"/>
  <c r="J24" i="100"/>
  <c r="J25" i="100"/>
  <c r="J26" i="100"/>
  <c r="J27" i="100"/>
  <c r="J28" i="100"/>
  <c r="J29" i="100"/>
  <c r="J30" i="100"/>
  <c r="J31" i="100"/>
  <c r="J32" i="100"/>
  <c r="J33" i="100"/>
  <c r="J34" i="100"/>
  <c r="J35" i="100"/>
  <c r="J36" i="100"/>
  <c r="J37" i="100"/>
  <c r="J38" i="100"/>
  <c r="J39" i="100"/>
  <c r="J40" i="100"/>
  <c r="J41" i="100"/>
  <c r="J42" i="100"/>
  <c r="J43" i="100"/>
  <c r="J44" i="100"/>
  <c r="J45" i="100"/>
  <c r="J46" i="100"/>
  <c r="J47" i="100"/>
  <c r="J48" i="100"/>
  <c r="J49" i="100"/>
  <c r="J50" i="100"/>
  <c r="J51" i="100"/>
  <c r="J52" i="100"/>
  <c r="J53" i="100"/>
  <c r="J54" i="100"/>
  <c r="J55" i="100"/>
  <c r="J56" i="100"/>
  <c r="J57" i="100"/>
  <c r="J58" i="100"/>
  <c r="J59" i="100"/>
  <c r="J60" i="100"/>
  <c r="J61" i="100"/>
  <c r="J62" i="100"/>
  <c r="J63" i="100"/>
  <c r="J64" i="100"/>
  <c r="J65" i="100"/>
  <c r="J66" i="100"/>
  <c r="J67" i="100"/>
  <c r="J68" i="100"/>
  <c r="J69" i="100"/>
  <c r="J70" i="100"/>
  <c r="J71" i="100"/>
  <c r="J72" i="100"/>
  <c r="J73" i="100"/>
  <c r="J74" i="100"/>
  <c r="J75" i="100"/>
  <c r="J76" i="100"/>
  <c r="J77" i="100"/>
  <c r="J78" i="100"/>
  <c r="J79" i="100"/>
  <c r="J80" i="100"/>
  <c r="J81" i="100"/>
  <c r="J82" i="100"/>
  <c r="J83" i="100"/>
  <c r="J84" i="100"/>
  <c r="J85" i="100"/>
  <c r="J86" i="100"/>
  <c r="J87" i="100"/>
  <c r="J88" i="100"/>
  <c r="J89" i="100"/>
  <c r="J90" i="100"/>
  <c r="J91" i="100"/>
  <c r="J92" i="100"/>
  <c r="J93" i="100"/>
  <c r="J94" i="100"/>
  <c r="J95" i="100"/>
  <c r="J96" i="100"/>
  <c r="J97" i="100"/>
  <c r="J98" i="100"/>
  <c r="J99" i="100"/>
  <c r="J100" i="100"/>
  <c r="J101" i="100"/>
  <c r="J102" i="100"/>
  <c r="J103" i="100"/>
  <c r="J104" i="100"/>
  <c r="J105" i="100"/>
  <c r="J106" i="100"/>
  <c r="J107" i="100"/>
  <c r="J108" i="100"/>
  <c r="J109" i="100"/>
  <c r="J110" i="100"/>
  <c r="J111" i="100"/>
  <c r="J112" i="100"/>
  <c r="J113" i="100"/>
  <c r="J114" i="100"/>
  <c r="J115" i="100"/>
  <c r="J116" i="100"/>
  <c r="J117" i="100"/>
  <c r="J118" i="100"/>
  <c r="J119" i="100"/>
  <c r="J120" i="100"/>
  <c r="J121" i="100"/>
  <c r="J122" i="100"/>
  <c r="J123" i="100"/>
  <c r="J124" i="100"/>
  <c r="J125" i="100"/>
  <c r="J126" i="100"/>
  <c r="J127" i="100"/>
  <c r="J128" i="100"/>
  <c r="J129" i="100"/>
  <c r="J130" i="100"/>
  <c r="J131" i="100"/>
  <c r="J132" i="100"/>
  <c r="J133" i="100"/>
  <c r="J134" i="100"/>
  <c r="J135" i="100"/>
  <c r="J136" i="100"/>
  <c r="J137" i="100"/>
  <c r="J138" i="100"/>
  <c r="J139" i="100"/>
  <c r="J140" i="100"/>
  <c r="J141" i="100"/>
  <c r="J142" i="100"/>
  <c r="J143" i="100"/>
  <c r="J144" i="100"/>
  <c r="J145" i="100"/>
  <c r="J146" i="100"/>
  <c r="J147" i="100"/>
  <c r="J148" i="100"/>
  <c r="J149" i="100"/>
  <c r="J150" i="100"/>
  <c r="J151" i="100"/>
  <c r="J152" i="100"/>
  <c r="J153" i="100"/>
  <c r="J154" i="100"/>
  <c r="J155" i="100"/>
  <c r="J156" i="100"/>
  <c r="J157" i="100"/>
  <c r="J158" i="100"/>
  <c r="J159" i="100"/>
  <c r="J160" i="100"/>
  <c r="J161" i="100"/>
  <c r="J162" i="100"/>
  <c r="J163" i="100"/>
  <c r="J164" i="100"/>
  <c r="J165" i="100"/>
  <c r="J166" i="100"/>
  <c r="J167" i="100"/>
  <c r="J168" i="100"/>
  <c r="J169" i="100"/>
  <c r="J170" i="100"/>
  <c r="J171" i="100"/>
  <c r="J172" i="100"/>
  <c r="J173" i="100"/>
  <c r="J174" i="100"/>
  <c r="J175" i="100"/>
  <c r="J176" i="100"/>
  <c r="J177" i="100"/>
  <c r="J178" i="100"/>
  <c r="J179" i="100"/>
  <c r="J180" i="100"/>
  <c r="J181" i="100"/>
  <c r="J182" i="100"/>
  <c r="J183" i="100"/>
  <c r="J184" i="100"/>
  <c r="J185" i="100"/>
  <c r="J186" i="100"/>
  <c r="J187" i="100"/>
  <c r="J188" i="100"/>
  <c r="J189" i="100"/>
  <c r="J190" i="100"/>
  <c r="J191" i="100"/>
  <c r="J192" i="100"/>
  <c r="J193" i="100"/>
  <c r="J194" i="100"/>
  <c r="J195" i="100"/>
  <c r="J196" i="100"/>
  <c r="J197" i="100"/>
  <c r="J198" i="100"/>
  <c r="J199" i="100"/>
  <c r="J200" i="100"/>
  <c r="J201" i="100"/>
  <c r="J202" i="100"/>
  <c r="J203" i="100"/>
  <c r="J204" i="100"/>
  <c r="J205" i="100"/>
  <c r="J206" i="100"/>
  <c r="J207" i="100"/>
  <c r="J208" i="100"/>
  <c r="J209" i="100"/>
  <c r="J210" i="100"/>
  <c r="J211" i="100"/>
  <c r="J212" i="100"/>
  <c r="J213" i="100"/>
  <c r="J214" i="100"/>
  <c r="J215" i="100"/>
  <c r="J216" i="100"/>
  <c r="J217" i="100"/>
  <c r="J218" i="100"/>
  <c r="J219" i="100"/>
  <c r="J220" i="100"/>
  <c r="J221" i="100"/>
  <c r="J222" i="100"/>
  <c r="J223" i="100"/>
  <c r="J224" i="100"/>
  <c r="J225" i="100"/>
  <c r="J226" i="100"/>
  <c r="J227" i="100"/>
  <c r="J228" i="100"/>
  <c r="J229" i="100"/>
  <c r="J230" i="100"/>
  <c r="J231" i="100"/>
  <c r="J232" i="100"/>
  <c r="J233" i="100"/>
  <c r="J234" i="100"/>
  <c r="J235" i="100"/>
  <c r="J236" i="100"/>
  <c r="J237" i="100"/>
  <c r="J238" i="100"/>
  <c r="J239" i="100"/>
  <c r="J240" i="100"/>
  <c r="J241" i="100"/>
  <c r="J242" i="100"/>
  <c r="J243" i="100"/>
  <c r="J244" i="100"/>
  <c r="J245" i="100"/>
  <c r="J246" i="100"/>
  <c r="J247" i="100"/>
  <c r="J248" i="100"/>
  <c r="J249" i="100"/>
  <c r="J250" i="100"/>
  <c r="J251" i="100"/>
  <c r="J252" i="100"/>
  <c r="J253" i="100"/>
  <c r="J254" i="100"/>
  <c r="J255" i="100"/>
  <c r="J256" i="100"/>
  <c r="J257" i="100"/>
  <c r="J258" i="100"/>
  <c r="J259" i="100"/>
  <c r="J260" i="100"/>
  <c r="J261" i="100"/>
  <c r="J262" i="100"/>
  <c r="J263" i="100"/>
  <c r="J264" i="100"/>
  <c r="J265" i="100"/>
  <c r="J266" i="100"/>
  <c r="J267" i="100"/>
  <c r="J268" i="100"/>
  <c r="J269" i="100"/>
  <c r="J270" i="100"/>
  <c r="J271" i="100"/>
  <c r="J272" i="100"/>
  <c r="J273" i="100"/>
  <c r="J274" i="100"/>
  <c r="J275" i="100"/>
  <c r="J276" i="100"/>
  <c r="J277" i="100"/>
  <c r="J278" i="100"/>
  <c r="J279" i="100"/>
  <c r="J280" i="100"/>
  <c r="J281" i="100"/>
  <c r="J282" i="100"/>
  <c r="J283" i="100"/>
  <c r="J284" i="100"/>
  <c r="J285" i="100"/>
  <c r="J286" i="100"/>
  <c r="J287" i="100"/>
  <c r="J288" i="100"/>
  <c r="J289" i="100"/>
  <c r="J290" i="100"/>
  <c r="J291" i="100"/>
  <c r="J292" i="100"/>
  <c r="J293" i="100"/>
  <c r="J294" i="100"/>
  <c r="J295" i="100"/>
  <c r="J296" i="100"/>
  <c r="J297" i="100"/>
  <c r="J298" i="100"/>
  <c r="J299" i="100"/>
  <c r="J300" i="100"/>
  <c r="J301" i="100"/>
  <c r="J302" i="100"/>
  <c r="J303" i="100"/>
  <c r="J304" i="100"/>
  <c r="J305" i="100"/>
  <c r="J306" i="100"/>
  <c r="J307" i="100"/>
  <c r="J308" i="100"/>
  <c r="J309" i="100"/>
  <c r="J310" i="100"/>
  <c r="J311" i="100"/>
  <c r="J312" i="100"/>
  <c r="J313" i="100"/>
  <c r="J314" i="100"/>
  <c r="J315" i="100"/>
  <c r="J316" i="100"/>
  <c r="J317" i="100"/>
  <c r="J318" i="100"/>
  <c r="J319" i="100"/>
  <c r="J320" i="100"/>
  <c r="J321" i="100"/>
  <c r="J322" i="100"/>
  <c r="J323" i="100"/>
  <c r="J324" i="100"/>
  <c r="J325" i="100"/>
  <c r="J326" i="100"/>
  <c r="J327" i="100"/>
  <c r="J328" i="100"/>
  <c r="J329" i="100"/>
  <c r="J330" i="100"/>
  <c r="J331" i="100"/>
  <c r="J332" i="100"/>
  <c r="J333" i="100"/>
  <c r="J334" i="100"/>
  <c r="J335" i="100"/>
  <c r="J336" i="100"/>
  <c r="J337" i="100"/>
  <c r="J338" i="100"/>
  <c r="J339" i="100"/>
  <c r="J340" i="100"/>
  <c r="J341" i="100"/>
  <c r="J342" i="100"/>
  <c r="J343" i="100"/>
  <c r="J344" i="100"/>
  <c r="J345" i="100"/>
  <c r="J346" i="100"/>
  <c r="J347" i="100"/>
  <c r="J348" i="100"/>
  <c r="J349" i="100"/>
  <c r="J350" i="100"/>
  <c r="J351" i="100"/>
  <c r="J352" i="100"/>
  <c r="J353" i="100"/>
  <c r="J354" i="100"/>
  <c r="J355" i="100"/>
  <c r="J356" i="100"/>
  <c r="J357" i="100"/>
  <c r="J358" i="100"/>
  <c r="J359" i="100"/>
  <c r="J360" i="100"/>
  <c r="J361" i="100"/>
  <c r="J362" i="100"/>
  <c r="J363" i="100"/>
  <c r="J364" i="100"/>
  <c r="J365" i="100"/>
  <c r="J366" i="100"/>
  <c r="J367" i="100"/>
  <c r="J368" i="100"/>
  <c r="J369" i="100"/>
  <c r="J370" i="100"/>
  <c r="J371" i="100"/>
  <c r="J372" i="100"/>
  <c r="J373" i="100"/>
  <c r="J374" i="100"/>
  <c r="J375" i="100"/>
  <c r="J376" i="100"/>
  <c r="J377" i="100"/>
  <c r="J378" i="100"/>
  <c r="J379" i="100"/>
  <c r="J380" i="100"/>
  <c r="J381" i="100"/>
  <c r="J382" i="100"/>
  <c r="J383" i="100"/>
  <c r="J384" i="100"/>
  <c r="J385" i="100"/>
  <c r="J386" i="100"/>
  <c r="J387" i="100"/>
  <c r="J388" i="100"/>
  <c r="J389" i="100"/>
  <c r="J390" i="100"/>
  <c r="J391" i="100"/>
  <c r="J392" i="100"/>
  <c r="J393" i="100"/>
  <c r="J394" i="100"/>
  <c r="J395" i="100"/>
  <c r="J396" i="100"/>
  <c r="J397" i="100"/>
  <c r="J398" i="100"/>
  <c r="J399" i="100"/>
  <c r="J400" i="100"/>
  <c r="J401" i="100"/>
  <c r="J402" i="100"/>
  <c r="J403" i="100"/>
  <c r="J404" i="100"/>
  <c r="J405" i="100"/>
  <c r="J406" i="100"/>
  <c r="J407" i="100"/>
  <c r="J408" i="100"/>
  <c r="J409" i="100"/>
  <c r="J410" i="100"/>
  <c r="J411" i="100"/>
  <c r="J412" i="100"/>
  <c r="J413" i="100"/>
  <c r="J414" i="100"/>
  <c r="J415" i="100"/>
  <c r="J416" i="100"/>
  <c r="J417" i="100"/>
  <c r="J418" i="100"/>
  <c r="J419" i="100"/>
  <c r="J420" i="100"/>
  <c r="J421" i="100"/>
  <c r="J422" i="100"/>
  <c r="J423" i="100"/>
  <c r="J424" i="100"/>
  <c r="J425" i="100"/>
  <c r="J426" i="100"/>
  <c r="J427" i="100"/>
  <c r="J428" i="100"/>
  <c r="J429" i="100"/>
  <c r="J430" i="100"/>
  <c r="J431" i="100"/>
  <c r="J432" i="100"/>
  <c r="J433" i="100"/>
  <c r="J434" i="100"/>
  <c r="J435" i="100"/>
  <c r="J436" i="100"/>
  <c r="J437" i="100"/>
  <c r="J438" i="100"/>
  <c r="J439" i="100"/>
  <c r="J440" i="100"/>
  <c r="J441" i="100"/>
  <c r="J442" i="100"/>
  <c r="J443" i="100"/>
  <c r="J444" i="100"/>
  <c r="J445" i="100"/>
  <c r="J446" i="100"/>
  <c r="J447" i="100"/>
  <c r="J448" i="100"/>
  <c r="J449" i="100"/>
  <c r="J450" i="100"/>
  <c r="J451" i="100"/>
  <c r="J452" i="100"/>
  <c r="J453" i="100"/>
  <c r="J454" i="100"/>
  <c r="J455" i="100"/>
  <c r="J456" i="100"/>
  <c r="J457" i="100"/>
  <c r="J458" i="100"/>
  <c r="J459" i="100"/>
  <c r="J460" i="100"/>
  <c r="J461" i="100"/>
  <c r="J462" i="100"/>
  <c r="J463" i="100"/>
  <c r="J464" i="100"/>
  <c r="J465" i="100"/>
  <c r="J466" i="100"/>
  <c r="J467" i="100"/>
  <c r="J468" i="100"/>
  <c r="J469" i="100"/>
  <c r="J470" i="100"/>
  <c r="J471" i="100"/>
  <c r="J472" i="100"/>
  <c r="J473" i="100"/>
  <c r="J474" i="100"/>
  <c r="J475" i="100"/>
  <c r="J476" i="100"/>
  <c r="J477" i="100"/>
  <c r="J478" i="100"/>
  <c r="J479" i="100"/>
  <c r="J480" i="100"/>
  <c r="J481" i="100"/>
  <c r="J482" i="100"/>
  <c r="J483" i="100"/>
  <c r="J484" i="100"/>
  <c r="J485" i="100"/>
  <c r="J486" i="100"/>
  <c r="J487" i="100"/>
  <c r="J488" i="100"/>
  <c r="J489" i="100"/>
  <c r="J490" i="100"/>
  <c r="J491" i="100"/>
  <c r="J492" i="100"/>
  <c r="J493" i="100"/>
  <c r="J494" i="100"/>
  <c r="J495" i="100"/>
  <c r="J496" i="100"/>
  <c r="J497" i="100"/>
  <c r="J498" i="100"/>
  <c r="J499" i="100"/>
  <c r="J500" i="100"/>
  <c r="J501" i="100"/>
  <c r="G489" i="100"/>
  <c r="G452" i="100"/>
  <c r="G445" i="100"/>
  <c r="G429" i="100"/>
  <c r="G427" i="100"/>
  <c r="G391" i="100"/>
  <c r="G387" i="100"/>
  <c r="G385" i="100"/>
  <c r="G278" i="100"/>
  <c r="G242" i="100"/>
  <c r="G238" i="100"/>
  <c r="G234" i="100"/>
  <c r="G217" i="100"/>
  <c r="G196" i="100"/>
  <c r="G174" i="100"/>
  <c r="G169" i="100"/>
  <c r="G144" i="100"/>
  <c r="G135" i="100"/>
  <c r="G131" i="100"/>
  <c r="G110" i="100"/>
  <c r="G95" i="100"/>
  <c r="G43" i="100"/>
  <c r="G28" i="100"/>
  <c r="G27" i="100"/>
  <c r="G11" i="100"/>
  <c r="H2" i="100"/>
  <c r="H3" i="100"/>
  <c r="H4" i="100"/>
  <c r="H5" i="100"/>
  <c r="H6" i="100"/>
  <c r="H7" i="100"/>
  <c r="H8" i="100"/>
  <c r="H9" i="100"/>
  <c r="H10" i="100"/>
  <c r="H11" i="100"/>
  <c r="H12" i="100"/>
  <c r="H13" i="100"/>
  <c r="H14" i="100"/>
  <c r="H15" i="100"/>
  <c r="H16" i="100"/>
  <c r="H17" i="100"/>
  <c r="H18" i="100"/>
  <c r="H19" i="100"/>
  <c r="H20" i="100"/>
  <c r="H21" i="100"/>
  <c r="H22" i="100"/>
  <c r="H23" i="100"/>
  <c r="H24" i="100"/>
  <c r="H25" i="100"/>
  <c r="H26" i="100"/>
  <c r="H27" i="100"/>
  <c r="H28" i="100"/>
  <c r="H29" i="100"/>
  <c r="H30" i="100"/>
  <c r="H31" i="100"/>
  <c r="H32" i="100"/>
  <c r="H33" i="100"/>
  <c r="H34" i="100"/>
  <c r="H35" i="100"/>
  <c r="H36" i="100"/>
  <c r="H37" i="100"/>
  <c r="H38" i="100"/>
  <c r="H39" i="100"/>
  <c r="H40" i="100"/>
  <c r="H41" i="100"/>
  <c r="H42" i="100"/>
  <c r="H43" i="100"/>
  <c r="H44" i="100"/>
  <c r="H45" i="100"/>
  <c r="H46" i="100"/>
  <c r="H47" i="100"/>
  <c r="H48" i="100"/>
  <c r="H49" i="100"/>
  <c r="H50" i="100"/>
  <c r="H51" i="100"/>
  <c r="H52" i="100"/>
  <c r="H53" i="100"/>
  <c r="H54" i="100"/>
  <c r="H55" i="100"/>
  <c r="H56" i="100"/>
  <c r="H57" i="100"/>
  <c r="H58" i="100"/>
  <c r="H59" i="100"/>
  <c r="H60" i="100"/>
  <c r="H61" i="100"/>
  <c r="H62" i="100"/>
  <c r="H63" i="100"/>
  <c r="H64" i="100"/>
  <c r="H65" i="100"/>
  <c r="H66" i="100"/>
  <c r="H67" i="100"/>
  <c r="H68" i="100"/>
  <c r="H69" i="100"/>
  <c r="H70" i="100"/>
  <c r="H71" i="100"/>
  <c r="H72" i="100"/>
  <c r="H73" i="100"/>
  <c r="H74" i="100"/>
  <c r="H75" i="100"/>
  <c r="H76" i="100"/>
  <c r="H77" i="100"/>
  <c r="H78" i="100"/>
  <c r="H79" i="100"/>
  <c r="H80" i="100"/>
  <c r="H81" i="100"/>
  <c r="H82" i="100"/>
  <c r="H83" i="100"/>
  <c r="H84" i="100"/>
  <c r="H85" i="100"/>
  <c r="H86" i="100"/>
  <c r="H87" i="100"/>
  <c r="H88" i="100"/>
  <c r="H89" i="100"/>
  <c r="H90" i="100"/>
  <c r="H91" i="100"/>
  <c r="H92" i="100"/>
  <c r="H93" i="100"/>
  <c r="H94" i="100"/>
  <c r="H95" i="100"/>
  <c r="H96" i="100"/>
  <c r="H97" i="100"/>
  <c r="H98" i="100"/>
  <c r="H99" i="100"/>
  <c r="H100" i="100"/>
  <c r="H101" i="100"/>
  <c r="H102" i="100"/>
  <c r="H103" i="100"/>
  <c r="H104" i="100"/>
  <c r="H105" i="100"/>
  <c r="H106" i="100"/>
  <c r="H107" i="100"/>
  <c r="H108" i="100"/>
  <c r="H109" i="100"/>
  <c r="H110" i="100"/>
  <c r="H111" i="100"/>
  <c r="H112" i="100"/>
  <c r="H113" i="100"/>
  <c r="H114" i="100"/>
  <c r="H115" i="100"/>
  <c r="H116" i="100"/>
  <c r="H117" i="100"/>
  <c r="H118" i="100"/>
  <c r="H119" i="100"/>
  <c r="H120" i="100"/>
  <c r="H121" i="100"/>
  <c r="H122" i="100"/>
  <c r="H123" i="100"/>
  <c r="H124" i="100"/>
  <c r="H125" i="100"/>
  <c r="H126" i="100"/>
  <c r="H127" i="100"/>
  <c r="H128" i="100"/>
  <c r="H129" i="100"/>
  <c r="H130" i="100"/>
  <c r="H131" i="100"/>
  <c r="H132" i="100"/>
  <c r="H133" i="100"/>
  <c r="H134" i="100"/>
  <c r="H135" i="100"/>
  <c r="H136" i="100"/>
  <c r="H137" i="100"/>
  <c r="H138" i="100"/>
  <c r="H139" i="100"/>
  <c r="H140" i="100"/>
  <c r="H141" i="100"/>
  <c r="H142" i="100"/>
  <c r="H143" i="100"/>
  <c r="H144" i="100"/>
  <c r="H145" i="100"/>
  <c r="H146" i="100"/>
  <c r="H147" i="100"/>
  <c r="H148" i="100"/>
  <c r="H149" i="100"/>
  <c r="H150" i="100"/>
  <c r="H151" i="100"/>
  <c r="H152" i="100"/>
  <c r="H153" i="100"/>
  <c r="H154" i="100"/>
  <c r="H155" i="100"/>
  <c r="H156" i="100"/>
  <c r="H157" i="100"/>
  <c r="H158" i="100"/>
  <c r="H159" i="100"/>
  <c r="H160" i="100"/>
  <c r="H161" i="100"/>
  <c r="H162" i="100"/>
  <c r="H163" i="100"/>
  <c r="H164" i="100"/>
  <c r="H165" i="100"/>
  <c r="H166" i="100"/>
  <c r="H167" i="100"/>
  <c r="H168" i="100"/>
  <c r="H169" i="100"/>
  <c r="H170" i="100"/>
  <c r="H171" i="100"/>
  <c r="H172" i="100"/>
  <c r="H173" i="100"/>
  <c r="H174" i="100"/>
  <c r="H175" i="100"/>
  <c r="H176" i="100"/>
  <c r="H177" i="100"/>
  <c r="H178" i="100"/>
  <c r="H179" i="100"/>
  <c r="H180" i="100"/>
  <c r="H181" i="100"/>
  <c r="H182" i="100"/>
  <c r="H183" i="100"/>
  <c r="H184" i="100"/>
  <c r="H185" i="100"/>
  <c r="H186" i="100"/>
  <c r="H187" i="100"/>
  <c r="H188" i="100"/>
  <c r="H189" i="100"/>
  <c r="H190" i="100"/>
  <c r="H191" i="100"/>
  <c r="H192" i="100"/>
  <c r="H193" i="100"/>
  <c r="H194" i="100"/>
  <c r="H195" i="100"/>
  <c r="H196" i="100"/>
  <c r="H197" i="100"/>
  <c r="H198" i="100"/>
  <c r="H199" i="100"/>
  <c r="H200" i="100"/>
  <c r="H201" i="100"/>
  <c r="H202" i="100"/>
  <c r="H203" i="100"/>
  <c r="H204" i="100"/>
  <c r="H205" i="100"/>
  <c r="H206" i="100"/>
  <c r="H207" i="100"/>
  <c r="H208" i="100"/>
  <c r="H209" i="100"/>
  <c r="H210" i="100"/>
  <c r="H211" i="100"/>
  <c r="H212" i="100"/>
  <c r="H213" i="100"/>
  <c r="H214" i="100"/>
  <c r="H215" i="100"/>
  <c r="H216" i="100"/>
  <c r="H217" i="100"/>
  <c r="H218" i="100"/>
  <c r="H219" i="100"/>
  <c r="H220" i="100"/>
  <c r="H221" i="100"/>
  <c r="H222" i="100"/>
  <c r="H223" i="100"/>
  <c r="H224" i="100"/>
  <c r="H225" i="100"/>
  <c r="H226" i="100"/>
  <c r="H227" i="100"/>
  <c r="H228" i="100"/>
  <c r="H229" i="100"/>
  <c r="H230" i="100"/>
  <c r="H231" i="100"/>
  <c r="H232" i="100"/>
  <c r="H233" i="100"/>
  <c r="H234" i="100"/>
  <c r="H235" i="100"/>
  <c r="H236" i="100"/>
  <c r="H237" i="100"/>
  <c r="H238" i="100"/>
  <c r="H239" i="100"/>
  <c r="H240" i="100"/>
  <c r="H241" i="100"/>
  <c r="H242" i="100"/>
  <c r="H243" i="100"/>
  <c r="H244" i="100"/>
  <c r="H245" i="100"/>
  <c r="H246" i="100"/>
  <c r="H247" i="100"/>
  <c r="H248" i="100"/>
  <c r="H249" i="100"/>
  <c r="H250" i="100"/>
  <c r="H251" i="100"/>
  <c r="H252" i="100"/>
  <c r="H253" i="100"/>
  <c r="H254" i="100"/>
  <c r="H255" i="100"/>
  <c r="H256" i="100"/>
  <c r="H257" i="100"/>
  <c r="H258" i="100"/>
  <c r="H259" i="100"/>
  <c r="H260" i="100"/>
  <c r="H261" i="100"/>
  <c r="H262" i="100"/>
  <c r="H263" i="100"/>
  <c r="H264" i="100"/>
  <c r="H265" i="100"/>
  <c r="H266" i="100"/>
  <c r="H267" i="100"/>
  <c r="H268" i="100"/>
  <c r="H269" i="100"/>
  <c r="H270" i="100"/>
  <c r="H271" i="100"/>
  <c r="H272" i="100"/>
  <c r="H273" i="100"/>
  <c r="H274" i="100"/>
  <c r="H275" i="100"/>
  <c r="H276" i="100"/>
  <c r="H277" i="100"/>
  <c r="H278" i="100"/>
  <c r="H279" i="100"/>
  <c r="H280" i="100"/>
  <c r="H281" i="100"/>
  <c r="H282" i="100"/>
  <c r="H283" i="100"/>
  <c r="H284" i="100"/>
  <c r="H285" i="100"/>
  <c r="H286" i="100"/>
  <c r="H287" i="100"/>
  <c r="H288" i="100"/>
  <c r="H289" i="100"/>
  <c r="H290" i="100"/>
  <c r="H291" i="100"/>
  <c r="H292" i="100"/>
  <c r="H293" i="100"/>
  <c r="H294" i="100"/>
  <c r="H295" i="100"/>
  <c r="H296" i="100"/>
  <c r="H297" i="100"/>
  <c r="H298" i="100"/>
  <c r="H299" i="100"/>
  <c r="H300" i="100"/>
  <c r="H301" i="100"/>
  <c r="H302" i="100"/>
  <c r="H303" i="100"/>
  <c r="H304" i="100"/>
  <c r="H305" i="100"/>
  <c r="H306" i="100"/>
  <c r="H307" i="100"/>
  <c r="H308" i="100"/>
  <c r="H309" i="100"/>
  <c r="H310" i="100"/>
  <c r="H311" i="100"/>
  <c r="H312" i="100"/>
  <c r="H313" i="100"/>
  <c r="H314" i="100"/>
  <c r="H315" i="100"/>
  <c r="H316" i="100"/>
  <c r="H317" i="100"/>
  <c r="H318" i="100"/>
  <c r="H319" i="100"/>
  <c r="H320" i="100"/>
  <c r="H321" i="100"/>
  <c r="H322" i="100"/>
  <c r="H323" i="100"/>
  <c r="H324" i="100"/>
  <c r="H325" i="100"/>
  <c r="H326" i="100"/>
  <c r="H327" i="100"/>
  <c r="H328" i="100"/>
  <c r="H329" i="100"/>
  <c r="H330" i="100"/>
  <c r="H331" i="100"/>
  <c r="H332" i="100"/>
  <c r="H333" i="100"/>
  <c r="H334" i="100"/>
  <c r="H335" i="100"/>
  <c r="H336" i="100"/>
  <c r="H337" i="100"/>
  <c r="H338" i="100"/>
  <c r="H339" i="100"/>
  <c r="H340" i="100"/>
  <c r="H341" i="100"/>
  <c r="H342" i="100"/>
  <c r="H343" i="100"/>
  <c r="H344" i="100"/>
  <c r="H345" i="100"/>
  <c r="H346" i="100"/>
  <c r="H347" i="100"/>
  <c r="H348" i="100"/>
  <c r="H349" i="100"/>
  <c r="H350" i="100"/>
  <c r="H351" i="100"/>
  <c r="H352" i="100"/>
  <c r="H353" i="100"/>
  <c r="H354" i="100"/>
  <c r="H355" i="100"/>
  <c r="H356" i="100"/>
  <c r="H357" i="100"/>
  <c r="H358" i="100"/>
  <c r="H359" i="100"/>
  <c r="H360" i="100"/>
  <c r="H361" i="100"/>
  <c r="H362" i="100"/>
  <c r="H363" i="100"/>
  <c r="H364" i="100"/>
  <c r="H365" i="100"/>
  <c r="H366" i="100"/>
  <c r="H367" i="100"/>
  <c r="H368" i="100"/>
  <c r="H369" i="100"/>
  <c r="H370" i="100"/>
  <c r="H371" i="100"/>
  <c r="H372" i="100"/>
  <c r="H373" i="100"/>
  <c r="H374" i="100"/>
  <c r="H375" i="100"/>
  <c r="H376" i="100"/>
  <c r="H377" i="100"/>
  <c r="H378" i="100"/>
  <c r="H379" i="100"/>
  <c r="H380" i="100"/>
  <c r="H381" i="100"/>
  <c r="H382" i="100"/>
  <c r="H383" i="100"/>
  <c r="H384" i="100"/>
  <c r="H385" i="100"/>
  <c r="H386" i="100"/>
  <c r="H387" i="100"/>
  <c r="H388" i="100"/>
  <c r="H389" i="100"/>
  <c r="H390" i="100"/>
  <c r="H391" i="100"/>
  <c r="H392" i="100"/>
  <c r="H393" i="100"/>
  <c r="H394" i="100"/>
  <c r="H395" i="100"/>
  <c r="H396" i="100"/>
  <c r="H397" i="100"/>
  <c r="H398" i="100"/>
  <c r="H399" i="100"/>
  <c r="H400" i="100"/>
  <c r="H401" i="100"/>
  <c r="H402" i="100"/>
  <c r="H403" i="100"/>
  <c r="H404" i="100"/>
  <c r="H405" i="100"/>
  <c r="H406" i="100"/>
  <c r="H407" i="100"/>
  <c r="H408" i="100"/>
  <c r="H409" i="100"/>
  <c r="H410" i="100"/>
  <c r="H411" i="100"/>
  <c r="H412" i="100"/>
  <c r="H413" i="100"/>
  <c r="H414" i="100"/>
  <c r="H415" i="100"/>
  <c r="H416" i="100"/>
  <c r="H417" i="100"/>
  <c r="H418" i="100"/>
  <c r="H419" i="100"/>
  <c r="H420" i="100"/>
  <c r="H421" i="100"/>
  <c r="H422" i="100"/>
  <c r="H423" i="100"/>
  <c r="H424" i="100"/>
  <c r="H425" i="100"/>
  <c r="H426" i="100"/>
  <c r="H427" i="100"/>
  <c r="H428" i="100"/>
  <c r="H429" i="100"/>
  <c r="H430" i="100"/>
  <c r="H431" i="100"/>
  <c r="H432" i="100"/>
  <c r="H433" i="100"/>
  <c r="H434" i="100"/>
  <c r="H435" i="100"/>
  <c r="H436" i="100"/>
  <c r="H437" i="100"/>
  <c r="H438" i="100"/>
  <c r="H439" i="100"/>
  <c r="H440" i="100"/>
  <c r="H441" i="100"/>
  <c r="H442" i="100"/>
  <c r="H443" i="100"/>
  <c r="H444" i="100"/>
  <c r="H445" i="100"/>
  <c r="H446" i="100"/>
  <c r="H447" i="100"/>
  <c r="H448" i="100"/>
  <c r="H449" i="100"/>
  <c r="H450" i="100"/>
  <c r="H451" i="100"/>
  <c r="H452" i="100"/>
  <c r="H453" i="100"/>
  <c r="H454" i="100"/>
  <c r="H455" i="100"/>
  <c r="H456" i="100"/>
  <c r="H457" i="100"/>
  <c r="H458" i="100"/>
  <c r="H459" i="100"/>
  <c r="H460" i="100"/>
  <c r="H461" i="100"/>
  <c r="H462" i="100"/>
  <c r="H463" i="100"/>
  <c r="H464" i="100"/>
  <c r="H465" i="100"/>
  <c r="H466" i="100"/>
  <c r="H467" i="100"/>
  <c r="H468" i="100"/>
  <c r="H469" i="100"/>
  <c r="H470" i="100"/>
  <c r="H471" i="100"/>
  <c r="H472" i="100"/>
  <c r="H473" i="100"/>
  <c r="H474" i="100"/>
  <c r="H475" i="100"/>
  <c r="H476" i="100"/>
  <c r="H477" i="100"/>
  <c r="H478" i="100"/>
  <c r="H479" i="100"/>
  <c r="H480" i="100"/>
  <c r="H481" i="100"/>
  <c r="H482" i="100"/>
  <c r="H483" i="100"/>
  <c r="H484" i="100"/>
  <c r="H485" i="100"/>
  <c r="H486" i="100"/>
  <c r="H487" i="100"/>
  <c r="H488" i="100"/>
  <c r="H489" i="100"/>
  <c r="H490" i="100"/>
  <c r="H491" i="100"/>
  <c r="H492" i="100"/>
  <c r="H493" i="100"/>
  <c r="H494" i="100"/>
  <c r="H495" i="100"/>
  <c r="H496" i="100"/>
  <c r="H497" i="100"/>
  <c r="H498" i="100"/>
  <c r="H499" i="100"/>
  <c r="H500" i="100"/>
  <c r="H501" i="100"/>
  <c r="D18" i="100"/>
  <c r="F18" i="100" s="1"/>
  <c r="D19" i="100"/>
  <c r="F19" i="100" s="1"/>
  <c r="D20" i="100"/>
  <c r="F20" i="100" s="1"/>
  <c r="D21" i="100"/>
  <c r="F21" i="100" s="1"/>
  <c r="D22" i="100"/>
  <c r="F22" i="100" s="1"/>
  <c r="D23" i="100"/>
  <c r="F23" i="100" s="1"/>
  <c r="D24" i="100"/>
  <c r="F24" i="100" s="1"/>
  <c r="D25" i="100"/>
  <c r="F25" i="100" s="1"/>
  <c r="D26" i="100"/>
  <c r="F26" i="100" s="1"/>
  <c r="D27" i="100"/>
  <c r="F27" i="100" s="1"/>
  <c r="D28" i="100"/>
  <c r="F28" i="100" s="1"/>
  <c r="D29" i="100"/>
  <c r="F29" i="100" s="1"/>
  <c r="D30" i="100"/>
  <c r="F30" i="100" s="1"/>
  <c r="D31" i="100"/>
  <c r="F31" i="100" s="1"/>
  <c r="D32" i="100"/>
  <c r="F32" i="100" s="1"/>
  <c r="D33" i="100"/>
  <c r="F33" i="100" s="1"/>
  <c r="D34" i="100"/>
  <c r="F34" i="100" s="1"/>
  <c r="D35" i="100"/>
  <c r="F35" i="100" s="1"/>
  <c r="D36" i="100"/>
  <c r="F36" i="100" s="1"/>
  <c r="D37" i="100"/>
  <c r="F37" i="100" s="1"/>
  <c r="D38" i="100"/>
  <c r="F38" i="100" s="1"/>
  <c r="D39" i="100"/>
  <c r="F39" i="100" s="1"/>
  <c r="D40" i="100"/>
  <c r="F40" i="100" s="1"/>
  <c r="D41" i="100"/>
  <c r="F41" i="100" s="1"/>
  <c r="D42" i="100"/>
  <c r="F42" i="100" s="1"/>
  <c r="D43" i="100"/>
  <c r="F43" i="100" s="1"/>
  <c r="D44" i="100"/>
  <c r="F44" i="100" s="1"/>
  <c r="D45" i="100"/>
  <c r="F45" i="100" s="1"/>
  <c r="D46" i="100"/>
  <c r="F46" i="100" s="1"/>
  <c r="D47" i="100"/>
  <c r="F47" i="100" s="1"/>
  <c r="D48" i="100"/>
  <c r="F48" i="100" s="1"/>
  <c r="D49" i="100"/>
  <c r="F49" i="100" s="1"/>
  <c r="D50" i="100"/>
  <c r="F50" i="100" s="1"/>
  <c r="D51" i="100"/>
  <c r="F51" i="100" s="1"/>
  <c r="D52" i="100"/>
  <c r="F52" i="100" s="1"/>
  <c r="D53" i="100"/>
  <c r="F53" i="100" s="1"/>
  <c r="D54" i="100"/>
  <c r="F54" i="100" s="1"/>
  <c r="D55" i="100"/>
  <c r="F55" i="100" s="1"/>
  <c r="D56" i="100"/>
  <c r="F56" i="100" s="1"/>
  <c r="D57" i="100"/>
  <c r="F57" i="100" s="1"/>
  <c r="D58" i="100"/>
  <c r="F58" i="100" s="1"/>
  <c r="D59" i="100"/>
  <c r="F59" i="100" s="1"/>
  <c r="D60" i="100"/>
  <c r="F60" i="100" s="1"/>
  <c r="D61" i="100"/>
  <c r="F61" i="100" s="1"/>
  <c r="D62" i="100"/>
  <c r="F62" i="100" s="1"/>
  <c r="D63" i="100"/>
  <c r="F63" i="100" s="1"/>
  <c r="D64" i="100"/>
  <c r="F64" i="100" s="1"/>
  <c r="D65" i="100"/>
  <c r="F65" i="100" s="1"/>
  <c r="D66" i="100"/>
  <c r="F66" i="100" s="1"/>
  <c r="D67" i="100"/>
  <c r="F67" i="100" s="1"/>
  <c r="D68" i="100"/>
  <c r="F68" i="100" s="1"/>
  <c r="D69" i="100"/>
  <c r="F69" i="100" s="1"/>
  <c r="D70" i="100"/>
  <c r="F70" i="100" s="1"/>
  <c r="D71" i="100"/>
  <c r="F71" i="100" s="1"/>
  <c r="D72" i="100"/>
  <c r="F72" i="100" s="1"/>
  <c r="D73" i="100"/>
  <c r="F73" i="100" s="1"/>
  <c r="D74" i="100"/>
  <c r="F74" i="100" s="1"/>
  <c r="D75" i="100"/>
  <c r="F75" i="100" s="1"/>
  <c r="D76" i="100"/>
  <c r="F76" i="100" s="1"/>
  <c r="D77" i="100"/>
  <c r="F77" i="100" s="1"/>
  <c r="D78" i="100"/>
  <c r="F78" i="100" s="1"/>
  <c r="D79" i="100"/>
  <c r="F79" i="100" s="1"/>
  <c r="D80" i="100"/>
  <c r="F80" i="100" s="1"/>
  <c r="D81" i="100"/>
  <c r="F81" i="100" s="1"/>
  <c r="D82" i="100"/>
  <c r="F82" i="100" s="1"/>
  <c r="D83" i="100"/>
  <c r="F83" i="100" s="1"/>
  <c r="D84" i="100"/>
  <c r="F84" i="100" s="1"/>
  <c r="D85" i="100"/>
  <c r="F85" i="100" s="1"/>
  <c r="D86" i="100"/>
  <c r="F86" i="100" s="1"/>
  <c r="D87" i="100"/>
  <c r="F87" i="100" s="1"/>
  <c r="D88" i="100"/>
  <c r="F88" i="100" s="1"/>
  <c r="D89" i="100"/>
  <c r="F89" i="100" s="1"/>
  <c r="D90" i="100"/>
  <c r="F90" i="100" s="1"/>
  <c r="D91" i="100"/>
  <c r="F91" i="100" s="1"/>
  <c r="D92" i="100"/>
  <c r="F92" i="100" s="1"/>
  <c r="D93" i="100"/>
  <c r="F93" i="100" s="1"/>
  <c r="D94" i="100"/>
  <c r="F94" i="100" s="1"/>
  <c r="D95" i="100"/>
  <c r="F95" i="100" s="1"/>
  <c r="D96" i="100"/>
  <c r="F96" i="100" s="1"/>
  <c r="D97" i="100"/>
  <c r="F97" i="100" s="1"/>
  <c r="D98" i="100"/>
  <c r="F98" i="100" s="1"/>
  <c r="D99" i="100"/>
  <c r="F99" i="100" s="1"/>
  <c r="D100" i="100"/>
  <c r="F100" i="100" s="1"/>
  <c r="D101" i="100"/>
  <c r="F101" i="100" s="1"/>
  <c r="D102" i="100"/>
  <c r="F102" i="100" s="1"/>
  <c r="D103" i="100"/>
  <c r="F103" i="100" s="1"/>
  <c r="D104" i="100"/>
  <c r="F104" i="100" s="1"/>
  <c r="D105" i="100"/>
  <c r="F105" i="100" s="1"/>
  <c r="D106" i="100"/>
  <c r="F106" i="100" s="1"/>
  <c r="D107" i="100"/>
  <c r="F107" i="100" s="1"/>
  <c r="D108" i="100"/>
  <c r="F108" i="100" s="1"/>
  <c r="D109" i="100"/>
  <c r="F109" i="100" s="1"/>
  <c r="D110" i="100"/>
  <c r="F110" i="100" s="1"/>
  <c r="D111" i="100"/>
  <c r="F111" i="100" s="1"/>
  <c r="D112" i="100"/>
  <c r="F112" i="100" s="1"/>
  <c r="D113" i="100"/>
  <c r="F113" i="100" s="1"/>
  <c r="D114" i="100"/>
  <c r="F114" i="100" s="1"/>
  <c r="D115" i="100"/>
  <c r="F115" i="100" s="1"/>
  <c r="D116" i="100"/>
  <c r="F116" i="100" s="1"/>
  <c r="D117" i="100"/>
  <c r="F117" i="100" s="1"/>
  <c r="D118" i="100"/>
  <c r="F118" i="100" s="1"/>
  <c r="D119" i="100"/>
  <c r="F119" i="100" s="1"/>
  <c r="D120" i="100"/>
  <c r="F120" i="100" s="1"/>
  <c r="D121" i="100"/>
  <c r="F121" i="100" s="1"/>
  <c r="D122" i="100"/>
  <c r="F122" i="100" s="1"/>
  <c r="D123" i="100"/>
  <c r="F123" i="100" s="1"/>
  <c r="D124" i="100"/>
  <c r="F124" i="100" s="1"/>
  <c r="D125" i="100"/>
  <c r="F125" i="100" s="1"/>
  <c r="D126" i="100"/>
  <c r="F126" i="100" s="1"/>
  <c r="D127" i="100"/>
  <c r="F127" i="100" s="1"/>
  <c r="D128" i="100"/>
  <c r="F128" i="100" s="1"/>
  <c r="D129" i="100"/>
  <c r="F129" i="100" s="1"/>
  <c r="D130" i="100"/>
  <c r="F130" i="100" s="1"/>
  <c r="D131" i="100"/>
  <c r="F131" i="100" s="1"/>
  <c r="D132" i="100"/>
  <c r="F132" i="100" s="1"/>
  <c r="D133" i="100"/>
  <c r="F133" i="100" s="1"/>
  <c r="D134" i="100"/>
  <c r="F134" i="100" s="1"/>
  <c r="D135" i="100"/>
  <c r="F135" i="100" s="1"/>
  <c r="D136" i="100"/>
  <c r="F136" i="100" s="1"/>
  <c r="D137" i="100"/>
  <c r="F137" i="100" s="1"/>
  <c r="D138" i="100"/>
  <c r="F138" i="100" s="1"/>
  <c r="D139" i="100"/>
  <c r="F139" i="100" s="1"/>
  <c r="D140" i="100"/>
  <c r="F140" i="100" s="1"/>
  <c r="D141" i="100"/>
  <c r="F141" i="100" s="1"/>
  <c r="D142" i="100"/>
  <c r="F142" i="100" s="1"/>
  <c r="D143" i="100"/>
  <c r="F143" i="100" s="1"/>
  <c r="D144" i="100"/>
  <c r="F144" i="100" s="1"/>
  <c r="D145" i="100"/>
  <c r="F145" i="100" s="1"/>
  <c r="D146" i="100"/>
  <c r="F146" i="100" s="1"/>
  <c r="D147" i="100"/>
  <c r="F147" i="100" s="1"/>
  <c r="D148" i="100"/>
  <c r="F148" i="100" s="1"/>
  <c r="D149" i="100"/>
  <c r="F149" i="100" s="1"/>
  <c r="D150" i="100"/>
  <c r="F150" i="100" s="1"/>
  <c r="D151" i="100"/>
  <c r="F151" i="100" s="1"/>
  <c r="D152" i="100"/>
  <c r="F152" i="100" s="1"/>
  <c r="D153" i="100"/>
  <c r="F153" i="100" s="1"/>
  <c r="D154" i="100"/>
  <c r="F154" i="100" s="1"/>
  <c r="D155" i="100"/>
  <c r="F155" i="100" s="1"/>
  <c r="D156" i="100"/>
  <c r="F156" i="100" s="1"/>
  <c r="D157" i="100"/>
  <c r="F157" i="100" s="1"/>
  <c r="D158" i="100"/>
  <c r="F158" i="100" s="1"/>
  <c r="D159" i="100"/>
  <c r="F159" i="100" s="1"/>
  <c r="D160" i="100"/>
  <c r="F160" i="100" s="1"/>
  <c r="D161" i="100"/>
  <c r="F161" i="100" s="1"/>
  <c r="D162" i="100"/>
  <c r="F162" i="100" s="1"/>
  <c r="D163" i="100"/>
  <c r="F163" i="100" s="1"/>
  <c r="D164" i="100"/>
  <c r="F164" i="100" s="1"/>
  <c r="D165" i="100"/>
  <c r="F165" i="100" s="1"/>
  <c r="D166" i="100"/>
  <c r="F166" i="100" s="1"/>
  <c r="D167" i="100"/>
  <c r="F167" i="100" s="1"/>
  <c r="D168" i="100"/>
  <c r="F168" i="100" s="1"/>
  <c r="D169" i="100"/>
  <c r="F169" i="100" s="1"/>
  <c r="D170" i="100"/>
  <c r="F170" i="100" s="1"/>
  <c r="D171" i="100"/>
  <c r="F171" i="100" s="1"/>
  <c r="D172" i="100"/>
  <c r="F172" i="100" s="1"/>
  <c r="D173" i="100"/>
  <c r="F173" i="100" s="1"/>
  <c r="D174" i="100"/>
  <c r="F174" i="100" s="1"/>
  <c r="D175" i="100"/>
  <c r="F175" i="100" s="1"/>
  <c r="D176" i="100"/>
  <c r="F176" i="100" s="1"/>
  <c r="D177" i="100"/>
  <c r="F177" i="100" s="1"/>
  <c r="D178" i="100"/>
  <c r="F178" i="100" s="1"/>
  <c r="D179" i="100"/>
  <c r="F179" i="100" s="1"/>
  <c r="D180" i="100"/>
  <c r="F180" i="100" s="1"/>
  <c r="D181" i="100"/>
  <c r="F181" i="100" s="1"/>
  <c r="D182" i="100"/>
  <c r="F182" i="100" s="1"/>
  <c r="D183" i="100"/>
  <c r="F183" i="100" s="1"/>
  <c r="D184" i="100"/>
  <c r="F184" i="100" s="1"/>
  <c r="D185" i="100"/>
  <c r="F185" i="100" s="1"/>
  <c r="D186" i="100"/>
  <c r="F186" i="100" s="1"/>
  <c r="D187" i="100"/>
  <c r="F187" i="100" s="1"/>
  <c r="D188" i="100"/>
  <c r="F188" i="100" s="1"/>
  <c r="D189" i="100"/>
  <c r="F189" i="100" s="1"/>
  <c r="D190" i="100"/>
  <c r="F190" i="100" s="1"/>
  <c r="D191" i="100"/>
  <c r="F191" i="100" s="1"/>
  <c r="D192" i="100"/>
  <c r="F192" i="100" s="1"/>
  <c r="D193" i="100"/>
  <c r="F193" i="100" s="1"/>
  <c r="D194" i="100"/>
  <c r="F194" i="100" s="1"/>
  <c r="D195" i="100"/>
  <c r="F195" i="100" s="1"/>
  <c r="D196" i="100"/>
  <c r="F196" i="100" s="1"/>
  <c r="D197" i="100"/>
  <c r="F197" i="100" s="1"/>
  <c r="D198" i="100"/>
  <c r="F198" i="100" s="1"/>
  <c r="D199" i="100"/>
  <c r="F199" i="100" s="1"/>
  <c r="D200" i="100"/>
  <c r="F200" i="100" s="1"/>
  <c r="D201" i="100"/>
  <c r="F201" i="100" s="1"/>
  <c r="D202" i="100"/>
  <c r="F202" i="100" s="1"/>
  <c r="D203" i="100"/>
  <c r="F203" i="100" s="1"/>
  <c r="D204" i="100"/>
  <c r="F204" i="100" s="1"/>
  <c r="D205" i="100"/>
  <c r="F205" i="100" s="1"/>
  <c r="D206" i="100"/>
  <c r="F206" i="100" s="1"/>
  <c r="D207" i="100"/>
  <c r="F207" i="100" s="1"/>
  <c r="D208" i="100"/>
  <c r="F208" i="100" s="1"/>
  <c r="D209" i="100"/>
  <c r="F209" i="100" s="1"/>
  <c r="D210" i="100"/>
  <c r="F210" i="100" s="1"/>
  <c r="D211" i="100"/>
  <c r="F211" i="100" s="1"/>
  <c r="D212" i="100"/>
  <c r="F212" i="100" s="1"/>
  <c r="D213" i="100"/>
  <c r="F213" i="100" s="1"/>
  <c r="D214" i="100"/>
  <c r="F214" i="100" s="1"/>
  <c r="D215" i="100"/>
  <c r="F215" i="100" s="1"/>
  <c r="D216" i="100"/>
  <c r="F216" i="100" s="1"/>
  <c r="D217" i="100"/>
  <c r="F217" i="100" s="1"/>
  <c r="D218" i="100"/>
  <c r="F218" i="100" s="1"/>
  <c r="D219" i="100"/>
  <c r="F219" i="100" s="1"/>
  <c r="D220" i="100"/>
  <c r="F220" i="100" s="1"/>
  <c r="D221" i="100"/>
  <c r="F221" i="100" s="1"/>
  <c r="D222" i="100"/>
  <c r="F222" i="100" s="1"/>
  <c r="D223" i="100"/>
  <c r="F223" i="100" s="1"/>
  <c r="D224" i="100"/>
  <c r="F224" i="100" s="1"/>
  <c r="D225" i="100"/>
  <c r="F225" i="100" s="1"/>
  <c r="D226" i="100"/>
  <c r="F226" i="100" s="1"/>
  <c r="D227" i="100"/>
  <c r="F227" i="100" s="1"/>
  <c r="D228" i="100"/>
  <c r="F228" i="100" s="1"/>
  <c r="D229" i="100"/>
  <c r="F229" i="100" s="1"/>
  <c r="D230" i="100"/>
  <c r="F230" i="100" s="1"/>
  <c r="D231" i="100"/>
  <c r="F231" i="100" s="1"/>
  <c r="D232" i="100"/>
  <c r="F232" i="100" s="1"/>
  <c r="D233" i="100"/>
  <c r="F233" i="100" s="1"/>
  <c r="D234" i="100"/>
  <c r="F234" i="100" s="1"/>
  <c r="D235" i="100"/>
  <c r="F235" i="100" s="1"/>
  <c r="D236" i="100"/>
  <c r="F236" i="100" s="1"/>
  <c r="D237" i="100"/>
  <c r="F237" i="100" s="1"/>
  <c r="D238" i="100"/>
  <c r="F238" i="100" s="1"/>
  <c r="D239" i="100"/>
  <c r="F239" i="100" s="1"/>
  <c r="D240" i="100"/>
  <c r="F240" i="100" s="1"/>
  <c r="D241" i="100"/>
  <c r="F241" i="100" s="1"/>
  <c r="D242" i="100"/>
  <c r="F242" i="100" s="1"/>
  <c r="D243" i="100"/>
  <c r="F243" i="100" s="1"/>
  <c r="D244" i="100"/>
  <c r="F244" i="100" s="1"/>
  <c r="D245" i="100"/>
  <c r="F245" i="100" s="1"/>
  <c r="D246" i="100"/>
  <c r="F246" i="100" s="1"/>
  <c r="D247" i="100"/>
  <c r="F247" i="100" s="1"/>
  <c r="D248" i="100"/>
  <c r="F248" i="100" s="1"/>
  <c r="D249" i="100"/>
  <c r="F249" i="100" s="1"/>
  <c r="D250" i="100"/>
  <c r="F250" i="100" s="1"/>
  <c r="D251" i="100"/>
  <c r="F251" i="100" s="1"/>
  <c r="D252" i="100"/>
  <c r="F252" i="100" s="1"/>
  <c r="D253" i="100"/>
  <c r="F253" i="100" s="1"/>
  <c r="D254" i="100"/>
  <c r="F254" i="100" s="1"/>
  <c r="D255" i="100"/>
  <c r="F255" i="100" s="1"/>
  <c r="D256" i="100"/>
  <c r="F256" i="100" s="1"/>
  <c r="D257" i="100"/>
  <c r="F257" i="100" s="1"/>
  <c r="D258" i="100"/>
  <c r="F258" i="100" s="1"/>
  <c r="D259" i="100"/>
  <c r="F259" i="100" s="1"/>
  <c r="D260" i="100"/>
  <c r="F260" i="100" s="1"/>
  <c r="D261" i="100"/>
  <c r="F261" i="100" s="1"/>
  <c r="D262" i="100"/>
  <c r="F262" i="100" s="1"/>
  <c r="D263" i="100"/>
  <c r="F263" i="100" s="1"/>
  <c r="D264" i="100"/>
  <c r="F264" i="100" s="1"/>
  <c r="D265" i="100"/>
  <c r="F265" i="100" s="1"/>
  <c r="D266" i="100"/>
  <c r="F266" i="100" s="1"/>
  <c r="D267" i="100"/>
  <c r="F267" i="100" s="1"/>
  <c r="D268" i="100"/>
  <c r="F268" i="100" s="1"/>
  <c r="D269" i="100"/>
  <c r="F269" i="100" s="1"/>
  <c r="D270" i="100"/>
  <c r="F270" i="100" s="1"/>
  <c r="D271" i="100"/>
  <c r="F271" i="100" s="1"/>
  <c r="D272" i="100"/>
  <c r="F272" i="100" s="1"/>
  <c r="D273" i="100"/>
  <c r="F273" i="100" s="1"/>
  <c r="D274" i="100"/>
  <c r="F274" i="100" s="1"/>
  <c r="D275" i="100"/>
  <c r="F275" i="100" s="1"/>
  <c r="D276" i="100"/>
  <c r="F276" i="100" s="1"/>
  <c r="D277" i="100"/>
  <c r="F277" i="100" s="1"/>
  <c r="D278" i="100"/>
  <c r="F278" i="100" s="1"/>
  <c r="D279" i="100"/>
  <c r="F279" i="100" s="1"/>
  <c r="D280" i="100"/>
  <c r="F280" i="100" s="1"/>
  <c r="D281" i="100"/>
  <c r="F281" i="100" s="1"/>
  <c r="D282" i="100"/>
  <c r="F282" i="100" s="1"/>
  <c r="D283" i="100"/>
  <c r="F283" i="100" s="1"/>
  <c r="D284" i="100"/>
  <c r="F284" i="100" s="1"/>
  <c r="D285" i="100"/>
  <c r="F285" i="100" s="1"/>
  <c r="D286" i="100"/>
  <c r="F286" i="100" s="1"/>
  <c r="D287" i="100"/>
  <c r="F287" i="100" s="1"/>
  <c r="D288" i="100"/>
  <c r="F288" i="100" s="1"/>
  <c r="D289" i="100"/>
  <c r="F289" i="100" s="1"/>
  <c r="D290" i="100"/>
  <c r="F290" i="100" s="1"/>
  <c r="D291" i="100"/>
  <c r="F291" i="100" s="1"/>
  <c r="D292" i="100"/>
  <c r="F292" i="100" s="1"/>
  <c r="D293" i="100"/>
  <c r="F293" i="100" s="1"/>
  <c r="D294" i="100"/>
  <c r="F294" i="100" s="1"/>
  <c r="D295" i="100"/>
  <c r="F295" i="100" s="1"/>
  <c r="D296" i="100"/>
  <c r="F296" i="100" s="1"/>
  <c r="D297" i="100"/>
  <c r="F297" i="100" s="1"/>
  <c r="D298" i="100"/>
  <c r="F298" i="100" s="1"/>
  <c r="D299" i="100"/>
  <c r="F299" i="100" s="1"/>
  <c r="D300" i="100"/>
  <c r="F300" i="100" s="1"/>
  <c r="D301" i="100"/>
  <c r="F301" i="100" s="1"/>
  <c r="D302" i="100"/>
  <c r="F302" i="100" s="1"/>
  <c r="D303" i="100"/>
  <c r="F303" i="100" s="1"/>
  <c r="D304" i="100"/>
  <c r="F304" i="100" s="1"/>
  <c r="D305" i="100"/>
  <c r="F305" i="100" s="1"/>
  <c r="D306" i="100"/>
  <c r="F306" i="100" s="1"/>
  <c r="D307" i="100"/>
  <c r="F307" i="100" s="1"/>
  <c r="D308" i="100"/>
  <c r="F308" i="100" s="1"/>
  <c r="D309" i="100"/>
  <c r="F309" i="100" s="1"/>
  <c r="D310" i="100"/>
  <c r="F310" i="100" s="1"/>
  <c r="D311" i="100"/>
  <c r="F311" i="100" s="1"/>
  <c r="D312" i="100"/>
  <c r="F312" i="100" s="1"/>
  <c r="D313" i="100"/>
  <c r="F313" i="100" s="1"/>
  <c r="D314" i="100"/>
  <c r="F314" i="100" s="1"/>
  <c r="D315" i="100"/>
  <c r="F315" i="100" s="1"/>
  <c r="D316" i="100"/>
  <c r="F316" i="100" s="1"/>
  <c r="D317" i="100"/>
  <c r="F317" i="100" s="1"/>
  <c r="D318" i="100"/>
  <c r="F318" i="100" s="1"/>
  <c r="D319" i="100"/>
  <c r="F319" i="100" s="1"/>
  <c r="D320" i="100"/>
  <c r="F320" i="100" s="1"/>
  <c r="D321" i="100"/>
  <c r="F321" i="100" s="1"/>
  <c r="D322" i="100"/>
  <c r="F322" i="100" s="1"/>
  <c r="D323" i="100"/>
  <c r="F323" i="100" s="1"/>
  <c r="D324" i="100"/>
  <c r="F324" i="100" s="1"/>
  <c r="D325" i="100"/>
  <c r="F325" i="100" s="1"/>
  <c r="D326" i="100"/>
  <c r="F326" i="100" s="1"/>
  <c r="D327" i="100"/>
  <c r="F327" i="100" s="1"/>
  <c r="D328" i="100"/>
  <c r="F328" i="100" s="1"/>
  <c r="D329" i="100"/>
  <c r="F329" i="100" s="1"/>
  <c r="D330" i="100"/>
  <c r="F330" i="100" s="1"/>
  <c r="D331" i="100"/>
  <c r="F331" i="100" s="1"/>
  <c r="D332" i="100"/>
  <c r="F332" i="100" s="1"/>
  <c r="D333" i="100"/>
  <c r="F333" i="100" s="1"/>
  <c r="D334" i="100"/>
  <c r="F334" i="100" s="1"/>
  <c r="D335" i="100"/>
  <c r="F335" i="100" s="1"/>
  <c r="D336" i="100"/>
  <c r="F336" i="100" s="1"/>
  <c r="D337" i="100"/>
  <c r="F337" i="100" s="1"/>
  <c r="D338" i="100"/>
  <c r="F338" i="100" s="1"/>
  <c r="D339" i="100"/>
  <c r="F339" i="100" s="1"/>
  <c r="D340" i="100"/>
  <c r="F340" i="100" s="1"/>
  <c r="D341" i="100"/>
  <c r="F341" i="100" s="1"/>
  <c r="D342" i="100"/>
  <c r="F342" i="100" s="1"/>
  <c r="D343" i="100"/>
  <c r="F343" i="100" s="1"/>
  <c r="D344" i="100"/>
  <c r="F344" i="100" s="1"/>
  <c r="D345" i="100"/>
  <c r="F345" i="100" s="1"/>
  <c r="D346" i="100"/>
  <c r="F346" i="100" s="1"/>
  <c r="D347" i="100"/>
  <c r="F347" i="100" s="1"/>
  <c r="D348" i="100"/>
  <c r="F348" i="100" s="1"/>
  <c r="D349" i="100"/>
  <c r="F349" i="100" s="1"/>
  <c r="D350" i="100"/>
  <c r="F350" i="100" s="1"/>
  <c r="D351" i="100"/>
  <c r="F351" i="100" s="1"/>
  <c r="D352" i="100"/>
  <c r="F352" i="100" s="1"/>
  <c r="D353" i="100"/>
  <c r="F353" i="100" s="1"/>
  <c r="D354" i="100"/>
  <c r="F354" i="100" s="1"/>
  <c r="D355" i="100"/>
  <c r="F355" i="100" s="1"/>
  <c r="D356" i="100"/>
  <c r="F356" i="100" s="1"/>
  <c r="D357" i="100"/>
  <c r="F357" i="100" s="1"/>
  <c r="D358" i="100"/>
  <c r="F358" i="100" s="1"/>
  <c r="D359" i="100"/>
  <c r="F359" i="100" s="1"/>
  <c r="D360" i="100"/>
  <c r="F360" i="100" s="1"/>
  <c r="D361" i="100"/>
  <c r="F361" i="100" s="1"/>
  <c r="D362" i="100"/>
  <c r="F362" i="100" s="1"/>
  <c r="D363" i="100"/>
  <c r="F363" i="100" s="1"/>
  <c r="D364" i="100"/>
  <c r="F364" i="100" s="1"/>
  <c r="D365" i="100"/>
  <c r="F365" i="100" s="1"/>
  <c r="D366" i="100"/>
  <c r="F366" i="100" s="1"/>
  <c r="D367" i="100"/>
  <c r="F367" i="100" s="1"/>
  <c r="D368" i="100"/>
  <c r="F368" i="100" s="1"/>
  <c r="D369" i="100"/>
  <c r="F369" i="100" s="1"/>
  <c r="D370" i="100"/>
  <c r="F370" i="100" s="1"/>
  <c r="D371" i="100"/>
  <c r="F371" i="100" s="1"/>
  <c r="D372" i="100"/>
  <c r="F372" i="100" s="1"/>
  <c r="D373" i="100"/>
  <c r="F373" i="100" s="1"/>
  <c r="D374" i="100"/>
  <c r="F374" i="100" s="1"/>
  <c r="D375" i="100"/>
  <c r="F375" i="100" s="1"/>
  <c r="D376" i="100"/>
  <c r="F376" i="100" s="1"/>
  <c r="D377" i="100"/>
  <c r="F377" i="100" s="1"/>
  <c r="D378" i="100"/>
  <c r="F378" i="100" s="1"/>
  <c r="D379" i="100"/>
  <c r="F379" i="100" s="1"/>
  <c r="D380" i="100"/>
  <c r="F380" i="100" s="1"/>
  <c r="D381" i="100"/>
  <c r="F381" i="100" s="1"/>
  <c r="D382" i="100"/>
  <c r="F382" i="100" s="1"/>
  <c r="D383" i="100"/>
  <c r="F383" i="100" s="1"/>
  <c r="D384" i="100"/>
  <c r="F384" i="100" s="1"/>
  <c r="D385" i="100"/>
  <c r="F385" i="100" s="1"/>
  <c r="D386" i="100"/>
  <c r="F386" i="100" s="1"/>
  <c r="D387" i="100"/>
  <c r="F387" i="100" s="1"/>
  <c r="D388" i="100"/>
  <c r="F388" i="100" s="1"/>
  <c r="D389" i="100"/>
  <c r="F389" i="100" s="1"/>
  <c r="D390" i="100"/>
  <c r="F390" i="100" s="1"/>
  <c r="D391" i="100"/>
  <c r="F391" i="100" s="1"/>
  <c r="D392" i="100"/>
  <c r="F392" i="100" s="1"/>
  <c r="D393" i="100"/>
  <c r="F393" i="100" s="1"/>
  <c r="D394" i="100"/>
  <c r="F394" i="100" s="1"/>
  <c r="D395" i="100"/>
  <c r="F395" i="100" s="1"/>
  <c r="D396" i="100"/>
  <c r="F396" i="100" s="1"/>
  <c r="D397" i="100"/>
  <c r="F397" i="100" s="1"/>
  <c r="D398" i="100"/>
  <c r="F398" i="100" s="1"/>
  <c r="D399" i="100"/>
  <c r="F399" i="100" s="1"/>
  <c r="D400" i="100"/>
  <c r="F400" i="100" s="1"/>
  <c r="D401" i="100"/>
  <c r="F401" i="100" s="1"/>
  <c r="D402" i="100"/>
  <c r="F402" i="100" s="1"/>
  <c r="D403" i="100"/>
  <c r="F403" i="100" s="1"/>
  <c r="D404" i="100"/>
  <c r="F404" i="100" s="1"/>
  <c r="D405" i="100"/>
  <c r="F405" i="100" s="1"/>
  <c r="D406" i="100"/>
  <c r="F406" i="100" s="1"/>
  <c r="D407" i="100"/>
  <c r="F407" i="100" s="1"/>
  <c r="D408" i="100"/>
  <c r="F408" i="100" s="1"/>
  <c r="D409" i="100"/>
  <c r="F409" i="100" s="1"/>
  <c r="D410" i="100"/>
  <c r="F410" i="100" s="1"/>
  <c r="D411" i="100"/>
  <c r="F411" i="100" s="1"/>
  <c r="D412" i="100"/>
  <c r="F412" i="100" s="1"/>
  <c r="D413" i="100"/>
  <c r="F413" i="100" s="1"/>
  <c r="D414" i="100"/>
  <c r="F414" i="100" s="1"/>
  <c r="D415" i="100"/>
  <c r="F415" i="100" s="1"/>
  <c r="D416" i="100"/>
  <c r="F416" i="100" s="1"/>
  <c r="D417" i="100"/>
  <c r="F417" i="100" s="1"/>
  <c r="D418" i="100"/>
  <c r="F418" i="100" s="1"/>
  <c r="D419" i="100"/>
  <c r="F419" i="100" s="1"/>
  <c r="D420" i="100"/>
  <c r="F420" i="100" s="1"/>
  <c r="D421" i="100"/>
  <c r="F421" i="100" s="1"/>
  <c r="D422" i="100"/>
  <c r="F422" i="100" s="1"/>
  <c r="D423" i="100"/>
  <c r="F423" i="100" s="1"/>
  <c r="D424" i="100"/>
  <c r="F424" i="100" s="1"/>
  <c r="D425" i="100"/>
  <c r="F425" i="100" s="1"/>
  <c r="D426" i="100"/>
  <c r="F426" i="100" s="1"/>
  <c r="D427" i="100"/>
  <c r="F427" i="100" s="1"/>
  <c r="D428" i="100"/>
  <c r="F428" i="100" s="1"/>
  <c r="D429" i="100"/>
  <c r="F429" i="100" s="1"/>
  <c r="D430" i="100"/>
  <c r="F430" i="100" s="1"/>
  <c r="D431" i="100"/>
  <c r="F431" i="100" s="1"/>
  <c r="D432" i="100"/>
  <c r="F432" i="100" s="1"/>
  <c r="D433" i="100"/>
  <c r="F433" i="100" s="1"/>
  <c r="D434" i="100"/>
  <c r="F434" i="100" s="1"/>
  <c r="D435" i="100"/>
  <c r="F435" i="100" s="1"/>
  <c r="D436" i="100"/>
  <c r="F436" i="100" s="1"/>
  <c r="D437" i="100"/>
  <c r="F437" i="100" s="1"/>
  <c r="D438" i="100"/>
  <c r="F438" i="100" s="1"/>
  <c r="D439" i="100"/>
  <c r="F439" i="100" s="1"/>
  <c r="D440" i="100"/>
  <c r="F440" i="100" s="1"/>
  <c r="D441" i="100"/>
  <c r="F441" i="100" s="1"/>
  <c r="D442" i="100"/>
  <c r="F442" i="100" s="1"/>
  <c r="D443" i="100"/>
  <c r="F443" i="100" s="1"/>
  <c r="D444" i="100"/>
  <c r="F444" i="100" s="1"/>
  <c r="D445" i="100"/>
  <c r="F445" i="100" s="1"/>
  <c r="D446" i="100"/>
  <c r="F446" i="100" s="1"/>
  <c r="D447" i="100"/>
  <c r="F447" i="100" s="1"/>
  <c r="D448" i="100"/>
  <c r="F448" i="100" s="1"/>
  <c r="D449" i="100"/>
  <c r="F449" i="100" s="1"/>
  <c r="D450" i="100"/>
  <c r="F450" i="100" s="1"/>
  <c r="D451" i="100"/>
  <c r="F451" i="100" s="1"/>
  <c r="D452" i="100"/>
  <c r="F452" i="100" s="1"/>
  <c r="D453" i="100"/>
  <c r="F453" i="100" s="1"/>
  <c r="D454" i="100"/>
  <c r="F454" i="100" s="1"/>
  <c r="D455" i="100"/>
  <c r="F455" i="100" s="1"/>
  <c r="D456" i="100"/>
  <c r="F456" i="100" s="1"/>
  <c r="D457" i="100"/>
  <c r="F457" i="100" s="1"/>
  <c r="D458" i="100"/>
  <c r="F458" i="100" s="1"/>
  <c r="D459" i="100"/>
  <c r="F459" i="100" s="1"/>
  <c r="D460" i="100"/>
  <c r="F460" i="100" s="1"/>
  <c r="D461" i="100"/>
  <c r="F461" i="100" s="1"/>
  <c r="D462" i="100"/>
  <c r="F462" i="100" s="1"/>
  <c r="D463" i="100"/>
  <c r="F463" i="100" s="1"/>
  <c r="D464" i="100"/>
  <c r="F464" i="100" s="1"/>
  <c r="D465" i="100"/>
  <c r="F465" i="100" s="1"/>
  <c r="D466" i="100"/>
  <c r="F466" i="100" s="1"/>
  <c r="D467" i="100"/>
  <c r="F467" i="100" s="1"/>
  <c r="D468" i="100"/>
  <c r="F468" i="100" s="1"/>
  <c r="D469" i="100"/>
  <c r="F469" i="100" s="1"/>
  <c r="D470" i="100"/>
  <c r="F470" i="100" s="1"/>
  <c r="D471" i="100"/>
  <c r="F471" i="100" s="1"/>
  <c r="D472" i="100"/>
  <c r="F472" i="100" s="1"/>
  <c r="D473" i="100"/>
  <c r="F473" i="100" s="1"/>
  <c r="D474" i="100"/>
  <c r="F474" i="100" s="1"/>
  <c r="D475" i="100"/>
  <c r="F475" i="100" s="1"/>
  <c r="D476" i="100"/>
  <c r="F476" i="100" s="1"/>
  <c r="D477" i="100"/>
  <c r="F477" i="100" s="1"/>
  <c r="D478" i="100"/>
  <c r="F478" i="100" s="1"/>
  <c r="D479" i="100"/>
  <c r="F479" i="100" s="1"/>
  <c r="D480" i="100"/>
  <c r="F480" i="100" s="1"/>
  <c r="D481" i="100"/>
  <c r="F481" i="100" s="1"/>
  <c r="D482" i="100"/>
  <c r="F482" i="100" s="1"/>
  <c r="D483" i="100"/>
  <c r="F483" i="100" s="1"/>
  <c r="D484" i="100"/>
  <c r="F484" i="100" s="1"/>
  <c r="D485" i="100"/>
  <c r="F485" i="100" s="1"/>
  <c r="D486" i="100"/>
  <c r="F486" i="100" s="1"/>
  <c r="D487" i="100"/>
  <c r="F487" i="100" s="1"/>
  <c r="D488" i="100"/>
  <c r="F488" i="100" s="1"/>
  <c r="D489" i="100"/>
  <c r="F489" i="100" s="1"/>
  <c r="D490" i="100"/>
  <c r="F490" i="100" s="1"/>
  <c r="D491" i="100"/>
  <c r="F491" i="100" s="1"/>
  <c r="D492" i="100"/>
  <c r="F492" i="100" s="1"/>
  <c r="D493" i="100"/>
  <c r="F493" i="100" s="1"/>
  <c r="D494" i="100"/>
  <c r="F494" i="100" s="1"/>
  <c r="D495" i="100"/>
  <c r="F495" i="100" s="1"/>
  <c r="D496" i="100"/>
  <c r="F496" i="100" s="1"/>
  <c r="D497" i="100"/>
  <c r="F497" i="100" s="1"/>
  <c r="D498" i="100"/>
  <c r="F498" i="100" s="1"/>
  <c r="D499" i="100"/>
  <c r="F499" i="100" s="1"/>
  <c r="D500" i="100"/>
  <c r="F500" i="100" s="1"/>
  <c r="D501" i="100"/>
  <c r="F501" i="100" s="1"/>
  <c r="D3" i="100"/>
  <c r="F3" i="100" s="1"/>
  <c r="D4" i="100"/>
  <c r="F4" i="100" s="1"/>
  <c r="D5" i="100"/>
  <c r="F5" i="100" s="1"/>
  <c r="D6" i="100"/>
  <c r="F6" i="100" s="1"/>
  <c r="D7" i="100"/>
  <c r="F7" i="100" s="1"/>
  <c r="D8" i="100"/>
  <c r="F8" i="100" s="1"/>
  <c r="D9" i="100"/>
  <c r="F9" i="100" s="1"/>
  <c r="D10" i="100"/>
  <c r="F10" i="100" s="1"/>
  <c r="D11" i="100"/>
  <c r="F11" i="100" s="1"/>
  <c r="D12" i="100"/>
  <c r="F12" i="100" s="1"/>
  <c r="D13" i="100"/>
  <c r="F13" i="100" s="1"/>
  <c r="D14" i="100"/>
  <c r="F14" i="100" s="1"/>
  <c r="D15" i="100"/>
  <c r="F15" i="100" s="1"/>
  <c r="D16" i="100"/>
  <c r="F16" i="100" s="1"/>
  <c r="D17" i="100"/>
  <c r="F17" i="100" s="1"/>
  <c r="D2" i="100"/>
  <c r="F2" i="100" s="1"/>
  <c r="H11" i="35"/>
  <c r="H12" i="35"/>
  <c r="H13" i="35"/>
  <c r="H14" i="35"/>
  <c r="H15" i="35"/>
  <c r="H16" i="35"/>
  <c r="H17" i="35"/>
  <c r="H18" i="35"/>
  <c r="H19" i="35"/>
  <c r="H20" i="35"/>
  <c r="H21" i="35"/>
  <c r="H22" i="35"/>
  <c r="H23" i="35"/>
  <c r="H24" i="35"/>
  <c r="H25" i="35"/>
  <c r="H26" i="35"/>
  <c r="H27" i="35"/>
  <c r="H28" i="35"/>
  <c r="H29" i="35"/>
  <c r="H30" i="35"/>
  <c r="H31" i="35"/>
  <c r="H32" i="35"/>
  <c r="H33" i="35"/>
  <c r="H34" i="35"/>
  <c r="H35" i="35"/>
  <c r="H36" i="35"/>
  <c r="H37" i="35"/>
  <c r="H38" i="35"/>
  <c r="H39" i="35"/>
  <c r="H40" i="35"/>
  <c r="H41" i="35"/>
  <c r="H42" i="35"/>
  <c r="H43" i="35"/>
  <c r="H44" i="35"/>
  <c r="H45" i="35"/>
  <c r="H46" i="35"/>
  <c r="H47" i="35"/>
  <c r="H48" i="35"/>
  <c r="H49" i="35"/>
  <c r="H50" i="35"/>
  <c r="H51" i="35"/>
  <c r="H52" i="35"/>
  <c r="H53" i="35"/>
  <c r="H54" i="35"/>
  <c r="H55" i="35"/>
  <c r="H56" i="35"/>
  <c r="H57" i="35"/>
  <c r="H58" i="35"/>
  <c r="H59" i="35"/>
  <c r="H60" i="35"/>
  <c r="H61" i="35"/>
  <c r="H62" i="35"/>
  <c r="H63" i="35"/>
  <c r="H64" i="35"/>
  <c r="H65" i="35"/>
  <c r="H66" i="35"/>
  <c r="H67" i="35"/>
  <c r="H68" i="35"/>
  <c r="H69" i="35"/>
  <c r="H70" i="35"/>
  <c r="H71" i="35"/>
  <c r="H72" i="35"/>
  <c r="H73" i="35"/>
  <c r="H74" i="35"/>
  <c r="H75" i="35"/>
  <c r="H76" i="35"/>
  <c r="H77" i="35"/>
  <c r="H78" i="35"/>
  <c r="H79" i="35"/>
  <c r="H80" i="35"/>
  <c r="H81" i="35"/>
  <c r="H82" i="35"/>
  <c r="H83" i="35"/>
  <c r="H84" i="35"/>
  <c r="H85" i="35"/>
  <c r="H86" i="35"/>
  <c r="H87" i="35"/>
  <c r="H88" i="35"/>
  <c r="H89" i="35"/>
  <c r="H90" i="35"/>
  <c r="H91" i="35"/>
  <c r="H92" i="35"/>
  <c r="H93" i="35"/>
  <c r="H94" i="35"/>
  <c r="H95" i="35"/>
  <c r="H96" i="35"/>
  <c r="H97" i="35"/>
  <c r="H98" i="35"/>
  <c r="H99" i="35"/>
  <c r="H100" i="35"/>
  <c r="H101" i="35"/>
  <c r="H102" i="35"/>
  <c r="H103" i="35"/>
  <c r="H104" i="35"/>
  <c r="H105" i="35"/>
  <c r="H106" i="35"/>
  <c r="H107" i="35"/>
  <c r="H108" i="35"/>
  <c r="H109" i="35"/>
  <c r="H110" i="35"/>
  <c r="H111" i="35"/>
  <c r="H112" i="35"/>
  <c r="H113" i="35"/>
  <c r="H114" i="35"/>
  <c r="H115" i="35"/>
  <c r="H116" i="35"/>
  <c r="H117" i="35"/>
  <c r="H118" i="35"/>
  <c r="H119" i="35"/>
  <c r="H120" i="35"/>
  <c r="H121" i="35"/>
  <c r="H122" i="35"/>
  <c r="H123" i="35"/>
  <c r="H124" i="35"/>
  <c r="H125" i="35"/>
  <c r="H126" i="35"/>
  <c r="H127" i="35"/>
  <c r="H128" i="35"/>
  <c r="H129" i="35"/>
  <c r="H130" i="35"/>
  <c r="H131" i="35"/>
  <c r="H132" i="35"/>
  <c r="H133" i="35"/>
  <c r="H134" i="35"/>
  <c r="H135" i="35"/>
  <c r="H136" i="35"/>
  <c r="H137" i="35"/>
  <c r="H138" i="35"/>
  <c r="H139" i="35"/>
  <c r="H140" i="35"/>
  <c r="H141" i="35"/>
  <c r="H142" i="35"/>
  <c r="H143" i="35"/>
  <c r="H144" i="35"/>
  <c r="H145" i="35"/>
  <c r="H146" i="35"/>
  <c r="H147" i="35"/>
  <c r="H148" i="35"/>
  <c r="H149" i="35"/>
  <c r="H150" i="35"/>
  <c r="H151" i="35"/>
  <c r="H152" i="35"/>
  <c r="H153" i="35"/>
  <c r="H154" i="35"/>
  <c r="H155" i="35"/>
  <c r="H156" i="35"/>
  <c r="H157" i="35"/>
  <c r="H158" i="35"/>
  <c r="H159" i="35"/>
  <c r="H160" i="35"/>
  <c r="H161" i="35"/>
  <c r="H162" i="35"/>
  <c r="H163" i="35"/>
  <c r="H164" i="35"/>
  <c r="H165" i="35"/>
  <c r="H166" i="35"/>
  <c r="H167" i="35"/>
  <c r="H168" i="35"/>
  <c r="H169" i="35"/>
  <c r="H170" i="35"/>
  <c r="H171" i="35"/>
  <c r="H172" i="35"/>
  <c r="H173" i="35"/>
  <c r="H174" i="35"/>
  <c r="H175" i="35"/>
  <c r="H176" i="35"/>
  <c r="H177" i="35"/>
  <c r="H178" i="35"/>
  <c r="H179" i="35"/>
  <c r="H180" i="35"/>
  <c r="H181" i="35"/>
  <c r="H182" i="35"/>
  <c r="H183" i="35"/>
  <c r="H184" i="35"/>
  <c r="H185" i="35"/>
  <c r="H186" i="35"/>
  <c r="H187" i="35"/>
  <c r="H188" i="35"/>
  <c r="H189" i="35"/>
  <c r="H190" i="35"/>
  <c r="H191" i="35"/>
  <c r="H192" i="35"/>
  <c r="H193" i="35"/>
  <c r="H194" i="35"/>
  <c r="H195" i="35"/>
  <c r="H196" i="35"/>
  <c r="H197" i="35"/>
  <c r="H198" i="35"/>
  <c r="H199" i="35"/>
  <c r="H200" i="35"/>
  <c r="H201" i="35"/>
  <c r="H202" i="35"/>
  <c r="H203" i="35"/>
  <c r="H204" i="35"/>
  <c r="H205" i="35"/>
  <c r="H206" i="35"/>
  <c r="H207" i="35"/>
  <c r="H208" i="35"/>
  <c r="H209" i="35"/>
  <c r="H210" i="35"/>
  <c r="H211" i="35"/>
  <c r="H212" i="35"/>
  <c r="H213" i="35"/>
  <c r="H214" i="35"/>
  <c r="H215" i="35"/>
  <c r="H216" i="35"/>
  <c r="H217" i="35"/>
  <c r="H218" i="35"/>
  <c r="H219" i="35"/>
  <c r="H220" i="35"/>
  <c r="H221" i="35"/>
  <c r="H222" i="35"/>
  <c r="H223" i="35"/>
  <c r="H224" i="35"/>
  <c r="H225" i="35"/>
  <c r="H226" i="35"/>
  <c r="H227" i="35"/>
  <c r="H228" i="35"/>
  <c r="H229" i="35"/>
  <c r="H230" i="35"/>
  <c r="H231" i="35"/>
  <c r="H232" i="35"/>
  <c r="H233" i="35"/>
  <c r="H234" i="35"/>
  <c r="H235" i="35"/>
  <c r="H236" i="35"/>
  <c r="H237" i="35"/>
  <c r="H238" i="35"/>
  <c r="H239" i="35"/>
  <c r="H240" i="35"/>
  <c r="H241" i="35"/>
  <c r="H242" i="35"/>
  <c r="H243" i="35"/>
  <c r="H244" i="35"/>
  <c r="H245" i="35"/>
  <c r="H246" i="35"/>
  <c r="H247" i="35"/>
  <c r="H248" i="35"/>
  <c r="H249" i="35"/>
  <c r="H250" i="35"/>
  <c r="H251" i="35"/>
  <c r="H252" i="35"/>
  <c r="H253" i="35"/>
  <c r="H254" i="35"/>
  <c r="H255" i="35"/>
  <c r="H256" i="35"/>
  <c r="H257" i="35"/>
  <c r="H258" i="35"/>
  <c r="H259" i="35"/>
  <c r="H260" i="35"/>
  <c r="H261" i="35"/>
  <c r="H262" i="35"/>
  <c r="H263" i="35"/>
  <c r="H264" i="35"/>
  <c r="H265" i="35"/>
  <c r="H266" i="35"/>
  <c r="H267" i="35"/>
  <c r="H268" i="35"/>
  <c r="H269" i="35"/>
  <c r="H270" i="35"/>
  <c r="H271" i="35"/>
  <c r="H272" i="35"/>
  <c r="H273" i="35"/>
  <c r="H274" i="35"/>
  <c r="H275" i="35"/>
  <c r="H276" i="35"/>
  <c r="H277" i="35"/>
  <c r="H278" i="35"/>
  <c r="H279" i="35"/>
  <c r="H280" i="35"/>
  <c r="H281" i="35"/>
  <c r="H282" i="35"/>
  <c r="H283" i="35"/>
  <c r="H284" i="35"/>
  <c r="H285" i="35"/>
  <c r="H286" i="35"/>
  <c r="H287" i="35"/>
  <c r="H288" i="35"/>
  <c r="H289" i="35"/>
  <c r="H290" i="35"/>
  <c r="H291" i="35"/>
  <c r="H292" i="35"/>
  <c r="H293" i="35"/>
  <c r="H294" i="35"/>
  <c r="H295" i="35"/>
  <c r="H296" i="35"/>
  <c r="H297" i="35"/>
  <c r="H298" i="35"/>
  <c r="H299" i="35"/>
  <c r="H300" i="35"/>
  <c r="H301" i="35"/>
  <c r="H302" i="35"/>
  <c r="H303" i="35"/>
  <c r="H304" i="35"/>
  <c r="H305" i="35"/>
  <c r="H306" i="35"/>
  <c r="H307" i="35"/>
  <c r="H308" i="35"/>
  <c r="H309" i="35"/>
  <c r="H310" i="35"/>
  <c r="H311" i="35"/>
  <c r="H312" i="35"/>
  <c r="H313" i="35"/>
  <c r="H314" i="35"/>
  <c r="H315" i="35"/>
  <c r="H316" i="35"/>
  <c r="H317" i="35"/>
  <c r="H318" i="35"/>
  <c r="H319" i="35"/>
  <c r="H320" i="35"/>
  <c r="H321" i="35"/>
  <c r="H322" i="35"/>
  <c r="H323" i="35"/>
  <c r="H324" i="35"/>
  <c r="H325" i="35"/>
  <c r="H326" i="35"/>
  <c r="H327" i="35"/>
  <c r="H328" i="35"/>
  <c r="H329" i="35"/>
  <c r="H330" i="35"/>
  <c r="H331" i="35"/>
  <c r="H332" i="35"/>
  <c r="H333" i="35"/>
  <c r="H334" i="35"/>
  <c r="H335" i="35"/>
  <c r="H336" i="35"/>
  <c r="H337" i="35"/>
  <c r="H338" i="35"/>
  <c r="H339" i="35"/>
  <c r="H340" i="35"/>
  <c r="H341" i="35"/>
  <c r="H342" i="35"/>
  <c r="H343" i="35"/>
  <c r="H344" i="35"/>
  <c r="H345" i="35"/>
  <c r="H346" i="35"/>
  <c r="H347" i="35"/>
  <c r="H348" i="35"/>
  <c r="H349" i="35"/>
  <c r="H350" i="35"/>
  <c r="H351" i="35"/>
  <c r="H352" i="35"/>
  <c r="H353" i="35"/>
  <c r="H354" i="35"/>
  <c r="H355" i="35"/>
  <c r="H356" i="35"/>
  <c r="H357" i="35"/>
  <c r="H358" i="35"/>
  <c r="H359" i="35"/>
  <c r="H360" i="35"/>
  <c r="H361" i="35"/>
  <c r="H362" i="35"/>
  <c r="H363" i="35"/>
  <c r="H364" i="35"/>
  <c r="H365" i="35"/>
  <c r="H366" i="35"/>
  <c r="H367" i="35"/>
  <c r="H368" i="35"/>
  <c r="H369" i="35"/>
  <c r="H370" i="35"/>
  <c r="H371" i="35"/>
  <c r="H372" i="35"/>
  <c r="H373" i="35"/>
  <c r="H374" i="35"/>
  <c r="H375" i="35"/>
  <c r="H376" i="35"/>
  <c r="H377" i="35"/>
  <c r="H378" i="35"/>
  <c r="H379" i="35"/>
  <c r="H380" i="35"/>
  <c r="H381" i="35"/>
  <c r="H382" i="35"/>
  <c r="H383" i="35"/>
  <c r="H384" i="35"/>
  <c r="H385" i="35"/>
  <c r="H386" i="35"/>
  <c r="H387" i="35"/>
  <c r="H388" i="35"/>
  <c r="H389" i="35"/>
  <c r="H390" i="35"/>
  <c r="H391" i="35"/>
  <c r="H392" i="35"/>
  <c r="H393" i="35"/>
  <c r="H394" i="35"/>
  <c r="H395" i="35"/>
  <c r="H396" i="35"/>
  <c r="H397" i="35"/>
  <c r="H398" i="35"/>
  <c r="H399" i="35"/>
  <c r="H400" i="35"/>
  <c r="H401" i="35"/>
  <c r="H402" i="35"/>
  <c r="H403" i="35"/>
  <c r="H404" i="35"/>
  <c r="H405" i="35"/>
  <c r="H406" i="35"/>
  <c r="H407" i="35"/>
  <c r="H408" i="35"/>
  <c r="H409" i="35"/>
  <c r="H410" i="35"/>
  <c r="H411" i="35"/>
  <c r="H412" i="35"/>
  <c r="H413" i="35"/>
  <c r="H414" i="35"/>
  <c r="H415" i="35"/>
  <c r="H416" i="35"/>
  <c r="H417" i="35"/>
  <c r="H418" i="35"/>
  <c r="H419" i="35"/>
  <c r="H420" i="35"/>
  <c r="H421" i="35"/>
  <c r="H422" i="35"/>
  <c r="H423" i="35"/>
  <c r="H424" i="35"/>
  <c r="H425" i="35"/>
  <c r="H426" i="35"/>
  <c r="H427" i="35"/>
  <c r="H428" i="35"/>
  <c r="H429" i="35"/>
  <c r="H430" i="35"/>
  <c r="H431" i="35"/>
  <c r="H432" i="35"/>
  <c r="H433" i="35"/>
  <c r="H434" i="35"/>
  <c r="H435" i="35"/>
  <c r="H436" i="35"/>
  <c r="H437" i="35"/>
  <c r="H438" i="35"/>
  <c r="H439" i="35"/>
  <c r="H440" i="35"/>
  <c r="H441" i="35"/>
  <c r="H442" i="35"/>
  <c r="H443" i="35"/>
  <c r="H444" i="35"/>
  <c r="H445" i="35"/>
  <c r="H446" i="35"/>
  <c r="H447" i="35"/>
  <c r="H448" i="35"/>
  <c r="H449" i="35"/>
  <c r="H450" i="35"/>
  <c r="H451" i="35"/>
  <c r="H452" i="35"/>
  <c r="H453" i="35"/>
  <c r="H454" i="35"/>
  <c r="H455" i="35"/>
  <c r="H456" i="35"/>
  <c r="H457" i="35"/>
  <c r="H458" i="35"/>
  <c r="H459" i="35"/>
  <c r="H460" i="35"/>
  <c r="H461" i="35"/>
  <c r="H462" i="35"/>
  <c r="H463" i="35"/>
  <c r="H464" i="35"/>
  <c r="H465" i="35"/>
  <c r="H466" i="35"/>
  <c r="H467" i="35"/>
  <c r="H468" i="35"/>
  <c r="H469" i="35"/>
  <c r="H470" i="35"/>
  <c r="H471" i="35"/>
  <c r="H472" i="35"/>
  <c r="H473" i="35"/>
  <c r="H474" i="35"/>
  <c r="H475" i="35"/>
  <c r="H476" i="35"/>
  <c r="H477" i="35"/>
  <c r="H478" i="35"/>
  <c r="H479" i="35"/>
  <c r="H480" i="35"/>
  <c r="H481" i="35"/>
  <c r="H482" i="35"/>
  <c r="H483" i="35"/>
  <c r="H484" i="35"/>
  <c r="H485" i="35"/>
  <c r="H486" i="35"/>
  <c r="H487" i="35"/>
  <c r="H488" i="35"/>
  <c r="H489" i="35"/>
  <c r="H490" i="35"/>
  <c r="H491" i="35"/>
  <c r="H492" i="35"/>
  <c r="H493" i="35"/>
  <c r="H494" i="35"/>
  <c r="H495" i="35"/>
  <c r="H496" i="35"/>
  <c r="H497" i="35"/>
  <c r="H498" i="35"/>
  <c r="H499" i="35"/>
  <c r="H500" i="35"/>
  <c r="H501" i="35"/>
  <c r="H502" i="35"/>
  <c r="H503" i="35"/>
  <c r="H504" i="35"/>
  <c r="H505" i="35"/>
  <c r="H506" i="35"/>
  <c r="H507" i="35"/>
  <c r="H508" i="35"/>
  <c r="H509" i="35"/>
  <c r="H510" i="35"/>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73" i="14"/>
  <c r="H74" i="14"/>
  <c r="H75" i="14"/>
  <c r="H76" i="14"/>
  <c r="H77" i="14"/>
  <c r="H78" i="14"/>
  <c r="H79" i="14"/>
  <c r="H80" i="14"/>
  <c r="H81" i="14"/>
  <c r="H82" i="14"/>
  <c r="H83" i="14"/>
  <c r="H84" i="14"/>
  <c r="H85" i="14"/>
  <c r="H86" i="14"/>
  <c r="H87" i="14"/>
  <c r="H88" i="14"/>
  <c r="H89" i="14"/>
  <c r="H90" i="14"/>
  <c r="H91" i="14"/>
  <c r="H92" i="14"/>
  <c r="H93" i="14"/>
  <c r="H94" i="14"/>
  <c r="H95" i="14"/>
  <c r="H96" i="14"/>
  <c r="H97" i="14"/>
  <c r="H98" i="14"/>
  <c r="H99" i="14"/>
  <c r="H100" i="14"/>
  <c r="H101" i="14"/>
  <c r="H102" i="14"/>
  <c r="H103" i="14"/>
  <c r="H104" i="14"/>
  <c r="H105" i="14"/>
  <c r="H106" i="14"/>
  <c r="H107" i="14"/>
  <c r="H108" i="14"/>
  <c r="H109" i="14"/>
  <c r="H110" i="14"/>
  <c r="H111" i="14"/>
  <c r="H112" i="14"/>
  <c r="H113" i="14"/>
  <c r="H114" i="14"/>
  <c r="H115" i="14"/>
  <c r="H116" i="14"/>
  <c r="H117" i="14"/>
  <c r="H118" i="14"/>
  <c r="H119" i="14"/>
  <c r="H120" i="14"/>
  <c r="H121" i="14"/>
  <c r="H122" i="14"/>
  <c r="H123" i="14"/>
  <c r="H124" i="14"/>
  <c r="H125" i="14"/>
  <c r="H126" i="14"/>
  <c r="H127" i="14"/>
  <c r="H128" i="14"/>
  <c r="H129" i="14"/>
  <c r="H130" i="14"/>
  <c r="H131" i="14"/>
  <c r="H132" i="14"/>
  <c r="H133" i="14"/>
  <c r="H134" i="14"/>
  <c r="H135" i="14"/>
  <c r="H136" i="14"/>
  <c r="H137" i="14"/>
  <c r="H138" i="14"/>
  <c r="H139" i="14"/>
  <c r="H140" i="14"/>
  <c r="H141" i="14"/>
  <c r="H142" i="14"/>
  <c r="H143" i="14"/>
  <c r="H144" i="14"/>
  <c r="H145" i="14"/>
  <c r="H146" i="14"/>
  <c r="H147" i="14"/>
  <c r="H148" i="14"/>
  <c r="H149" i="14"/>
  <c r="H150" i="14"/>
  <c r="H151" i="14"/>
  <c r="H152" i="14"/>
  <c r="H153" i="14"/>
  <c r="H154" i="14"/>
  <c r="H155" i="14"/>
  <c r="H156" i="14"/>
  <c r="H157" i="14"/>
  <c r="H158" i="14"/>
  <c r="H159" i="14"/>
  <c r="H160" i="14"/>
  <c r="H161" i="14"/>
  <c r="H162" i="14"/>
  <c r="H163" i="14"/>
  <c r="H164" i="14"/>
  <c r="H165" i="14"/>
  <c r="H166" i="14"/>
  <c r="H167" i="14"/>
  <c r="H168" i="14"/>
  <c r="H169" i="14"/>
  <c r="H170" i="14"/>
  <c r="H171" i="14"/>
  <c r="H172" i="14"/>
  <c r="H173" i="14"/>
  <c r="H174" i="14"/>
  <c r="H175" i="14"/>
  <c r="H176" i="14"/>
  <c r="H177" i="14"/>
  <c r="H178" i="14"/>
  <c r="H179" i="14"/>
  <c r="H180" i="14"/>
  <c r="H181" i="14"/>
  <c r="H182" i="14"/>
  <c r="H183" i="14"/>
  <c r="H184" i="14"/>
  <c r="H185" i="14"/>
  <c r="H186" i="14"/>
  <c r="H187" i="14"/>
  <c r="H188" i="14"/>
  <c r="H189" i="14"/>
  <c r="H190" i="14"/>
  <c r="H191" i="14"/>
  <c r="H192" i="14"/>
  <c r="H193" i="14"/>
  <c r="H194" i="14"/>
  <c r="H195" i="14"/>
  <c r="H196" i="14"/>
  <c r="H197" i="14"/>
  <c r="H198" i="14"/>
  <c r="H199" i="14"/>
  <c r="H200" i="14"/>
  <c r="H201" i="14"/>
  <c r="H202" i="14"/>
  <c r="H203" i="14"/>
  <c r="H204" i="14"/>
  <c r="H205" i="14"/>
  <c r="H206" i="14"/>
  <c r="H207" i="14"/>
  <c r="H208" i="14"/>
  <c r="H209" i="14"/>
  <c r="H210" i="14"/>
  <c r="H211" i="14"/>
  <c r="H212" i="14"/>
  <c r="H213" i="14"/>
  <c r="H214" i="14"/>
  <c r="H215" i="14"/>
  <c r="H216" i="14"/>
  <c r="H217" i="14"/>
  <c r="H218" i="14"/>
  <c r="H219" i="14"/>
  <c r="H220" i="14"/>
  <c r="H221" i="14"/>
  <c r="H222" i="14"/>
  <c r="H223" i="14"/>
  <c r="H224" i="14"/>
  <c r="H225" i="14"/>
  <c r="H226" i="14"/>
  <c r="H227" i="14"/>
  <c r="H228" i="14"/>
  <c r="H229" i="14"/>
  <c r="H230" i="14"/>
  <c r="H231" i="14"/>
  <c r="H232" i="14"/>
  <c r="H233" i="14"/>
  <c r="H234" i="14"/>
  <c r="H235" i="14"/>
  <c r="H236" i="14"/>
  <c r="H237" i="14"/>
  <c r="H238" i="14"/>
  <c r="H239" i="14"/>
  <c r="H240" i="14"/>
  <c r="H241" i="14"/>
  <c r="H242" i="14"/>
  <c r="H243" i="14"/>
  <c r="H244" i="14"/>
  <c r="H245" i="14"/>
  <c r="H246" i="14"/>
  <c r="H247" i="14"/>
  <c r="H248" i="14"/>
  <c r="H249" i="14"/>
  <c r="H250" i="14"/>
  <c r="H251" i="14"/>
  <c r="H252" i="14"/>
  <c r="H253" i="14"/>
  <c r="H254" i="14"/>
  <c r="H255" i="14"/>
  <c r="H256" i="14"/>
  <c r="H257" i="14"/>
  <c r="H258" i="14"/>
  <c r="H259" i="14"/>
  <c r="H260" i="14"/>
  <c r="H261" i="14"/>
  <c r="H262" i="14"/>
  <c r="H263" i="14"/>
  <c r="H264" i="14"/>
  <c r="H265" i="14"/>
  <c r="H266" i="14"/>
  <c r="H267" i="14"/>
  <c r="H268" i="14"/>
  <c r="H269" i="14"/>
  <c r="H270" i="14"/>
  <c r="H271" i="14"/>
  <c r="H272" i="14"/>
  <c r="H273" i="14"/>
  <c r="H274" i="14"/>
  <c r="H275" i="14"/>
  <c r="H276" i="14"/>
  <c r="H277" i="14"/>
  <c r="H278" i="14"/>
  <c r="H279" i="14"/>
  <c r="H280" i="14"/>
  <c r="H281" i="14"/>
  <c r="H282" i="14"/>
  <c r="H283" i="14"/>
  <c r="H284" i="14"/>
  <c r="H285" i="14"/>
  <c r="H286" i="14"/>
  <c r="H287" i="14"/>
  <c r="H288" i="14"/>
  <c r="H289" i="14"/>
  <c r="H290" i="14"/>
  <c r="H291" i="14"/>
  <c r="H292" i="14"/>
  <c r="H293" i="14"/>
  <c r="H294" i="14"/>
  <c r="H295" i="14"/>
  <c r="H296" i="14"/>
  <c r="H297" i="14"/>
  <c r="H298" i="14"/>
  <c r="H299" i="14"/>
  <c r="H300" i="14"/>
  <c r="H301" i="14"/>
  <c r="H302" i="14"/>
  <c r="H303" i="14"/>
  <c r="H304" i="14"/>
  <c r="H305" i="14"/>
  <c r="H306" i="14"/>
  <c r="H307" i="14"/>
  <c r="H308" i="14"/>
  <c r="H309" i="14"/>
  <c r="H310" i="14"/>
  <c r="H311" i="14"/>
  <c r="H312" i="14"/>
  <c r="H313" i="14"/>
  <c r="H314" i="14"/>
  <c r="H315" i="14"/>
  <c r="H316" i="14"/>
  <c r="H317" i="14"/>
  <c r="H318" i="14"/>
  <c r="H319" i="14"/>
  <c r="H320" i="14"/>
  <c r="H321" i="14"/>
  <c r="H322" i="14"/>
  <c r="H323" i="14"/>
  <c r="H324" i="14"/>
  <c r="H325" i="14"/>
  <c r="H326" i="14"/>
  <c r="H327" i="14"/>
  <c r="H328" i="14"/>
  <c r="H329" i="14"/>
  <c r="H330" i="14"/>
  <c r="H331" i="14"/>
  <c r="H332" i="14"/>
  <c r="H333" i="14"/>
  <c r="H334" i="14"/>
  <c r="H335" i="14"/>
  <c r="H336" i="14"/>
  <c r="H337" i="14"/>
  <c r="H338" i="14"/>
  <c r="H339" i="14"/>
  <c r="H340" i="14"/>
  <c r="H341" i="14"/>
  <c r="H342" i="14"/>
  <c r="H343" i="14"/>
  <c r="H344" i="14"/>
  <c r="H345" i="14"/>
  <c r="H346" i="14"/>
  <c r="H347" i="14"/>
  <c r="H348" i="14"/>
  <c r="H349" i="14"/>
  <c r="H350" i="14"/>
  <c r="H351" i="14"/>
  <c r="H352" i="14"/>
  <c r="H353" i="14"/>
  <c r="H354" i="14"/>
  <c r="H355" i="14"/>
  <c r="H356" i="14"/>
  <c r="H357" i="14"/>
  <c r="H358" i="14"/>
  <c r="H359" i="14"/>
  <c r="H360" i="14"/>
  <c r="H361" i="14"/>
  <c r="H362" i="14"/>
  <c r="H363" i="14"/>
  <c r="H364" i="14"/>
  <c r="H365" i="14"/>
  <c r="H366" i="14"/>
  <c r="H367" i="14"/>
  <c r="H368" i="14"/>
  <c r="H369" i="14"/>
  <c r="H370" i="14"/>
  <c r="H371" i="14"/>
  <c r="H372" i="14"/>
  <c r="H373" i="14"/>
  <c r="H374" i="14"/>
  <c r="H375" i="14"/>
  <c r="H376" i="14"/>
  <c r="H377" i="14"/>
  <c r="H378" i="14"/>
  <c r="H379" i="14"/>
  <c r="H380" i="14"/>
  <c r="H381" i="14"/>
  <c r="H382" i="14"/>
  <c r="H383" i="14"/>
  <c r="H384" i="14"/>
  <c r="H385" i="14"/>
  <c r="H386" i="14"/>
  <c r="H387" i="14"/>
  <c r="H388" i="14"/>
  <c r="H389" i="14"/>
  <c r="H390" i="14"/>
  <c r="H391" i="14"/>
  <c r="H392" i="14"/>
  <c r="H393" i="14"/>
  <c r="H394" i="14"/>
  <c r="H395" i="14"/>
  <c r="H396" i="14"/>
  <c r="H397" i="14"/>
  <c r="H398" i="14"/>
  <c r="H399" i="14"/>
  <c r="H400" i="14"/>
  <c r="H401" i="14"/>
  <c r="H402" i="14"/>
  <c r="H403" i="14"/>
  <c r="H404" i="14"/>
  <c r="H405" i="14"/>
  <c r="H406" i="14"/>
  <c r="H407" i="14"/>
  <c r="H408" i="14"/>
  <c r="H409" i="14"/>
  <c r="H410" i="14"/>
  <c r="H411" i="14"/>
  <c r="H412" i="14"/>
  <c r="H413" i="14"/>
  <c r="H414" i="14"/>
  <c r="H415" i="14"/>
  <c r="H416" i="14"/>
  <c r="H417" i="14"/>
  <c r="H418" i="14"/>
  <c r="H419" i="14"/>
  <c r="H420" i="14"/>
  <c r="H421" i="14"/>
  <c r="H422" i="14"/>
  <c r="H423" i="14"/>
  <c r="H424" i="14"/>
  <c r="H425" i="14"/>
  <c r="H426" i="14"/>
  <c r="H427" i="14"/>
  <c r="H428" i="14"/>
  <c r="H429" i="14"/>
  <c r="H430" i="14"/>
  <c r="H431" i="14"/>
  <c r="H432" i="14"/>
  <c r="H433" i="14"/>
  <c r="H434" i="14"/>
  <c r="H435" i="14"/>
  <c r="H436" i="14"/>
  <c r="H437" i="14"/>
  <c r="H438" i="14"/>
  <c r="H439" i="14"/>
  <c r="H440" i="14"/>
  <c r="H441" i="14"/>
  <c r="H442" i="14"/>
  <c r="H443" i="14"/>
  <c r="H444" i="14"/>
  <c r="H445" i="14"/>
  <c r="H446" i="14"/>
  <c r="H447" i="14"/>
  <c r="H448" i="14"/>
  <c r="H449" i="14"/>
  <c r="H450" i="14"/>
  <c r="H451" i="14"/>
  <c r="H452" i="14"/>
  <c r="H453" i="14"/>
  <c r="H454" i="14"/>
  <c r="H455" i="14"/>
  <c r="H456" i="14"/>
  <c r="H457" i="14"/>
  <c r="H458" i="14"/>
  <c r="H459" i="14"/>
  <c r="H460" i="14"/>
  <c r="H461" i="14"/>
  <c r="H462" i="14"/>
  <c r="H463" i="14"/>
  <c r="H464" i="14"/>
  <c r="H465" i="14"/>
  <c r="H466" i="14"/>
  <c r="H467" i="14"/>
  <c r="H468" i="14"/>
  <c r="H469" i="14"/>
  <c r="H470" i="14"/>
  <c r="H471" i="14"/>
  <c r="H472" i="14"/>
  <c r="H473" i="14"/>
  <c r="H474" i="14"/>
  <c r="H475" i="14"/>
  <c r="H476" i="14"/>
  <c r="H477" i="14"/>
  <c r="H478" i="14"/>
  <c r="H479" i="14"/>
  <c r="H480" i="14"/>
  <c r="H481" i="14"/>
  <c r="H482" i="14"/>
  <c r="H483" i="14"/>
  <c r="H484" i="14"/>
  <c r="H485" i="14"/>
  <c r="H486" i="14"/>
  <c r="H487" i="14"/>
  <c r="H488" i="14"/>
  <c r="H489" i="14"/>
  <c r="H490" i="14"/>
  <c r="H491" i="14"/>
  <c r="H492" i="14"/>
  <c r="H493" i="14"/>
  <c r="H494" i="14"/>
  <c r="H495" i="14"/>
  <c r="H496" i="14"/>
  <c r="H497" i="14"/>
  <c r="H498" i="14"/>
  <c r="H499" i="14"/>
  <c r="H500" i="14"/>
  <c r="H501" i="14"/>
  <c r="H502" i="14"/>
  <c r="H503" i="14"/>
  <c r="H504" i="14"/>
  <c r="H505" i="14"/>
  <c r="H506" i="14"/>
  <c r="H507" i="14"/>
  <c r="H508" i="14"/>
  <c r="H509" i="14"/>
  <c r="H510" i="14"/>
  <c r="C2" i="100"/>
  <c r="C3" i="100"/>
  <c r="C4" i="100"/>
  <c r="C5" i="100"/>
  <c r="C6" i="100"/>
  <c r="C7" i="100"/>
  <c r="C8" i="100"/>
  <c r="C9" i="100"/>
  <c r="C10" i="100"/>
  <c r="C11" i="100"/>
  <c r="C12" i="100"/>
  <c r="C13" i="100"/>
  <c r="C14" i="100"/>
  <c r="C15" i="100"/>
  <c r="C16" i="100"/>
  <c r="C17" i="100"/>
  <c r="C18" i="100"/>
  <c r="C19" i="100"/>
  <c r="C20" i="100"/>
  <c r="C21" i="100"/>
  <c r="C22" i="100"/>
  <c r="C23" i="100"/>
  <c r="C24" i="100"/>
  <c r="C25" i="100"/>
  <c r="C26" i="100"/>
  <c r="C27" i="100"/>
  <c r="C28" i="100"/>
  <c r="C29" i="100"/>
  <c r="C30" i="100"/>
  <c r="C31" i="100"/>
  <c r="C32" i="100"/>
  <c r="C33" i="100"/>
  <c r="C34" i="100"/>
  <c r="C35" i="100"/>
  <c r="C36" i="100"/>
  <c r="C37" i="100"/>
  <c r="C38" i="100"/>
  <c r="C39" i="100"/>
  <c r="C40" i="100"/>
  <c r="C41" i="100"/>
  <c r="C42" i="100"/>
  <c r="C43" i="100"/>
  <c r="C44" i="100"/>
  <c r="C45" i="100"/>
  <c r="C46" i="100"/>
  <c r="C47" i="100"/>
  <c r="C48" i="100"/>
  <c r="C49" i="100"/>
  <c r="C50" i="100"/>
  <c r="C51" i="100"/>
  <c r="C52" i="100"/>
  <c r="C53" i="100"/>
  <c r="C54" i="100"/>
  <c r="C55" i="100"/>
  <c r="C56" i="100"/>
  <c r="C57" i="100"/>
  <c r="C58" i="100"/>
  <c r="C59" i="100"/>
  <c r="C60" i="100"/>
  <c r="C61" i="100"/>
  <c r="C62" i="100"/>
  <c r="C63" i="100"/>
  <c r="C64" i="100"/>
  <c r="C65" i="100"/>
  <c r="C66" i="100"/>
  <c r="C67" i="100"/>
  <c r="C68" i="100"/>
  <c r="C69" i="100"/>
  <c r="C70" i="100"/>
  <c r="C71" i="100"/>
  <c r="C72" i="100"/>
  <c r="C73" i="100"/>
  <c r="C74" i="100"/>
  <c r="C75" i="100"/>
  <c r="C76" i="100"/>
  <c r="C77" i="100"/>
  <c r="C78" i="100"/>
  <c r="C79" i="100"/>
  <c r="C80" i="100"/>
  <c r="C81" i="100"/>
  <c r="C82" i="100"/>
  <c r="C83" i="100"/>
  <c r="C84" i="100"/>
  <c r="C85" i="100"/>
  <c r="C86" i="100"/>
  <c r="C87" i="100"/>
  <c r="C88" i="100"/>
  <c r="C89" i="100"/>
  <c r="C90" i="100"/>
  <c r="C91" i="100"/>
  <c r="C92" i="100"/>
  <c r="C93" i="100"/>
  <c r="C94" i="100"/>
  <c r="C95" i="100"/>
  <c r="C96" i="100"/>
  <c r="C97" i="100"/>
  <c r="C98" i="100"/>
  <c r="C99" i="100"/>
  <c r="C100" i="100"/>
  <c r="C101" i="100"/>
  <c r="C102" i="100"/>
  <c r="C103" i="100"/>
  <c r="C104" i="100"/>
  <c r="C105" i="100"/>
  <c r="C106" i="100"/>
  <c r="C107" i="100"/>
  <c r="C108" i="100"/>
  <c r="C109" i="100"/>
  <c r="C110" i="100"/>
  <c r="C111" i="100"/>
  <c r="C112" i="100"/>
  <c r="C113" i="100"/>
  <c r="C114" i="100"/>
  <c r="C115" i="100"/>
  <c r="C116" i="100"/>
  <c r="C117" i="100"/>
  <c r="C118" i="100"/>
  <c r="C119" i="100"/>
  <c r="C120" i="100"/>
  <c r="C121" i="100"/>
  <c r="C122" i="100"/>
  <c r="C123" i="100"/>
  <c r="C124" i="100"/>
  <c r="C125" i="100"/>
  <c r="C126" i="100"/>
  <c r="C127" i="100"/>
  <c r="C128" i="100"/>
  <c r="C129" i="100"/>
  <c r="C130" i="100"/>
  <c r="C131" i="100"/>
  <c r="C132" i="100"/>
  <c r="C133" i="100"/>
  <c r="C134" i="100"/>
  <c r="C135" i="100"/>
  <c r="C136" i="100"/>
  <c r="C137" i="100"/>
  <c r="C138" i="100"/>
  <c r="C139" i="100"/>
  <c r="C140" i="100"/>
  <c r="C141" i="100"/>
  <c r="C142" i="100"/>
  <c r="C143" i="100"/>
  <c r="C144" i="100"/>
  <c r="C145" i="100"/>
  <c r="C146" i="100"/>
  <c r="C147" i="100"/>
  <c r="C148" i="100"/>
  <c r="C149" i="100"/>
  <c r="C150" i="100"/>
  <c r="C151" i="100"/>
  <c r="C152" i="100"/>
  <c r="C153" i="100"/>
  <c r="C154" i="100"/>
  <c r="C155" i="100"/>
  <c r="C156" i="100"/>
  <c r="C157" i="100"/>
  <c r="C158" i="100"/>
  <c r="C159" i="100"/>
  <c r="C160" i="100"/>
  <c r="C161" i="100"/>
  <c r="C162" i="100"/>
  <c r="C163" i="100"/>
  <c r="C164" i="100"/>
  <c r="C165" i="100"/>
  <c r="C166" i="100"/>
  <c r="C167" i="100"/>
  <c r="C168" i="100"/>
  <c r="C169" i="100"/>
  <c r="C170" i="100"/>
  <c r="C171" i="100"/>
  <c r="C172" i="100"/>
  <c r="C173" i="100"/>
  <c r="C174" i="100"/>
  <c r="C175" i="100"/>
  <c r="C176" i="100"/>
  <c r="C177" i="100"/>
  <c r="C178" i="100"/>
  <c r="C179" i="100"/>
  <c r="C180" i="100"/>
  <c r="C181" i="100"/>
  <c r="C182" i="100"/>
  <c r="C183" i="100"/>
  <c r="C184" i="100"/>
  <c r="C185" i="100"/>
  <c r="C186" i="100"/>
  <c r="C187" i="100"/>
  <c r="C188" i="100"/>
  <c r="C189" i="100"/>
  <c r="C190" i="100"/>
  <c r="C191" i="100"/>
  <c r="C192" i="100"/>
  <c r="C193" i="100"/>
  <c r="C194" i="100"/>
  <c r="C195" i="100"/>
  <c r="C196" i="100"/>
  <c r="C197" i="100"/>
  <c r="C198" i="100"/>
  <c r="C199" i="100"/>
  <c r="C200" i="100"/>
  <c r="C201" i="100"/>
  <c r="C202" i="100"/>
  <c r="C203" i="100"/>
  <c r="C204" i="100"/>
  <c r="C205" i="100"/>
  <c r="C206" i="100"/>
  <c r="C207" i="100"/>
  <c r="C208" i="100"/>
  <c r="C209" i="100"/>
  <c r="C210" i="100"/>
  <c r="C211" i="100"/>
  <c r="C212" i="100"/>
  <c r="C213" i="100"/>
  <c r="C214" i="100"/>
  <c r="C215" i="100"/>
  <c r="C216" i="100"/>
  <c r="C217" i="100"/>
  <c r="C218" i="100"/>
  <c r="C219" i="100"/>
  <c r="C220" i="100"/>
  <c r="C221" i="100"/>
  <c r="C222" i="100"/>
  <c r="C223" i="100"/>
  <c r="C224" i="100"/>
  <c r="C225" i="100"/>
  <c r="C226" i="100"/>
  <c r="C227" i="100"/>
  <c r="C228" i="100"/>
  <c r="C229" i="100"/>
  <c r="C230" i="100"/>
  <c r="C231" i="100"/>
  <c r="C232" i="100"/>
  <c r="C233" i="100"/>
  <c r="C234" i="100"/>
  <c r="C235" i="100"/>
  <c r="C236" i="100"/>
  <c r="C237" i="100"/>
  <c r="C238" i="100"/>
  <c r="C239" i="100"/>
  <c r="C240" i="100"/>
  <c r="C241" i="100"/>
  <c r="C242" i="100"/>
  <c r="C243" i="100"/>
  <c r="C244" i="100"/>
  <c r="C245" i="100"/>
  <c r="C246" i="100"/>
  <c r="C247" i="100"/>
  <c r="C248" i="100"/>
  <c r="C249" i="100"/>
  <c r="C250" i="100"/>
  <c r="C251" i="100"/>
  <c r="C252" i="100"/>
  <c r="C253" i="100"/>
  <c r="C254" i="100"/>
  <c r="C255" i="100"/>
  <c r="C256" i="100"/>
  <c r="C257" i="100"/>
  <c r="C258" i="100"/>
  <c r="C259" i="100"/>
  <c r="C260" i="100"/>
  <c r="C261" i="100"/>
  <c r="C262" i="100"/>
  <c r="C263" i="100"/>
  <c r="C264" i="100"/>
  <c r="C265" i="100"/>
  <c r="C266" i="100"/>
  <c r="C267" i="100"/>
  <c r="C268" i="100"/>
  <c r="C269" i="100"/>
  <c r="C270" i="100"/>
  <c r="C271" i="100"/>
  <c r="C272" i="100"/>
  <c r="C273" i="100"/>
  <c r="C274" i="100"/>
  <c r="C275" i="100"/>
  <c r="C276" i="100"/>
  <c r="C277" i="100"/>
  <c r="C278" i="100"/>
  <c r="C279" i="100"/>
  <c r="C280" i="100"/>
  <c r="C281" i="100"/>
  <c r="C282" i="100"/>
  <c r="C283" i="100"/>
  <c r="C284" i="100"/>
  <c r="C285" i="100"/>
  <c r="C286" i="100"/>
  <c r="C287" i="100"/>
  <c r="C288" i="100"/>
  <c r="C289" i="100"/>
  <c r="C290" i="100"/>
  <c r="C291" i="100"/>
  <c r="C292" i="100"/>
  <c r="C293" i="100"/>
  <c r="C294" i="100"/>
  <c r="C295" i="100"/>
  <c r="C296" i="100"/>
  <c r="C297" i="100"/>
  <c r="C298" i="100"/>
  <c r="C299" i="100"/>
  <c r="C300" i="100"/>
  <c r="C301" i="100"/>
  <c r="C302" i="100"/>
  <c r="C303" i="100"/>
  <c r="C304" i="100"/>
  <c r="C305" i="100"/>
  <c r="C306" i="100"/>
  <c r="C307" i="100"/>
  <c r="C308" i="100"/>
  <c r="C309" i="100"/>
  <c r="C310" i="100"/>
  <c r="C311" i="100"/>
  <c r="C312" i="100"/>
  <c r="C313" i="100"/>
  <c r="C314" i="100"/>
  <c r="C315" i="100"/>
  <c r="C316" i="100"/>
  <c r="C317" i="100"/>
  <c r="C318" i="100"/>
  <c r="C319" i="100"/>
  <c r="C320" i="100"/>
  <c r="C321" i="100"/>
  <c r="C322" i="100"/>
  <c r="C323" i="100"/>
  <c r="C324" i="100"/>
  <c r="C325" i="100"/>
  <c r="C326" i="100"/>
  <c r="C327" i="100"/>
  <c r="C328" i="100"/>
  <c r="C329" i="100"/>
  <c r="C330" i="100"/>
  <c r="C331" i="100"/>
  <c r="C332" i="100"/>
  <c r="C333" i="100"/>
  <c r="C334" i="100"/>
  <c r="C335" i="100"/>
  <c r="C336" i="100"/>
  <c r="C337" i="100"/>
  <c r="C338" i="100"/>
  <c r="C339" i="100"/>
  <c r="C340" i="100"/>
  <c r="C341" i="100"/>
  <c r="C342" i="100"/>
  <c r="C343" i="100"/>
  <c r="C344" i="100"/>
  <c r="C345" i="100"/>
  <c r="C346" i="100"/>
  <c r="C347" i="100"/>
  <c r="C348" i="100"/>
  <c r="C349" i="100"/>
  <c r="C350" i="100"/>
  <c r="C351" i="100"/>
  <c r="C352" i="100"/>
  <c r="C353" i="100"/>
  <c r="C354" i="100"/>
  <c r="C355" i="100"/>
  <c r="C356" i="100"/>
  <c r="C357" i="100"/>
  <c r="C358" i="100"/>
  <c r="C359" i="100"/>
  <c r="C360" i="100"/>
  <c r="C361" i="100"/>
  <c r="C362" i="100"/>
  <c r="C363" i="100"/>
  <c r="C364" i="100"/>
  <c r="C365" i="100"/>
  <c r="C366" i="100"/>
  <c r="C367" i="100"/>
  <c r="C368" i="100"/>
  <c r="C369" i="100"/>
  <c r="C370" i="100"/>
  <c r="C371" i="100"/>
  <c r="C372" i="100"/>
  <c r="C373" i="100"/>
  <c r="C374" i="100"/>
  <c r="C375" i="100"/>
  <c r="C376" i="100"/>
  <c r="C377" i="100"/>
  <c r="C378" i="100"/>
  <c r="C379" i="100"/>
  <c r="C380" i="100"/>
  <c r="C381" i="100"/>
  <c r="C382" i="100"/>
  <c r="C383" i="100"/>
  <c r="C384" i="100"/>
  <c r="C385" i="100"/>
  <c r="C386" i="100"/>
  <c r="C387" i="100"/>
  <c r="C388" i="100"/>
  <c r="C389" i="100"/>
  <c r="C390" i="100"/>
  <c r="C391" i="100"/>
  <c r="C392" i="100"/>
  <c r="C393" i="100"/>
  <c r="C394" i="100"/>
  <c r="C395" i="100"/>
  <c r="C396" i="100"/>
  <c r="C397" i="100"/>
  <c r="C398" i="100"/>
  <c r="C399" i="100"/>
  <c r="C400" i="100"/>
  <c r="C401" i="100"/>
  <c r="C402" i="100"/>
  <c r="C403" i="100"/>
  <c r="C404" i="100"/>
  <c r="C405" i="100"/>
  <c r="C406" i="100"/>
  <c r="C407" i="100"/>
  <c r="C408" i="100"/>
  <c r="C409" i="100"/>
  <c r="C410" i="100"/>
  <c r="C411" i="100"/>
  <c r="C412" i="100"/>
  <c r="C413" i="100"/>
  <c r="C414" i="100"/>
  <c r="C415" i="100"/>
  <c r="C416" i="100"/>
  <c r="C417" i="100"/>
  <c r="C418" i="100"/>
  <c r="C419" i="100"/>
  <c r="C420" i="100"/>
  <c r="C421" i="100"/>
  <c r="C422" i="100"/>
  <c r="C423" i="100"/>
  <c r="C424" i="100"/>
  <c r="C425" i="100"/>
  <c r="C426" i="100"/>
  <c r="C427" i="100"/>
  <c r="C428" i="100"/>
  <c r="C429" i="100"/>
  <c r="C430" i="100"/>
  <c r="C431" i="100"/>
  <c r="C432" i="100"/>
  <c r="C433" i="100"/>
  <c r="C434" i="100"/>
  <c r="C435" i="100"/>
  <c r="C436" i="100"/>
  <c r="C437" i="100"/>
  <c r="C438" i="100"/>
  <c r="C439" i="100"/>
  <c r="C440" i="100"/>
  <c r="C441" i="100"/>
  <c r="C442" i="100"/>
  <c r="C443" i="100"/>
  <c r="C444" i="100"/>
  <c r="C445" i="100"/>
  <c r="C446" i="100"/>
  <c r="C447" i="100"/>
  <c r="C448" i="100"/>
  <c r="C449" i="100"/>
  <c r="C450" i="100"/>
  <c r="C451" i="100"/>
  <c r="C452" i="100"/>
  <c r="C453" i="100"/>
  <c r="C454" i="100"/>
  <c r="C455" i="100"/>
  <c r="C456" i="100"/>
  <c r="C457" i="100"/>
  <c r="C458" i="100"/>
  <c r="C459" i="100"/>
  <c r="C460" i="100"/>
  <c r="C461" i="100"/>
  <c r="C462" i="100"/>
  <c r="C463" i="100"/>
  <c r="C464" i="100"/>
  <c r="C465" i="100"/>
  <c r="C466" i="100"/>
  <c r="C467" i="100"/>
  <c r="C468" i="100"/>
  <c r="C469" i="100"/>
  <c r="C470" i="100"/>
  <c r="C471" i="100"/>
  <c r="C472" i="100"/>
  <c r="C473" i="100"/>
  <c r="C474" i="100"/>
  <c r="C475" i="100"/>
  <c r="C476" i="100"/>
  <c r="C477" i="100"/>
  <c r="C478" i="100"/>
  <c r="C479" i="100"/>
  <c r="C480" i="100"/>
  <c r="C481" i="100"/>
  <c r="C482" i="100"/>
  <c r="C483" i="100"/>
  <c r="C484" i="100"/>
  <c r="C485" i="100"/>
  <c r="C486" i="100"/>
  <c r="C487" i="100"/>
  <c r="C488" i="100"/>
  <c r="C489" i="100"/>
  <c r="C490" i="100"/>
  <c r="C491" i="100"/>
  <c r="C492" i="100"/>
  <c r="C493" i="100"/>
  <c r="C494" i="100"/>
  <c r="C495" i="100"/>
  <c r="C496" i="100"/>
  <c r="C497" i="100"/>
  <c r="C498" i="100"/>
  <c r="C499" i="100"/>
  <c r="C500" i="100"/>
  <c r="C501" i="100"/>
  <c r="P12" i="98" a="1"/>
  <c r="P12" i="98" s="1"/>
  <c r="P9" i="98"/>
  <c r="P8" i="98"/>
  <c r="P7" i="98"/>
  <c r="P6" i="98"/>
  <c r="P5" i="98"/>
  <c r="O9" i="98"/>
  <c r="O8" i="98"/>
  <c r="O7" i="98"/>
  <c r="O6" i="98"/>
  <c r="O5" i="98"/>
  <c r="I2" i="98"/>
  <c r="J2" i="98" s="1"/>
  <c r="I3" i="98"/>
  <c r="J3" i="98" s="1"/>
  <c r="I4" i="98"/>
  <c r="J4" i="98" s="1"/>
  <c r="I5" i="98"/>
  <c r="J5" i="98" s="1"/>
  <c r="I6" i="98"/>
  <c r="J6" i="98" s="1"/>
  <c r="I7" i="98"/>
  <c r="J7" i="98" s="1"/>
  <c r="I8" i="98"/>
  <c r="J8" i="98" s="1"/>
  <c r="I9" i="98"/>
  <c r="J9" i="98" s="1"/>
  <c r="I10" i="98"/>
  <c r="J10" i="98" s="1"/>
  <c r="I11" i="98"/>
  <c r="J11" i="98" s="1"/>
  <c r="I12" i="98"/>
  <c r="J12" i="98" s="1"/>
  <c r="I13" i="98"/>
  <c r="J13" i="98" s="1"/>
  <c r="I14" i="98"/>
  <c r="J14" i="98" s="1"/>
  <c r="I15" i="98"/>
  <c r="J15" i="98" s="1"/>
  <c r="I16" i="98"/>
  <c r="J16" i="98" s="1"/>
  <c r="I17" i="98"/>
  <c r="J17" i="98" s="1"/>
  <c r="I18" i="98"/>
  <c r="J18" i="98" s="1"/>
  <c r="I19" i="98"/>
  <c r="J19" i="98" s="1"/>
  <c r="I20" i="98"/>
  <c r="J20" i="98" s="1"/>
  <c r="I21" i="98"/>
  <c r="J21" i="98" s="1"/>
  <c r="I22" i="98"/>
  <c r="J22" i="98" s="1"/>
  <c r="I23" i="98"/>
  <c r="J23" i="98" s="1"/>
  <c r="I24" i="98"/>
  <c r="J24" i="98" s="1"/>
  <c r="I25" i="98"/>
  <c r="J25" i="98" s="1"/>
  <c r="I26" i="98"/>
  <c r="J26" i="98" s="1"/>
  <c r="I27" i="98"/>
  <c r="J27" i="98" s="1"/>
  <c r="I28" i="98"/>
  <c r="J28" i="98" s="1"/>
  <c r="I29" i="98"/>
  <c r="J29" i="98" s="1"/>
  <c r="I30" i="98"/>
  <c r="J30" i="98" s="1"/>
  <c r="I31" i="98"/>
  <c r="J31" i="98" s="1"/>
  <c r="I32" i="98"/>
  <c r="J32" i="98" s="1"/>
  <c r="I33" i="98"/>
  <c r="J33" i="98" s="1"/>
  <c r="I34" i="98"/>
  <c r="J34" i="98" s="1"/>
  <c r="I35" i="98"/>
  <c r="J35" i="98" s="1"/>
  <c r="I36" i="98"/>
  <c r="J36" i="98" s="1"/>
  <c r="I37" i="98"/>
  <c r="J37" i="98" s="1"/>
  <c r="I38" i="98"/>
  <c r="J38" i="98" s="1"/>
  <c r="I39" i="98"/>
  <c r="J39" i="98" s="1"/>
  <c r="I40" i="98"/>
  <c r="J40" i="98" s="1"/>
  <c r="I41" i="98"/>
  <c r="J41" i="98" s="1"/>
  <c r="I42" i="98"/>
  <c r="J42" i="98" s="1"/>
  <c r="I43" i="98"/>
  <c r="J43" i="98" s="1"/>
  <c r="I44" i="98"/>
  <c r="J44" i="98" s="1"/>
  <c r="I45" i="98"/>
  <c r="J45" i="98" s="1"/>
  <c r="I46" i="98"/>
  <c r="J46" i="98" s="1"/>
  <c r="I47" i="98"/>
  <c r="J47" i="98" s="1"/>
  <c r="I48" i="98"/>
  <c r="J48" i="98" s="1"/>
  <c r="I49" i="98"/>
  <c r="J49" i="98" s="1"/>
  <c r="I50" i="98"/>
  <c r="J50" i="98" s="1"/>
  <c r="I51" i="98"/>
  <c r="J51" i="98" s="1"/>
  <c r="I52" i="98"/>
  <c r="J52" i="98" s="1"/>
  <c r="I53" i="98"/>
  <c r="J53" i="98" s="1"/>
  <c r="I54" i="98"/>
  <c r="J54" i="98" s="1"/>
  <c r="I55" i="98"/>
  <c r="J55" i="98" s="1"/>
  <c r="I56" i="98"/>
  <c r="J56" i="98" s="1"/>
  <c r="I57" i="98"/>
  <c r="J57" i="98" s="1"/>
  <c r="I58" i="98"/>
  <c r="J58" i="98" s="1"/>
  <c r="I59" i="98"/>
  <c r="J59" i="98" s="1"/>
  <c r="I60" i="98"/>
  <c r="J60" i="98" s="1"/>
  <c r="I61" i="98"/>
  <c r="J61" i="98" s="1"/>
  <c r="I62" i="98"/>
  <c r="J62" i="98" s="1"/>
  <c r="I63" i="98"/>
  <c r="J63" i="98" s="1"/>
  <c r="I64" i="98"/>
  <c r="J64" i="98" s="1"/>
  <c r="I65" i="98"/>
  <c r="J65" i="98" s="1"/>
  <c r="I66" i="98"/>
  <c r="J66" i="98" s="1"/>
  <c r="I67" i="98"/>
  <c r="J67" i="98" s="1"/>
  <c r="I68" i="98"/>
  <c r="J68" i="98" s="1"/>
  <c r="I69" i="98"/>
  <c r="J69" i="98" s="1"/>
  <c r="I70" i="98"/>
  <c r="J70" i="98" s="1"/>
  <c r="I71" i="98"/>
  <c r="J71" i="98" s="1"/>
  <c r="I72" i="98"/>
  <c r="J72" i="98" s="1"/>
  <c r="I73" i="98"/>
  <c r="J73" i="98" s="1"/>
  <c r="I74" i="98"/>
  <c r="J74" i="98" s="1"/>
  <c r="I75" i="98"/>
  <c r="J75" i="98" s="1"/>
  <c r="I76" i="98"/>
  <c r="J76" i="98" s="1"/>
  <c r="I77" i="98"/>
  <c r="J77" i="98" s="1"/>
  <c r="I78" i="98"/>
  <c r="J78" i="98" s="1"/>
  <c r="I79" i="98"/>
  <c r="J79" i="98" s="1"/>
  <c r="I80" i="98"/>
  <c r="J80" i="98" s="1"/>
  <c r="I81" i="98"/>
  <c r="J81" i="98" s="1"/>
  <c r="I82" i="98"/>
  <c r="J82" i="98" s="1"/>
  <c r="I83" i="98"/>
  <c r="J83" i="98" s="1"/>
  <c r="I84" i="98"/>
  <c r="J84" i="98" s="1"/>
  <c r="I85" i="98"/>
  <c r="J85" i="98" s="1"/>
  <c r="I86" i="98"/>
  <c r="J86" i="98" s="1"/>
  <c r="I87" i="98"/>
  <c r="J87" i="98" s="1"/>
  <c r="I88" i="98"/>
  <c r="J88" i="98" s="1"/>
  <c r="I89" i="98"/>
  <c r="J89" i="98" s="1"/>
  <c r="I90" i="98"/>
  <c r="J90" i="98" s="1"/>
  <c r="I91" i="98"/>
  <c r="J91" i="98" s="1"/>
  <c r="I92" i="98"/>
  <c r="J92" i="98" s="1"/>
  <c r="I93" i="98"/>
  <c r="J93" i="98" s="1"/>
  <c r="I94" i="98"/>
  <c r="J94" i="98" s="1"/>
  <c r="I95" i="98"/>
  <c r="J95" i="98" s="1"/>
  <c r="I96" i="98"/>
  <c r="J96" i="98" s="1"/>
  <c r="I97" i="98"/>
  <c r="J97" i="98" s="1"/>
  <c r="I98" i="98"/>
  <c r="J98" i="98" s="1"/>
  <c r="I99" i="98"/>
  <c r="J99" i="98" s="1"/>
  <c r="I100" i="98"/>
  <c r="J100" i="98" s="1"/>
  <c r="I101" i="98"/>
  <c r="J101" i="98" s="1"/>
  <c r="I102" i="98"/>
  <c r="J102" i="98" s="1"/>
  <c r="I103" i="98"/>
  <c r="J103" i="98" s="1"/>
  <c r="I104" i="98"/>
  <c r="J104" i="98" s="1"/>
  <c r="I105" i="98"/>
  <c r="J105" i="98" s="1"/>
  <c r="I106" i="98"/>
  <c r="J106" i="98" s="1"/>
  <c r="I107" i="98"/>
  <c r="J107" i="98" s="1"/>
  <c r="I108" i="98"/>
  <c r="J108" i="98" s="1"/>
  <c r="I109" i="98"/>
  <c r="J109" i="98" s="1"/>
  <c r="I110" i="98"/>
  <c r="J110" i="98" s="1"/>
  <c r="I111" i="98"/>
  <c r="J111" i="98" s="1"/>
  <c r="I112" i="98"/>
  <c r="J112" i="98" s="1"/>
  <c r="I113" i="98"/>
  <c r="J113" i="98" s="1"/>
  <c r="I114" i="98"/>
  <c r="J114" i="98" s="1"/>
  <c r="I115" i="98"/>
  <c r="J115" i="98" s="1"/>
  <c r="I116" i="98"/>
  <c r="J116" i="98" s="1"/>
  <c r="I117" i="98"/>
  <c r="J117" i="98" s="1"/>
  <c r="I118" i="98"/>
  <c r="J118" i="98" s="1"/>
  <c r="I119" i="98"/>
  <c r="J119" i="98" s="1"/>
  <c r="I120" i="98"/>
  <c r="J120" i="98" s="1"/>
  <c r="I121" i="98"/>
  <c r="J121" i="98" s="1"/>
  <c r="I122" i="98"/>
  <c r="J122" i="98" s="1"/>
  <c r="I123" i="98"/>
  <c r="J123" i="98" s="1"/>
  <c r="I124" i="98"/>
  <c r="J124" i="98" s="1"/>
  <c r="I125" i="98"/>
  <c r="J125" i="98" s="1"/>
  <c r="I126" i="98"/>
  <c r="J126" i="98" s="1"/>
  <c r="I127" i="98"/>
  <c r="J127" i="98" s="1"/>
  <c r="I128" i="98"/>
  <c r="J128" i="98" s="1"/>
  <c r="I129" i="98"/>
  <c r="J129" i="98" s="1"/>
  <c r="I130" i="98"/>
  <c r="J130" i="98" s="1"/>
  <c r="I131" i="98"/>
  <c r="J131" i="98" s="1"/>
  <c r="I132" i="98"/>
  <c r="J132" i="98" s="1"/>
  <c r="I133" i="98"/>
  <c r="J133" i="98" s="1"/>
  <c r="I134" i="98"/>
  <c r="J134" i="98" s="1"/>
  <c r="I135" i="98"/>
  <c r="J135" i="98" s="1"/>
  <c r="I136" i="98"/>
  <c r="J136" i="98" s="1"/>
  <c r="I137" i="98"/>
  <c r="J137" i="98" s="1"/>
  <c r="I138" i="98"/>
  <c r="J138" i="98" s="1"/>
  <c r="I139" i="98"/>
  <c r="J139" i="98" s="1"/>
  <c r="I140" i="98"/>
  <c r="J140" i="98" s="1"/>
  <c r="I141" i="98"/>
  <c r="J141" i="98" s="1"/>
  <c r="I142" i="98"/>
  <c r="J142" i="98" s="1"/>
  <c r="I143" i="98"/>
  <c r="J143" i="98" s="1"/>
  <c r="I144" i="98"/>
  <c r="J144" i="98" s="1"/>
  <c r="I145" i="98"/>
  <c r="J145" i="98" s="1"/>
  <c r="I146" i="98"/>
  <c r="J146" i="98" s="1"/>
  <c r="I147" i="98"/>
  <c r="J147" i="98" s="1"/>
  <c r="I148" i="98"/>
  <c r="J148" i="98" s="1"/>
  <c r="I149" i="98"/>
  <c r="J149" i="98" s="1"/>
  <c r="I150" i="98"/>
  <c r="J150" i="98" s="1"/>
  <c r="I151" i="98"/>
  <c r="J151" i="98" s="1"/>
  <c r="I152" i="98"/>
  <c r="J152" i="98" s="1"/>
  <c r="I153" i="98"/>
  <c r="J153" i="98" s="1"/>
  <c r="I154" i="98"/>
  <c r="J154" i="98" s="1"/>
  <c r="I155" i="98"/>
  <c r="J155" i="98" s="1"/>
  <c r="I156" i="98"/>
  <c r="J156" i="98" s="1"/>
  <c r="I157" i="98"/>
  <c r="J157" i="98" s="1"/>
  <c r="I158" i="98"/>
  <c r="J158" i="98" s="1"/>
  <c r="I159" i="98"/>
  <c r="J159" i="98" s="1"/>
  <c r="I160" i="98"/>
  <c r="J160" i="98" s="1"/>
  <c r="I161" i="98"/>
  <c r="J161" i="98" s="1"/>
  <c r="I162" i="98"/>
  <c r="J162" i="98" s="1"/>
  <c r="I163" i="98"/>
  <c r="J163" i="98" s="1"/>
  <c r="I164" i="98"/>
  <c r="J164" i="98" s="1"/>
  <c r="I165" i="98"/>
  <c r="J165" i="98" s="1"/>
  <c r="I166" i="98"/>
  <c r="J166" i="98" s="1"/>
  <c r="I167" i="98"/>
  <c r="J167" i="98" s="1"/>
  <c r="I168" i="98"/>
  <c r="J168" i="98" s="1"/>
  <c r="I169" i="98"/>
  <c r="J169" i="98" s="1"/>
  <c r="I170" i="98"/>
  <c r="J170" i="98" s="1"/>
  <c r="I171" i="98"/>
  <c r="J171" i="98" s="1"/>
  <c r="I172" i="98"/>
  <c r="J172" i="98" s="1"/>
  <c r="I173" i="98"/>
  <c r="J173" i="98" s="1"/>
  <c r="I174" i="98"/>
  <c r="J174" i="98" s="1"/>
  <c r="I175" i="98"/>
  <c r="J175" i="98" s="1"/>
  <c r="I176" i="98"/>
  <c r="J176" i="98" s="1"/>
  <c r="I177" i="98"/>
  <c r="J177" i="98" s="1"/>
  <c r="I178" i="98"/>
  <c r="J178" i="98" s="1"/>
  <c r="I179" i="98"/>
  <c r="J179" i="98" s="1"/>
  <c r="I180" i="98"/>
  <c r="J180" i="98" s="1"/>
  <c r="I181" i="98"/>
  <c r="J181" i="98" s="1"/>
  <c r="I182" i="98"/>
  <c r="J182" i="98" s="1"/>
  <c r="I183" i="98"/>
  <c r="J183" i="98" s="1"/>
  <c r="I184" i="98"/>
  <c r="J184" i="98" s="1"/>
  <c r="I185" i="98"/>
  <c r="J185" i="98" s="1"/>
  <c r="I186" i="98"/>
  <c r="J186" i="98" s="1"/>
  <c r="I187" i="98"/>
  <c r="J187" i="98" s="1"/>
  <c r="I188" i="98"/>
  <c r="J188" i="98" s="1"/>
  <c r="I189" i="98"/>
  <c r="J189" i="98" s="1"/>
  <c r="I190" i="98"/>
  <c r="J190" i="98" s="1"/>
  <c r="I191" i="98"/>
  <c r="J191" i="98" s="1"/>
  <c r="I192" i="98"/>
  <c r="J192" i="98" s="1"/>
  <c r="I193" i="98"/>
  <c r="J193" i="98" s="1"/>
  <c r="I194" i="98"/>
  <c r="J194" i="98" s="1"/>
  <c r="I195" i="98"/>
  <c r="J195" i="98" s="1"/>
  <c r="I196" i="98"/>
  <c r="J196" i="98" s="1"/>
  <c r="I197" i="98"/>
  <c r="J197" i="98" s="1"/>
  <c r="I198" i="98"/>
  <c r="J198" i="98" s="1"/>
  <c r="I199" i="98"/>
  <c r="J199" i="98" s="1"/>
  <c r="I200" i="98"/>
  <c r="J200" i="98" s="1"/>
  <c r="I201" i="98"/>
  <c r="J201" i="98" s="1"/>
  <c r="I202" i="98"/>
  <c r="J202" i="98" s="1"/>
  <c r="I203" i="98"/>
  <c r="J203" i="98" s="1"/>
  <c r="I204" i="98"/>
  <c r="J204" i="98" s="1"/>
  <c r="I205" i="98"/>
  <c r="J205" i="98" s="1"/>
  <c r="I206" i="98"/>
  <c r="J206" i="98" s="1"/>
  <c r="I207" i="98"/>
  <c r="J207" i="98" s="1"/>
  <c r="I208" i="98"/>
  <c r="J208" i="98" s="1"/>
  <c r="I209" i="98"/>
  <c r="J209" i="98" s="1"/>
  <c r="I210" i="98"/>
  <c r="J210" i="98" s="1"/>
  <c r="I211" i="98"/>
  <c r="J211" i="98" s="1"/>
  <c r="I212" i="98"/>
  <c r="J212" i="98" s="1"/>
  <c r="I213" i="98"/>
  <c r="J213" i="98" s="1"/>
  <c r="I214" i="98"/>
  <c r="J214" i="98" s="1"/>
  <c r="I215" i="98"/>
  <c r="J215" i="98" s="1"/>
  <c r="I216" i="98"/>
  <c r="J216" i="98" s="1"/>
  <c r="I217" i="98"/>
  <c r="J217" i="98" s="1"/>
  <c r="I218" i="98"/>
  <c r="J218" i="98" s="1"/>
  <c r="I219" i="98"/>
  <c r="J219" i="98" s="1"/>
  <c r="I220" i="98"/>
  <c r="J220" i="98" s="1"/>
  <c r="I221" i="98"/>
  <c r="J221" i="98" s="1"/>
  <c r="I222" i="98"/>
  <c r="J222" i="98" s="1"/>
  <c r="I223" i="98"/>
  <c r="J223" i="98" s="1"/>
  <c r="I224" i="98"/>
  <c r="J224" i="98" s="1"/>
  <c r="I225" i="98"/>
  <c r="J225" i="98" s="1"/>
  <c r="I226" i="98"/>
  <c r="J226" i="98" s="1"/>
  <c r="I227" i="98"/>
  <c r="J227" i="98" s="1"/>
  <c r="I228" i="98"/>
  <c r="J228" i="98" s="1"/>
  <c r="I229" i="98"/>
  <c r="J229" i="98" s="1"/>
  <c r="I230" i="98"/>
  <c r="J230" i="98" s="1"/>
  <c r="I231" i="98"/>
  <c r="J231" i="98" s="1"/>
  <c r="I232" i="98"/>
  <c r="J232" i="98" s="1"/>
  <c r="I233" i="98"/>
  <c r="J233" i="98" s="1"/>
  <c r="I234" i="98"/>
  <c r="J234" i="98" s="1"/>
  <c r="I235" i="98"/>
  <c r="J235" i="98" s="1"/>
  <c r="I236" i="98"/>
  <c r="J236" i="98" s="1"/>
  <c r="I237" i="98"/>
  <c r="J237" i="98" s="1"/>
  <c r="I238" i="98"/>
  <c r="J238" i="98" s="1"/>
  <c r="I239" i="98"/>
  <c r="J239" i="98" s="1"/>
  <c r="I240" i="98"/>
  <c r="J240" i="98" s="1"/>
  <c r="I241" i="98"/>
  <c r="J241" i="98" s="1"/>
  <c r="I242" i="98"/>
  <c r="J242" i="98" s="1"/>
  <c r="I243" i="98"/>
  <c r="J243" i="98" s="1"/>
  <c r="I244" i="98"/>
  <c r="J244" i="98" s="1"/>
  <c r="I245" i="98"/>
  <c r="J245" i="98" s="1"/>
  <c r="I246" i="98"/>
  <c r="J246" i="98" s="1"/>
  <c r="I247" i="98"/>
  <c r="J247" i="98" s="1"/>
  <c r="I248" i="98"/>
  <c r="J248" i="98" s="1"/>
  <c r="I249" i="98"/>
  <c r="J249" i="98" s="1"/>
  <c r="I250" i="98"/>
  <c r="J250" i="98" s="1"/>
  <c r="I251" i="98"/>
  <c r="J251" i="98" s="1"/>
  <c r="I252" i="98"/>
  <c r="J252" i="98" s="1"/>
  <c r="I253" i="98"/>
  <c r="J253" i="98" s="1"/>
  <c r="I254" i="98"/>
  <c r="J254" i="98" s="1"/>
  <c r="I255" i="98"/>
  <c r="J255" i="98" s="1"/>
  <c r="I256" i="98"/>
  <c r="J256" i="98" s="1"/>
  <c r="I257" i="98"/>
  <c r="J257" i="98" s="1"/>
  <c r="I258" i="98"/>
  <c r="J258" i="98" s="1"/>
  <c r="I259" i="98"/>
  <c r="J259" i="98" s="1"/>
  <c r="I260" i="98"/>
  <c r="J260" i="98" s="1"/>
  <c r="I261" i="98"/>
  <c r="J261" i="98" s="1"/>
  <c r="I262" i="98"/>
  <c r="J262" i="98" s="1"/>
  <c r="I263" i="98"/>
  <c r="J263" i="98" s="1"/>
  <c r="I264" i="98"/>
  <c r="J264" i="98" s="1"/>
  <c r="I265" i="98"/>
  <c r="J265" i="98" s="1"/>
  <c r="I266" i="98"/>
  <c r="J266" i="98" s="1"/>
  <c r="I267" i="98"/>
  <c r="J267" i="98" s="1"/>
  <c r="I268" i="98"/>
  <c r="J268" i="98" s="1"/>
  <c r="I269" i="98"/>
  <c r="J269" i="98" s="1"/>
  <c r="I270" i="98"/>
  <c r="J270" i="98" s="1"/>
  <c r="I271" i="98"/>
  <c r="J271" i="98" s="1"/>
  <c r="I272" i="98"/>
  <c r="J272" i="98" s="1"/>
  <c r="I273" i="98"/>
  <c r="J273" i="98" s="1"/>
  <c r="I274" i="98"/>
  <c r="J274" i="98" s="1"/>
  <c r="I275" i="98"/>
  <c r="J275" i="98" s="1"/>
  <c r="I276" i="98"/>
  <c r="J276" i="98" s="1"/>
  <c r="I277" i="98"/>
  <c r="J277" i="98" s="1"/>
  <c r="I278" i="98"/>
  <c r="J278" i="98" s="1"/>
  <c r="I279" i="98"/>
  <c r="J279" i="98" s="1"/>
  <c r="I280" i="98"/>
  <c r="J280" i="98" s="1"/>
  <c r="I281" i="98"/>
  <c r="J281" i="98" s="1"/>
  <c r="I282" i="98"/>
  <c r="J282" i="98" s="1"/>
  <c r="I283" i="98"/>
  <c r="J283" i="98" s="1"/>
  <c r="I284" i="98"/>
  <c r="J284" i="98" s="1"/>
  <c r="I285" i="98"/>
  <c r="J285" i="98" s="1"/>
  <c r="I286" i="98"/>
  <c r="J286" i="98" s="1"/>
  <c r="I287" i="98"/>
  <c r="J287" i="98" s="1"/>
  <c r="I288" i="98"/>
  <c r="J288" i="98" s="1"/>
  <c r="I289" i="98"/>
  <c r="J289" i="98" s="1"/>
  <c r="I290" i="98"/>
  <c r="J290" i="98" s="1"/>
  <c r="I291" i="98"/>
  <c r="J291" i="98" s="1"/>
  <c r="I292" i="98"/>
  <c r="J292" i="98" s="1"/>
  <c r="I293" i="98"/>
  <c r="J293" i="98" s="1"/>
  <c r="I294" i="98"/>
  <c r="J294" i="98" s="1"/>
  <c r="I295" i="98"/>
  <c r="J295" i="98" s="1"/>
  <c r="I296" i="98"/>
  <c r="J296" i="98" s="1"/>
  <c r="I297" i="98"/>
  <c r="J297" i="98" s="1"/>
  <c r="I298" i="98"/>
  <c r="J298" i="98" s="1"/>
  <c r="I299" i="98"/>
  <c r="J299" i="98" s="1"/>
  <c r="I300" i="98"/>
  <c r="J300" i="98" s="1"/>
  <c r="I301" i="98"/>
  <c r="J301" i="98" s="1"/>
  <c r="I302" i="98"/>
  <c r="J302" i="98" s="1"/>
  <c r="I303" i="98"/>
  <c r="J303" i="98" s="1"/>
  <c r="I304" i="98"/>
  <c r="J304" i="98" s="1"/>
  <c r="I305" i="98"/>
  <c r="J305" i="98" s="1"/>
  <c r="I306" i="98"/>
  <c r="J306" i="98" s="1"/>
  <c r="I307" i="98"/>
  <c r="J307" i="98" s="1"/>
  <c r="I308" i="98"/>
  <c r="J308" i="98" s="1"/>
  <c r="I309" i="98"/>
  <c r="J309" i="98" s="1"/>
  <c r="I310" i="98"/>
  <c r="J310" i="98" s="1"/>
  <c r="I311" i="98"/>
  <c r="J311" i="98" s="1"/>
  <c r="I312" i="98"/>
  <c r="J312" i="98" s="1"/>
  <c r="I313" i="98"/>
  <c r="J313" i="98" s="1"/>
  <c r="I314" i="98"/>
  <c r="J314" i="98" s="1"/>
  <c r="I315" i="98"/>
  <c r="J315" i="98" s="1"/>
  <c r="I316" i="98"/>
  <c r="J316" i="98" s="1"/>
  <c r="I317" i="98"/>
  <c r="J317" i="98" s="1"/>
  <c r="I318" i="98"/>
  <c r="J318" i="98" s="1"/>
  <c r="I319" i="98"/>
  <c r="J319" i="98" s="1"/>
  <c r="I320" i="98"/>
  <c r="J320" i="98" s="1"/>
  <c r="I321" i="98"/>
  <c r="J321" i="98" s="1"/>
  <c r="I322" i="98"/>
  <c r="J322" i="98" s="1"/>
  <c r="I323" i="98"/>
  <c r="J323" i="98" s="1"/>
  <c r="I324" i="98"/>
  <c r="J324" i="98" s="1"/>
  <c r="I325" i="98"/>
  <c r="J325" i="98" s="1"/>
  <c r="I326" i="98"/>
  <c r="J326" i="98" s="1"/>
  <c r="I327" i="98"/>
  <c r="J327" i="98" s="1"/>
  <c r="I328" i="98"/>
  <c r="J328" i="98" s="1"/>
  <c r="I329" i="98"/>
  <c r="J329" i="98" s="1"/>
  <c r="I330" i="98"/>
  <c r="J330" i="98" s="1"/>
  <c r="I331" i="98"/>
  <c r="J331" i="98" s="1"/>
  <c r="I332" i="98"/>
  <c r="J332" i="98" s="1"/>
  <c r="I333" i="98"/>
  <c r="J333" i="98" s="1"/>
  <c r="I334" i="98"/>
  <c r="J334" i="98" s="1"/>
  <c r="I335" i="98"/>
  <c r="J335" i="98" s="1"/>
  <c r="I336" i="98"/>
  <c r="J336" i="98" s="1"/>
  <c r="I337" i="98"/>
  <c r="J337" i="98" s="1"/>
  <c r="I338" i="98"/>
  <c r="J338" i="98" s="1"/>
  <c r="I339" i="98"/>
  <c r="J339" i="98" s="1"/>
  <c r="I340" i="98"/>
  <c r="J340" i="98" s="1"/>
  <c r="I341" i="98"/>
  <c r="J341" i="98" s="1"/>
  <c r="I342" i="98"/>
  <c r="J342" i="98" s="1"/>
  <c r="I343" i="98"/>
  <c r="J343" i="98" s="1"/>
  <c r="I344" i="98"/>
  <c r="J344" i="98" s="1"/>
  <c r="I345" i="98"/>
  <c r="J345" i="98" s="1"/>
  <c r="I346" i="98"/>
  <c r="J346" i="98" s="1"/>
  <c r="I347" i="98"/>
  <c r="J347" i="98" s="1"/>
  <c r="I348" i="98"/>
  <c r="J348" i="98" s="1"/>
  <c r="I349" i="98"/>
  <c r="J349" i="98" s="1"/>
  <c r="I350" i="98"/>
  <c r="J350" i="98" s="1"/>
  <c r="I351" i="98"/>
  <c r="J351" i="98" s="1"/>
  <c r="I352" i="98"/>
  <c r="J352" i="98" s="1"/>
  <c r="I353" i="98"/>
  <c r="J353" i="98" s="1"/>
  <c r="I354" i="98"/>
  <c r="J354" i="98" s="1"/>
  <c r="I355" i="98"/>
  <c r="J355" i="98" s="1"/>
  <c r="I356" i="98"/>
  <c r="J356" i="98" s="1"/>
  <c r="I357" i="98"/>
  <c r="J357" i="98" s="1"/>
  <c r="I358" i="98"/>
  <c r="J358" i="98" s="1"/>
  <c r="I359" i="98"/>
  <c r="J359" i="98" s="1"/>
  <c r="I360" i="98"/>
  <c r="J360" i="98" s="1"/>
  <c r="I361" i="98"/>
  <c r="J361" i="98" s="1"/>
  <c r="I362" i="98"/>
  <c r="J362" i="98" s="1"/>
  <c r="I363" i="98"/>
  <c r="J363" i="98" s="1"/>
  <c r="I364" i="98"/>
  <c r="J364" i="98" s="1"/>
  <c r="I365" i="98"/>
  <c r="J365" i="98" s="1"/>
  <c r="I366" i="98"/>
  <c r="J366" i="98" s="1"/>
  <c r="I367" i="98"/>
  <c r="J367" i="98" s="1"/>
  <c r="I368" i="98"/>
  <c r="J368" i="98" s="1"/>
  <c r="I369" i="98"/>
  <c r="J369" i="98" s="1"/>
  <c r="I370" i="98"/>
  <c r="J370" i="98" s="1"/>
  <c r="I371" i="98"/>
  <c r="J371" i="98" s="1"/>
  <c r="I372" i="98"/>
  <c r="J372" i="98" s="1"/>
  <c r="I373" i="98"/>
  <c r="J373" i="98" s="1"/>
  <c r="I374" i="98"/>
  <c r="J374" i="98" s="1"/>
  <c r="I375" i="98"/>
  <c r="J375" i="98" s="1"/>
  <c r="I376" i="98"/>
  <c r="J376" i="98" s="1"/>
  <c r="I377" i="98"/>
  <c r="J377" i="98" s="1"/>
  <c r="I378" i="98"/>
  <c r="J378" i="98" s="1"/>
  <c r="I379" i="98"/>
  <c r="J379" i="98" s="1"/>
  <c r="I380" i="98"/>
  <c r="J380" i="98" s="1"/>
  <c r="I381" i="98"/>
  <c r="J381" i="98" s="1"/>
  <c r="I382" i="98"/>
  <c r="J382" i="98" s="1"/>
  <c r="I383" i="98"/>
  <c r="J383" i="98" s="1"/>
  <c r="I384" i="98"/>
  <c r="J384" i="98" s="1"/>
  <c r="I385" i="98"/>
  <c r="J385" i="98" s="1"/>
  <c r="I386" i="98"/>
  <c r="J386" i="98" s="1"/>
  <c r="I387" i="98"/>
  <c r="J387" i="98" s="1"/>
  <c r="I388" i="98"/>
  <c r="J388" i="98" s="1"/>
  <c r="I389" i="98"/>
  <c r="J389" i="98" s="1"/>
  <c r="I390" i="98"/>
  <c r="J390" i="98" s="1"/>
  <c r="I391" i="98"/>
  <c r="J391" i="98" s="1"/>
  <c r="I392" i="98"/>
  <c r="J392" i="98" s="1"/>
  <c r="I393" i="98"/>
  <c r="J393" i="98" s="1"/>
  <c r="I394" i="98"/>
  <c r="J394" i="98" s="1"/>
  <c r="I395" i="98"/>
  <c r="J395" i="98" s="1"/>
  <c r="I396" i="98"/>
  <c r="J396" i="98" s="1"/>
  <c r="I397" i="98"/>
  <c r="J397" i="98" s="1"/>
  <c r="I398" i="98"/>
  <c r="J398" i="98" s="1"/>
  <c r="I399" i="98"/>
  <c r="J399" i="98" s="1"/>
  <c r="I400" i="98"/>
  <c r="J400" i="98" s="1"/>
  <c r="I401" i="98"/>
  <c r="J401" i="98" s="1"/>
  <c r="I402" i="98"/>
  <c r="J402" i="98" s="1"/>
  <c r="I403" i="98"/>
  <c r="J403" i="98" s="1"/>
  <c r="I404" i="98"/>
  <c r="J404" i="98" s="1"/>
  <c r="I405" i="98"/>
  <c r="J405" i="98" s="1"/>
  <c r="I406" i="98"/>
  <c r="J406" i="98" s="1"/>
  <c r="I407" i="98"/>
  <c r="J407" i="98" s="1"/>
  <c r="I408" i="98"/>
  <c r="J408" i="98" s="1"/>
  <c r="I409" i="98"/>
  <c r="J409" i="98" s="1"/>
  <c r="I410" i="98"/>
  <c r="J410" i="98" s="1"/>
  <c r="I411" i="98"/>
  <c r="J411" i="98" s="1"/>
  <c r="I412" i="98"/>
  <c r="J412" i="98" s="1"/>
  <c r="I413" i="98"/>
  <c r="J413" i="98" s="1"/>
  <c r="I414" i="98"/>
  <c r="J414" i="98" s="1"/>
  <c r="I415" i="98"/>
  <c r="J415" i="98" s="1"/>
  <c r="I416" i="98"/>
  <c r="J416" i="98" s="1"/>
  <c r="I417" i="98"/>
  <c r="J417" i="98" s="1"/>
  <c r="I418" i="98"/>
  <c r="J418" i="98" s="1"/>
  <c r="I419" i="98"/>
  <c r="J419" i="98" s="1"/>
  <c r="I420" i="98"/>
  <c r="J420" i="98" s="1"/>
  <c r="I421" i="98"/>
  <c r="J421" i="98" s="1"/>
  <c r="I422" i="98"/>
  <c r="J422" i="98" s="1"/>
  <c r="I423" i="98"/>
  <c r="J423" i="98" s="1"/>
  <c r="I424" i="98"/>
  <c r="J424" i="98" s="1"/>
  <c r="I425" i="98"/>
  <c r="J425" i="98" s="1"/>
  <c r="I426" i="98"/>
  <c r="J426" i="98" s="1"/>
  <c r="I427" i="98"/>
  <c r="J427" i="98" s="1"/>
  <c r="I428" i="98"/>
  <c r="J428" i="98" s="1"/>
  <c r="I429" i="98"/>
  <c r="J429" i="98" s="1"/>
  <c r="I430" i="98"/>
  <c r="J430" i="98" s="1"/>
  <c r="I431" i="98"/>
  <c r="J431" i="98" s="1"/>
  <c r="I432" i="98"/>
  <c r="J432" i="98" s="1"/>
  <c r="I433" i="98"/>
  <c r="J433" i="98" s="1"/>
  <c r="I434" i="98"/>
  <c r="J434" i="98" s="1"/>
  <c r="I435" i="98"/>
  <c r="J435" i="98" s="1"/>
  <c r="I436" i="98"/>
  <c r="J436" i="98" s="1"/>
  <c r="I437" i="98"/>
  <c r="J437" i="98" s="1"/>
  <c r="I438" i="98"/>
  <c r="J438" i="98" s="1"/>
  <c r="I439" i="98"/>
  <c r="J439" i="98" s="1"/>
  <c r="I440" i="98"/>
  <c r="J440" i="98" s="1"/>
  <c r="I441" i="98"/>
  <c r="J441" i="98" s="1"/>
  <c r="I442" i="98"/>
  <c r="J442" i="98" s="1"/>
  <c r="I443" i="98"/>
  <c r="J443" i="98" s="1"/>
  <c r="I444" i="98"/>
  <c r="J444" i="98" s="1"/>
  <c r="I445" i="98"/>
  <c r="J445" i="98" s="1"/>
  <c r="I446" i="98"/>
  <c r="J446" i="98" s="1"/>
  <c r="I447" i="98"/>
  <c r="J447" i="98" s="1"/>
  <c r="I448" i="98"/>
  <c r="J448" i="98" s="1"/>
  <c r="I449" i="98"/>
  <c r="J449" i="98" s="1"/>
  <c r="I450" i="98"/>
  <c r="J450" i="98" s="1"/>
  <c r="I451" i="98"/>
  <c r="J451" i="98" s="1"/>
  <c r="I452" i="98"/>
  <c r="J452" i="98" s="1"/>
  <c r="I453" i="98"/>
  <c r="J453" i="98" s="1"/>
  <c r="I454" i="98"/>
  <c r="J454" i="98" s="1"/>
  <c r="I455" i="98"/>
  <c r="J455" i="98" s="1"/>
  <c r="I456" i="98"/>
  <c r="J456" i="98" s="1"/>
  <c r="I457" i="98"/>
  <c r="J457" i="98" s="1"/>
  <c r="I458" i="98"/>
  <c r="J458" i="98" s="1"/>
  <c r="I459" i="98"/>
  <c r="J459" i="98" s="1"/>
  <c r="I460" i="98"/>
  <c r="J460" i="98" s="1"/>
  <c r="I461" i="98"/>
  <c r="J461" i="98" s="1"/>
  <c r="I462" i="98"/>
  <c r="J462" i="98" s="1"/>
  <c r="I463" i="98"/>
  <c r="J463" i="98" s="1"/>
  <c r="I464" i="98"/>
  <c r="J464" i="98" s="1"/>
  <c r="I465" i="98"/>
  <c r="J465" i="98" s="1"/>
  <c r="I466" i="98"/>
  <c r="J466" i="98" s="1"/>
  <c r="I467" i="98"/>
  <c r="J467" i="98" s="1"/>
  <c r="I468" i="98"/>
  <c r="J468" i="98" s="1"/>
  <c r="I469" i="98"/>
  <c r="J469" i="98" s="1"/>
  <c r="I470" i="98"/>
  <c r="J470" i="98" s="1"/>
  <c r="I471" i="98"/>
  <c r="J471" i="98" s="1"/>
  <c r="I472" i="98"/>
  <c r="J472" i="98" s="1"/>
  <c r="I473" i="98"/>
  <c r="J473" i="98" s="1"/>
  <c r="I474" i="98"/>
  <c r="J474" i="98" s="1"/>
  <c r="I475" i="98"/>
  <c r="J475" i="98" s="1"/>
  <c r="I476" i="98"/>
  <c r="J476" i="98" s="1"/>
  <c r="I477" i="98"/>
  <c r="J477" i="98" s="1"/>
  <c r="I478" i="98"/>
  <c r="J478" i="98" s="1"/>
  <c r="I479" i="98"/>
  <c r="J479" i="98" s="1"/>
  <c r="I480" i="98"/>
  <c r="J480" i="98" s="1"/>
  <c r="I481" i="98"/>
  <c r="J481" i="98" s="1"/>
  <c r="I482" i="98"/>
  <c r="J482" i="98" s="1"/>
  <c r="I483" i="98"/>
  <c r="J483" i="98" s="1"/>
  <c r="I484" i="98"/>
  <c r="J484" i="98" s="1"/>
  <c r="I485" i="98"/>
  <c r="J485" i="98" s="1"/>
  <c r="I486" i="98"/>
  <c r="J486" i="98" s="1"/>
  <c r="I487" i="98"/>
  <c r="J487" i="98" s="1"/>
  <c r="I488" i="98"/>
  <c r="J488" i="98" s="1"/>
  <c r="I489" i="98"/>
  <c r="J489" i="98" s="1"/>
  <c r="I490" i="98"/>
  <c r="J490" i="98" s="1"/>
  <c r="I491" i="98"/>
  <c r="J491" i="98" s="1"/>
  <c r="I492" i="98"/>
  <c r="J492" i="98" s="1"/>
  <c r="I493" i="98"/>
  <c r="J493" i="98" s="1"/>
  <c r="I494" i="98"/>
  <c r="J494" i="98" s="1"/>
  <c r="I495" i="98"/>
  <c r="J495" i="98" s="1"/>
  <c r="I496" i="98"/>
  <c r="J496" i="98" s="1"/>
  <c r="I497" i="98"/>
  <c r="J497" i="98" s="1"/>
  <c r="I498" i="98"/>
  <c r="J498" i="98" s="1"/>
  <c r="I499" i="98"/>
  <c r="J499" i="98" s="1"/>
  <c r="I500" i="98"/>
  <c r="J500" i="98" s="1"/>
  <c r="I501" i="98"/>
  <c r="J501" i="98" s="1"/>
  <c r="H2" i="98"/>
  <c r="H3" i="98"/>
  <c r="H4" i="98"/>
  <c r="H5" i="98"/>
  <c r="H6" i="98"/>
  <c r="H7" i="98"/>
  <c r="H8" i="98"/>
  <c r="H9" i="98"/>
  <c r="H10" i="98"/>
  <c r="H11" i="98"/>
  <c r="H12" i="98"/>
  <c r="H13" i="98"/>
  <c r="H14" i="98"/>
  <c r="H15" i="98"/>
  <c r="H16" i="98"/>
  <c r="H17" i="98"/>
  <c r="H18" i="98"/>
  <c r="H19" i="98"/>
  <c r="H20" i="98"/>
  <c r="H21" i="98"/>
  <c r="H22" i="98"/>
  <c r="H23" i="98"/>
  <c r="H24" i="98"/>
  <c r="H25" i="98"/>
  <c r="H26" i="98"/>
  <c r="H27" i="98"/>
  <c r="H28" i="98"/>
  <c r="H29" i="98"/>
  <c r="H30" i="98"/>
  <c r="H31" i="98"/>
  <c r="H32" i="98"/>
  <c r="H33" i="98"/>
  <c r="H34" i="98"/>
  <c r="H35" i="98"/>
  <c r="H36" i="98"/>
  <c r="H37" i="98"/>
  <c r="H38" i="98"/>
  <c r="H39" i="98"/>
  <c r="H40" i="98"/>
  <c r="H41" i="98"/>
  <c r="H42" i="98"/>
  <c r="H43" i="98"/>
  <c r="H44" i="98"/>
  <c r="H45" i="98"/>
  <c r="H46" i="98"/>
  <c r="H47" i="98"/>
  <c r="H48" i="98"/>
  <c r="H49" i="98"/>
  <c r="H50" i="98"/>
  <c r="H51" i="98"/>
  <c r="H52" i="98"/>
  <c r="H53" i="98"/>
  <c r="H54" i="98"/>
  <c r="H55" i="98"/>
  <c r="H56" i="98"/>
  <c r="H57" i="98"/>
  <c r="H58" i="98"/>
  <c r="H59" i="98"/>
  <c r="H60" i="98"/>
  <c r="H61" i="98"/>
  <c r="H62" i="98"/>
  <c r="H63" i="98"/>
  <c r="H64" i="98"/>
  <c r="H65" i="98"/>
  <c r="H66" i="98"/>
  <c r="H67" i="98"/>
  <c r="H68" i="98"/>
  <c r="H69" i="98"/>
  <c r="H70" i="98"/>
  <c r="H71" i="98"/>
  <c r="H72" i="98"/>
  <c r="H73" i="98"/>
  <c r="H74" i="98"/>
  <c r="H75" i="98"/>
  <c r="H76" i="98"/>
  <c r="H77" i="98"/>
  <c r="H78" i="98"/>
  <c r="H79" i="98"/>
  <c r="H80" i="98"/>
  <c r="H81" i="98"/>
  <c r="H82" i="98"/>
  <c r="H83" i="98"/>
  <c r="H84" i="98"/>
  <c r="H85" i="98"/>
  <c r="H86" i="98"/>
  <c r="H87" i="98"/>
  <c r="H88" i="98"/>
  <c r="H89" i="98"/>
  <c r="H90" i="98"/>
  <c r="H91" i="98"/>
  <c r="H92" i="98"/>
  <c r="H93" i="98"/>
  <c r="H94" i="98"/>
  <c r="H95" i="98"/>
  <c r="H96" i="98"/>
  <c r="H97" i="98"/>
  <c r="H98" i="98"/>
  <c r="H99" i="98"/>
  <c r="H100" i="98"/>
  <c r="H101" i="98"/>
  <c r="H102" i="98"/>
  <c r="H103" i="98"/>
  <c r="H104" i="98"/>
  <c r="H105" i="98"/>
  <c r="H106" i="98"/>
  <c r="H107" i="98"/>
  <c r="H108" i="98"/>
  <c r="H109" i="98"/>
  <c r="H110" i="98"/>
  <c r="H111" i="98"/>
  <c r="H112" i="98"/>
  <c r="H113" i="98"/>
  <c r="H114" i="98"/>
  <c r="H115" i="98"/>
  <c r="H116" i="98"/>
  <c r="H117" i="98"/>
  <c r="H118" i="98"/>
  <c r="H119" i="98"/>
  <c r="H120" i="98"/>
  <c r="H121" i="98"/>
  <c r="H122" i="98"/>
  <c r="H123" i="98"/>
  <c r="H124" i="98"/>
  <c r="H125" i="98"/>
  <c r="H126" i="98"/>
  <c r="H127" i="98"/>
  <c r="H128" i="98"/>
  <c r="H129" i="98"/>
  <c r="H130" i="98"/>
  <c r="H131" i="98"/>
  <c r="H132" i="98"/>
  <c r="H133" i="98"/>
  <c r="H134" i="98"/>
  <c r="H135" i="98"/>
  <c r="H136" i="98"/>
  <c r="H137" i="98"/>
  <c r="H138" i="98"/>
  <c r="H139" i="98"/>
  <c r="H140" i="98"/>
  <c r="H141" i="98"/>
  <c r="H142" i="98"/>
  <c r="H143" i="98"/>
  <c r="H144" i="98"/>
  <c r="H145" i="98"/>
  <c r="H146" i="98"/>
  <c r="H147" i="98"/>
  <c r="H148" i="98"/>
  <c r="H149" i="98"/>
  <c r="H150" i="98"/>
  <c r="H151" i="98"/>
  <c r="H152" i="98"/>
  <c r="H153" i="98"/>
  <c r="H154" i="98"/>
  <c r="H155" i="98"/>
  <c r="H156" i="98"/>
  <c r="H157" i="98"/>
  <c r="H158" i="98"/>
  <c r="H159" i="98"/>
  <c r="H160" i="98"/>
  <c r="H161" i="98"/>
  <c r="H162" i="98"/>
  <c r="H163" i="98"/>
  <c r="H164" i="98"/>
  <c r="H165" i="98"/>
  <c r="H166" i="98"/>
  <c r="H167" i="98"/>
  <c r="H168" i="98"/>
  <c r="H169" i="98"/>
  <c r="H170" i="98"/>
  <c r="H171" i="98"/>
  <c r="H172" i="98"/>
  <c r="H173" i="98"/>
  <c r="H174" i="98"/>
  <c r="H175" i="98"/>
  <c r="H176" i="98"/>
  <c r="H177" i="98"/>
  <c r="H178" i="98"/>
  <c r="H179" i="98"/>
  <c r="H180" i="98"/>
  <c r="H181" i="98"/>
  <c r="H182" i="98"/>
  <c r="H183" i="98"/>
  <c r="H184" i="98"/>
  <c r="H185" i="98"/>
  <c r="H186" i="98"/>
  <c r="H187" i="98"/>
  <c r="H188" i="98"/>
  <c r="H189" i="98"/>
  <c r="H190" i="98"/>
  <c r="H191" i="98"/>
  <c r="H192" i="98"/>
  <c r="H193" i="98"/>
  <c r="H194" i="98"/>
  <c r="H195" i="98"/>
  <c r="H196" i="98"/>
  <c r="H197" i="98"/>
  <c r="H198" i="98"/>
  <c r="H199" i="98"/>
  <c r="H200" i="98"/>
  <c r="H201" i="98"/>
  <c r="H202" i="98"/>
  <c r="H203" i="98"/>
  <c r="H204" i="98"/>
  <c r="H205" i="98"/>
  <c r="H206" i="98"/>
  <c r="H207" i="98"/>
  <c r="H208" i="98"/>
  <c r="H209" i="98"/>
  <c r="H210" i="98"/>
  <c r="H211" i="98"/>
  <c r="H212" i="98"/>
  <c r="H213" i="98"/>
  <c r="H214" i="98"/>
  <c r="H215" i="98"/>
  <c r="H216" i="98"/>
  <c r="H217" i="98"/>
  <c r="H218" i="98"/>
  <c r="H219" i="98"/>
  <c r="H220" i="98"/>
  <c r="H221" i="98"/>
  <c r="H222" i="98"/>
  <c r="H223" i="98"/>
  <c r="H224" i="98"/>
  <c r="H225" i="98"/>
  <c r="H226" i="98"/>
  <c r="H227" i="98"/>
  <c r="H228" i="98"/>
  <c r="H229" i="98"/>
  <c r="H230" i="98"/>
  <c r="H231" i="98"/>
  <c r="H232" i="98"/>
  <c r="H233" i="98"/>
  <c r="H234" i="98"/>
  <c r="H235" i="98"/>
  <c r="H236" i="98"/>
  <c r="H237" i="98"/>
  <c r="H238" i="98"/>
  <c r="H239" i="98"/>
  <c r="H240" i="98"/>
  <c r="H241" i="98"/>
  <c r="H242" i="98"/>
  <c r="H243" i="98"/>
  <c r="H244" i="98"/>
  <c r="H245" i="98"/>
  <c r="H246" i="98"/>
  <c r="H247" i="98"/>
  <c r="H248" i="98"/>
  <c r="H249" i="98"/>
  <c r="H250" i="98"/>
  <c r="H251" i="98"/>
  <c r="H252" i="98"/>
  <c r="H253" i="98"/>
  <c r="H254" i="98"/>
  <c r="H255" i="98"/>
  <c r="H256" i="98"/>
  <c r="H257" i="98"/>
  <c r="H258" i="98"/>
  <c r="H259" i="98"/>
  <c r="H260" i="98"/>
  <c r="H261" i="98"/>
  <c r="H262" i="98"/>
  <c r="H263" i="98"/>
  <c r="H264" i="98"/>
  <c r="H265" i="98"/>
  <c r="H266" i="98"/>
  <c r="H267" i="98"/>
  <c r="H268" i="98"/>
  <c r="H269" i="98"/>
  <c r="H270" i="98"/>
  <c r="H271" i="98"/>
  <c r="H272" i="98"/>
  <c r="H273" i="98"/>
  <c r="H274" i="98"/>
  <c r="H275" i="98"/>
  <c r="H276" i="98"/>
  <c r="H277" i="98"/>
  <c r="H278" i="98"/>
  <c r="H279" i="98"/>
  <c r="H280" i="98"/>
  <c r="H281" i="98"/>
  <c r="H282" i="98"/>
  <c r="H283" i="98"/>
  <c r="H284" i="98"/>
  <c r="H285" i="98"/>
  <c r="H286" i="98"/>
  <c r="H287" i="98"/>
  <c r="H288" i="98"/>
  <c r="H289" i="98"/>
  <c r="H290" i="98"/>
  <c r="H291" i="98"/>
  <c r="H292" i="98"/>
  <c r="H293" i="98"/>
  <c r="H294" i="98"/>
  <c r="H295" i="98"/>
  <c r="H296" i="98"/>
  <c r="H297" i="98"/>
  <c r="H298" i="98"/>
  <c r="H299" i="98"/>
  <c r="H300" i="98"/>
  <c r="H301" i="98"/>
  <c r="H302" i="98"/>
  <c r="H303" i="98"/>
  <c r="H304" i="98"/>
  <c r="H305" i="98"/>
  <c r="H306" i="98"/>
  <c r="H307" i="98"/>
  <c r="H308" i="98"/>
  <c r="H309" i="98"/>
  <c r="H310" i="98"/>
  <c r="H311" i="98"/>
  <c r="H312" i="98"/>
  <c r="H313" i="98"/>
  <c r="H314" i="98"/>
  <c r="H315" i="98"/>
  <c r="H316" i="98"/>
  <c r="H317" i="98"/>
  <c r="H318" i="98"/>
  <c r="H319" i="98"/>
  <c r="H320" i="98"/>
  <c r="H321" i="98"/>
  <c r="H322" i="98"/>
  <c r="H323" i="98"/>
  <c r="H324" i="98"/>
  <c r="H325" i="98"/>
  <c r="H326" i="98"/>
  <c r="H327" i="98"/>
  <c r="H328" i="98"/>
  <c r="H329" i="98"/>
  <c r="H330" i="98"/>
  <c r="H331" i="98"/>
  <c r="H332" i="98"/>
  <c r="H333" i="98"/>
  <c r="H334" i="98"/>
  <c r="H335" i="98"/>
  <c r="H336" i="98"/>
  <c r="H337" i="98"/>
  <c r="H338" i="98"/>
  <c r="H339" i="98"/>
  <c r="H340" i="98"/>
  <c r="H341" i="98"/>
  <c r="H342" i="98"/>
  <c r="H343" i="98"/>
  <c r="H344" i="98"/>
  <c r="H345" i="98"/>
  <c r="H346" i="98"/>
  <c r="H347" i="98"/>
  <c r="H348" i="98"/>
  <c r="H349" i="98"/>
  <c r="H350" i="98"/>
  <c r="H351" i="98"/>
  <c r="H352" i="98"/>
  <c r="H353" i="98"/>
  <c r="H354" i="98"/>
  <c r="H355" i="98"/>
  <c r="H356" i="98"/>
  <c r="H357" i="98"/>
  <c r="H358" i="98"/>
  <c r="K358" i="98" s="1"/>
  <c r="H359" i="98"/>
  <c r="K359" i="98" s="1"/>
  <c r="H360" i="98"/>
  <c r="H361" i="98"/>
  <c r="H362" i="98"/>
  <c r="K362" i="98" s="1"/>
  <c r="H363" i="98"/>
  <c r="K363" i="98" s="1"/>
  <c r="H364" i="98"/>
  <c r="H365" i="98"/>
  <c r="H366" i="98"/>
  <c r="H367" i="98"/>
  <c r="K367" i="98" s="1"/>
  <c r="H368" i="98"/>
  <c r="H369" i="98"/>
  <c r="H370" i="98"/>
  <c r="H371" i="98"/>
  <c r="H372" i="98"/>
  <c r="H373" i="98"/>
  <c r="H374" i="98"/>
  <c r="H375" i="98"/>
  <c r="H376" i="98"/>
  <c r="H377" i="98"/>
  <c r="H378" i="98"/>
  <c r="H379" i="98"/>
  <c r="H380" i="98"/>
  <c r="H381" i="98"/>
  <c r="H382" i="98"/>
  <c r="H383" i="98"/>
  <c r="K383" i="98" s="1"/>
  <c r="H384" i="98"/>
  <c r="H385" i="98"/>
  <c r="H386" i="98"/>
  <c r="H387" i="98"/>
  <c r="H388" i="98"/>
  <c r="H389" i="98"/>
  <c r="H390" i="98"/>
  <c r="H391" i="98"/>
  <c r="K391" i="98" s="1"/>
  <c r="H392" i="98"/>
  <c r="H393" i="98"/>
  <c r="H394" i="98"/>
  <c r="H395" i="98"/>
  <c r="H396" i="98"/>
  <c r="H397" i="98"/>
  <c r="H398" i="98"/>
  <c r="K398" i="98" s="1"/>
  <c r="H399" i="98"/>
  <c r="H400" i="98"/>
  <c r="H401" i="98"/>
  <c r="H402" i="98"/>
  <c r="H403" i="98"/>
  <c r="H404" i="98"/>
  <c r="H405" i="98"/>
  <c r="H406" i="98"/>
  <c r="H407" i="98"/>
  <c r="H408" i="98"/>
  <c r="H409" i="98"/>
  <c r="H410" i="98"/>
  <c r="H411" i="98"/>
  <c r="H412" i="98"/>
  <c r="H413" i="98"/>
  <c r="H414" i="98"/>
  <c r="H415" i="98"/>
  <c r="H416" i="98"/>
  <c r="H417" i="98"/>
  <c r="H418" i="98"/>
  <c r="H419" i="98"/>
  <c r="K419" i="98" s="1"/>
  <c r="H420" i="98"/>
  <c r="H421" i="98"/>
  <c r="H422" i="98"/>
  <c r="H423" i="98"/>
  <c r="K423" i="98" s="1"/>
  <c r="H424" i="98"/>
  <c r="H425" i="98"/>
  <c r="H426" i="98"/>
  <c r="K426" i="98" s="1"/>
  <c r="H427" i="98"/>
  <c r="K427" i="98" s="1"/>
  <c r="H428" i="98"/>
  <c r="H429" i="98"/>
  <c r="H430" i="98"/>
  <c r="K430" i="98" s="1"/>
  <c r="H431" i="98"/>
  <c r="H432" i="98"/>
  <c r="H433" i="98"/>
  <c r="H434" i="98"/>
  <c r="H435" i="98"/>
  <c r="H436" i="98"/>
  <c r="H437" i="98"/>
  <c r="H438" i="98"/>
  <c r="H439" i="98"/>
  <c r="H440" i="98"/>
  <c r="H441" i="98"/>
  <c r="H442" i="98"/>
  <c r="H443" i="98"/>
  <c r="H444" i="98"/>
  <c r="H445" i="98"/>
  <c r="H446" i="98"/>
  <c r="H447" i="98"/>
  <c r="H448" i="98"/>
  <c r="H449" i="98"/>
  <c r="H450" i="98"/>
  <c r="H451" i="98"/>
  <c r="H452" i="98"/>
  <c r="H453" i="98"/>
  <c r="H454" i="98"/>
  <c r="H455" i="98"/>
  <c r="H456" i="98"/>
  <c r="H457" i="98"/>
  <c r="H458" i="98"/>
  <c r="K458" i="98" s="1"/>
  <c r="H459" i="98"/>
  <c r="K459" i="98" s="1"/>
  <c r="H460" i="98"/>
  <c r="H461" i="98"/>
  <c r="H462" i="98"/>
  <c r="K462" i="98" s="1"/>
  <c r="H463" i="98"/>
  <c r="H464" i="98"/>
  <c r="H465" i="98"/>
  <c r="H466" i="98"/>
  <c r="H467" i="98"/>
  <c r="H468" i="98"/>
  <c r="H469" i="98"/>
  <c r="H470" i="98"/>
  <c r="H471" i="98"/>
  <c r="H472" i="98"/>
  <c r="H473" i="98"/>
  <c r="H474" i="98"/>
  <c r="H475" i="98"/>
  <c r="H476" i="98"/>
  <c r="H477" i="98"/>
  <c r="H478" i="98"/>
  <c r="H479" i="98"/>
  <c r="H480" i="98"/>
  <c r="H481" i="98"/>
  <c r="H482" i="98"/>
  <c r="H483" i="98"/>
  <c r="K483" i="98" s="1"/>
  <c r="H484" i="98"/>
  <c r="H485" i="98"/>
  <c r="H486" i="98"/>
  <c r="H487" i="98"/>
  <c r="K487" i="98" s="1"/>
  <c r="H488" i="98"/>
  <c r="H489" i="98"/>
  <c r="H490" i="98"/>
  <c r="K490" i="98" s="1"/>
  <c r="H491" i="98"/>
  <c r="K491" i="98" s="1"/>
  <c r="H492" i="98"/>
  <c r="H493" i="98"/>
  <c r="H494" i="98"/>
  <c r="H495" i="98"/>
  <c r="H496" i="98"/>
  <c r="H497" i="98"/>
  <c r="H498" i="98"/>
  <c r="H499" i="98"/>
  <c r="H500" i="98"/>
  <c r="H501" i="98"/>
  <c r="G2" i="61"/>
  <c r="G3" i="98" a="1"/>
  <c r="G3" i="98" s="1"/>
  <c r="G4" i="98" a="1"/>
  <c r="G4" i="98" s="1"/>
  <c r="G2" i="98" a="1"/>
  <c r="G2" i="98" s="1"/>
  <c r="G5" i="98" a="1"/>
  <c r="G5" i="98" s="1"/>
  <c r="G6" i="98" a="1"/>
  <c r="G6" i="98" s="1"/>
  <c r="G7" i="98" a="1"/>
  <c r="G7" i="98" s="1"/>
  <c r="G8" i="98" a="1"/>
  <c r="G8" i="98" s="1"/>
  <c r="G9" i="98" a="1"/>
  <c r="G9" i="98" s="1"/>
  <c r="G10" i="98" a="1"/>
  <c r="G10" i="98" s="1"/>
  <c r="G11" i="98" a="1"/>
  <c r="G11" i="98" s="1"/>
  <c r="G12" i="98" a="1"/>
  <c r="G12" i="98" s="1"/>
  <c r="G13" i="98" a="1"/>
  <c r="G13" i="98" s="1"/>
  <c r="G14" i="98" a="1"/>
  <c r="G14" i="98" s="1"/>
  <c r="G15" i="98" a="1"/>
  <c r="G15" i="98" s="1"/>
  <c r="G16" i="98" a="1"/>
  <c r="G16" i="98" s="1"/>
  <c r="G17" i="98" a="1"/>
  <c r="G17" i="98"/>
  <c r="G18" i="98" a="1"/>
  <c r="G18" i="98" s="1"/>
  <c r="G19" i="98" a="1"/>
  <c r="G19" i="98" s="1"/>
  <c r="G20" i="98" a="1"/>
  <c r="G20" i="98" s="1"/>
  <c r="G21" i="98" a="1"/>
  <c r="G21" i="98" s="1"/>
  <c r="G22" i="98" a="1"/>
  <c r="G22" i="98" s="1"/>
  <c r="G23" i="98" a="1"/>
  <c r="G23" i="98" s="1"/>
  <c r="G24" i="98" a="1"/>
  <c r="G24" i="98" s="1"/>
  <c r="G25" i="98" a="1"/>
  <c r="G25" i="98" s="1"/>
  <c r="G26" i="98" a="1"/>
  <c r="G26" i="98" s="1"/>
  <c r="G27" i="98" a="1"/>
  <c r="G27" i="98"/>
  <c r="G28" i="98" a="1"/>
  <c r="G28" i="98" s="1"/>
  <c r="G29" i="98" a="1"/>
  <c r="G29" i="98" s="1"/>
  <c r="G30" i="98" a="1"/>
  <c r="G30" i="98" s="1"/>
  <c r="G31" i="98" a="1"/>
  <c r="G31" i="98" s="1"/>
  <c r="G32" i="98" a="1"/>
  <c r="G32" i="98" s="1"/>
  <c r="G33" i="98" a="1"/>
  <c r="G33" i="98" s="1"/>
  <c r="G34" i="98" a="1"/>
  <c r="G34" i="98" s="1"/>
  <c r="G35" i="98" a="1"/>
  <c r="G35" i="98" s="1"/>
  <c r="G36" i="98" a="1"/>
  <c r="G36" i="98" s="1"/>
  <c r="G37" i="98" a="1"/>
  <c r="G37" i="98" s="1"/>
  <c r="G38" i="98" a="1"/>
  <c r="G38" i="98" s="1"/>
  <c r="G39" i="98" a="1"/>
  <c r="G39" i="98" s="1"/>
  <c r="G40" i="98" a="1"/>
  <c r="G40" i="98" s="1"/>
  <c r="G41" i="98" a="1"/>
  <c r="G41" i="98" s="1"/>
  <c r="G42" i="98" a="1"/>
  <c r="G42" i="98" s="1"/>
  <c r="G43" i="98" a="1"/>
  <c r="G43" i="98" s="1"/>
  <c r="G44" i="98" a="1"/>
  <c r="G44" i="98" s="1"/>
  <c r="G45" i="98" a="1"/>
  <c r="G45" i="98" s="1"/>
  <c r="G46" i="98" a="1"/>
  <c r="G46" i="98" s="1"/>
  <c r="G47" i="98" a="1"/>
  <c r="G47" i="98" s="1"/>
  <c r="G48" i="98" a="1"/>
  <c r="G48" i="98" s="1"/>
  <c r="G49" i="98" a="1"/>
  <c r="G49" i="98" s="1"/>
  <c r="G50" i="98" a="1"/>
  <c r="G50" i="98" s="1"/>
  <c r="G51" i="98" a="1"/>
  <c r="G51" i="98" s="1"/>
  <c r="G52" i="98" a="1"/>
  <c r="G52" i="98" s="1"/>
  <c r="G53" i="98" a="1"/>
  <c r="G53" i="98"/>
  <c r="G54" i="98" a="1"/>
  <c r="G54" i="98" s="1"/>
  <c r="G55" i="98" a="1"/>
  <c r="G55" i="98" s="1"/>
  <c r="G56" i="98" a="1"/>
  <c r="G56" i="98" s="1"/>
  <c r="G57" i="98" a="1"/>
  <c r="G57" i="98" s="1"/>
  <c r="G58" i="98" a="1"/>
  <c r="G58" i="98" s="1"/>
  <c r="G59" i="98" a="1"/>
  <c r="G59" i="98" s="1"/>
  <c r="G60" i="98" a="1"/>
  <c r="G60" i="98" s="1"/>
  <c r="G61" i="98" a="1"/>
  <c r="G61" i="98" s="1"/>
  <c r="G62" i="98" a="1"/>
  <c r="G62" i="98" s="1"/>
  <c r="G63" i="98" a="1"/>
  <c r="G63" i="98" s="1"/>
  <c r="G64" i="98" a="1"/>
  <c r="G64" i="98" s="1"/>
  <c r="G65" i="98" a="1"/>
  <c r="G65" i="98" s="1"/>
  <c r="G66" i="98" a="1"/>
  <c r="G66" i="98" s="1"/>
  <c r="G67" i="98" a="1"/>
  <c r="G67" i="98" s="1"/>
  <c r="G68" i="98" a="1"/>
  <c r="G68" i="98" s="1"/>
  <c r="G69" i="98" a="1"/>
  <c r="G69" i="98" s="1"/>
  <c r="G70" i="98" a="1"/>
  <c r="G70" i="98" s="1"/>
  <c r="G71" i="98" a="1"/>
  <c r="G71" i="98" s="1"/>
  <c r="G72" i="98" a="1"/>
  <c r="G72" i="98" s="1"/>
  <c r="G73" i="98" a="1"/>
  <c r="G73" i="98" s="1"/>
  <c r="G74" i="98" a="1"/>
  <c r="G74" i="98" s="1"/>
  <c r="G75" i="98" a="1"/>
  <c r="G75" i="98"/>
  <c r="G76" i="98" a="1"/>
  <c r="G76" i="98" s="1"/>
  <c r="G77" i="98" a="1"/>
  <c r="G77" i="98" s="1"/>
  <c r="G78" i="98" a="1"/>
  <c r="G78" i="98" s="1"/>
  <c r="G79" i="98" a="1"/>
  <c r="G79" i="98" s="1"/>
  <c r="G80" i="98" a="1"/>
  <c r="G80" i="98" s="1"/>
  <c r="G81" i="98" a="1"/>
  <c r="G81" i="98" s="1"/>
  <c r="G82" i="98" a="1"/>
  <c r="G82" i="98" s="1"/>
  <c r="G83" i="98" a="1"/>
  <c r="G83" i="98" s="1"/>
  <c r="G84" i="98" a="1"/>
  <c r="G84" i="98" s="1"/>
  <c r="G85" i="98" a="1"/>
  <c r="G85" i="98"/>
  <c r="G86" i="98" a="1"/>
  <c r="G86" i="98" s="1"/>
  <c r="G87" i="98" a="1"/>
  <c r="G87" i="98" s="1"/>
  <c r="G88" i="98" a="1"/>
  <c r="G88" i="98" s="1"/>
  <c r="G89" i="98" a="1"/>
  <c r="G89" i="98" s="1"/>
  <c r="G90" i="98" a="1"/>
  <c r="G90" i="98" s="1"/>
  <c r="G91" i="98" a="1"/>
  <c r="G91" i="98" s="1"/>
  <c r="G92" i="98" a="1"/>
  <c r="G92" i="98" s="1"/>
  <c r="G93" i="98" a="1"/>
  <c r="G93" i="98" s="1"/>
  <c r="G94" i="98" a="1"/>
  <c r="G94" i="98" s="1"/>
  <c r="G95" i="98" a="1"/>
  <c r="G95" i="98" s="1"/>
  <c r="G96" i="98" a="1"/>
  <c r="G96" i="98" s="1"/>
  <c r="G97" i="98" a="1"/>
  <c r="G97" i="98" s="1"/>
  <c r="G98" i="98" a="1"/>
  <c r="G98" i="98" s="1"/>
  <c r="G99" i="98" a="1"/>
  <c r="G99" i="98" s="1"/>
  <c r="G100" i="98" a="1"/>
  <c r="G100" i="98" s="1"/>
  <c r="G101" i="98" a="1"/>
  <c r="G101" i="98" s="1"/>
  <c r="G102" i="98" a="1"/>
  <c r="G102" i="98" s="1"/>
  <c r="G103" i="98" a="1"/>
  <c r="G103" i="98" s="1"/>
  <c r="G104" i="98" a="1"/>
  <c r="G104" i="98" s="1"/>
  <c r="G105" i="98" a="1"/>
  <c r="G105" i="98" s="1"/>
  <c r="G106" i="98" a="1"/>
  <c r="G106" i="98" s="1"/>
  <c r="G107" i="98" a="1"/>
  <c r="G107" i="98" s="1"/>
  <c r="G108" i="98" a="1"/>
  <c r="G108" i="98" s="1"/>
  <c r="G109" i="98" a="1"/>
  <c r="G109" i="98" s="1"/>
  <c r="G110" i="98" a="1"/>
  <c r="G110" i="98" s="1"/>
  <c r="G111" i="98" a="1"/>
  <c r="G111" i="98" s="1"/>
  <c r="G112" i="98" a="1"/>
  <c r="G112" i="98" s="1"/>
  <c r="G113" i="98" a="1"/>
  <c r="G113" i="98" s="1"/>
  <c r="G114" i="98" a="1"/>
  <c r="G114" i="98" s="1"/>
  <c r="G115" i="98" a="1"/>
  <c r="G115" i="98" s="1"/>
  <c r="G116" i="98" a="1"/>
  <c r="G116" i="98" s="1"/>
  <c r="G117" i="98" a="1"/>
  <c r="G117" i="98"/>
  <c r="G118" i="98" a="1"/>
  <c r="G118" i="98" s="1"/>
  <c r="G119" i="98" a="1"/>
  <c r="G119" i="98" s="1"/>
  <c r="G120" i="98" a="1"/>
  <c r="G120" i="98" s="1"/>
  <c r="G121" i="98" a="1"/>
  <c r="G121" i="98" s="1"/>
  <c r="G122" i="98" a="1"/>
  <c r="G122" i="98" s="1"/>
  <c r="G123" i="98" a="1"/>
  <c r="G123" i="98" s="1"/>
  <c r="G124" i="98" a="1"/>
  <c r="G124" i="98" s="1"/>
  <c r="G125" i="98" a="1"/>
  <c r="G125" i="98" s="1"/>
  <c r="G126" i="98" a="1"/>
  <c r="G126" i="98" s="1"/>
  <c r="G127" i="98" a="1"/>
  <c r="G127" i="98" s="1"/>
  <c r="G128" i="98" a="1"/>
  <c r="G128" i="98" s="1"/>
  <c r="G129" i="98" a="1"/>
  <c r="G129" i="98" s="1"/>
  <c r="G130" i="98" a="1"/>
  <c r="G130" i="98" s="1"/>
  <c r="G131" i="98" a="1"/>
  <c r="G131" i="98" s="1"/>
  <c r="G132" i="98" a="1"/>
  <c r="G132" i="98" s="1"/>
  <c r="G133" i="98" a="1"/>
  <c r="G133" i="98" s="1"/>
  <c r="G134" i="98" a="1"/>
  <c r="G134" i="98" s="1"/>
  <c r="G135" i="98" a="1"/>
  <c r="G135" i="98" s="1"/>
  <c r="G136" i="98" a="1"/>
  <c r="G136" i="98" s="1"/>
  <c r="G137" i="98" a="1"/>
  <c r="G137" i="98" s="1"/>
  <c r="G138" i="98" a="1"/>
  <c r="G138" i="98" s="1"/>
  <c r="G139" i="98" a="1"/>
  <c r="G139" i="98" s="1"/>
  <c r="G140" i="98" a="1"/>
  <c r="G140" i="98" s="1"/>
  <c r="G141" i="98" a="1"/>
  <c r="G141" i="98" s="1"/>
  <c r="G142" i="98" a="1"/>
  <c r="G142" i="98" s="1"/>
  <c r="G143" i="98" a="1"/>
  <c r="G143" i="98" s="1"/>
  <c r="G144" i="98" a="1"/>
  <c r="G144" i="98" s="1"/>
  <c r="G145" i="98" a="1"/>
  <c r="G145" i="98" s="1"/>
  <c r="G146" i="98" a="1"/>
  <c r="G146" i="98" s="1"/>
  <c r="G147" i="98" a="1"/>
  <c r="G147" i="98" s="1"/>
  <c r="G148" i="98" a="1"/>
  <c r="G148" i="98" s="1"/>
  <c r="G149" i="98" a="1"/>
  <c r="G149" i="98" s="1"/>
  <c r="G150" i="98" a="1"/>
  <c r="G150" i="98" s="1"/>
  <c r="G151" i="98" a="1"/>
  <c r="G151" i="98" s="1"/>
  <c r="G152" i="98" a="1"/>
  <c r="G152" i="98" s="1"/>
  <c r="G153" i="98" a="1"/>
  <c r="G153" i="98" s="1"/>
  <c r="G154" i="98" a="1"/>
  <c r="G154" i="98" s="1"/>
  <c r="G155" i="98" a="1"/>
  <c r="G155" i="98" s="1"/>
  <c r="G156" i="98" a="1"/>
  <c r="G156" i="98" s="1"/>
  <c r="G157" i="98" a="1"/>
  <c r="G157" i="98" s="1"/>
  <c r="G158" i="98" a="1"/>
  <c r="G158" i="98" s="1"/>
  <c r="G159" i="98" a="1"/>
  <c r="G159" i="98" s="1"/>
  <c r="G160" i="98" a="1"/>
  <c r="G160" i="98" s="1"/>
  <c r="G161" i="98" a="1"/>
  <c r="G161" i="98" s="1"/>
  <c r="G162" i="98" a="1"/>
  <c r="G162" i="98" s="1"/>
  <c r="G163" i="98" a="1"/>
  <c r="G163" i="98" s="1"/>
  <c r="G164" i="98" a="1"/>
  <c r="G164" i="98" s="1"/>
  <c r="G165" i="98" a="1"/>
  <c r="G165" i="98" s="1"/>
  <c r="G166" i="98" a="1"/>
  <c r="G166" i="98" s="1"/>
  <c r="G167" i="98" a="1"/>
  <c r="G167" i="98" s="1"/>
  <c r="G168" i="98" a="1"/>
  <c r="G168" i="98" s="1"/>
  <c r="G169" i="98" a="1"/>
  <c r="G169" i="98" s="1"/>
  <c r="G170" i="98" a="1"/>
  <c r="G170" i="98" s="1"/>
  <c r="G171" i="98" a="1"/>
  <c r="G171" i="98" s="1"/>
  <c r="G172" i="98" a="1"/>
  <c r="G172" i="98" s="1"/>
  <c r="G173" i="98" a="1"/>
  <c r="G173" i="98" s="1"/>
  <c r="G174" i="98" a="1"/>
  <c r="G174" i="98" s="1"/>
  <c r="G175" i="98" a="1"/>
  <c r="G175" i="98" s="1"/>
  <c r="G176" i="98" a="1"/>
  <c r="G176" i="98" s="1"/>
  <c r="G177" i="98" a="1"/>
  <c r="G177" i="98" s="1"/>
  <c r="G178" i="98" a="1"/>
  <c r="G178" i="98" s="1"/>
  <c r="G179" i="98" a="1"/>
  <c r="G179" i="98" s="1"/>
  <c r="G180" i="98" a="1"/>
  <c r="G180" i="98" s="1"/>
  <c r="G181" i="98" a="1"/>
  <c r="G181" i="98" s="1"/>
  <c r="G182" i="98" a="1"/>
  <c r="G182" i="98" s="1"/>
  <c r="G183" i="98" a="1"/>
  <c r="G183" i="98" s="1"/>
  <c r="G184" i="98" a="1"/>
  <c r="G184" i="98" s="1"/>
  <c r="G185" i="98" a="1"/>
  <c r="G185" i="98" s="1"/>
  <c r="G186" i="98" a="1"/>
  <c r="G186" i="98" s="1"/>
  <c r="G187" i="98" a="1"/>
  <c r="G187" i="98" s="1"/>
  <c r="G188" i="98" a="1"/>
  <c r="G188" i="98" s="1"/>
  <c r="G189" i="98" a="1"/>
  <c r="G189" i="98" s="1"/>
  <c r="G190" i="98" a="1"/>
  <c r="G190" i="98" s="1"/>
  <c r="G191" i="98" a="1"/>
  <c r="G191" i="98" s="1"/>
  <c r="G192" i="98" a="1"/>
  <c r="G192" i="98" s="1"/>
  <c r="G193" i="98" a="1"/>
  <c r="G193" i="98" s="1"/>
  <c r="G194" i="98" a="1"/>
  <c r="G194" i="98" s="1"/>
  <c r="G195" i="98" a="1"/>
  <c r="G195" i="98" s="1"/>
  <c r="G196" i="98" a="1"/>
  <c r="G196" i="98" s="1"/>
  <c r="G197" i="98" a="1"/>
  <c r="G197" i="98" s="1"/>
  <c r="G198" i="98" a="1"/>
  <c r="G198" i="98" s="1"/>
  <c r="G199" i="98" a="1"/>
  <c r="G199" i="98" s="1"/>
  <c r="G200" i="98" a="1"/>
  <c r="G200" i="98" s="1"/>
  <c r="G201" i="98" a="1"/>
  <c r="G201" i="98" s="1"/>
  <c r="G202" i="98" a="1"/>
  <c r="G202" i="98" s="1"/>
  <c r="G203" i="98" a="1"/>
  <c r="G203" i="98" s="1"/>
  <c r="G204" i="98" a="1"/>
  <c r="G204" i="98" s="1"/>
  <c r="G205" i="98" a="1"/>
  <c r="G205" i="98" s="1"/>
  <c r="G206" i="98" a="1"/>
  <c r="G206" i="98" s="1"/>
  <c r="G207" i="98" a="1"/>
  <c r="G207" i="98" s="1"/>
  <c r="G208" i="98" a="1"/>
  <c r="G208" i="98" s="1"/>
  <c r="G209" i="98" a="1"/>
  <c r="G209" i="98" s="1"/>
  <c r="G210" i="98" a="1"/>
  <c r="G210" i="98" s="1"/>
  <c r="G211" i="98" a="1"/>
  <c r="G211" i="98" s="1"/>
  <c r="G212" i="98" a="1"/>
  <c r="G212" i="98" s="1"/>
  <c r="G213" i="98" a="1"/>
  <c r="G213" i="98" s="1"/>
  <c r="G214" i="98" a="1"/>
  <c r="G214" i="98" s="1"/>
  <c r="G215" i="98" a="1"/>
  <c r="G215" i="98" s="1"/>
  <c r="G216" i="98" a="1"/>
  <c r="G216" i="98" s="1"/>
  <c r="G217" i="98" a="1"/>
  <c r="G217" i="98" s="1"/>
  <c r="G218" i="98" a="1"/>
  <c r="G218" i="98" s="1"/>
  <c r="G219" i="98" a="1"/>
  <c r="G219" i="98" s="1"/>
  <c r="G220" i="98" a="1"/>
  <c r="G220" i="98" s="1"/>
  <c r="G221" i="98" a="1"/>
  <c r="G221" i="98" s="1"/>
  <c r="G222" i="98" a="1"/>
  <c r="G222" i="98" s="1"/>
  <c r="G223" i="98" a="1"/>
  <c r="G223" i="98" s="1"/>
  <c r="G224" i="98" a="1"/>
  <c r="G224" i="98" s="1"/>
  <c r="G225" i="98" a="1"/>
  <c r="G225" i="98"/>
  <c r="G226" i="98" a="1"/>
  <c r="G226" i="98" s="1"/>
  <c r="G227" i="98" a="1"/>
  <c r="G227" i="98" s="1"/>
  <c r="G228" i="98" a="1"/>
  <c r="G228" i="98" s="1"/>
  <c r="G229" i="98" a="1"/>
  <c r="G229" i="98" s="1"/>
  <c r="G230" i="98" a="1"/>
  <c r="G230" i="98" s="1"/>
  <c r="G231" i="98" a="1"/>
  <c r="G231" i="98"/>
  <c r="G232" i="98" a="1"/>
  <c r="G232" i="98" s="1"/>
  <c r="G233" i="98" a="1"/>
  <c r="G233" i="98" s="1"/>
  <c r="G234" i="98" a="1"/>
  <c r="G234" i="98" s="1"/>
  <c r="G235" i="98" a="1"/>
  <c r="G235" i="98" s="1"/>
  <c r="G236" i="98" a="1"/>
  <c r="G236" i="98" s="1"/>
  <c r="G237" i="98" a="1"/>
  <c r="G237" i="98" s="1"/>
  <c r="G238" i="98" a="1"/>
  <c r="G238" i="98" s="1"/>
  <c r="G239" i="98" a="1"/>
  <c r="G239" i="98" s="1"/>
  <c r="G240" i="98" a="1"/>
  <c r="G240" i="98" s="1"/>
  <c r="G241" i="98" a="1"/>
  <c r="G241" i="98" s="1"/>
  <c r="G242" i="98" a="1"/>
  <c r="G242" i="98" s="1"/>
  <c r="G243" i="98" a="1"/>
  <c r="G243" i="98" s="1"/>
  <c r="G244" i="98" a="1"/>
  <c r="G244" i="98" s="1"/>
  <c r="G245" i="98" a="1"/>
  <c r="G245" i="98" s="1"/>
  <c r="G246" i="98" a="1"/>
  <c r="G246" i="98" s="1"/>
  <c r="G247" i="98" a="1"/>
  <c r="G247" i="98" s="1"/>
  <c r="G248" i="98" a="1"/>
  <c r="G248" i="98" s="1"/>
  <c r="G249" i="98" a="1"/>
  <c r="G249" i="98" s="1"/>
  <c r="G250" i="98" a="1"/>
  <c r="G250" i="98" s="1"/>
  <c r="G251" i="98" a="1"/>
  <c r="G251" i="98" s="1"/>
  <c r="G252" i="98" a="1"/>
  <c r="G252" i="98" s="1"/>
  <c r="G253" i="98" a="1"/>
  <c r="G253" i="98" s="1"/>
  <c r="G254" i="98" a="1"/>
  <c r="G254" i="98" s="1"/>
  <c r="G255" i="98" a="1"/>
  <c r="G255" i="98" s="1"/>
  <c r="G256" i="98" a="1"/>
  <c r="G256" i="98" s="1"/>
  <c r="G257" i="98" a="1"/>
  <c r="G257" i="98" s="1"/>
  <c r="G258" i="98" a="1"/>
  <c r="G258" i="98" s="1"/>
  <c r="G259" i="98" a="1"/>
  <c r="G259" i="98" s="1"/>
  <c r="G260" i="98" a="1"/>
  <c r="G260" i="98" s="1"/>
  <c r="G261" i="98" a="1"/>
  <c r="G261" i="98" s="1"/>
  <c r="G262" i="98" a="1"/>
  <c r="G262" i="98" s="1"/>
  <c r="G263" i="98" a="1"/>
  <c r="G263" i="98" s="1"/>
  <c r="G264" i="98" a="1"/>
  <c r="G264" i="98" s="1"/>
  <c r="G265" i="98" a="1"/>
  <c r="G265" i="98" s="1"/>
  <c r="G266" i="98" a="1"/>
  <c r="G266" i="98" s="1"/>
  <c r="G267" i="98" a="1"/>
  <c r="G267" i="98" s="1"/>
  <c r="G268" i="98" a="1"/>
  <c r="G268" i="98" s="1"/>
  <c r="G269" i="98" a="1"/>
  <c r="G269" i="98" s="1"/>
  <c r="G270" i="98" a="1"/>
  <c r="G270" i="98" s="1"/>
  <c r="G271" i="98" a="1"/>
  <c r="G271" i="98" s="1"/>
  <c r="G272" i="98" a="1"/>
  <c r="G272" i="98" s="1"/>
  <c r="G273" i="98" a="1"/>
  <c r="G273" i="98" s="1"/>
  <c r="G274" i="98" a="1"/>
  <c r="G274" i="98" s="1"/>
  <c r="G275" i="98" a="1"/>
  <c r="G275" i="98" s="1"/>
  <c r="G276" i="98" a="1"/>
  <c r="G276" i="98" s="1"/>
  <c r="G277" i="98" a="1"/>
  <c r="G277" i="98" s="1"/>
  <c r="G278" i="98" a="1"/>
  <c r="G278" i="98" s="1"/>
  <c r="G279" i="98" a="1"/>
  <c r="G279" i="98" s="1"/>
  <c r="G280" i="98" a="1"/>
  <c r="G280" i="98" s="1"/>
  <c r="G281" i="98" a="1"/>
  <c r="G281" i="98" s="1"/>
  <c r="G282" i="98" a="1"/>
  <c r="G282" i="98" s="1"/>
  <c r="G283" i="98" a="1"/>
  <c r="G283" i="98" s="1"/>
  <c r="G284" i="98" a="1"/>
  <c r="G284" i="98" s="1"/>
  <c r="G285" i="98" a="1"/>
  <c r="G285" i="98" s="1"/>
  <c r="G286" i="98" a="1"/>
  <c r="G286" i="98" s="1"/>
  <c r="G287" i="98" a="1"/>
  <c r="G287" i="98" s="1"/>
  <c r="G288" i="98" a="1"/>
  <c r="G288" i="98" s="1"/>
  <c r="G289" i="98" a="1"/>
  <c r="G289" i="98"/>
  <c r="G290" i="98" a="1"/>
  <c r="G290" i="98" s="1"/>
  <c r="G291" i="98" a="1"/>
  <c r="G291" i="98" s="1"/>
  <c r="G292" i="98" a="1"/>
  <c r="G292" i="98" s="1"/>
  <c r="G293" i="98" a="1"/>
  <c r="G293" i="98" s="1"/>
  <c r="G294" i="98" a="1"/>
  <c r="G294" i="98" s="1"/>
  <c r="G295" i="98" a="1"/>
  <c r="G295" i="98"/>
  <c r="G296" i="98" a="1"/>
  <c r="G296" i="98" s="1"/>
  <c r="G297" i="98" a="1"/>
  <c r="G297" i="98" s="1"/>
  <c r="G298" i="98" a="1"/>
  <c r="G298" i="98" s="1"/>
  <c r="G299" i="98" a="1"/>
  <c r="G299" i="98" s="1"/>
  <c r="G300" i="98" a="1"/>
  <c r="G300" i="98" s="1"/>
  <c r="G301" i="98" a="1"/>
  <c r="G301" i="98" s="1"/>
  <c r="G302" i="98" a="1"/>
  <c r="G302" i="98" s="1"/>
  <c r="G303" i="98" a="1"/>
  <c r="G303" i="98" s="1"/>
  <c r="G304" i="98" a="1"/>
  <c r="G304" i="98" s="1"/>
  <c r="G305" i="98" a="1"/>
  <c r="G305" i="98" s="1"/>
  <c r="G306" i="98" a="1"/>
  <c r="G306" i="98"/>
  <c r="G307" i="98" a="1"/>
  <c r="G307" i="98" s="1"/>
  <c r="G308" i="98" a="1"/>
  <c r="G308" i="98" s="1"/>
  <c r="G309" i="98" a="1"/>
  <c r="G309" i="98" s="1"/>
  <c r="G310" i="98" a="1"/>
  <c r="G310" i="98" s="1"/>
  <c r="G311" i="98" a="1"/>
  <c r="G311" i="98" s="1"/>
  <c r="G312" i="98" a="1"/>
  <c r="G312" i="98" s="1"/>
  <c r="G313" i="98" a="1"/>
  <c r="G313" i="98" s="1"/>
  <c r="G314" i="98" a="1"/>
  <c r="G314" i="98" s="1"/>
  <c r="G315" i="98" a="1"/>
  <c r="G315" i="98" s="1"/>
  <c r="G316" i="98" a="1"/>
  <c r="G316" i="98" s="1"/>
  <c r="G317" i="98" a="1"/>
  <c r="G317" i="98" s="1"/>
  <c r="G318" i="98" a="1"/>
  <c r="G318" i="98" s="1"/>
  <c r="G319" i="98" a="1"/>
  <c r="G319" i="98" s="1"/>
  <c r="G320" i="98" a="1"/>
  <c r="G320" i="98" s="1"/>
  <c r="G321" i="98" a="1"/>
  <c r="G321" i="98" s="1"/>
  <c r="G322" i="98" a="1"/>
  <c r="G322" i="98" s="1"/>
  <c r="G323" i="98" a="1"/>
  <c r="G323" i="98" s="1"/>
  <c r="G324" i="98" a="1"/>
  <c r="G324" i="98" s="1"/>
  <c r="G325" i="98" a="1"/>
  <c r="G325" i="98" s="1"/>
  <c r="G326" i="98" a="1"/>
  <c r="G326" i="98" s="1"/>
  <c r="G327" i="98" a="1"/>
  <c r="G327" i="98" s="1"/>
  <c r="G328" i="98" a="1"/>
  <c r="G328" i="98"/>
  <c r="G329" i="98" a="1"/>
  <c r="G329" i="98" s="1"/>
  <c r="G330" i="98" a="1"/>
  <c r="G330" i="98" s="1"/>
  <c r="G331" i="98" a="1"/>
  <c r="G331" i="98" s="1"/>
  <c r="G332" i="98" a="1"/>
  <c r="G332" i="98" s="1"/>
  <c r="G333" i="98" a="1"/>
  <c r="G333" i="98" s="1"/>
  <c r="G334" i="98" a="1"/>
  <c r="G334" i="98" s="1"/>
  <c r="G335" i="98" a="1"/>
  <c r="G335" i="98" s="1"/>
  <c r="G336" i="98" a="1"/>
  <c r="G336" i="98" s="1"/>
  <c r="G337" i="98" a="1"/>
  <c r="G337" i="98" s="1"/>
  <c r="G338" i="98" a="1"/>
  <c r="G338" i="98"/>
  <c r="G339" i="98" a="1"/>
  <c r="G339" i="98" s="1"/>
  <c r="G340" i="98" a="1"/>
  <c r="G340" i="98" s="1"/>
  <c r="G341" i="98" a="1"/>
  <c r="G341" i="98" s="1"/>
  <c r="G342" i="98" a="1"/>
  <c r="G342" i="98" s="1"/>
  <c r="G343" i="98" a="1"/>
  <c r="G343" i="98" s="1"/>
  <c r="G344" i="98" a="1"/>
  <c r="G344" i="98" s="1"/>
  <c r="G345" i="98" a="1"/>
  <c r="G345" i="98" s="1"/>
  <c r="G346" i="98" a="1"/>
  <c r="G346" i="98" s="1"/>
  <c r="G347" i="98" a="1"/>
  <c r="G347" i="98" s="1"/>
  <c r="G348" i="98" a="1"/>
  <c r="G348" i="98" s="1"/>
  <c r="G349" i="98" a="1"/>
  <c r="G349" i="98" s="1"/>
  <c r="G350" i="98" a="1"/>
  <c r="G350" i="98" s="1"/>
  <c r="G351" i="98" a="1"/>
  <c r="G351" i="98" s="1"/>
  <c r="G352" i="98" a="1"/>
  <c r="G352" i="98" s="1"/>
  <c r="G353" i="98" a="1"/>
  <c r="G353" i="98" s="1"/>
  <c r="G354" i="98" a="1"/>
  <c r="G354" i="98" s="1"/>
  <c r="G355" i="98" a="1"/>
  <c r="G355" i="98" s="1"/>
  <c r="G356" i="98" a="1"/>
  <c r="G356" i="98" s="1"/>
  <c r="G357" i="98" a="1"/>
  <c r="G357" i="98" s="1"/>
  <c r="G358" i="98" a="1"/>
  <c r="G358" i="98" s="1"/>
  <c r="G359" i="98" a="1"/>
  <c r="G359" i="98" s="1"/>
  <c r="G360" i="98" a="1"/>
  <c r="G360" i="98"/>
  <c r="G361" i="98" a="1"/>
  <c r="G361" i="98" s="1"/>
  <c r="G362" i="98" a="1"/>
  <c r="G362" i="98" s="1"/>
  <c r="G363" i="98" a="1"/>
  <c r="G363" i="98" s="1"/>
  <c r="G364" i="98" a="1"/>
  <c r="G364" i="98" s="1"/>
  <c r="G365" i="98" a="1"/>
  <c r="G365" i="98" s="1"/>
  <c r="G366" i="98" a="1"/>
  <c r="G366" i="98" s="1"/>
  <c r="G367" i="98" a="1"/>
  <c r="G367" i="98" s="1"/>
  <c r="G368" i="98" a="1"/>
  <c r="G368" i="98" s="1"/>
  <c r="G369" i="98" a="1"/>
  <c r="G369" i="98" s="1"/>
  <c r="G370" i="98" a="1"/>
  <c r="G370" i="98"/>
  <c r="G371" i="98" a="1"/>
  <c r="G371" i="98" s="1"/>
  <c r="G372" i="98" a="1"/>
  <c r="G372" i="98" s="1"/>
  <c r="G373" i="98" a="1"/>
  <c r="G373" i="98" s="1"/>
  <c r="G374" i="98" a="1"/>
  <c r="G374" i="98" s="1"/>
  <c r="G375" i="98" a="1"/>
  <c r="G375" i="98" s="1"/>
  <c r="G376" i="98" a="1"/>
  <c r="G376" i="98" s="1"/>
  <c r="G377" i="98" a="1"/>
  <c r="G377" i="98" s="1"/>
  <c r="G378" i="98" a="1"/>
  <c r="G378" i="98" s="1"/>
  <c r="G379" i="98" a="1"/>
  <c r="G379" i="98" s="1"/>
  <c r="G380" i="98" a="1"/>
  <c r="G380" i="98" s="1"/>
  <c r="G381" i="98" a="1"/>
  <c r="G381" i="98" s="1"/>
  <c r="G382" i="98" a="1"/>
  <c r="G382" i="98" s="1"/>
  <c r="G383" i="98" a="1"/>
  <c r="G383" i="98" s="1"/>
  <c r="G384" i="98" a="1"/>
  <c r="G384" i="98" s="1"/>
  <c r="G385" i="98" a="1"/>
  <c r="G385" i="98" s="1"/>
  <c r="G386" i="98" a="1"/>
  <c r="G386" i="98" s="1"/>
  <c r="G387" i="98" a="1"/>
  <c r="G387" i="98" s="1"/>
  <c r="G388" i="98" a="1"/>
  <c r="G388" i="98" s="1"/>
  <c r="G389" i="98" a="1"/>
  <c r="G389" i="98" s="1"/>
  <c r="G390" i="98" a="1"/>
  <c r="G390" i="98" s="1"/>
  <c r="G391" i="98" a="1"/>
  <c r="G391" i="98" s="1"/>
  <c r="G392" i="98" a="1"/>
  <c r="G392" i="98"/>
  <c r="G393" i="98" a="1"/>
  <c r="G393" i="98" s="1"/>
  <c r="G394" i="98" a="1"/>
  <c r="G394" i="98" s="1"/>
  <c r="G395" i="98" a="1"/>
  <c r="G395" i="98" s="1"/>
  <c r="G396" i="98" a="1"/>
  <c r="G396" i="98" s="1"/>
  <c r="G397" i="98" a="1"/>
  <c r="G397" i="98" s="1"/>
  <c r="G398" i="98" a="1"/>
  <c r="G398" i="98" s="1"/>
  <c r="G399" i="98" a="1"/>
  <c r="G399" i="98" s="1"/>
  <c r="G400" i="98" a="1"/>
  <c r="G400" i="98" s="1"/>
  <c r="G401" i="98" a="1"/>
  <c r="G401" i="98" s="1"/>
  <c r="G402" i="98" a="1"/>
  <c r="G402" i="98"/>
  <c r="G403" i="98" a="1"/>
  <c r="G403" i="98" s="1"/>
  <c r="G404" i="98" a="1"/>
  <c r="G404" i="98" s="1"/>
  <c r="G405" i="98" a="1"/>
  <c r="G405" i="98" s="1"/>
  <c r="G406" i="98" a="1"/>
  <c r="G406" i="98" s="1"/>
  <c r="G407" i="98" a="1"/>
  <c r="G407" i="98" s="1"/>
  <c r="G408" i="98" a="1"/>
  <c r="G408" i="98" s="1"/>
  <c r="G409" i="98" a="1"/>
  <c r="G409" i="98" s="1"/>
  <c r="G410" i="98" a="1"/>
  <c r="G410" i="98" s="1"/>
  <c r="G411" i="98" a="1"/>
  <c r="G411" i="98" s="1"/>
  <c r="G412" i="98" a="1"/>
  <c r="G412" i="98" s="1"/>
  <c r="G413" i="98" a="1"/>
  <c r="G413" i="98" s="1"/>
  <c r="G414" i="98" a="1"/>
  <c r="G414" i="98" s="1"/>
  <c r="G415" i="98" a="1"/>
  <c r="G415" i="98" s="1"/>
  <c r="G416" i="98" a="1"/>
  <c r="G416" i="98" s="1"/>
  <c r="G417" i="98" a="1"/>
  <c r="G417" i="98" s="1"/>
  <c r="G418" i="98" a="1"/>
  <c r="G418" i="98" s="1"/>
  <c r="G419" i="98" a="1"/>
  <c r="G419" i="98" s="1"/>
  <c r="G420" i="98" a="1"/>
  <c r="G420" i="98" s="1"/>
  <c r="G421" i="98" a="1"/>
  <c r="G421" i="98" s="1"/>
  <c r="G422" i="98" a="1"/>
  <c r="G422" i="98" s="1"/>
  <c r="G423" i="98" a="1"/>
  <c r="G423" i="98" s="1"/>
  <c r="G424" i="98" a="1"/>
  <c r="G424" i="98"/>
  <c r="G425" i="98" a="1"/>
  <c r="G425" i="98" s="1"/>
  <c r="G426" i="98" a="1"/>
  <c r="G426" i="98" s="1"/>
  <c r="G427" i="98" a="1"/>
  <c r="G427" i="98" s="1"/>
  <c r="G428" i="98" a="1"/>
  <c r="G428" i="98" s="1"/>
  <c r="G429" i="98" a="1"/>
  <c r="G429" i="98" s="1"/>
  <c r="G430" i="98" a="1"/>
  <c r="G430" i="98" s="1"/>
  <c r="G431" i="98" a="1"/>
  <c r="G431" i="98" s="1"/>
  <c r="G432" i="98" a="1"/>
  <c r="G432" i="98" s="1"/>
  <c r="G433" i="98" a="1"/>
  <c r="G433" i="98" s="1"/>
  <c r="G434" i="98" a="1"/>
  <c r="G434" i="98"/>
  <c r="G435" i="98" a="1"/>
  <c r="G435" i="98" s="1"/>
  <c r="G436" i="98" a="1"/>
  <c r="G436" i="98" s="1"/>
  <c r="G437" i="98" a="1"/>
  <c r="G437" i="98" s="1"/>
  <c r="G438" i="98" a="1"/>
  <c r="G438" i="98" s="1"/>
  <c r="G439" i="98" a="1"/>
  <c r="G439" i="98" s="1"/>
  <c r="G440" i="98" a="1"/>
  <c r="G440" i="98" s="1"/>
  <c r="G441" i="98" a="1"/>
  <c r="G441" i="98" s="1"/>
  <c r="G442" i="98" a="1"/>
  <c r="G442" i="98" s="1"/>
  <c r="G443" i="98" a="1"/>
  <c r="G443" i="98" s="1"/>
  <c r="K443" i="98" s="1"/>
  <c r="G444" i="98" a="1"/>
  <c r="G444" i="98" s="1"/>
  <c r="G445" i="98" a="1"/>
  <c r="G445" i="98" s="1"/>
  <c r="G446" i="98" a="1"/>
  <c r="G446" i="98" s="1"/>
  <c r="G447" i="98" a="1"/>
  <c r="G447" i="98" s="1"/>
  <c r="G448" i="98" a="1"/>
  <c r="G448" i="98" s="1"/>
  <c r="G449" i="98" a="1"/>
  <c r="G449" i="98" s="1"/>
  <c r="G450" i="98" a="1"/>
  <c r="G450" i="98" s="1"/>
  <c r="G451" i="98" a="1"/>
  <c r="G451" i="98" s="1"/>
  <c r="G452" i="98" a="1"/>
  <c r="G452" i="98" s="1"/>
  <c r="G453" i="98" a="1"/>
  <c r="G453" i="98" s="1"/>
  <c r="G454" i="98" a="1"/>
  <c r="G454" i="98" s="1"/>
  <c r="G455" i="98" a="1"/>
  <c r="G455" i="98" s="1"/>
  <c r="G456" i="98" a="1"/>
  <c r="G456" i="98"/>
  <c r="G457" i="98" a="1"/>
  <c r="G457" i="98" s="1"/>
  <c r="G458" i="98" a="1"/>
  <c r="G458" i="98" s="1"/>
  <c r="G459" i="98" a="1"/>
  <c r="G459" i="98" s="1"/>
  <c r="G460" i="98" a="1"/>
  <c r="G460" i="98" s="1"/>
  <c r="G461" i="98" a="1"/>
  <c r="G461" i="98" s="1"/>
  <c r="G462" i="98" a="1"/>
  <c r="G462" i="98" s="1"/>
  <c r="G463" i="98" a="1"/>
  <c r="G463" i="98" s="1"/>
  <c r="G464" i="98" a="1"/>
  <c r="G464" i="98" s="1"/>
  <c r="G465" i="98" a="1"/>
  <c r="G465" i="98" s="1"/>
  <c r="G466" i="98" a="1"/>
  <c r="G466" i="98"/>
  <c r="G467" i="98" a="1"/>
  <c r="G467" i="98" s="1"/>
  <c r="G468" i="98" a="1"/>
  <c r="G468" i="98" s="1"/>
  <c r="G469" i="98" a="1"/>
  <c r="G469" i="98" s="1"/>
  <c r="G470" i="98" a="1"/>
  <c r="G470" i="98" s="1"/>
  <c r="G471" i="98" a="1"/>
  <c r="G471" i="98" s="1"/>
  <c r="G472" i="98" a="1"/>
  <c r="G472" i="98" s="1"/>
  <c r="G473" i="98" a="1"/>
  <c r="G473" i="98" s="1"/>
  <c r="G474" i="98" a="1"/>
  <c r="G474" i="98" s="1"/>
  <c r="G475" i="98" a="1"/>
  <c r="G475" i="98" s="1"/>
  <c r="G476" i="98" a="1"/>
  <c r="G476" i="98" s="1"/>
  <c r="G477" i="98" a="1"/>
  <c r="G477" i="98" s="1"/>
  <c r="G478" i="98" a="1"/>
  <c r="G478" i="98" s="1"/>
  <c r="G479" i="98" a="1"/>
  <c r="G479" i="98" s="1"/>
  <c r="G480" i="98" a="1"/>
  <c r="G480" i="98" s="1"/>
  <c r="G481" i="98" a="1"/>
  <c r="G481" i="98" s="1"/>
  <c r="G482" i="98" a="1"/>
  <c r="G482" i="98" s="1"/>
  <c r="G483" i="98" a="1"/>
  <c r="G483" i="98" s="1"/>
  <c r="G484" i="98" a="1"/>
  <c r="G484" i="98" s="1"/>
  <c r="G485" i="98" a="1"/>
  <c r="G485" i="98" s="1"/>
  <c r="G486" i="98" a="1"/>
  <c r="G486" i="98" s="1"/>
  <c r="G487" i="98" a="1"/>
  <c r="G487" i="98" s="1"/>
  <c r="G488" i="98" a="1"/>
  <c r="G488" i="98"/>
  <c r="G489" i="98" a="1"/>
  <c r="G489" i="98" s="1"/>
  <c r="G490" i="98" a="1"/>
  <c r="G490" i="98" s="1"/>
  <c r="G491" i="98" a="1"/>
  <c r="G491" i="98" s="1"/>
  <c r="G492" i="98" a="1"/>
  <c r="G492" i="98" s="1"/>
  <c r="G493" i="98" a="1"/>
  <c r="G493" i="98" s="1"/>
  <c r="G494" i="98" a="1"/>
  <c r="G494" i="98" s="1"/>
  <c r="G495" i="98" a="1"/>
  <c r="G495" i="98" s="1"/>
  <c r="G496" i="98" a="1"/>
  <c r="G496" i="98" s="1"/>
  <c r="G497" i="98" a="1"/>
  <c r="G497" i="98" s="1"/>
  <c r="G498" i="98" a="1"/>
  <c r="G498" i="98"/>
  <c r="G499" i="98" a="1"/>
  <c r="G499" i="98" s="1"/>
  <c r="G500" i="98" a="1"/>
  <c r="G500" i="98" s="1"/>
  <c r="G501" i="98" a="1"/>
  <c r="G501" i="98" s="1"/>
  <c r="F2" i="61" a="1"/>
  <c r="F2" i="61" s="1"/>
  <c r="F3" i="61" a="1"/>
  <c r="F3" i="61"/>
  <c r="F4" i="61" a="1"/>
  <c r="F4" i="61" s="1"/>
  <c r="F5" i="61" a="1"/>
  <c r="F5" i="61"/>
  <c r="F6" i="61" a="1"/>
  <c r="F6" i="61" s="1"/>
  <c r="F7" i="61" a="1"/>
  <c r="F7" i="61"/>
  <c r="F8" i="61" a="1"/>
  <c r="F8" i="61" s="1"/>
  <c r="F9" i="61" a="1"/>
  <c r="F9" i="61"/>
  <c r="F10" i="61" a="1"/>
  <c r="F10" i="61" s="1"/>
  <c r="F11" i="61" a="1"/>
  <c r="F11" i="61"/>
  <c r="F12" i="61" a="1"/>
  <c r="F12" i="61" s="1"/>
  <c r="F13" i="61" a="1"/>
  <c r="F13" i="61"/>
  <c r="F14" i="61" a="1"/>
  <c r="F14" i="61" s="1"/>
  <c r="F15" i="61" a="1"/>
  <c r="F15" i="61"/>
  <c r="F16" i="61" a="1"/>
  <c r="F16" i="61" s="1"/>
  <c r="F17" i="61" a="1"/>
  <c r="F17" i="61"/>
  <c r="F18" i="61" a="1"/>
  <c r="F18" i="61" s="1"/>
  <c r="F19" i="61" a="1"/>
  <c r="F19" i="61" s="1"/>
  <c r="F20" i="61" a="1"/>
  <c r="F20" i="61" s="1"/>
  <c r="F21" i="61" a="1"/>
  <c r="F21" i="61"/>
  <c r="F22" i="61" a="1"/>
  <c r="F22" i="61" s="1"/>
  <c r="F23" i="61" a="1"/>
  <c r="F23" i="61" s="1"/>
  <c r="F24" i="61" a="1"/>
  <c r="F24" i="61" s="1"/>
  <c r="F25" i="61" a="1"/>
  <c r="F25" i="61" s="1"/>
  <c r="F26" i="61" a="1"/>
  <c r="F26" i="61" s="1"/>
  <c r="F27" i="61" a="1"/>
  <c r="F27" i="61" s="1"/>
  <c r="F28" i="61" a="1"/>
  <c r="F28" i="61" s="1"/>
  <c r="F29" i="61" a="1"/>
  <c r="F29" i="61" s="1"/>
  <c r="F30" i="61" a="1"/>
  <c r="F30" i="61" s="1"/>
  <c r="F31" i="61" a="1"/>
  <c r="F31" i="61" s="1"/>
  <c r="F32" i="61" a="1"/>
  <c r="F32" i="61" s="1"/>
  <c r="F33" i="61" a="1"/>
  <c r="F33" i="61" s="1"/>
  <c r="F34" i="61" a="1"/>
  <c r="F34" i="61" s="1"/>
  <c r="F35" i="61" a="1"/>
  <c r="F35" i="61" s="1"/>
  <c r="F36" i="61" a="1"/>
  <c r="F36" i="61" s="1"/>
  <c r="F37" i="61" a="1"/>
  <c r="F37" i="61" s="1"/>
  <c r="F38" i="61" a="1"/>
  <c r="F38" i="61" s="1"/>
  <c r="F39" i="61" a="1"/>
  <c r="F39" i="61" s="1"/>
  <c r="F40" i="61" a="1"/>
  <c r="F40" i="61" s="1"/>
  <c r="F41" i="61" a="1"/>
  <c r="F41" i="61" s="1"/>
  <c r="F42" i="61" a="1"/>
  <c r="F42" i="61" s="1"/>
  <c r="F43" i="61" a="1"/>
  <c r="F43" i="61" s="1"/>
  <c r="F44" i="61" a="1"/>
  <c r="F44" i="61" s="1"/>
  <c r="F45" i="61" a="1"/>
  <c r="F45" i="61" s="1"/>
  <c r="F46" i="61" a="1"/>
  <c r="F46" i="61" s="1"/>
  <c r="F47" i="61" a="1"/>
  <c r="F47" i="61"/>
  <c r="F48" i="61" a="1"/>
  <c r="F48" i="61" s="1"/>
  <c r="F49" i="61" a="1"/>
  <c r="F49" i="61" s="1"/>
  <c r="F50" i="61" a="1"/>
  <c r="F50" i="61" s="1"/>
  <c r="F51" i="61" a="1"/>
  <c r="F51" i="61" s="1"/>
  <c r="F52" i="61" a="1"/>
  <c r="F52" i="61" s="1"/>
  <c r="F53" i="61" a="1"/>
  <c r="F53" i="61" s="1"/>
  <c r="F54" i="61" a="1"/>
  <c r="F54" i="61" s="1"/>
  <c r="F55" i="61" a="1"/>
  <c r="F55" i="61"/>
  <c r="F56" i="61" a="1"/>
  <c r="F56" i="61" s="1"/>
  <c r="F57" i="61" a="1"/>
  <c r="F57" i="61" s="1"/>
  <c r="F58" i="61" a="1"/>
  <c r="F58" i="61" s="1"/>
  <c r="F59" i="61" a="1"/>
  <c r="F59" i="61" s="1"/>
  <c r="F60" i="61" a="1"/>
  <c r="F60" i="61" s="1"/>
  <c r="F61" i="61" a="1"/>
  <c r="F61" i="61" s="1"/>
  <c r="F62" i="61" a="1"/>
  <c r="F62" i="61" s="1"/>
  <c r="F63" i="61" a="1"/>
  <c r="F63" i="61"/>
  <c r="F64" i="61" a="1"/>
  <c r="F64" i="61" s="1"/>
  <c r="F65" i="61" a="1"/>
  <c r="F65" i="61" s="1"/>
  <c r="F66" i="61" a="1"/>
  <c r="F66" i="61" s="1"/>
  <c r="F67" i="61" a="1"/>
  <c r="F67" i="61" s="1"/>
  <c r="F68" i="61" a="1"/>
  <c r="F68" i="61" s="1"/>
  <c r="F69" i="61" a="1"/>
  <c r="F69" i="61" s="1"/>
  <c r="F70" i="61" a="1"/>
  <c r="F70" i="61" s="1"/>
  <c r="F71" i="61" a="1"/>
  <c r="F71" i="61"/>
  <c r="F72" i="61" a="1"/>
  <c r="F72" i="61" s="1"/>
  <c r="F73" i="61" a="1"/>
  <c r="F73" i="61" s="1"/>
  <c r="F74" i="61" a="1"/>
  <c r="F74" i="61" s="1"/>
  <c r="F75" i="61" a="1"/>
  <c r="F75" i="61" s="1"/>
  <c r="F76" i="61" a="1"/>
  <c r="F76" i="61" s="1"/>
  <c r="F77" i="61" a="1"/>
  <c r="F77" i="61" s="1"/>
  <c r="F78" i="61" a="1"/>
  <c r="F78" i="61" s="1"/>
  <c r="F79" i="61" a="1"/>
  <c r="F79" i="61"/>
  <c r="F80" i="61" a="1"/>
  <c r="F80" i="61" s="1"/>
  <c r="F81" i="61" a="1"/>
  <c r="F81" i="61" s="1"/>
  <c r="F82" i="61" a="1"/>
  <c r="F82" i="61" s="1"/>
  <c r="F83" i="61" a="1"/>
  <c r="F83" i="61" s="1"/>
  <c r="F84" i="61" a="1"/>
  <c r="F84" i="61" s="1"/>
  <c r="F85" i="61" a="1"/>
  <c r="F85" i="61" s="1"/>
  <c r="F86" i="61" a="1"/>
  <c r="F86" i="61" s="1"/>
  <c r="F87" i="61" a="1"/>
  <c r="F87" i="61"/>
  <c r="F88" i="61" a="1"/>
  <c r="F88" i="61" s="1"/>
  <c r="F89" i="61" a="1"/>
  <c r="F89" i="61" s="1"/>
  <c r="F90" i="61" a="1"/>
  <c r="F90" i="61" s="1"/>
  <c r="F91" i="61" a="1"/>
  <c r="F91" i="61" s="1"/>
  <c r="F92" i="61" a="1"/>
  <c r="F92" i="61" s="1"/>
  <c r="F93" i="61" a="1"/>
  <c r="F93" i="61" s="1"/>
  <c r="F94" i="61" a="1"/>
  <c r="F94" i="61" s="1"/>
  <c r="F95" i="61" a="1"/>
  <c r="F95" i="61"/>
  <c r="F96" i="61" a="1"/>
  <c r="F96" i="61" s="1"/>
  <c r="F97" i="61" a="1"/>
  <c r="F97" i="61" s="1"/>
  <c r="F98" i="61" a="1"/>
  <c r="F98" i="61" s="1"/>
  <c r="F99" i="61" a="1"/>
  <c r="F99" i="61" s="1"/>
  <c r="F100" i="61" a="1"/>
  <c r="F100" i="61" s="1"/>
  <c r="F101" i="61" a="1"/>
  <c r="F101" i="61" s="1"/>
  <c r="F102" i="61" a="1"/>
  <c r="F102" i="61" s="1"/>
  <c r="F103" i="61" a="1"/>
  <c r="F103" i="61"/>
  <c r="F104" i="61" a="1"/>
  <c r="F104" i="61" s="1"/>
  <c r="F105" i="61" a="1"/>
  <c r="F105" i="61" s="1"/>
  <c r="F106" i="61" a="1"/>
  <c r="F106" i="61" s="1"/>
  <c r="F107" i="61" a="1"/>
  <c r="F107" i="61" s="1"/>
  <c r="F108" i="61" a="1"/>
  <c r="F108" i="61" s="1"/>
  <c r="F109" i="61" a="1"/>
  <c r="F109" i="61" s="1"/>
  <c r="F110" i="61" a="1"/>
  <c r="F110" i="61" s="1"/>
  <c r="F111" i="61" a="1"/>
  <c r="F111" i="61"/>
  <c r="F112" i="61" a="1"/>
  <c r="F112" i="61" s="1"/>
  <c r="F113" i="61" a="1"/>
  <c r="F113" i="61" s="1"/>
  <c r="F114" i="61" a="1"/>
  <c r="F114" i="61" s="1"/>
  <c r="F115" i="61" a="1"/>
  <c r="F115" i="61" s="1"/>
  <c r="F116" i="61" a="1"/>
  <c r="F116" i="61" s="1"/>
  <c r="F117" i="61" a="1"/>
  <c r="F117" i="61" s="1"/>
  <c r="F118" i="61" a="1"/>
  <c r="F118" i="61" s="1"/>
  <c r="F119" i="61" a="1"/>
  <c r="F119" i="61"/>
  <c r="F120" i="61" a="1"/>
  <c r="F120" i="61" s="1"/>
  <c r="F121" i="61" a="1"/>
  <c r="F121" i="61" s="1"/>
  <c r="F122" i="61" a="1"/>
  <c r="F122" i="61" s="1"/>
  <c r="F123" i="61" a="1"/>
  <c r="F123" i="61"/>
  <c r="F124" i="61" a="1"/>
  <c r="F124" i="61" s="1"/>
  <c r="F125" i="61" a="1"/>
  <c r="F125" i="61" s="1"/>
  <c r="F126" i="61" a="1"/>
  <c r="F126" i="61" s="1"/>
  <c r="F127" i="61" a="1"/>
  <c r="F127" i="61"/>
  <c r="F128" i="61" a="1"/>
  <c r="F128" i="61" s="1"/>
  <c r="F129" i="61" a="1"/>
  <c r="F129" i="61" s="1"/>
  <c r="F130" i="61" a="1"/>
  <c r="F130" i="61" s="1"/>
  <c r="F131" i="61" a="1"/>
  <c r="F131" i="61"/>
  <c r="F132" i="61" a="1"/>
  <c r="F132" i="61" s="1"/>
  <c r="F133" i="61" a="1"/>
  <c r="F133" i="61" s="1"/>
  <c r="F134" i="61" a="1"/>
  <c r="F134" i="61" s="1"/>
  <c r="F135" i="61" a="1"/>
  <c r="F135" i="61"/>
  <c r="F136" i="61" a="1"/>
  <c r="F136" i="61" s="1"/>
  <c r="F137" i="61" a="1"/>
  <c r="F137" i="61" s="1"/>
  <c r="F138" i="61" a="1"/>
  <c r="F138" i="61" s="1"/>
  <c r="F139" i="61" a="1"/>
  <c r="F139" i="61"/>
  <c r="F140" i="61" a="1"/>
  <c r="F140" i="61" s="1"/>
  <c r="F141" i="61" a="1"/>
  <c r="F141" i="61" s="1"/>
  <c r="F142" i="61" a="1"/>
  <c r="F142" i="61" s="1"/>
  <c r="F143" i="61" a="1"/>
  <c r="F143" i="61"/>
  <c r="F144" i="61" a="1"/>
  <c r="F144" i="61" s="1"/>
  <c r="F145" i="61" a="1"/>
  <c r="F145" i="61" s="1"/>
  <c r="F146" i="61" a="1"/>
  <c r="F146" i="61" s="1"/>
  <c r="F147" i="61" a="1"/>
  <c r="F147" i="61"/>
  <c r="F148" i="61" a="1"/>
  <c r="F148" i="61" s="1"/>
  <c r="F149" i="61" a="1"/>
  <c r="F149" i="61" s="1"/>
  <c r="F150" i="61" a="1"/>
  <c r="F150" i="61" s="1"/>
  <c r="F151" i="61" a="1"/>
  <c r="F151" i="61"/>
  <c r="F152" i="61" a="1"/>
  <c r="F152" i="61" s="1"/>
  <c r="F153" i="61" a="1"/>
  <c r="F153" i="61" s="1"/>
  <c r="F154" i="61" a="1"/>
  <c r="F154" i="61" s="1"/>
  <c r="F155" i="61" a="1"/>
  <c r="F155" i="61"/>
  <c r="F156" i="61" a="1"/>
  <c r="F156" i="61" s="1"/>
  <c r="F157" i="61" a="1"/>
  <c r="F157" i="61" s="1"/>
  <c r="F158" i="61" a="1"/>
  <c r="F158" i="61" s="1"/>
  <c r="F159" i="61" a="1"/>
  <c r="F159" i="61"/>
  <c r="F160" i="61" a="1"/>
  <c r="F160" i="61" s="1"/>
  <c r="F161" i="61" a="1"/>
  <c r="F161" i="61" s="1"/>
  <c r="F162" i="61" a="1"/>
  <c r="F162" i="61" s="1"/>
  <c r="F163" i="61" a="1"/>
  <c r="F163" i="61"/>
  <c r="F164" i="61" a="1"/>
  <c r="F164" i="61" s="1"/>
  <c r="F165" i="61" a="1"/>
  <c r="F165" i="61" s="1"/>
  <c r="F166" i="61" a="1"/>
  <c r="F166" i="61" s="1"/>
  <c r="F167" i="61" a="1"/>
  <c r="F167" i="61"/>
  <c r="F168" i="61" a="1"/>
  <c r="F168" i="61" s="1"/>
  <c r="F169" i="61" a="1"/>
  <c r="F169" i="61" s="1"/>
  <c r="F170" i="61" a="1"/>
  <c r="F170" i="61" s="1"/>
  <c r="F171" i="61" a="1"/>
  <c r="F171" i="61"/>
  <c r="F172" i="61" a="1"/>
  <c r="F172" i="61"/>
  <c r="F173" i="61" a="1"/>
  <c r="F173" i="61" s="1"/>
  <c r="F174" i="61" a="1"/>
  <c r="F174" i="61" s="1"/>
  <c r="F175" i="61" a="1"/>
  <c r="F175" i="61" s="1"/>
  <c r="F176" i="61" a="1"/>
  <c r="F176" i="61" s="1"/>
  <c r="F177" i="61" a="1"/>
  <c r="F177" i="61" s="1"/>
  <c r="F178" i="61" a="1"/>
  <c r="F178" i="61" s="1"/>
  <c r="F179" i="61" a="1"/>
  <c r="F179" i="61" s="1"/>
  <c r="F180" i="61" a="1"/>
  <c r="F180" i="61" s="1"/>
  <c r="F181" i="61" a="1"/>
  <c r="F181" i="61" s="1"/>
  <c r="F182" i="61" a="1"/>
  <c r="F182" i="61" s="1"/>
  <c r="F183" i="61" a="1"/>
  <c r="F183" i="61" s="1"/>
  <c r="F184" i="61" a="1"/>
  <c r="F184" i="61" s="1"/>
  <c r="F185" i="61" a="1"/>
  <c r="F185" i="61" s="1"/>
  <c r="F186" i="61" a="1"/>
  <c r="F186" i="61" s="1"/>
  <c r="F187" i="61" a="1"/>
  <c r="F187" i="61" s="1"/>
  <c r="F188" i="61" a="1"/>
  <c r="F188" i="61" s="1"/>
  <c r="F189" i="61" a="1"/>
  <c r="F189" i="61" s="1"/>
  <c r="F190" i="61" a="1"/>
  <c r="F190" i="61" s="1"/>
  <c r="F191" i="61" a="1"/>
  <c r="F191" i="61" s="1"/>
  <c r="F192" i="61" a="1"/>
  <c r="F192" i="61" s="1"/>
  <c r="F193" i="61" a="1"/>
  <c r="F193" i="61" s="1"/>
  <c r="F194" i="61" a="1"/>
  <c r="F194" i="61" s="1"/>
  <c r="F195" i="61" a="1"/>
  <c r="F195" i="61" s="1"/>
  <c r="F196" i="61" a="1"/>
  <c r="F196" i="61" s="1"/>
  <c r="F197" i="61" a="1"/>
  <c r="F197" i="61" s="1"/>
  <c r="F198" i="61" a="1"/>
  <c r="F198" i="61" s="1"/>
  <c r="F199" i="61" a="1"/>
  <c r="F199" i="61" s="1"/>
  <c r="F200" i="61" a="1"/>
  <c r="F200" i="61" s="1"/>
  <c r="F201" i="61" a="1"/>
  <c r="F201" i="61" s="1"/>
  <c r="F202" i="61" a="1"/>
  <c r="F202" i="61" s="1"/>
  <c r="F203" i="61" a="1"/>
  <c r="F203" i="61" s="1"/>
  <c r="F204" i="61" a="1"/>
  <c r="F204" i="61" s="1"/>
  <c r="F205" i="61" a="1"/>
  <c r="F205" i="61" s="1"/>
  <c r="F206" i="61" a="1"/>
  <c r="F206" i="61" s="1"/>
  <c r="F207" i="61" a="1"/>
  <c r="F207" i="61" s="1"/>
  <c r="F208" i="61" a="1"/>
  <c r="F208" i="61" s="1"/>
  <c r="F209" i="61" a="1"/>
  <c r="F209" i="61" s="1"/>
  <c r="F210" i="61" a="1"/>
  <c r="F210" i="61" s="1"/>
  <c r="F211" i="61" a="1"/>
  <c r="F211" i="61" s="1"/>
  <c r="F212" i="61" a="1"/>
  <c r="F212" i="61" s="1"/>
  <c r="F213" i="61" a="1"/>
  <c r="F213" i="61" s="1"/>
  <c r="F214" i="61" a="1"/>
  <c r="F214" i="61" s="1"/>
  <c r="F215" i="61" a="1"/>
  <c r="F215" i="61" s="1"/>
  <c r="F216" i="61" a="1"/>
  <c r="F216" i="61" s="1"/>
  <c r="F217" i="61" a="1"/>
  <c r="F217" i="61" s="1"/>
  <c r="F218" i="61" a="1"/>
  <c r="F218" i="61" s="1"/>
  <c r="F219" i="61" a="1"/>
  <c r="F219" i="61" s="1"/>
  <c r="F220" i="61" a="1"/>
  <c r="F220" i="61" s="1"/>
  <c r="F221" i="61" a="1"/>
  <c r="F221" i="61" s="1"/>
  <c r="F222" i="61" a="1"/>
  <c r="F222" i="61" s="1"/>
  <c r="F223" i="61" a="1"/>
  <c r="F223" i="61" s="1"/>
  <c r="F224" i="61" a="1"/>
  <c r="F224" i="61" s="1"/>
  <c r="F225" i="61" a="1"/>
  <c r="F225" i="61" s="1"/>
  <c r="F226" i="61" a="1"/>
  <c r="F226" i="61" s="1"/>
  <c r="F227" i="61" a="1"/>
  <c r="F227" i="61" s="1"/>
  <c r="F228" i="61" a="1"/>
  <c r="F228" i="61" s="1"/>
  <c r="F229" i="61" a="1"/>
  <c r="F229" i="61" s="1"/>
  <c r="F230" i="61" a="1"/>
  <c r="F230" i="61" s="1"/>
  <c r="F231" i="61" a="1"/>
  <c r="F231" i="61" s="1"/>
  <c r="F232" i="61" a="1"/>
  <c r="F232" i="61" s="1"/>
  <c r="F233" i="61" a="1"/>
  <c r="F233" i="61" s="1"/>
  <c r="F234" i="61" a="1"/>
  <c r="F234" i="61" s="1"/>
  <c r="F235" i="61" a="1"/>
  <c r="F235" i="61" s="1"/>
  <c r="F236" i="61" a="1"/>
  <c r="F236" i="61" s="1"/>
  <c r="F237" i="61" a="1"/>
  <c r="F237" i="61" s="1"/>
  <c r="F238" i="61" a="1"/>
  <c r="F238" i="61" s="1"/>
  <c r="F239" i="61" a="1"/>
  <c r="F239" i="61" s="1"/>
  <c r="F240" i="61" a="1"/>
  <c r="F240" i="61" s="1"/>
  <c r="F241" i="61" a="1"/>
  <c r="F241" i="61" s="1"/>
  <c r="F242" i="61" a="1"/>
  <c r="F242" i="61" s="1"/>
  <c r="F243" i="61" a="1"/>
  <c r="F243" i="61" s="1"/>
  <c r="F244" i="61" a="1"/>
  <c r="F244" i="61" s="1"/>
  <c r="F245" i="61" a="1"/>
  <c r="F245" i="61" s="1"/>
  <c r="F246" i="61" a="1"/>
  <c r="F246" i="61" s="1"/>
  <c r="F247" i="61" a="1"/>
  <c r="F247" i="61" s="1"/>
  <c r="F248" i="61" a="1"/>
  <c r="F248" i="61" s="1"/>
  <c r="F249" i="61" a="1"/>
  <c r="F249" i="61" s="1"/>
  <c r="F250" i="61" a="1"/>
  <c r="F250" i="61" s="1"/>
  <c r="F251" i="61" a="1"/>
  <c r="F251" i="61" s="1"/>
  <c r="F252" i="61" a="1"/>
  <c r="F252" i="61" s="1"/>
  <c r="F253" i="61" a="1"/>
  <c r="F253" i="61" s="1"/>
  <c r="F254" i="61" a="1"/>
  <c r="F254" i="61" s="1"/>
  <c r="F255" i="61" a="1"/>
  <c r="F255" i="61" s="1"/>
  <c r="F256" i="61" a="1"/>
  <c r="F256" i="61" s="1"/>
  <c r="F257" i="61" a="1"/>
  <c r="F257" i="61" s="1"/>
  <c r="F258" i="61" a="1"/>
  <c r="F258" i="61" s="1"/>
  <c r="F259" i="61" a="1"/>
  <c r="F259" i="61" s="1"/>
  <c r="F260" i="61" a="1"/>
  <c r="F260" i="61" s="1"/>
  <c r="F261" i="61" a="1"/>
  <c r="F261" i="61" s="1"/>
  <c r="F262" i="61" a="1"/>
  <c r="F262" i="61" s="1"/>
  <c r="F263" i="61" a="1"/>
  <c r="F263" i="61" s="1"/>
  <c r="F264" i="61" a="1"/>
  <c r="F264" i="61" s="1"/>
  <c r="F265" i="61" a="1"/>
  <c r="F265" i="61" s="1"/>
  <c r="F266" i="61" a="1"/>
  <c r="F266" i="61" s="1"/>
  <c r="F267" i="61" a="1"/>
  <c r="F267" i="61" s="1"/>
  <c r="F268" i="61" a="1"/>
  <c r="F268" i="61" s="1"/>
  <c r="F269" i="61" a="1"/>
  <c r="F269" i="61" s="1"/>
  <c r="F270" i="61" a="1"/>
  <c r="F270" i="61" s="1"/>
  <c r="F271" i="61" a="1"/>
  <c r="F271" i="61" s="1"/>
  <c r="F272" i="61" a="1"/>
  <c r="F272" i="61" s="1"/>
  <c r="F273" i="61" a="1"/>
  <c r="F273" i="61" s="1"/>
  <c r="F274" i="61" a="1"/>
  <c r="F274" i="61" s="1"/>
  <c r="F275" i="61" a="1"/>
  <c r="F275" i="61" s="1"/>
  <c r="F276" i="61" a="1"/>
  <c r="F276" i="61" s="1"/>
  <c r="F277" i="61" a="1"/>
  <c r="F277" i="61" s="1"/>
  <c r="F278" i="61" a="1"/>
  <c r="F278" i="61" s="1"/>
  <c r="F279" i="61" a="1"/>
  <c r="F279" i="61" s="1"/>
  <c r="F280" i="61" a="1"/>
  <c r="F280" i="61" s="1"/>
  <c r="F281" i="61" a="1"/>
  <c r="F281" i="61" s="1"/>
  <c r="F282" i="61" a="1"/>
  <c r="F282" i="61" s="1"/>
  <c r="F283" i="61" a="1"/>
  <c r="F283" i="61" s="1"/>
  <c r="F284" i="61" a="1"/>
  <c r="F284" i="61" s="1"/>
  <c r="F285" i="61" a="1"/>
  <c r="F285" i="61" s="1"/>
  <c r="F286" i="61" a="1"/>
  <c r="F286" i="61" s="1"/>
  <c r="F287" i="61" a="1"/>
  <c r="F287" i="61" s="1"/>
  <c r="F288" i="61" a="1"/>
  <c r="F288" i="61" s="1"/>
  <c r="F289" i="61" a="1"/>
  <c r="F289" i="61" s="1"/>
  <c r="F290" i="61" a="1"/>
  <c r="F290" i="61" s="1"/>
  <c r="F291" i="61" a="1"/>
  <c r="F291" i="61" s="1"/>
  <c r="F292" i="61" a="1"/>
  <c r="F292" i="61" s="1"/>
  <c r="F293" i="61" a="1"/>
  <c r="F293" i="61" s="1"/>
  <c r="F294" i="61" a="1"/>
  <c r="F294" i="61" s="1"/>
  <c r="F295" i="61" a="1"/>
  <c r="F295" i="61" s="1"/>
  <c r="F296" i="61" a="1"/>
  <c r="F296" i="61" s="1"/>
  <c r="F297" i="61" a="1"/>
  <c r="F297" i="61" s="1"/>
  <c r="F298" i="61" a="1"/>
  <c r="F298" i="61" s="1"/>
  <c r="F299" i="61" a="1"/>
  <c r="F299" i="61" s="1"/>
  <c r="F300" i="61" a="1"/>
  <c r="F300" i="61" s="1"/>
  <c r="F301" i="61" a="1"/>
  <c r="F301" i="61" s="1"/>
  <c r="F302" i="61" a="1"/>
  <c r="F302" i="61" s="1"/>
  <c r="F303" i="61" a="1"/>
  <c r="F303" i="61" s="1"/>
  <c r="F304" i="61" a="1"/>
  <c r="F304" i="61" s="1"/>
  <c r="F305" i="61" a="1"/>
  <c r="F305" i="61" s="1"/>
  <c r="F306" i="61" a="1"/>
  <c r="F306" i="61" s="1"/>
  <c r="F307" i="61" a="1"/>
  <c r="F307" i="61" s="1"/>
  <c r="F308" i="61" a="1"/>
  <c r="F308" i="61" s="1"/>
  <c r="F309" i="61" a="1"/>
  <c r="F309" i="61" s="1"/>
  <c r="F310" i="61" a="1"/>
  <c r="F310" i="61" s="1"/>
  <c r="F311" i="61" a="1"/>
  <c r="F311" i="61" s="1"/>
  <c r="F312" i="61" a="1"/>
  <c r="F312" i="61" s="1"/>
  <c r="F313" i="61" a="1"/>
  <c r="F313" i="61" s="1"/>
  <c r="F314" i="61" a="1"/>
  <c r="F314" i="61" s="1"/>
  <c r="F315" i="61" a="1"/>
  <c r="F315" i="61" s="1"/>
  <c r="F316" i="61" a="1"/>
  <c r="F316" i="61" s="1"/>
  <c r="F317" i="61" a="1"/>
  <c r="F317" i="61" s="1"/>
  <c r="F318" i="61" a="1"/>
  <c r="F318" i="61" s="1"/>
  <c r="F319" i="61" a="1"/>
  <c r="F319" i="61"/>
  <c r="F320" i="61" a="1"/>
  <c r="F320" i="61"/>
  <c r="F321" i="61" a="1"/>
  <c r="F321" i="61"/>
  <c r="F322" i="61" a="1"/>
  <c r="F322" i="61"/>
  <c r="F323" i="61" a="1"/>
  <c r="F323" i="61"/>
  <c r="F324" i="61" a="1"/>
  <c r="F324" i="61"/>
  <c r="F325" i="61" a="1"/>
  <c r="F325" i="61"/>
  <c r="F326" i="61" a="1"/>
  <c r="F326" i="61"/>
  <c r="F327" i="61" a="1"/>
  <c r="F327" i="61"/>
  <c r="F328" i="61" a="1"/>
  <c r="F328" i="61"/>
  <c r="F329" i="61" a="1"/>
  <c r="F329" i="61"/>
  <c r="F330" i="61" a="1"/>
  <c r="F330" i="61"/>
  <c r="F331" i="61" a="1"/>
  <c r="F331" i="61"/>
  <c r="F332" i="61" a="1"/>
  <c r="F332" i="61"/>
  <c r="F333" i="61" a="1"/>
  <c r="F333" i="61"/>
  <c r="F334" i="61" a="1"/>
  <c r="F334" i="61"/>
  <c r="F335" i="61" a="1"/>
  <c r="F335" i="61"/>
  <c r="F336" i="61" a="1"/>
  <c r="F336" i="61"/>
  <c r="F337" i="61" a="1"/>
  <c r="F337" i="61"/>
  <c r="F338" i="61" a="1"/>
  <c r="F338" i="61"/>
  <c r="F339" i="61" a="1"/>
  <c r="F339" i="61"/>
  <c r="F340" i="61" a="1"/>
  <c r="F340" i="61"/>
  <c r="F341" i="61" a="1"/>
  <c r="F341" i="61"/>
  <c r="F342" i="61" a="1"/>
  <c r="F342" i="61"/>
  <c r="F343" i="61" a="1"/>
  <c r="F343" i="61"/>
  <c r="F344" i="61" a="1"/>
  <c r="F344" i="61"/>
  <c r="F345" i="61" a="1"/>
  <c r="F345" i="61"/>
  <c r="F346" i="61" a="1"/>
  <c r="F346" i="61"/>
  <c r="F347" i="61" a="1"/>
  <c r="F347" i="61"/>
  <c r="F348" i="61" a="1"/>
  <c r="F348" i="61"/>
  <c r="F349" i="61" a="1"/>
  <c r="F349" i="61"/>
  <c r="F350" i="61" a="1"/>
  <c r="F350" i="61"/>
  <c r="F351" i="61" a="1"/>
  <c r="F351" i="61"/>
  <c r="F352" i="61" a="1"/>
  <c r="F352" i="61"/>
  <c r="F353" i="61" a="1"/>
  <c r="F353" i="61"/>
  <c r="F354" i="61" a="1"/>
  <c r="F354" i="61"/>
  <c r="F355" i="61" a="1"/>
  <c r="F355" i="61"/>
  <c r="F356" i="61" a="1"/>
  <c r="F356" i="61"/>
  <c r="F357" i="61" a="1"/>
  <c r="F357" i="61"/>
  <c r="F358" i="61" a="1"/>
  <c r="F358" i="61"/>
  <c r="F359" i="61" a="1"/>
  <c r="F359" i="61"/>
  <c r="F360" i="61" a="1"/>
  <c r="F360" i="61"/>
  <c r="F361" i="61" a="1"/>
  <c r="F361" i="61"/>
  <c r="F362" i="61" a="1"/>
  <c r="F362" i="61"/>
  <c r="F363" i="61" a="1"/>
  <c r="F363" i="61"/>
  <c r="F364" i="61" a="1"/>
  <c r="F364" i="61"/>
  <c r="F365" i="61" a="1"/>
  <c r="F365" i="61" s="1"/>
  <c r="F366" i="61" a="1"/>
  <c r="F366" i="61" s="1"/>
  <c r="F367" i="61" a="1"/>
  <c r="F367" i="61" s="1"/>
  <c r="F368" i="61" a="1"/>
  <c r="F368" i="61" s="1"/>
  <c r="F369" i="61" a="1"/>
  <c r="F369" i="61" s="1"/>
  <c r="F370" i="61" a="1"/>
  <c r="F370" i="61" s="1"/>
  <c r="F371" i="61" a="1"/>
  <c r="F371" i="61" s="1"/>
  <c r="F372" i="61" a="1"/>
  <c r="F372" i="61" s="1"/>
  <c r="F373" i="61" a="1"/>
  <c r="F373" i="61" s="1"/>
  <c r="F374" i="61" a="1"/>
  <c r="F374" i="61" s="1"/>
  <c r="F375" i="61" a="1"/>
  <c r="F375" i="61" s="1"/>
  <c r="F376" i="61" a="1"/>
  <c r="F376" i="61" s="1"/>
  <c r="F377" i="61" a="1"/>
  <c r="F377" i="61" s="1"/>
  <c r="F378" i="61" a="1"/>
  <c r="F378" i="61" s="1"/>
  <c r="F379" i="61" a="1"/>
  <c r="F379" i="61" s="1"/>
  <c r="F380" i="61" a="1"/>
  <c r="F380" i="61" s="1"/>
  <c r="F381" i="61" a="1"/>
  <c r="F381" i="61" s="1"/>
  <c r="F382" i="61" a="1"/>
  <c r="F382" i="61" s="1"/>
  <c r="F383" i="61" a="1"/>
  <c r="F383" i="61" s="1"/>
  <c r="F384" i="61" a="1"/>
  <c r="F384" i="61" s="1"/>
  <c r="F385" i="61" a="1"/>
  <c r="F385" i="61" s="1"/>
  <c r="F386" i="61" a="1"/>
  <c r="F386" i="61" s="1"/>
  <c r="F387" i="61" a="1"/>
  <c r="F387" i="61" s="1"/>
  <c r="F388" i="61" a="1"/>
  <c r="F388" i="61" s="1"/>
  <c r="F389" i="61" a="1"/>
  <c r="F389" i="61" s="1"/>
  <c r="F390" i="61" a="1"/>
  <c r="F390" i="61" s="1"/>
  <c r="F391" i="61" a="1"/>
  <c r="F391" i="61" s="1"/>
  <c r="F392" i="61" a="1"/>
  <c r="F392" i="61" s="1"/>
  <c r="F393" i="61" a="1"/>
  <c r="F393" i="61" s="1"/>
  <c r="F394" i="61" a="1"/>
  <c r="F394" i="61" s="1"/>
  <c r="F395" i="61" a="1"/>
  <c r="F395" i="61" s="1"/>
  <c r="F396" i="61" a="1"/>
  <c r="F396" i="61" s="1"/>
  <c r="F397" i="61" a="1"/>
  <c r="F397" i="61" s="1"/>
  <c r="F398" i="61" a="1"/>
  <c r="F398" i="61" s="1"/>
  <c r="F399" i="61" a="1"/>
  <c r="F399" i="61" s="1"/>
  <c r="F400" i="61" a="1"/>
  <c r="F400" i="61" s="1"/>
  <c r="F401" i="61" a="1"/>
  <c r="F401" i="61" s="1"/>
  <c r="F402" i="61" a="1"/>
  <c r="F402" i="61" s="1"/>
  <c r="F403" i="61" a="1"/>
  <c r="F403" i="61" s="1"/>
  <c r="F404" i="61" a="1"/>
  <c r="F404" i="61" s="1"/>
  <c r="F405" i="61" a="1"/>
  <c r="F405" i="61" s="1"/>
  <c r="F406" i="61" a="1"/>
  <c r="F406" i="61" s="1"/>
  <c r="F407" i="61" a="1"/>
  <c r="F407" i="61" s="1"/>
  <c r="F408" i="61" a="1"/>
  <c r="F408" i="61" s="1"/>
  <c r="F409" i="61" a="1"/>
  <c r="F409" i="61" s="1"/>
  <c r="F410" i="61" a="1"/>
  <c r="F410" i="61" s="1"/>
  <c r="F411" i="61" a="1"/>
  <c r="F411" i="61" s="1"/>
  <c r="F412" i="61" a="1"/>
  <c r="F412" i="61" s="1"/>
  <c r="F413" i="61" a="1"/>
  <c r="F413" i="61" s="1"/>
  <c r="F414" i="61" a="1"/>
  <c r="F414" i="61" s="1"/>
  <c r="F415" i="61" a="1"/>
  <c r="F415" i="61" s="1"/>
  <c r="F416" i="61" a="1"/>
  <c r="F416" i="61" s="1"/>
  <c r="F417" i="61" a="1"/>
  <c r="F417" i="61" s="1"/>
  <c r="F418" i="61" a="1"/>
  <c r="F418" i="61" s="1"/>
  <c r="F419" i="61" a="1"/>
  <c r="F419" i="61" s="1"/>
  <c r="F420" i="61" a="1"/>
  <c r="F420" i="61" s="1"/>
  <c r="F421" i="61" a="1"/>
  <c r="F421" i="61" s="1"/>
  <c r="F422" i="61" a="1"/>
  <c r="F422" i="61" s="1"/>
  <c r="F423" i="61" a="1"/>
  <c r="F423" i="61" s="1"/>
  <c r="F424" i="61" a="1"/>
  <c r="F424" i="61" s="1"/>
  <c r="F425" i="61" a="1"/>
  <c r="F425" i="61" s="1"/>
  <c r="F426" i="61" a="1"/>
  <c r="F426" i="61" s="1"/>
  <c r="F427" i="61" a="1"/>
  <c r="F427" i="61" s="1"/>
  <c r="F428" i="61" a="1"/>
  <c r="F428" i="61" s="1"/>
  <c r="F429" i="61" a="1"/>
  <c r="F429" i="61" s="1"/>
  <c r="F430" i="61" a="1"/>
  <c r="F430" i="61" s="1"/>
  <c r="F431" i="61" a="1"/>
  <c r="F431" i="61" s="1"/>
  <c r="F432" i="61" a="1"/>
  <c r="F432" i="61" s="1"/>
  <c r="F433" i="61" a="1"/>
  <c r="F433" i="61" s="1"/>
  <c r="F434" i="61" a="1"/>
  <c r="F434" i="61" s="1"/>
  <c r="F435" i="61" a="1"/>
  <c r="F435" i="61" s="1"/>
  <c r="F436" i="61" a="1"/>
  <c r="F436" i="61" s="1"/>
  <c r="F437" i="61" a="1"/>
  <c r="F437" i="61" s="1"/>
  <c r="F438" i="61" a="1"/>
  <c r="F438" i="61" s="1"/>
  <c r="F439" i="61" a="1"/>
  <c r="F439" i="61" s="1"/>
  <c r="F440" i="61" a="1"/>
  <c r="F440" i="61" s="1"/>
  <c r="F441" i="61" a="1"/>
  <c r="F441" i="61" s="1"/>
  <c r="F442" i="61" a="1"/>
  <c r="F442" i="61" s="1"/>
  <c r="F443" i="61" a="1"/>
  <c r="F443" i="61" s="1"/>
  <c r="F444" i="61" a="1"/>
  <c r="F444" i="61" s="1"/>
  <c r="F445" i="61" a="1"/>
  <c r="F445" i="61" s="1"/>
  <c r="F446" i="61" a="1"/>
  <c r="F446" i="61" s="1"/>
  <c r="F447" i="61" a="1"/>
  <c r="F447" i="61" s="1"/>
  <c r="F448" i="61" a="1"/>
  <c r="F448" i="61" s="1"/>
  <c r="F449" i="61" a="1"/>
  <c r="F449" i="61" s="1"/>
  <c r="F450" i="61" a="1"/>
  <c r="F450" i="61" s="1"/>
  <c r="F451" i="61" a="1"/>
  <c r="F451" i="61" s="1"/>
  <c r="F452" i="61" a="1"/>
  <c r="F452" i="61" s="1"/>
  <c r="F453" i="61" a="1"/>
  <c r="F453" i="61" s="1"/>
  <c r="F454" i="61" a="1"/>
  <c r="F454" i="61" s="1"/>
  <c r="F455" i="61" a="1"/>
  <c r="F455" i="61" s="1"/>
  <c r="F456" i="61" a="1"/>
  <c r="F456" i="61" s="1"/>
  <c r="F457" i="61" a="1"/>
  <c r="F457" i="61" s="1"/>
  <c r="F458" i="61" a="1"/>
  <c r="F458" i="61" s="1"/>
  <c r="F459" i="61" a="1"/>
  <c r="F459" i="61" s="1"/>
  <c r="F460" i="61" a="1"/>
  <c r="F460" i="61" s="1"/>
  <c r="F461" i="61" a="1"/>
  <c r="F461" i="61" s="1"/>
  <c r="F462" i="61" a="1"/>
  <c r="F462" i="61" s="1"/>
  <c r="F463" i="61" a="1"/>
  <c r="F463" i="61" s="1"/>
  <c r="F464" i="61" a="1"/>
  <c r="F464" i="61" s="1"/>
  <c r="F465" i="61" a="1"/>
  <c r="F465" i="61" s="1"/>
  <c r="F466" i="61" a="1"/>
  <c r="F466" i="61" s="1"/>
  <c r="F467" i="61" a="1"/>
  <c r="F467" i="61" s="1"/>
  <c r="F468" i="61" a="1"/>
  <c r="F468" i="61" s="1"/>
  <c r="F469" i="61" a="1"/>
  <c r="F469" i="61" s="1"/>
  <c r="F470" i="61" a="1"/>
  <c r="F470" i="61" s="1"/>
  <c r="F471" i="61" a="1"/>
  <c r="F471" i="61" s="1"/>
  <c r="F472" i="61" a="1"/>
  <c r="F472" i="61" s="1"/>
  <c r="F473" i="61" a="1"/>
  <c r="F473" i="61" s="1"/>
  <c r="F474" i="61" a="1"/>
  <c r="F474" i="61" s="1"/>
  <c r="F475" i="61" a="1"/>
  <c r="F475" i="61" s="1"/>
  <c r="F476" i="61" a="1"/>
  <c r="F476" i="61" s="1"/>
  <c r="F477" i="61" a="1"/>
  <c r="F477" i="61" s="1"/>
  <c r="F478" i="61" a="1"/>
  <c r="F478" i="61" s="1"/>
  <c r="F479" i="61" a="1"/>
  <c r="F479" i="61" s="1"/>
  <c r="F480" i="61" a="1"/>
  <c r="F480" i="61" s="1"/>
  <c r="F481" i="61" a="1"/>
  <c r="F481" i="61" s="1"/>
  <c r="F482" i="61" a="1"/>
  <c r="F482" i="61" s="1"/>
  <c r="F483" i="61" a="1"/>
  <c r="F483" i="61" s="1"/>
  <c r="F484" i="61" a="1"/>
  <c r="F484" i="61" s="1"/>
  <c r="F485" i="61" a="1"/>
  <c r="F485" i="61" s="1"/>
  <c r="F486" i="61" a="1"/>
  <c r="F486" i="61" s="1"/>
  <c r="F487" i="61" a="1"/>
  <c r="F487" i="61" s="1"/>
  <c r="F488" i="61" a="1"/>
  <c r="F488" i="61" s="1"/>
  <c r="F489" i="61" a="1"/>
  <c r="F489" i="61" s="1"/>
  <c r="F490" i="61" a="1"/>
  <c r="F490" i="61" s="1"/>
  <c r="F491" i="61" a="1"/>
  <c r="F491" i="61" s="1"/>
  <c r="F492" i="61" a="1"/>
  <c r="F492" i="61" s="1"/>
  <c r="F493" i="61" a="1"/>
  <c r="F493" i="61" s="1"/>
  <c r="F494" i="61" a="1"/>
  <c r="F494" i="61" s="1"/>
  <c r="F495" i="61" a="1"/>
  <c r="F495" i="61" s="1"/>
  <c r="F496" i="61" a="1"/>
  <c r="F496" i="61" s="1"/>
  <c r="F497" i="61" a="1"/>
  <c r="F497" i="61" s="1"/>
  <c r="F498" i="61" a="1"/>
  <c r="F498" i="61" s="1"/>
  <c r="F499" i="61" a="1"/>
  <c r="F499" i="61" s="1"/>
  <c r="F500" i="61" a="1"/>
  <c r="F500" i="61" s="1"/>
  <c r="F501" i="61" a="1"/>
  <c r="F501" i="61" s="1"/>
  <c r="G3" i="61"/>
  <c r="J3" i="61" s="1"/>
  <c r="G4" i="61"/>
  <c r="J4" i="61" s="1"/>
  <c r="G5" i="61"/>
  <c r="J5" i="61" s="1"/>
  <c r="G6" i="61"/>
  <c r="J6" i="61" s="1"/>
  <c r="G7" i="61"/>
  <c r="J7" i="61" s="1"/>
  <c r="G8" i="61"/>
  <c r="J8" i="61" s="1"/>
  <c r="G9" i="61"/>
  <c r="J9" i="61" s="1"/>
  <c r="G10" i="61"/>
  <c r="J10" i="61" s="1"/>
  <c r="G11" i="61"/>
  <c r="J11" i="61" s="1"/>
  <c r="G12" i="61"/>
  <c r="J12" i="61" s="1"/>
  <c r="G13" i="61"/>
  <c r="J13" i="61" s="1"/>
  <c r="G14" i="61"/>
  <c r="J14" i="61" s="1"/>
  <c r="G15" i="61"/>
  <c r="J15" i="61" s="1"/>
  <c r="G16" i="61"/>
  <c r="J16" i="61" s="1"/>
  <c r="G17" i="61"/>
  <c r="J17" i="61" s="1"/>
  <c r="G18" i="61"/>
  <c r="J18" i="61" s="1"/>
  <c r="G19" i="61"/>
  <c r="J19" i="61" s="1"/>
  <c r="G20" i="61"/>
  <c r="J20" i="61" s="1"/>
  <c r="G21" i="61"/>
  <c r="J21" i="61" s="1"/>
  <c r="G22" i="61"/>
  <c r="J22" i="61" s="1"/>
  <c r="G23" i="61"/>
  <c r="J23" i="61" s="1"/>
  <c r="G24" i="61"/>
  <c r="J24" i="61" s="1"/>
  <c r="G25" i="61"/>
  <c r="J25" i="61" s="1"/>
  <c r="G26" i="61"/>
  <c r="J26" i="61" s="1"/>
  <c r="G27" i="61"/>
  <c r="J27" i="61" s="1"/>
  <c r="G28" i="61"/>
  <c r="J28" i="61" s="1"/>
  <c r="G29" i="61"/>
  <c r="J29" i="61" s="1"/>
  <c r="G30" i="61"/>
  <c r="J30" i="61" s="1"/>
  <c r="G31" i="61"/>
  <c r="J31" i="61" s="1"/>
  <c r="G32" i="61"/>
  <c r="J32" i="61" s="1"/>
  <c r="G33" i="61"/>
  <c r="J33" i="61" s="1"/>
  <c r="G34" i="61"/>
  <c r="J34" i="61" s="1"/>
  <c r="G35" i="61"/>
  <c r="J35" i="61" s="1"/>
  <c r="G36" i="61"/>
  <c r="J36" i="61" s="1"/>
  <c r="G37" i="61"/>
  <c r="J37" i="61" s="1"/>
  <c r="G38" i="61"/>
  <c r="J38" i="61" s="1"/>
  <c r="G39" i="61"/>
  <c r="J39" i="61" s="1"/>
  <c r="G40" i="61"/>
  <c r="J40" i="61" s="1"/>
  <c r="G41" i="61"/>
  <c r="J41" i="61" s="1"/>
  <c r="G42" i="61"/>
  <c r="J42" i="61" s="1"/>
  <c r="G43" i="61"/>
  <c r="J43" i="61" s="1"/>
  <c r="G44" i="61"/>
  <c r="J44" i="61" s="1"/>
  <c r="G45" i="61"/>
  <c r="J45" i="61" s="1"/>
  <c r="G46" i="61"/>
  <c r="J46" i="61" s="1"/>
  <c r="G47" i="61"/>
  <c r="J47" i="61" s="1"/>
  <c r="G48" i="61"/>
  <c r="J48" i="61" s="1"/>
  <c r="G49" i="61"/>
  <c r="J49" i="61" s="1"/>
  <c r="G50" i="61"/>
  <c r="J50" i="61" s="1"/>
  <c r="G51" i="61"/>
  <c r="J51" i="61" s="1"/>
  <c r="G52" i="61"/>
  <c r="J52" i="61" s="1"/>
  <c r="G53" i="61"/>
  <c r="J53" i="61" s="1"/>
  <c r="G54" i="61"/>
  <c r="J54" i="61" s="1"/>
  <c r="G55" i="61"/>
  <c r="J55" i="61" s="1"/>
  <c r="G56" i="61"/>
  <c r="J56" i="61" s="1"/>
  <c r="G57" i="61"/>
  <c r="J57" i="61" s="1"/>
  <c r="G58" i="61"/>
  <c r="J58" i="61" s="1"/>
  <c r="G59" i="61"/>
  <c r="J59" i="61" s="1"/>
  <c r="G60" i="61"/>
  <c r="J60" i="61" s="1"/>
  <c r="G61" i="61"/>
  <c r="J61" i="61" s="1"/>
  <c r="G62" i="61"/>
  <c r="J62" i="61" s="1"/>
  <c r="G63" i="61"/>
  <c r="J63" i="61" s="1"/>
  <c r="G64" i="61"/>
  <c r="J64" i="61" s="1"/>
  <c r="G65" i="61"/>
  <c r="J65" i="61" s="1"/>
  <c r="G66" i="61"/>
  <c r="J66" i="61" s="1"/>
  <c r="G67" i="61"/>
  <c r="J67" i="61" s="1"/>
  <c r="G68" i="61"/>
  <c r="J68" i="61" s="1"/>
  <c r="G69" i="61"/>
  <c r="J69" i="61" s="1"/>
  <c r="G70" i="61"/>
  <c r="J70" i="61" s="1"/>
  <c r="G71" i="61"/>
  <c r="J71" i="61" s="1"/>
  <c r="G72" i="61"/>
  <c r="J72" i="61" s="1"/>
  <c r="G73" i="61"/>
  <c r="J73" i="61" s="1"/>
  <c r="G74" i="61"/>
  <c r="J74" i="61" s="1"/>
  <c r="G75" i="61"/>
  <c r="J75" i="61" s="1"/>
  <c r="G76" i="61"/>
  <c r="J76" i="61" s="1"/>
  <c r="G77" i="61"/>
  <c r="J77" i="61" s="1"/>
  <c r="G78" i="61"/>
  <c r="J78" i="61" s="1"/>
  <c r="G79" i="61"/>
  <c r="J79" i="61" s="1"/>
  <c r="G80" i="61"/>
  <c r="J80" i="61" s="1"/>
  <c r="G81" i="61"/>
  <c r="J81" i="61" s="1"/>
  <c r="G82" i="61"/>
  <c r="J82" i="61" s="1"/>
  <c r="G83" i="61"/>
  <c r="J83" i="61" s="1"/>
  <c r="G84" i="61"/>
  <c r="J84" i="61" s="1"/>
  <c r="G85" i="61"/>
  <c r="J85" i="61" s="1"/>
  <c r="G86" i="61"/>
  <c r="J86" i="61" s="1"/>
  <c r="G87" i="61"/>
  <c r="J87" i="61" s="1"/>
  <c r="G88" i="61"/>
  <c r="J88" i="61" s="1"/>
  <c r="G89" i="61"/>
  <c r="J89" i="61" s="1"/>
  <c r="G90" i="61"/>
  <c r="J90" i="61" s="1"/>
  <c r="G91" i="61"/>
  <c r="J91" i="61" s="1"/>
  <c r="G92" i="61"/>
  <c r="J92" i="61" s="1"/>
  <c r="G93" i="61"/>
  <c r="J93" i="61" s="1"/>
  <c r="G94" i="61"/>
  <c r="J94" i="61" s="1"/>
  <c r="G95" i="61"/>
  <c r="J95" i="61" s="1"/>
  <c r="G96" i="61"/>
  <c r="J96" i="61" s="1"/>
  <c r="G97" i="61"/>
  <c r="J97" i="61" s="1"/>
  <c r="G98" i="61"/>
  <c r="J98" i="61" s="1"/>
  <c r="G99" i="61"/>
  <c r="J99" i="61" s="1"/>
  <c r="G100" i="61"/>
  <c r="J100" i="61" s="1"/>
  <c r="G101" i="61"/>
  <c r="J101" i="61" s="1"/>
  <c r="G102" i="61"/>
  <c r="J102" i="61" s="1"/>
  <c r="G103" i="61"/>
  <c r="J103" i="61" s="1"/>
  <c r="G104" i="61"/>
  <c r="J104" i="61" s="1"/>
  <c r="G105" i="61"/>
  <c r="J105" i="61" s="1"/>
  <c r="G106" i="61"/>
  <c r="J106" i="61" s="1"/>
  <c r="G107" i="61"/>
  <c r="J107" i="61" s="1"/>
  <c r="G108" i="61"/>
  <c r="J108" i="61" s="1"/>
  <c r="G109" i="61"/>
  <c r="J109" i="61" s="1"/>
  <c r="G110" i="61"/>
  <c r="J110" i="61" s="1"/>
  <c r="G111" i="61"/>
  <c r="J111" i="61" s="1"/>
  <c r="G112" i="61"/>
  <c r="J112" i="61" s="1"/>
  <c r="G113" i="61"/>
  <c r="J113" i="61" s="1"/>
  <c r="G114" i="61"/>
  <c r="J114" i="61" s="1"/>
  <c r="G115" i="61"/>
  <c r="J115" i="61" s="1"/>
  <c r="G116" i="61"/>
  <c r="J116" i="61" s="1"/>
  <c r="G117" i="61"/>
  <c r="J117" i="61" s="1"/>
  <c r="G118" i="61"/>
  <c r="J118" i="61" s="1"/>
  <c r="G119" i="61"/>
  <c r="J119" i="61" s="1"/>
  <c r="G120" i="61"/>
  <c r="J120" i="61" s="1"/>
  <c r="G121" i="61"/>
  <c r="J121" i="61" s="1"/>
  <c r="G122" i="61"/>
  <c r="J122" i="61" s="1"/>
  <c r="G123" i="61"/>
  <c r="J123" i="61" s="1"/>
  <c r="G124" i="61"/>
  <c r="J124" i="61" s="1"/>
  <c r="G125" i="61"/>
  <c r="J125" i="61" s="1"/>
  <c r="G126" i="61"/>
  <c r="J126" i="61" s="1"/>
  <c r="G127" i="61"/>
  <c r="J127" i="61" s="1"/>
  <c r="G128" i="61"/>
  <c r="J128" i="61" s="1"/>
  <c r="G129" i="61"/>
  <c r="J129" i="61" s="1"/>
  <c r="G130" i="61"/>
  <c r="J130" i="61" s="1"/>
  <c r="G131" i="61"/>
  <c r="J131" i="61" s="1"/>
  <c r="G132" i="61"/>
  <c r="J132" i="61" s="1"/>
  <c r="G133" i="61"/>
  <c r="J133" i="61" s="1"/>
  <c r="G134" i="61"/>
  <c r="J134" i="61" s="1"/>
  <c r="G135" i="61"/>
  <c r="J135" i="61" s="1"/>
  <c r="G136" i="61"/>
  <c r="J136" i="61" s="1"/>
  <c r="G137" i="61"/>
  <c r="J137" i="61" s="1"/>
  <c r="G138" i="61"/>
  <c r="J138" i="61" s="1"/>
  <c r="G139" i="61"/>
  <c r="J139" i="61" s="1"/>
  <c r="G140" i="61"/>
  <c r="J140" i="61" s="1"/>
  <c r="G141" i="61"/>
  <c r="J141" i="61" s="1"/>
  <c r="G142" i="61"/>
  <c r="J142" i="61" s="1"/>
  <c r="G143" i="61"/>
  <c r="J143" i="61" s="1"/>
  <c r="G144" i="61"/>
  <c r="J144" i="61" s="1"/>
  <c r="G145" i="61"/>
  <c r="J145" i="61" s="1"/>
  <c r="G146" i="61"/>
  <c r="J146" i="61" s="1"/>
  <c r="G147" i="61"/>
  <c r="J147" i="61" s="1"/>
  <c r="G148" i="61"/>
  <c r="J148" i="61" s="1"/>
  <c r="G149" i="61"/>
  <c r="J149" i="61" s="1"/>
  <c r="G150" i="61"/>
  <c r="J150" i="61" s="1"/>
  <c r="G151" i="61"/>
  <c r="J151" i="61" s="1"/>
  <c r="G152" i="61"/>
  <c r="J152" i="61" s="1"/>
  <c r="G153" i="61"/>
  <c r="J153" i="61" s="1"/>
  <c r="G154" i="61"/>
  <c r="J154" i="61" s="1"/>
  <c r="G155" i="61"/>
  <c r="J155" i="61" s="1"/>
  <c r="G156" i="61"/>
  <c r="J156" i="61" s="1"/>
  <c r="G157" i="61"/>
  <c r="J157" i="61" s="1"/>
  <c r="G158" i="61"/>
  <c r="J158" i="61" s="1"/>
  <c r="G159" i="61"/>
  <c r="J159" i="61" s="1"/>
  <c r="G160" i="61"/>
  <c r="J160" i="61" s="1"/>
  <c r="G161" i="61"/>
  <c r="J161" i="61" s="1"/>
  <c r="G162" i="61"/>
  <c r="J162" i="61" s="1"/>
  <c r="G163" i="61"/>
  <c r="J163" i="61" s="1"/>
  <c r="G164" i="61"/>
  <c r="J164" i="61" s="1"/>
  <c r="G165" i="61"/>
  <c r="J165" i="61" s="1"/>
  <c r="G166" i="61"/>
  <c r="J166" i="61" s="1"/>
  <c r="G167" i="61"/>
  <c r="J167" i="61" s="1"/>
  <c r="G168" i="61"/>
  <c r="J168" i="61" s="1"/>
  <c r="G169" i="61"/>
  <c r="J169" i="61" s="1"/>
  <c r="G170" i="61"/>
  <c r="J170" i="61" s="1"/>
  <c r="G171" i="61"/>
  <c r="J171" i="61" s="1"/>
  <c r="G172" i="61"/>
  <c r="J172" i="61" s="1"/>
  <c r="G173" i="61"/>
  <c r="J173" i="61" s="1"/>
  <c r="G174" i="61"/>
  <c r="J174" i="61" s="1"/>
  <c r="G175" i="61"/>
  <c r="J175" i="61" s="1"/>
  <c r="G176" i="61"/>
  <c r="J176" i="61" s="1"/>
  <c r="G177" i="61"/>
  <c r="J177" i="61" s="1"/>
  <c r="G178" i="61"/>
  <c r="J178" i="61" s="1"/>
  <c r="G179" i="61"/>
  <c r="J179" i="61" s="1"/>
  <c r="G180" i="61"/>
  <c r="J180" i="61" s="1"/>
  <c r="G181" i="61"/>
  <c r="J181" i="61" s="1"/>
  <c r="G182" i="61"/>
  <c r="J182" i="61" s="1"/>
  <c r="G183" i="61"/>
  <c r="J183" i="61" s="1"/>
  <c r="G184" i="61"/>
  <c r="J184" i="61" s="1"/>
  <c r="G185" i="61"/>
  <c r="J185" i="61" s="1"/>
  <c r="G186" i="61"/>
  <c r="J186" i="61" s="1"/>
  <c r="G187" i="61"/>
  <c r="J187" i="61" s="1"/>
  <c r="G188" i="61"/>
  <c r="J188" i="61" s="1"/>
  <c r="G189" i="61"/>
  <c r="J189" i="61" s="1"/>
  <c r="G190" i="61"/>
  <c r="J190" i="61" s="1"/>
  <c r="G191" i="61"/>
  <c r="J191" i="61" s="1"/>
  <c r="G192" i="61"/>
  <c r="J192" i="61" s="1"/>
  <c r="G193" i="61"/>
  <c r="J193" i="61" s="1"/>
  <c r="G194" i="61"/>
  <c r="J194" i="61" s="1"/>
  <c r="G195" i="61"/>
  <c r="J195" i="61" s="1"/>
  <c r="G196" i="61"/>
  <c r="J196" i="61" s="1"/>
  <c r="G197" i="61"/>
  <c r="J197" i="61" s="1"/>
  <c r="G198" i="61"/>
  <c r="J198" i="61" s="1"/>
  <c r="G199" i="61"/>
  <c r="J199" i="61" s="1"/>
  <c r="G200" i="61"/>
  <c r="J200" i="61" s="1"/>
  <c r="G201" i="61"/>
  <c r="J201" i="61" s="1"/>
  <c r="G202" i="61"/>
  <c r="J202" i="61" s="1"/>
  <c r="G203" i="61"/>
  <c r="J203" i="61" s="1"/>
  <c r="G204" i="61"/>
  <c r="J204" i="61" s="1"/>
  <c r="G205" i="61"/>
  <c r="J205" i="61" s="1"/>
  <c r="G206" i="61"/>
  <c r="J206" i="61" s="1"/>
  <c r="G207" i="61"/>
  <c r="J207" i="61" s="1"/>
  <c r="G208" i="61"/>
  <c r="J208" i="61" s="1"/>
  <c r="G209" i="61"/>
  <c r="J209" i="61" s="1"/>
  <c r="G210" i="61"/>
  <c r="J210" i="61" s="1"/>
  <c r="G211" i="61"/>
  <c r="J211" i="61" s="1"/>
  <c r="G212" i="61"/>
  <c r="J212" i="61" s="1"/>
  <c r="G213" i="61"/>
  <c r="J213" i="61" s="1"/>
  <c r="G214" i="61"/>
  <c r="J214" i="61" s="1"/>
  <c r="G215" i="61"/>
  <c r="J215" i="61" s="1"/>
  <c r="G216" i="61"/>
  <c r="J216" i="61" s="1"/>
  <c r="G217" i="61"/>
  <c r="J217" i="61" s="1"/>
  <c r="G218" i="61"/>
  <c r="J218" i="61" s="1"/>
  <c r="G219" i="61"/>
  <c r="J219" i="61" s="1"/>
  <c r="G220" i="61"/>
  <c r="J220" i="61" s="1"/>
  <c r="G221" i="61"/>
  <c r="J221" i="61" s="1"/>
  <c r="G222" i="61"/>
  <c r="J222" i="61" s="1"/>
  <c r="G223" i="61"/>
  <c r="J223" i="61" s="1"/>
  <c r="G224" i="61"/>
  <c r="J224" i="61" s="1"/>
  <c r="G225" i="61"/>
  <c r="J225" i="61" s="1"/>
  <c r="G226" i="61"/>
  <c r="J226" i="61" s="1"/>
  <c r="G227" i="61"/>
  <c r="J227" i="61" s="1"/>
  <c r="G228" i="61"/>
  <c r="J228" i="61" s="1"/>
  <c r="G229" i="61"/>
  <c r="J229" i="61" s="1"/>
  <c r="G230" i="61"/>
  <c r="J230" i="61" s="1"/>
  <c r="G231" i="61"/>
  <c r="J231" i="61" s="1"/>
  <c r="G232" i="61"/>
  <c r="J232" i="61" s="1"/>
  <c r="G233" i="61"/>
  <c r="J233" i="61" s="1"/>
  <c r="G234" i="61"/>
  <c r="J234" i="61" s="1"/>
  <c r="G235" i="61"/>
  <c r="J235" i="61" s="1"/>
  <c r="G236" i="61"/>
  <c r="J236" i="61" s="1"/>
  <c r="G237" i="61"/>
  <c r="J237" i="61" s="1"/>
  <c r="G238" i="61"/>
  <c r="J238" i="61" s="1"/>
  <c r="G239" i="61"/>
  <c r="J239" i="61" s="1"/>
  <c r="G240" i="61"/>
  <c r="J240" i="61" s="1"/>
  <c r="G241" i="61"/>
  <c r="J241" i="61" s="1"/>
  <c r="G242" i="61"/>
  <c r="J242" i="61" s="1"/>
  <c r="G243" i="61"/>
  <c r="J243" i="61" s="1"/>
  <c r="G244" i="61"/>
  <c r="J244" i="61" s="1"/>
  <c r="G245" i="61"/>
  <c r="J245" i="61" s="1"/>
  <c r="G246" i="61"/>
  <c r="J246" i="61" s="1"/>
  <c r="G247" i="61"/>
  <c r="J247" i="61" s="1"/>
  <c r="G248" i="61"/>
  <c r="J248" i="61" s="1"/>
  <c r="G249" i="61"/>
  <c r="J249" i="61" s="1"/>
  <c r="G250" i="61"/>
  <c r="J250" i="61" s="1"/>
  <c r="G251" i="61"/>
  <c r="J251" i="61" s="1"/>
  <c r="G252" i="61"/>
  <c r="J252" i="61" s="1"/>
  <c r="G253" i="61"/>
  <c r="J253" i="61" s="1"/>
  <c r="G254" i="61"/>
  <c r="J254" i="61" s="1"/>
  <c r="G255" i="61"/>
  <c r="J255" i="61" s="1"/>
  <c r="G256" i="61"/>
  <c r="J256" i="61" s="1"/>
  <c r="G257" i="61"/>
  <c r="J257" i="61" s="1"/>
  <c r="G258" i="61"/>
  <c r="J258" i="61" s="1"/>
  <c r="G259" i="61"/>
  <c r="J259" i="61" s="1"/>
  <c r="G260" i="61"/>
  <c r="J260" i="61" s="1"/>
  <c r="G261" i="61"/>
  <c r="J261" i="61" s="1"/>
  <c r="G262" i="61"/>
  <c r="J262" i="61" s="1"/>
  <c r="G263" i="61"/>
  <c r="J263" i="61" s="1"/>
  <c r="G264" i="61"/>
  <c r="J264" i="61" s="1"/>
  <c r="G265" i="61"/>
  <c r="J265" i="61" s="1"/>
  <c r="G266" i="61"/>
  <c r="J266" i="61" s="1"/>
  <c r="G267" i="61"/>
  <c r="J267" i="61" s="1"/>
  <c r="G268" i="61"/>
  <c r="J268" i="61" s="1"/>
  <c r="G269" i="61"/>
  <c r="J269" i="61" s="1"/>
  <c r="G270" i="61"/>
  <c r="J270" i="61" s="1"/>
  <c r="G271" i="61"/>
  <c r="J271" i="61" s="1"/>
  <c r="G272" i="61"/>
  <c r="J272" i="61" s="1"/>
  <c r="G273" i="61"/>
  <c r="J273" i="61" s="1"/>
  <c r="G274" i="61"/>
  <c r="J274" i="61" s="1"/>
  <c r="G275" i="61"/>
  <c r="J275" i="61" s="1"/>
  <c r="G276" i="61"/>
  <c r="J276" i="61" s="1"/>
  <c r="G277" i="61"/>
  <c r="J277" i="61" s="1"/>
  <c r="G278" i="61"/>
  <c r="J278" i="61" s="1"/>
  <c r="G279" i="61"/>
  <c r="J279" i="61" s="1"/>
  <c r="G280" i="61"/>
  <c r="J280" i="61" s="1"/>
  <c r="G281" i="61"/>
  <c r="J281" i="61" s="1"/>
  <c r="G282" i="61"/>
  <c r="J282" i="61" s="1"/>
  <c r="G283" i="61"/>
  <c r="J283" i="61" s="1"/>
  <c r="G284" i="61"/>
  <c r="J284" i="61" s="1"/>
  <c r="G285" i="61"/>
  <c r="J285" i="61" s="1"/>
  <c r="G286" i="61"/>
  <c r="J286" i="61" s="1"/>
  <c r="G287" i="61"/>
  <c r="J287" i="61" s="1"/>
  <c r="G288" i="61"/>
  <c r="J288" i="61" s="1"/>
  <c r="G289" i="61"/>
  <c r="J289" i="61" s="1"/>
  <c r="G290" i="61"/>
  <c r="J290" i="61" s="1"/>
  <c r="G291" i="61"/>
  <c r="J291" i="61" s="1"/>
  <c r="G292" i="61"/>
  <c r="J292" i="61" s="1"/>
  <c r="G293" i="61"/>
  <c r="J293" i="61" s="1"/>
  <c r="G294" i="61"/>
  <c r="J294" i="61" s="1"/>
  <c r="G295" i="61"/>
  <c r="J295" i="61" s="1"/>
  <c r="G296" i="61"/>
  <c r="J296" i="61" s="1"/>
  <c r="G297" i="61"/>
  <c r="J297" i="61" s="1"/>
  <c r="G298" i="61"/>
  <c r="J298" i="61" s="1"/>
  <c r="G299" i="61"/>
  <c r="J299" i="61" s="1"/>
  <c r="G300" i="61"/>
  <c r="J300" i="61" s="1"/>
  <c r="G301" i="61"/>
  <c r="J301" i="61" s="1"/>
  <c r="G302" i="61"/>
  <c r="J302" i="61" s="1"/>
  <c r="G303" i="61"/>
  <c r="J303" i="61" s="1"/>
  <c r="G304" i="61"/>
  <c r="J304" i="61" s="1"/>
  <c r="G305" i="61"/>
  <c r="J305" i="61" s="1"/>
  <c r="G306" i="61"/>
  <c r="J306" i="61" s="1"/>
  <c r="G307" i="61"/>
  <c r="J307" i="61" s="1"/>
  <c r="G308" i="61"/>
  <c r="J308" i="61" s="1"/>
  <c r="G309" i="61"/>
  <c r="J309" i="61" s="1"/>
  <c r="G310" i="61"/>
  <c r="J310" i="61" s="1"/>
  <c r="G311" i="61"/>
  <c r="J311" i="61" s="1"/>
  <c r="G312" i="61"/>
  <c r="J312" i="61" s="1"/>
  <c r="G313" i="61"/>
  <c r="J313" i="61" s="1"/>
  <c r="G314" i="61"/>
  <c r="J314" i="61" s="1"/>
  <c r="G315" i="61"/>
  <c r="J315" i="61" s="1"/>
  <c r="G316" i="61"/>
  <c r="J316" i="61" s="1"/>
  <c r="G317" i="61"/>
  <c r="G318" i="61"/>
  <c r="J318" i="61" s="1"/>
  <c r="G319" i="61"/>
  <c r="J319" i="61" s="1"/>
  <c r="G320" i="61"/>
  <c r="J320" i="61" s="1"/>
  <c r="G321" i="61"/>
  <c r="J321" i="61" s="1"/>
  <c r="G322" i="61"/>
  <c r="J322" i="61" s="1"/>
  <c r="G323" i="61"/>
  <c r="J323" i="61" s="1"/>
  <c r="G324" i="61"/>
  <c r="J324" i="61" s="1"/>
  <c r="G325" i="61"/>
  <c r="J325" i="61" s="1"/>
  <c r="G326" i="61"/>
  <c r="J326" i="61" s="1"/>
  <c r="G327" i="61"/>
  <c r="J327" i="61" s="1"/>
  <c r="G328" i="61"/>
  <c r="J328" i="61" s="1"/>
  <c r="G329" i="61"/>
  <c r="J329" i="61" s="1"/>
  <c r="G330" i="61"/>
  <c r="J330" i="61" s="1"/>
  <c r="G331" i="61"/>
  <c r="J331" i="61" s="1"/>
  <c r="G332" i="61"/>
  <c r="J332" i="61" s="1"/>
  <c r="G333" i="61"/>
  <c r="J333" i="61" s="1"/>
  <c r="G334" i="61"/>
  <c r="J334" i="61" s="1"/>
  <c r="G335" i="61"/>
  <c r="J335" i="61" s="1"/>
  <c r="G336" i="61"/>
  <c r="J336" i="61" s="1"/>
  <c r="G337" i="61"/>
  <c r="J337" i="61" s="1"/>
  <c r="G338" i="61"/>
  <c r="J338" i="61" s="1"/>
  <c r="G339" i="61"/>
  <c r="J339" i="61" s="1"/>
  <c r="G340" i="61"/>
  <c r="J340" i="61" s="1"/>
  <c r="G341" i="61"/>
  <c r="J341" i="61" s="1"/>
  <c r="G342" i="61"/>
  <c r="J342" i="61" s="1"/>
  <c r="G343" i="61"/>
  <c r="J343" i="61" s="1"/>
  <c r="G344" i="61"/>
  <c r="J344" i="61" s="1"/>
  <c r="G345" i="61"/>
  <c r="J345" i="61" s="1"/>
  <c r="G346" i="61"/>
  <c r="J346" i="61" s="1"/>
  <c r="G347" i="61"/>
  <c r="J347" i="61" s="1"/>
  <c r="G348" i="61"/>
  <c r="J348" i="61" s="1"/>
  <c r="G349" i="61"/>
  <c r="J349" i="61" s="1"/>
  <c r="G350" i="61"/>
  <c r="J350" i="61" s="1"/>
  <c r="G351" i="61"/>
  <c r="J351" i="61" s="1"/>
  <c r="G352" i="61"/>
  <c r="J352" i="61" s="1"/>
  <c r="G353" i="61"/>
  <c r="J353" i="61" s="1"/>
  <c r="G354" i="61"/>
  <c r="J354" i="61" s="1"/>
  <c r="G355" i="61"/>
  <c r="J355" i="61" s="1"/>
  <c r="G356" i="61"/>
  <c r="J356" i="61" s="1"/>
  <c r="G357" i="61"/>
  <c r="J357" i="61" s="1"/>
  <c r="G358" i="61"/>
  <c r="J358" i="61" s="1"/>
  <c r="G359" i="61"/>
  <c r="J359" i="61" s="1"/>
  <c r="G360" i="61"/>
  <c r="J360" i="61" s="1"/>
  <c r="G361" i="61"/>
  <c r="J361" i="61" s="1"/>
  <c r="G362" i="61"/>
  <c r="J362" i="61" s="1"/>
  <c r="G363" i="61"/>
  <c r="J363" i="61" s="1"/>
  <c r="G364" i="61"/>
  <c r="J364" i="61" s="1"/>
  <c r="G365" i="61"/>
  <c r="G366" i="61"/>
  <c r="J366" i="61" s="1"/>
  <c r="G367" i="61"/>
  <c r="G368" i="61"/>
  <c r="J368" i="61" s="1"/>
  <c r="G369" i="61"/>
  <c r="G370" i="61"/>
  <c r="J370" i="61" s="1"/>
  <c r="G371" i="61"/>
  <c r="G372" i="61"/>
  <c r="J372" i="61" s="1"/>
  <c r="G373" i="61"/>
  <c r="G374" i="61"/>
  <c r="J374" i="61" s="1"/>
  <c r="G375" i="61"/>
  <c r="G376" i="61"/>
  <c r="J376" i="61" s="1"/>
  <c r="G377" i="61"/>
  <c r="G378" i="61"/>
  <c r="J378" i="61" s="1"/>
  <c r="G379" i="61"/>
  <c r="G380" i="61"/>
  <c r="J380" i="61" s="1"/>
  <c r="G381" i="61"/>
  <c r="G382" i="61"/>
  <c r="J382" i="61" s="1"/>
  <c r="G383" i="61"/>
  <c r="G384" i="61"/>
  <c r="J384" i="61" s="1"/>
  <c r="G385" i="61"/>
  <c r="G386" i="61"/>
  <c r="J386" i="61" s="1"/>
  <c r="G387" i="61"/>
  <c r="G388" i="61"/>
  <c r="J388" i="61" s="1"/>
  <c r="G389" i="61"/>
  <c r="G390" i="61"/>
  <c r="J390" i="61" s="1"/>
  <c r="G391" i="61"/>
  <c r="G392" i="61"/>
  <c r="J392" i="61" s="1"/>
  <c r="G393" i="61"/>
  <c r="G394" i="61"/>
  <c r="J394" i="61" s="1"/>
  <c r="G395" i="61"/>
  <c r="G396" i="61"/>
  <c r="J396" i="61" s="1"/>
  <c r="G397" i="61"/>
  <c r="G398" i="61"/>
  <c r="J398" i="61" s="1"/>
  <c r="G399" i="61"/>
  <c r="G400" i="61"/>
  <c r="J400" i="61" s="1"/>
  <c r="G401" i="61"/>
  <c r="G402" i="61"/>
  <c r="J402" i="61" s="1"/>
  <c r="G403" i="61"/>
  <c r="G404" i="61"/>
  <c r="J404" i="61" s="1"/>
  <c r="G405" i="61"/>
  <c r="G406" i="61"/>
  <c r="J406" i="61" s="1"/>
  <c r="G407" i="61"/>
  <c r="G408" i="61"/>
  <c r="J408" i="61" s="1"/>
  <c r="G409" i="61"/>
  <c r="G410" i="61"/>
  <c r="J410" i="61" s="1"/>
  <c r="G411" i="61"/>
  <c r="G412" i="61"/>
  <c r="J412" i="61" s="1"/>
  <c r="G413" i="61"/>
  <c r="G414" i="61"/>
  <c r="J414" i="61" s="1"/>
  <c r="G415" i="61"/>
  <c r="G416" i="61"/>
  <c r="J416" i="61" s="1"/>
  <c r="G417" i="61"/>
  <c r="G418" i="61"/>
  <c r="J418" i="61" s="1"/>
  <c r="G419" i="61"/>
  <c r="G420" i="61"/>
  <c r="J420" i="61" s="1"/>
  <c r="G421" i="61"/>
  <c r="G422" i="61"/>
  <c r="J422" i="61" s="1"/>
  <c r="G423" i="61"/>
  <c r="J423" i="61" s="1"/>
  <c r="G424" i="61"/>
  <c r="J424" i="61" s="1"/>
  <c r="G425" i="61"/>
  <c r="J425" i="61" s="1"/>
  <c r="G426" i="61"/>
  <c r="J426" i="61" s="1"/>
  <c r="G427" i="61"/>
  <c r="J427" i="61" s="1"/>
  <c r="G428" i="61"/>
  <c r="J428" i="61" s="1"/>
  <c r="G429" i="61"/>
  <c r="J429" i="61" s="1"/>
  <c r="G430" i="61"/>
  <c r="J430" i="61" s="1"/>
  <c r="G431" i="61"/>
  <c r="J431" i="61" s="1"/>
  <c r="G432" i="61"/>
  <c r="J432" i="61" s="1"/>
  <c r="G433" i="61"/>
  <c r="J433" i="61" s="1"/>
  <c r="G434" i="61"/>
  <c r="J434" i="61" s="1"/>
  <c r="G435" i="61"/>
  <c r="J435" i="61" s="1"/>
  <c r="G436" i="61"/>
  <c r="J436" i="61" s="1"/>
  <c r="G437" i="61"/>
  <c r="J437" i="61" s="1"/>
  <c r="G438" i="61"/>
  <c r="J438" i="61" s="1"/>
  <c r="G439" i="61"/>
  <c r="J439" i="61" s="1"/>
  <c r="G440" i="61"/>
  <c r="J440" i="61" s="1"/>
  <c r="G441" i="61"/>
  <c r="J441" i="61" s="1"/>
  <c r="G442" i="61"/>
  <c r="J442" i="61" s="1"/>
  <c r="G443" i="61"/>
  <c r="J443" i="61" s="1"/>
  <c r="G444" i="61"/>
  <c r="J444" i="61" s="1"/>
  <c r="G445" i="61"/>
  <c r="J445" i="61" s="1"/>
  <c r="G446" i="61"/>
  <c r="J446" i="61" s="1"/>
  <c r="G447" i="61"/>
  <c r="J447" i="61" s="1"/>
  <c r="G448" i="61"/>
  <c r="J448" i="61" s="1"/>
  <c r="G449" i="61"/>
  <c r="J449" i="61" s="1"/>
  <c r="G450" i="61"/>
  <c r="J450" i="61" s="1"/>
  <c r="G451" i="61"/>
  <c r="J451" i="61" s="1"/>
  <c r="G452" i="61"/>
  <c r="J452" i="61" s="1"/>
  <c r="G453" i="61"/>
  <c r="J453" i="61" s="1"/>
  <c r="G454" i="61"/>
  <c r="J454" i="61" s="1"/>
  <c r="G455" i="61"/>
  <c r="J455" i="61" s="1"/>
  <c r="G456" i="61"/>
  <c r="J456" i="61" s="1"/>
  <c r="G457" i="61"/>
  <c r="J457" i="61" s="1"/>
  <c r="G458" i="61"/>
  <c r="J458" i="61" s="1"/>
  <c r="G459" i="61"/>
  <c r="J459" i="61" s="1"/>
  <c r="G460" i="61"/>
  <c r="J460" i="61" s="1"/>
  <c r="G461" i="61"/>
  <c r="J461" i="61" s="1"/>
  <c r="G462" i="61"/>
  <c r="J462" i="61" s="1"/>
  <c r="G463" i="61"/>
  <c r="J463" i="61" s="1"/>
  <c r="G464" i="61"/>
  <c r="J464" i="61" s="1"/>
  <c r="G465" i="61"/>
  <c r="J465" i="61" s="1"/>
  <c r="G466" i="61"/>
  <c r="J466" i="61" s="1"/>
  <c r="G467" i="61"/>
  <c r="J467" i="61" s="1"/>
  <c r="G468" i="61"/>
  <c r="J468" i="61" s="1"/>
  <c r="G469" i="61"/>
  <c r="J469" i="61" s="1"/>
  <c r="G470" i="61"/>
  <c r="J470" i="61" s="1"/>
  <c r="G471" i="61"/>
  <c r="J471" i="61" s="1"/>
  <c r="G472" i="61"/>
  <c r="J472" i="61" s="1"/>
  <c r="G473" i="61"/>
  <c r="J473" i="61" s="1"/>
  <c r="G474" i="61"/>
  <c r="J474" i="61" s="1"/>
  <c r="G475" i="61"/>
  <c r="J475" i="61" s="1"/>
  <c r="G476" i="61"/>
  <c r="J476" i="61" s="1"/>
  <c r="G477" i="61"/>
  <c r="J477" i="61" s="1"/>
  <c r="G478" i="61"/>
  <c r="J478" i="61" s="1"/>
  <c r="G479" i="61"/>
  <c r="J479" i="61" s="1"/>
  <c r="G480" i="61"/>
  <c r="J480" i="61" s="1"/>
  <c r="G481" i="61"/>
  <c r="J481" i="61" s="1"/>
  <c r="G482" i="61"/>
  <c r="J482" i="61" s="1"/>
  <c r="G483" i="61"/>
  <c r="J483" i="61" s="1"/>
  <c r="G484" i="61"/>
  <c r="J484" i="61" s="1"/>
  <c r="G485" i="61"/>
  <c r="J485" i="61" s="1"/>
  <c r="G486" i="61"/>
  <c r="J486" i="61" s="1"/>
  <c r="G487" i="61"/>
  <c r="J487" i="61" s="1"/>
  <c r="G488" i="61"/>
  <c r="J488" i="61" s="1"/>
  <c r="G489" i="61"/>
  <c r="J489" i="61" s="1"/>
  <c r="G490" i="61"/>
  <c r="J490" i="61" s="1"/>
  <c r="G491" i="61"/>
  <c r="J491" i="61" s="1"/>
  <c r="G492" i="61"/>
  <c r="J492" i="61" s="1"/>
  <c r="G493" i="61"/>
  <c r="J493" i="61" s="1"/>
  <c r="G494" i="61"/>
  <c r="J494" i="61" s="1"/>
  <c r="G495" i="61"/>
  <c r="J495" i="61" s="1"/>
  <c r="G496" i="61"/>
  <c r="G497" i="61"/>
  <c r="G498" i="61"/>
  <c r="G499" i="61"/>
  <c r="G500" i="61"/>
  <c r="G501" i="61"/>
  <c r="F2" i="98"/>
  <c r="F3" i="98"/>
  <c r="F4" i="98"/>
  <c r="F5" i="98"/>
  <c r="F6" i="98"/>
  <c r="F7" i="98"/>
  <c r="F8" i="98"/>
  <c r="F9" i="98"/>
  <c r="F10" i="98"/>
  <c r="F11" i="98"/>
  <c r="F12" i="98"/>
  <c r="F13" i="98"/>
  <c r="F14" i="98"/>
  <c r="F15" i="98"/>
  <c r="F16" i="98"/>
  <c r="F17" i="98"/>
  <c r="F18" i="98"/>
  <c r="F19" i="98"/>
  <c r="F20" i="98"/>
  <c r="F21" i="98"/>
  <c r="F22" i="98"/>
  <c r="F23" i="98"/>
  <c r="F24" i="98"/>
  <c r="F25" i="98"/>
  <c r="F26" i="98"/>
  <c r="F27" i="98"/>
  <c r="F28" i="98"/>
  <c r="F29" i="98"/>
  <c r="F30" i="98"/>
  <c r="F31" i="98"/>
  <c r="F32" i="98"/>
  <c r="F33" i="98"/>
  <c r="F34" i="98"/>
  <c r="F35" i="98"/>
  <c r="F36" i="98"/>
  <c r="F37" i="98"/>
  <c r="F38" i="98"/>
  <c r="F39" i="98"/>
  <c r="F40" i="98"/>
  <c r="F41" i="98"/>
  <c r="F42" i="98"/>
  <c r="F43" i="98"/>
  <c r="F44" i="98"/>
  <c r="F45" i="98"/>
  <c r="F46" i="98"/>
  <c r="F47" i="98"/>
  <c r="F48" i="98"/>
  <c r="F49" i="98"/>
  <c r="F50" i="98"/>
  <c r="F51" i="98"/>
  <c r="F52" i="98"/>
  <c r="F53" i="98"/>
  <c r="F54" i="98"/>
  <c r="F55" i="98"/>
  <c r="F56" i="98"/>
  <c r="F57" i="98"/>
  <c r="F58" i="98"/>
  <c r="F59" i="98"/>
  <c r="F60" i="98"/>
  <c r="F61" i="98"/>
  <c r="F62" i="98"/>
  <c r="F63" i="98"/>
  <c r="F64" i="98"/>
  <c r="F65" i="98"/>
  <c r="F66" i="98"/>
  <c r="F67" i="98"/>
  <c r="F68" i="98"/>
  <c r="F69" i="98"/>
  <c r="F70" i="98"/>
  <c r="F71" i="98"/>
  <c r="F72" i="98"/>
  <c r="F73" i="98"/>
  <c r="F74" i="98"/>
  <c r="F75" i="98"/>
  <c r="F76" i="98"/>
  <c r="F77" i="98"/>
  <c r="F78" i="98"/>
  <c r="F79" i="98"/>
  <c r="F80" i="98"/>
  <c r="F81" i="98"/>
  <c r="F82" i="98"/>
  <c r="F83" i="98"/>
  <c r="F84" i="98"/>
  <c r="F85" i="98"/>
  <c r="F86" i="98"/>
  <c r="F87" i="98"/>
  <c r="F88" i="98"/>
  <c r="F89" i="98"/>
  <c r="F90" i="98"/>
  <c r="F91" i="98"/>
  <c r="F92" i="98"/>
  <c r="F93" i="98"/>
  <c r="F94" i="98"/>
  <c r="F95" i="98"/>
  <c r="F96" i="98"/>
  <c r="F97" i="98"/>
  <c r="F98" i="98"/>
  <c r="F99" i="98"/>
  <c r="F100" i="98"/>
  <c r="F101" i="98"/>
  <c r="F102" i="98"/>
  <c r="F103" i="98"/>
  <c r="F104" i="98"/>
  <c r="F105" i="98"/>
  <c r="F106" i="98"/>
  <c r="F107" i="98"/>
  <c r="F108" i="98"/>
  <c r="F109" i="98"/>
  <c r="F110" i="98"/>
  <c r="F111" i="98"/>
  <c r="F112" i="98"/>
  <c r="F113" i="98"/>
  <c r="F114" i="98"/>
  <c r="F115" i="98"/>
  <c r="F116" i="98"/>
  <c r="F117" i="98"/>
  <c r="F118" i="98"/>
  <c r="F119" i="98"/>
  <c r="F120" i="98"/>
  <c r="F121" i="98"/>
  <c r="F122" i="98"/>
  <c r="F123" i="98"/>
  <c r="F124" i="98"/>
  <c r="F125" i="98"/>
  <c r="F126" i="98"/>
  <c r="F127" i="98"/>
  <c r="F128" i="98"/>
  <c r="F129" i="98"/>
  <c r="F130" i="98"/>
  <c r="F131" i="98"/>
  <c r="F132" i="98"/>
  <c r="F133" i="98"/>
  <c r="F134" i="98"/>
  <c r="F135" i="98"/>
  <c r="F136" i="98"/>
  <c r="F137" i="98"/>
  <c r="F138" i="98"/>
  <c r="F139" i="98"/>
  <c r="F140" i="98"/>
  <c r="F141" i="98"/>
  <c r="F142" i="98"/>
  <c r="F143" i="98"/>
  <c r="F144" i="98"/>
  <c r="F145" i="98"/>
  <c r="F146" i="98"/>
  <c r="F147" i="98"/>
  <c r="F148" i="98"/>
  <c r="F149" i="98"/>
  <c r="F150" i="98"/>
  <c r="F151" i="98"/>
  <c r="F152" i="98"/>
  <c r="F153" i="98"/>
  <c r="F154" i="98"/>
  <c r="F155" i="98"/>
  <c r="F156" i="98"/>
  <c r="F157" i="98"/>
  <c r="F158" i="98"/>
  <c r="F159" i="98"/>
  <c r="F160" i="98"/>
  <c r="F161" i="98"/>
  <c r="F162" i="98"/>
  <c r="F163" i="98"/>
  <c r="F164" i="98"/>
  <c r="F165" i="98"/>
  <c r="F166" i="98"/>
  <c r="F167" i="98"/>
  <c r="F168" i="98"/>
  <c r="F169" i="98"/>
  <c r="F170" i="98"/>
  <c r="F171" i="98"/>
  <c r="F172" i="98"/>
  <c r="F173" i="98"/>
  <c r="F174" i="98"/>
  <c r="F175" i="98"/>
  <c r="F176" i="98"/>
  <c r="F177" i="98"/>
  <c r="F178" i="98"/>
  <c r="F179" i="98"/>
  <c r="F180" i="98"/>
  <c r="F181" i="98"/>
  <c r="F182" i="98"/>
  <c r="F183" i="98"/>
  <c r="F184" i="98"/>
  <c r="F185" i="98"/>
  <c r="F186" i="98"/>
  <c r="F187" i="98"/>
  <c r="F188" i="98"/>
  <c r="F189" i="98"/>
  <c r="F190" i="98"/>
  <c r="F191" i="98"/>
  <c r="F192" i="98"/>
  <c r="F193" i="98"/>
  <c r="F194" i="98"/>
  <c r="F195" i="98"/>
  <c r="F196" i="98"/>
  <c r="F197" i="98"/>
  <c r="F198" i="98"/>
  <c r="F199" i="98"/>
  <c r="F200" i="98"/>
  <c r="F201" i="98"/>
  <c r="F202" i="98"/>
  <c r="F203" i="98"/>
  <c r="F204" i="98"/>
  <c r="F205" i="98"/>
  <c r="F206" i="98"/>
  <c r="F207" i="98"/>
  <c r="F208" i="98"/>
  <c r="F209" i="98"/>
  <c r="F210" i="98"/>
  <c r="F211" i="98"/>
  <c r="F212" i="98"/>
  <c r="F213" i="98"/>
  <c r="F214" i="98"/>
  <c r="F215" i="98"/>
  <c r="F216" i="98"/>
  <c r="F217" i="98"/>
  <c r="F218" i="98"/>
  <c r="F219" i="98"/>
  <c r="F220" i="98"/>
  <c r="F221" i="98"/>
  <c r="F222" i="98"/>
  <c r="F223" i="98"/>
  <c r="F224" i="98"/>
  <c r="F225" i="98"/>
  <c r="F226" i="98"/>
  <c r="F227" i="98"/>
  <c r="F228" i="98"/>
  <c r="F229" i="98"/>
  <c r="F230" i="98"/>
  <c r="F231" i="98"/>
  <c r="F232" i="98"/>
  <c r="F233" i="98"/>
  <c r="F234" i="98"/>
  <c r="F235" i="98"/>
  <c r="F236" i="98"/>
  <c r="F237" i="98"/>
  <c r="F238" i="98"/>
  <c r="F239" i="98"/>
  <c r="F240" i="98"/>
  <c r="F241" i="98"/>
  <c r="F242" i="98"/>
  <c r="F243" i="98"/>
  <c r="F244" i="98"/>
  <c r="F245" i="98"/>
  <c r="F246" i="98"/>
  <c r="F247" i="98"/>
  <c r="F248" i="98"/>
  <c r="F249" i="98"/>
  <c r="F250" i="98"/>
  <c r="F251" i="98"/>
  <c r="F252" i="98"/>
  <c r="F253" i="98"/>
  <c r="F254" i="98"/>
  <c r="F255" i="98"/>
  <c r="F256" i="98"/>
  <c r="F257" i="98"/>
  <c r="F258" i="98"/>
  <c r="F259" i="98"/>
  <c r="F260" i="98"/>
  <c r="F261" i="98"/>
  <c r="F262" i="98"/>
  <c r="F263" i="98"/>
  <c r="F264" i="98"/>
  <c r="F265" i="98"/>
  <c r="F266" i="98"/>
  <c r="F267" i="98"/>
  <c r="F268" i="98"/>
  <c r="F269" i="98"/>
  <c r="F270" i="98"/>
  <c r="F271" i="98"/>
  <c r="F272" i="98"/>
  <c r="F273" i="98"/>
  <c r="F274" i="98"/>
  <c r="F275" i="98"/>
  <c r="F276" i="98"/>
  <c r="F277" i="98"/>
  <c r="F278" i="98"/>
  <c r="F279" i="98"/>
  <c r="F280" i="98"/>
  <c r="F281" i="98"/>
  <c r="F282" i="98"/>
  <c r="F283" i="98"/>
  <c r="F284" i="98"/>
  <c r="F285" i="98"/>
  <c r="F286" i="98"/>
  <c r="F287" i="98"/>
  <c r="F288" i="98"/>
  <c r="F289" i="98"/>
  <c r="F290" i="98"/>
  <c r="F291" i="98"/>
  <c r="F292" i="98"/>
  <c r="F293" i="98"/>
  <c r="F294" i="98"/>
  <c r="F295" i="98"/>
  <c r="F296" i="98"/>
  <c r="F297" i="98"/>
  <c r="F298" i="98"/>
  <c r="F299" i="98"/>
  <c r="F300" i="98"/>
  <c r="F301" i="98"/>
  <c r="F302" i="98"/>
  <c r="F303" i="98"/>
  <c r="F304" i="98"/>
  <c r="F305" i="98"/>
  <c r="F306" i="98"/>
  <c r="F307" i="98"/>
  <c r="F308" i="98"/>
  <c r="F309" i="98"/>
  <c r="F310" i="98"/>
  <c r="F311" i="98"/>
  <c r="F312" i="98"/>
  <c r="F313" i="98"/>
  <c r="F314" i="98"/>
  <c r="F315" i="98"/>
  <c r="F316" i="98"/>
  <c r="F317" i="98"/>
  <c r="F318" i="98"/>
  <c r="F319" i="98"/>
  <c r="F320" i="98"/>
  <c r="F321" i="98"/>
  <c r="F322" i="98"/>
  <c r="F323" i="98"/>
  <c r="F324" i="98"/>
  <c r="F325" i="98"/>
  <c r="F326" i="98"/>
  <c r="F327" i="98"/>
  <c r="F328" i="98"/>
  <c r="F329" i="98"/>
  <c r="F330" i="98"/>
  <c r="F331" i="98"/>
  <c r="F332" i="98"/>
  <c r="F333" i="98"/>
  <c r="F334" i="98"/>
  <c r="F335" i="98"/>
  <c r="F336" i="98"/>
  <c r="F337" i="98"/>
  <c r="F338" i="98"/>
  <c r="F339" i="98"/>
  <c r="F340" i="98"/>
  <c r="F341" i="98"/>
  <c r="F342" i="98"/>
  <c r="F343" i="98"/>
  <c r="F344" i="98"/>
  <c r="F345" i="98"/>
  <c r="F346" i="98"/>
  <c r="F347" i="98"/>
  <c r="F348" i="98"/>
  <c r="F349" i="98"/>
  <c r="F350" i="98"/>
  <c r="F351" i="98"/>
  <c r="F352" i="98"/>
  <c r="F353" i="98"/>
  <c r="F354" i="98"/>
  <c r="F355" i="98"/>
  <c r="F356" i="98"/>
  <c r="F357" i="98"/>
  <c r="F358" i="98"/>
  <c r="F359" i="98"/>
  <c r="F360" i="98"/>
  <c r="F361" i="98"/>
  <c r="F362" i="98"/>
  <c r="F363" i="98"/>
  <c r="F364" i="98"/>
  <c r="F365" i="98"/>
  <c r="F366" i="98"/>
  <c r="F367" i="98"/>
  <c r="F368" i="98"/>
  <c r="F369" i="98"/>
  <c r="F370" i="98"/>
  <c r="F371" i="98"/>
  <c r="F372" i="98"/>
  <c r="F373" i="98"/>
  <c r="F374" i="98"/>
  <c r="F375" i="98"/>
  <c r="F376" i="98"/>
  <c r="F377" i="98"/>
  <c r="F378" i="98"/>
  <c r="F379" i="98"/>
  <c r="F380" i="98"/>
  <c r="F381" i="98"/>
  <c r="F382" i="98"/>
  <c r="F383" i="98"/>
  <c r="F384" i="98"/>
  <c r="F385" i="98"/>
  <c r="F386" i="98"/>
  <c r="F387" i="98"/>
  <c r="F388" i="98"/>
  <c r="F389" i="98"/>
  <c r="F390" i="98"/>
  <c r="F391" i="98"/>
  <c r="F392" i="98"/>
  <c r="F393" i="98"/>
  <c r="F394" i="98"/>
  <c r="F395" i="98"/>
  <c r="F396" i="98"/>
  <c r="F397" i="98"/>
  <c r="F398" i="98"/>
  <c r="F399" i="98"/>
  <c r="F400" i="98"/>
  <c r="F401" i="98"/>
  <c r="F402" i="98"/>
  <c r="F403" i="98"/>
  <c r="F404" i="98"/>
  <c r="F405" i="98"/>
  <c r="F406" i="98"/>
  <c r="F407" i="98"/>
  <c r="F408" i="98"/>
  <c r="F409" i="98"/>
  <c r="F410" i="98"/>
  <c r="F411" i="98"/>
  <c r="F412" i="98"/>
  <c r="F413" i="98"/>
  <c r="F414" i="98"/>
  <c r="F415" i="98"/>
  <c r="F416" i="98"/>
  <c r="F417" i="98"/>
  <c r="F418" i="98"/>
  <c r="F419" i="98"/>
  <c r="F420" i="98"/>
  <c r="F421" i="98"/>
  <c r="F422" i="98"/>
  <c r="F423" i="98"/>
  <c r="F424" i="98"/>
  <c r="F425" i="98"/>
  <c r="F426" i="98"/>
  <c r="F427" i="98"/>
  <c r="F428" i="98"/>
  <c r="F429" i="98"/>
  <c r="F430" i="98"/>
  <c r="F431" i="98"/>
  <c r="F432" i="98"/>
  <c r="F433" i="98"/>
  <c r="F434" i="98"/>
  <c r="F435" i="98"/>
  <c r="F436" i="98"/>
  <c r="F437" i="98"/>
  <c r="F438" i="98"/>
  <c r="F439" i="98"/>
  <c r="F440" i="98"/>
  <c r="F441" i="98"/>
  <c r="F442" i="98"/>
  <c r="F443" i="98"/>
  <c r="F444" i="98"/>
  <c r="F445" i="98"/>
  <c r="F446" i="98"/>
  <c r="F447" i="98"/>
  <c r="F448" i="98"/>
  <c r="F449" i="98"/>
  <c r="F450" i="98"/>
  <c r="F451" i="98"/>
  <c r="F452" i="98"/>
  <c r="F453" i="98"/>
  <c r="F454" i="98"/>
  <c r="F455" i="98"/>
  <c r="F456" i="98"/>
  <c r="F457" i="98"/>
  <c r="F458" i="98"/>
  <c r="F459" i="98"/>
  <c r="F460" i="98"/>
  <c r="F461" i="98"/>
  <c r="F462" i="98"/>
  <c r="F463" i="98"/>
  <c r="F464" i="98"/>
  <c r="F465" i="98"/>
  <c r="F466" i="98"/>
  <c r="F467" i="98"/>
  <c r="F468" i="98"/>
  <c r="F469" i="98"/>
  <c r="F470" i="98"/>
  <c r="F471" i="98"/>
  <c r="F472" i="98"/>
  <c r="F473" i="98"/>
  <c r="F474" i="98"/>
  <c r="F475" i="98"/>
  <c r="F476" i="98"/>
  <c r="F477" i="98"/>
  <c r="F478" i="98"/>
  <c r="F479" i="98"/>
  <c r="F480" i="98"/>
  <c r="F481" i="98"/>
  <c r="F482" i="98"/>
  <c r="F483" i="98"/>
  <c r="F484" i="98"/>
  <c r="F485" i="98"/>
  <c r="F486" i="98"/>
  <c r="F487" i="98"/>
  <c r="F488" i="98"/>
  <c r="F489" i="98"/>
  <c r="F490" i="98"/>
  <c r="F491" i="98"/>
  <c r="F492" i="98"/>
  <c r="F493" i="98"/>
  <c r="F494" i="98"/>
  <c r="F495" i="98"/>
  <c r="F496" i="98"/>
  <c r="F497" i="98"/>
  <c r="F498" i="98"/>
  <c r="F499" i="98"/>
  <c r="F500" i="98"/>
  <c r="F501" i="98"/>
  <c r="E2" i="98"/>
  <c r="E3" i="98"/>
  <c r="E4" i="98"/>
  <c r="E5" i="98"/>
  <c r="E6" i="98"/>
  <c r="E7" i="98"/>
  <c r="E8" i="98"/>
  <c r="E9" i="98"/>
  <c r="E10" i="98"/>
  <c r="E11" i="98"/>
  <c r="E12" i="98"/>
  <c r="E13" i="98"/>
  <c r="E14" i="98"/>
  <c r="E15" i="98"/>
  <c r="E16" i="98"/>
  <c r="E17" i="98"/>
  <c r="E18" i="98"/>
  <c r="E19" i="98"/>
  <c r="E20" i="98"/>
  <c r="E21" i="98"/>
  <c r="E22" i="98"/>
  <c r="E23" i="98"/>
  <c r="E24" i="98"/>
  <c r="E25" i="98"/>
  <c r="E26" i="98"/>
  <c r="E27" i="98"/>
  <c r="E28" i="98"/>
  <c r="E29" i="98"/>
  <c r="E30" i="98"/>
  <c r="E31" i="98"/>
  <c r="E32" i="98"/>
  <c r="E33" i="98"/>
  <c r="E34" i="98"/>
  <c r="E35" i="98"/>
  <c r="E36" i="98"/>
  <c r="E37" i="98"/>
  <c r="E38" i="98"/>
  <c r="E39" i="98"/>
  <c r="E40" i="98"/>
  <c r="E41" i="98"/>
  <c r="E42" i="98"/>
  <c r="E43" i="98"/>
  <c r="E44" i="98"/>
  <c r="E45" i="98"/>
  <c r="E46" i="98"/>
  <c r="E47" i="98"/>
  <c r="E48" i="98"/>
  <c r="E49" i="98"/>
  <c r="E50" i="98"/>
  <c r="E51" i="98"/>
  <c r="E52" i="98"/>
  <c r="E53" i="98"/>
  <c r="E54" i="98"/>
  <c r="E55" i="98"/>
  <c r="E56" i="98"/>
  <c r="E57" i="98"/>
  <c r="E58" i="98"/>
  <c r="E59" i="98"/>
  <c r="E60" i="98"/>
  <c r="E61" i="98"/>
  <c r="E62" i="98"/>
  <c r="E63" i="98"/>
  <c r="E64" i="98"/>
  <c r="E65" i="98"/>
  <c r="E66" i="98"/>
  <c r="E67" i="98"/>
  <c r="E68" i="98"/>
  <c r="E69" i="98"/>
  <c r="E70" i="98"/>
  <c r="E71" i="98"/>
  <c r="E72" i="98"/>
  <c r="E73" i="98"/>
  <c r="E74" i="98"/>
  <c r="E75" i="98"/>
  <c r="E76" i="98"/>
  <c r="E77" i="98"/>
  <c r="E78" i="98"/>
  <c r="E79" i="98"/>
  <c r="E80" i="98"/>
  <c r="E81" i="98"/>
  <c r="E82" i="98"/>
  <c r="E83" i="98"/>
  <c r="E84" i="98"/>
  <c r="E85" i="98"/>
  <c r="E86" i="98"/>
  <c r="E87" i="98"/>
  <c r="E88" i="98"/>
  <c r="E89" i="98"/>
  <c r="E90" i="98"/>
  <c r="E91" i="98"/>
  <c r="E92" i="98"/>
  <c r="E93" i="98"/>
  <c r="E94" i="98"/>
  <c r="E95" i="98"/>
  <c r="E96" i="98"/>
  <c r="E97" i="98"/>
  <c r="E98" i="98"/>
  <c r="E99" i="98"/>
  <c r="E100" i="98"/>
  <c r="E101" i="98"/>
  <c r="E102" i="98"/>
  <c r="E103" i="98"/>
  <c r="E104" i="98"/>
  <c r="E105" i="98"/>
  <c r="E106" i="98"/>
  <c r="E107" i="98"/>
  <c r="E108" i="98"/>
  <c r="E109" i="98"/>
  <c r="E110" i="98"/>
  <c r="E111" i="98"/>
  <c r="E112" i="98"/>
  <c r="E113" i="98"/>
  <c r="E114" i="98"/>
  <c r="E115" i="98"/>
  <c r="E116" i="98"/>
  <c r="E117" i="98"/>
  <c r="E118" i="98"/>
  <c r="E119" i="98"/>
  <c r="E120" i="98"/>
  <c r="E121" i="98"/>
  <c r="E122" i="98"/>
  <c r="E123" i="98"/>
  <c r="E124" i="98"/>
  <c r="E125" i="98"/>
  <c r="E126" i="98"/>
  <c r="E127" i="98"/>
  <c r="E128" i="98"/>
  <c r="E129" i="98"/>
  <c r="E130" i="98"/>
  <c r="E131" i="98"/>
  <c r="E132" i="98"/>
  <c r="E133" i="98"/>
  <c r="E134" i="98"/>
  <c r="E135" i="98"/>
  <c r="E136" i="98"/>
  <c r="E137" i="98"/>
  <c r="E138" i="98"/>
  <c r="E139" i="98"/>
  <c r="E140" i="98"/>
  <c r="E141" i="98"/>
  <c r="E142" i="98"/>
  <c r="E143" i="98"/>
  <c r="E144" i="98"/>
  <c r="E145" i="98"/>
  <c r="E146" i="98"/>
  <c r="E147" i="98"/>
  <c r="E148" i="98"/>
  <c r="E149" i="98"/>
  <c r="E150" i="98"/>
  <c r="E151" i="98"/>
  <c r="E152" i="98"/>
  <c r="E153" i="98"/>
  <c r="E154" i="98"/>
  <c r="E155" i="98"/>
  <c r="E156" i="98"/>
  <c r="E157" i="98"/>
  <c r="E158" i="98"/>
  <c r="E159" i="98"/>
  <c r="E160" i="98"/>
  <c r="E161" i="98"/>
  <c r="E162" i="98"/>
  <c r="E163" i="98"/>
  <c r="E164" i="98"/>
  <c r="E165" i="98"/>
  <c r="E166" i="98"/>
  <c r="E167" i="98"/>
  <c r="E168" i="98"/>
  <c r="E169" i="98"/>
  <c r="E170" i="98"/>
  <c r="E171" i="98"/>
  <c r="E172" i="98"/>
  <c r="E173" i="98"/>
  <c r="E174" i="98"/>
  <c r="E175" i="98"/>
  <c r="E176" i="98"/>
  <c r="E177" i="98"/>
  <c r="E178" i="98"/>
  <c r="E179" i="98"/>
  <c r="E180" i="98"/>
  <c r="E181" i="98"/>
  <c r="E182" i="98"/>
  <c r="E183" i="98"/>
  <c r="E184" i="98"/>
  <c r="E185" i="98"/>
  <c r="E186" i="98"/>
  <c r="E187" i="98"/>
  <c r="E188" i="98"/>
  <c r="E189" i="98"/>
  <c r="E190" i="98"/>
  <c r="E191" i="98"/>
  <c r="E192" i="98"/>
  <c r="E193" i="98"/>
  <c r="E194" i="98"/>
  <c r="E195" i="98"/>
  <c r="E196" i="98"/>
  <c r="E197" i="98"/>
  <c r="E198" i="98"/>
  <c r="E199" i="98"/>
  <c r="E200" i="98"/>
  <c r="E201" i="98"/>
  <c r="E202" i="98"/>
  <c r="E203" i="98"/>
  <c r="E204" i="98"/>
  <c r="E205" i="98"/>
  <c r="E206" i="98"/>
  <c r="E207" i="98"/>
  <c r="E208" i="98"/>
  <c r="E209" i="98"/>
  <c r="E210" i="98"/>
  <c r="E211" i="98"/>
  <c r="E212" i="98"/>
  <c r="E213" i="98"/>
  <c r="E214" i="98"/>
  <c r="E215" i="98"/>
  <c r="E216" i="98"/>
  <c r="E217" i="98"/>
  <c r="E218" i="98"/>
  <c r="E219" i="98"/>
  <c r="E220" i="98"/>
  <c r="E221" i="98"/>
  <c r="E222" i="98"/>
  <c r="E223" i="98"/>
  <c r="E224" i="98"/>
  <c r="E225" i="98"/>
  <c r="E226" i="98"/>
  <c r="E227" i="98"/>
  <c r="E228" i="98"/>
  <c r="E229" i="98"/>
  <c r="E230" i="98"/>
  <c r="E231" i="98"/>
  <c r="E232" i="98"/>
  <c r="E233" i="98"/>
  <c r="E234" i="98"/>
  <c r="E235" i="98"/>
  <c r="E236" i="98"/>
  <c r="E237" i="98"/>
  <c r="E238" i="98"/>
  <c r="E239" i="98"/>
  <c r="E240" i="98"/>
  <c r="E241" i="98"/>
  <c r="E242" i="98"/>
  <c r="E243" i="98"/>
  <c r="E244" i="98"/>
  <c r="E245" i="98"/>
  <c r="E246" i="98"/>
  <c r="E247" i="98"/>
  <c r="E248" i="98"/>
  <c r="E249" i="98"/>
  <c r="E250" i="98"/>
  <c r="E251" i="98"/>
  <c r="E252" i="98"/>
  <c r="E253" i="98"/>
  <c r="E254" i="98"/>
  <c r="E255" i="98"/>
  <c r="E256" i="98"/>
  <c r="E257" i="98"/>
  <c r="E258" i="98"/>
  <c r="E259" i="98"/>
  <c r="E260" i="98"/>
  <c r="E261" i="98"/>
  <c r="E262" i="98"/>
  <c r="E263" i="98"/>
  <c r="E264" i="98"/>
  <c r="E265" i="98"/>
  <c r="E266" i="98"/>
  <c r="E267" i="98"/>
  <c r="E268" i="98"/>
  <c r="E269" i="98"/>
  <c r="E270" i="98"/>
  <c r="E271" i="98"/>
  <c r="E272" i="98"/>
  <c r="E273" i="98"/>
  <c r="E274" i="98"/>
  <c r="E275" i="98"/>
  <c r="E276" i="98"/>
  <c r="E277" i="98"/>
  <c r="E278" i="98"/>
  <c r="E279" i="98"/>
  <c r="E280" i="98"/>
  <c r="E281" i="98"/>
  <c r="E282" i="98"/>
  <c r="E283" i="98"/>
  <c r="E284" i="98"/>
  <c r="E285" i="98"/>
  <c r="E286" i="98"/>
  <c r="E287" i="98"/>
  <c r="E288" i="98"/>
  <c r="E289" i="98"/>
  <c r="E290" i="98"/>
  <c r="E291" i="98"/>
  <c r="E292" i="98"/>
  <c r="E293" i="98"/>
  <c r="E294" i="98"/>
  <c r="E295" i="98"/>
  <c r="E296" i="98"/>
  <c r="E297" i="98"/>
  <c r="E298" i="98"/>
  <c r="E299" i="98"/>
  <c r="E300" i="98"/>
  <c r="E301" i="98"/>
  <c r="E302" i="98"/>
  <c r="E303" i="98"/>
  <c r="E304" i="98"/>
  <c r="E305" i="98"/>
  <c r="E306" i="98"/>
  <c r="E307" i="98"/>
  <c r="E308" i="98"/>
  <c r="E309" i="98"/>
  <c r="E310" i="98"/>
  <c r="E311" i="98"/>
  <c r="E312" i="98"/>
  <c r="E313" i="98"/>
  <c r="E314" i="98"/>
  <c r="E315" i="98"/>
  <c r="E316" i="98"/>
  <c r="E317" i="98"/>
  <c r="E318" i="98"/>
  <c r="E319" i="98"/>
  <c r="E320" i="98"/>
  <c r="E321" i="98"/>
  <c r="E322" i="98"/>
  <c r="E323" i="98"/>
  <c r="E324" i="98"/>
  <c r="E325" i="98"/>
  <c r="E326" i="98"/>
  <c r="E327" i="98"/>
  <c r="E328" i="98"/>
  <c r="E329" i="98"/>
  <c r="E330" i="98"/>
  <c r="E331" i="98"/>
  <c r="E332" i="98"/>
  <c r="E333" i="98"/>
  <c r="E334" i="98"/>
  <c r="E335" i="98"/>
  <c r="E336" i="98"/>
  <c r="E337" i="98"/>
  <c r="E338" i="98"/>
  <c r="E339" i="98"/>
  <c r="E340" i="98"/>
  <c r="E341" i="98"/>
  <c r="E342" i="98"/>
  <c r="E343" i="98"/>
  <c r="E344" i="98"/>
  <c r="E345" i="98"/>
  <c r="E346" i="98"/>
  <c r="E347" i="98"/>
  <c r="E348" i="98"/>
  <c r="E349" i="98"/>
  <c r="E350" i="98"/>
  <c r="E351" i="98"/>
  <c r="E352" i="98"/>
  <c r="E353" i="98"/>
  <c r="E354" i="98"/>
  <c r="E355" i="98"/>
  <c r="E356" i="98"/>
  <c r="E357" i="98"/>
  <c r="E358" i="98"/>
  <c r="E359" i="98"/>
  <c r="E360" i="98"/>
  <c r="E361" i="98"/>
  <c r="E362" i="98"/>
  <c r="E363" i="98"/>
  <c r="E364" i="98"/>
  <c r="E365" i="98"/>
  <c r="E366" i="98"/>
  <c r="E367" i="98"/>
  <c r="E368" i="98"/>
  <c r="E369" i="98"/>
  <c r="E370" i="98"/>
  <c r="E371" i="98"/>
  <c r="E372" i="98"/>
  <c r="E373" i="98"/>
  <c r="E374" i="98"/>
  <c r="E375" i="98"/>
  <c r="E376" i="98"/>
  <c r="E377" i="98"/>
  <c r="E378" i="98"/>
  <c r="E379" i="98"/>
  <c r="E380" i="98"/>
  <c r="E381" i="98"/>
  <c r="E382" i="98"/>
  <c r="E383" i="98"/>
  <c r="E384" i="98"/>
  <c r="E385" i="98"/>
  <c r="E386" i="98"/>
  <c r="E387" i="98"/>
  <c r="E388" i="98"/>
  <c r="E389" i="98"/>
  <c r="E390" i="98"/>
  <c r="E391" i="98"/>
  <c r="E392" i="98"/>
  <c r="E393" i="98"/>
  <c r="E394" i="98"/>
  <c r="E395" i="98"/>
  <c r="E396" i="98"/>
  <c r="E397" i="98"/>
  <c r="E398" i="98"/>
  <c r="E399" i="98"/>
  <c r="E400" i="98"/>
  <c r="E401" i="98"/>
  <c r="E402" i="98"/>
  <c r="E403" i="98"/>
  <c r="E404" i="98"/>
  <c r="E405" i="98"/>
  <c r="E406" i="98"/>
  <c r="E407" i="98"/>
  <c r="E408" i="98"/>
  <c r="E409" i="98"/>
  <c r="E410" i="98"/>
  <c r="E411" i="98"/>
  <c r="E412" i="98"/>
  <c r="E413" i="98"/>
  <c r="E414" i="98"/>
  <c r="E415" i="98"/>
  <c r="E416" i="98"/>
  <c r="E417" i="98"/>
  <c r="E418" i="98"/>
  <c r="E419" i="98"/>
  <c r="E420" i="98"/>
  <c r="E421" i="98"/>
  <c r="E422" i="98"/>
  <c r="E423" i="98"/>
  <c r="E424" i="98"/>
  <c r="E425" i="98"/>
  <c r="E426" i="98"/>
  <c r="E427" i="98"/>
  <c r="E428" i="98"/>
  <c r="E429" i="98"/>
  <c r="E430" i="98"/>
  <c r="E431" i="98"/>
  <c r="E432" i="98"/>
  <c r="E433" i="98"/>
  <c r="E434" i="98"/>
  <c r="E435" i="98"/>
  <c r="E436" i="98"/>
  <c r="E437" i="98"/>
  <c r="E438" i="98"/>
  <c r="E439" i="98"/>
  <c r="E440" i="98"/>
  <c r="E441" i="98"/>
  <c r="E442" i="98"/>
  <c r="E443" i="98"/>
  <c r="E444" i="98"/>
  <c r="E445" i="98"/>
  <c r="E446" i="98"/>
  <c r="E447" i="98"/>
  <c r="E448" i="98"/>
  <c r="E449" i="98"/>
  <c r="E450" i="98"/>
  <c r="E451" i="98"/>
  <c r="E452" i="98"/>
  <c r="E453" i="98"/>
  <c r="E454" i="98"/>
  <c r="E455" i="98"/>
  <c r="E456" i="98"/>
  <c r="E457" i="98"/>
  <c r="E458" i="98"/>
  <c r="E459" i="98"/>
  <c r="E460" i="98"/>
  <c r="E461" i="98"/>
  <c r="E462" i="98"/>
  <c r="E463" i="98"/>
  <c r="E464" i="98"/>
  <c r="E465" i="98"/>
  <c r="E466" i="98"/>
  <c r="E467" i="98"/>
  <c r="E468" i="98"/>
  <c r="E469" i="98"/>
  <c r="E470" i="98"/>
  <c r="E471" i="98"/>
  <c r="E472" i="98"/>
  <c r="E473" i="98"/>
  <c r="E474" i="98"/>
  <c r="E475" i="98"/>
  <c r="E476" i="98"/>
  <c r="E477" i="98"/>
  <c r="E478" i="98"/>
  <c r="E479" i="98"/>
  <c r="E480" i="98"/>
  <c r="E481" i="98"/>
  <c r="E482" i="98"/>
  <c r="E483" i="98"/>
  <c r="E484" i="98"/>
  <c r="E485" i="98"/>
  <c r="E486" i="98"/>
  <c r="E487" i="98"/>
  <c r="E488" i="98"/>
  <c r="E489" i="98"/>
  <c r="E490" i="98"/>
  <c r="E491" i="98"/>
  <c r="E492" i="98"/>
  <c r="E493" i="98"/>
  <c r="E494" i="98"/>
  <c r="E495" i="98"/>
  <c r="E496" i="98"/>
  <c r="E497" i="98"/>
  <c r="E498" i="98"/>
  <c r="E499" i="98"/>
  <c r="E500" i="98"/>
  <c r="E501" i="98"/>
  <c r="Z5" i="93"/>
  <c r="M5" i="93"/>
  <c r="I5" i="93" a="1"/>
  <c r="I5" i="93" s="1"/>
  <c r="E5" i="93" a="1"/>
  <c r="E5" i="93" s="1"/>
  <c r="E6" i="95"/>
  <c r="M2" i="95"/>
  <c r="J23" i="2"/>
  <c r="K32" i="12"/>
  <c r="K46" i="12"/>
  <c r="K63" i="12"/>
  <c r="K72" i="12"/>
  <c r="K135" i="12"/>
  <c r="K165" i="12"/>
  <c r="K188" i="12"/>
  <c r="K200" i="12"/>
  <c r="K230" i="12"/>
  <c r="K270" i="12"/>
  <c r="K283" i="12"/>
  <c r="K300" i="12"/>
  <c r="K314" i="12"/>
  <c r="K318" i="12"/>
  <c r="K332" i="12"/>
  <c r="K349" i="12"/>
  <c r="K361" i="12"/>
  <c r="K364" i="12"/>
  <c r="K367" i="12"/>
  <c r="K406" i="12"/>
  <c r="K411" i="12"/>
  <c r="K418" i="12"/>
  <c r="K423" i="12"/>
  <c r="K436" i="12"/>
  <c r="K446" i="12"/>
  <c r="K32" i="5"/>
  <c r="K46" i="5"/>
  <c r="K63" i="5"/>
  <c r="K72" i="5"/>
  <c r="K135" i="5"/>
  <c r="K165" i="5"/>
  <c r="K188" i="5"/>
  <c r="K200" i="5"/>
  <c r="K230" i="5"/>
  <c r="K270" i="5"/>
  <c r="K283" i="5"/>
  <c r="K300" i="5"/>
  <c r="K314" i="5"/>
  <c r="K318" i="5"/>
  <c r="K332" i="5"/>
  <c r="K349" i="5"/>
  <c r="K361" i="5"/>
  <c r="K364" i="5"/>
  <c r="K367" i="5"/>
  <c r="K406" i="5"/>
  <c r="K411" i="5"/>
  <c r="K418" i="5"/>
  <c r="K423" i="5"/>
  <c r="K436" i="5"/>
  <c r="K446" i="5"/>
  <c r="J37" i="2"/>
  <c r="J54" i="2"/>
  <c r="J63" i="2"/>
  <c r="K63" i="2" s="1"/>
  <c r="J126" i="2"/>
  <c r="J156" i="2"/>
  <c r="J179" i="2"/>
  <c r="J191" i="2"/>
  <c r="J221" i="2"/>
  <c r="J261" i="2"/>
  <c r="J274" i="2"/>
  <c r="J291" i="2"/>
  <c r="K291" i="2" s="1"/>
  <c r="J305" i="2"/>
  <c r="J309" i="2"/>
  <c r="J323" i="2"/>
  <c r="J340" i="2"/>
  <c r="J352" i="2"/>
  <c r="J355" i="2"/>
  <c r="J358" i="2"/>
  <c r="J397" i="2"/>
  <c r="K397" i="2" s="1"/>
  <c r="J402" i="2"/>
  <c r="J409" i="2"/>
  <c r="J414" i="2"/>
  <c r="J427" i="2"/>
  <c r="K427" i="2" s="1"/>
  <c r="J437" i="2"/>
  <c r="N21" i="35"/>
  <c r="N69" i="35"/>
  <c r="N75" i="35"/>
  <c r="N89" i="35"/>
  <c r="N94" i="35"/>
  <c r="N96" i="35"/>
  <c r="N122" i="35"/>
  <c r="N133" i="35"/>
  <c r="N142" i="35"/>
  <c r="N170" i="35"/>
  <c r="N199" i="35"/>
  <c r="N249" i="35"/>
  <c r="N253" i="35"/>
  <c r="N299" i="35"/>
  <c r="N321" i="35"/>
  <c r="N329" i="35"/>
  <c r="N353" i="35"/>
  <c r="N369" i="35"/>
  <c r="N378" i="35"/>
  <c r="N393" i="35"/>
  <c r="N403" i="35"/>
  <c r="N409" i="35"/>
  <c r="N430" i="35"/>
  <c r="N496" i="35"/>
  <c r="N504" i="35"/>
  <c r="N21" i="14"/>
  <c r="N69" i="14"/>
  <c r="N75" i="14"/>
  <c r="N89" i="14"/>
  <c r="N94" i="14"/>
  <c r="N96" i="14"/>
  <c r="N122" i="14"/>
  <c r="N133" i="14"/>
  <c r="N142" i="14"/>
  <c r="N170" i="14"/>
  <c r="N199" i="14"/>
  <c r="N249" i="14"/>
  <c r="N253" i="14"/>
  <c r="N299" i="14"/>
  <c r="N321" i="14"/>
  <c r="N329" i="14"/>
  <c r="N353" i="14"/>
  <c r="N369" i="14"/>
  <c r="N378" i="14"/>
  <c r="N393" i="14"/>
  <c r="N403" i="14"/>
  <c r="N409" i="14"/>
  <c r="N430" i="14"/>
  <c r="N496" i="14"/>
  <c r="N504" i="14"/>
  <c r="J21" i="12"/>
  <c r="J69" i="12"/>
  <c r="J75" i="12"/>
  <c r="J89" i="12"/>
  <c r="J94" i="12"/>
  <c r="J96" i="12"/>
  <c r="J122" i="12"/>
  <c r="J133" i="12"/>
  <c r="J142" i="12"/>
  <c r="J170" i="12"/>
  <c r="J199" i="12"/>
  <c r="J249" i="12"/>
  <c r="J253" i="12"/>
  <c r="J299" i="12"/>
  <c r="J321" i="12"/>
  <c r="J329" i="12"/>
  <c r="J353" i="12"/>
  <c r="J369" i="12"/>
  <c r="J378" i="12"/>
  <c r="J393" i="12"/>
  <c r="J403" i="12"/>
  <c r="J409" i="12"/>
  <c r="J430" i="12"/>
  <c r="J496" i="12"/>
  <c r="J504" i="12"/>
  <c r="J21" i="5"/>
  <c r="J69" i="5"/>
  <c r="J75" i="5"/>
  <c r="J89" i="5"/>
  <c r="J94" i="5"/>
  <c r="J96" i="5"/>
  <c r="J122" i="5"/>
  <c r="J133" i="5"/>
  <c r="J142" i="5"/>
  <c r="J170" i="5"/>
  <c r="J199" i="5"/>
  <c r="J249" i="5"/>
  <c r="J253" i="5"/>
  <c r="J299" i="5"/>
  <c r="J321" i="5"/>
  <c r="J329" i="5"/>
  <c r="J353" i="5"/>
  <c r="J369" i="5"/>
  <c r="J378" i="5"/>
  <c r="J393" i="5"/>
  <c r="J403" i="5"/>
  <c r="J409" i="5"/>
  <c r="J430" i="5"/>
  <c r="J496" i="5"/>
  <c r="J504" i="5"/>
  <c r="I12" i="2"/>
  <c r="I60" i="2"/>
  <c r="I66" i="2"/>
  <c r="I80" i="2"/>
  <c r="I85" i="2"/>
  <c r="I87" i="2"/>
  <c r="I113" i="2"/>
  <c r="I124" i="2"/>
  <c r="I133" i="2"/>
  <c r="I161" i="2"/>
  <c r="I190" i="2"/>
  <c r="I240" i="2"/>
  <c r="I244" i="2"/>
  <c r="I290" i="2"/>
  <c r="I312" i="2"/>
  <c r="I320" i="2"/>
  <c r="K320" i="2" s="1"/>
  <c r="I344" i="2"/>
  <c r="I360" i="2"/>
  <c r="I369" i="2"/>
  <c r="I384" i="2"/>
  <c r="I394" i="2"/>
  <c r="I400" i="2"/>
  <c r="I421" i="2"/>
  <c r="I487" i="2"/>
  <c r="I495" i="2"/>
  <c r="M20" i="35"/>
  <c r="M36" i="35"/>
  <c r="M37" i="35"/>
  <c r="M52" i="35"/>
  <c r="M104" i="35"/>
  <c r="M119" i="35"/>
  <c r="M140" i="35"/>
  <c r="M144" i="35"/>
  <c r="M153" i="35"/>
  <c r="M178" i="35"/>
  <c r="M183" i="35"/>
  <c r="M205" i="35"/>
  <c r="M226" i="35"/>
  <c r="M243" i="35"/>
  <c r="M247" i="35"/>
  <c r="M251" i="35"/>
  <c r="M287" i="35"/>
  <c r="M394" i="35"/>
  <c r="M396" i="35"/>
  <c r="M400" i="35"/>
  <c r="M436" i="35"/>
  <c r="M438" i="35"/>
  <c r="M454" i="35"/>
  <c r="M461" i="35"/>
  <c r="M498" i="35"/>
  <c r="M20" i="14"/>
  <c r="M36" i="14"/>
  <c r="M37" i="14"/>
  <c r="M52" i="14"/>
  <c r="E2" i="113" s="1" a="1"/>
  <c r="E2" i="113" s="1"/>
  <c r="M104" i="14"/>
  <c r="M119" i="14"/>
  <c r="M140" i="14"/>
  <c r="M144" i="14"/>
  <c r="M153" i="14"/>
  <c r="M178" i="14"/>
  <c r="M183" i="14"/>
  <c r="M205" i="14"/>
  <c r="M226" i="14"/>
  <c r="M243" i="14"/>
  <c r="M247" i="14"/>
  <c r="M251" i="14"/>
  <c r="M287" i="14"/>
  <c r="M394" i="14"/>
  <c r="M396" i="14"/>
  <c r="M400" i="14"/>
  <c r="M436" i="14"/>
  <c r="M438" i="14"/>
  <c r="M454" i="14"/>
  <c r="M461" i="14"/>
  <c r="M498" i="14"/>
  <c r="I20" i="12"/>
  <c r="I36" i="12"/>
  <c r="I37" i="12"/>
  <c r="I52" i="12"/>
  <c r="I104" i="12"/>
  <c r="I119" i="12"/>
  <c r="I140" i="12"/>
  <c r="I144" i="12"/>
  <c r="I153" i="12"/>
  <c r="I178" i="12"/>
  <c r="I183" i="12"/>
  <c r="I205" i="12"/>
  <c r="I226" i="12"/>
  <c r="I243" i="12"/>
  <c r="I247" i="12"/>
  <c r="I251" i="12"/>
  <c r="I287" i="12"/>
  <c r="I394" i="12"/>
  <c r="I396" i="12"/>
  <c r="I400" i="12"/>
  <c r="I436" i="12"/>
  <c r="I438" i="12"/>
  <c r="I454" i="12"/>
  <c r="I461" i="12"/>
  <c r="I498" i="12"/>
  <c r="I20" i="5"/>
  <c r="I36" i="5"/>
  <c r="I37" i="5"/>
  <c r="I52" i="5"/>
  <c r="I104" i="5"/>
  <c r="I119" i="5"/>
  <c r="I140" i="5"/>
  <c r="I144" i="5"/>
  <c r="I153" i="5"/>
  <c r="I178" i="5"/>
  <c r="I183" i="5"/>
  <c r="I205" i="5"/>
  <c r="I226" i="5"/>
  <c r="I243" i="5"/>
  <c r="I247" i="5"/>
  <c r="I251" i="5"/>
  <c r="I287" i="5"/>
  <c r="I394" i="5"/>
  <c r="I396" i="5"/>
  <c r="I400" i="5"/>
  <c r="I436" i="5"/>
  <c r="I438" i="5"/>
  <c r="I454" i="5"/>
  <c r="I461" i="5"/>
  <c r="I498" i="5"/>
  <c r="H11" i="2"/>
  <c r="H27" i="2"/>
  <c r="H28" i="2"/>
  <c r="H43" i="2"/>
  <c r="H95" i="2"/>
  <c r="H110" i="2"/>
  <c r="H131" i="2"/>
  <c r="H135" i="2"/>
  <c r="K135" i="2" s="1"/>
  <c r="H144" i="2"/>
  <c r="H169" i="2"/>
  <c r="H174" i="2"/>
  <c r="H196" i="2"/>
  <c r="K196" i="2" s="1"/>
  <c r="H217" i="2"/>
  <c r="H234" i="2"/>
  <c r="H238" i="2"/>
  <c r="H242" i="2"/>
  <c r="K242" i="2" s="1"/>
  <c r="H278" i="2"/>
  <c r="H385" i="2"/>
  <c r="H387" i="2"/>
  <c r="K387" i="2" s="1"/>
  <c r="H391" i="2"/>
  <c r="K391" i="2" s="1"/>
  <c r="H427" i="2"/>
  <c r="H429" i="2"/>
  <c r="H445" i="2"/>
  <c r="K445" i="2" s="1"/>
  <c r="H452" i="2"/>
  <c r="K452" i="2" s="1"/>
  <c r="H489" i="2"/>
  <c r="L25" i="35"/>
  <c r="L95" i="35"/>
  <c r="L123" i="35"/>
  <c r="L150" i="35"/>
  <c r="L183" i="35"/>
  <c r="L210" i="35"/>
  <c r="L218" i="35"/>
  <c r="L225" i="35"/>
  <c r="L234" i="35"/>
  <c r="L259" i="35"/>
  <c r="L260" i="35"/>
  <c r="L286" i="35"/>
  <c r="L290" i="35"/>
  <c r="L319" i="35"/>
  <c r="L353" i="35"/>
  <c r="L358" i="35"/>
  <c r="L381" i="35"/>
  <c r="L387" i="35"/>
  <c r="L393" i="35"/>
  <c r="L419" i="35"/>
  <c r="L420" i="35"/>
  <c r="L438" i="35"/>
  <c r="L441" i="35"/>
  <c r="L470" i="35"/>
  <c r="L499" i="35"/>
  <c r="L25" i="14"/>
  <c r="L95" i="14"/>
  <c r="L123" i="14"/>
  <c r="L150" i="14"/>
  <c r="L183" i="14"/>
  <c r="L210" i="14"/>
  <c r="L218" i="14"/>
  <c r="L225" i="14"/>
  <c r="L234" i="14"/>
  <c r="L259" i="14"/>
  <c r="L260" i="14"/>
  <c r="L286" i="14"/>
  <c r="L290" i="14"/>
  <c r="L319" i="14"/>
  <c r="L353" i="14"/>
  <c r="L358" i="14"/>
  <c r="L381" i="14"/>
  <c r="L387" i="14"/>
  <c r="L393" i="14"/>
  <c r="L419" i="14"/>
  <c r="L420" i="14"/>
  <c r="L438" i="14"/>
  <c r="L441" i="14"/>
  <c r="L470" i="14"/>
  <c r="L499" i="14"/>
  <c r="H25" i="12"/>
  <c r="H95" i="12"/>
  <c r="H123" i="12"/>
  <c r="H150" i="12"/>
  <c r="H183" i="12"/>
  <c r="H210" i="12"/>
  <c r="H218" i="12"/>
  <c r="H225" i="12"/>
  <c r="H234" i="12"/>
  <c r="H259" i="12"/>
  <c r="H260" i="12"/>
  <c r="H286" i="12"/>
  <c r="H290" i="12"/>
  <c r="H319" i="12"/>
  <c r="H353" i="12"/>
  <c r="H358" i="12"/>
  <c r="H381" i="12"/>
  <c r="H387" i="12"/>
  <c r="H393" i="12"/>
  <c r="H419" i="12"/>
  <c r="H420" i="12"/>
  <c r="H438" i="12"/>
  <c r="H441" i="12"/>
  <c r="H470" i="12"/>
  <c r="H499" i="12"/>
  <c r="H25" i="5"/>
  <c r="H95" i="5"/>
  <c r="H123" i="5"/>
  <c r="H150" i="5"/>
  <c r="H183" i="5"/>
  <c r="H210" i="5"/>
  <c r="H218" i="5"/>
  <c r="H225" i="5"/>
  <c r="H234" i="5"/>
  <c r="H259" i="5"/>
  <c r="H260" i="5"/>
  <c r="H286" i="5"/>
  <c r="H290" i="5"/>
  <c r="H319" i="5"/>
  <c r="H353" i="5"/>
  <c r="H358" i="5"/>
  <c r="H381" i="5"/>
  <c r="H387" i="5"/>
  <c r="H393" i="5"/>
  <c r="H419" i="5"/>
  <c r="H420" i="5"/>
  <c r="H438" i="5"/>
  <c r="H441" i="5"/>
  <c r="H470" i="5"/>
  <c r="H499" i="5"/>
  <c r="G16" i="2"/>
  <c r="G86" i="2"/>
  <c r="G114" i="2"/>
  <c r="G141" i="2"/>
  <c r="K141" i="2" s="1"/>
  <c r="G174" i="2"/>
  <c r="G201" i="2"/>
  <c r="G209" i="2"/>
  <c r="G216" i="2"/>
  <c r="K216" i="2" s="1"/>
  <c r="G225" i="2"/>
  <c r="G250" i="2"/>
  <c r="G251" i="2"/>
  <c r="K251" i="2" s="1"/>
  <c r="G277" i="2"/>
  <c r="K277" i="2" s="1"/>
  <c r="G281" i="2"/>
  <c r="G310" i="2"/>
  <c r="G344" i="2"/>
  <c r="G349" i="2"/>
  <c r="K349" i="2" s="1"/>
  <c r="G372" i="2"/>
  <c r="G378" i="2"/>
  <c r="G384" i="2"/>
  <c r="G410" i="2"/>
  <c r="G411" i="2"/>
  <c r="G429" i="2"/>
  <c r="G432" i="2"/>
  <c r="K432" i="2" s="1"/>
  <c r="G461" i="2"/>
  <c r="K461" i="2" s="1"/>
  <c r="G490" i="2"/>
  <c r="K42" i="35"/>
  <c r="K43" i="35"/>
  <c r="K52" i="35"/>
  <c r="K81" i="35"/>
  <c r="K88" i="35"/>
  <c r="K89" i="35"/>
  <c r="K116" i="35"/>
  <c r="K120" i="35"/>
  <c r="K129" i="35"/>
  <c r="K180" i="35"/>
  <c r="K207" i="35"/>
  <c r="K210" i="35"/>
  <c r="K219" i="35"/>
  <c r="K223" i="35"/>
  <c r="K226" i="35"/>
  <c r="K249" i="35"/>
  <c r="K288" i="35"/>
  <c r="K310" i="35"/>
  <c r="K366" i="35"/>
  <c r="K367" i="35"/>
  <c r="K372" i="35"/>
  <c r="K437" i="35"/>
  <c r="K474" i="35"/>
  <c r="K495" i="35"/>
  <c r="G42" i="12"/>
  <c r="G43" i="12"/>
  <c r="G52" i="12"/>
  <c r="G81" i="12"/>
  <c r="G88" i="12"/>
  <c r="G89" i="12"/>
  <c r="G116" i="12"/>
  <c r="G120" i="12"/>
  <c r="G129" i="12"/>
  <c r="G180" i="12"/>
  <c r="G207" i="12"/>
  <c r="G210" i="12"/>
  <c r="G219" i="12"/>
  <c r="G223" i="12"/>
  <c r="G226" i="12"/>
  <c r="G249" i="12"/>
  <c r="G288" i="12"/>
  <c r="G310" i="12"/>
  <c r="G366" i="12"/>
  <c r="G367" i="12"/>
  <c r="G372" i="12"/>
  <c r="G405" i="12"/>
  <c r="G437" i="12"/>
  <c r="G474" i="12"/>
  <c r="G495" i="12"/>
  <c r="K18" i="2"/>
  <c r="K410" i="2"/>
  <c r="K42" i="14"/>
  <c r="K43" i="14"/>
  <c r="K52" i="14"/>
  <c r="K81" i="14"/>
  <c r="K88" i="14"/>
  <c r="K89" i="14"/>
  <c r="K116" i="14"/>
  <c r="K120" i="14"/>
  <c r="K129" i="14"/>
  <c r="K180" i="14"/>
  <c r="K207" i="14"/>
  <c r="K210" i="14"/>
  <c r="K219" i="14"/>
  <c r="K223" i="14"/>
  <c r="K226" i="14"/>
  <c r="K249" i="14"/>
  <c r="K288" i="14"/>
  <c r="K310" i="14"/>
  <c r="K366" i="14"/>
  <c r="K367" i="14"/>
  <c r="K372" i="14"/>
  <c r="K405" i="14"/>
  <c r="K437" i="14"/>
  <c r="K474" i="14"/>
  <c r="K495" i="14"/>
  <c r="G43" i="5"/>
  <c r="G52" i="5"/>
  <c r="G81" i="5"/>
  <c r="G88" i="5"/>
  <c r="G89" i="5"/>
  <c r="G116" i="5"/>
  <c r="G120" i="5"/>
  <c r="G129" i="5"/>
  <c r="G180" i="5"/>
  <c r="G207" i="5"/>
  <c r="G210" i="5"/>
  <c r="G219" i="5"/>
  <c r="G223" i="5"/>
  <c r="G226" i="5"/>
  <c r="G249" i="5"/>
  <c r="G288" i="5"/>
  <c r="G310" i="5"/>
  <c r="G366" i="5"/>
  <c r="G367" i="5"/>
  <c r="G372" i="5"/>
  <c r="G405" i="5"/>
  <c r="G437" i="5"/>
  <c r="G474" i="5"/>
  <c r="G495" i="5"/>
  <c r="F357" i="2"/>
  <c r="F358" i="2"/>
  <c r="F363" i="2"/>
  <c r="F396" i="2"/>
  <c r="K396" i="2" s="1"/>
  <c r="F428" i="2"/>
  <c r="K428" i="2" s="1"/>
  <c r="F465" i="2"/>
  <c r="F486" i="2"/>
  <c r="K17" i="2"/>
  <c r="K16" i="2"/>
  <c r="K15" i="2"/>
  <c r="K14" i="2"/>
  <c r="K13" i="2"/>
  <c r="K12" i="2"/>
  <c r="K11" i="2"/>
  <c r="K10" i="2"/>
  <c r="K9" i="2"/>
  <c r="K8" i="2"/>
  <c r="K7" i="2"/>
  <c r="K6" i="2"/>
  <c r="K5" i="2"/>
  <c r="K4" i="2"/>
  <c r="K3" i="2"/>
  <c r="K2" i="2"/>
  <c r="K32" i="2"/>
  <c r="K31" i="2"/>
  <c r="K30" i="2"/>
  <c r="K29" i="2"/>
  <c r="K28" i="2"/>
  <c r="K27" i="2"/>
  <c r="K26" i="2"/>
  <c r="K25" i="2"/>
  <c r="K24" i="2"/>
  <c r="K23" i="2"/>
  <c r="K22" i="2"/>
  <c r="K21" i="2"/>
  <c r="K20" i="2"/>
  <c r="K19" i="2"/>
  <c r="K33" i="2"/>
  <c r="K48" i="2"/>
  <c r="K47" i="2"/>
  <c r="K46" i="2"/>
  <c r="K45" i="2"/>
  <c r="K44" i="2"/>
  <c r="K43" i="2"/>
  <c r="K42" i="2"/>
  <c r="K41" i="2"/>
  <c r="K40" i="2"/>
  <c r="K39" i="2"/>
  <c r="K38" i="2"/>
  <c r="K37" i="2"/>
  <c r="K36" i="2"/>
  <c r="K35" i="2"/>
  <c r="K34" i="2"/>
  <c r="K49" i="2"/>
  <c r="K64" i="2"/>
  <c r="K62" i="2"/>
  <c r="K61" i="2"/>
  <c r="K60" i="2"/>
  <c r="K59" i="2"/>
  <c r="K58" i="2"/>
  <c r="K57" i="2"/>
  <c r="K56" i="2"/>
  <c r="K55" i="2"/>
  <c r="K54" i="2"/>
  <c r="K53" i="2"/>
  <c r="K52" i="2"/>
  <c r="K51" i="2"/>
  <c r="K50" i="2"/>
  <c r="K65" i="2"/>
  <c r="K80" i="2"/>
  <c r="K79" i="2"/>
  <c r="K78" i="2"/>
  <c r="K77" i="2"/>
  <c r="K76" i="2"/>
  <c r="K75" i="2"/>
  <c r="K74" i="2"/>
  <c r="K73" i="2"/>
  <c r="K72" i="2"/>
  <c r="K71" i="2"/>
  <c r="K70" i="2"/>
  <c r="K69" i="2"/>
  <c r="K68" i="2"/>
  <c r="K67" i="2"/>
  <c r="K66" i="2"/>
  <c r="K81" i="2"/>
  <c r="K96" i="2"/>
  <c r="K95" i="2"/>
  <c r="K94" i="2"/>
  <c r="K93" i="2"/>
  <c r="K92" i="2"/>
  <c r="K91" i="2"/>
  <c r="K90" i="2"/>
  <c r="K89" i="2"/>
  <c r="K88" i="2"/>
  <c r="K87" i="2"/>
  <c r="K86" i="2"/>
  <c r="K85" i="2"/>
  <c r="K84" i="2"/>
  <c r="K83" i="2"/>
  <c r="K82" i="2"/>
  <c r="K97" i="2"/>
  <c r="K112" i="2"/>
  <c r="K111" i="2"/>
  <c r="K110" i="2"/>
  <c r="K109" i="2"/>
  <c r="K108" i="2"/>
  <c r="K107" i="2"/>
  <c r="K106" i="2"/>
  <c r="K105" i="2"/>
  <c r="K104" i="2"/>
  <c r="K103" i="2"/>
  <c r="K102" i="2"/>
  <c r="K101" i="2"/>
  <c r="K100" i="2"/>
  <c r="K99" i="2"/>
  <c r="K98" i="2"/>
  <c r="K113" i="2"/>
  <c r="K128" i="2"/>
  <c r="K127" i="2"/>
  <c r="K126" i="2"/>
  <c r="K125" i="2"/>
  <c r="K124" i="2"/>
  <c r="K123" i="2"/>
  <c r="K122" i="2"/>
  <c r="K121" i="2"/>
  <c r="K120" i="2"/>
  <c r="K119" i="2"/>
  <c r="K118" i="2"/>
  <c r="K117" i="2"/>
  <c r="K116" i="2"/>
  <c r="K115" i="2"/>
  <c r="K114" i="2"/>
  <c r="K129" i="2"/>
  <c r="K144" i="2"/>
  <c r="K143" i="2"/>
  <c r="K142" i="2"/>
  <c r="K140" i="2"/>
  <c r="K139" i="2"/>
  <c r="K138" i="2"/>
  <c r="K137" i="2"/>
  <c r="K136" i="2"/>
  <c r="K134" i="2"/>
  <c r="K133" i="2"/>
  <c r="K132" i="2"/>
  <c r="K131" i="2"/>
  <c r="K130" i="2"/>
  <c r="K145" i="2"/>
  <c r="K160" i="2"/>
  <c r="K159" i="2"/>
  <c r="K158" i="2"/>
  <c r="K157" i="2"/>
  <c r="K156" i="2"/>
  <c r="K155" i="2"/>
  <c r="K154" i="2"/>
  <c r="K153" i="2"/>
  <c r="K152" i="2"/>
  <c r="K151" i="2"/>
  <c r="K150" i="2"/>
  <c r="K149" i="2"/>
  <c r="K148" i="2"/>
  <c r="K147" i="2"/>
  <c r="K146" i="2"/>
  <c r="K161" i="2"/>
  <c r="K176" i="2"/>
  <c r="K175" i="2"/>
  <c r="K174" i="2"/>
  <c r="K173" i="2"/>
  <c r="K172" i="2"/>
  <c r="K171" i="2"/>
  <c r="K170" i="2"/>
  <c r="K169" i="2"/>
  <c r="K168" i="2"/>
  <c r="K167" i="2"/>
  <c r="K166" i="2"/>
  <c r="K165" i="2"/>
  <c r="K164" i="2"/>
  <c r="K163" i="2"/>
  <c r="K162" i="2"/>
  <c r="K177" i="2"/>
  <c r="K192" i="2"/>
  <c r="K191" i="2"/>
  <c r="K190" i="2"/>
  <c r="K189" i="2"/>
  <c r="K188" i="2"/>
  <c r="K187" i="2"/>
  <c r="K186" i="2"/>
  <c r="K185" i="2"/>
  <c r="K184" i="2"/>
  <c r="K183" i="2"/>
  <c r="K182" i="2"/>
  <c r="K181" i="2"/>
  <c r="K180" i="2"/>
  <c r="K179" i="2"/>
  <c r="K178" i="2"/>
  <c r="K193" i="2"/>
  <c r="K208" i="2"/>
  <c r="K207" i="2"/>
  <c r="K206" i="2"/>
  <c r="K205" i="2"/>
  <c r="K204" i="2"/>
  <c r="K203" i="2"/>
  <c r="K202" i="2"/>
  <c r="K201" i="2"/>
  <c r="K200" i="2"/>
  <c r="K199" i="2"/>
  <c r="K198" i="2"/>
  <c r="K197" i="2"/>
  <c r="K195" i="2"/>
  <c r="K194" i="2"/>
  <c r="K209" i="2"/>
  <c r="K224" i="2"/>
  <c r="K223" i="2"/>
  <c r="K222" i="2"/>
  <c r="K221" i="2"/>
  <c r="K220" i="2"/>
  <c r="K219" i="2"/>
  <c r="K218" i="2"/>
  <c r="K217" i="2"/>
  <c r="K215" i="2"/>
  <c r="K214" i="2"/>
  <c r="K213" i="2"/>
  <c r="K212" i="2"/>
  <c r="K211" i="2"/>
  <c r="K210" i="2"/>
  <c r="K225" i="2"/>
  <c r="K240" i="2"/>
  <c r="K239" i="2"/>
  <c r="K238" i="2"/>
  <c r="K237" i="2"/>
  <c r="K236" i="2"/>
  <c r="K235" i="2"/>
  <c r="K234" i="2"/>
  <c r="K233" i="2"/>
  <c r="K232" i="2"/>
  <c r="K231" i="2"/>
  <c r="K230" i="2"/>
  <c r="K229" i="2"/>
  <c r="K228" i="2"/>
  <c r="K227" i="2"/>
  <c r="K226" i="2"/>
  <c r="K241" i="2"/>
  <c r="K256" i="2"/>
  <c r="K255" i="2"/>
  <c r="K254" i="2"/>
  <c r="K253" i="2"/>
  <c r="K252" i="2"/>
  <c r="K250" i="2"/>
  <c r="K249" i="2"/>
  <c r="K248" i="2"/>
  <c r="K247" i="2"/>
  <c r="K246" i="2"/>
  <c r="K245" i="2"/>
  <c r="K244" i="2"/>
  <c r="K243" i="2"/>
  <c r="K257" i="2"/>
  <c r="K272" i="2"/>
  <c r="K271" i="2"/>
  <c r="K270" i="2"/>
  <c r="K269" i="2"/>
  <c r="K268" i="2"/>
  <c r="K267" i="2"/>
  <c r="K266" i="2"/>
  <c r="K265" i="2"/>
  <c r="K264" i="2"/>
  <c r="K263" i="2"/>
  <c r="K262" i="2"/>
  <c r="K261" i="2"/>
  <c r="K260" i="2"/>
  <c r="K259" i="2"/>
  <c r="K258" i="2"/>
  <c r="K273" i="2"/>
  <c r="K288" i="2"/>
  <c r="K287" i="2"/>
  <c r="K286" i="2"/>
  <c r="K285" i="2"/>
  <c r="K284" i="2"/>
  <c r="K283" i="2"/>
  <c r="K282" i="2"/>
  <c r="K281" i="2"/>
  <c r="K280" i="2"/>
  <c r="K279" i="2"/>
  <c r="K278" i="2"/>
  <c r="K276" i="2"/>
  <c r="K275" i="2"/>
  <c r="K274" i="2"/>
  <c r="K289" i="2"/>
  <c r="K304" i="2"/>
  <c r="K303" i="2"/>
  <c r="K302" i="2"/>
  <c r="K301" i="2"/>
  <c r="K300" i="2"/>
  <c r="K299" i="2"/>
  <c r="K298" i="2"/>
  <c r="K297" i="2"/>
  <c r="K296" i="2"/>
  <c r="K295" i="2"/>
  <c r="K294" i="2"/>
  <c r="K293" i="2"/>
  <c r="K292" i="2"/>
  <c r="K290" i="2"/>
  <c r="K305" i="2"/>
  <c r="K319" i="2"/>
  <c r="K318" i="2"/>
  <c r="K317" i="2"/>
  <c r="K316" i="2"/>
  <c r="K315" i="2"/>
  <c r="K314" i="2"/>
  <c r="K313" i="2"/>
  <c r="K312" i="2"/>
  <c r="K311" i="2"/>
  <c r="K310" i="2"/>
  <c r="K309" i="2"/>
  <c r="K308" i="2"/>
  <c r="K307" i="2"/>
  <c r="K306" i="2"/>
  <c r="K321" i="2"/>
  <c r="K336" i="2"/>
  <c r="K335" i="2"/>
  <c r="K334" i="2"/>
  <c r="K333" i="2"/>
  <c r="K332" i="2"/>
  <c r="K331" i="2"/>
  <c r="K330" i="2"/>
  <c r="K329" i="2"/>
  <c r="K328" i="2"/>
  <c r="K327" i="2"/>
  <c r="K326" i="2"/>
  <c r="K325" i="2"/>
  <c r="K324" i="2"/>
  <c r="K323" i="2"/>
  <c r="K322" i="2"/>
  <c r="K337" i="2"/>
  <c r="K352" i="2"/>
  <c r="K351" i="2"/>
  <c r="K350" i="2"/>
  <c r="K348" i="2"/>
  <c r="K347" i="2"/>
  <c r="K346" i="2"/>
  <c r="K345" i="2"/>
  <c r="K344" i="2"/>
  <c r="K343" i="2"/>
  <c r="K342" i="2"/>
  <c r="K341" i="2"/>
  <c r="K340" i="2"/>
  <c r="K339" i="2"/>
  <c r="K338" i="2"/>
  <c r="K353" i="2"/>
  <c r="K368" i="2"/>
  <c r="K367" i="2"/>
  <c r="K366" i="2"/>
  <c r="K365" i="2"/>
  <c r="K364" i="2"/>
  <c r="K363" i="2"/>
  <c r="K362" i="2"/>
  <c r="K361" i="2"/>
  <c r="K360" i="2"/>
  <c r="K359" i="2"/>
  <c r="K358" i="2"/>
  <c r="K357" i="2"/>
  <c r="K356" i="2"/>
  <c r="K355" i="2"/>
  <c r="K354" i="2"/>
  <c r="K369" i="2"/>
  <c r="K384" i="2"/>
  <c r="K383" i="2"/>
  <c r="K382" i="2"/>
  <c r="K381" i="2"/>
  <c r="K380" i="2"/>
  <c r="K379" i="2"/>
  <c r="K378" i="2"/>
  <c r="K377" i="2"/>
  <c r="K376" i="2"/>
  <c r="K375" i="2"/>
  <c r="K374" i="2"/>
  <c r="K373" i="2"/>
  <c r="K372" i="2"/>
  <c r="K371" i="2"/>
  <c r="K370" i="2"/>
  <c r="K385" i="2"/>
  <c r="K400" i="2"/>
  <c r="K399" i="2"/>
  <c r="K398" i="2"/>
  <c r="K395" i="2"/>
  <c r="K394" i="2"/>
  <c r="K393" i="2"/>
  <c r="K392" i="2"/>
  <c r="K390" i="2"/>
  <c r="K389" i="2"/>
  <c r="K388" i="2"/>
  <c r="K386" i="2"/>
  <c r="K401" i="2"/>
  <c r="K416" i="2"/>
  <c r="K415" i="2"/>
  <c r="K414" i="2"/>
  <c r="K413" i="2"/>
  <c r="K412" i="2"/>
  <c r="K411" i="2"/>
  <c r="K409" i="2"/>
  <c r="K408" i="2"/>
  <c r="K407" i="2"/>
  <c r="K406" i="2"/>
  <c r="K405" i="2"/>
  <c r="K404" i="2"/>
  <c r="K403" i="2"/>
  <c r="K402" i="2"/>
  <c r="K417" i="2"/>
  <c r="K431" i="2"/>
  <c r="K430" i="2"/>
  <c r="K429" i="2"/>
  <c r="K426" i="2"/>
  <c r="K425" i="2"/>
  <c r="K424" i="2"/>
  <c r="K423" i="2"/>
  <c r="K422" i="2"/>
  <c r="K421" i="2"/>
  <c r="K420" i="2"/>
  <c r="K419" i="2"/>
  <c r="K418" i="2"/>
  <c r="K433" i="2"/>
  <c r="K448" i="2"/>
  <c r="K447" i="2"/>
  <c r="K446" i="2"/>
  <c r="K444" i="2"/>
  <c r="K443" i="2"/>
  <c r="K442" i="2"/>
  <c r="K441" i="2"/>
  <c r="K440" i="2"/>
  <c r="K439" i="2"/>
  <c r="K438" i="2"/>
  <c r="K437" i="2"/>
  <c r="K436" i="2"/>
  <c r="K435" i="2"/>
  <c r="K434" i="2"/>
  <c r="K449" i="2"/>
  <c r="K464" i="2"/>
  <c r="K463" i="2"/>
  <c r="K462" i="2"/>
  <c r="K460" i="2"/>
  <c r="K459" i="2"/>
  <c r="K458" i="2"/>
  <c r="K457" i="2"/>
  <c r="K456" i="2"/>
  <c r="K455" i="2"/>
  <c r="K454" i="2"/>
  <c r="K453" i="2"/>
  <c r="K451" i="2"/>
  <c r="K450" i="2"/>
  <c r="K465" i="2"/>
  <c r="K480" i="2"/>
  <c r="K479" i="2"/>
  <c r="K478" i="2"/>
  <c r="K477" i="2"/>
  <c r="K476" i="2"/>
  <c r="K475" i="2"/>
  <c r="K474" i="2"/>
  <c r="K473" i="2"/>
  <c r="K472" i="2"/>
  <c r="K471" i="2"/>
  <c r="K470" i="2"/>
  <c r="K469" i="2"/>
  <c r="K468" i="2"/>
  <c r="K467" i="2"/>
  <c r="K466" i="2"/>
  <c r="K481" i="2"/>
  <c r="K496" i="2"/>
  <c r="K495" i="2"/>
  <c r="K494" i="2"/>
  <c r="K493" i="2"/>
  <c r="K492" i="2"/>
  <c r="K491" i="2"/>
  <c r="K490" i="2"/>
  <c r="K489" i="2"/>
  <c r="K488" i="2"/>
  <c r="K487" i="2"/>
  <c r="K486" i="2"/>
  <c r="K485" i="2"/>
  <c r="K484" i="2"/>
  <c r="K483" i="2"/>
  <c r="K482" i="2"/>
  <c r="K497" i="2"/>
  <c r="K501" i="2"/>
  <c r="K500" i="2"/>
  <c r="K499" i="2"/>
  <c r="K498" i="2"/>
  <c r="M3" i="2"/>
  <c r="I2" i="95" a="1"/>
  <c r="I2" i="95" s="1"/>
  <c r="E2" i="95" a="1"/>
  <c r="E2" i="95"/>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D2" i="120" s="1"/>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R11" i="14"/>
  <c r="R12" i="14"/>
  <c r="R13" i="14"/>
  <c r="R14" i="14"/>
  <c r="R15" i="1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57" i="14"/>
  <c r="R58" i="14"/>
  <c r="R59" i="14"/>
  <c r="R60" i="14"/>
  <c r="R61" i="14"/>
  <c r="R62" i="14"/>
  <c r="R63" i="14"/>
  <c r="R64" i="14"/>
  <c r="R65" i="14"/>
  <c r="R66" i="14"/>
  <c r="R67" i="14"/>
  <c r="R68" i="14"/>
  <c r="R69" i="14"/>
  <c r="R70" i="14"/>
  <c r="R71" i="14"/>
  <c r="R72" i="14"/>
  <c r="R73" i="14"/>
  <c r="R74" i="14"/>
  <c r="R75" i="14"/>
  <c r="R76" i="14"/>
  <c r="R77" i="14"/>
  <c r="R78" i="14"/>
  <c r="R79" i="14"/>
  <c r="R80" i="14"/>
  <c r="R81" i="14"/>
  <c r="R82" i="14"/>
  <c r="R83" i="14"/>
  <c r="R84" i="14"/>
  <c r="R85" i="14"/>
  <c r="R86" i="14"/>
  <c r="R87" i="14"/>
  <c r="R88" i="14"/>
  <c r="R89" i="14"/>
  <c r="R90" i="14"/>
  <c r="R91" i="14"/>
  <c r="R92" i="14"/>
  <c r="R93" i="14"/>
  <c r="R94" i="14"/>
  <c r="R95" i="14"/>
  <c r="R96" i="14"/>
  <c r="R97" i="14"/>
  <c r="R98" i="14"/>
  <c r="R99" i="14"/>
  <c r="R100" i="14"/>
  <c r="R101" i="14"/>
  <c r="R102" i="14"/>
  <c r="R103" i="14"/>
  <c r="R104" i="14"/>
  <c r="R105" i="14"/>
  <c r="R106" i="14"/>
  <c r="R107" i="14"/>
  <c r="R108" i="14"/>
  <c r="R109" i="14"/>
  <c r="R110" i="14"/>
  <c r="R111" i="14"/>
  <c r="R112" i="14"/>
  <c r="R113" i="14"/>
  <c r="R114" i="14"/>
  <c r="R115" i="14"/>
  <c r="R116" i="14"/>
  <c r="R117" i="14"/>
  <c r="R118" i="14"/>
  <c r="R119" i="14"/>
  <c r="R120" i="14"/>
  <c r="R121" i="14"/>
  <c r="R122" i="14"/>
  <c r="R123" i="14"/>
  <c r="R124" i="14"/>
  <c r="R125" i="14"/>
  <c r="R126" i="14"/>
  <c r="R127" i="14"/>
  <c r="R128" i="14"/>
  <c r="R129" i="14"/>
  <c r="R130" i="14"/>
  <c r="R131" i="14"/>
  <c r="R132" i="14"/>
  <c r="R133" i="14"/>
  <c r="R134" i="14"/>
  <c r="R135" i="14"/>
  <c r="R136" i="14"/>
  <c r="R137" i="14"/>
  <c r="R138" i="14"/>
  <c r="R139" i="14"/>
  <c r="R140" i="14"/>
  <c r="R141" i="14"/>
  <c r="R142" i="14"/>
  <c r="R143" i="14"/>
  <c r="R144" i="14"/>
  <c r="R145" i="14"/>
  <c r="R146" i="14"/>
  <c r="R147" i="14"/>
  <c r="R148" i="14"/>
  <c r="R149" i="14"/>
  <c r="R150" i="14"/>
  <c r="R151" i="14"/>
  <c r="R152" i="14"/>
  <c r="R153" i="14"/>
  <c r="R154" i="14"/>
  <c r="R155" i="14"/>
  <c r="R156" i="14"/>
  <c r="R157" i="14"/>
  <c r="R158" i="14"/>
  <c r="R159" i="14"/>
  <c r="R160" i="14"/>
  <c r="R161" i="14"/>
  <c r="R162" i="14"/>
  <c r="R163" i="14"/>
  <c r="R164" i="14"/>
  <c r="R165" i="14"/>
  <c r="R166" i="14"/>
  <c r="R167" i="14"/>
  <c r="R168" i="14"/>
  <c r="R169" i="14"/>
  <c r="R170" i="14"/>
  <c r="R171" i="14"/>
  <c r="R172" i="14"/>
  <c r="R173" i="14"/>
  <c r="R174" i="14"/>
  <c r="R175" i="14"/>
  <c r="R176" i="14"/>
  <c r="R177" i="14"/>
  <c r="R178" i="14"/>
  <c r="R179" i="14"/>
  <c r="R180" i="14"/>
  <c r="R181" i="14"/>
  <c r="R182" i="14"/>
  <c r="R183" i="14"/>
  <c r="R184" i="14"/>
  <c r="R185" i="14"/>
  <c r="R186" i="14"/>
  <c r="R187" i="14"/>
  <c r="R188" i="14"/>
  <c r="R189" i="14"/>
  <c r="R190" i="14"/>
  <c r="R191" i="14"/>
  <c r="R192" i="14"/>
  <c r="R193" i="14"/>
  <c r="R194" i="14"/>
  <c r="R195" i="14"/>
  <c r="R196" i="14"/>
  <c r="R197" i="14"/>
  <c r="R198" i="14"/>
  <c r="R199" i="14"/>
  <c r="R200" i="14"/>
  <c r="R201" i="14"/>
  <c r="R202" i="14"/>
  <c r="R203" i="14"/>
  <c r="R204" i="14"/>
  <c r="R205" i="14"/>
  <c r="R206" i="14"/>
  <c r="R207" i="14"/>
  <c r="R208" i="14"/>
  <c r="R209" i="14"/>
  <c r="R210" i="14"/>
  <c r="R211" i="14"/>
  <c r="R212" i="14"/>
  <c r="R213" i="14"/>
  <c r="R214" i="14"/>
  <c r="R215" i="14"/>
  <c r="R216" i="14"/>
  <c r="R217" i="14"/>
  <c r="R218" i="14"/>
  <c r="R219" i="14"/>
  <c r="R220" i="14"/>
  <c r="R221" i="14"/>
  <c r="R222" i="14"/>
  <c r="R223" i="14"/>
  <c r="R224" i="14"/>
  <c r="R225" i="14"/>
  <c r="R226" i="14"/>
  <c r="R227" i="14"/>
  <c r="R228" i="14"/>
  <c r="R229" i="14"/>
  <c r="R230" i="14"/>
  <c r="R231" i="14"/>
  <c r="R232" i="14"/>
  <c r="R233" i="14"/>
  <c r="R234" i="14"/>
  <c r="R235" i="14"/>
  <c r="R236" i="14"/>
  <c r="R237" i="14"/>
  <c r="R238" i="14"/>
  <c r="R239" i="14"/>
  <c r="R240" i="14"/>
  <c r="R241" i="14"/>
  <c r="R242" i="14"/>
  <c r="R243" i="14"/>
  <c r="R244" i="14"/>
  <c r="R245" i="14"/>
  <c r="R246" i="14"/>
  <c r="R247" i="14"/>
  <c r="R248" i="14"/>
  <c r="R249" i="14"/>
  <c r="R250" i="14"/>
  <c r="R251" i="14"/>
  <c r="R252" i="14"/>
  <c r="R253" i="14"/>
  <c r="R254" i="14"/>
  <c r="R255" i="14"/>
  <c r="R256" i="14"/>
  <c r="R257" i="14"/>
  <c r="R258" i="14"/>
  <c r="R259" i="14"/>
  <c r="R260" i="14"/>
  <c r="R261" i="14"/>
  <c r="R262" i="14"/>
  <c r="R263" i="14"/>
  <c r="R264" i="14"/>
  <c r="R265" i="14"/>
  <c r="R266" i="14"/>
  <c r="R267" i="14"/>
  <c r="R268" i="14"/>
  <c r="R269" i="14"/>
  <c r="R270" i="14"/>
  <c r="R271" i="14"/>
  <c r="R272" i="14"/>
  <c r="R273" i="14"/>
  <c r="R274" i="14"/>
  <c r="R275" i="14"/>
  <c r="R276" i="14"/>
  <c r="R277" i="14"/>
  <c r="R278" i="14"/>
  <c r="R279" i="14"/>
  <c r="R280" i="14"/>
  <c r="R281" i="14"/>
  <c r="R282" i="14"/>
  <c r="R283" i="14"/>
  <c r="R284" i="14"/>
  <c r="R285" i="14"/>
  <c r="R286" i="14"/>
  <c r="R287" i="14"/>
  <c r="R288" i="14"/>
  <c r="R289" i="14"/>
  <c r="R290" i="14"/>
  <c r="R291" i="14"/>
  <c r="R292" i="14"/>
  <c r="R293" i="14"/>
  <c r="R294" i="14"/>
  <c r="R295" i="14"/>
  <c r="R296" i="14"/>
  <c r="R297" i="14"/>
  <c r="R298" i="14"/>
  <c r="R299" i="14"/>
  <c r="R300" i="14"/>
  <c r="R301" i="14"/>
  <c r="R302" i="14"/>
  <c r="R303" i="14"/>
  <c r="R304" i="14"/>
  <c r="R305" i="14"/>
  <c r="R306" i="14"/>
  <c r="R307" i="14"/>
  <c r="R308" i="14"/>
  <c r="R309" i="14"/>
  <c r="R310" i="14"/>
  <c r="R311" i="14"/>
  <c r="R312" i="14"/>
  <c r="R313" i="14"/>
  <c r="R314" i="14"/>
  <c r="R315" i="14"/>
  <c r="R316" i="14"/>
  <c r="R317" i="14"/>
  <c r="R318" i="14"/>
  <c r="R319" i="14"/>
  <c r="R320" i="14"/>
  <c r="R321" i="14"/>
  <c r="R322" i="14"/>
  <c r="R323" i="14"/>
  <c r="R324" i="14"/>
  <c r="R325" i="14"/>
  <c r="R326" i="14"/>
  <c r="R327" i="14"/>
  <c r="R328" i="14"/>
  <c r="R329" i="14"/>
  <c r="R330" i="14"/>
  <c r="R331" i="14"/>
  <c r="R332" i="14"/>
  <c r="R333" i="14"/>
  <c r="R334" i="14"/>
  <c r="R335" i="14"/>
  <c r="R336" i="14"/>
  <c r="R337" i="14"/>
  <c r="R338" i="14"/>
  <c r="R339" i="14"/>
  <c r="R340" i="14"/>
  <c r="R341" i="14"/>
  <c r="R342" i="14"/>
  <c r="R343" i="14"/>
  <c r="R344" i="14"/>
  <c r="R345" i="14"/>
  <c r="R346" i="14"/>
  <c r="R347" i="14"/>
  <c r="R348" i="14"/>
  <c r="R349" i="14"/>
  <c r="R350" i="14"/>
  <c r="R351" i="14"/>
  <c r="R352" i="14"/>
  <c r="R353" i="14"/>
  <c r="R354" i="14"/>
  <c r="R355" i="14"/>
  <c r="R356" i="14"/>
  <c r="R357" i="14"/>
  <c r="R358" i="14"/>
  <c r="R359" i="14"/>
  <c r="R360" i="14"/>
  <c r="R361" i="14"/>
  <c r="R362" i="14"/>
  <c r="R363" i="14"/>
  <c r="R364" i="14"/>
  <c r="R365" i="14"/>
  <c r="R366" i="14"/>
  <c r="R367" i="14"/>
  <c r="R368" i="14"/>
  <c r="R369" i="14"/>
  <c r="R370" i="14"/>
  <c r="R371" i="14"/>
  <c r="R372" i="14"/>
  <c r="R373" i="14"/>
  <c r="R374" i="14"/>
  <c r="R375" i="14"/>
  <c r="R376" i="14"/>
  <c r="R377" i="14"/>
  <c r="R378" i="14"/>
  <c r="R379" i="14"/>
  <c r="R380" i="14"/>
  <c r="R381" i="14"/>
  <c r="R382" i="14"/>
  <c r="R383" i="14"/>
  <c r="R384" i="14"/>
  <c r="R385" i="14"/>
  <c r="R386" i="14"/>
  <c r="R387" i="14"/>
  <c r="R388" i="14"/>
  <c r="R389" i="14"/>
  <c r="R390" i="14"/>
  <c r="R391" i="14"/>
  <c r="R392" i="14"/>
  <c r="R393" i="14"/>
  <c r="R394" i="14"/>
  <c r="R395" i="14"/>
  <c r="R396" i="14"/>
  <c r="R397" i="14"/>
  <c r="R398" i="14"/>
  <c r="R399" i="14"/>
  <c r="R400" i="14"/>
  <c r="R401" i="14"/>
  <c r="R402" i="14"/>
  <c r="R403" i="14"/>
  <c r="R404" i="14"/>
  <c r="R405" i="14"/>
  <c r="R406" i="14"/>
  <c r="R407" i="14"/>
  <c r="R408" i="14"/>
  <c r="R409" i="14"/>
  <c r="R410" i="14"/>
  <c r="R411" i="14"/>
  <c r="R412" i="14"/>
  <c r="R413" i="14"/>
  <c r="R414" i="14"/>
  <c r="R415" i="14"/>
  <c r="R416" i="14"/>
  <c r="R417" i="14"/>
  <c r="R418" i="14"/>
  <c r="R419" i="14"/>
  <c r="R420" i="14"/>
  <c r="R421" i="14"/>
  <c r="R422" i="14"/>
  <c r="R423" i="14"/>
  <c r="R424" i="14"/>
  <c r="R425" i="14"/>
  <c r="R426" i="14"/>
  <c r="R427" i="14"/>
  <c r="R428" i="14"/>
  <c r="R429" i="14"/>
  <c r="R430" i="14"/>
  <c r="R431" i="14"/>
  <c r="R432" i="14"/>
  <c r="R433" i="14"/>
  <c r="R434" i="14"/>
  <c r="R435" i="14"/>
  <c r="R436" i="14"/>
  <c r="R437" i="14"/>
  <c r="R438" i="14"/>
  <c r="R439" i="14"/>
  <c r="R440" i="14"/>
  <c r="R441" i="14"/>
  <c r="R442" i="14"/>
  <c r="R443" i="14"/>
  <c r="R444" i="14"/>
  <c r="R445" i="14"/>
  <c r="R446" i="14"/>
  <c r="R447" i="14"/>
  <c r="R448" i="14"/>
  <c r="R449" i="14"/>
  <c r="R450" i="14"/>
  <c r="R451" i="14"/>
  <c r="R452" i="14"/>
  <c r="R453" i="14"/>
  <c r="R454" i="14"/>
  <c r="R455" i="14"/>
  <c r="R456" i="14"/>
  <c r="R457" i="14"/>
  <c r="R458" i="14"/>
  <c r="R459" i="14"/>
  <c r="R460" i="14"/>
  <c r="R461" i="14"/>
  <c r="R462" i="14"/>
  <c r="R463" i="14"/>
  <c r="R464" i="14"/>
  <c r="R465" i="14"/>
  <c r="R466" i="14"/>
  <c r="R467" i="14"/>
  <c r="R468" i="14"/>
  <c r="R469" i="14"/>
  <c r="R470" i="14"/>
  <c r="R471" i="14"/>
  <c r="R472" i="14"/>
  <c r="R473" i="14"/>
  <c r="R474" i="14"/>
  <c r="R475" i="14"/>
  <c r="R476" i="14"/>
  <c r="R477" i="14"/>
  <c r="R478" i="14"/>
  <c r="R479" i="14"/>
  <c r="R480" i="14"/>
  <c r="R481" i="14"/>
  <c r="R482" i="14"/>
  <c r="R483" i="14"/>
  <c r="R484" i="14"/>
  <c r="R485" i="14"/>
  <c r="R486" i="14"/>
  <c r="R487" i="14"/>
  <c r="R488" i="14"/>
  <c r="R489" i="14"/>
  <c r="R490" i="14"/>
  <c r="R491" i="14"/>
  <c r="R492" i="14"/>
  <c r="R493" i="14"/>
  <c r="R494" i="14"/>
  <c r="R495" i="14"/>
  <c r="R496" i="14"/>
  <c r="R497" i="14"/>
  <c r="R498" i="14"/>
  <c r="R499" i="14"/>
  <c r="R500" i="14"/>
  <c r="R501" i="14"/>
  <c r="R502" i="14"/>
  <c r="R503" i="14"/>
  <c r="R504" i="14"/>
  <c r="R505" i="14"/>
  <c r="R506" i="14"/>
  <c r="R507" i="14"/>
  <c r="R508" i="14"/>
  <c r="R509" i="14"/>
  <c r="R510" i="14"/>
  <c r="C11" i="35"/>
  <c r="C12" i="35"/>
  <c r="C13" i="35"/>
  <c r="C14" i="35"/>
  <c r="C15" i="35"/>
  <c r="C16" i="35"/>
  <c r="C17" i="35"/>
  <c r="C18" i="35"/>
  <c r="C19" i="35"/>
  <c r="C20" i="35"/>
  <c r="C21" i="35"/>
  <c r="C22" i="35"/>
  <c r="C23" i="35"/>
  <c r="C24" i="35"/>
  <c r="C25" i="35"/>
  <c r="C26" i="35"/>
  <c r="C27" i="35"/>
  <c r="C28" i="35"/>
  <c r="C29" i="35"/>
  <c r="C30" i="35"/>
  <c r="C31" i="35"/>
  <c r="C32" i="35"/>
  <c r="C33" i="35"/>
  <c r="C34" i="35"/>
  <c r="C35" i="35"/>
  <c r="C36" i="35"/>
  <c r="C37" i="35"/>
  <c r="C38" i="35"/>
  <c r="C39" i="35"/>
  <c r="C40" i="35"/>
  <c r="C41" i="35"/>
  <c r="C42" i="35"/>
  <c r="C43" i="35"/>
  <c r="C44" i="35"/>
  <c r="C45" i="35"/>
  <c r="C46" i="35"/>
  <c r="C47" i="35"/>
  <c r="C48" i="35"/>
  <c r="C49" i="35"/>
  <c r="C50" i="35"/>
  <c r="C51" i="35"/>
  <c r="C52" i="35"/>
  <c r="C53" i="35"/>
  <c r="C54" i="35"/>
  <c r="C55" i="35"/>
  <c r="C56" i="35"/>
  <c r="C57" i="35"/>
  <c r="C58" i="35"/>
  <c r="C59" i="35"/>
  <c r="C60" i="35"/>
  <c r="C61" i="35"/>
  <c r="C62" i="35"/>
  <c r="C63" i="35"/>
  <c r="C64" i="35"/>
  <c r="C65" i="35"/>
  <c r="C66" i="35"/>
  <c r="C67" i="35"/>
  <c r="C68" i="35"/>
  <c r="C69" i="35"/>
  <c r="C70" i="35"/>
  <c r="C71" i="35"/>
  <c r="C72" i="35"/>
  <c r="C73" i="35"/>
  <c r="C74" i="35"/>
  <c r="C75" i="35"/>
  <c r="C76" i="35"/>
  <c r="C77" i="35"/>
  <c r="C78" i="35"/>
  <c r="C79" i="35"/>
  <c r="C80" i="35"/>
  <c r="C81" i="35"/>
  <c r="C82" i="35"/>
  <c r="C83" i="35"/>
  <c r="C84" i="35"/>
  <c r="C85" i="35"/>
  <c r="C86" i="35"/>
  <c r="C87" i="35"/>
  <c r="C88" i="35"/>
  <c r="C89" i="35"/>
  <c r="C90" i="35"/>
  <c r="C91" i="35"/>
  <c r="C92" i="35"/>
  <c r="C93" i="35"/>
  <c r="C94" i="35"/>
  <c r="C95" i="35"/>
  <c r="C96" i="35"/>
  <c r="C97" i="35"/>
  <c r="C98" i="35"/>
  <c r="C99" i="35"/>
  <c r="C100" i="35"/>
  <c r="C101" i="35"/>
  <c r="C102" i="35"/>
  <c r="C103" i="35"/>
  <c r="C104" i="35"/>
  <c r="C105" i="35"/>
  <c r="C106" i="35"/>
  <c r="C107" i="35"/>
  <c r="C108" i="35"/>
  <c r="C109" i="35"/>
  <c r="C110" i="35"/>
  <c r="C111" i="35"/>
  <c r="C112" i="35"/>
  <c r="C113" i="35"/>
  <c r="C114" i="35"/>
  <c r="C115" i="35"/>
  <c r="C116" i="35"/>
  <c r="C117" i="35"/>
  <c r="C118" i="35"/>
  <c r="C119" i="35"/>
  <c r="C120" i="35"/>
  <c r="C121" i="35"/>
  <c r="C122" i="35"/>
  <c r="C123" i="35"/>
  <c r="C124" i="35"/>
  <c r="C125" i="35"/>
  <c r="C126" i="35"/>
  <c r="C127" i="35"/>
  <c r="C128" i="35"/>
  <c r="C129" i="35"/>
  <c r="C130" i="35"/>
  <c r="C131" i="35"/>
  <c r="C132" i="35"/>
  <c r="C133" i="35"/>
  <c r="C134" i="35"/>
  <c r="C135" i="35"/>
  <c r="C136" i="35"/>
  <c r="C137" i="35"/>
  <c r="C138" i="35"/>
  <c r="C139" i="35"/>
  <c r="C140" i="35"/>
  <c r="C141" i="35"/>
  <c r="C142" i="35"/>
  <c r="C143" i="35"/>
  <c r="C144" i="35"/>
  <c r="C145" i="35"/>
  <c r="C146" i="35"/>
  <c r="C147" i="35"/>
  <c r="C148" i="35"/>
  <c r="C149" i="35"/>
  <c r="C150" i="35"/>
  <c r="C151" i="35"/>
  <c r="C152" i="35"/>
  <c r="C153" i="35"/>
  <c r="C154" i="35"/>
  <c r="C155" i="35"/>
  <c r="C156" i="35"/>
  <c r="C157" i="35"/>
  <c r="C158" i="35"/>
  <c r="C159" i="35"/>
  <c r="C160" i="35"/>
  <c r="C161" i="35"/>
  <c r="C162" i="35"/>
  <c r="C163" i="35"/>
  <c r="C164" i="35"/>
  <c r="C165" i="35"/>
  <c r="C166" i="35"/>
  <c r="C167" i="35"/>
  <c r="C168" i="35"/>
  <c r="C169" i="35"/>
  <c r="C170" i="35"/>
  <c r="C171" i="35"/>
  <c r="C172" i="35"/>
  <c r="C173" i="35"/>
  <c r="C174" i="35"/>
  <c r="C175" i="35"/>
  <c r="C176" i="35"/>
  <c r="C177" i="35"/>
  <c r="C178" i="35"/>
  <c r="C179" i="35"/>
  <c r="C180" i="35"/>
  <c r="C181" i="35"/>
  <c r="C182" i="35"/>
  <c r="C183" i="35"/>
  <c r="C184" i="35"/>
  <c r="C185" i="35"/>
  <c r="C186" i="35"/>
  <c r="C187" i="35"/>
  <c r="C188" i="35"/>
  <c r="C189" i="35"/>
  <c r="C190" i="35"/>
  <c r="C191" i="35"/>
  <c r="C192" i="35"/>
  <c r="C193" i="35"/>
  <c r="C194" i="35"/>
  <c r="C195" i="35"/>
  <c r="C196" i="35"/>
  <c r="C197" i="35"/>
  <c r="C198" i="35"/>
  <c r="C199" i="35"/>
  <c r="C200" i="35"/>
  <c r="C201" i="35"/>
  <c r="C202" i="35"/>
  <c r="C203" i="35"/>
  <c r="C204" i="35"/>
  <c r="C205" i="35"/>
  <c r="C206" i="35"/>
  <c r="C207" i="35"/>
  <c r="C208" i="35"/>
  <c r="C209" i="35"/>
  <c r="C210" i="35"/>
  <c r="C211" i="35"/>
  <c r="C212" i="35"/>
  <c r="C213" i="35"/>
  <c r="C214" i="35"/>
  <c r="C215" i="35"/>
  <c r="C216" i="35"/>
  <c r="C217" i="35"/>
  <c r="C218" i="35"/>
  <c r="C219" i="35"/>
  <c r="C220" i="35"/>
  <c r="C221" i="35"/>
  <c r="C222" i="35"/>
  <c r="C223" i="35"/>
  <c r="C224" i="35"/>
  <c r="C225" i="35"/>
  <c r="C226" i="35"/>
  <c r="C227" i="35"/>
  <c r="C228" i="35"/>
  <c r="C229" i="35"/>
  <c r="C230" i="35"/>
  <c r="C231" i="35"/>
  <c r="C232" i="35"/>
  <c r="C233" i="35"/>
  <c r="C234" i="35"/>
  <c r="C235" i="35"/>
  <c r="C236" i="35"/>
  <c r="C237" i="35"/>
  <c r="C238" i="35"/>
  <c r="C239" i="35"/>
  <c r="C240" i="35"/>
  <c r="C241" i="35"/>
  <c r="C242" i="35"/>
  <c r="C243" i="35"/>
  <c r="C244" i="35"/>
  <c r="C245" i="35"/>
  <c r="C246" i="35"/>
  <c r="C247" i="35"/>
  <c r="C248" i="35"/>
  <c r="C249" i="35"/>
  <c r="C250" i="35"/>
  <c r="C251" i="35"/>
  <c r="C252" i="35"/>
  <c r="C253" i="35"/>
  <c r="C254" i="35"/>
  <c r="C255" i="35"/>
  <c r="C256" i="35"/>
  <c r="C257" i="35"/>
  <c r="C258" i="35"/>
  <c r="C259" i="35"/>
  <c r="C260" i="35"/>
  <c r="C261" i="35"/>
  <c r="C262" i="35"/>
  <c r="C263" i="35"/>
  <c r="C264" i="35"/>
  <c r="C265" i="35"/>
  <c r="C266" i="35"/>
  <c r="C267" i="35"/>
  <c r="C268" i="35"/>
  <c r="C269" i="35"/>
  <c r="C270" i="35"/>
  <c r="C271" i="35"/>
  <c r="C272" i="35"/>
  <c r="C273" i="35"/>
  <c r="C274" i="35"/>
  <c r="C275" i="35"/>
  <c r="C276" i="35"/>
  <c r="C277" i="35"/>
  <c r="C278" i="35"/>
  <c r="C279" i="35"/>
  <c r="C280" i="35"/>
  <c r="C281" i="35"/>
  <c r="C282" i="35"/>
  <c r="C283" i="35"/>
  <c r="C284" i="35"/>
  <c r="C285" i="35"/>
  <c r="C286" i="35"/>
  <c r="C287" i="35"/>
  <c r="C288" i="35"/>
  <c r="C289" i="35"/>
  <c r="C290" i="35"/>
  <c r="C291" i="35"/>
  <c r="C292" i="35"/>
  <c r="C293" i="35"/>
  <c r="C294" i="35"/>
  <c r="C295" i="35"/>
  <c r="C296" i="35"/>
  <c r="C297" i="35"/>
  <c r="C298" i="35"/>
  <c r="C299" i="35"/>
  <c r="C300" i="35"/>
  <c r="C301" i="35"/>
  <c r="C302" i="35"/>
  <c r="C303" i="35"/>
  <c r="C304" i="35"/>
  <c r="C305" i="35"/>
  <c r="C306" i="35"/>
  <c r="C307" i="35"/>
  <c r="C308" i="35"/>
  <c r="C309" i="35"/>
  <c r="C310" i="35"/>
  <c r="C311" i="35"/>
  <c r="C312" i="35"/>
  <c r="C313" i="35"/>
  <c r="C314" i="35"/>
  <c r="C315" i="35"/>
  <c r="C316" i="35"/>
  <c r="C317" i="35"/>
  <c r="C318" i="35"/>
  <c r="C319" i="35"/>
  <c r="C320" i="35"/>
  <c r="C321" i="35"/>
  <c r="C322" i="35"/>
  <c r="C323" i="35"/>
  <c r="C324" i="35"/>
  <c r="C325" i="35"/>
  <c r="C326" i="35"/>
  <c r="C327" i="35"/>
  <c r="C328" i="35"/>
  <c r="C329" i="35"/>
  <c r="C330" i="35"/>
  <c r="C331" i="35"/>
  <c r="C332" i="35"/>
  <c r="C333" i="35"/>
  <c r="C334" i="35"/>
  <c r="C335" i="35"/>
  <c r="C336" i="35"/>
  <c r="C337" i="35"/>
  <c r="C338" i="35"/>
  <c r="C339" i="35"/>
  <c r="C340" i="35"/>
  <c r="C341" i="35"/>
  <c r="C342" i="35"/>
  <c r="C343" i="35"/>
  <c r="C344" i="35"/>
  <c r="C345" i="35"/>
  <c r="C346" i="35"/>
  <c r="C347" i="35"/>
  <c r="C348" i="35"/>
  <c r="C349" i="35"/>
  <c r="C350" i="35"/>
  <c r="C351" i="35"/>
  <c r="C352" i="35"/>
  <c r="C353" i="35"/>
  <c r="C354" i="35"/>
  <c r="C355" i="35"/>
  <c r="C356" i="35"/>
  <c r="C357" i="35"/>
  <c r="C358" i="35"/>
  <c r="C359" i="35"/>
  <c r="C360" i="35"/>
  <c r="C361" i="35"/>
  <c r="C362" i="35"/>
  <c r="C363" i="35"/>
  <c r="C364" i="35"/>
  <c r="C365" i="35"/>
  <c r="C366" i="35"/>
  <c r="C367" i="35"/>
  <c r="C368" i="35"/>
  <c r="C369" i="35"/>
  <c r="C370" i="35"/>
  <c r="C371" i="35"/>
  <c r="C372" i="35"/>
  <c r="C373" i="35"/>
  <c r="C374" i="35"/>
  <c r="C375" i="35"/>
  <c r="C376" i="35"/>
  <c r="C377" i="35"/>
  <c r="C378" i="35"/>
  <c r="C379" i="35"/>
  <c r="C380" i="35"/>
  <c r="C381" i="35"/>
  <c r="C382" i="35"/>
  <c r="C383" i="35"/>
  <c r="C384" i="35"/>
  <c r="C385" i="35"/>
  <c r="C386" i="35"/>
  <c r="C387" i="35"/>
  <c r="C388" i="35"/>
  <c r="C389" i="35"/>
  <c r="C390" i="35"/>
  <c r="C391" i="35"/>
  <c r="C392" i="35"/>
  <c r="C393" i="35"/>
  <c r="C394" i="35"/>
  <c r="C395" i="35"/>
  <c r="C396" i="35"/>
  <c r="C397" i="35"/>
  <c r="C398" i="35"/>
  <c r="C399" i="35"/>
  <c r="C400" i="35"/>
  <c r="C401" i="35"/>
  <c r="C402" i="35"/>
  <c r="C403" i="35"/>
  <c r="C404" i="35"/>
  <c r="C405" i="35"/>
  <c r="C406" i="35"/>
  <c r="C407" i="35"/>
  <c r="C408" i="35"/>
  <c r="C409" i="35"/>
  <c r="C410" i="35"/>
  <c r="C411" i="35"/>
  <c r="C412" i="35"/>
  <c r="C413" i="35"/>
  <c r="C414" i="35"/>
  <c r="C415" i="35"/>
  <c r="C416" i="35"/>
  <c r="C417" i="35"/>
  <c r="C418" i="35"/>
  <c r="C419" i="35"/>
  <c r="C420" i="35"/>
  <c r="C421" i="35"/>
  <c r="C422" i="35"/>
  <c r="C423" i="35"/>
  <c r="C424" i="35"/>
  <c r="C425" i="35"/>
  <c r="C426" i="35"/>
  <c r="C427" i="35"/>
  <c r="C428" i="35"/>
  <c r="C429" i="35"/>
  <c r="C430" i="35"/>
  <c r="C431" i="35"/>
  <c r="C432" i="35"/>
  <c r="C433" i="35"/>
  <c r="C434" i="35"/>
  <c r="C435" i="35"/>
  <c r="C436" i="35"/>
  <c r="C437" i="35"/>
  <c r="C438" i="35"/>
  <c r="C439" i="35"/>
  <c r="C440" i="35"/>
  <c r="C441" i="35"/>
  <c r="C442" i="35"/>
  <c r="C443" i="35"/>
  <c r="C444" i="35"/>
  <c r="C445" i="35"/>
  <c r="C446" i="35"/>
  <c r="C447" i="35"/>
  <c r="C448" i="35"/>
  <c r="C449" i="35"/>
  <c r="C450" i="35"/>
  <c r="C451" i="35"/>
  <c r="C452" i="35"/>
  <c r="C453" i="35"/>
  <c r="C454" i="35"/>
  <c r="C455" i="35"/>
  <c r="C456" i="35"/>
  <c r="C457" i="35"/>
  <c r="C458" i="35"/>
  <c r="C459" i="35"/>
  <c r="C460" i="35"/>
  <c r="C461" i="35"/>
  <c r="C462" i="35"/>
  <c r="C463" i="35"/>
  <c r="C464" i="35"/>
  <c r="C465" i="35"/>
  <c r="C466" i="35"/>
  <c r="C467" i="35"/>
  <c r="C468" i="35"/>
  <c r="C469" i="35"/>
  <c r="C470" i="35"/>
  <c r="C471" i="35"/>
  <c r="C472" i="35"/>
  <c r="C473" i="35"/>
  <c r="C474" i="35"/>
  <c r="C475" i="35"/>
  <c r="C476" i="35"/>
  <c r="C477" i="35"/>
  <c r="C478" i="35"/>
  <c r="C479" i="35"/>
  <c r="C480" i="35"/>
  <c r="C481" i="35"/>
  <c r="C482" i="35"/>
  <c r="C483" i="35"/>
  <c r="C484" i="35"/>
  <c r="C485" i="35"/>
  <c r="C486" i="35"/>
  <c r="C487" i="35"/>
  <c r="C488" i="35"/>
  <c r="C489" i="35"/>
  <c r="C490" i="35"/>
  <c r="C491" i="35"/>
  <c r="C492" i="35"/>
  <c r="C493" i="35"/>
  <c r="C494" i="35"/>
  <c r="C495" i="35"/>
  <c r="C496" i="35"/>
  <c r="C497" i="35"/>
  <c r="C498" i="35"/>
  <c r="C499" i="35"/>
  <c r="C500" i="35"/>
  <c r="C501" i="35"/>
  <c r="C502" i="35"/>
  <c r="C503" i="35"/>
  <c r="C504" i="35"/>
  <c r="C505" i="35"/>
  <c r="C506" i="35"/>
  <c r="C507" i="35"/>
  <c r="C508" i="35"/>
  <c r="C509" i="35"/>
  <c r="C510" i="35"/>
  <c r="D11" i="35"/>
  <c r="D12" i="35"/>
  <c r="D13" i="35"/>
  <c r="D14" i="35"/>
  <c r="D15" i="35"/>
  <c r="D16" i="35"/>
  <c r="D17" i="35"/>
  <c r="D18" i="35"/>
  <c r="D19" i="35"/>
  <c r="D20" i="35"/>
  <c r="D21" i="35"/>
  <c r="D22" i="35"/>
  <c r="D23" i="35"/>
  <c r="D24" i="35"/>
  <c r="D25" i="35"/>
  <c r="D26" i="35"/>
  <c r="D27" i="35"/>
  <c r="D28" i="35"/>
  <c r="D29" i="35"/>
  <c r="D30" i="35"/>
  <c r="D31" i="35"/>
  <c r="D32" i="35"/>
  <c r="D33" i="35"/>
  <c r="D34" i="35"/>
  <c r="D35" i="35"/>
  <c r="D36" i="35"/>
  <c r="D37" i="35"/>
  <c r="D38" i="35"/>
  <c r="D39" i="35"/>
  <c r="D40" i="35"/>
  <c r="D41" i="35"/>
  <c r="D42" i="35"/>
  <c r="D43" i="35"/>
  <c r="D44" i="35"/>
  <c r="D45" i="35"/>
  <c r="D46" i="35"/>
  <c r="D47" i="35"/>
  <c r="D48" i="35"/>
  <c r="D49" i="35"/>
  <c r="D50" i="35"/>
  <c r="D51" i="35"/>
  <c r="D52" i="35"/>
  <c r="D53" i="35"/>
  <c r="D54" i="35"/>
  <c r="D55" i="35"/>
  <c r="D56" i="35"/>
  <c r="D57" i="35"/>
  <c r="D58" i="35"/>
  <c r="D59" i="35"/>
  <c r="D60" i="35"/>
  <c r="D61" i="35"/>
  <c r="D62" i="35"/>
  <c r="D63" i="35"/>
  <c r="D64" i="35"/>
  <c r="D65" i="35"/>
  <c r="D66" i="35"/>
  <c r="D67" i="35"/>
  <c r="D68" i="35"/>
  <c r="D69" i="35"/>
  <c r="D70" i="35"/>
  <c r="D71" i="35"/>
  <c r="D72" i="35"/>
  <c r="D73" i="35"/>
  <c r="D74" i="35"/>
  <c r="D75" i="35"/>
  <c r="D76" i="35"/>
  <c r="D77" i="35"/>
  <c r="D78" i="35"/>
  <c r="D79" i="35"/>
  <c r="D80" i="35"/>
  <c r="D81" i="35"/>
  <c r="D82" i="35"/>
  <c r="D83" i="35"/>
  <c r="D84" i="35"/>
  <c r="D85" i="35"/>
  <c r="D86" i="35"/>
  <c r="D87" i="35"/>
  <c r="D88" i="35"/>
  <c r="D89" i="35"/>
  <c r="D90" i="35"/>
  <c r="D91" i="35"/>
  <c r="D92" i="35"/>
  <c r="D93" i="35"/>
  <c r="D94" i="35"/>
  <c r="D95" i="35"/>
  <c r="D96" i="35"/>
  <c r="D97" i="35"/>
  <c r="D98" i="35"/>
  <c r="D99" i="35"/>
  <c r="D100" i="35"/>
  <c r="D101" i="35"/>
  <c r="D102" i="35"/>
  <c r="D103" i="35"/>
  <c r="D104" i="35"/>
  <c r="D105" i="35"/>
  <c r="D106" i="35"/>
  <c r="D107" i="35"/>
  <c r="D108" i="35"/>
  <c r="D109" i="35"/>
  <c r="D110" i="35"/>
  <c r="D111" i="35"/>
  <c r="D112" i="35"/>
  <c r="D113" i="35"/>
  <c r="D114" i="35"/>
  <c r="D115" i="35"/>
  <c r="D116" i="35"/>
  <c r="D117" i="35"/>
  <c r="D118" i="35"/>
  <c r="D119" i="35"/>
  <c r="D120" i="35"/>
  <c r="D121" i="35"/>
  <c r="D122" i="35"/>
  <c r="D123" i="35"/>
  <c r="D124" i="35"/>
  <c r="D125" i="35"/>
  <c r="D126" i="35"/>
  <c r="D127" i="35"/>
  <c r="D128" i="35"/>
  <c r="D129" i="35"/>
  <c r="D130" i="35"/>
  <c r="D131" i="35"/>
  <c r="D132" i="35"/>
  <c r="D133" i="35"/>
  <c r="D134" i="35"/>
  <c r="D135" i="35"/>
  <c r="D136" i="35"/>
  <c r="D137" i="35"/>
  <c r="D138" i="35"/>
  <c r="D139" i="35"/>
  <c r="D140" i="35"/>
  <c r="D141" i="35"/>
  <c r="D142" i="35"/>
  <c r="D143" i="35"/>
  <c r="D144" i="35"/>
  <c r="D145" i="35"/>
  <c r="D146" i="35"/>
  <c r="D147" i="35"/>
  <c r="D148" i="35"/>
  <c r="D149" i="35"/>
  <c r="D150" i="35"/>
  <c r="D151" i="35"/>
  <c r="D152" i="35"/>
  <c r="D153" i="35"/>
  <c r="D154" i="35"/>
  <c r="D155" i="35"/>
  <c r="D156" i="35"/>
  <c r="D157" i="35"/>
  <c r="D158" i="35"/>
  <c r="D159" i="35"/>
  <c r="D160" i="35"/>
  <c r="D161" i="35"/>
  <c r="D162" i="35"/>
  <c r="D163" i="35"/>
  <c r="D164" i="35"/>
  <c r="D165" i="35"/>
  <c r="D166" i="35"/>
  <c r="D167" i="35"/>
  <c r="D168" i="35"/>
  <c r="D169" i="35"/>
  <c r="D170" i="35"/>
  <c r="D171" i="35"/>
  <c r="D172" i="35"/>
  <c r="D173" i="35"/>
  <c r="D174" i="35"/>
  <c r="D175" i="35"/>
  <c r="D176" i="35"/>
  <c r="D177" i="35"/>
  <c r="D178" i="35"/>
  <c r="D179" i="35"/>
  <c r="D180" i="35"/>
  <c r="D181" i="35"/>
  <c r="D182" i="35"/>
  <c r="D183" i="35"/>
  <c r="D184" i="35"/>
  <c r="D185" i="35"/>
  <c r="D186" i="35"/>
  <c r="D187" i="35"/>
  <c r="D188" i="35"/>
  <c r="D189" i="35"/>
  <c r="D190" i="35"/>
  <c r="D191" i="35"/>
  <c r="D192" i="35"/>
  <c r="D193" i="35"/>
  <c r="D194" i="35"/>
  <c r="D195" i="35"/>
  <c r="D196" i="35"/>
  <c r="D197" i="35"/>
  <c r="D198" i="35"/>
  <c r="D199" i="35"/>
  <c r="D200" i="35"/>
  <c r="D201" i="35"/>
  <c r="D202" i="35"/>
  <c r="D203" i="35"/>
  <c r="D204" i="35"/>
  <c r="D205" i="35"/>
  <c r="D206" i="35"/>
  <c r="D207" i="35"/>
  <c r="D208" i="35"/>
  <c r="D209" i="35"/>
  <c r="D210" i="35"/>
  <c r="D211" i="35"/>
  <c r="D212" i="35"/>
  <c r="D213" i="35"/>
  <c r="D214" i="35"/>
  <c r="D215" i="35"/>
  <c r="D216" i="35"/>
  <c r="D217" i="35"/>
  <c r="D218" i="35"/>
  <c r="D219" i="35"/>
  <c r="D220" i="35"/>
  <c r="D221" i="35"/>
  <c r="D222" i="35"/>
  <c r="D223" i="35"/>
  <c r="D224" i="35"/>
  <c r="D225" i="35"/>
  <c r="D226" i="35"/>
  <c r="D227" i="35"/>
  <c r="D228" i="35"/>
  <c r="D229" i="35"/>
  <c r="D230" i="35"/>
  <c r="D231" i="35"/>
  <c r="D232" i="35"/>
  <c r="D233" i="35"/>
  <c r="D234" i="35"/>
  <c r="E2" i="56" s="1"/>
  <c r="D235" i="35"/>
  <c r="D236" i="35"/>
  <c r="D237" i="35"/>
  <c r="D238" i="35"/>
  <c r="D239" i="35"/>
  <c r="D240" i="35"/>
  <c r="D241" i="35"/>
  <c r="D242" i="35"/>
  <c r="D243" i="35"/>
  <c r="D244" i="35"/>
  <c r="D245" i="35"/>
  <c r="D246" i="35"/>
  <c r="D247" i="35"/>
  <c r="D248" i="35"/>
  <c r="D249" i="35"/>
  <c r="D250" i="35"/>
  <c r="D251" i="35"/>
  <c r="D252" i="35"/>
  <c r="D253" i="35"/>
  <c r="D254" i="35"/>
  <c r="D255" i="35"/>
  <c r="D256" i="35"/>
  <c r="D257" i="35"/>
  <c r="D258" i="35"/>
  <c r="D259" i="35"/>
  <c r="D260" i="35"/>
  <c r="D261" i="35"/>
  <c r="D262" i="35"/>
  <c r="D263" i="35"/>
  <c r="D264" i="35"/>
  <c r="D265" i="35"/>
  <c r="D266" i="35"/>
  <c r="D267" i="35"/>
  <c r="D268" i="35"/>
  <c r="D269" i="35"/>
  <c r="D270" i="35"/>
  <c r="D271" i="35"/>
  <c r="D272" i="35"/>
  <c r="D273" i="35"/>
  <c r="D274" i="35"/>
  <c r="D275" i="35"/>
  <c r="D276" i="35"/>
  <c r="D277" i="35"/>
  <c r="D278" i="35"/>
  <c r="D279" i="35"/>
  <c r="D280" i="35"/>
  <c r="D281" i="35"/>
  <c r="D282" i="35"/>
  <c r="D283" i="35"/>
  <c r="D284" i="35"/>
  <c r="D285" i="35"/>
  <c r="D286" i="35"/>
  <c r="D287" i="35"/>
  <c r="D288" i="35"/>
  <c r="D289" i="35"/>
  <c r="D290" i="35"/>
  <c r="D291" i="35"/>
  <c r="D292" i="35"/>
  <c r="D293" i="35"/>
  <c r="D294" i="35"/>
  <c r="D295" i="35"/>
  <c r="D296" i="35"/>
  <c r="D297" i="35"/>
  <c r="D298" i="35"/>
  <c r="D299" i="35"/>
  <c r="D300" i="35"/>
  <c r="D301" i="35"/>
  <c r="D302" i="35"/>
  <c r="D303" i="35"/>
  <c r="D304" i="35"/>
  <c r="D305" i="35"/>
  <c r="D306" i="35"/>
  <c r="D307" i="35"/>
  <c r="D308" i="35"/>
  <c r="D309" i="35"/>
  <c r="D310" i="35"/>
  <c r="D311" i="35"/>
  <c r="D312" i="35"/>
  <c r="D313" i="35"/>
  <c r="D314" i="35"/>
  <c r="D315" i="35"/>
  <c r="D316" i="35"/>
  <c r="D317" i="35"/>
  <c r="D318" i="35"/>
  <c r="D319" i="35"/>
  <c r="D320" i="35"/>
  <c r="D321" i="35"/>
  <c r="D322" i="35"/>
  <c r="D323" i="35"/>
  <c r="D324" i="35"/>
  <c r="D325" i="35"/>
  <c r="D326" i="35"/>
  <c r="D327" i="35"/>
  <c r="D328" i="35"/>
  <c r="D329" i="35"/>
  <c r="D330" i="35"/>
  <c r="D331" i="35"/>
  <c r="D332" i="35"/>
  <c r="D333" i="35"/>
  <c r="D334" i="35"/>
  <c r="D335" i="35"/>
  <c r="D336" i="35"/>
  <c r="D337" i="35"/>
  <c r="D338" i="35"/>
  <c r="D339" i="35"/>
  <c r="D340" i="35"/>
  <c r="D341" i="35"/>
  <c r="D342" i="35"/>
  <c r="D343" i="35"/>
  <c r="D344" i="35"/>
  <c r="D345" i="35"/>
  <c r="D346" i="35"/>
  <c r="D347" i="35"/>
  <c r="D348" i="35"/>
  <c r="D349" i="35"/>
  <c r="D350" i="35"/>
  <c r="D351" i="35"/>
  <c r="D352" i="35"/>
  <c r="D353" i="35"/>
  <c r="D354" i="35"/>
  <c r="D355" i="35"/>
  <c r="D356" i="35"/>
  <c r="D357" i="35"/>
  <c r="D358" i="35"/>
  <c r="D359" i="35"/>
  <c r="D360" i="35"/>
  <c r="D361" i="35"/>
  <c r="D362" i="35"/>
  <c r="D363" i="35"/>
  <c r="D364" i="35"/>
  <c r="D365" i="35"/>
  <c r="D366" i="35"/>
  <c r="D367" i="35"/>
  <c r="D368" i="35"/>
  <c r="D369" i="35"/>
  <c r="D370" i="35"/>
  <c r="D371" i="35"/>
  <c r="D372" i="35"/>
  <c r="D373" i="35"/>
  <c r="D374" i="35"/>
  <c r="D375" i="35"/>
  <c r="D376" i="35"/>
  <c r="D377" i="35"/>
  <c r="D378" i="35"/>
  <c r="D379" i="35"/>
  <c r="D380" i="35"/>
  <c r="D381" i="35"/>
  <c r="D382" i="35"/>
  <c r="D383" i="35"/>
  <c r="D384" i="35"/>
  <c r="D385" i="35"/>
  <c r="D386" i="35"/>
  <c r="D387" i="35"/>
  <c r="D388" i="35"/>
  <c r="D389" i="35"/>
  <c r="D390" i="35"/>
  <c r="D391" i="35"/>
  <c r="D392" i="35"/>
  <c r="D393" i="35"/>
  <c r="D394" i="35"/>
  <c r="D395" i="35"/>
  <c r="D396" i="35"/>
  <c r="D397" i="35"/>
  <c r="D398" i="35"/>
  <c r="D399" i="35"/>
  <c r="D400" i="35"/>
  <c r="D401" i="35"/>
  <c r="D402" i="35"/>
  <c r="D403" i="35"/>
  <c r="D404" i="35"/>
  <c r="D405" i="35"/>
  <c r="D406" i="35"/>
  <c r="D407" i="35"/>
  <c r="D408" i="35"/>
  <c r="D409" i="35"/>
  <c r="D410" i="35"/>
  <c r="D411" i="35"/>
  <c r="D412" i="35"/>
  <c r="D413" i="35"/>
  <c r="D414" i="35"/>
  <c r="D415" i="35"/>
  <c r="D416" i="35"/>
  <c r="D417" i="35"/>
  <c r="D418" i="35"/>
  <c r="D419" i="35"/>
  <c r="D420" i="35"/>
  <c r="D421" i="35"/>
  <c r="D422" i="35"/>
  <c r="D423" i="35"/>
  <c r="D424" i="35"/>
  <c r="D425" i="35"/>
  <c r="D426" i="35"/>
  <c r="D427" i="35"/>
  <c r="D428" i="35"/>
  <c r="D429" i="35"/>
  <c r="D430" i="35"/>
  <c r="D431" i="35"/>
  <c r="D432" i="35"/>
  <c r="D433" i="35"/>
  <c r="D434" i="35"/>
  <c r="D435" i="35"/>
  <c r="D436" i="35"/>
  <c r="D437" i="35"/>
  <c r="D438" i="35"/>
  <c r="D439" i="35"/>
  <c r="D440" i="35"/>
  <c r="D441" i="35"/>
  <c r="D442" i="35"/>
  <c r="D443" i="35"/>
  <c r="D444" i="35"/>
  <c r="D445" i="35"/>
  <c r="D446" i="35"/>
  <c r="D447" i="35"/>
  <c r="D448" i="35"/>
  <c r="D449" i="35"/>
  <c r="D450" i="35"/>
  <c r="D451" i="35"/>
  <c r="D452" i="35"/>
  <c r="D453" i="35"/>
  <c r="D454" i="35"/>
  <c r="D455" i="35"/>
  <c r="D456" i="35"/>
  <c r="D457" i="35"/>
  <c r="D458" i="35"/>
  <c r="D459" i="35"/>
  <c r="D460" i="35"/>
  <c r="D461" i="35"/>
  <c r="D462" i="35"/>
  <c r="D463" i="35"/>
  <c r="D464" i="35"/>
  <c r="D465" i="35"/>
  <c r="D466" i="35"/>
  <c r="D467" i="35"/>
  <c r="D468" i="35"/>
  <c r="D469" i="35"/>
  <c r="D470" i="35"/>
  <c r="D471" i="35"/>
  <c r="D472" i="35"/>
  <c r="D473" i="35"/>
  <c r="D474" i="35"/>
  <c r="D475" i="35"/>
  <c r="D476" i="35"/>
  <c r="D477" i="35"/>
  <c r="D478" i="35"/>
  <c r="D479" i="35"/>
  <c r="D480" i="35"/>
  <c r="D481" i="35"/>
  <c r="D482" i="35"/>
  <c r="D483" i="35"/>
  <c r="D484" i="35"/>
  <c r="D485" i="35"/>
  <c r="D486" i="35"/>
  <c r="D487" i="35"/>
  <c r="D488" i="35"/>
  <c r="D489" i="35"/>
  <c r="D490" i="35"/>
  <c r="D491" i="35"/>
  <c r="D492" i="35"/>
  <c r="D493" i="35"/>
  <c r="D494" i="35"/>
  <c r="D495" i="35"/>
  <c r="D496" i="35"/>
  <c r="D497" i="35"/>
  <c r="D498" i="35"/>
  <c r="D499" i="35"/>
  <c r="D500" i="35"/>
  <c r="D501" i="35"/>
  <c r="D502" i="35"/>
  <c r="D503" i="35"/>
  <c r="D504" i="35"/>
  <c r="D505" i="35"/>
  <c r="D506" i="35"/>
  <c r="D507" i="35"/>
  <c r="D508" i="35"/>
  <c r="D509" i="35"/>
  <c r="D510" i="35"/>
  <c r="R11" i="35"/>
  <c r="R12" i="35"/>
  <c r="R13" i="35"/>
  <c r="R14" i="35"/>
  <c r="R15" i="35"/>
  <c r="R16" i="35"/>
  <c r="R17" i="35"/>
  <c r="R18" i="35"/>
  <c r="R19" i="35"/>
  <c r="R20" i="35"/>
  <c r="R21" i="35"/>
  <c r="R22" i="35"/>
  <c r="R23" i="35"/>
  <c r="R24" i="35"/>
  <c r="R25" i="35"/>
  <c r="R26" i="35"/>
  <c r="R27" i="35"/>
  <c r="R28" i="35"/>
  <c r="R29" i="35"/>
  <c r="R30" i="35"/>
  <c r="R31" i="35"/>
  <c r="R32" i="35"/>
  <c r="R33" i="35"/>
  <c r="R34" i="35"/>
  <c r="R35" i="35"/>
  <c r="R36" i="35"/>
  <c r="R37" i="35"/>
  <c r="R38" i="35"/>
  <c r="R39" i="35"/>
  <c r="R40" i="35"/>
  <c r="R41" i="35"/>
  <c r="R42" i="35"/>
  <c r="R43" i="35"/>
  <c r="R44" i="35"/>
  <c r="R45" i="35"/>
  <c r="R46" i="35"/>
  <c r="R47" i="35"/>
  <c r="R48" i="35"/>
  <c r="R49" i="35"/>
  <c r="R50" i="35"/>
  <c r="R51" i="35"/>
  <c r="R52" i="35"/>
  <c r="R53" i="35"/>
  <c r="R54" i="35"/>
  <c r="R55" i="35"/>
  <c r="R56" i="35"/>
  <c r="R57" i="35"/>
  <c r="R58" i="35"/>
  <c r="R59" i="35"/>
  <c r="R60" i="35"/>
  <c r="R61" i="35"/>
  <c r="R62" i="35"/>
  <c r="R63" i="35"/>
  <c r="R64" i="35"/>
  <c r="R65" i="35"/>
  <c r="R66" i="35"/>
  <c r="R67" i="35"/>
  <c r="R68" i="35"/>
  <c r="R69" i="35"/>
  <c r="R70" i="35"/>
  <c r="R71" i="35"/>
  <c r="R72" i="35"/>
  <c r="R73" i="35"/>
  <c r="R74" i="35"/>
  <c r="R75" i="35"/>
  <c r="R76" i="35"/>
  <c r="R77" i="35"/>
  <c r="R78" i="35"/>
  <c r="R79" i="35"/>
  <c r="R80" i="35"/>
  <c r="R81" i="35"/>
  <c r="R82" i="35"/>
  <c r="R83" i="35"/>
  <c r="R84" i="35"/>
  <c r="R85" i="35"/>
  <c r="R86" i="35"/>
  <c r="R87" i="35"/>
  <c r="R88" i="35"/>
  <c r="R89" i="35"/>
  <c r="R90" i="35"/>
  <c r="R91" i="35"/>
  <c r="R92" i="35"/>
  <c r="R93" i="35"/>
  <c r="R94" i="35"/>
  <c r="R95" i="35"/>
  <c r="R96" i="35"/>
  <c r="R97" i="35"/>
  <c r="R98" i="35"/>
  <c r="R99" i="35"/>
  <c r="R100" i="35"/>
  <c r="R101" i="35"/>
  <c r="R102" i="35"/>
  <c r="R103" i="35"/>
  <c r="R104" i="35"/>
  <c r="R105" i="35"/>
  <c r="R106" i="35"/>
  <c r="R107" i="35"/>
  <c r="R108" i="35"/>
  <c r="R109" i="35"/>
  <c r="R110" i="35"/>
  <c r="R111" i="35"/>
  <c r="R112" i="35"/>
  <c r="R113" i="35"/>
  <c r="R114" i="35"/>
  <c r="R115" i="35"/>
  <c r="R116" i="35"/>
  <c r="R117" i="35"/>
  <c r="R118" i="35"/>
  <c r="R119" i="35"/>
  <c r="R120" i="35"/>
  <c r="R121" i="35"/>
  <c r="R122" i="35"/>
  <c r="R123" i="35"/>
  <c r="R124" i="35"/>
  <c r="R125" i="35"/>
  <c r="R126" i="35"/>
  <c r="R127" i="35"/>
  <c r="R128" i="35"/>
  <c r="R129" i="35"/>
  <c r="R130" i="35"/>
  <c r="R131" i="35"/>
  <c r="R132" i="35"/>
  <c r="R133" i="35"/>
  <c r="R134" i="35"/>
  <c r="R135" i="35"/>
  <c r="R136" i="35"/>
  <c r="R137" i="35"/>
  <c r="R138" i="35"/>
  <c r="R139" i="35"/>
  <c r="R140" i="35"/>
  <c r="R141" i="35"/>
  <c r="R142" i="35"/>
  <c r="R143" i="35"/>
  <c r="R144" i="35"/>
  <c r="R145" i="35"/>
  <c r="R146" i="35"/>
  <c r="R147" i="35"/>
  <c r="R148" i="35"/>
  <c r="R149" i="35"/>
  <c r="R150" i="35"/>
  <c r="R151" i="35"/>
  <c r="R152" i="35"/>
  <c r="R153" i="35"/>
  <c r="R154" i="35"/>
  <c r="R155" i="35"/>
  <c r="R156" i="35"/>
  <c r="R157" i="35"/>
  <c r="R158" i="35"/>
  <c r="R159" i="35"/>
  <c r="R160" i="35"/>
  <c r="R161" i="35"/>
  <c r="R162" i="35"/>
  <c r="R163" i="35"/>
  <c r="R164" i="35"/>
  <c r="R165" i="35"/>
  <c r="R166" i="35"/>
  <c r="R167" i="35"/>
  <c r="R168" i="35"/>
  <c r="R169" i="35"/>
  <c r="R170" i="35"/>
  <c r="R171" i="35"/>
  <c r="R172" i="35"/>
  <c r="R173" i="35"/>
  <c r="R174" i="35"/>
  <c r="R175" i="35"/>
  <c r="R176" i="35"/>
  <c r="R177" i="35"/>
  <c r="R178" i="35"/>
  <c r="R179" i="35"/>
  <c r="R180" i="35"/>
  <c r="R181" i="35"/>
  <c r="R182" i="35"/>
  <c r="R183" i="35"/>
  <c r="R184" i="35"/>
  <c r="R185" i="35"/>
  <c r="R186" i="35"/>
  <c r="R187" i="35"/>
  <c r="R188" i="35"/>
  <c r="R189" i="35"/>
  <c r="R190" i="35"/>
  <c r="R191" i="35"/>
  <c r="R192" i="35"/>
  <c r="R193" i="35"/>
  <c r="R194" i="35"/>
  <c r="R195" i="35"/>
  <c r="R196" i="35"/>
  <c r="R197" i="35"/>
  <c r="R198" i="35"/>
  <c r="R199" i="35"/>
  <c r="R200" i="35"/>
  <c r="R201" i="35"/>
  <c r="R202" i="35"/>
  <c r="R203" i="35"/>
  <c r="R204" i="35"/>
  <c r="R205" i="35"/>
  <c r="R206" i="35"/>
  <c r="R207" i="35"/>
  <c r="R208" i="35"/>
  <c r="R209" i="35"/>
  <c r="R210" i="35"/>
  <c r="R211" i="35"/>
  <c r="R212" i="35"/>
  <c r="R213" i="35"/>
  <c r="R214" i="35"/>
  <c r="R215" i="35"/>
  <c r="R216" i="35"/>
  <c r="R217" i="35"/>
  <c r="R218" i="35"/>
  <c r="R219" i="35"/>
  <c r="R220" i="35"/>
  <c r="R221" i="35"/>
  <c r="R222" i="35"/>
  <c r="R223" i="35"/>
  <c r="R224" i="35"/>
  <c r="R225" i="35"/>
  <c r="R226" i="35"/>
  <c r="R227" i="35"/>
  <c r="R228" i="35"/>
  <c r="R229" i="35"/>
  <c r="R230" i="35"/>
  <c r="R231" i="35"/>
  <c r="R232" i="35"/>
  <c r="R233" i="35"/>
  <c r="R234" i="35"/>
  <c r="R235" i="35"/>
  <c r="R236" i="35"/>
  <c r="R237" i="35"/>
  <c r="R238" i="35"/>
  <c r="R239" i="35"/>
  <c r="R240" i="35"/>
  <c r="R241" i="35"/>
  <c r="R242" i="35"/>
  <c r="R243" i="35"/>
  <c r="R244" i="35"/>
  <c r="R245" i="35"/>
  <c r="R246" i="35"/>
  <c r="R247" i="35"/>
  <c r="R248" i="35"/>
  <c r="R249" i="35"/>
  <c r="R250" i="35"/>
  <c r="R251" i="35"/>
  <c r="R252" i="35"/>
  <c r="R253" i="35"/>
  <c r="R254" i="35"/>
  <c r="R255" i="35"/>
  <c r="R256" i="35"/>
  <c r="R257" i="35"/>
  <c r="R258" i="35"/>
  <c r="R259" i="35"/>
  <c r="R260" i="35"/>
  <c r="R261" i="35"/>
  <c r="R262" i="35"/>
  <c r="R263" i="35"/>
  <c r="R264" i="35"/>
  <c r="R265" i="35"/>
  <c r="R266" i="35"/>
  <c r="R267" i="35"/>
  <c r="R268" i="35"/>
  <c r="R269" i="35"/>
  <c r="R270" i="35"/>
  <c r="R271" i="35"/>
  <c r="R272" i="35"/>
  <c r="R273" i="35"/>
  <c r="R274" i="35"/>
  <c r="R275" i="35"/>
  <c r="R276" i="35"/>
  <c r="R277" i="35"/>
  <c r="R278" i="35"/>
  <c r="R279" i="35"/>
  <c r="R280" i="35"/>
  <c r="R281" i="35"/>
  <c r="R282" i="35"/>
  <c r="R283" i="35"/>
  <c r="R284" i="35"/>
  <c r="R285" i="35"/>
  <c r="R286" i="35"/>
  <c r="R287" i="35"/>
  <c r="R288" i="35"/>
  <c r="R289" i="35"/>
  <c r="R290" i="35"/>
  <c r="R291" i="35"/>
  <c r="R292" i="35"/>
  <c r="R293" i="35"/>
  <c r="R294" i="35"/>
  <c r="R295" i="35"/>
  <c r="R296" i="35"/>
  <c r="R297" i="35"/>
  <c r="R298" i="35"/>
  <c r="R299" i="35"/>
  <c r="R300" i="35"/>
  <c r="R301" i="35"/>
  <c r="R302" i="35"/>
  <c r="R303" i="35"/>
  <c r="R304" i="35"/>
  <c r="R305" i="35"/>
  <c r="R306" i="35"/>
  <c r="R307" i="35"/>
  <c r="R308" i="35"/>
  <c r="R309" i="35"/>
  <c r="R310" i="35"/>
  <c r="R311" i="35"/>
  <c r="R312" i="35"/>
  <c r="R313" i="35"/>
  <c r="R314" i="35"/>
  <c r="R315" i="35"/>
  <c r="R316" i="35"/>
  <c r="R317" i="35"/>
  <c r="R318" i="35"/>
  <c r="R319" i="35"/>
  <c r="R320" i="35"/>
  <c r="R321" i="35"/>
  <c r="R322" i="35"/>
  <c r="R323" i="35"/>
  <c r="R324" i="35"/>
  <c r="R325" i="35"/>
  <c r="R326" i="35"/>
  <c r="R327" i="35"/>
  <c r="R328" i="35"/>
  <c r="R329" i="35"/>
  <c r="R330" i="35"/>
  <c r="R331" i="35"/>
  <c r="R332" i="35"/>
  <c r="R333" i="35"/>
  <c r="R334" i="35"/>
  <c r="R335" i="35"/>
  <c r="R336" i="35"/>
  <c r="R337" i="35"/>
  <c r="R338" i="35"/>
  <c r="R339" i="35"/>
  <c r="R340" i="35"/>
  <c r="R341" i="35"/>
  <c r="R342" i="35"/>
  <c r="R343" i="35"/>
  <c r="R344" i="35"/>
  <c r="R345" i="35"/>
  <c r="R346" i="35"/>
  <c r="R347" i="35"/>
  <c r="R348" i="35"/>
  <c r="R349" i="35"/>
  <c r="R350" i="35"/>
  <c r="R351" i="35"/>
  <c r="R352" i="35"/>
  <c r="R353" i="35"/>
  <c r="R354" i="35"/>
  <c r="R355" i="35"/>
  <c r="R356" i="35"/>
  <c r="R357" i="35"/>
  <c r="R358" i="35"/>
  <c r="R359" i="35"/>
  <c r="R360" i="35"/>
  <c r="R361" i="35"/>
  <c r="R362" i="35"/>
  <c r="R363" i="35"/>
  <c r="R364" i="35"/>
  <c r="R365" i="35"/>
  <c r="R366" i="35"/>
  <c r="R367" i="35"/>
  <c r="R368" i="35"/>
  <c r="R369" i="35"/>
  <c r="R370" i="35"/>
  <c r="R371" i="35"/>
  <c r="R372" i="35"/>
  <c r="R373" i="35"/>
  <c r="R374" i="35"/>
  <c r="R375" i="35"/>
  <c r="R376" i="35"/>
  <c r="R377" i="35"/>
  <c r="R378" i="35"/>
  <c r="R379" i="35"/>
  <c r="R380" i="35"/>
  <c r="R381" i="35"/>
  <c r="R382" i="35"/>
  <c r="R383" i="35"/>
  <c r="R384" i="35"/>
  <c r="R385" i="35"/>
  <c r="R386" i="35"/>
  <c r="R387" i="35"/>
  <c r="R388" i="35"/>
  <c r="R389" i="35"/>
  <c r="R390" i="35"/>
  <c r="R391" i="35"/>
  <c r="R392" i="35"/>
  <c r="R393" i="35"/>
  <c r="R394" i="35"/>
  <c r="R395" i="35"/>
  <c r="R396" i="35"/>
  <c r="R397" i="35"/>
  <c r="R398" i="35"/>
  <c r="R399" i="35"/>
  <c r="R400" i="35"/>
  <c r="R401" i="35"/>
  <c r="R402" i="35"/>
  <c r="R403" i="35"/>
  <c r="R404" i="35"/>
  <c r="R405" i="35"/>
  <c r="R406" i="35"/>
  <c r="R407" i="35"/>
  <c r="R408" i="35"/>
  <c r="R409" i="35"/>
  <c r="R410" i="35"/>
  <c r="R411" i="35"/>
  <c r="R412" i="35"/>
  <c r="R413" i="35"/>
  <c r="R414" i="35"/>
  <c r="R415" i="35"/>
  <c r="R416" i="35"/>
  <c r="R417" i="35"/>
  <c r="R418" i="35"/>
  <c r="R419" i="35"/>
  <c r="R420" i="35"/>
  <c r="R421" i="35"/>
  <c r="R422" i="35"/>
  <c r="R423" i="35"/>
  <c r="R424" i="35"/>
  <c r="R425" i="35"/>
  <c r="R426" i="35"/>
  <c r="R427" i="35"/>
  <c r="R428" i="35"/>
  <c r="R429" i="35"/>
  <c r="R430" i="35"/>
  <c r="R431" i="35"/>
  <c r="R432" i="35"/>
  <c r="R433" i="35"/>
  <c r="R434" i="35"/>
  <c r="R435" i="35"/>
  <c r="R436" i="35"/>
  <c r="R437" i="35"/>
  <c r="R438" i="35"/>
  <c r="R439" i="35"/>
  <c r="R440" i="35"/>
  <c r="R441" i="35"/>
  <c r="R442" i="35"/>
  <c r="R443" i="35"/>
  <c r="R444" i="35"/>
  <c r="R445" i="35"/>
  <c r="R446" i="35"/>
  <c r="R447" i="35"/>
  <c r="R448" i="35"/>
  <c r="R449" i="35"/>
  <c r="R450" i="35"/>
  <c r="R451" i="35"/>
  <c r="R452" i="35"/>
  <c r="R453" i="35"/>
  <c r="R454" i="35"/>
  <c r="R455" i="35"/>
  <c r="R456" i="35"/>
  <c r="R457" i="35"/>
  <c r="R458" i="35"/>
  <c r="R459" i="35"/>
  <c r="R460" i="35"/>
  <c r="R461" i="35"/>
  <c r="R462" i="35"/>
  <c r="R463" i="35"/>
  <c r="R464" i="35"/>
  <c r="R465" i="35"/>
  <c r="R466" i="35"/>
  <c r="R467" i="35"/>
  <c r="R468" i="35"/>
  <c r="R469" i="35"/>
  <c r="R470" i="35"/>
  <c r="R471" i="35"/>
  <c r="R472" i="35"/>
  <c r="R473" i="35"/>
  <c r="R474" i="35"/>
  <c r="R475" i="35"/>
  <c r="R476" i="35"/>
  <c r="R477" i="35"/>
  <c r="R478" i="35"/>
  <c r="R479" i="35"/>
  <c r="R480" i="35"/>
  <c r="R481" i="35"/>
  <c r="R482" i="35"/>
  <c r="R483" i="35"/>
  <c r="R484" i="35"/>
  <c r="R485" i="35"/>
  <c r="R486" i="35"/>
  <c r="R487" i="35"/>
  <c r="R488" i="35"/>
  <c r="R489" i="35"/>
  <c r="R490" i="35"/>
  <c r="R491" i="35"/>
  <c r="R492" i="35"/>
  <c r="R493" i="35"/>
  <c r="R494" i="35"/>
  <c r="R495" i="35"/>
  <c r="R496" i="35"/>
  <c r="R497" i="35"/>
  <c r="R498" i="35"/>
  <c r="R499" i="35"/>
  <c r="R500" i="35"/>
  <c r="R501" i="35"/>
  <c r="R502" i="35"/>
  <c r="R503" i="35"/>
  <c r="R504" i="35"/>
  <c r="R505" i="35"/>
  <c r="R506" i="35"/>
  <c r="R507" i="35"/>
  <c r="R508" i="35"/>
  <c r="R509" i="35"/>
  <c r="R510" i="35"/>
  <c r="C493" i="94"/>
  <c r="C489" i="94"/>
  <c r="C463" i="94"/>
  <c r="C421" i="94"/>
  <c r="C414" i="94"/>
  <c r="C409" i="94"/>
  <c r="C408" i="94"/>
  <c r="C378" i="94"/>
  <c r="C346" i="94"/>
  <c r="C341" i="94"/>
  <c r="C339" i="94"/>
  <c r="C386" i="94" s="1"/>
  <c r="C326" i="94"/>
  <c r="C319" i="94"/>
  <c r="C265" i="94"/>
  <c r="C173" i="94"/>
  <c r="C160" i="94"/>
  <c r="C147" i="94"/>
  <c r="C122" i="94"/>
  <c r="C117" i="94"/>
  <c r="C103" i="94"/>
  <c r="C88" i="94"/>
  <c r="C77" i="94"/>
  <c r="C49" i="94"/>
  <c r="C45" i="94"/>
  <c r="M6" i="92" a="1"/>
  <c r="M6" i="92" s="1"/>
  <c r="J6" i="92" a="1"/>
  <c r="J6" i="92" s="1"/>
  <c r="G6" i="92"/>
  <c r="D6" i="92"/>
  <c r="L2" i="91" a="1"/>
  <c r="L2" i="91" s="1"/>
  <c r="I2" i="91" a="1"/>
  <c r="I2" i="91" s="1"/>
  <c r="F2" i="91"/>
  <c r="C2" i="91"/>
  <c r="U5" i="83"/>
  <c r="Q5" i="83"/>
  <c r="I5" i="83"/>
  <c r="M5" i="84"/>
  <c r="F5" i="84"/>
  <c r="I2" i="84"/>
  <c r="F489" i="37"/>
  <c r="F452" i="37"/>
  <c r="F445" i="37"/>
  <c r="F429" i="37"/>
  <c r="F427" i="37"/>
  <c r="F391" i="37"/>
  <c r="F387" i="37"/>
  <c r="F385" i="37"/>
  <c r="F278" i="37"/>
  <c r="F242" i="37"/>
  <c r="F238" i="37"/>
  <c r="F234" i="37"/>
  <c r="F217" i="37"/>
  <c r="F196" i="37"/>
  <c r="F174" i="37"/>
  <c r="F169" i="37"/>
  <c r="F135" i="37"/>
  <c r="F144" i="37" s="1"/>
  <c r="F131" i="37"/>
  <c r="F110" i="37"/>
  <c r="F95" i="37"/>
  <c r="F43" i="37"/>
  <c r="F28" i="37"/>
  <c r="F27" i="37"/>
  <c r="F11" i="37"/>
  <c r="T6" i="76" a="1"/>
  <c r="T6" i="76" s="1"/>
  <c r="O6" i="76" a="1"/>
  <c r="O6" i="76" s="1"/>
  <c r="J6" i="76" a="1"/>
  <c r="J6" i="76" s="1"/>
  <c r="E6" i="76"/>
  <c r="K5" i="77" a="1"/>
  <c r="K5" i="77" s="1"/>
  <c r="F5" i="77" a="1"/>
  <c r="F5" i="77" s="1"/>
  <c r="N2" i="77" a="1"/>
  <c r="N2" i="77" s="1"/>
  <c r="E2" i="77"/>
  <c r="H3" i="47"/>
  <c r="H4" i="47"/>
  <c r="H2" i="47"/>
  <c r="W5" i="66"/>
  <c r="E5" i="65"/>
  <c r="C7" i="61"/>
  <c r="I15" i="61" a="1"/>
  <c r="I15" i="61" s="1"/>
  <c r="D493" i="69"/>
  <c r="D489" i="69"/>
  <c r="D463" i="69"/>
  <c r="D421" i="69"/>
  <c r="D414" i="69"/>
  <c r="D409" i="69"/>
  <c r="D408" i="69"/>
  <c r="D378" i="69"/>
  <c r="D346" i="69"/>
  <c r="D341" i="69"/>
  <c r="D339" i="69"/>
  <c r="D386" i="69" s="1"/>
  <c r="D326" i="69"/>
  <c r="D319" i="69"/>
  <c r="D265" i="69"/>
  <c r="D173" i="69"/>
  <c r="D160" i="69"/>
  <c r="D147" i="69"/>
  <c r="D122" i="69"/>
  <c r="D117" i="69"/>
  <c r="D103" i="69"/>
  <c r="D88" i="69"/>
  <c r="D77" i="69"/>
  <c r="D49" i="69"/>
  <c r="D45" i="69"/>
  <c r="E277" i="69" s="1"/>
  <c r="C2" i="61"/>
  <c r="C3" i="61"/>
  <c r="C4" i="61"/>
  <c r="C5" i="61"/>
  <c r="C6" i="61"/>
  <c r="C8" i="61"/>
  <c r="C9" i="61"/>
  <c r="C10" i="61"/>
  <c r="C11" i="61"/>
  <c r="C12" i="61"/>
  <c r="C13" i="61"/>
  <c r="C14" i="61"/>
  <c r="C15" i="61"/>
  <c r="C16" i="61"/>
  <c r="C17" i="61"/>
  <c r="C18" i="61"/>
  <c r="C19" i="61"/>
  <c r="C20" i="61"/>
  <c r="C21" i="61"/>
  <c r="C22" i="61"/>
  <c r="C23" i="61"/>
  <c r="C24" i="61"/>
  <c r="C25" i="61"/>
  <c r="C26" i="61"/>
  <c r="C27" i="61"/>
  <c r="C28" i="61"/>
  <c r="C29" i="61"/>
  <c r="C30" i="61"/>
  <c r="C31" i="61"/>
  <c r="C32" i="61"/>
  <c r="C33" i="61"/>
  <c r="C34" i="61"/>
  <c r="C35" i="61"/>
  <c r="C36" i="61"/>
  <c r="C37" i="61"/>
  <c r="C38" i="61"/>
  <c r="C39" i="61"/>
  <c r="C40" i="61"/>
  <c r="C41" i="61"/>
  <c r="C42" i="61"/>
  <c r="C43" i="61"/>
  <c r="C44" i="61"/>
  <c r="C45" i="61"/>
  <c r="C46" i="61"/>
  <c r="C47" i="61"/>
  <c r="C48" i="61"/>
  <c r="C49" i="61"/>
  <c r="C50" i="61"/>
  <c r="C51" i="61"/>
  <c r="C52" i="61"/>
  <c r="C53" i="61"/>
  <c r="C54" i="61"/>
  <c r="C55" i="61"/>
  <c r="C56" i="61"/>
  <c r="C57" i="61"/>
  <c r="C58" i="61"/>
  <c r="C59" i="61"/>
  <c r="C60" i="61"/>
  <c r="C61" i="61"/>
  <c r="C62" i="61"/>
  <c r="C63" i="61"/>
  <c r="C64" i="61"/>
  <c r="C65" i="61"/>
  <c r="C66" i="61"/>
  <c r="C67" i="61"/>
  <c r="C68" i="61"/>
  <c r="C69" i="61"/>
  <c r="C70" i="61"/>
  <c r="C71" i="61"/>
  <c r="C72" i="61"/>
  <c r="C73" i="61"/>
  <c r="C74" i="61"/>
  <c r="C75" i="61"/>
  <c r="C76" i="61"/>
  <c r="C77" i="61"/>
  <c r="C78" i="61"/>
  <c r="C79" i="61"/>
  <c r="C80" i="61"/>
  <c r="C81" i="61"/>
  <c r="C82" i="61"/>
  <c r="C83" i="61"/>
  <c r="C84" i="61"/>
  <c r="C85" i="61"/>
  <c r="C86" i="61"/>
  <c r="C87" i="61"/>
  <c r="C88" i="61"/>
  <c r="C89" i="61"/>
  <c r="C90" i="61"/>
  <c r="C91" i="61"/>
  <c r="C92" i="61"/>
  <c r="C93" i="61"/>
  <c r="C94" i="61"/>
  <c r="C95" i="61"/>
  <c r="C96" i="61"/>
  <c r="C97" i="61"/>
  <c r="C98" i="61"/>
  <c r="C99" i="61"/>
  <c r="C100" i="61"/>
  <c r="C101" i="61"/>
  <c r="C102" i="61"/>
  <c r="C103" i="61"/>
  <c r="C104" i="61"/>
  <c r="C105" i="61"/>
  <c r="C106" i="61"/>
  <c r="C107" i="61"/>
  <c r="C108" i="61"/>
  <c r="C109" i="61"/>
  <c r="C110" i="61"/>
  <c r="C111" i="61"/>
  <c r="C112" i="61"/>
  <c r="C113" i="61"/>
  <c r="C114" i="61"/>
  <c r="C115" i="61"/>
  <c r="C116" i="61"/>
  <c r="C117" i="61"/>
  <c r="C118" i="61"/>
  <c r="C119" i="61"/>
  <c r="C120" i="61"/>
  <c r="C121" i="61"/>
  <c r="C122" i="61"/>
  <c r="C123" i="61"/>
  <c r="C124" i="61"/>
  <c r="C125" i="61"/>
  <c r="C126" i="61"/>
  <c r="C127" i="61"/>
  <c r="C128" i="61"/>
  <c r="C129" i="61"/>
  <c r="C130" i="61"/>
  <c r="C131" i="61"/>
  <c r="C132" i="61"/>
  <c r="C133" i="61"/>
  <c r="C134" i="61"/>
  <c r="C135" i="61"/>
  <c r="C136" i="61"/>
  <c r="C137" i="61"/>
  <c r="C138" i="61"/>
  <c r="C139" i="61"/>
  <c r="C140" i="61"/>
  <c r="C141" i="61"/>
  <c r="C142" i="61"/>
  <c r="C143" i="61"/>
  <c r="C144" i="61"/>
  <c r="C145" i="61"/>
  <c r="C146" i="61"/>
  <c r="C147" i="61"/>
  <c r="C148" i="61"/>
  <c r="C149" i="61"/>
  <c r="C150" i="61"/>
  <c r="C151" i="61"/>
  <c r="C152" i="61"/>
  <c r="C153" i="61"/>
  <c r="C154" i="61"/>
  <c r="C155" i="61"/>
  <c r="C156" i="61"/>
  <c r="C157" i="61"/>
  <c r="C158" i="61"/>
  <c r="C159" i="61"/>
  <c r="C160" i="61"/>
  <c r="C161" i="61"/>
  <c r="C162" i="61"/>
  <c r="C163" i="61"/>
  <c r="C164" i="61"/>
  <c r="C165" i="61"/>
  <c r="C166" i="61"/>
  <c r="C167" i="61"/>
  <c r="C168" i="61"/>
  <c r="C169" i="61"/>
  <c r="C170" i="61"/>
  <c r="C171" i="61"/>
  <c r="C172" i="61"/>
  <c r="C173" i="61"/>
  <c r="C174" i="61"/>
  <c r="C175" i="61"/>
  <c r="C176" i="61"/>
  <c r="C177" i="61"/>
  <c r="C178" i="61"/>
  <c r="C179" i="61"/>
  <c r="C180" i="61"/>
  <c r="C181" i="61"/>
  <c r="C182" i="61"/>
  <c r="C183" i="61"/>
  <c r="C184" i="61"/>
  <c r="C185" i="61"/>
  <c r="C186" i="61"/>
  <c r="C187" i="61"/>
  <c r="C188" i="61"/>
  <c r="C189" i="61"/>
  <c r="C190" i="61"/>
  <c r="C191" i="61"/>
  <c r="C192" i="61"/>
  <c r="C193" i="61"/>
  <c r="C194" i="61"/>
  <c r="C195" i="61"/>
  <c r="C196" i="61"/>
  <c r="C197" i="61"/>
  <c r="C198" i="61"/>
  <c r="C199" i="61"/>
  <c r="C200" i="61"/>
  <c r="C201" i="61"/>
  <c r="C202" i="61"/>
  <c r="C203" i="61"/>
  <c r="C204" i="61"/>
  <c r="C205" i="61"/>
  <c r="C206" i="61"/>
  <c r="C207" i="61"/>
  <c r="C208" i="61"/>
  <c r="C209" i="61"/>
  <c r="C210" i="61"/>
  <c r="C211" i="61"/>
  <c r="C212" i="61"/>
  <c r="C213" i="61"/>
  <c r="C214" i="61"/>
  <c r="C215" i="61"/>
  <c r="C216" i="61"/>
  <c r="C217" i="61"/>
  <c r="C218" i="61"/>
  <c r="C219" i="61"/>
  <c r="C220" i="61"/>
  <c r="C221" i="61"/>
  <c r="C222" i="61"/>
  <c r="C223" i="61"/>
  <c r="C224" i="61"/>
  <c r="C225" i="61"/>
  <c r="C226" i="61"/>
  <c r="C227" i="61"/>
  <c r="C228" i="61"/>
  <c r="C229" i="61"/>
  <c r="C230" i="61"/>
  <c r="C231" i="61"/>
  <c r="C232" i="61"/>
  <c r="C233" i="61"/>
  <c r="C234" i="61"/>
  <c r="C235" i="61"/>
  <c r="C236" i="61"/>
  <c r="C237" i="61"/>
  <c r="C238" i="61"/>
  <c r="C239" i="61"/>
  <c r="C240" i="61"/>
  <c r="C241" i="61"/>
  <c r="C242" i="61"/>
  <c r="C243" i="61"/>
  <c r="C244" i="61"/>
  <c r="C245" i="61"/>
  <c r="C246" i="61"/>
  <c r="C247" i="61"/>
  <c r="C248" i="61"/>
  <c r="C249" i="61"/>
  <c r="C250" i="61"/>
  <c r="C251" i="61"/>
  <c r="C252" i="61"/>
  <c r="C253" i="61"/>
  <c r="C254" i="61"/>
  <c r="C255" i="61"/>
  <c r="C256" i="61"/>
  <c r="C257" i="61"/>
  <c r="C258" i="61"/>
  <c r="C259" i="61"/>
  <c r="C260" i="61"/>
  <c r="C261" i="61"/>
  <c r="C262" i="61"/>
  <c r="C263" i="61"/>
  <c r="C264" i="61"/>
  <c r="C265" i="61"/>
  <c r="C266" i="61"/>
  <c r="C267" i="61"/>
  <c r="C268" i="61"/>
  <c r="C269" i="61"/>
  <c r="C270" i="61"/>
  <c r="C271" i="61"/>
  <c r="C272" i="61"/>
  <c r="C273" i="61"/>
  <c r="C274" i="61"/>
  <c r="C275" i="61"/>
  <c r="C276" i="61"/>
  <c r="C277" i="61"/>
  <c r="C278" i="61"/>
  <c r="C279" i="61"/>
  <c r="C280" i="61"/>
  <c r="C281" i="61"/>
  <c r="C282" i="61"/>
  <c r="C283" i="61"/>
  <c r="C284" i="61"/>
  <c r="C285" i="61"/>
  <c r="C286" i="61"/>
  <c r="C287" i="61"/>
  <c r="C288" i="61"/>
  <c r="C289" i="61"/>
  <c r="C290" i="61"/>
  <c r="C291" i="61"/>
  <c r="C292" i="61"/>
  <c r="C293" i="61"/>
  <c r="C294" i="61"/>
  <c r="C295" i="61"/>
  <c r="C296" i="61"/>
  <c r="C297" i="61"/>
  <c r="C298" i="61"/>
  <c r="C299" i="61"/>
  <c r="C300" i="61"/>
  <c r="C301" i="61"/>
  <c r="C302" i="61"/>
  <c r="C303" i="61"/>
  <c r="C304" i="61"/>
  <c r="C305" i="61"/>
  <c r="C306" i="61"/>
  <c r="C307" i="61"/>
  <c r="C308" i="61"/>
  <c r="C309" i="61"/>
  <c r="C310" i="61"/>
  <c r="C311" i="61"/>
  <c r="C312" i="61"/>
  <c r="C313" i="61"/>
  <c r="C314" i="61"/>
  <c r="C315" i="61"/>
  <c r="C316" i="61"/>
  <c r="C317" i="61"/>
  <c r="C318" i="61"/>
  <c r="C319" i="61"/>
  <c r="C320" i="61"/>
  <c r="C321" i="61"/>
  <c r="C322" i="61"/>
  <c r="C323" i="61"/>
  <c r="C324" i="61"/>
  <c r="C325" i="61"/>
  <c r="C326" i="61"/>
  <c r="C327" i="61"/>
  <c r="C328" i="61"/>
  <c r="C329" i="61"/>
  <c r="C330" i="61"/>
  <c r="C331" i="61"/>
  <c r="C332" i="61"/>
  <c r="C333" i="61"/>
  <c r="C334" i="61"/>
  <c r="C335" i="61"/>
  <c r="C336" i="61"/>
  <c r="C337" i="61"/>
  <c r="C338" i="61"/>
  <c r="C339" i="61"/>
  <c r="C340" i="61"/>
  <c r="C341" i="61"/>
  <c r="C342" i="61"/>
  <c r="C343" i="61"/>
  <c r="C344" i="61"/>
  <c r="C345" i="61"/>
  <c r="C346" i="61"/>
  <c r="C347" i="61"/>
  <c r="C348" i="61"/>
  <c r="C349" i="61"/>
  <c r="C350" i="61"/>
  <c r="C351" i="61"/>
  <c r="C352" i="61"/>
  <c r="C353" i="61"/>
  <c r="C354" i="61"/>
  <c r="C355" i="61"/>
  <c r="C356" i="61"/>
  <c r="C357" i="61"/>
  <c r="C358" i="61"/>
  <c r="C359" i="61"/>
  <c r="C360" i="61"/>
  <c r="C361" i="61"/>
  <c r="C362" i="61"/>
  <c r="C363" i="61"/>
  <c r="C364" i="61"/>
  <c r="C365" i="61"/>
  <c r="C366" i="61"/>
  <c r="C367" i="61"/>
  <c r="C368" i="61"/>
  <c r="C369" i="61"/>
  <c r="C370" i="61"/>
  <c r="C371" i="61"/>
  <c r="C372" i="61"/>
  <c r="C373" i="61"/>
  <c r="C374" i="61"/>
  <c r="C375" i="61"/>
  <c r="C376" i="61"/>
  <c r="C377" i="61"/>
  <c r="C378" i="61"/>
  <c r="C379" i="61"/>
  <c r="C380" i="61"/>
  <c r="C381" i="61"/>
  <c r="C382" i="61"/>
  <c r="C383" i="61"/>
  <c r="C384" i="61"/>
  <c r="C385" i="61"/>
  <c r="C386" i="61"/>
  <c r="C387" i="61"/>
  <c r="C388" i="61"/>
  <c r="C389" i="61"/>
  <c r="C390" i="61"/>
  <c r="C391" i="61"/>
  <c r="C392" i="61"/>
  <c r="C393" i="61"/>
  <c r="C394" i="61"/>
  <c r="C395" i="61"/>
  <c r="C396" i="61"/>
  <c r="C397" i="61"/>
  <c r="C398" i="61"/>
  <c r="C399" i="61"/>
  <c r="C400" i="61"/>
  <c r="C401" i="61"/>
  <c r="C402" i="61"/>
  <c r="C403" i="61"/>
  <c r="C404" i="61"/>
  <c r="C405" i="61"/>
  <c r="C406" i="61"/>
  <c r="C407" i="61"/>
  <c r="C408" i="61"/>
  <c r="C409" i="61"/>
  <c r="C410" i="61"/>
  <c r="C411" i="61"/>
  <c r="C412" i="61"/>
  <c r="C413" i="61"/>
  <c r="C414" i="61"/>
  <c r="C415" i="61"/>
  <c r="C416" i="61"/>
  <c r="C417" i="61"/>
  <c r="C418" i="61"/>
  <c r="C419" i="61"/>
  <c r="C420" i="61"/>
  <c r="C421" i="61"/>
  <c r="C422" i="61"/>
  <c r="C423" i="61"/>
  <c r="C424" i="61"/>
  <c r="C425" i="61"/>
  <c r="C426" i="61"/>
  <c r="C427" i="61"/>
  <c r="C428" i="61"/>
  <c r="C429" i="61"/>
  <c r="C430" i="61"/>
  <c r="C431" i="61"/>
  <c r="C432" i="61"/>
  <c r="C433" i="61"/>
  <c r="C434" i="61"/>
  <c r="C435" i="61"/>
  <c r="C436" i="61"/>
  <c r="C437" i="61"/>
  <c r="C438" i="61"/>
  <c r="C439" i="61"/>
  <c r="C440" i="61"/>
  <c r="C441" i="61"/>
  <c r="C442" i="61"/>
  <c r="C443" i="61"/>
  <c r="C444" i="61"/>
  <c r="C445" i="61"/>
  <c r="C446" i="61"/>
  <c r="C447" i="61"/>
  <c r="C448" i="61"/>
  <c r="C449" i="61"/>
  <c r="C450" i="61"/>
  <c r="C451" i="61"/>
  <c r="C452" i="61"/>
  <c r="C453" i="61"/>
  <c r="C454" i="61"/>
  <c r="C455" i="61"/>
  <c r="C456" i="61"/>
  <c r="C457" i="61"/>
  <c r="C458" i="61"/>
  <c r="C459" i="61"/>
  <c r="C460" i="61"/>
  <c r="C461" i="61"/>
  <c r="C462" i="61"/>
  <c r="C463" i="61"/>
  <c r="C464" i="61"/>
  <c r="C465" i="61"/>
  <c r="C466" i="61"/>
  <c r="C467" i="61"/>
  <c r="C468" i="61"/>
  <c r="C469" i="61"/>
  <c r="C470" i="61"/>
  <c r="C471" i="61"/>
  <c r="C472" i="61"/>
  <c r="C473" i="61"/>
  <c r="C474" i="61"/>
  <c r="C475" i="61"/>
  <c r="C476" i="61"/>
  <c r="C477" i="61"/>
  <c r="C478" i="61"/>
  <c r="C479" i="61"/>
  <c r="C480" i="61"/>
  <c r="C481" i="61"/>
  <c r="C482" i="61"/>
  <c r="C483" i="61"/>
  <c r="C484" i="61"/>
  <c r="C485" i="61"/>
  <c r="C486" i="61"/>
  <c r="C487" i="61"/>
  <c r="C488" i="61"/>
  <c r="C489" i="61"/>
  <c r="C490" i="61"/>
  <c r="C491" i="61"/>
  <c r="C492" i="61"/>
  <c r="C493" i="61"/>
  <c r="C494" i="61"/>
  <c r="C495" i="61"/>
  <c r="C496" i="61"/>
  <c r="C497" i="61"/>
  <c r="C498" i="61"/>
  <c r="C499" i="61"/>
  <c r="C500" i="61"/>
  <c r="C501" i="61"/>
  <c r="B3" i="69"/>
  <c r="B4" i="69"/>
  <c r="B5" i="69"/>
  <c r="B6" i="69"/>
  <c r="B7" i="69"/>
  <c r="B8" i="69"/>
  <c r="B9" i="69"/>
  <c r="B10" i="69"/>
  <c r="B11" i="69"/>
  <c r="B12" i="69"/>
  <c r="B13" i="69"/>
  <c r="B14" i="69"/>
  <c r="B15" i="69"/>
  <c r="B16" i="69"/>
  <c r="B17" i="69"/>
  <c r="B18" i="69"/>
  <c r="B19" i="69"/>
  <c r="B20" i="69"/>
  <c r="B21" i="69"/>
  <c r="B22" i="69"/>
  <c r="B23" i="69"/>
  <c r="B24" i="69"/>
  <c r="B25" i="69"/>
  <c r="B26" i="69"/>
  <c r="B27" i="69"/>
  <c r="B28" i="69"/>
  <c r="B29" i="69"/>
  <c r="B30" i="69"/>
  <c r="B31" i="69"/>
  <c r="B32" i="69"/>
  <c r="B33" i="69"/>
  <c r="B34" i="69"/>
  <c r="B35" i="69"/>
  <c r="B36" i="69"/>
  <c r="B37" i="69"/>
  <c r="B38" i="69"/>
  <c r="B39" i="69"/>
  <c r="B40" i="69"/>
  <c r="B41" i="69"/>
  <c r="B42" i="69"/>
  <c r="B43" i="69"/>
  <c r="B44" i="69"/>
  <c r="B45" i="69"/>
  <c r="B46" i="69"/>
  <c r="B47" i="69"/>
  <c r="B48" i="69"/>
  <c r="B49" i="69"/>
  <c r="B50" i="69"/>
  <c r="B51" i="69"/>
  <c r="B52" i="69"/>
  <c r="B53" i="69"/>
  <c r="B54" i="69"/>
  <c r="B55" i="69"/>
  <c r="B56" i="69"/>
  <c r="B57" i="69"/>
  <c r="B58" i="69"/>
  <c r="B59" i="69"/>
  <c r="B60" i="69"/>
  <c r="B61" i="69"/>
  <c r="B62" i="69"/>
  <c r="B63" i="69"/>
  <c r="B64" i="69"/>
  <c r="B65" i="69"/>
  <c r="B66" i="69"/>
  <c r="B67" i="69"/>
  <c r="B68" i="69"/>
  <c r="B69" i="69"/>
  <c r="B70" i="69"/>
  <c r="B71" i="69"/>
  <c r="B72" i="69"/>
  <c r="B73" i="69"/>
  <c r="B74" i="69"/>
  <c r="B75" i="69"/>
  <c r="B76" i="69"/>
  <c r="B77" i="69"/>
  <c r="B78" i="69"/>
  <c r="B79" i="69"/>
  <c r="B80" i="69"/>
  <c r="B81" i="69"/>
  <c r="B82" i="69"/>
  <c r="B83" i="69"/>
  <c r="B84" i="69"/>
  <c r="B85" i="69"/>
  <c r="B86" i="69"/>
  <c r="B87" i="69"/>
  <c r="B88" i="69"/>
  <c r="B89" i="69"/>
  <c r="B90" i="69"/>
  <c r="B91" i="69"/>
  <c r="B92" i="69"/>
  <c r="B93" i="69"/>
  <c r="B94" i="69"/>
  <c r="B95" i="69"/>
  <c r="B96" i="69"/>
  <c r="B97" i="69"/>
  <c r="B98" i="69"/>
  <c r="B99" i="69"/>
  <c r="B100" i="69"/>
  <c r="B101" i="69"/>
  <c r="B102" i="69"/>
  <c r="B103" i="69"/>
  <c r="B104" i="69"/>
  <c r="B105" i="69"/>
  <c r="B106" i="69"/>
  <c r="B107" i="69"/>
  <c r="B108" i="69"/>
  <c r="B109" i="69"/>
  <c r="B110" i="69"/>
  <c r="B111" i="69"/>
  <c r="B112" i="69"/>
  <c r="B113" i="69"/>
  <c r="B114" i="69"/>
  <c r="B115" i="69"/>
  <c r="B116" i="69"/>
  <c r="B117" i="69"/>
  <c r="B118" i="69"/>
  <c r="B119" i="69"/>
  <c r="B120" i="69"/>
  <c r="B121" i="69"/>
  <c r="B122" i="69"/>
  <c r="B123" i="69"/>
  <c r="B124" i="69"/>
  <c r="B125" i="69"/>
  <c r="B126" i="69"/>
  <c r="B127" i="69"/>
  <c r="B128" i="69"/>
  <c r="B129" i="69"/>
  <c r="B130" i="69"/>
  <c r="B131" i="69"/>
  <c r="B132" i="69"/>
  <c r="B133" i="69"/>
  <c r="B134" i="69"/>
  <c r="B135" i="69"/>
  <c r="B136" i="69"/>
  <c r="B137" i="69"/>
  <c r="B138" i="69"/>
  <c r="B139" i="69"/>
  <c r="B140" i="69"/>
  <c r="B141" i="69"/>
  <c r="B142" i="69"/>
  <c r="B143" i="69"/>
  <c r="B144" i="69"/>
  <c r="B145" i="69"/>
  <c r="B146" i="69"/>
  <c r="B147" i="69"/>
  <c r="B148" i="69"/>
  <c r="B149" i="69"/>
  <c r="B150" i="69"/>
  <c r="B151" i="69"/>
  <c r="B152" i="69"/>
  <c r="B153" i="69"/>
  <c r="B154" i="69"/>
  <c r="B155" i="69"/>
  <c r="B156" i="69"/>
  <c r="B157" i="69"/>
  <c r="B158" i="69"/>
  <c r="B159" i="69"/>
  <c r="B160" i="69"/>
  <c r="B161" i="69"/>
  <c r="B162" i="69"/>
  <c r="B163" i="69"/>
  <c r="B164" i="69"/>
  <c r="B165" i="69"/>
  <c r="B166" i="69"/>
  <c r="B167" i="69"/>
  <c r="B168" i="69"/>
  <c r="B169" i="69"/>
  <c r="B170" i="69"/>
  <c r="B171" i="69"/>
  <c r="B172" i="69"/>
  <c r="B173" i="69"/>
  <c r="B174" i="69"/>
  <c r="B175" i="69"/>
  <c r="B176" i="69"/>
  <c r="B177" i="69"/>
  <c r="B178" i="69"/>
  <c r="B179" i="69"/>
  <c r="B180" i="69"/>
  <c r="B181" i="69"/>
  <c r="B182" i="69"/>
  <c r="B183" i="69"/>
  <c r="B184" i="69"/>
  <c r="B185" i="69"/>
  <c r="B186" i="69"/>
  <c r="B187" i="69"/>
  <c r="B188" i="69"/>
  <c r="B189" i="69"/>
  <c r="B190" i="69"/>
  <c r="B191" i="69"/>
  <c r="B192" i="69"/>
  <c r="B193" i="69"/>
  <c r="B194" i="69"/>
  <c r="B195" i="69"/>
  <c r="B196" i="69"/>
  <c r="B197" i="69"/>
  <c r="B198" i="69"/>
  <c r="B199" i="69"/>
  <c r="B200" i="69"/>
  <c r="B201" i="69"/>
  <c r="B202" i="69"/>
  <c r="B203" i="69"/>
  <c r="B204" i="69"/>
  <c r="B205" i="69"/>
  <c r="B206" i="69"/>
  <c r="B207" i="69"/>
  <c r="B208" i="69"/>
  <c r="B209" i="69"/>
  <c r="B210" i="69"/>
  <c r="B211" i="69"/>
  <c r="B212" i="69"/>
  <c r="B213" i="69"/>
  <c r="B214" i="69"/>
  <c r="B215" i="69"/>
  <c r="B216" i="69"/>
  <c r="B217" i="69"/>
  <c r="B218" i="69"/>
  <c r="B219" i="69"/>
  <c r="B220" i="69"/>
  <c r="B221" i="69"/>
  <c r="B222" i="69"/>
  <c r="B223" i="69"/>
  <c r="B224" i="69"/>
  <c r="B225" i="69"/>
  <c r="B226" i="69"/>
  <c r="B227" i="69"/>
  <c r="B228" i="69"/>
  <c r="B229" i="69"/>
  <c r="B230" i="69"/>
  <c r="B231" i="69"/>
  <c r="B232" i="69"/>
  <c r="B233" i="69"/>
  <c r="B234" i="69"/>
  <c r="B235" i="69"/>
  <c r="B236" i="69"/>
  <c r="B237" i="69"/>
  <c r="B238" i="69"/>
  <c r="B239" i="69"/>
  <c r="B240" i="69"/>
  <c r="B241" i="69"/>
  <c r="B242" i="69"/>
  <c r="B243" i="69"/>
  <c r="B244" i="69"/>
  <c r="B245" i="69"/>
  <c r="B246" i="69"/>
  <c r="B247" i="69"/>
  <c r="B248" i="69"/>
  <c r="B249" i="69"/>
  <c r="B250" i="69"/>
  <c r="B251" i="69"/>
  <c r="B252" i="69"/>
  <c r="B253" i="69"/>
  <c r="B254" i="69"/>
  <c r="B255" i="69"/>
  <c r="B256" i="69"/>
  <c r="B257" i="69"/>
  <c r="B258" i="69"/>
  <c r="B259" i="69"/>
  <c r="B260" i="69"/>
  <c r="B261" i="69"/>
  <c r="B262" i="69"/>
  <c r="B263" i="69"/>
  <c r="B264" i="69"/>
  <c r="B265" i="69"/>
  <c r="B266" i="69"/>
  <c r="B267" i="69"/>
  <c r="B268" i="69"/>
  <c r="B269" i="69"/>
  <c r="B270" i="69"/>
  <c r="B271" i="69"/>
  <c r="B272" i="69"/>
  <c r="B273" i="69"/>
  <c r="B274" i="69"/>
  <c r="B275" i="69"/>
  <c r="B276" i="69"/>
  <c r="B277" i="69"/>
  <c r="B278" i="69"/>
  <c r="B279" i="69"/>
  <c r="B280" i="69"/>
  <c r="B281" i="69"/>
  <c r="B282" i="69"/>
  <c r="B283" i="69"/>
  <c r="B284" i="69"/>
  <c r="B285" i="69"/>
  <c r="B286" i="69"/>
  <c r="B287" i="69"/>
  <c r="B288" i="69"/>
  <c r="B289" i="69"/>
  <c r="B290" i="69"/>
  <c r="B291" i="69"/>
  <c r="B292" i="69"/>
  <c r="B293" i="69"/>
  <c r="B294" i="69"/>
  <c r="B295" i="69"/>
  <c r="B296" i="69"/>
  <c r="B297" i="69"/>
  <c r="B298" i="69"/>
  <c r="B299" i="69"/>
  <c r="B300" i="69"/>
  <c r="B301" i="69"/>
  <c r="B302" i="69"/>
  <c r="B303" i="69"/>
  <c r="B304" i="69"/>
  <c r="B305" i="69"/>
  <c r="B306" i="69"/>
  <c r="B307" i="69"/>
  <c r="B308" i="69"/>
  <c r="B309" i="69"/>
  <c r="B310" i="69"/>
  <c r="B311" i="69"/>
  <c r="B312" i="69"/>
  <c r="B313" i="69"/>
  <c r="B314" i="69"/>
  <c r="B315" i="69"/>
  <c r="B316" i="69"/>
  <c r="B317" i="69"/>
  <c r="B318" i="69"/>
  <c r="B319" i="69"/>
  <c r="B320" i="69"/>
  <c r="B321" i="69"/>
  <c r="B322" i="69"/>
  <c r="B323" i="69"/>
  <c r="B324" i="69"/>
  <c r="B325" i="69"/>
  <c r="B326" i="69"/>
  <c r="B327" i="69"/>
  <c r="B328" i="69"/>
  <c r="B329" i="69"/>
  <c r="B330" i="69"/>
  <c r="B331" i="69"/>
  <c r="B332" i="69"/>
  <c r="B333" i="69"/>
  <c r="B334" i="69"/>
  <c r="B335" i="69"/>
  <c r="B336" i="69"/>
  <c r="B337" i="69"/>
  <c r="B338" i="69"/>
  <c r="B339" i="69"/>
  <c r="B340" i="69"/>
  <c r="B341" i="69"/>
  <c r="B342" i="69"/>
  <c r="B343" i="69"/>
  <c r="B344" i="69"/>
  <c r="B345" i="69"/>
  <c r="B346" i="69"/>
  <c r="B347" i="69"/>
  <c r="B348" i="69"/>
  <c r="B349" i="69"/>
  <c r="B350" i="69"/>
  <c r="B351" i="69"/>
  <c r="B352" i="69"/>
  <c r="B353" i="69"/>
  <c r="B354" i="69"/>
  <c r="B355" i="69"/>
  <c r="B356" i="69"/>
  <c r="B357" i="69"/>
  <c r="B358" i="69"/>
  <c r="B359" i="69"/>
  <c r="B360" i="69"/>
  <c r="B361" i="69"/>
  <c r="B362" i="69"/>
  <c r="B363" i="69"/>
  <c r="B364" i="69"/>
  <c r="B365" i="69"/>
  <c r="B366" i="69"/>
  <c r="B367" i="69"/>
  <c r="B368" i="69"/>
  <c r="B369" i="69"/>
  <c r="B370" i="69"/>
  <c r="B371" i="69"/>
  <c r="B372" i="69"/>
  <c r="B373" i="69"/>
  <c r="B374" i="69"/>
  <c r="B375" i="69"/>
  <c r="B376" i="69"/>
  <c r="B377" i="69"/>
  <c r="B378" i="69"/>
  <c r="B379" i="69"/>
  <c r="B380" i="69"/>
  <c r="B381" i="69"/>
  <c r="B382" i="69"/>
  <c r="B383" i="69"/>
  <c r="B384" i="69"/>
  <c r="B385" i="69"/>
  <c r="B386" i="69"/>
  <c r="B387" i="69"/>
  <c r="B388" i="69"/>
  <c r="B389" i="69"/>
  <c r="B390" i="69"/>
  <c r="B391" i="69"/>
  <c r="B392" i="69"/>
  <c r="B393" i="69"/>
  <c r="B394" i="69"/>
  <c r="B395" i="69"/>
  <c r="B396" i="69"/>
  <c r="B397" i="69"/>
  <c r="B398" i="69"/>
  <c r="B399" i="69"/>
  <c r="B400" i="69"/>
  <c r="B401" i="69"/>
  <c r="B402" i="69"/>
  <c r="B403" i="69"/>
  <c r="B404" i="69"/>
  <c r="B405" i="69"/>
  <c r="B406" i="69"/>
  <c r="B407" i="69"/>
  <c r="B408" i="69"/>
  <c r="B409" i="69"/>
  <c r="B410" i="69"/>
  <c r="B411" i="69"/>
  <c r="B412" i="69"/>
  <c r="B413" i="69"/>
  <c r="B414" i="69"/>
  <c r="B415" i="69"/>
  <c r="B416" i="69"/>
  <c r="B417" i="69"/>
  <c r="B418" i="69"/>
  <c r="B419" i="69"/>
  <c r="B420" i="69"/>
  <c r="B421" i="69"/>
  <c r="B422" i="69"/>
  <c r="B423" i="69"/>
  <c r="B424" i="69"/>
  <c r="B425" i="69"/>
  <c r="B426" i="69"/>
  <c r="B427" i="69"/>
  <c r="B428" i="69"/>
  <c r="B429" i="69"/>
  <c r="B430" i="69"/>
  <c r="B431" i="69"/>
  <c r="B432" i="69"/>
  <c r="B433" i="69"/>
  <c r="B434" i="69"/>
  <c r="B435" i="69"/>
  <c r="B436" i="69"/>
  <c r="B437" i="69"/>
  <c r="B438" i="69"/>
  <c r="B439" i="69"/>
  <c r="B440" i="69"/>
  <c r="B441" i="69"/>
  <c r="B442" i="69"/>
  <c r="B443" i="69"/>
  <c r="B444" i="69"/>
  <c r="B445" i="69"/>
  <c r="B446" i="69"/>
  <c r="B447" i="69"/>
  <c r="B448" i="69"/>
  <c r="B449" i="69"/>
  <c r="B450" i="69"/>
  <c r="B451" i="69"/>
  <c r="B452" i="69"/>
  <c r="B453" i="69"/>
  <c r="B454" i="69"/>
  <c r="B455" i="69"/>
  <c r="B456" i="69"/>
  <c r="B457" i="69"/>
  <c r="B458" i="69"/>
  <c r="B459" i="69"/>
  <c r="B460" i="69"/>
  <c r="B461" i="69"/>
  <c r="B462" i="69"/>
  <c r="B463" i="69"/>
  <c r="B464" i="69"/>
  <c r="B465" i="69"/>
  <c r="B466" i="69"/>
  <c r="B467" i="69"/>
  <c r="B468" i="69"/>
  <c r="B469" i="69"/>
  <c r="B470" i="69"/>
  <c r="B471" i="69"/>
  <c r="B472" i="69"/>
  <c r="B473" i="69"/>
  <c r="B474" i="69"/>
  <c r="B475" i="69"/>
  <c r="B476" i="69"/>
  <c r="B477" i="69"/>
  <c r="B478" i="69"/>
  <c r="B479" i="69"/>
  <c r="B480" i="69"/>
  <c r="B481" i="69"/>
  <c r="B482" i="69"/>
  <c r="B483" i="69"/>
  <c r="B484" i="69"/>
  <c r="B485" i="69"/>
  <c r="B486" i="69"/>
  <c r="B487" i="69"/>
  <c r="B488" i="69"/>
  <c r="B489" i="69"/>
  <c r="B490" i="69"/>
  <c r="B491" i="69"/>
  <c r="B492" i="69"/>
  <c r="B493" i="69"/>
  <c r="B494" i="69"/>
  <c r="B495" i="69"/>
  <c r="B496" i="69"/>
  <c r="B497" i="69"/>
  <c r="B498" i="69"/>
  <c r="B499" i="69"/>
  <c r="B500" i="69"/>
  <c r="B501" i="69"/>
  <c r="B2" i="69"/>
  <c r="P30" i="61" a="1"/>
  <c r="P30" i="61" s="1"/>
  <c r="P31" i="61" a="1"/>
  <c r="P31" i="61" s="1"/>
  <c r="P32" i="61" a="1"/>
  <c r="P32" i="61" s="1"/>
  <c r="P33" i="61" a="1"/>
  <c r="P33" i="61" s="1"/>
  <c r="P34" i="61" a="1"/>
  <c r="P34" i="61" s="1"/>
  <c r="P35" i="61" a="1"/>
  <c r="P35" i="61" s="1"/>
  <c r="P36" i="61" a="1"/>
  <c r="P36" i="61" s="1"/>
  <c r="P37" i="61" a="1"/>
  <c r="P37" i="61" s="1"/>
  <c r="P38" i="61" a="1"/>
  <c r="P38" i="61" s="1"/>
  <c r="P39" i="61" a="1"/>
  <c r="P39" i="61" s="1"/>
  <c r="P40" i="61" a="1"/>
  <c r="P40" i="61" s="1"/>
  <c r="P41" i="61" a="1"/>
  <c r="P41" i="61" s="1"/>
  <c r="P42" i="61" a="1"/>
  <c r="P42" i="61" s="1"/>
  <c r="P43" i="61" a="1"/>
  <c r="P43" i="61" s="1"/>
  <c r="P44" i="61" a="1"/>
  <c r="P44" i="61" s="1"/>
  <c r="P45" i="61" a="1"/>
  <c r="P45" i="61" s="1"/>
  <c r="P46" i="61" a="1"/>
  <c r="P46" i="61" s="1"/>
  <c r="P47" i="61" a="1"/>
  <c r="P47" i="61" s="1"/>
  <c r="P48" i="61" a="1"/>
  <c r="P48" i="61" s="1"/>
  <c r="P49" i="61" a="1"/>
  <c r="P49" i="61" s="1"/>
  <c r="P50" i="61" a="1"/>
  <c r="P50" i="61" s="1"/>
  <c r="P51" i="61" a="1"/>
  <c r="P51" i="61" s="1"/>
  <c r="P52" i="61" a="1"/>
  <c r="P52" i="61" s="1"/>
  <c r="P53" i="61" a="1"/>
  <c r="P53" i="61" s="1"/>
  <c r="P54" i="61" a="1"/>
  <c r="P54" i="61" s="1"/>
  <c r="P55" i="61" a="1"/>
  <c r="P55" i="61" s="1"/>
  <c r="P56" i="61" a="1"/>
  <c r="P56" i="61" s="1"/>
  <c r="P57" i="61" a="1"/>
  <c r="P57" i="61" s="1"/>
  <c r="P58" i="61" a="1"/>
  <c r="P58" i="61" s="1"/>
  <c r="P59" i="61" a="1"/>
  <c r="P59" i="61" s="1"/>
  <c r="P60" i="61" a="1"/>
  <c r="P60" i="61" s="1"/>
  <c r="P61" i="61" a="1"/>
  <c r="P61" i="61" s="1"/>
  <c r="P62" i="61" a="1"/>
  <c r="P62" i="61" s="1"/>
  <c r="P63" i="61" a="1"/>
  <c r="P63" i="61" s="1"/>
  <c r="P64" i="61" a="1"/>
  <c r="P64" i="61" s="1"/>
  <c r="P65" i="61" a="1"/>
  <c r="P65" i="61" s="1"/>
  <c r="P66" i="61" a="1"/>
  <c r="P66" i="61" s="1"/>
  <c r="P67" i="61" a="1"/>
  <c r="P67" i="61" s="1"/>
  <c r="P68" i="61" a="1"/>
  <c r="P68" i="61" s="1"/>
  <c r="P69" i="61" a="1"/>
  <c r="P69" i="61" s="1"/>
  <c r="P70" i="61" a="1"/>
  <c r="P70" i="61" s="1"/>
  <c r="P71" i="61" a="1"/>
  <c r="P71" i="61" s="1"/>
  <c r="P72" i="61" a="1"/>
  <c r="P72" i="61" s="1"/>
  <c r="P73" i="61" a="1"/>
  <c r="P73" i="61" s="1"/>
  <c r="P74" i="61" a="1"/>
  <c r="P74" i="61" s="1"/>
  <c r="P75" i="61" a="1"/>
  <c r="P75" i="61" s="1"/>
  <c r="P76" i="61" a="1"/>
  <c r="P76" i="61" s="1"/>
  <c r="P77" i="61" a="1"/>
  <c r="P77" i="61" s="1"/>
  <c r="P78" i="61" a="1"/>
  <c r="P78" i="61" s="1"/>
  <c r="P79" i="61" a="1"/>
  <c r="P79" i="61" s="1"/>
  <c r="P80" i="61" a="1"/>
  <c r="P80" i="61" s="1"/>
  <c r="P81" i="61" a="1"/>
  <c r="P81" i="61" s="1"/>
  <c r="P82" i="61" a="1"/>
  <c r="P82" i="61" s="1"/>
  <c r="P83" i="61" a="1"/>
  <c r="P83" i="61" s="1"/>
  <c r="P84" i="61" a="1"/>
  <c r="P84" i="61" s="1"/>
  <c r="P85" i="61" a="1"/>
  <c r="P85" i="61" s="1"/>
  <c r="P86" i="61" a="1"/>
  <c r="P86" i="61" s="1"/>
  <c r="P87" i="61" a="1"/>
  <c r="P87" i="61" s="1"/>
  <c r="P88" i="61" a="1"/>
  <c r="P88" i="61" s="1"/>
  <c r="P89" i="61" a="1"/>
  <c r="P89" i="61" s="1"/>
  <c r="P90" i="61" a="1"/>
  <c r="P90" i="61" s="1"/>
  <c r="P91" i="61" a="1"/>
  <c r="P91" i="61" s="1"/>
  <c r="P92" i="61" a="1"/>
  <c r="P92" i="61" s="1"/>
  <c r="P93" i="61" a="1"/>
  <c r="P93" i="61" s="1"/>
  <c r="P94" i="61" a="1"/>
  <c r="P94" i="61" s="1"/>
  <c r="P95" i="61" a="1"/>
  <c r="P95" i="61" s="1"/>
  <c r="P96" i="61" a="1"/>
  <c r="P96" i="61" s="1"/>
  <c r="P97" i="61" a="1"/>
  <c r="P97" i="61" s="1"/>
  <c r="P98" i="61" a="1"/>
  <c r="P98" i="61" s="1"/>
  <c r="P99" i="61" a="1"/>
  <c r="P99" i="61" s="1"/>
  <c r="P100" i="61" a="1"/>
  <c r="P100" i="61" s="1"/>
  <c r="P101" i="61" a="1"/>
  <c r="P101" i="61" s="1"/>
  <c r="P102" i="61" a="1"/>
  <c r="P102" i="61" s="1"/>
  <c r="P103" i="61" a="1"/>
  <c r="P103" i="61" s="1"/>
  <c r="P104" i="61" a="1"/>
  <c r="P104" i="61" s="1"/>
  <c r="P105" i="61" a="1"/>
  <c r="P105" i="61" s="1"/>
  <c r="P106" i="61" a="1"/>
  <c r="P106" i="61" s="1"/>
  <c r="P107" i="61" a="1"/>
  <c r="P107" i="61" s="1"/>
  <c r="P108" i="61" a="1"/>
  <c r="P108" i="61" s="1"/>
  <c r="P109" i="61" a="1"/>
  <c r="P109" i="61" s="1"/>
  <c r="P110" i="61" a="1"/>
  <c r="P110" i="61" s="1"/>
  <c r="P111" i="61" a="1"/>
  <c r="P111" i="61" s="1"/>
  <c r="P112" i="61" a="1"/>
  <c r="P112" i="61" s="1"/>
  <c r="P113" i="61" a="1"/>
  <c r="P113" i="61" s="1"/>
  <c r="P114" i="61" a="1"/>
  <c r="P114" i="61" s="1"/>
  <c r="P115" i="61" a="1"/>
  <c r="P115" i="61" s="1"/>
  <c r="P116" i="61" a="1"/>
  <c r="P116" i="61" s="1"/>
  <c r="P117" i="61" a="1"/>
  <c r="P117" i="61" s="1"/>
  <c r="P118" i="61" a="1"/>
  <c r="P118" i="61" s="1"/>
  <c r="P119" i="61" a="1"/>
  <c r="P119" i="61" s="1"/>
  <c r="P120" i="61" a="1"/>
  <c r="P120" i="61" s="1"/>
  <c r="P121" i="61" a="1"/>
  <c r="P121" i="61" s="1"/>
  <c r="P122" i="61" a="1"/>
  <c r="P122" i="61" s="1"/>
  <c r="P123" i="61" a="1"/>
  <c r="P123" i="61" s="1"/>
  <c r="P124" i="61" a="1"/>
  <c r="P124" i="61" s="1"/>
  <c r="P125" i="61" a="1"/>
  <c r="P125" i="61" s="1"/>
  <c r="P126" i="61" a="1"/>
  <c r="P126" i="61" s="1"/>
  <c r="P127" i="61" a="1"/>
  <c r="P127" i="61" s="1"/>
  <c r="P128" i="61" a="1"/>
  <c r="P128" i="61" s="1"/>
  <c r="P129" i="61" a="1"/>
  <c r="P129" i="61" s="1"/>
  <c r="P130" i="61" a="1"/>
  <c r="P130" i="61" s="1"/>
  <c r="P131" i="61" a="1"/>
  <c r="P131" i="61" s="1"/>
  <c r="P132" i="61" a="1"/>
  <c r="P132" i="61" s="1"/>
  <c r="P133" i="61" a="1"/>
  <c r="P133" i="61" s="1"/>
  <c r="P134" i="61" a="1"/>
  <c r="P134" i="61" s="1"/>
  <c r="P135" i="61" a="1"/>
  <c r="P135" i="61" s="1"/>
  <c r="P136" i="61" a="1"/>
  <c r="P136" i="61" s="1"/>
  <c r="P137" i="61" a="1"/>
  <c r="P137" i="61" s="1"/>
  <c r="P138" i="61" a="1"/>
  <c r="P138" i="61" s="1"/>
  <c r="P139" i="61" a="1"/>
  <c r="P139" i="61" s="1"/>
  <c r="P140" i="61" a="1"/>
  <c r="P140" i="61" s="1"/>
  <c r="P141" i="61" a="1"/>
  <c r="P141" i="61" s="1"/>
  <c r="P142" i="61" a="1"/>
  <c r="P142" i="61" s="1"/>
  <c r="P143" i="61" a="1"/>
  <c r="P143" i="61" s="1"/>
  <c r="P144" i="61" a="1"/>
  <c r="P144" i="61" s="1"/>
  <c r="P145" i="61" a="1"/>
  <c r="P145" i="61" s="1"/>
  <c r="P146" i="61" a="1"/>
  <c r="P146" i="61" s="1"/>
  <c r="P147" i="61" a="1"/>
  <c r="P147" i="61" s="1"/>
  <c r="P148" i="61" a="1"/>
  <c r="P148" i="61" s="1"/>
  <c r="P149" i="61" a="1"/>
  <c r="P149" i="61" s="1"/>
  <c r="P150" i="61" a="1"/>
  <c r="P150" i="61" s="1"/>
  <c r="P151" i="61" a="1"/>
  <c r="P151" i="61" s="1"/>
  <c r="P152" i="61" a="1"/>
  <c r="P152" i="61" s="1"/>
  <c r="P153" i="61" a="1"/>
  <c r="P153" i="61" s="1"/>
  <c r="P154" i="61" a="1"/>
  <c r="P154" i="61" s="1"/>
  <c r="P155" i="61" a="1"/>
  <c r="P155" i="61" s="1"/>
  <c r="P156" i="61" a="1"/>
  <c r="P156" i="61" s="1"/>
  <c r="P157" i="61" a="1"/>
  <c r="P157" i="61" s="1"/>
  <c r="P158" i="61" a="1"/>
  <c r="P158" i="61" s="1"/>
  <c r="P159" i="61" a="1"/>
  <c r="P159" i="61" s="1"/>
  <c r="P160" i="61" a="1"/>
  <c r="P160" i="61" s="1"/>
  <c r="P161" i="61" a="1"/>
  <c r="P161" i="61" s="1"/>
  <c r="P162" i="61" a="1"/>
  <c r="P162" i="61" s="1"/>
  <c r="P163" i="61" a="1"/>
  <c r="P163" i="61" s="1"/>
  <c r="P164" i="61" a="1"/>
  <c r="P164" i="61" s="1"/>
  <c r="P165" i="61" a="1"/>
  <c r="P165" i="61" s="1"/>
  <c r="P166" i="61" a="1"/>
  <c r="P166" i="61" s="1"/>
  <c r="P167" i="61" a="1"/>
  <c r="P167" i="61" s="1"/>
  <c r="P168" i="61" a="1"/>
  <c r="P168" i="61" s="1"/>
  <c r="P169" i="61" a="1"/>
  <c r="P169" i="61" s="1"/>
  <c r="P170" i="61" a="1"/>
  <c r="P170" i="61" s="1"/>
  <c r="P171" i="61" a="1"/>
  <c r="P171" i="61" s="1"/>
  <c r="P172" i="61" a="1"/>
  <c r="P172" i="61" s="1"/>
  <c r="P173" i="61" a="1"/>
  <c r="P173" i="61" s="1"/>
  <c r="P174" i="61" a="1"/>
  <c r="P174" i="61" s="1"/>
  <c r="P175" i="61" a="1"/>
  <c r="P175" i="61" s="1"/>
  <c r="P176" i="61" a="1"/>
  <c r="P176" i="61" s="1"/>
  <c r="P177" i="61" a="1"/>
  <c r="P177" i="61" s="1"/>
  <c r="P178" i="61" a="1"/>
  <c r="P178" i="61" s="1"/>
  <c r="P179" i="61" a="1"/>
  <c r="P179" i="61" s="1"/>
  <c r="P180" i="61" a="1"/>
  <c r="P180" i="61" s="1"/>
  <c r="P181" i="61" a="1"/>
  <c r="P181" i="61" s="1"/>
  <c r="P182" i="61" a="1"/>
  <c r="P182" i="61" s="1"/>
  <c r="P183" i="61" a="1"/>
  <c r="P183" i="61" s="1"/>
  <c r="P184" i="61" a="1"/>
  <c r="P184" i="61" s="1"/>
  <c r="P185" i="61" a="1"/>
  <c r="P185" i="61" s="1"/>
  <c r="P186" i="61" a="1"/>
  <c r="P186" i="61" s="1"/>
  <c r="P187" i="61" a="1"/>
  <c r="P187" i="61" s="1"/>
  <c r="P188" i="61" a="1"/>
  <c r="P188" i="61" s="1"/>
  <c r="P189" i="61" a="1"/>
  <c r="P189" i="61" s="1"/>
  <c r="P190" i="61" a="1"/>
  <c r="P190" i="61" s="1"/>
  <c r="P191" i="61" a="1"/>
  <c r="P191" i="61" s="1"/>
  <c r="P192" i="61" a="1"/>
  <c r="P192" i="61" s="1"/>
  <c r="P193" i="61" a="1"/>
  <c r="P193" i="61" s="1"/>
  <c r="P194" i="61" a="1"/>
  <c r="P194" i="61" s="1"/>
  <c r="P195" i="61" a="1"/>
  <c r="P195" i="61" s="1"/>
  <c r="P196" i="61" a="1"/>
  <c r="P196" i="61" s="1"/>
  <c r="P197" i="61" a="1"/>
  <c r="P197" i="61" s="1"/>
  <c r="P198" i="61" a="1"/>
  <c r="P198" i="61" s="1"/>
  <c r="P199" i="61" a="1"/>
  <c r="P199" i="61" s="1"/>
  <c r="P200" i="61" a="1"/>
  <c r="P200" i="61" s="1"/>
  <c r="P201" i="61" a="1"/>
  <c r="P201" i="61" s="1"/>
  <c r="P202" i="61" a="1"/>
  <c r="P202" i="61" s="1"/>
  <c r="P203" i="61" a="1"/>
  <c r="P203" i="61" s="1"/>
  <c r="P204" i="61" a="1"/>
  <c r="P204" i="61" s="1"/>
  <c r="P205" i="61" a="1"/>
  <c r="P205" i="61" s="1"/>
  <c r="P206" i="61" a="1"/>
  <c r="P206" i="61" s="1"/>
  <c r="P207" i="61" a="1"/>
  <c r="P207" i="61" s="1"/>
  <c r="P208" i="61" a="1"/>
  <c r="P208" i="61" s="1"/>
  <c r="P209" i="61" a="1"/>
  <c r="P209" i="61" s="1"/>
  <c r="P210" i="61" a="1"/>
  <c r="P210" i="61" s="1"/>
  <c r="P211" i="61" a="1"/>
  <c r="P211" i="61" s="1"/>
  <c r="P212" i="61" a="1"/>
  <c r="P212" i="61" s="1"/>
  <c r="P213" i="61" a="1"/>
  <c r="P213" i="61" s="1"/>
  <c r="P214" i="61" a="1"/>
  <c r="P214" i="61" s="1"/>
  <c r="P215" i="61" a="1"/>
  <c r="P215" i="61" s="1"/>
  <c r="P216" i="61" a="1"/>
  <c r="P216" i="61" s="1"/>
  <c r="P217" i="61" a="1"/>
  <c r="P217" i="61" s="1"/>
  <c r="P218" i="61" a="1"/>
  <c r="P218" i="61" s="1"/>
  <c r="P219" i="61" a="1"/>
  <c r="P219" i="61" s="1"/>
  <c r="P220" i="61" a="1"/>
  <c r="P220" i="61" s="1"/>
  <c r="P221" i="61" a="1"/>
  <c r="P221" i="61" s="1"/>
  <c r="P222" i="61" a="1"/>
  <c r="P222" i="61" s="1"/>
  <c r="P223" i="61" a="1"/>
  <c r="P223" i="61" s="1"/>
  <c r="P224" i="61" a="1"/>
  <c r="P224" i="61" s="1"/>
  <c r="P225" i="61" a="1"/>
  <c r="P225" i="61" s="1"/>
  <c r="P226" i="61" a="1"/>
  <c r="P226" i="61" s="1"/>
  <c r="P227" i="61" a="1"/>
  <c r="P227" i="61" s="1"/>
  <c r="P228" i="61" a="1"/>
  <c r="P228" i="61" s="1"/>
  <c r="P229" i="61" a="1"/>
  <c r="P229" i="61" s="1"/>
  <c r="P230" i="61" a="1"/>
  <c r="P230" i="61" s="1"/>
  <c r="P231" i="61" a="1"/>
  <c r="P231" i="61" s="1"/>
  <c r="P232" i="61" a="1"/>
  <c r="P232" i="61" s="1"/>
  <c r="P233" i="61" a="1"/>
  <c r="P233" i="61" s="1"/>
  <c r="P234" i="61" a="1"/>
  <c r="P234" i="61" s="1"/>
  <c r="P235" i="61" a="1"/>
  <c r="P235" i="61" s="1"/>
  <c r="P236" i="61" a="1"/>
  <c r="P236" i="61" s="1"/>
  <c r="P237" i="61" a="1"/>
  <c r="P237" i="61" s="1"/>
  <c r="P238" i="61" a="1"/>
  <c r="P238" i="61" s="1"/>
  <c r="P239" i="61" a="1"/>
  <c r="P239" i="61" s="1"/>
  <c r="P240" i="61" a="1"/>
  <c r="P240" i="61" s="1"/>
  <c r="P241" i="61" a="1"/>
  <c r="P241" i="61" s="1"/>
  <c r="P242" i="61" a="1"/>
  <c r="P242" i="61" s="1"/>
  <c r="P243" i="61" a="1"/>
  <c r="P243" i="61" s="1"/>
  <c r="P244" i="61" a="1"/>
  <c r="P244" i="61" s="1"/>
  <c r="P245" i="61" a="1"/>
  <c r="P245" i="61" s="1"/>
  <c r="P246" i="61" a="1"/>
  <c r="P246" i="61" s="1"/>
  <c r="P247" i="61" a="1"/>
  <c r="P247" i="61" s="1"/>
  <c r="P248" i="61" a="1"/>
  <c r="P248" i="61" s="1"/>
  <c r="P249" i="61" a="1"/>
  <c r="P249" i="61" s="1"/>
  <c r="P250" i="61" a="1"/>
  <c r="P250" i="61" s="1"/>
  <c r="P251" i="61" a="1"/>
  <c r="P251" i="61" s="1"/>
  <c r="P252" i="61" a="1"/>
  <c r="P252" i="61" s="1"/>
  <c r="P253" i="61" a="1"/>
  <c r="P253" i="61" s="1"/>
  <c r="P254" i="61" a="1"/>
  <c r="P254" i="61" s="1"/>
  <c r="P255" i="61" a="1"/>
  <c r="P255" i="61" s="1"/>
  <c r="P256" i="61" a="1"/>
  <c r="P256" i="61" s="1"/>
  <c r="P257" i="61" a="1"/>
  <c r="P257" i="61" s="1"/>
  <c r="P258" i="61" a="1"/>
  <c r="P258" i="61" s="1"/>
  <c r="P259" i="61" a="1"/>
  <c r="P259" i="61" s="1"/>
  <c r="P260" i="61" a="1"/>
  <c r="P260" i="61" s="1"/>
  <c r="P261" i="61" a="1"/>
  <c r="P261" i="61" s="1"/>
  <c r="P262" i="61" a="1"/>
  <c r="P262" i="61" s="1"/>
  <c r="P263" i="61" a="1"/>
  <c r="P263" i="61" s="1"/>
  <c r="P264" i="61" a="1"/>
  <c r="P264" i="61" s="1"/>
  <c r="P265" i="61" a="1"/>
  <c r="P265" i="61" s="1"/>
  <c r="P266" i="61" a="1"/>
  <c r="P266" i="61" s="1"/>
  <c r="P267" i="61" a="1"/>
  <c r="P267" i="61" s="1"/>
  <c r="P268" i="61" a="1"/>
  <c r="P268" i="61" s="1"/>
  <c r="P269" i="61" a="1"/>
  <c r="P269" i="61" s="1"/>
  <c r="P270" i="61" a="1"/>
  <c r="P270" i="61" s="1"/>
  <c r="P271" i="61" a="1"/>
  <c r="P271" i="61" s="1"/>
  <c r="P272" i="61" a="1"/>
  <c r="P272" i="61" s="1"/>
  <c r="P273" i="61" a="1"/>
  <c r="P273" i="61" s="1"/>
  <c r="P274" i="61" a="1"/>
  <c r="P274" i="61" s="1"/>
  <c r="P275" i="61" a="1"/>
  <c r="P275" i="61" s="1"/>
  <c r="P276" i="61" a="1"/>
  <c r="P276" i="61" s="1"/>
  <c r="P277" i="61" a="1"/>
  <c r="P277" i="61" s="1"/>
  <c r="P278" i="61" a="1"/>
  <c r="P278" i="61" s="1"/>
  <c r="P279" i="61" a="1"/>
  <c r="P279" i="61" s="1"/>
  <c r="P280" i="61" a="1"/>
  <c r="P280" i="61" s="1"/>
  <c r="P281" i="61" a="1"/>
  <c r="P281" i="61" s="1"/>
  <c r="P282" i="61" a="1"/>
  <c r="P282" i="61" s="1"/>
  <c r="P283" i="61" a="1"/>
  <c r="P283" i="61" s="1"/>
  <c r="P284" i="61" a="1"/>
  <c r="P284" i="61" s="1"/>
  <c r="P285" i="61" a="1"/>
  <c r="P285" i="61" s="1"/>
  <c r="P286" i="61" a="1"/>
  <c r="P286" i="61" s="1"/>
  <c r="P287" i="61" a="1"/>
  <c r="P287" i="61" s="1"/>
  <c r="P288" i="61" a="1"/>
  <c r="P288" i="61" s="1"/>
  <c r="P289" i="61" a="1"/>
  <c r="P289" i="61" s="1"/>
  <c r="P290" i="61" a="1"/>
  <c r="P290" i="61" s="1"/>
  <c r="P291" i="61" a="1"/>
  <c r="P291" i="61" s="1"/>
  <c r="P292" i="61" a="1"/>
  <c r="P292" i="61" s="1"/>
  <c r="P293" i="61" a="1"/>
  <c r="P293" i="61" s="1"/>
  <c r="P294" i="61" a="1"/>
  <c r="P294" i="61" s="1"/>
  <c r="P295" i="61" a="1"/>
  <c r="P295" i="61" s="1"/>
  <c r="P296" i="61" a="1"/>
  <c r="P296" i="61" s="1"/>
  <c r="P297" i="61" a="1"/>
  <c r="P297" i="61" s="1"/>
  <c r="P298" i="61" a="1"/>
  <c r="P298" i="61" s="1"/>
  <c r="P299" i="61" a="1"/>
  <c r="P299" i="61" s="1"/>
  <c r="P300" i="61" a="1"/>
  <c r="P300" i="61" s="1"/>
  <c r="P301" i="61" a="1"/>
  <c r="P301" i="61" s="1"/>
  <c r="P302" i="61" a="1"/>
  <c r="P302" i="61" s="1"/>
  <c r="P303" i="61" a="1"/>
  <c r="P303" i="61" s="1"/>
  <c r="P304" i="61" a="1"/>
  <c r="P304" i="61" s="1"/>
  <c r="P305" i="61" a="1"/>
  <c r="P305" i="61" s="1"/>
  <c r="P306" i="61" a="1"/>
  <c r="P306" i="61" s="1"/>
  <c r="P307" i="61" a="1"/>
  <c r="P307" i="61" s="1"/>
  <c r="P308" i="61" a="1"/>
  <c r="P308" i="61" s="1"/>
  <c r="P309" i="61" a="1"/>
  <c r="P309" i="61" s="1"/>
  <c r="P310" i="61" a="1"/>
  <c r="P310" i="61" s="1"/>
  <c r="P311" i="61" a="1"/>
  <c r="P311" i="61" s="1"/>
  <c r="P312" i="61" a="1"/>
  <c r="P312" i="61" s="1"/>
  <c r="P313" i="61" a="1"/>
  <c r="P313" i="61" s="1"/>
  <c r="P314" i="61" a="1"/>
  <c r="P314" i="61" s="1"/>
  <c r="P315" i="61" a="1"/>
  <c r="P315" i="61" s="1"/>
  <c r="P316" i="61" a="1"/>
  <c r="P316" i="61" s="1"/>
  <c r="P317" i="61" a="1"/>
  <c r="P317" i="61" s="1"/>
  <c r="P318" i="61" a="1"/>
  <c r="P318" i="61" s="1"/>
  <c r="P319" i="61" a="1"/>
  <c r="P319" i="61" s="1"/>
  <c r="P320" i="61" a="1"/>
  <c r="P320" i="61" s="1"/>
  <c r="P321" i="61" a="1"/>
  <c r="P321" i="61" s="1"/>
  <c r="P322" i="61" a="1"/>
  <c r="P322" i="61" s="1"/>
  <c r="P323" i="61" a="1"/>
  <c r="P323" i="61" s="1"/>
  <c r="P324" i="61" a="1"/>
  <c r="P324" i="61" s="1"/>
  <c r="P325" i="61" a="1"/>
  <c r="P325" i="61" s="1"/>
  <c r="P326" i="61" a="1"/>
  <c r="P326" i="61" s="1"/>
  <c r="P327" i="61" a="1"/>
  <c r="P327" i="61" s="1"/>
  <c r="P328" i="61" a="1"/>
  <c r="P328" i="61" s="1"/>
  <c r="P329" i="61" a="1"/>
  <c r="P329" i="61" s="1"/>
  <c r="P330" i="61" a="1"/>
  <c r="P330" i="61" s="1"/>
  <c r="P331" i="61" a="1"/>
  <c r="P331" i="61" s="1"/>
  <c r="P332" i="61" a="1"/>
  <c r="P332" i="61" s="1"/>
  <c r="P333" i="61" a="1"/>
  <c r="P333" i="61" s="1"/>
  <c r="P334" i="61" a="1"/>
  <c r="P334" i="61" s="1"/>
  <c r="P335" i="61" a="1"/>
  <c r="P335" i="61" s="1"/>
  <c r="P336" i="61" a="1"/>
  <c r="P336" i="61" s="1"/>
  <c r="P337" i="61" a="1"/>
  <c r="P337" i="61" s="1"/>
  <c r="P338" i="61" a="1"/>
  <c r="P338" i="61" s="1"/>
  <c r="P339" i="61" a="1"/>
  <c r="P339" i="61" s="1"/>
  <c r="P340" i="61" a="1"/>
  <c r="P340" i="61" s="1"/>
  <c r="P341" i="61" a="1"/>
  <c r="P341" i="61" s="1"/>
  <c r="P342" i="61" a="1"/>
  <c r="P342" i="61" s="1"/>
  <c r="P343" i="61" a="1"/>
  <c r="P343" i="61" s="1"/>
  <c r="P344" i="61" a="1"/>
  <c r="P344" i="61" s="1"/>
  <c r="P345" i="61" a="1"/>
  <c r="P345" i="61" s="1"/>
  <c r="P346" i="61" a="1"/>
  <c r="P346" i="61" s="1"/>
  <c r="P347" i="61" a="1"/>
  <c r="P347" i="61" s="1"/>
  <c r="P348" i="61" a="1"/>
  <c r="P348" i="61" s="1"/>
  <c r="P349" i="61" a="1"/>
  <c r="P349" i="61" s="1"/>
  <c r="P350" i="61" a="1"/>
  <c r="P350" i="61" s="1"/>
  <c r="P351" i="61" a="1"/>
  <c r="P351" i="61" s="1"/>
  <c r="P352" i="61" a="1"/>
  <c r="P352" i="61" s="1"/>
  <c r="P353" i="61" a="1"/>
  <c r="P353" i="61" s="1"/>
  <c r="P354" i="61" a="1"/>
  <c r="P354" i="61" s="1"/>
  <c r="P355" i="61" a="1"/>
  <c r="P355" i="61" s="1"/>
  <c r="P356" i="61" a="1"/>
  <c r="P356" i="61" s="1"/>
  <c r="P357" i="61" a="1"/>
  <c r="P357" i="61" s="1"/>
  <c r="P358" i="61" a="1"/>
  <c r="P358" i="61" s="1"/>
  <c r="P359" i="61" a="1"/>
  <c r="P359" i="61" s="1"/>
  <c r="P360" i="61" a="1"/>
  <c r="P360" i="61" s="1"/>
  <c r="P361" i="61" a="1"/>
  <c r="P361" i="61" s="1"/>
  <c r="P362" i="61" a="1"/>
  <c r="P362" i="61" s="1"/>
  <c r="P363" i="61" a="1"/>
  <c r="P363" i="61" s="1"/>
  <c r="P364" i="61" a="1"/>
  <c r="P364" i="61" s="1"/>
  <c r="P365" i="61" a="1"/>
  <c r="P365" i="61" s="1"/>
  <c r="P366" i="61" a="1"/>
  <c r="P366" i="61" s="1"/>
  <c r="P367" i="61" a="1"/>
  <c r="P367" i="61" s="1"/>
  <c r="P368" i="61" a="1"/>
  <c r="P368" i="61" s="1"/>
  <c r="P369" i="61" a="1"/>
  <c r="P369" i="61" s="1"/>
  <c r="P370" i="61" a="1"/>
  <c r="P370" i="61" s="1"/>
  <c r="P371" i="61" a="1"/>
  <c r="P371" i="61" s="1"/>
  <c r="P372" i="61" a="1"/>
  <c r="P372" i="61" s="1"/>
  <c r="P373" i="61" a="1"/>
  <c r="P373" i="61" s="1"/>
  <c r="P374" i="61" a="1"/>
  <c r="P374" i="61" s="1"/>
  <c r="P375" i="61" a="1"/>
  <c r="P375" i="61" s="1"/>
  <c r="P376" i="61" a="1"/>
  <c r="P376" i="61" s="1"/>
  <c r="P377" i="61" a="1"/>
  <c r="P377" i="61" s="1"/>
  <c r="P378" i="61" a="1"/>
  <c r="P378" i="61" s="1"/>
  <c r="P379" i="61" a="1"/>
  <c r="P379" i="61" s="1"/>
  <c r="P380" i="61" a="1"/>
  <c r="P380" i="61" s="1"/>
  <c r="P381" i="61" a="1"/>
  <c r="P381" i="61" s="1"/>
  <c r="P382" i="61" a="1"/>
  <c r="P382" i="61" s="1"/>
  <c r="P383" i="61" a="1"/>
  <c r="P383" i="61" s="1"/>
  <c r="P384" i="61" a="1"/>
  <c r="P384" i="61" s="1"/>
  <c r="P385" i="61" a="1"/>
  <c r="P385" i="61" s="1"/>
  <c r="P386" i="61" a="1"/>
  <c r="P386" i="61" s="1"/>
  <c r="P387" i="61" a="1"/>
  <c r="P387" i="61" s="1"/>
  <c r="P388" i="61" a="1"/>
  <c r="P388" i="61" s="1"/>
  <c r="P389" i="61" a="1"/>
  <c r="P389" i="61" s="1"/>
  <c r="P390" i="61" a="1"/>
  <c r="P390" i="61" s="1"/>
  <c r="P391" i="61" a="1"/>
  <c r="P391" i="61" s="1"/>
  <c r="P392" i="61" a="1"/>
  <c r="P392" i="61" s="1"/>
  <c r="P393" i="61" a="1"/>
  <c r="P393" i="61" s="1"/>
  <c r="P394" i="61" a="1"/>
  <c r="P394" i="61" s="1"/>
  <c r="P395" i="61" a="1"/>
  <c r="P395" i="61" s="1"/>
  <c r="P396" i="61" a="1"/>
  <c r="P396" i="61" s="1"/>
  <c r="P397" i="61" a="1"/>
  <c r="P397" i="61" s="1"/>
  <c r="P398" i="61" a="1"/>
  <c r="P398" i="61" s="1"/>
  <c r="P399" i="61" a="1"/>
  <c r="P399" i="61" s="1"/>
  <c r="P400" i="61" a="1"/>
  <c r="P400" i="61" s="1"/>
  <c r="P401" i="61" a="1"/>
  <c r="P401" i="61" s="1"/>
  <c r="P402" i="61" a="1"/>
  <c r="P402" i="61" s="1"/>
  <c r="P403" i="61" a="1"/>
  <c r="P403" i="61" s="1"/>
  <c r="P404" i="61" a="1"/>
  <c r="P404" i="61" s="1"/>
  <c r="P405" i="61" a="1"/>
  <c r="P405" i="61" s="1"/>
  <c r="P406" i="61" a="1"/>
  <c r="P406" i="61" s="1"/>
  <c r="P407" i="61" a="1"/>
  <c r="P407" i="61" s="1"/>
  <c r="P408" i="61" a="1"/>
  <c r="P408" i="61" s="1"/>
  <c r="P409" i="61" a="1"/>
  <c r="P409" i="61" s="1"/>
  <c r="P410" i="61" a="1"/>
  <c r="P410" i="61" s="1"/>
  <c r="P411" i="61" a="1"/>
  <c r="P411" i="61" s="1"/>
  <c r="P412" i="61" a="1"/>
  <c r="P412" i="61" s="1"/>
  <c r="P413" i="61" a="1"/>
  <c r="P413" i="61" s="1"/>
  <c r="P414" i="61" a="1"/>
  <c r="P414" i="61" s="1"/>
  <c r="P415" i="61" a="1"/>
  <c r="P415" i="61" s="1"/>
  <c r="P416" i="61" a="1"/>
  <c r="P416" i="61" s="1"/>
  <c r="P417" i="61" a="1"/>
  <c r="P417" i="61" s="1"/>
  <c r="P418" i="61" a="1"/>
  <c r="P418" i="61" s="1"/>
  <c r="P419" i="61" a="1"/>
  <c r="P419" i="61" s="1"/>
  <c r="P420" i="61" a="1"/>
  <c r="P420" i="61" s="1"/>
  <c r="P421" i="61" a="1"/>
  <c r="P421" i="61" s="1"/>
  <c r="P422" i="61" a="1"/>
  <c r="P422" i="61" s="1"/>
  <c r="P423" i="61" a="1"/>
  <c r="P423" i="61" s="1"/>
  <c r="P424" i="61" a="1"/>
  <c r="P424" i="61" s="1"/>
  <c r="P425" i="61" a="1"/>
  <c r="P425" i="61" s="1"/>
  <c r="P426" i="61" a="1"/>
  <c r="P426" i="61" s="1"/>
  <c r="P427" i="61" a="1"/>
  <c r="P427" i="61" s="1"/>
  <c r="P428" i="61" a="1"/>
  <c r="P428" i="61" s="1"/>
  <c r="P429" i="61" a="1"/>
  <c r="P429" i="61" s="1"/>
  <c r="P430" i="61" a="1"/>
  <c r="P430" i="61" s="1"/>
  <c r="P431" i="61" a="1"/>
  <c r="P431" i="61" s="1"/>
  <c r="P432" i="61" a="1"/>
  <c r="P432" i="61" s="1"/>
  <c r="P433" i="61" a="1"/>
  <c r="P433" i="61" s="1"/>
  <c r="P434" i="61" a="1"/>
  <c r="P434" i="61" s="1"/>
  <c r="P435" i="61" a="1"/>
  <c r="P435" i="61" s="1"/>
  <c r="P436" i="61" a="1"/>
  <c r="P436" i="61" s="1"/>
  <c r="P437" i="61" a="1"/>
  <c r="P437" i="61" s="1"/>
  <c r="P438" i="61" a="1"/>
  <c r="P438" i="61" s="1"/>
  <c r="P439" i="61" a="1"/>
  <c r="P439" i="61" s="1"/>
  <c r="P440" i="61" a="1"/>
  <c r="P440" i="61" s="1"/>
  <c r="P441" i="61" a="1"/>
  <c r="P441" i="61" s="1"/>
  <c r="P442" i="61" a="1"/>
  <c r="P442" i="61" s="1"/>
  <c r="P443" i="61" a="1"/>
  <c r="P443" i="61" s="1"/>
  <c r="P444" i="61" a="1"/>
  <c r="P444" i="61" s="1"/>
  <c r="P445" i="61" a="1"/>
  <c r="P445" i="61" s="1"/>
  <c r="P446" i="61" a="1"/>
  <c r="P446" i="61" s="1"/>
  <c r="P447" i="61" a="1"/>
  <c r="P447" i="61" s="1"/>
  <c r="P448" i="61" a="1"/>
  <c r="P448" i="61" s="1"/>
  <c r="P449" i="61" a="1"/>
  <c r="P449" i="61" s="1"/>
  <c r="P450" i="61" a="1"/>
  <c r="P450" i="61" s="1"/>
  <c r="P451" i="61" a="1"/>
  <c r="P451" i="61" s="1"/>
  <c r="P452" i="61" a="1"/>
  <c r="P452" i="61" s="1"/>
  <c r="P453" i="61" a="1"/>
  <c r="P453" i="61" s="1"/>
  <c r="P454" i="61" a="1"/>
  <c r="P454" i="61" s="1"/>
  <c r="P455" i="61" a="1"/>
  <c r="P455" i="61" s="1"/>
  <c r="P456" i="61" a="1"/>
  <c r="P456" i="61" s="1"/>
  <c r="P457" i="61" a="1"/>
  <c r="P457" i="61" s="1"/>
  <c r="P458" i="61" a="1"/>
  <c r="P458" i="61" s="1"/>
  <c r="P459" i="61" a="1"/>
  <c r="P459" i="61" s="1"/>
  <c r="P460" i="61" a="1"/>
  <c r="P460" i="61" s="1"/>
  <c r="P461" i="61" a="1"/>
  <c r="P461" i="61" s="1"/>
  <c r="P462" i="61" a="1"/>
  <c r="P462" i="61" s="1"/>
  <c r="P463" i="61" a="1"/>
  <c r="P463" i="61" s="1"/>
  <c r="P464" i="61" a="1"/>
  <c r="P464" i="61" s="1"/>
  <c r="P465" i="61" a="1"/>
  <c r="P465" i="61" s="1"/>
  <c r="P466" i="61" a="1"/>
  <c r="P466" i="61" s="1"/>
  <c r="P467" i="61" a="1"/>
  <c r="P467" i="61" s="1"/>
  <c r="P468" i="61" a="1"/>
  <c r="P468" i="61" s="1"/>
  <c r="P469" i="61" a="1"/>
  <c r="P469" i="61" s="1"/>
  <c r="P470" i="61" a="1"/>
  <c r="P470" i="61" s="1"/>
  <c r="P471" i="61" a="1"/>
  <c r="P471" i="61" s="1"/>
  <c r="P472" i="61" a="1"/>
  <c r="P472" i="61" s="1"/>
  <c r="P473" i="61" a="1"/>
  <c r="P473" i="61" s="1"/>
  <c r="P474" i="61" a="1"/>
  <c r="P474" i="61" s="1"/>
  <c r="P475" i="61" a="1"/>
  <c r="P475" i="61" s="1"/>
  <c r="P476" i="61" a="1"/>
  <c r="P476" i="61" s="1"/>
  <c r="P477" i="61" a="1"/>
  <c r="P477" i="61" s="1"/>
  <c r="P478" i="61" a="1"/>
  <c r="P478" i="61" s="1"/>
  <c r="P479" i="61" a="1"/>
  <c r="P479" i="61" s="1"/>
  <c r="P480" i="61" a="1"/>
  <c r="P480" i="61" s="1"/>
  <c r="P481" i="61" a="1"/>
  <c r="P481" i="61" s="1"/>
  <c r="P482" i="61" a="1"/>
  <c r="P482" i="61" s="1"/>
  <c r="P483" i="61" a="1"/>
  <c r="P483" i="61" s="1"/>
  <c r="P484" i="61" a="1"/>
  <c r="P484" i="61" s="1"/>
  <c r="P485" i="61" a="1"/>
  <c r="P485" i="61" s="1"/>
  <c r="P486" i="61" a="1"/>
  <c r="P486" i="61" s="1"/>
  <c r="P487" i="61" a="1"/>
  <c r="P487" i="61" s="1"/>
  <c r="P488" i="61" a="1"/>
  <c r="P488" i="61" s="1"/>
  <c r="P489" i="61" a="1"/>
  <c r="P489" i="61" s="1"/>
  <c r="P490" i="61" a="1"/>
  <c r="P490" i="61" s="1"/>
  <c r="P491" i="61" a="1"/>
  <c r="P491" i="61" s="1"/>
  <c r="P492" i="61" a="1"/>
  <c r="P492" i="61" s="1"/>
  <c r="P493" i="61" a="1"/>
  <c r="P493" i="61" s="1"/>
  <c r="P494" i="61" a="1"/>
  <c r="P494" i="61" s="1"/>
  <c r="P495" i="61" a="1"/>
  <c r="P495" i="61" s="1"/>
  <c r="P496" i="61" a="1"/>
  <c r="P496" i="61" s="1"/>
  <c r="P497" i="61" a="1"/>
  <c r="P497" i="61" s="1"/>
  <c r="P498" i="61" a="1"/>
  <c r="P498" i="61" s="1"/>
  <c r="P499" i="61" a="1"/>
  <c r="P499" i="61" s="1"/>
  <c r="P500" i="61" a="1"/>
  <c r="P500" i="61" s="1"/>
  <c r="P501" i="61" a="1"/>
  <c r="P501" i="61" s="1"/>
  <c r="F29" i="67"/>
  <c r="G29" i="67" s="1"/>
  <c r="H29" i="67" s="1"/>
  <c r="P29" i="61" s="1" a="1"/>
  <c r="P29" i="61" s="1"/>
  <c r="H10" i="67"/>
  <c r="P10" i="61" s="1" a="1"/>
  <c r="P10" i="61" s="1"/>
  <c r="H18" i="67"/>
  <c r="P18" i="61" s="1" a="1"/>
  <c r="P18" i="61" s="1"/>
  <c r="H26" i="67"/>
  <c r="P26" i="61" s="1" a="1"/>
  <c r="P26" i="61" s="1"/>
  <c r="G4" i="47"/>
  <c r="G3" i="47"/>
  <c r="G2" i="47"/>
  <c r="B2"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B38" i="47"/>
  <c r="B39" i="47"/>
  <c r="B40" i="47"/>
  <c r="B41" i="47"/>
  <c r="B42" i="47"/>
  <c r="B43" i="47"/>
  <c r="B44" i="47"/>
  <c r="B45" i="47"/>
  <c r="B46" i="47"/>
  <c r="B47" i="47"/>
  <c r="B48" i="47"/>
  <c r="B49" i="47"/>
  <c r="B50" i="47"/>
  <c r="B51" i="47"/>
  <c r="B52" i="47"/>
  <c r="B53" i="47"/>
  <c r="B54" i="47"/>
  <c r="B55" i="47"/>
  <c r="B56" i="47"/>
  <c r="B57" i="47"/>
  <c r="B58" i="47"/>
  <c r="B59" i="47"/>
  <c r="B60" i="47"/>
  <c r="B61" i="47"/>
  <c r="B62" i="47"/>
  <c r="B63" i="47"/>
  <c r="B64" i="47"/>
  <c r="B65" i="47"/>
  <c r="B66" i="47"/>
  <c r="B67" i="47"/>
  <c r="B68" i="47"/>
  <c r="B69" i="47"/>
  <c r="B70" i="47"/>
  <c r="B71" i="47"/>
  <c r="B72" i="47"/>
  <c r="B73" i="47"/>
  <c r="B74" i="47"/>
  <c r="B75" i="47"/>
  <c r="B76" i="47"/>
  <c r="B77" i="47"/>
  <c r="B78" i="47"/>
  <c r="B79" i="47"/>
  <c r="B80" i="47"/>
  <c r="B81" i="47"/>
  <c r="B82" i="47"/>
  <c r="B83" i="47"/>
  <c r="B84" i="47"/>
  <c r="B85" i="47"/>
  <c r="B86" i="47"/>
  <c r="B87" i="47"/>
  <c r="B88" i="47"/>
  <c r="B89" i="47"/>
  <c r="B90" i="47"/>
  <c r="B91" i="47"/>
  <c r="B92" i="47"/>
  <c r="B93" i="47"/>
  <c r="B94" i="47"/>
  <c r="B95" i="47"/>
  <c r="B96" i="47"/>
  <c r="B97" i="47"/>
  <c r="B98" i="47"/>
  <c r="B99" i="47"/>
  <c r="B100" i="47"/>
  <c r="B101" i="47"/>
  <c r="B102" i="47"/>
  <c r="B103" i="47"/>
  <c r="B104" i="47"/>
  <c r="B105" i="47"/>
  <c r="B106" i="47"/>
  <c r="B107" i="47"/>
  <c r="B108" i="47"/>
  <c r="B109" i="47"/>
  <c r="B110" i="47"/>
  <c r="B111" i="47"/>
  <c r="B112" i="47"/>
  <c r="B113" i="47"/>
  <c r="B114" i="47"/>
  <c r="B115" i="47"/>
  <c r="B116" i="47"/>
  <c r="B117" i="47"/>
  <c r="B118" i="47"/>
  <c r="B119" i="47"/>
  <c r="B120" i="47"/>
  <c r="B121" i="47"/>
  <c r="B122" i="47"/>
  <c r="B123" i="47"/>
  <c r="B124" i="47"/>
  <c r="B125" i="47"/>
  <c r="B126" i="47"/>
  <c r="B127" i="47"/>
  <c r="B128" i="47"/>
  <c r="B129" i="47"/>
  <c r="B130" i="47"/>
  <c r="B131" i="47"/>
  <c r="B132" i="47"/>
  <c r="B133" i="47"/>
  <c r="B134" i="47"/>
  <c r="B135" i="47"/>
  <c r="B136" i="47"/>
  <c r="B137" i="47"/>
  <c r="B138" i="47"/>
  <c r="B139" i="47"/>
  <c r="B140" i="47"/>
  <c r="B141" i="47"/>
  <c r="B142" i="47"/>
  <c r="B143" i="47"/>
  <c r="B144" i="47"/>
  <c r="B145" i="47"/>
  <c r="B146" i="47"/>
  <c r="B147" i="47"/>
  <c r="B148" i="47"/>
  <c r="B149" i="47"/>
  <c r="B150" i="47"/>
  <c r="B151" i="47"/>
  <c r="B152" i="47"/>
  <c r="B153" i="47"/>
  <c r="B154" i="47"/>
  <c r="B155" i="47"/>
  <c r="B156" i="47"/>
  <c r="B157" i="47"/>
  <c r="B158" i="47"/>
  <c r="B159" i="47"/>
  <c r="B160" i="47"/>
  <c r="B161" i="47"/>
  <c r="B162" i="47"/>
  <c r="B163" i="47"/>
  <c r="B164" i="47"/>
  <c r="B165" i="47"/>
  <c r="B166" i="47"/>
  <c r="B167" i="47"/>
  <c r="B168" i="47"/>
  <c r="B169" i="47"/>
  <c r="B170" i="47"/>
  <c r="B171" i="47"/>
  <c r="B172" i="47"/>
  <c r="B173" i="47"/>
  <c r="B174" i="47"/>
  <c r="B175" i="47"/>
  <c r="B176" i="47"/>
  <c r="B177" i="47"/>
  <c r="B178" i="47"/>
  <c r="B179" i="47"/>
  <c r="B180" i="47"/>
  <c r="B181" i="47"/>
  <c r="B182" i="47"/>
  <c r="B183" i="47"/>
  <c r="B184" i="47"/>
  <c r="B185" i="47"/>
  <c r="B186" i="47"/>
  <c r="B187" i="47"/>
  <c r="B188" i="47"/>
  <c r="B189" i="47"/>
  <c r="B190" i="47"/>
  <c r="B191" i="47"/>
  <c r="B192" i="47"/>
  <c r="B193" i="47"/>
  <c r="B194" i="47"/>
  <c r="B195" i="47"/>
  <c r="B196" i="47"/>
  <c r="B197" i="47"/>
  <c r="B198" i="47"/>
  <c r="B199" i="47"/>
  <c r="B200" i="47"/>
  <c r="B201" i="47"/>
  <c r="B202" i="47"/>
  <c r="B203" i="47"/>
  <c r="B204" i="47"/>
  <c r="B205" i="47"/>
  <c r="B206" i="47"/>
  <c r="B207" i="47"/>
  <c r="B208" i="47"/>
  <c r="B209" i="47"/>
  <c r="B210" i="47"/>
  <c r="B211" i="47"/>
  <c r="B212" i="47"/>
  <c r="B213" i="47"/>
  <c r="B214" i="47"/>
  <c r="B215" i="47"/>
  <c r="B216" i="47"/>
  <c r="B217" i="47"/>
  <c r="B218" i="47"/>
  <c r="B219" i="47"/>
  <c r="B220" i="47"/>
  <c r="B221" i="47"/>
  <c r="B222" i="47"/>
  <c r="B223" i="47"/>
  <c r="B224" i="47"/>
  <c r="B225" i="47"/>
  <c r="B226" i="47"/>
  <c r="B227" i="47"/>
  <c r="B228" i="47"/>
  <c r="B229" i="47"/>
  <c r="B230" i="47"/>
  <c r="B231" i="47"/>
  <c r="B232" i="47"/>
  <c r="B233" i="47"/>
  <c r="B234" i="47"/>
  <c r="B235" i="47"/>
  <c r="B236" i="47"/>
  <c r="B237" i="47"/>
  <c r="B238" i="47"/>
  <c r="B239" i="47"/>
  <c r="B240" i="47"/>
  <c r="B241" i="47"/>
  <c r="B242" i="47"/>
  <c r="B243" i="47"/>
  <c r="B244" i="47"/>
  <c r="B245" i="47"/>
  <c r="B246" i="47"/>
  <c r="B247" i="47"/>
  <c r="B248" i="47"/>
  <c r="B249" i="47"/>
  <c r="B250" i="47"/>
  <c r="B251" i="47"/>
  <c r="B252" i="47"/>
  <c r="B253" i="47"/>
  <c r="B254" i="47"/>
  <c r="B255" i="47"/>
  <c r="B256" i="47"/>
  <c r="B257" i="47"/>
  <c r="B258" i="47"/>
  <c r="B259" i="47"/>
  <c r="B260" i="47"/>
  <c r="B261" i="47"/>
  <c r="B262" i="47"/>
  <c r="B263" i="47"/>
  <c r="B264" i="47"/>
  <c r="B265" i="47"/>
  <c r="B266" i="47"/>
  <c r="B267" i="47"/>
  <c r="B268" i="47"/>
  <c r="B269" i="47"/>
  <c r="B270" i="47"/>
  <c r="B271" i="47"/>
  <c r="B272" i="47"/>
  <c r="B273" i="47"/>
  <c r="B274" i="47"/>
  <c r="B275" i="47"/>
  <c r="B276" i="47"/>
  <c r="B277" i="47"/>
  <c r="B278" i="47"/>
  <c r="B279" i="47"/>
  <c r="B280" i="47"/>
  <c r="B281" i="47"/>
  <c r="B282" i="47"/>
  <c r="B283" i="47"/>
  <c r="B284" i="47"/>
  <c r="B285" i="47"/>
  <c r="B286" i="47"/>
  <c r="B287" i="47"/>
  <c r="B288" i="47"/>
  <c r="B289" i="47"/>
  <c r="B290" i="47"/>
  <c r="B291" i="47"/>
  <c r="B292" i="47"/>
  <c r="B293" i="47"/>
  <c r="B294" i="47"/>
  <c r="B295" i="47"/>
  <c r="B296" i="47"/>
  <c r="B297" i="47"/>
  <c r="B298" i="47"/>
  <c r="B299" i="47"/>
  <c r="B300" i="47"/>
  <c r="B301" i="47"/>
  <c r="B302" i="47"/>
  <c r="B303" i="47"/>
  <c r="B304" i="47"/>
  <c r="B305" i="47"/>
  <c r="B306" i="47"/>
  <c r="B307" i="47"/>
  <c r="B308" i="47"/>
  <c r="B309" i="47"/>
  <c r="B310" i="47"/>
  <c r="B311" i="47"/>
  <c r="B312" i="47"/>
  <c r="B313" i="47"/>
  <c r="B314" i="47"/>
  <c r="B315" i="47"/>
  <c r="B316" i="47"/>
  <c r="B317" i="47"/>
  <c r="B318" i="47"/>
  <c r="B319" i="47"/>
  <c r="B320" i="47"/>
  <c r="B321" i="47"/>
  <c r="B322" i="47"/>
  <c r="B323" i="47"/>
  <c r="B324" i="47"/>
  <c r="B325" i="47"/>
  <c r="B326" i="47"/>
  <c r="B327" i="47"/>
  <c r="B328" i="47"/>
  <c r="B329" i="47"/>
  <c r="B330" i="47"/>
  <c r="B331" i="47"/>
  <c r="B332" i="47"/>
  <c r="B333" i="47"/>
  <c r="B334" i="47"/>
  <c r="B335" i="47"/>
  <c r="B336" i="47"/>
  <c r="B337" i="47"/>
  <c r="B338" i="47"/>
  <c r="B339" i="47"/>
  <c r="B340" i="47"/>
  <c r="B341" i="47"/>
  <c r="B342" i="47"/>
  <c r="B343" i="47"/>
  <c r="B344" i="47"/>
  <c r="B345" i="47"/>
  <c r="B346" i="47"/>
  <c r="B347" i="47"/>
  <c r="B348" i="47"/>
  <c r="B349" i="47"/>
  <c r="B350" i="47"/>
  <c r="B351" i="47"/>
  <c r="B352" i="47"/>
  <c r="B353" i="47"/>
  <c r="B354" i="47"/>
  <c r="B355" i="47"/>
  <c r="B356" i="47"/>
  <c r="B357" i="47"/>
  <c r="B358" i="47"/>
  <c r="B359" i="47"/>
  <c r="B360" i="47"/>
  <c r="B361" i="47"/>
  <c r="B362" i="47"/>
  <c r="B363" i="47"/>
  <c r="B364" i="47"/>
  <c r="B365" i="47"/>
  <c r="B366" i="47"/>
  <c r="B367" i="47"/>
  <c r="B368" i="47"/>
  <c r="B369" i="47"/>
  <c r="B370" i="47"/>
  <c r="B371" i="47"/>
  <c r="B372" i="47"/>
  <c r="B373" i="47"/>
  <c r="B374" i="47"/>
  <c r="B375" i="47"/>
  <c r="B376" i="47"/>
  <c r="B377" i="47"/>
  <c r="B378" i="47"/>
  <c r="B379" i="47"/>
  <c r="B380" i="47"/>
  <c r="B381" i="47"/>
  <c r="B382" i="47"/>
  <c r="B383" i="47"/>
  <c r="B384" i="47"/>
  <c r="B385" i="47"/>
  <c r="B386" i="47"/>
  <c r="B387" i="47"/>
  <c r="B388" i="47"/>
  <c r="B389" i="47"/>
  <c r="B390" i="47"/>
  <c r="B391" i="47"/>
  <c r="B392" i="47"/>
  <c r="B393" i="47"/>
  <c r="B394" i="47"/>
  <c r="B395" i="47"/>
  <c r="B396" i="47"/>
  <c r="B397" i="47"/>
  <c r="B398" i="47"/>
  <c r="B399" i="47"/>
  <c r="B400" i="47"/>
  <c r="B401" i="47"/>
  <c r="B402" i="47"/>
  <c r="B403" i="47"/>
  <c r="B404" i="47"/>
  <c r="B405" i="47"/>
  <c r="B406" i="47"/>
  <c r="B407" i="47"/>
  <c r="B408" i="47"/>
  <c r="B409" i="47"/>
  <c r="B410" i="47"/>
  <c r="B411" i="47"/>
  <c r="B412" i="47"/>
  <c r="B413" i="47"/>
  <c r="B414" i="47"/>
  <c r="B415" i="47"/>
  <c r="B416" i="47"/>
  <c r="B417" i="47"/>
  <c r="B418" i="47"/>
  <c r="B419" i="47"/>
  <c r="B420" i="47"/>
  <c r="B421" i="47"/>
  <c r="B422" i="47"/>
  <c r="B423" i="47"/>
  <c r="B424" i="47"/>
  <c r="B425" i="47"/>
  <c r="B426" i="47"/>
  <c r="B427" i="47"/>
  <c r="B428" i="47"/>
  <c r="B429" i="47"/>
  <c r="B430" i="47"/>
  <c r="B431" i="47"/>
  <c r="B432" i="47"/>
  <c r="B433" i="47"/>
  <c r="B434" i="47"/>
  <c r="B435" i="47"/>
  <c r="B436" i="47"/>
  <c r="B437" i="47"/>
  <c r="B438" i="47"/>
  <c r="B439" i="47"/>
  <c r="B440" i="47"/>
  <c r="B441" i="47"/>
  <c r="B442" i="47"/>
  <c r="B443" i="47"/>
  <c r="B444" i="47"/>
  <c r="B445" i="47"/>
  <c r="B446" i="47"/>
  <c r="B447" i="47"/>
  <c r="B448" i="47"/>
  <c r="B449" i="47"/>
  <c r="B450" i="47"/>
  <c r="B451" i="47"/>
  <c r="B452" i="47"/>
  <c r="B453" i="47"/>
  <c r="B454" i="47"/>
  <c r="B455" i="47"/>
  <c r="B456" i="47"/>
  <c r="B457" i="47"/>
  <c r="B458" i="47"/>
  <c r="B459" i="47"/>
  <c r="B460" i="47"/>
  <c r="B461" i="47"/>
  <c r="B462" i="47"/>
  <c r="B463" i="47"/>
  <c r="B464" i="47"/>
  <c r="B465" i="47"/>
  <c r="B466" i="47"/>
  <c r="B467" i="47"/>
  <c r="B468" i="47"/>
  <c r="B469" i="47"/>
  <c r="B470" i="47"/>
  <c r="B471" i="47"/>
  <c r="B472" i="47"/>
  <c r="B473" i="47"/>
  <c r="B474" i="47"/>
  <c r="B475" i="47"/>
  <c r="B476" i="47"/>
  <c r="B477" i="47"/>
  <c r="B478" i="47"/>
  <c r="B479" i="47"/>
  <c r="B480" i="47"/>
  <c r="B481" i="47"/>
  <c r="B482" i="47"/>
  <c r="B483" i="47"/>
  <c r="B484" i="47"/>
  <c r="B485" i="47"/>
  <c r="B486" i="47"/>
  <c r="B487" i="47"/>
  <c r="B488" i="47"/>
  <c r="B489" i="47"/>
  <c r="B490" i="47"/>
  <c r="B491" i="47"/>
  <c r="B492" i="47"/>
  <c r="B493" i="47"/>
  <c r="B494" i="47"/>
  <c r="B495" i="47"/>
  <c r="B496" i="47"/>
  <c r="B497" i="47"/>
  <c r="B498" i="47"/>
  <c r="B499" i="47"/>
  <c r="B500" i="47"/>
  <c r="B501" i="47"/>
  <c r="B3" i="47"/>
  <c r="B4" i="47"/>
  <c r="B5" i="47"/>
  <c r="B6" i="47"/>
  <c r="B7" i="47"/>
  <c r="B8" i="47"/>
  <c r="B9" i="47"/>
  <c r="B10" i="47"/>
  <c r="G11" i="67"/>
  <c r="H11" i="67" s="1"/>
  <c r="P11" i="61" s="1" a="1"/>
  <c r="P11" i="61" s="1"/>
  <c r="G19" i="67"/>
  <c r="H19" i="67" s="1"/>
  <c r="P19" i="61" s="1" a="1"/>
  <c r="P19" i="61" s="1"/>
  <c r="G27" i="67"/>
  <c r="H27" i="67" s="1"/>
  <c r="P27" i="61" s="1" a="1"/>
  <c r="P27" i="61" s="1"/>
  <c r="F3" i="67"/>
  <c r="G3" i="67" s="1"/>
  <c r="H3" i="67" s="1"/>
  <c r="P3" i="61" s="1" a="1"/>
  <c r="P3" i="61" s="1"/>
  <c r="F4" i="67"/>
  <c r="G4" i="67" s="1"/>
  <c r="H4" i="67" s="1"/>
  <c r="P4" i="61" s="1" a="1"/>
  <c r="P4" i="61" s="1"/>
  <c r="F5" i="67"/>
  <c r="G5" i="67" s="1"/>
  <c r="H5" i="67" s="1"/>
  <c r="P5" i="61" s="1" a="1"/>
  <c r="P5" i="61" s="1"/>
  <c r="F6" i="67"/>
  <c r="G6" i="67" s="1"/>
  <c r="H6" i="67" s="1"/>
  <c r="P6" i="61" s="1" a="1"/>
  <c r="P6" i="61" s="1"/>
  <c r="F7" i="67"/>
  <c r="G7" i="67" s="1"/>
  <c r="H7" i="67" s="1"/>
  <c r="P7" i="61" s="1" a="1"/>
  <c r="P7" i="61" s="1"/>
  <c r="F8" i="67"/>
  <c r="G8" i="67" s="1"/>
  <c r="H8" i="67" s="1"/>
  <c r="P8" i="61" s="1" a="1"/>
  <c r="P8" i="61" s="1"/>
  <c r="F9" i="67"/>
  <c r="G9" i="67" s="1"/>
  <c r="H9" i="67" s="1"/>
  <c r="P9" i="61" s="1" a="1"/>
  <c r="P9" i="61" s="1"/>
  <c r="F10" i="67"/>
  <c r="G10" i="67" s="1"/>
  <c r="F11" i="67"/>
  <c r="F12" i="67"/>
  <c r="G12" i="67" s="1"/>
  <c r="H12" i="67" s="1"/>
  <c r="P12" i="61" s="1" a="1"/>
  <c r="P12" i="61" s="1"/>
  <c r="F13" i="67"/>
  <c r="G13" i="67" s="1"/>
  <c r="H13" i="67" s="1"/>
  <c r="P13" i="61" s="1" a="1"/>
  <c r="P13" i="61" s="1"/>
  <c r="F14" i="67"/>
  <c r="G14" i="67" s="1"/>
  <c r="H14" i="67" s="1"/>
  <c r="P14" i="61" s="1" a="1"/>
  <c r="P14" i="61" s="1"/>
  <c r="F15" i="67"/>
  <c r="G15" i="67" s="1"/>
  <c r="H15" i="67" s="1"/>
  <c r="P15" i="61" s="1" a="1"/>
  <c r="P15" i="61" s="1"/>
  <c r="F16" i="67"/>
  <c r="G16" i="67" s="1"/>
  <c r="H16" i="67" s="1"/>
  <c r="P16" i="61" s="1" a="1"/>
  <c r="P16" i="61" s="1"/>
  <c r="F17" i="67"/>
  <c r="G17" i="67" s="1"/>
  <c r="H17" i="67" s="1"/>
  <c r="P17" i="61" s="1" a="1"/>
  <c r="P17" i="61" s="1"/>
  <c r="F18" i="67"/>
  <c r="G18" i="67" s="1"/>
  <c r="F19" i="67"/>
  <c r="F20" i="67"/>
  <c r="G20" i="67" s="1"/>
  <c r="H20" i="67" s="1"/>
  <c r="P20" i="61" s="1" a="1"/>
  <c r="P20" i="61" s="1"/>
  <c r="F21" i="67"/>
  <c r="G21" i="67" s="1"/>
  <c r="H21" i="67" s="1"/>
  <c r="P21" i="61" s="1" a="1"/>
  <c r="P21" i="61" s="1"/>
  <c r="F22" i="67"/>
  <c r="G22" i="67" s="1"/>
  <c r="H22" i="67" s="1"/>
  <c r="P22" i="61" s="1" a="1"/>
  <c r="P22" i="61" s="1"/>
  <c r="F23" i="67"/>
  <c r="G23" i="67" s="1"/>
  <c r="H23" i="67" s="1"/>
  <c r="P23" i="61" s="1" a="1"/>
  <c r="P23" i="61" s="1"/>
  <c r="F24" i="67"/>
  <c r="G24" i="67" s="1"/>
  <c r="H24" i="67" s="1"/>
  <c r="P24" i="61" s="1" a="1"/>
  <c r="P24" i="61" s="1"/>
  <c r="F25" i="67"/>
  <c r="G25" i="67" s="1"/>
  <c r="H25" i="67" s="1"/>
  <c r="P25" i="61" s="1" a="1"/>
  <c r="P25" i="61" s="1"/>
  <c r="F26" i="67"/>
  <c r="G26" i="67" s="1"/>
  <c r="F27" i="67"/>
  <c r="F28" i="67"/>
  <c r="G28" i="67" s="1"/>
  <c r="H28" i="67" s="1"/>
  <c r="P28" i="61" s="1" a="1"/>
  <c r="P28" i="61" s="1"/>
  <c r="F2" i="67"/>
  <c r="G2" i="67" s="1"/>
  <c r="H2" i="67" s="1"/>
  <c r="P2" i="61" s="1" a="1"/>
  <c r="P2" i="61" s="1"/>
  <c r="I2" i="61" a="1"/>
  <c r="I2" i="61" s="1"/>
  <c r="I3" i="61" a="1"/>
  <c r="I3" i="61" s="1"/>
  <c r="I4" i="61" a="1"/>
  <c r="I4" i="61" s="1"/>
  <c r="I5" i="61" a="1"/>
  <c r="I5" i="61" s="1"/>
  <c r="I6" i="61" a="1"/>
  <c r="I6" i="61" s="1"/>
  <c r="I7" i="61" a="1"/>
  <c r="I7" i="61" s="1"/>
  <c r="I8" i="61" a="1"/>
  <c r="I8" i="61" s="1"/>
  <c r="I9" i="61" a="1"/>
  <c r="I9" i="61" s="1"/>
  <c r="I10" i="61" a="1"/>
  <c r="I10" i="61" s="1"/>
  <c r="I11" i="61" a="1"/>
  <c r="I11" i="61" s="1"/>
  <c r="I12" i="61" a="1"/>
  <c r="I12" i="61" s="1"/>
  <c r="I13" i="61" a="1"/>
  <c r="I13" i="61" s="1"/>
  <c r="I14" i="61" a="1"/>
  <c r="I14" i="61" s="1"/>
  <c r="I16" i="61" a="1"/>
  <c r="I16" i="61" s="1"/>
  <c r="I17" i="61" a="1"/>
  <c r="I17" i="61" s="1"/>
  <c r="I18" i="61" a="1"/>
  <c r="I18" i="61" s="1"/>
  <c r="I19" i="61" a="1"/>
  <c r="I19" i="61" s="1"/>
  <c r="I20" i="61" a="1"/>
  <c r="I20" i="61" s="1"/>
  <c r="I21" i="61" a="1"/>
  <c r="I21" i="61" s="1"/>
  <c r="I22" i="61" a="1"/>
  <c r="I22" i="61" s="1"/>
  <c r="I23" i="61" a="1"/>
  <c r="I23" i="61" s="1"/>
  <c r="I24" i="61" a="1"/>
  <c r="I24" i="61" s="1"/>
  <c r="I25" i="61" a="1"/>
  <c r="I25" i="61" s="1"/>
  <c r="I26" i="61" a="1"/>
  <c r="I26" i="61" s="1"/>
  <c r="I27" i="61" a="1"/>
  <c r="I27" i="61" s="1"/>
  <c r="I28" i="61" a="1"/>
  <c r="I28" i="61" s="1"/>
  <c r="I29" i="61" a="1"/>
  <c r="I29" i="61" s="1"/>
  <c r="I30" i="61" a="1"/>
  <c r="I30" i="61" s="1"/>
  <c r="I31" i="61" a="1"/>
  <c r="I31" i="61" s="1"/>
  <c r="I32" i="61" a="1"/>
  <c r="I32" i="61" s="1"/>
  <c r="I33" i="61" a="1"/>
  <c r="I33" i="61" s="1"/>
  <c r="I34" i="61" a="1"/>
  <c r="I34" i="61" s="1"/>
  <c r="I35" i="61" a="1"/>
  <c r="I35" i="61" s="1"/>
  <c r="I36" i="61" a="1"/>
  <c r="I36" i="61" s="1"/>
  <c r="I37" i="61" a="1"/>
  <c r="I37" i="61" s="1"/>
  <c r="I38" i="61" a="1"/>
  <c r="I38" i="61" s="1"/>
  <c r="I39" i="61" a="1"/>
  <c r="I39" i="61" s="1"/>
  <c r="I40" i="61" a="1"/>
  <c r="I40" i="61" s="1"/>
  <c r="I41" i="61" a="1"/>
  <c r="I41" i="61" s="1"/>
  <c r="I42" i="61" a="1"/>
  <c r="I42" i="61" s="1"/>
  <c r="I43" i="61" a="1"/>
  <c r="I43" i="61" s="1"/>
  <c r="I44" i="61" a="1"/>
  <c r="I44" i="61" s="1"/>
  <c r="I45" i="61" a="1"/>
  <c r="I45" i="61" s="1"/>
  <c r="I46" i="61" a="1"/>
  <c r="I46" i="61" s="1"/>
  <c r="I47" i="61" a="1"/>
  <c r="I47" i="61" s="1"/>
  <c r="I48" i="61" a="1"/>
  <c r="I48" i="61" s="1"/>
  <c r="I49" i="61" a="1"/>
  <c r="I49" i="61" s="1"/>
  <c r="I50" i="61" a="1"/>
  <c r="I50" i="61" s="1"/>
  <c r="I51" i="61" a="1"/>
  <c r="I51" i="61" s="1"/>
  <c r="I52" i="61" a="1"/>
  <c r="I52" i="61" s="1"/>
  <c r="I53" i="61" a="1"/>
  <c r="I53" i="61" s="1"/>
  <c r="I54" i="61" a="1"/>
  <c r="I54" i="61" s="1"/>
  <c r="I55" i="61" a="1"/>
  <c r="I55" i="61" s="1"/>
  <c r="I56" i="61" a="1"/>
  <c r="I56" i="61" s="1"/>
  <c r="I57" i="61" a="1"/>
  <c r="I57" i="61" s="1"/>
  <c r="I58" i="61" a="1"/>
  <c r="I58" i="61" s="1"/>
  <c r="I59" i="61" a="1"/>
  <c r="I59" i="61" s="1"/>
  <c r="I60" i="61" a="1"/>
  <c r="I60" i="61" s="1"/>
  <c r="I61" i="61" a="1"/>
  <c r="I61" i="61" s="1"/>
  <c r="I62" i="61" a="1"/>
  <c r="I62" i="61" s="1"/>
  <c r="I63" i="61" a="1"/>
  <c r="I63" i="61" s="1"/>
  <c r="I64" i="61" a="1"/>
  <c r="I64" i="61" s="1"/>
  <c r="I65" i="61" a="1"/>
  <c r="I65" i="61" s="1"/>
  <c r="I66" i="61" a="1"/>
  <c r="I66" i="61" s="1"/>
  <c r="I67" i="61" a="1"/>
  <c r="I67" i="61" s="1"/>
  <c r="I68" i="61" a="1"/>
  <c r="I68" i="61" s="1"/>
  <c r="I69" i="61" a="1"/>
  <c r="I69" i="61" s="1"/>
  <c r="I70" i="61" a="1"/>
  <c r="I70" i="61" s="1"/>
  <c r="I71" i="61" a="1"/>
  <c r="I71" i="61" s="1"/>
  <c r="I72" i="61" a="1"/>
  <c r="I72" i="61" s="1"/>
  <c r="I73" i="61" a="1"/>
  <c r="I73" i="61" s="1"/>
  <c r="I74" i="61" a="1"/>
  <c r="I74" i="61" s="1"/>
  <c r="I75" i="61" a="1"/>
  <c r="I75" i="61" s="1"/>
  <c r="I76" i="61" a="1"/>
  <c r="I76" i="61" s="1"/>
  <c r="I77" i="61" a="1"/>
  <c r="I77" i="61" s="1"/>
  <c r="I78" i="61" a="1"/>
  <c r="I78" i="61" s="1"/>
  <c r="I79" i="61" a="1"/>
  <c r="I79" i="61" s="1"/>
  <c r="I80" i="61" a="1"/>
  <c r="I80" i="61" s="1"/>
  <c r="I81" i="61" a="1"/>
  <c r="I81" i="61" s="1"/>
  <c r="I82" i="61" a="1"/>
  <c r="I82" i="61" s="1"/>
  <c r="I83" i="61" a="1"/>
  <c r="I83" i="61" s="1"/>
  <c r="I84" i="61" a="1"/>
  <c r="I84" i="61" s="1"/>
  <c r="I85" i="61" a="1"/>
  <c r="I85" i="61" s="1"/>
  <c r="I86" i="61" a="1"/>
  <c r="I86" i="61" s="1"/>
  <c r="I87" i="61" a="1"/>
  <c r="I87" i="61" s="1"/>
  <c r="I88" i="61" a="1"/>
  <c r="I88" i="61" s="1"/>
  <c r="I89" i="61" a="1"/>
  <c r="I89" i="61" s="1"/>
  <c r="I90" i="61" a="1"/>
  <c r="I90" i="61" s="1"/>
  <c r="I91" i="61" a="1"/>
  <c r="I91" i="61" s="1"/>
  <c r="I92" i="61" a="1"/>
  <c r="I92" i="61" s="1"/>
  <c r="I93" i="61" a="1"/>
  <c r="I93" i="61" s="1"/>
  <c r="I94" i="61" a="1"/>
  <c r="I94" i="61" s="1"/>
  <c r="I95" i="61" a="1"/>
  <c r="I95" i="61" s="1"/>
  <c r="I96" i="61" a="1"/>
  <c r="I96" i="61" s="1"/>
  <c r="I97" i="61" a="1"/>
  <c r="I97" i="61" s="1"/>
  <c r="I98" i="61" a="1"/>
  <c r="I98" i="61" s="1"/>
  <c r="I99" i="61" a="1"/>
  <c r="I99" i="61" s="1"/>
  <c r="I100" i="61" a="1"/>
  <c r="I100" i="61" s="1"/>
  <c r="I101" i="61" a="1"/>
  <c r="I101" i="61" s="1"/>
  <c r="I102" i="61" a="1"/>
  <c r="I102" i="61" s="1"/>
  <c r="I103" i="61" a="1"/>
  <c r="I103" i="61" s="1"/>
  <c r="I104" i="61" a="1"/>
  <c r="I104" i="61" s="1"/>
  <c r="I105" i="61" a="1"/>
  <c r="I105" i="61" s="1"/>
  <c r="I106" i="61" a="1"/>
  <c r="I106" i="61" s="1"/>
  <c r="I107" i="61" a="1"/>
  <c r="I107" i="61" s="1"/>
  <c r="I108" i="61" a="1"/>
  <c r="I108" i="61" s="1"/>
  <c r="I109" i="61" a="1"/>
  <c r="I109" i="61" s="1"/>
  <c r="I110" i="61" a="1"/>
  <c r="I110" i="61" s="1"/>
  <c r="I111" i="61" a="1"/>
  <c r="I111" i="61" s="1"/>
  <c r="I112" i="61" a="1"/>
  <c r="I112" i="61" s="1"/>
  <c r="I113" i="61" a="1"/>
  <c r="I113" i="61" s="1"/>
  <c r="I114" i="61" a="1"/>
  <c r="I114" i="61" s="1"/>
  <c r="I115" i="61" a="1"/>
  <c r="I115" i="61" s="1"/>
  <c r="I116" i="61" a="1"/>
  <c r="I116" i="61" s="1"/>
  <c r="I117" i="61" a="1"/>
  <c r="I117" i="61" s="1"/>
  <c r="I118" i="61" a="1"/>
  <c r="I118" i="61" s="1"/>
  <c r="I119" i="61" a="1"/>
  <c r="I119" i="61" s="1"/>
  <c r="I120" i="61" a="1"/>
  <c r="I120" i="61" s="1"/>
  <c r="I121" i="61" a="1"/>
  <c r="I121" i="61" s="1"/>
  <c r="I122" i="61" a="1"/>
  <c r="I122" i="61" s="1"/>
  <c r="I123" i="61" a="1"/>
  <c r="I123" i="61" s="1"/>
  <c r="I124" i="61" a="1"/>
  <c r="I124" i="61" s="1"/>
  <c r="I125" i="61" a="1"/>
  <c r="I125" i="61" s="1"/>
  <c r="I126" i="61" a="1"/>
  <c r="I126" i="61" s="1"/>
  <c r="I127" i="61" a="1"/>
  <c r="I127" i="61" s="1"/>
  <c r="I128" i="61" a="1"/>
  <c r="I128" i="61" s="1"/>
  <c r="I129" i="61" a="1"/>
  <c r="I129" i="61" s="1"/>
  <c r="I130" i="61" a="1"/>
  <c r="I130" i="61" s="1"/>
  <c r="I131" i="61" a="1"/>
  <c r="I131" i="61" s="1"/>
  <c r="I132" i="61" a="1"/>
  <c r="I132" i="61" s="1"/>
  <c r="I133" i="61" a="1"/>
  <c r="I133" i="61" s="1"/>
  <c r="I134" i="61" a="1"/>
  <c r="I134" i="61" s="1"/>
  <c r="I135" i="61" a="1"/>
  <c r="I135" i="61" s="1"/>
  <c r="I136" i="61" a="1"/>
  <c r="I136" i="61" s="1"/>
  <c r="I137" i="61" a="1"/>
  <c r="I137" i="61" s="1"/>
  <c r="I138" i="61" a="1"/>
  <c r="I138" i="61" s="1"/>
  <c r="I139" i="61" a="1"/>
  <c r="I139" i="61" s="1"/>
  <c r="I140" i="61" a="1"/>
  <c r="I140" i="61" s="1"/>
  <c r="I141" i="61" a="1"/>
  <c r="I141" i="61" s="1"/>
  <c r="I142" i="61" a="1"/>
  <c r="I142" i="61" s="1"/>
  <c r="I143" i="61" a="1"/>
  <c r="I143" i="61" s="1"/>
  <c r="I144" i="61" a="1"/>
  <c r="I144" i="61" s="1"/>
  <c r="I145" i="61" a="1"/>
  <c r="I145" i="61" s="1"/>
  <c r="I146" i="61" a="1"/>
  <c r="I146" i="61" s="1"/>
  <c r="I147" i="61" a="1"/>
  <c r="I147" i="61" s="1"/>
  <c r="I148" i="61" a="1"/>
  <c r="I148" i="61" s="1"/>
  <c r="I149" i="61" a="1"/>
  <c r="I149" i="61" s="1"/>
  <c r="I150" i="61" a="1"/>
  <c r="I150" i="61" s="1"/>
  <c r="I151" i="61" a="1"/>
  <c r="I151" i="61" s="1"/>
  <c r="I152" i="61" a="1"/>
  <c r="I152" i="61" s="1"/>
  <c r="I153" i="61" a="1"/>
  <c r="I153" i="61" s="1"/>
  <c r="I154" i="61" a="1"/>
  <c r="I154" i="61" s="1"/>
  <c r="I155" i="61" a="1"/>
  <c r="I155" i="61" s="1"/>
  <c r="I156" i="61" a="1"/>
  <c r="I156" i="61" s="1"/>
  <c r="I157" i="61" a="1"/>
  <c r="I157" i="61" s="1"/>
  <c r="I158" i="61" a="1"/>
  <c r="I158" i="61" s="1"/>
  <c r="I159" i="61" a="1"/>
  <c r="I159" i="61" s="1"/>
  <c r="I160" i="61" a="1"/>
  <c r="I160" i="61" s="1"/>
  <c r="I161" i="61" a="1"/>
  <c r="I161" i="61" s="1"/>
  <c r="I162" i="61" a="1"/>
  <c r="I162" i="61" s="1"/>
  <c r="I163" i="61" a="1"/>
  <c r="I163" i="61" s="1"/>
  <c r="I164" i="61" a="1"/>
  <c r="I164" i="61" s="1"/>
  <c r="I165" i="61" a="1"/>
  <c r="I165" i="61" s="1"/>
  <c r="I166" i="61" a="1"/>
  <c r="I166" i="61" s="1"/>
  <c r="I167" i="61" a="1"/>
  <c r="I167" i="61" s="1"/>
  <c r="I168" i="61" a="1"/>
  <c r="I168" i="61" s="1"/>
  <c r="I169" i="61" a="1"/>
  <c r="I169" i="61" s="1"/>
  <c r="I170" i="61" a="1"/>
  <c r="I170" i="61" s="1"/>
  <c r="I171" i="61" a="1"/>
  <c r="I171" i="61" s="1"/>
  <c r="I172" i="61" a="1"/>
  <c r="I172" i="61" s="1"/>
  <c r="I173" i="61" a="1"/>
  <c r="I173" i="61" s="1"/>
  <c r="I174" i="61" a="1"/>
  <c r="I174" i="61" s="1"/>
  <c r="I175" i="61" a="1"/>
  <c r="I175" i="61" s="1"/>
  <c r="I176" i="61" a="1"/>
  <c r="I176" i="61" s="1"/>
  <c r="I177" i="61" a="1"/>
  <c r="I177" i="61" s="1"/>
  <c r="I178" i="61" a="1"/>
  <c r="I178" i="61" s="1"/>
  <c r="I179" i="61" a="1"/>
  <c r="I179" i="61" s="1"/>
  <c r="I180" i="61" a="1"/>
  <c r="I180" i="61" s="1"/>
  <c r="I181" i="61" a="1"/>
  <c r="I181" i="61" s="1"/>
  <c r="I182" i="61" a="1"/>
  <c r="I182" i="61" s="1"/>
  <c r="I183" i="61" a="1"/>
  <c r="I183" i="61" s="1"/>
  <c r="I184" i="61" a="1"/>
  <c r="I184" i="61" s="1"/>
  <c r="I185" i="61" a="1"/>
  <c r="I185" i="61" s="1"/>
  <c r="I186" i="61" a="1"/>
  <c r="I186" i="61" s="1"/>
  <c r="I187" i="61" a="1"/>
  <c r="I187" i="61" s="1"/>
  <c r="I188" i="61" a="1"/>
  <c r="I188" i="61" s="1"/>
  <c r="I189" i="61" a="1"/>
  <c r="I189" i="61" s="1"/>
  <c r="I190" i="61" a="1"/>
  <c r="I190" i="61" s="1"/>
  <c r="I191" i="61" a="1"/>
  <c r="I191" i="61" s="1"/>
  <c r="I192" i="61" a="1"/>
  <c r="I192" i="61" s="1"/>
  <c r="I193" i="61" a="1"/>
  <c r="I193" i="61" s="1"/>
  <c r="I194" i="61" a="1"/>
  <c r="I194" i="61" s="1"/>
  <c r="I195" i="61" a="1"/>
  <c r="I195" i="61" s="1"/>
  <c r="I196" i="61" a="1"/>
  <c r="I196" i="61" s="1"/>
  <c r="I197" i="61" a="1"/>
  <c r="I197" i="61" s="1"/>
  <c r="I198" i="61" a="1"/>
  <c r="I198" i="61" s="1"/>
  <c r="I199" i="61" a="1"/>
  <c r="I199" i="61" s="1"/>
  <c r="I200" i="61" a="1"/>
  <c r="I200" i="61" s="1"/>
  <c r="I201" i="61" a="1"/>
  <c r="I201" i="61" s="1"/>
  <c r="I202" i="61" a="1"/>
  <c r="I202" i="61" s="1"/>
  <c r="I203" i="61" a="1"/>
  <c r="I203" i="61" s="1"/>
  <c r="I204" i="61" a="1"/>
  <c r="I204" i="61" s="1"/>
  <c r="I205" i="61" a="1"/>
  <c r="I205" i="61" s="1"/>
  <c r="I206" i="61" a="1"/>
  <c r="I206" i="61" s="1"/>
  <c r="I207" i="61" a="1"/>
  <c r="I207" i="61" s="1"/>
  <c r="I208" i="61" a="1"/>
  <c r="I208" i="61" s="1"/>
  <c r="I209" i="61" a="1"/>
  <c r="I209" i="61" s="1"/>
  <c r="I210" i="61" a="1"/>
  <c r="I210" i="61" s="1"/>
  <c r="I211" i="61" a="1"/>
  <c r="I211" i="61" s="1"/>
  <c r="I212" i="61" a="1"/>
  <c r="I212" i="61" s="1"/>
  <c r="I213" i="61" a="1"/>
  <c r="I213" i="61" s="1"/>
  <c r="I214" i="61" a="1"/>
  <c r="I214" i="61" s="1"/>
  <c r="I215" i="61" a="1"/>
  <c r="I215" i="61" s="1"/>
  <c r="I216" i="61" a="1"/>
  <c r="I216" i="61" s="1"/>
  <c r="I217" i="61" a="1"/>
  <c r="I217" i="61" s="1"/>
  <c r="I218" i="61" a="1"/>
  <c r="I218" i="61" s="1"/>
  <c r="I219" i="61" a="1"/>
  <c r="I219" i="61" s="1"/>
  <c r="I220" i="61" a="1"/>
  <c r="I220" i="61" s="1"/>
  <c r="I221" i="61" a="1"/>
  <c r="I221" i="61" s="1"/>
  <c r="I222" i="61" a="1"/>
  <c r="I222" i="61" s="1"/>
  <c r="I223" i="61" a="1"/>
  <c r="I223" i="61" s="1"/>
  <c r="I224" i="61" a="1"/>
  <c r="I224" i="61" s="1"/>
  <c r="I225" i="61" a="1"/>
  <c r="I225" i="61" s="1"/>
  <c r="I226" i="61" a="1"/>
  <c r="I226" i="61" s="1"/>
  <c r="I227" i="61" a="1"/>
  <c r="I227" i="61" s="1"/>
  <c r="I228" i="61" a="1"/>
  <c r="I228" i="61" s="1"/>
  <c r="I229" i="61" a="1"/>
  <c r="I229" i="61" s="1"/>
  <c r="I230" i="61" a="1"/>
  <c r="I230" i="61" s="1"/>
  <c r="I231" i="61" a="1"/>
  <c r="I231" i="61" s="1"/>
  <c r="I232" i="61" a="1"/>
  <c r="I232" i="61" s="1"/>
  <c r="I233" i="61" a="1"/>
  <c r="I233" i="61" s="1"/>
  <c r="I234" i="61" a="1"/>
  <c r="I234" i="61" s="1"/>
  <c r="I235" i="61" a="1"/>
  <c r="I235" i="61" s="1"/>
  <c r="I236" i="61" a="1"/>
  <c r="I236" i="61" s="1"/>
  <c r="I237" i="61" a="1"/>
  <c r="I237" i="61" s="1"/>
  <c r="I238" i="61" a="1"/>
  <c r="I238" i="61" s="1"/>
  <c r="I239" i="61" a="1"/>
  <c r="I239" i="61" s="1"/>
  <c r="I240" i="61" a="1"/>
  <c r="I240" i="61" s="1"/>
  <c r="I241" i="61" a="1"/>
  <c r="I241" i="61" s="1"/>
  <c r="I242" i="61" a="1"/>
  <c r="I242" i="61" s="1"/>
  <c r="I243" i="61" a="1"/>
  <c r="I243" i="61" s="1"/>
  <c r="I244" i="61" a="1"/>
  <c r="I244" i="61" s="1"/>
  <c r="I245" i="61" a="1"/>
  <c r="I245" i="61" s="1"/>
  <c r="I246" i="61" a="1"/>
  <c r="I246" i="61" s="1"/>
  <c r="I247" i="61" a="1"/>
  <c r="I247" i="61" s="1"/>
  <c r="I248" i="61" a="1"/>
  <c r="I248" i="61" s="1"/>
  <c r="I249" i="61" a="1"/>
  <c r="I249" i="61" s="1"/>
  <c r="I250" i="61" a="1"/>
  <c r="I250" i="61" s="1"/>
  <c r="I251" i="61" a="1"/>
  <c r="I251" i="61" s="1"/>
  <c r="I252" i="61" a="1"/>
  <c r="I252" i="61" s="1"/>
  <c r="I253" i="61" a="1"/>
  <c r="I253" i="61" s="1"/>
  <c r="I254" i="61" a="1"/>
  <c r="I254" i="61" s="1"/>
  <c r="I255" i="61" a="1"/>
  <c r="I255" i="61" s="1"/>
  <c r="I256" i="61" a="1"/>
  <c r="I256" i="61" s="1"/>
  <c r="I257" i="61" a="1"/>
  <c r="I257" i="61" s="1"/>
  <c r="I258" i="61" a="1"/>
  <c r="I258" i="61" s="1"/>
  <c r="I259" i="61" a="1"/>
  <c r="I259" i="61" s="1"/>
  <c r="I260" i="61" a="1"/>
  <c r="I260" i="61" s="1"/>
  <c r="I261" i="61" a="1"/>
  <c r="I261" i="61" s="1"/>
  <c r="I262" i="61" a="1"/>
  <c r="I262" i="61" s="1"/>
  <c r="I263" i="61" a="1"/>
  <c r="I263" i="61" s="1"/>
  <c r="I264" i="61" a="1"/>
  <c r="I264" i="61" s="1"/>
  <c r="I265" i="61" a="1"/>
  <c r="I265" i="61" s="1"/>
  <c r="I266" i="61" a="1"/>
  <c r="I266" i="61" s="1"/>
  <c r="I267" i="61" a="1"/>
  <c r="I267" i="61" s="1"/>
  <c r="I268" i="61" a="1"/>
  <c r="I268" i="61" s="1"/>
  <c r="I269" i="61" a="1"/>
  <c r="I269" i="61" s="1"/>
  <c r="I270" i="61" a="1"/>
  <c r="I270" i="61" s="1"/>
  <c r="I271" i="61" a="1"/>
  <c r="I271" i="61" s="1"/>
  <c r="I272" i="61" a="1"/>
  <c r="I272" i="61" s="1"/>
  <c r="I273" i="61" a="1"/>
  <c r="I273" i="61" s="1"/>
  <c r="I274" i="61" a="1"/>
  <c r="I274" i="61" s="1"/>
  <c r="I275" i="61" a="1"/>
  <c r="I275" i="61" s="1"/>
  <c r="I276" i="61" a="1"/>
  <c r="I276" i="61" s="1"/>
  <c r="I277" i="61" a="1"/>
  <c r="I277" i="61" s="1"/>
  <c r="I278" i="61" a="1"/>
  <c r="I278" i="61" s="1"/>
  <c r="I279" i="61" a="1"/>
  <c r="I279" i="61" s="1"/>
  <c r="I280" i="61" a="1"/>
  <c r="I280" i="61" s="1"/>
  <c r="I281" i="61" a="1"/>
  <c r="I281" i="61" s="1"/>
  <c r="I282" i="61" a="1"/>
  <c r="I282" i="61" s="1"/>
  <c r="I283" i="61" a="1"/>
  <c r="I283" i="61" s="1"/>
  <c r="I284" i="61" a="1"/>
  <c r="I284" i="61" s="1"/>
  <c r="I285" i="61" a="1"/>
  <c r="I285" i="61" s="1"/>
  <c r="I286" i="61" a="1"/>
  <c r="I286" i="61" s="1"/>
  <c r="I287" i="61" a="1"/>
  <c r="I287" i="61" s="1"/>
  <c r="I288" i="61" a="1"/>
  <c r="I288" i="61" s="1"/>
  <c r="I289" i="61" a="1"/>
  <c r="I289" i="61" s="1"/>
  <c r="I290" i="61" a="1"/>
  <c r="I290" i="61" s="1"/>
  <c r="I291" i="61" a="1"/>
  <c r="I291" i="61" s="1"/>
  <c r="I292" i="61" a="1"/>
  <c r="I292" i="61" s="1"/>
  <c r="I293" i="61" a="1"/>
  <c r="I293" i="61" s="1"/>
  <c r="I294" i="61" a="1"/>
  <c r="I294" i="61" s="1"/>
  <c r="I295" i="61" a="1"/>
  <c r="I295" i="61" s="1"/>
  <c r="I296" i="61" a="1"/>
  <c r="I296" i="61" s="1"/>
  <c r="I297" i="61" a="1"/>
  <c r="I297" i="61" s="1"/>
  <c r="I298" i="61" a="1"/>
  <c r="I298" i="61" s="1"/>
  <c r="I299" i="61" a="1"/>
  <c r="I299" i="61" s="1"/>
  <c r="I300" i="61" a="1"/>
  <c r="I300" i="61" s="1"/>
  <c r="I301" i="61" a="1"/>
  <c r="I301" i="61" s="1"/>
  <c r="I302" i="61" a="1"/>
  <c r="I302" i="61" s="1"/>
  <c r="I303" i="61" a="1"/>
  <c r="I303" i="61" s="1"/>
  <c r="I304" i="61" a="1"/>
  <c r="I304" i="61" s="1"/>
  <c r="I305" i="61" a="1"/>
  <c r="I305" i="61" s="1"/>
  <c r="I306" i="61" a="1"/>
  <c r="I306" i="61" s="1"/>
  <c r="I307" i="61" a="1"/>
  <c r="I307" i="61" s="1"/>
  <c r="I308" i="61" a="1"/>
  <c r="I308" i="61" s="1"/>
  <c r="I309" i="61" a="1"/>
  <c r="I309" i="61" s="1"/>
  <c r="I310" i="61" a="1"/>
  <c r="I310" i="61" s="1"/>
  <c r="I311" i="61" a="1"/>
  <c r="I311" i="61" s="1"/>
  <c r="I312" i="61" a="1"/>
  <c r="I312" i="61" s="1"/>
  <c r="I313" i="61" a="1"/>
  <c r="I313" i="61" s="1"/>
  <c r="I314" i="61" a="1"/>
  <c r="I314" i="61" s="1"/>
  <c r="I315" i="61" a="1"/>
  <c r="I315" i="61" s="1"/>
  <c r="I316" i="61" a="1"/>
  <c r="I316" i="61" s="1"/>
  <c r="I317" i="61" a="1"/>
  <c r="I317" i="61" s="1"/>
  <c r="I318" i="61" a="1"/>
  <c r="I318" i="61" s="1"/>
  <c r="I319" i="61" a="1"/>
  <c r="I319" i="61" s="1"/>
  <c r="I320" i="61" a="1"/>
  <c r="I320" i="61" s="1"/>
  <c r="I321" i="61" a="1"/>
  <c r="I321" i="61" s="1"/>
  <c r="I322" i="61" a="1"/>
  <c r="I322" i="61" s="1"/>
  <c r="I323" i="61" a="1"/>
  <c r="I323" i="61" s="1"/>
  <c r="I324" i="61" a="1"/>
  <c r="I324" i="61" s="1"/>
  <c r="I325" i="61" a="1"/>
  <c r="I325" i="61" s="1"/>
  <c r="I326" i="61" a="1"/>
  <c r="I326" i="61" s="1"/>
  <c r="I327" i="61" a="1"/>
  <c r="I327" i="61" s="1"/>
  <c r="I328" i="61" a="1"/>
  <c r="I328" i="61" s="1"/>
  <c r="I329" i="61" a="1"/>
  <c r="I329" i="61" s="1"/>
  <c r="I330" i="61" a="1"/>
  <c r="I330" i="61" s="1"/>
  <c r="I331" i="61" a="1"/>
  <c r="I331" i="61" s="1"/>
  <c r="I332" i="61" a="1"/>
  <c r="I332" i="61" s="1"/>
  <c r="I333" i="61" a="1"/>
  <c r="I333" i="61" s="1"/>
  <c r="I334" i="61" a="1"/>
  <c r="I334" i="61" s="1"/>
  <c r="I335" i="61" a="1"/>
  <c r="I335" i="61" s="1"/>
  <c r="I336" i="61" a="1"/>
  <c r="I336" i="61" s="1"/>
  <c r="I337" i="61" a="1"/>
  <c r="I337" i="61" s="1"/>
  <c r="I338" i="61" a="1"/>
  <c r="I338" i="61" s="1"/>
  <c r="I339" i="61" a="1"/>
  <c r="I339" i="61" s="1"/>
  <c r="I340" i="61" a="1"/>
  <c r="I340" i="61" s="1"/>
  <c r="I341" i="61" a="1"/>
  <c r="I341" i="61" s="1"/>
  <c r="I342" i="61" a="1"/>
  <c r="I342" i="61" s="1"/>
  <c r="I343" i="61" a="1"/>
  <c r="I343" i="61" s="1"/>
  <c r="I344" i="61" a="1"/>
  <c r="I344" i="61" s="1"/>
  <c r="I345" i="61" a="1"/>
  <c r="I345" i="61" s="1"/>
  <c r="I346" i="61" a="1"/>
  <c r="I346" i="61" s="1"/>
  <c r="I347" i="61" a="1"/>
  <c r="I347" i="61" s="1"/>
  <c r="I348" i="61" a="1"/>
  <c r="I348" i="61" s="1"/>
  <c r="I349" i="61" a="1"/>
  <c r="I349" i="61" s="1"/>
  <c r="I350" i="61" a="1"/>
  <c r="I350" i="61" s="1"/>
  <c r="I351" i="61" a="1"/>
  <c r="I351" i="61" s="1"/>
  <c r="I352" i="61" a="1"/>
  <c r="I352" i="61" s="1"/>
  <c r="I353" i="61" a="1"/>
  <c r="I353" i="61" s="1"/>
  <c r="I354" i="61" a="1"/>
  <c r="I354" i="61" s="1"/>
  <c r="I355" i="61" a="1"/>
  <c r="I355" i="61" s="1"/>
  <c r="I356" i="61" a="1"/>
  <c r="I356" i="61" s="1"/>
  <c r="I357" i="61" a="1"/>
  <c r="I357" i="61" s="1"/>
  <c r="I358" i="61" a="1"/>
  <c r="I358" i="61" s="1"/>
  <c r="I359" i="61" a="1"/>
  <c r="I359" i="61" s="1"/>
  <c r="I360" i="61" a="1"/>
  <c r="I360" i="61" s="1"/>
  <c r="I361" i="61" a="1"/>
  <c r="I361" i="61" s="1"/>
  <c r="I362" i="61" a="1"/>
  <c r="I362" i="61" s="1"/>
  <c r="I363" i="61" a="1"/>
  <c r="I363" i="61" s="1"/>
  <c r="I364" i="61" a="1"/>
  <c r="I364" i="61" s="1"/>
  <c r="I365" i="61" a="1"/>
  <c r="I365" i="61" s="1"/>
  <c r="I366" i="61" a="1"/>
  <c r="I366" i="61" s="1"/>
  <c r="I367" i="61" a="1"/>
  <c r="I367" i="61" s="1"/>
  <c r="I368" i="61" a="1"/>
  <c r="I368" i="61" s="1"/>
  <c r="I369" i="61" a="1"/>
  <c r="I369" i="61" s="1"/>
  <c r="I370" i="61" a="1"/>
  <c r="I370" i="61" s="1"/>
  <c r="I371" i="61" a="1"/>
  <c r="I371" i="61" s="1"/>
  <c r="I372" i="61" a="1"/>
  <c r="I372" i="61" s="1"/>
  <c r="I373" i="61" a="1"/>
  <c r="I373" i="61" s="1"/>
  <c r="I374" i="61" a="1"/>
  <c r="I374" i="61" s="1"/>
  <c r="I375" i="61" a="1"/>
  <c r="I375" i="61" s="1"/>
  <c r="I376" i="61" a="1"/>
  <c r="I376" i="61" s="1"/>
  <c r="I377" i="61" a="1"/>
  <c r="I377" i="61" s="1"/>
  <c r="I378" i="61" a="1"/>
  <c r="I378" i="61" s="1"/>
  <c r="I379" i="61" a="1"/>
  <c r="I379" i="61" s="1"/>
  <c r="I380" i="61" a="1"/>
  <c r="I380" i="61" s="1"/>
  <c r="I381" i="61" a="1"/>
  <c r="I381" i="61" s="1"/>
  <c r="I382" i="61" a="1"/>
  <c r="I382" i="61" s="1"/>
  <c r="I383" i="61" a="1"/>
  <c r="I383" i="61" s="1"/>
  <c r="I384" i="61" a="1"/>
  <c r="I384" i="61" s="1"/>
  <c r="I385" i="61" a="1"/>
  <c r="I385" i="61" s="1"/>
  <c r="I386" i="61" a="1"/>
  <c r="I386" i="61" s="1"/>
  <c r="I387" i="61" a="1"/>
  <c r="I387" i="61" s="1"/>
  <c r="I388" i="61" a="1"/>
  <c r="I388" i="61" s="1"/>
  <c r="I389" i="61" a="1"/>
  <c r="I389" i="61" s="1"/>
  <c r="I390" i="61" a="1"/>
  <c r="I390" i="61" s="1"/>
  <c r="I391" i="61" a="1"/>
  <c r="I391" i="61" s="1"/>
  <c r="I392" i="61" a="1"/>
  <c r="I392" i="61" s="1"/>
  <c r="I393" i="61" a="1"/>
  <c r="I393" i="61" s="1"/>
  <c r="I394" i="61" a="1"/>
  <c r="I394" i="61" s="1"/>
  <c r="I395" i="61" a="1"/>
  <c r="I395" i="61" s="1"/>
  <c r="I396" i="61" a="1"/>
  <c r="I396" i="61" s="1"/>
  <c r="I397" i="61" a="1"/>
  <c r="I397" i="61" s="1"/>
  <c r="I398" i="61" a="1"/>
  <c r="I398" i="61" s="1"/>
  <c r="I399" i="61" a="1"/>
  <c r="I399" i="61" s="1"/>
  <c r="I400" i="61" a="1"/>
  <c r="I400" i="61" s="1"/>
  <c r="I401" i="61" a="1"/>
  <c r="I401" i="61" s="1"/>
  <c r="I402" i="61" a="1"/>
  <c r="I402" i="61" s="1"/>
  <c r="I403" i="61" a="1"/>
  <c r="I403" i="61" s="1"/>
  <c r="I404" i="61" a="1"/>
  <c r="I404" i="61" s="1"/>
  <c r="I405" i="61" a="1"/>
  <c r="I405" i="61" s="1"/>
  <c r="I406" i="61" a="1"/>
  <c r="I406" i="61" s="1"/>
  <c r="I407" i="61" a="1"/>
  <c r="I407" i="61" s="1"/>
  <c r="I408" i="61" a="1"/>
  <c r="I408" i="61" s="1"/>
  <c r="I409" i="61" a="1"/>
  <c r="I409" i="61" s="1"/>
  <c r="I410" i="61" a="1"/>
  <c r="I410" i="61" s="1"/>
  <c r="I411" i="61" a="1"/>
  <c r="I411" i="61" s="1"/>
  <c r="I412" i="61" a="1"/>
  <c r="I412" i="61" s="1"/>
  <c r="I413" i="61" a="1"/>
  <c r="I413" i="61" s="1"/>
  <c r="I414" i="61" a="1"/>
  <c r="I414" i="61" s="1"/>
  <c r="I415" i="61" a="1"/>
  <c r="I415" i="61" s="1"/>
  <c r="I416" i="61" a="1"/>
  <c r="I416" i="61" s="1"/>
  <c r="I417" i="61" a="1"/>
  <c r="I417" i="61" s="1"/>
  <c r="I418" i="61" a="1"/>
  <c r="I418" i="61" s="1"/>
  <c r="I419" i="61" a="1"/>
  <c r="I419" i="61" s="1"/>
  <c r="I420" i="61" a="1"/>
  <c r="I420" i="61" s="1"/>
  <c r="I421" i="61" a="1"/>
  <c r="I421" i="61" s="1"/>
  <c r="I422" i="61" a="1"/>
  <c r="I422" i="61" s="1"/>
  <c r="I423" i="61" a="1"/>
  <c r="I423" i="61" s="1"/>
  <c r="I424" i="61" a="1"/>
  <c r="I424" i="61" s="1"/>
  <c r="I425" i="61" a="1"/>
  <c r="I425" i="61" s="1"/>
  <c r="I426" i="61" a="1"/>
  <c r="I426" i="61" s="1"/>
  <c r="I427" i="61" a="1"/>
  <c r="I427" i="61" s="1"/>
  <c r="I428" i="61" a="1"/>
  <c r="I428" i="61" s="1"/>
  <c r="I429" i="61" a="1"/>
  <c r="I429" i="61" s="1"/>
  <c r="I430" i="61" a="1"/>
  <c r="I430" i="61" s="1"/>
  <c r="I431" i="61" a="1"/>
  <c r="I431" i="61" s="1"/>
  <c r="I432" i="61" a="1"/>
  <c r="I432" i="61" s="1"/>
  <c r="I433" i="61" a="1"/>
  <c r="I433" i="61" s="1"/>
  <c r="I434" i="61" a="1"/>
  <c r="I434" i="61" s="1"/>
  <c r="I435" i="61" a="1"/>
  <c r="I435" i="61" s="1"/>
  <c r="I436" i="61" a="1"/>
  <c r="I436" i="61" s="1"/>
  <c r="I437" i="61" a="1"/>
  <c r="I437" i="61" s="1"/>
  <c r="I438" i="61" a="1"/>
  <c r="I438" i="61" s="1"/>
  <c r="I439" i="61" a="1"/>
  <c r="I439" i="61" s="1"/>
  <c r="I440" i="61" a="1"/>
  <c r="I440" i="61" s="1"/>
  <c r="I441" i="61" a="1"/>
  <c r="I441" i="61" s="1"/>
  <c r="I442" i="61" a="1"/>
  <c r="I442" i="61" s="1"/>
  <c r="I443" i="61" a="1"/>
  <c r="I443" i="61" s="1"/>
  <c r="I444" i="61" a="1"/>
  <c r="I444" i="61" s="1"/>
  <c r="I445" i="61" a="1"/>
  <c r="I445" i="61" s="1"/>
  <c r="I446" i="61" a="1"/>
  <c r="I446" i="61" s="1"/>
  <c r="I447" i="61" a="1"/>
  <c r="I447" i="61" s="1"/>
  <c r="I448" i="61" a="1"/>
  <c r="I448" i="61" s="1"/>
  <c r="I449" i="61" a="1"/>
  <c r="I449" i="61" s="1"/>
  <c r="I450" i="61" a="1"/>
  <c r="I450" i="61" s="1"/>
  <c r="I451" i="61" a="1"/>
  <c r="I451" i="61" s="1"/>
  <c r="I452" i="61" a="1"/>
  <c r="I452" i="61" s="1"/>
  <c r="I453" i="61" a="1"/>
  <c r="I453" i="61" s="1"/>
  <c r="I454" i="61" a="1"/>
  <c r="I454" i="61" s="1"/>
  <c r="I455" i="61" a="1"/>
  <c r="I455" i="61" s="1"/>
  <c r="I456" i="61" a="1"/>
  <c r="I456" i="61" s="1"/>
  <c r="I457" i="61" a="1"/>
  <c r="I457" i="61" s="1"/>
  <c r="I458" i="61" a="1"/>
  <c r="I458" i="61" s="1"/>
  <c r="I459" i="61" a="1"/>
  <c r="I459" i="61" s="1"/>
  <c r="I460" i="61" a="1"/>
  <c r="I460" i="61" s="1"/>
  <c r="I461" i="61" a="1"/>
  <c r="I461" i="61" s="1"/>
  <c r="I462" i="61" a="1"/>
  <c r="I462" i="61" s="1"/>
  <c r="I463" i="61" a="1"/>
  <c r="I463" i="61" s="1"/>
  <c r="I464" i="61" a="1"/>
  <c r="I464" i="61" s="1"/>
  <c r="I465" i="61" a="1"/>
  <c r="I465" i="61" s="1"/>
  <c r="I466" i="61" a="1"/>
  <c r="I466" i="61" s="1"/>
  <c r="I467" i="61" a="1"/>
  <c r="I467" i="61" s="1"/>
  <c r="I468" i="61" a="1"/>
  <c r="I468" i="61" s="1"/>
  <c r="I469" i="61" a="1"/>
  <c r="I469" i="61" s="1"/>
  <c r="I470" i="61" a="1"/>
  <c r="I470" i="61" s="1"/>
  <c r="I471" i="61" a="1"/>
  <c r="I471" i="61" s="1"/>
  <c r="I472" i="61" a="1"/>
  <c r="I472" i="61" s="1"/>
  <c r="I473" i="61" a="1"/>
  <c r="I473" i="61" s="1"/>
  <c r="I474" i="61" a="1"/>
  <c r="I474" i="61" s="1"/>
  <c r="I475" i="61" a="1"/>
  <c r="I475" i="61" s="1"/>
  <c r="I476" i="61" a="1"/>
  <c r="I476" i="61" s="1"/>
  <c r="I477" i="61" a="1"/>
  <c r="I477" i="61" s="1"/>
  <c r="I478" i="61" a="1"/>
  <c r="I478" i="61" s="1"/>
  <c r="I479" i="61" a="1"/>
  <c r="I479" i="61" s="1"/>
  <c r="I480" i="61" a="1"/>
  <c r="I480" i="61" s="1"/>
  <c r="I481" i="61" a="1"/>
  <c r="I481" i="61" s="1"/>
  <c r="I482" i="61" a="1"/>
  <c r="I482" i="61" s="1"/>
  <c r="I483" i="61" a="1"/>
  <c r="I483" i="61" s="1"/>
  <c r="I484" i="61" a="1"/>
  <c r="I484" i="61" s="1"/>
  <c r="I485" i="61" a="1"/>
  <c r="I485" i="61" s="1"/>
  <c r="I486" i="61" a="1"/>
  <c r="I486" i="61" s="1"/>
  <c r="I487" i="61" a="1"/>
  <c r="I487" i="61" s="1"/>
  <c r="I488" i="61" a="1"/>
  <c r="I488" i="61" s="1"/>
  <c r="I489" i="61" a="1"/>
  <c r="I489" i="61" s="1"/>
  <c r="I490" i="61" a="1"/>
  <c r="I490" i="61" s="1"/>
  <c r="I491" i="61" a="1"/>
  <c r="I491" i="61" s="1"/>
  <c r="I492" i="61" a="1"/>
  <c r="I492" i="61" s="1"/>
  <c r="I493" i="61" a="1"/>
  <c r="I493" i="61" s="1"/>
  <c r="I494" i="61" a="1"/>
  <c r="I494" i="61" s="1"/>
  <c r="I495" i="61" a="1"/>
  <c r="I495" i="61" s="1"/>
  <c r="I496" i="61" a="1"/>
  <c r="I496" i="61" s="1"/>
  <c r="I497" i="61" a="1"/>
  <c r="I497" i="61" s="1"/>
  <c r="I498" i="61" a="1"/>
  <c r="I498" i="61" s="1"/>
  <c r="I499" i="61" a="1"/>
  <c r="I499" i="61" s="1"/>
  <c r="I500" i="61" a="1"/>
  <c r="I500" i="61" s="1"/>
  <c r="I501" i="61" a="1"/>
  <c r="I501" i="61" s="1"/>
  <c r="I15" i="116" l="1"/>
  <c r="J15" i="116" s="1"/>
  <c r="I8" i="116"/>
  <c r="J8" i="116" s="1"/>
  <c r="I16" i="116"/>
  <c r="J16" i="116" s="1"/>
  <c r="I451" i="116"/>
  <c r="J451" i="116" s="1"/>
  <c r="F5" i="119"/>
  <c r="I75" i="116"/>
  <c r="J75" i="116" s="1"/>
  <c r="K495" i="98"/>
  <c r="K499" i="98"/>
  <c r="I55" i="116"/>
  <c r="J55" i="116" s="1"/>
  <c r="K366" i="98"/>
  <c r="I235" i="116"/>
  <c r="J235" i="116" s="1"/>
  <c r="I7" i="116"/>
  <c r="J7" i="116" s="1"/>
  <c r="I4" i="116"/>
  <c r="J4" i="116" s="1"/>
  <c r="K431" i="98"/>
  <c r="K447" i="98"/>
  <c r="K351" i="98"/>
  <c r="K355" i="98"/>
  <c r="K387" i="98"/>
  <c r="I3" i="116"/>
  <c r="J3" i="116" s="1"/>
  <c r="I11" i="116"/>
  <c r="J11" i="116" s="1"/>
  <c r="I501" i="116"/>
  <c r="J501" i="116" s="1"/>
  <c r="I497" i="116"/>
  <c r="J497" i="116" s="1"/>
  <c r="I493" i="116"/>
  <c r="J493" i="116" s="1"/>
  <c r="I489" i="116"/>
  <c r="J489" i="116" s="1"/>
  <c r="I485" i="116"/>
  <c r="J485" i="116" s="1"/>
  <c r="I481" i="116"/>
  <c r="J481" i="116" s="1"/>
  <c r="I477" i="116"/>
  <c r="J477" i="116" s="1"/>
  <c r="I473" i="116"/>
  <c r="J473" i="116" s="1"/>
  <c r="I469" i="116"/>
  <c r="J469" i="116" s="1"/>
  <c r="I465" i="116"/>
  <c r="J465" i="116" s="1"/>
  <c r="I461" i="116"/>
  <c r="J461" i="116" s="1"/>
  <c r="I457" i="116"/>
  <c r="J457" i="116" s="1"/>
  <c r="I453" i="116"/>
  <c r="J453" i="116" s="1"/>
  <c r="I449" i="116"/>
  <c r="J449" i="116" s="1"/>
  <c r="I445" i="116"/>
  <c r="J445" i="116" s="1"/>
  <c r="I441" i="116"/>
  <c r="J441" i="116" s="1"/>
  <c r="I437" i="116"/>
  <c r="J437" i="116" s="1"/>
  <c r="I433" i="116"/>
  <c r="J433" i="116" s="1"/>
  <c r="I429" i="116"/>
  <c r="J429" i="116" s="1"/>
  <c r="I425" i="116"/>
  <c r="J425" i="116" s="1"/>
  <c r="I421" i="116"/>
  <c r="J421" i="116" s="1"/>
  <c r="I417" i="116"/>
  <c r="J417" i="116" s="1"/>
  <c r="I413" i="116"/>
  <c r="J413" i="116" s="1"/>
  <c r="I409" i="116"/>
  <c r="J409" i="116" s="1"/>
  <c r="I405" i="116"/>
  <c r="J405" i="116" s="1"/>
  <c r="I401" i="116"/>
  <c r="J401" i="116" s="1"/>
  <c r="I397" i="116"/>
  <c r="J397" i="116" s="1"/>
  <c r="I393" i="116"/>
  <c r="J393" i="116" s="1"/>
  <c r="I389" i="116"/>
  <c r="J389" i="116" s="1"/>
  <c r="I385" i="116"/>
  <c r="J385" i="116" s="1"/>
  <c r="I381" i="116"/>
  <c r="J381" i="116" s="1"/>
  <c r="I377" i="116"/>
  <c r="J377" i="116" s="1"/>
  <c r="I373" i="116"/>
  <c r="J373" i="116" s="1"/>
  <c r="I369" i="116"/>
  <c r="J369" i="116" s="1"/>
  <c r="I365" i="116"/>
  <c r="J365" i="116" s="1"/>
  <c r="I361" i="116"/>
  <c r="J361" i="116" s="1"/>
  <c r="I357" i="116"/>
  <c r="J357" i="116" s="1"/>
  <c r="I353" i="116"/>
  <c r="J353" i="116" s="1"/>
  <c r="I349" i="116"/>
  <c r="J349" i="116" s="1"/>
  <c r="I345" i="116"/>
  <c r="J345" i="116" s="1"/>
  <c r="I341" i="116"/>
  <c r="J341" i="116" s="1"/>
  <c r="I337" i="116"/>
  <c r="J337" i="116" s="1"/>
  <c r="I333" i="116"/>
  <c r="J333" i="116" s="1"/>
  <c r="I329" i="116"/>
  <c r="J329" i="116" s="1"/>
  <c r="I325" i="116"/>
  <c r="J325" i="116" s="1"/>
  <c r="I321" i="116"/>
  <c r="J321" i="116" s="1"/>
  <c r="I317" i="116"/>
  <c r="J317" i="116" s="1"/>
  <c r="I313" i="116"/>
  <c r="J313" i="116" s="1"/>
  <c r="I309" i="116"/>
  <c r="J309" i="116" s="1"/>
  <c r="I305" i="116"/>
  <c r="J305" i="116" s="1"/>
  <c r="I301" i="116"/>
  <c r="J301" i="116" s="1"/>
  <c r="I297" i="116"/>
  <c r="J297" i="116" s="1"/>
  <c r="I293" i="116"/>
  <c r="J293" i="116" s="1"/>
  <c r="I289" i="116"/>
  <c r="J289" i="116" s="1"/>
  <c r="I285" i="116"/>
  <c r="J285" i="116" s="1"/>
  <c r="I281" i="116"/>
  <c r="J281" i="116" s="1"/>
  <c r="I277" i="116"/>
  <c r="J277" i="116" s="1"/>
  <c r="I273" i="116"/>
  <c r="J273" i="116" s="1"/>
  <c r="I269" i="116"/>
  <c r="J269" i="116" s="1"/>
  <c r="I265" i="116"/>
  <c r="J265" i="116" s="1"/>
  <c r="I261" i="116"/>
  <c r="J261" i="116" s="1"/>
  <c r="I257" i="116"/>
  <c r="J257" i="116" s="1"/>
  <c r="I253" i="116"/>
  <c r="J253" i="116" s="1"/>
  <c r="I249" i="116"/>
  <c r="J249" i="116" s="1"/>
  <c r="I245" i="116"/>
  <c r="J245" i="116" s="1"/>
  <c r="I241" i="116"/>
  <c r="J241" i="116" s="1"/>
  <c r="I237" i="116"/>
  <c r="J237" i="116" s="1"/>
  <c r="I233" i="116"/>
  <c r="J233" i="116" s="1"/>
  <c r="I229" i="116"/>
  <c r="J229" i="116" s="1"/>
  <c r="I225" i="116"/>
  <c r="J225" i="116" s="1"/>
  <c r="I221" i="116"/>
  <c r="J221" i="116" s="1"/>
  <c r="I217" i="116"/>
  <c r="J217" i="116" s="1"/>
  <c r="I213" i="116"/>
  <c r="J213" i="116" s="1"/>
  <c r="I209" i="116"/>
  <c r="J209" i="116" s="1"/>
  <c r="I205" i="116"/>
  <c r="J205" i="116" s="1"/>
  <c r="I201" i="116"/>
  <c r="J201" i="116" s="1"/>
  <c r="I197" i="116"/>
  <c r="J197" i="116" s="1"/>
  <c r="I193" i="116"/>
  <c r="J193" i="116" s="1"/>
  <c r="I189" i="116"/>
  <c r="J189" i="116" s="1"/>
  <c r="I185" i="116"/>
  <c r="J185" i="116" s="1"/>
  <c r="I181" i="116"/>
  <c r="J181" i="116" s="1"/>
  <c r="I177" i="116"/>
  <c r="J177" i="116" s="1"/>
  <c r="I173" i="116"/>
  <c r="J173" i="116" s="1"/>
  <c r="I169" i="116"/>
  <c r="J169" i="116" s="1"/>
  <c r="I165" i="116"/>
  <c r="J165" i="116" s="1"/>
  <c r="I161" i="116"/>
  <c r="J161" i="116" s="1"/>
  <c r="I157" i="116"/>
  <c r="J157" i="116" s="1"/>
  <c r="I153" i="116"/>
  <c r="J153" i="116" s="1"/>
  <c r="I149" i="116"/>
  <c r="J149" i="116" s="1"/>
  <c r="I145" i="116"/>
  <c r="J145" i="116" s="1"/>
  <c r="I141" i="116"/>
  <c r="J141" i="116" s="1"/>
  <c r="I137" i="116"/>
  <c r="J137" i="116" s="1"/>
  <c r="I133" i="116"/>
  <c r="J133" i="116" s="1"/>
  <c r="I129" i="116"/>
  <c r="J129" i="116" s="1"/>
  <c r="I125" i="116"/>
  <c r="J125" i="116" s="1"/>
  <c r="I121" i="116"/>
  <c r="J121" i="116" s="1"/>
  <c r="I117" i="116"/>
  <c r="J117" i="116" s="1"/>
  <c r="I113" i="116"/>
  <c r="J113" i="116" s="1"/>
  <c r="I109" i="116"/>
  <c r="J109" i="116" s="1"/>
  <c r="I105" i="116"/>
  <c r="J105" i="116" s="1"/>
  <c r="I101" i="116"/>
  <c r="J101" i="116" s="1"/>
  <c r="I97" i="116"/>
  <c r="J97" i="116" s="1"/>
  <c r="I93" i="116"/>
  <c r="J93" i="116" s="1"/>
  <c r="I89" i="116"/>
  <c r="J89" i="116" s="1"/>
  <c r="I85" i="116"/>
  <c r="J85" i="116" s="1"/>
  <c r="I81" i="116"/>
  <c r="J81" i="116" s="1"/>
  <c r="I77" i="116"/>
  <c r="J77" i="116" s="1"/>
  <c r="I73" i="116"/>
  <c r="J73" i="116" s="1"/>
  <c r="I69" i="116"/>
  <c r="J69" i="116" s="1"/>
  <c r="I65" i="116"/>
  <c r="J65" i="116" s="1"/>
  <c r="I61" i="116"/>
  <c r="J61" i="116" s="1"/>
  <c r="I57" i="116"/>
  <c r="J57" i="116" s="1"/>
  <c r="I53" i="116"/>
  <c r="J53" i="116" s="1"/>
  <c r="I49" i="116"/>
  <c r="J49" i="116" s="1"/>
  <c r="I45" i="116"/>
  <c r="J45" i="116" s="1"/>
  <c r="I41" i="116"/>
  <c r="J41" i="116" s="1"/>
  <c r="I37" i="116"/>
  <c r="J37" i="116" s="1"/>
  <c r="I33" i="116"/>
  <c r="J33" i="116" s="1"/>
  <c r="I29" i="116"/>
  <c r="J29" i="116" s="1"/>
  <c r="I25" i="116"/>
  <c r="J25" i="116" s="1"/>
  <c r="I21" i="116"/>
  <c r="J21" i="116" s="1"/>
  <c r="I17" i="116"/>
  <c r="J17" i="116" s="1"/>
  <c r="I13" i="116"/>
  <c r="J13" i="116" s="1"/>
  <c r="I9" i="116"/>
  <c r="J9" i="116" s="1"/>
  <c r="I5" i="116"/>
  <c r="J5" i="116" s="1"/>
  <c r="I498" i="116"/>
  <c r="J498" i="116" s="1"/>
  <c r="I494" i="116"/>
  <c r="J494" i="116" s="1"/>
  <c r="I490" i="116"/>
  <c r="J490" i="116" s="1"/>
  <c r="I486" i="116"/>
  <c r="J486" i="116" s="1"/>
  <c r="I482" i="116"/>
  <c r="J482" i="116" s="1"/>
  <c r="I478" i="116"/>
  <c r="J478" i="116" s="1"/>
  <c r="I474" i="116"/>
  <c r="J474" i="116" s="1"/>
  <c r="I470" i="116"/>
  <c r="J470" i="116" s="1"/>
  <c r="I466" i="116"/>
  <c r="J466" i="116" s="1"/>
  <c r="I462" i="116"/>
  <c r="J462" i="116" s="1"/>
  <c r="I458" i="116"/>
  <c r="J458" i="116" s="1"/>
  <c r="I454" i="116"/>
  <c r="J454" i="116" s="1"/>
  <c r="I450" i="116"/>
  <c r="J450" i="116" s="1"/>
  <c r="I446" i="116"/>
  <c r="J446" i="116" s="1"/>
  <c r="I442" i="116"/>
  <c r="J442" i="116" s="1"/>
  <c r="I438" i="116"/>
  <c r="J438" i="116" s="1"/>
  <c r="I434" i="116"/>
  <c r="J434" i="116" s="1"/>
  <c r="I430" i="116"/>
  <c r="J430" i="116" s="1"/>
  <c r="I426" i="116"/>
  <c r="J426" i="116" s="1"/>
  <c r="I422" i="116"/>
  <c r="J422" i="116" s="1"/>
  <c r="I418" i="116"/>
  <c r="J418" i="116" s="1"/>
  <c r="I414" i="116"/>
  <c r="J414" i="116" s="1"/>
  <c r="I410" i="116"/>
  <c r="J410" i="116" s="1"/>
  <c r="I406" i="116"/>
  <c r="J406" i="116" s="1"/>
  <c r="I402" i="116"/>
  <c r="J402" i="116" s="1"/>
  <c r="I398" i="116"/>
  <c r="J398" i="116" s="1"/>
  <c r="I394" i="116"/>
  <c r="J394" i="116" s="1"/>
  <c r="I390" i="116"/>
  <c r="J390" i="116" s="1"/>
  <c r="I386" i="116"/>
  <c r="J386" i="116" s="1"/>
  <c r="I382" i="116"/>
  <c r="J382" i="116" s="1"/>
  <c r="I378" i="116"/>
  <c r="J378" i="116" s="1"/>
  <c r="I374" i="116"/>
  <c r="J374" i="116" s="1"/>
  <c r="I370" i="116"/>
  <c r="J370" i="116" s="1"/>
  <c r="I366" i="116"/>
  <c r="J366" i="116" s="1"/>
  <c r="I362" i="116"/>
  <c r="J362" i="116" s="1"/>
  <c r="I358" i="116"/>
  <c r="J358" i="116" s="1"/>
  <c r="I354" i="116"/>
  <c r="J354" i="116" s="1"/>
  <c r="I350" i="116"/>
  <c r="J350" i="116" s="1"/>
  <c r="I346" i="116"/>
  <c r="J346" i="116" s="1"/>
  <c r="I2" i="116"/>
  <c r="J2" i="116" s="1"/>
  <c r="I342" i="116"/>
  <c r="J342" i="116" s="1"/>
  <c r="I338" i="116"/>
  <c r="J338" i="116" s="1"/>
  <c r="I334" i="116"/>
  <c r="J334" i="116" s="1"/>
  <c r="I330" i="116"/>
  <c r="J330" i="116" s="1"/>
  <c r="I326" i="116"/>
  <c r="J326" i="116" s="1"/>
  <c r="I322" i="116"/>
  <c r="J322" i="116" s="1"/>
  <c r="I318" i="116"/>
  <c r="J318" i="116" s="1"/>
  <c r="I314" i="116"/>
  <c r="J314" i="116" s="1"/>
  <c r="I310" i="116"/>
  <c r="J310" i="116" s="1"/>
  <c r="I306" i="116"/>
  <c r="J306" i="116" s="1"/>
  <c r="I302" i="116"/>
  <c r="J302" i="116" s="1"/>
  <c r="I298" i="116"/>
  <c r="J298" i="116" s="1"/>
  <c r="I294" i="116"/>
  <c r="J294" i="116" s="1"/>
  <c r="I290" i="116"/>
  <c r="J290" i="116" s="1"/>
  <c r="I286" i="116"/>
  <c r="J286" i="116" s="1"/>
  <c r="I282" i="116"/>
  <c r="J282" i="116" s="1"/>
  <c r="I278" i="116"/>
  <c r="J278" i="116" s="1"/>
  <c r="I274" i="116"/>
  <c r="J274" i="116" s="1"/>
  <c r="I270" i="116"/>
  <c r="J270" i="116" s="1"/>
  <c r="I266" i="116"/>
  <c r="J266" i="116" s="1"/>
  <c r="I262" i="116"/>
  <c r="J262" i="116" s="1"/>
  <c r="I258" i="116"/>
  <c r="J258" i="116" s="1"/>
  <c r="I254" i="116"/>
  <c r="J254" i="116" s="1"/>
  <c r="I250" i="116"/>
  <c r="J250" i="116" s="1"/>
  <c r="I246" i="116"/>
  <c r="J246" i="116" s="1"/>
  <c r="I242" i="116"/>
  <c r="J242" i="116" s="1"/>
  <c r="I238" i="116"/>
  <c r="J238" i="116" s="1"/>
  <c r="I234" i="116"/>
  <c r="J234" i="116" s="1"/>
  <c r="I230" i="116"/>
  <c r="J230" i="116" s="1"/>
  <c r="I226" i="116"/>
  <c r="J226" i="116" s="1"/>
  <c r="I222" i="116"/>
  <c r="J222" i="116" s="1"/>
  <c r="I218" i="116"/>
  <c r="J218" i="116" s="1"/>
  <c r="I214" i="116"/>
  <c r="J214" i="116" s="1"/>
  <c r="I210" i="116"/>
  <c r="J210" i="116" s="1"/>
  <c r="I206" i="116"/>
  <c r="J206" i="116" s="1"/>
  <c r="I202" i="116"/>
  <c r="J202" i="116" s="1"/>
  <c r="I198" i="116"/>
  <c r="J198" i="116" s="1"/>
  <c r="I194" i="116"/>
  <c r="J194" i="116" s="1"/>
  <c r="I190" i="116"/>
  <c r="J190" i="116" s="1"/>
  <c r="I186" i="116"/>
  <c r="J186" i="116" s="1"/>
  <c r="I182" i="116"/>
  <c r="J182" i="116" s="1"/>
  <c r="I178" i="116"/>
  <c r="J178" i="116" s="1"/>
  <c r="I174" i="116"/>
  <c r="J174" i="116" s="1"/>
  <c r="I170" i="116"/>
  <c r="J170" i="116" s="1"/>
  <c r="I166" i="116"/>
  <c r="J166" i="116" s="1"/>
  <c r="I162" i="116"/>
  <c r="J162" i="116" s="1"/>
  <c r="I158" i="116"/>
  <c r="J158" i="116" s="1"/>
  <c r="I154" i="116"/>
  <c r="J154" i="116" s="1"/>
  <c r="I150" i="116"/>
  <c r="J150" i="116" s="1"/>
  <c r="I146" i="116"/>
  <c r="J146" i="116" s="1"/>
  <c r="I142" i="116"/>
  <c r="J142" i="116" s="1"/>
  <c r="I138" i="116"/>
  <c r="J138" i="116" s="1"/>
  <c r="I134" i="116"/>
  <c r="J134" i="116" s="1"/>
  <c r="I130" i="116"/>
  <c r="J130" i="116" s="1"/>
  <c r="I126" i="116"/>
  <c r="J126" i="116" s="1"/>
  <c r="I122" i="116"/>
  <c r="J122" i="116" s="1"/>
  <c r="I118" i="116"/>
  <c r="J118" i="116" s="1"/>
  <c r="I114" i="116"/>
  <c r="J114" i="116" s="1"/>
  <c r="I110" i="116"/>
  <c r="J110" i="116" s="1"/>
  <c r="I106" i="116"/>
  <c r="J106" i="116" s="1"/>
  <c r="I102" i="116"/>
  <c r="J102" i="116" s="1"/>
  <c r="I98" i="116"/>
  <c r="J98" i="116" s="1"/>
  <c r="I94" i="116"/>
  <c r="J94" i="116" s="1"/>
  <c r="I90" i="116"/>
  <c r="J90" i="116" s="1"/>
  <c r="I86" i="116"/>
  <c r="J86" i="116" s="1"/>
  <c r="I82" i="116"/>
  <c r="J82" i="116" s="1"/>
  <c r="I78" i="116"/>
  <c r="J78" i="116" s="1"/>
  <c r="I74" i="116"/>
  <c r="J74" i="116" s="1"/>
  <c r="I70" i="116"/>
  <c r="J70" i="116" s="1"/>
  <c r="I66" i="116"/>
  <c r="J66" i="116" s="1"/>
  <c r="I62" i="116"/>
  <c r="J62" i="116" s="1"/>
  <c r="I58" i="116"/>
  <c r="J58" i="116" s="1"/>
  <c r="I54" i="116"/>
  <c r="J54" i="116" s="1"/>
  <c r="I50" i="116"/>
  <c r="J50" i="116" s="1"/>
  <c r="I46" i="116"/>
  <c r="J46" i="116" s="1"/>
  <c r="I42" i="116"/>
  <c r="J42" i="116" s="1"/>
  <c r="I38" i="116"/>
  <c r="J38" i="116" s="1"/>
  <c r="I34" i="116"/>
  <c r="J34" i="116" s="1"/>
  <c r="I30" i="116"/>
  <c r="J30" i="116" s="1"/>
  <c r="I26" i="116"/>
  <c r="J26" i="116" s="1"/>
  <c r="I22" i="116"/>
  <c r="J22" i="116" s="1"/>
  <c r="I18" i="116"/>
  <c r="J18" i="116" s="1"/>
  <c r="I14" i="116"/>
  <c r="J14" i="116" s="1"/>
  <c r="I10" i="116"/>
  <c r="J10" i="116" s="1"/>
  <c r="I6" i="116"/>
  <c r="J6" i="116" s="1"/>
  <c r="K435" i="98"/>
  <c r="K371" i="98"/>
  <c r="K479" i="98"/>
  <c r="E2" i="84" a="1"/>
  <c r="E2" i="84" s="1"/>
  <c r="E4" i="112" a="1"/>
  <c r="E4" i="112" s="1"/>
  <c r="K463" i="98"/>
  <c r="K451" i="98"/>
  <c r="K494" i="98"/>
  <c r="M2" i="84"/>
  <c r="L3" i="14"/>
  <c r="M3" i="14"/>
  <c r="E5" i="83" a="1"/>
  <c r="E5" i="83" s="1"/>
  <c r="L4" i="105" a="1"/>
  <c r="L4" i="105" s="1"/>
  <c r="L6" i="105" s="1"/>
  <c r="S5" i="106" a="1"/>
  <c r="S5" i="106" s="1"/>
  <c r="E5" i="106" s="1"/>
  <c r="E4" i="95"/>
  <c r="J4" i="95" s="1"/>
  <c r="Q5" i="93"/>
  <c r="V5" i="93" s="1"/>
  <c r="K394" i="98"/>
  <c r="K399" i="98"/>
  <c r="K395" i="98"/>
  <c r="K455" i="98"/>
  <c r="K415" i="98"/>
  <c r="K467" i="98"/>
  <c r="K403" i="98"/>
  <c r="K375" i="98"/>
  <c r="K498" i="98"/>
  <c r="K486" i="98"/>
  <c r="K482" i="98"/>
  <c r="K478" i="98"/>
  <c r="K474" i="98"/>
  <c r="K470" i="98"/>
  <c r="K466" i="98"/>
  <c r="K454" i="98"/>
  <c r="K450" i="98"/>
  <c r="K446" i="98"/>
  <c r="K442" i="98"/>
  <c r="K438" i="98"/>
  <c r="K434" i="98"/>
  <c r="K422" i="98"/>
  <c r="K418" i="98"/>
  <c r="K414" i="98"/>
  <c r="K410" i="98"/>
  <c r="K406" i="98"/>
  <c r="K402" i="98"/>
  <c r="K390" i="98"/>
  <c r="K386" i="98"/>
  <c r="K382" i="98"/>
  <c r="K378" i="98"/>
  <c r="K374" i="98"/>
  <c r="K370" i="98"/>
  <c r="K354" i="98"/>
  <c r="K350" i="98"/>
  <c r="K346" i="98"/>
  <c r="K342" i="98"/>
  <c r="K338" i="98"/>
  <c r="K439" i="98"/>
  <c r="K339" i="98"/>
  <c r="K501" i="98"/>
  <c r="K497" i="98"/>
  <c r="K493" i="98"/>
  <c r="K489" i="98"/>
  <c r="K485" i="98"/>
  <c r="K481" i="98"/>
  <c r="K477" i="98"/>
  <c r="K473" i="98"/>
  <c r="K469" i="98"/>
  <c r="K465" i="98"/>
  <c r="K461" i="98"/>
  <c r="K457" i="98"/>
  <c r="K453" i="98"/>
  <c r="K449" i="98"/>
  <c r="K445" i="98"/>
  <c r="K441" i="98"/>
  <c r="K437" i="98"/>
  <c r="K433" i="98"/>
  <c r="K429" i="98"/>
  <c r="K425" i="98"/>
  <c r="K421" i="98"/>
  <c r="K417" i="98"/>
  <c r="K413" i="98"/>
  <c r="K409" i="98"/>
  <c r="K405" i="98"/>
  <c r="K401" i="98"/>
  <c r="K397" i="98"/>
  <c r="K393" i="98"/>
  <c r="K389" i="98"/>
  <c r="K385" i="98"/>
  <c r="K381" i="98"/>
  <c r="K377" i="98"/>
  <c r="K373" i="98"/>
  <c r="K369" i="98"/>
  <c r="K365" i="98"/>
  <c r="K361" i="98"/>
  <c r="K357" i="98"/>
  <c r="K353" i="98"/>
  <c r="K349" i="98"/>
  <c r="K345" i="98"/>
  <c r="K341" i="98"/>
  <c r="K337" i="98"/>
  <c r="K333" i="98"/>
  <c r="K471" i="98"/>
  <c r="K407" i="98"/>
  <c r="K343" i="98"/>
  <c r="K475" i="98"/>
  <c r="K411" i="98"/>
  <c r="K379" i="98"/>
  <c r="K347" i="98"/>
  <c r="K500" i="98"/>
  <c r="K496" i="98"/>
  <c r="K492" i="98"/>
  <c r="K488" i="98"/>
  <c r="K484" i="98"/>
  <c r="K480" i="98"/>
  <c r="K476" i="98"/>
  <c r="K472" i="98"/>
  <c r="K468" i="98"/>
  <c r="K464" i="98"/>
  <c r="K460" i="98"/>
  <c r="K456" i="98"/>
  <c r="K452" i="98"/>
  <c r="K448" i="98"/>
  <c r="K444" i="98"/>
  <c r="K440" i="98"/>
  <c r="K436" i="98"/>
  <c r="K432" i="98"/>
  <c r="K428" i="98"/>
  <c r="K424" i="98"/>
  <c r="K420" i="98"/>
  <c r="K416" i="98"/>
  <c r="K412" i="98"/>
  <c r="K408" i="98"/>
  <c r="K404" i="98"/>
  <c r="K400" i="98"/>
  <c r="K396" i="98"/>
  <c r="K392" i="98"/>
  <c r="K388" i="98"/>
  <c r="K384" i="98"/>
  <c r="K380" i="98"/>
  <c r="K376" i="98"/>
  <c r="K372" i="98"/>
  <c r="K368" i="98"/>
  <c r="K364" i="98"/>
  <c r="K360" i="98"/>
  <c r="K356" i="98"/>
  <c r="K352" i="98"/>
  <c r="K348" i="98"/>
  <c r="K344" i="98"/>
  <c r="K340" i="98"/>
  <c r="K336" i="98"/>
  <c r="K332" i="98"/>
  <c r="K328" i="98"/>
  <c r="K335" i="98"/>
  <c r="K331" i="98"/>
  <c r="K327" i="98"/>
  <c r="K323" i="98"/>
  <c r="K319" i="98"/>
  <c r="K315" i="98"/>
  <c r="K311" i="98"/>
  <c r="K307" i="98"/>
  <c r="K303" i="98"/>
  <c r="K299" i="98"/>
  <c r="K295" i="98"/>
  <c r="K291" i="98"/>
  <c r="K287" i="98"/>
  <c r="K283" i="98"/>
  <c r="K279" i="98"/>
  <c r="K275" i="98"/>
  <c r="K271" i="98"/>
  <c r="K267" i="98"/>
  <c r="K263" i="98"/>
  <c r="K259" i="98"/>
  <c r="K255" i="98"/>
  <c r="K251" i="98"/>
  <c r="K247" i="98"/>
  <c r="K243" i="98"/>
  <c r="K239" i="98"/>
  <c r="K235" i="98"/>
  <c r="K231" i="98"/>
  <c r="K227" i="98"/>
  <c r="K223" i="98"/>
  <c r="K219" i="98"/>
  <c r="K215" i="98"/>
  <c r="K211" i="98"/>
  <c r="K207" i="98"/>
  <c r="K203" i="98"/>
  <c r="K199" i="98"/>
  <c r="K195" i="98"/>
  <c r="K191" i="98"/>
  <c r="K187" i="98"/>
  <c r="K183" i="98"/>
  <c r="K179" i="98"/>
  <c r="K175" i="98"/>
  <c r="K171" i="98"/>
  <c r="K167" i="98"/>
  <c r="K163" i="98"/>
  <c r="K159" i="98"/>
  <c r="K155" i="98"/>
  <c r="K151" i="98"/>
  <c r="K147" i="98"/>
  <c r="K143" i="98"/>
  <c r="K139" i="98"/>
  <c r="K135" i="98"/>
  <c r="K131" i="98"/>
  <c r="K127" i="98"/>
  <c r="K123" i="98"/>
  <c r="K119" i="98"/>
  <c r="K115" i="98"/>
  <c r="K111" i="98"/>
  <c r="K107" i="98"/>
  <c r="K103" i="98"/>
  <c r="K99" i="98"/>
  <c r="K95" i="98"/>
  <c r="K91" i="98"/>
  <c r="K87" i="98"/>
  <c r="K83" i="98"/>
  <c r="K79" i="98"/>
  <c r="K75" i="98"/>
  <c r="K71" i="98"/>
  <c r="K67" i="98"/>
  <c r="K63" i="98"/>
  <c r="K59" i="98"/>
  <c r="K55" i="98"/>
  <c r="K51" i="98"/>
  <c r="K47" i="98"/>
  <c r="K43" i="98"/>
  <c r="K39" i="98"/>
  <c r="K35" i="98"/>
  <c r="K31" i="98"/>
  <c r="K27" i="98"/>
  <c r="K23" i="98"/>
  <c r="K19" i="98"/>
  <c r="K15" i="98"/>
  <c r="K11" i="98"/>
  <c r="K7" i="98"/>
  <c r="K3" i="98"/>
  <c r="K334" i="98"/>
  <c r="K330" i="98"/>
  <c r="K326" i="98"/>
  <c r="K322" i="98"/>
  <c r="K318" i="98"/>
  <c r="K314" i="98"/>
  <c r="K310" i="98"/>
  <c r="K306" i="98"/>
  <c r="K302" i="98"/>
  <c r="K298" i="98"/>
  <c r="K294" i="98"/>
  <c r="K290" i="98"/>
  <c r="K286" i="98"/>
  <c r="K282" i="98"/>
  <c r="K278" i="98"/>
  <c r="K274" i="98"/>
  <c r="K270" i="98"/>
  <c r="K266" i="98"/>
  <c r="K262" i="98"/>
  <c r="K258" i="98"/>
  <c r="K254" i="98"/>
  <c r="K250" i="98"/>
  <c r="K246" i="98"/>
  <c r="K242" i="98"/>
  <c r="K238" i="98"/>
  <c r="K234" i="98"/>
  <c r="K230" i="98"/>
  <c r="K226" i="98"/>
  <c r="K222" i="98"/>
  <c r="K218" i="98"/>
  <c r="K214" i="98"/>
  <c r="K210" i="98"/>
  <c r="K206" i="98"/>
  <c r="K202" i="98"/>
  <c r="K198" i="98"/>
  <c r="K194" i="98"/>
  <c r="K190" i="98"/>
  <c r="K186" i="98"/>
  <c r="K182" i="98"/>
  <c r="K178" i="98"/>
  <c r="K174" i="98"/>
  <c r="K170" i="98"/>
  <c r="K166" i="98"/>
  <c r="K162" i="98"/>
  <c r="K158" i="98"/>
  <c r="K154" i="98"/>
  <c r="K150" i="98"/>
  <c r="K146" i="98"/>
  <c r="K142" i="98"/>
  <c r="K138" i="98"/>
  <c r="K134" i="98"/>
  <c r="K130" i="98"/>
  <c r="K126" i="98"/>
  <c r="K122" i="98"/>
  <c r="K118" i="98"/>
  <c r="K114" i="98"/>
  <c r="K110" i="98"/>
  <c r="K106" i="98"/>
  <c r="K102" i="98"/>
  <c r="K98" i="98"/>
  <c r="K94" i="98"/>
  <c r="K90" i="98"/>
  <c r="K86" i="98"/>
  <c r="K82" i="98"/>
  <c r="K78" i="98"/>
  <c r="K74" i="98"/>
  <c r="K70" i="98"/>
  <c r="K66" i="98"/>
  <c r="K62" i="98"/>
  <c r="K58" i="98"/>
  <c r="K54" i="98"/>
  <c r="K50" i="98"/>
  <c r="K46" i="98"/>
  <c r="K42" i="98"/>
  <c r="K38" i="98"/>
  <c r="K34" i="98"/>
  <c r="K30" i="98"/>
  <c r="K26" i="98"/>
  <c r="K22" i="98"/>
  <c r="K18" i="98"/>
  <c r="K14" i="98"/>
  <c r="K10" i="98"/>
  <c r="K6" i="98"/>
  <c r="K2" i="98"/>
  <c r="K329" i="98"/>
  <c r="K325" i="98"/>
  <c r="K321" i="98"/>
  <c r="K317" i="98"/>
  <c r="K313" i="98"/>
  <c r="K309" i="98"/>
  <c r="K305" i="98"/>
  <c r="K301" i="98"/>
  <c r="K297" i="98"/>
  <c r="K293" i="98"/>
  <c r="K289" i="98"/>
  <c r="K285" i="98"/>
  <c r="K281" i="98"/>
  <c r="K277" i="98"/>
  <c r="K273" i="98"/>
  <c r="K269" i="98"/>
  <c r="K265" i="98"/>
  <c r="K261" i="98"/>
  <c r="K257" i="98"/>
  <c r="K253" i="98"/>
  <c r="K249" i="98"/>
  <c r="K245" i="98"/>
  <c r="K241" i="98"/>
  <c r="K237" i="98"/>
  <c r="K233" i="98"/>
  <c r="K229" i="98"/>
  <c r="K225" i="98"/>
  <c r="K221" i="98"/>
  <c r="K217" i="98"/>
  <c r="K213" i="98"/>
  <c r="K209" i="98"/>
  <c r="K205" i="98"/>
  <c r="K201" i="98"/>
  <c r="K197" i="98"/>
  <c r="K193" i="98"/>
  <c r="K189" i="98"/>
  <c r="K185" i="98"/>
  <c r="K181" i="98"/>
  <c r="K177" i="98"/>
  <c r="K173" i="98"/>
  <c r="K169" i="98"/>
  <c r="K165" i="98"/>
  <c r="K161" i="98"/>
  <c r="K157" i="98"/>
  <c r="K153" i="98"/>
  <c r="K149" i="98"/>
  <c r="K145" i="98"/>
  <c r="K141" i="98"/>
  <c r="K137" i="98"/>
  <c r="K133" i="98"/>
  <c r="K129" i="98"/>
  <c r="K125" i="98"/>
  <c r="K121" i="98"/>
  <c r="K117" i="98"/>
  <c r="K113" i="98"/>
  <c r="K109" i="98"/>
  <c r="K105" i="98"/>
  <c r="K101" i="98"/>
  <c r="K97" i="98"/>
  <c r="K93" i="98"/>
  <c r="K89" i="98"/>
  <c r="K85" i="98"/>
  <c r="K81" i="98"/>
  <c r="K77" i="98"/>
  <c r="K73" i="98"/>
  <c r="K69" i="98"/>
  <c r="K65" i="98"/>
  <c r="K61" i="98"/>
  <c r="K57" i="98"/>
  <c r="K53" i="98"/>
  <c r="K49" i="98"/>
  <c r="K45" i="98"/>
  <c r="K41" i="98"/>
  <c r="K37" i="98"/>
  <c r="K33" i="98"/>
  <c r="K29" i="98"/>
  <c r="K25" i="98"/>
  <c r="K21" i="98"/>
  <c r="K17" i="98"/>
  <c r="K13" i="98"/>
  <c r="K9" i="98"/>
  <c r="K5" i="98"/>
  <c r="K324" i="98"/>
  <c r="K320" i="98"/>
  <c r="K316" i="98"/>
  <c r="K312" i="98"/>
  <c r="K308" i="98"/>
  <c r="K304" i="98"/>
  <c r="K300" i="98"/>
  <c r="K296" i="98"/>
  <c r="K292" i="98"/>
  <c r="K288" i="98"/>
  <c r="K284" i="98"/>
  <c r="K280" i="98"/>
  <c r="K276" i="98"/>
  <c r="K272" i="98"/>
  <c r="K268" i="98"/>
  <c r="K264" i="98"/>
  <c r="K260" i="98"/>
  <c r="K256" i="98"/>
  <c r="K252" i="98"/>
  <c r="K248" i="98"/>
  <c r="K244" i="98"/>
  <c r="K240" i="98"/>
  <c r="K236" i="98"/>
  <c r="K232" i="98"/>
  <c r="K228" i="98"/>
  <c r="K224" i="98"/>
  <c r="K220" i="98"/>
  <c r="K216" i="98"/>
  <c r="K212" i="98"/>
  <c r="K208" i="98"/>
  <c r="K204" i="98"/>
  <c r="K200" i="98"/>
  <c r="K196" i="98"/>
  <c r="K192" i="98"/>
  <c r="K188" i="98"/>
  <c r="K184" i="98"/>
  <c r="K180" i="98"/>
  <c r="K176" i="98"/>
  <c r="K172" i="98"/>
  <c r="K168" i="98"/>
  <c r="K164" i="98"/>
  <c r="K160" i="98"/>
  <c r="K156" i="98"/>
  <c r="K152" i="98"/>
  <c r="K148" i="98"/>
  <c r="K144" i="98"/>
  <c r="K140" i="98"/>
  <c r="K136" i="98"/>
  <c r="K132" i="98"/>
  <c r="K128" i="98"/>
  <c r="K124" i="98"/>
  <c r="K120" i="98"/>
  <c r="K116" i="98"/>
  <c r="K112" i="98"/>
  <c r="K108" i="98"/>
  <c r="K104" i="98"/>
  <c r="K100" i="98"/>
  <c r="K96" i="98"/>
  <c r="K92" i="98"/>
  <c r="K88" i="98"/>
  <c r="K84" i="98"/>
  <c r="K80" i="98"/>
  <c r="K76" i="98"/>
  <c r="K72" i="98"/>
  <c r="K68" i="98"/>
  <c r="K64" i="98"/>
  <c r="K60" i="98"/>
  <c r="K56" i="98"/>
  <c r="K52" i="98"/>
  <c r="K48" i="98"/>
  <c r="K44" i="98"/>
  <c r="K40" i="98"/>
  <c r="K36" i="98"/>
  <c r="K32" i="98"/>
  <c r="K28" i="98"/>
  <c r="K24" i="98"/>
  <c r="K20" i="98"/>
  <c r="K16" i="98"/>
  <c r="K12" i="98"/>
  <c r="K8" i="98"/>
  <c r="K4" i="98"/>
  <c r="J2" i="61"/>
  <c r="J419" i="61"/>
  <c r="J415" i="61"/>
  <c r="J411" i="61"/>
  <c r="J407" i="61"/>
  <c r="J403" i="61"/>
  <c r="J399" i="61"/>
  <c r="J395" i="61"/>
  <c r="J391" i="61"/>
  <c r="J387" i="61"/>
  <c r="J383" i="61"/>
  <c r="J379" i="61"/>
  <c r="J375" i="61"/>
  <c r="J371" i="61"/>
  <c r="J367" i="61"/>
  <c r="J421" i="61"/>
  <c r="J417" i="61"/>
  <c r="J413" i="61"/>
  <c r="J409" i="61"/>
  <c r="J405" i="61"/>
  <c r="J401" i="61"/>
  <c r="J397" i="61"/>
  <c r="J393" i="61"/>
  <c r="J389" i="61"/>
  <c r="J385" i="61"/>
  <c r="J381" i="61"/>
  <c r="J377" i="61"/>
  <c r="J373" i="61"/>
  <c r="J369" i="61"/>
  <c r="J365" i="61"/>
  <c r="J317" i="61"/>
  <c r="J500" i="61"/>
  <c r="J496" i="61"/>
  <c r="J499" i="61"/>
  <c r="J498" i="61"/>
  <c r="J501" i="61"/>
  <c r="J497" i="61"/>
  <c r="K3" i="14"/>
  <c r="M5" i="83"/>
  <c r="K4" i="14"/>
  <c r="E498" i="69"/>
  <c r="E494" i="69"/>
  <c r="E490" i="69"/>
  <c r="E486" i="69"/>
  <c r="E482" i="69"/>
  <c r="E478" i="69"/>
  <c r="E474" i="69"/>
  <c r="E470" i="69"/>
  <c r="E466" i="69"/>
  <c r="E462" i="69"/>
  <c r="E458" i="69"/>
  <c r="E454" i="69"/>
  <c r="E450" i="69"/>
  <c r="E446" i="69"/>
  <c r="E442" i="69"/>
  <c r="E438" i="69"/>
  <c r="E434" i="69"/>
  <c r="E430" i="69"/>
  <c r="E426" i="69"/>
  <c r="E422" i="69"/>
  <c r="E418" i="69"/>
  <c r="E414" i="69"/>
  <c r="E410" i="69"/>
  <c r="E406" i="69"/>
  <c r="E402" i="69"/>
  <c r="E398" i="69"/>
  <c r="E394" i="69"/>
  <c r="E390" i="69"/>
  <c r="E386" i="69"/>
  <c r="E382" i="69"/>
  <c r="E378" i="69"/>
  <c r="E374" i="69"/>
  <c r="E370" i="69"/>
  <c r="E366" i="69"/>
  <c r="E362" i="69"/>
  <c r="E358" i="69"/>
  <c r="E354" i="69"/>
  <c r="E350" i="69"/>
  <c r="E346" i="69"/>
  <c r="E342" i="69"/>
  <c r="E337" i="69"/>
  <c r="E325" i="69"/>
  <c r="E309" i="69"/>
  <c r="E293" i="69"/>
  <c r="E2" i="69"/>
  <c r="E6" i="69"/>
  <c r="E10" i="69"/>
  <c r="E14" i="69"/>
  <c r="E18" i="69"/>
  <c r="E22" i="69"/>
  <c r="E26" i="69"/>
  <c r="E30" i="69"/>
  <c r="E34" i="69"/>
  <c r="E38" i="69"/>
  <c r="E42" i="69"/>
  <c r="E46" i="69"/>
  <c r="E50" i="69"/>
  <c r="E54" i="69"/>
  <c r="E58" i="69"/>
  <c r="E62" i="69"/>
  <c r="E66" i="69"/>
  <c r="E70" i="69"/>
  <c r="E74" i="69"/>
  <c r="E78" i="69"/>
  <c r="E82" i="69"/>
  <c r="E86" i="69"/>
  <c r="E90" i="69"/>
  <c r="E94" i="69"/>
  <c r="E98" i="69"/>
  <c r="E102" i="69"/>
  <c r="E106" i="69"/>
  <c r="E110" i="69"/>
  <c r="E114" i="69"/>
  <c r="E118" i="69"/>
  <c r="E122" i="69"/>
  <c r="E126" i="69"/>
  <c r="E130" i="69"/>
  <c r="E134" i="69"/>
  <c r="E138" i="69"/>
  <c r="E142" i="69"/>
  <c r="E146" i="69"/>
  <c r="E150" i="69"/>
  <c r="E154" i="69"/>
  <c r="E158" i="69"/>
  <c r="E162" i="69"/>
  <c r="E166" i="69"/>
  <c r="E170" i="69"/>
  <c r="E174" i="69"/>
  <c r="E178" i="69"/>
  <c r="E182" i="69"/>
  <c r="E186" i="69"/>
  <c r="E190" i="69"/>
  <c r="E194" i="69"/>
  <c r="E198" i="69"/>
  <c r="E202" i="69"/>
  <c r="E206" i="69"/>
  <c r="E210" i="69"/>
  <c r="E214" i="69"/>
  <c r="E218" i="69"/>
  <c r="E222" i="69"/>
  <c r="E226" i="69"/>
  <c r="E230" i="69"/>
  <c r="E234" i="69"/>
  <c r="E238" i="69"/>
  <c r="E242" i="69"/>
  <c r="E246" i="69"/>
  <c r="E250" i="69"/>
  <c r="E254" i="69"/>
  <c r="E258" i="69"/>
  <c r="E262" i="69"/>
  <c r="E266" i="69"/>
  <c r="E270" i="69"/>
  <c r="E274" i="69"/>
  <c r="E278" i="69"/>
  <c r="E282" i="69"/>
  <c r="E286" i="69"/>
  <c r="E290" i="69"/>
  <c r="E294" i="69"/>
  <c r="E298" i="69"/>
  <c r="E302" i="69"/>
  <c r="E306" i="69"/>
  <c r="E310" i="69"/>
  <c r="E314" i="69"/>
  <c r="E318" i="69"/>
  <c r="E322" i="69"/>
  <c r="E326" i="69"/>
  <c r="E330" i="69"/>
  <c r="E334" i="69"/>
  <c r="E3" i="69"/>
  <c r="E7" i="69"/>
  <c r="E11" i="69"/>
  <c r="E15" i="69"/>
  <c r="E19" i="69"/>
  <c r="E23" i="69"/>
  <c r="E27" i="69"/>
  <c r="E31" i="69"/>
  <c r="E35" i="69"/>
  <c r="E39" i="69"/>
  <c r="E43" i="69"/>
  <c r="E47" i="69"/>
  <c r="E51" i="69"/>
  <c r="E55" i="69"/>
  <c r="E59" i="69"/>
  <c r="E63" i="69"/>
  <c r="E67" i="69"/>
  <c r="E71" i="69"/>
  <c r="E75" i="69"/>
  <c r="E79" i="69"/>
  <c r="E83" i="69"/>
  <c r="E87" i="69"/>
  <c r="E91" i="69"/>
  <c r="E95" i="69"/>
  <c r="E99" i="69"/>
  <c r="E103" i="69"/>
  <c r="E107" i="69"/>
  <c r="E111" i="69"/>
  <c r="E115" i="69"/>
  <c r="E119" i="69"/>
  <c r="E123" i="69"/>
  <c r="E127" i="69"/>
  <c r="E131" i="69"/>
  <c r="E135" i="69"/>
  <c r="E139" i="69"/>
  <c r="E143" i="69"/>
  <c r="E147" i="69"/>
  <c r="E151" i="69"/>
  <c r="E155" i="69"/>
  <c r="E159" i="69"/>
  <c r="E163" i="69"/>
  <c r="E167" i="69"/>
  <c r="E171" i="69"/>
  <c r="E175" i="69"/>
  <c r="E179" i="69"/>
  <c r="E183" i="69"/>
  <c r="E187" i="69"/>
  <c r="E191" i="69"/>
  <c r="E195" i="69"/>
  <c r="E199" i="69"/>
  <c r="E203" i="69"/>
  <c r="E207" i="69"/>
  <c r="E211" i="69"/>
  <c r="E215" i="69"/>
  <c r="E219" i="69"/>
  <c r="E223" i="69"/>
  <c r="E227" i="69"/>
  <c r="E231" i="69"/>
  <c r="E235" i="69"/>
  <c r="E239" i="69"/>
  <c r="E243" i="69"/>
  <c r="E247" i="69"/>
  <c r="E251" i="69"/>
  <c r="E255" i="69"/>
  <c r="E259" i="69"/>
  <c r="E263" i="69"/>
  <c r="E267" i="69"/>
  <c r="E271" i="69"/>
  <c r="E275" i="69"/>
  <c r="E279" i="69"/>
  <c r="E283" i="69"/>
  <c r="E287" i="69"/>
  <c r="E291" i="69"/>
  <c r="E295" i="69"/>
  <c r="E299" i="69"/>
  <c r="E303" i="69"/>
  <c r="E307" i="69"/>
  <c r="E311" i="69"/>
  <c r="E315" i="69"/>
  <c r="E319" i="69"/>
  <c r="E323" i="69"/>
  <c r="E327" i="69"/>
  <c r="E331" i="69"/>
  <c r="E335" i="69"/>
  <c r="E339" i="69"/>
  <c r="E4" i="69"/>
  <c r="E8" i="69"/>
  <c r="E12" i="69"/>
  <c r="E16" i="69"/>
  <c r="E20" i="69"/>
  <c r="E24" i="69"/>
  <c r="E28" i="69"/>
  <c r="E32" i="69"/>
  <c r="E36" i="69"/>
  <c r="E40" i="69"/>
  <c r="E44" i="69"/>
  <c r="E48" i="69"/>
  <c r="E52" i="69"/>
  <c r="E56" i="69"/>
  <c r="E60" i="69"/>
  <c r="E64" i="69"/>
  <c r="E68" i="69"/>
  <c r="E72" i="69"/>
  <c r="E76" i="69"/>
  <c r="E80" i="69"/>
  <c r="E84" i="69"/>
  <c r="E88" i="69"/>
  <c r="E92" i="69"/>
  <c r="E96" i="69"/>
  <c r="E100" i="69"/>
  <c r="E104" i="69"/>
  <c r="E108" i="69"/>
  <c r="E112" i="69"/>
  <c r="E116" i="69"/>
  <c r="E120" i="69"/>
  <c r="E124" i="69"/>
  <c r="E128" i="69"/>
  <c r="E132" i="69"/>
  <c r="E136" i="69"/>
  <c r="E140" i="69"/>
  <c r="E144" i="69"/>
  <c r="E148" i="69"/>
  <c r="E152" i="69"/>
  <c r="E156" i="69"/>
  <c r="E160" i="69"/>
  <c r="E164" i="69"/>
  <c r="E168" i="69"/>
  <c r="E172" i="69"/>
  <c r="E176" i="69"/>
  <c r="E180" i="69"/>
  <c r="E184" i="69"/>
  <c r="E188" i="69"/>
  <c r="E192" i="69"/>
  <c r="E196" i="69"/>
  <c r="E200" i="69"/>
  <c r="E204" i="69"/>
  <c r="E208" i="69"/>
  <c r="E212" i="69"/>
  <c r="E216" i="69"/>
  <c r="E220" i="69"/>
  <c r="E224" i="69"/>
  <c r="E228" i="69"/>
  <c r="E232" i="69"/>
  <c r="E236" i="69"/>
  <c r="E240" i="69"/>
  <c r="E244" i="69"/>
  <c r="E248" i="69"/>
  <c r="E252" i="69"/>
  <c r="E256" i="69"/>
  <c r="E260" i="69"/>
  <c r="E264" i="69"/>
  <c r="E268" i="69"/>
  <c r="E272" i="69"/>
  <c r="E276" i="69"/>
  <c r="E280" i="69"/>
  <c r="E284" i="69"/>
  <c r="E288" i="69"/>
  <c r="E292" i="69"/>
  <c r="E296" i="69"/>
  <c r="E300" i="69"/>
  <c r="E304" i="69"/>
  <c r="E308" i="69"/>
  <c r="E312" i="69"/>
  <c r="E316" i="69"/>
  <c r="E320" i="69"/>
  <c r="E324" i="69"/>
  <c r="E328" i="69"/>
  <c r="E332" i="69"/>
  <c r="E5" i="69"/>
  <c r="E9" i="69"/>
  <c r="E13" i="69"/>
  <c r="E17" i="69"/>
  <c r="E21" i="69"/>
  <c r="E25" i="69"/>
  <c r="E29" i="69"/>
  <c r="E33" i="69"/>
  <c r="E37" i="69"/>
  <c r="E41" i="69"/>
  <c r="E45" i="69"/>
  <c r="E49" i="69"/>
  <c r="E53" i="69"/>
  <c r="E57" i="69"/>
  <c r="E61" i="69"/>
  <c r="E65" i="69"/>
  <c r="E69" i="69"/>
  <c r="E73" i="69"/>
  <c r="E77" i="69"/>
  <c r="E81" i="69"/>
  <c r="E85" i="69"/>
  <c r="E89" i="69"/>
  <c r="E93" i="69"/>
  <c r="E97" i="69"/>
  <c r="E101" i="69"/>
  <c r="E105" i="69"/>
  <c r="E109" i="69"/>
  <c r="E113" i="69"/>
  <c r="E117" i="69"/>
  <c r="E121" i="69"/>
  <c r="E125" i="69"/>
  <c r="E129" i="69"/>
  <c r="E133" i="69"/>
  <c r="E137" i="69"/>
  <c r="E141" i="69"/>
  <c r="E145" i="69"/>
  <c r="E149" i="69"/>
  <c r="E153" i="69"/>
  <c r="E157" i="69"/>
  <c r="E161" i="69"/>
  <c r="E165" i="69"/>
  <c r="E169" i="69"/>
  <c r="E173" i="69"/>
  <c r="E177" i="69"/>
  <c r="E181" i="69"/>
  <c r="E185" i="69"/>
  <c r="E189" i="69"/>
  <c r="E193" i="69"/>
  <c r="E197" i="69"/>
  <c r="E201" i="69"/>
  <c r="E205" i="69"/>
  <c r="E209" i="69"/>
  <c r="E213" i="69"/>
  <c r="E217" i="69"/>
  <c r="E221" i="69"/>
  <c r="E225" i="69"/>
  <c r="E229" i="69"/>
  <c r="E233" i="69"/>
  <c r="E237" i="69"/>
  <c r="E241" i="69"/>
  <c r="E245" i="69"/>
  <c r="E249" i="69"/>
  <c r="E253" i="69"/>
  <c r="E257" i="69"/>
  <c r="E261" i="69"/>
  <c r="E501" i="69"/>
  <c r="E497" i="69"/>
  <c r="E493" i="69"/>
  <c r="E489" i="69"/>
  <c r="E485" i="69"/>
  <c r="E481" i="69"/>
  <c r="E477" i="69"/>
  <c r="E473" i="69"/>
  <c r="E469" i="69"/>
  <c r="E465" i="69"/>
  <c r="E461" i="69"/>
  <c r="E457" i="69"/>
  <c r="E453" i="69"/>
  <c r="E449" i="69"/>
  <c r="E445" i="69"/>
  <c r="E441" i="69"/>
  <c r="E437" i="69"/>
  <c r="E433" i="69"/>
  <c r="E429" i="69"/>
  <c r="E425" i="69"/>
  <c r="E421" i="69"/>
  <c r="E417" i="69"/>
  <c r="E413" i="69"/>
  <c r="E409" i="69"/>
  <c r="E405" i="69"/>
  <c r="E401" i="69"/>
  <c r="E397" i="69"/>
  <c r="E393" i="69"/>
  <c r="E389" i="69"/>
  <c r="E385" i="69"/>
  <c r="E381" i="69"/>
  <c r="E377" i="69"/>
  <c r="E373" i="69"/>
  <c r="E369" i="69"/>
  <c r="E365" i="69"/>
  <c r="E361" i="69"/>
  <c r="E357" i="69"/>
  <c r="E353" i="69"/>
  <c r="E349" i="69"/>
  <c r="E345" i="69"/>
  <c r="E341" i="69"/>
  <c r="E336" i="69"/>
  <c r="E321" i="69"/>
  <c r="E305" i="69"/>
  <c r="E289" i="69"/>
  <c r="E273" i="69"/>
  <c r="E500" i="69"/>
  <c r="E496" i="69"/>
  <c r="E492" i="69"/>
  <c r="E488" i="69"/>
  <c r="E484" i="69"/>
  <c r="E480" i="69"/>
  <c r="E476" i="69"/>
  <c r="E472" i="69"/>
  <c r="E468" i="69"/>
  <c r="E464" i="69"/>
  <c r="E460" i="69"/>
  <c r="E456" i="69"/>
  <c r="E452" i="69"/>
  <c r="E448" i="69"/>
  <c r="E444" i="69"/>
  <c r="E440" i="69"/>
  <c r="E436" i="69"/>
  <c r="E432" i="69"/>
  <c r="E428" i="69"/>
  <c r="E424" i="69"/>
  <c r="E420" i="69"/>
  <c r="E416" i="69"/>
  <c r="E412" i="69"/>
  <c r="E408" i="69"/>
  <c r="E404" i="69"/>
  <c r="E400" i="69"/>
  <c r="E396" i="69"/>
  <c r="E392" i="69"/>
  <c r="E388" i="69"/>
  <c r="E384" i="69"/>
  <c r="E380" i="69"/>
  <c r="E376" i="69"/>
  <c r="E372" i="69"/>
  <c r="E368" i="69"/>
  <c r="E364" i="69"/>
  <c r="E360" i="69"/>
  <c r="E356" i="69"/>
  <c r="E352" i="69"/>
  <c r="E348" i="69"/>
  <c r="E344" i="69"/>
  <c r="E340" i="69"/>
  <c r="E333" i="69"/>
  <c r="E317" i="69"/>
  <c r="E301" i="69"/>
  <c r="E285" i="69"/>
  <c r="E269" i="69"/>
  <c r="E499" i="69"/>
  <c r="E495" i="69"/>
  <c r="E491" i="69"/>
  <c r="E487" i="69"/>
  <c r="E483" i="69"/>
  <c r="E479" i="69"/>
  <c r="E475" i="69"/>
  <c r="E471" i="69"/>
  <c r="E467" i="69"/>
  <c r="E463" i="69"/>
  <c r="E459" i="69"/>
  <c r="E455" i="69"/>
  <c r="E451" i="69"/>
  <c r="E447" i="69"/>
  <c r="E443" i="69"/>
  <c r="E439" i="69"/>
  <c r="E435" i="69"/>
  <c r="E431" i="69"/>
  <c r="E427" i="69"/>
  <c r="E423" i="69"/>
  <c r="E419" i="69"/>
  <c r="E415" i="69"/>
  <c r="E411" i="69"/>
  <c r="E407" i="69"/>
  <c r="E403" i="69"/>
  <c r="E399" i="69"/>
  <c r="E395" i="69"/>
  <c r="E391" i="69"/>
  <c r="E387" i="69"/>
  <c r="E383" i="69"/>
  <c r="E379" i="69"/>
  <c r="E375" i="69"/>
  <c r="E371" i="69"/>
  <c r="E367" i="69"/>
  <c r="E363" i="69"/>
  <c r="E359" i="69"/>
  <c r="E355" i="69"/>
  <c r="E351" i="69"/>
  <c r="E347" i="69"/>
  <c r="E343" i="69"/>
  <c r="E338" i="69"/>
  <c r="E329" i="69"/>
  <c r="E313" i="69"/>
  <c r="E297" i="69"/>
  <c r="E281" i="69"/>
  <c r="E265" i="69"/>
  <c r="N2" i="65"/>
  <c r="N5" i="66"/>
  <c r="Q7" i="98" l="1"/>
  <c r="Q9" i="98"/>
  <c r="Q8" i="98"/>
  <c r="Q6" i="98"/>
  <c r="Q5" i="98"/>
  <c r="J2" i="65"/>
  <c r="J5" i="66"/>
  <c r="D493" i="61"/>
  <c r="D489" i="61"/>
  <c r="D463" i="61"/>
  <c r="D421" i="61"/>
  <c r="D414" i="61"/>
  <c r="D409" i="61"/>
  <c r="D408" i="61"/>
  <c r="D378" i="61"/>
  <c r="D346" i="61"/>
  <c r="D341" i="61"/>
  <c r="D339" i="61"/>
  <c r="D326" i="61"/>
  <c r="D319" i="61"/>
  <c r="D265" i="61"/>
  <c r="D173" i="61"/>
  <c r="D160" i="61"/>
  <c r="D147" i="61"/>
  <c r="D122" i="61"/>
  <c r="D117" i="61"/>
  <c r="D103" i="61"/>
  <c r="D88" i="61"/>
  <c r="D77" i="61"/>
  <c r="D49" i="61"/>
  <c r="D45" i="61"/>
  <c r="D195" i="60"/>
  <c r="D196" i="60"/>
  <c r="D197" i="60"/>
  <c r="D198" i="60"/>
  <c r="D199" i="60"/>
  <c r="D200" i="60"/>
  <c r="D201" i="60"/>
  <c r="D202" i="60"/>
  <c r="D203" i="60"/>
  <c r="D204" i="60"/>
  <c r="D205" i="60"/>
  <c r="D206" i="60"/>
  <c r="D207" i="60"/>
  <c r="D208" i="60"/>
  <c r="D209" i="60"/>
  <c r="D210" i="60"/>
  <c r="D211" i="60"/>
  <c r="D212" i="60"/>
  <c r="D213" i="60"/>
  <c r="D214" i="60"/>
  <c r="D215" i="60"/>
  <c r="D216" i="60"/>
  <c r="D217" i="60"/>
  <c r="D218" i="60"/>
  <c r="D219" i="60"/>
  <c r="D220" i="60"/>
  <c r="D221" i="60"/>
  <c r="D222" i="60"/>
  <c r="D223" i="60"/>
  <c r="D224" i="60"/>
  <c r="D225" i="60"/>
  <c r="D226" i="60"/>
  <c r="D227" i="60"/>
  <c r="D228" i="60"/>
  <c r="D229" i="60"/>
  <c r="D230" i="60"/>
  <c r="D231" i="60"/>
  <c r="D232" i="60"/>
  <c r="D233" i="60"/>
  <c r="D234" i="60"/>
  <c r="D235" i="60"/>
  <c r="D236" i="60"/>
  <c r="D237" i="60"/>
  <c r="D238" i="60"/>
  <c r="D239" i="60"/>
  <c r="D240" i="60"/>
  <c r="D241" i="60"/>
  <c r="D242" i="60"/>
  <c r="D243" i="60"/>
  <c r="D244" i="60"/>
  <c r="D245" i="60"/>
  <c r="D246" i="60"/>
  <c r="D247" i="60"/>
  <c r="D248" i="60"/>
  <c r="D249" i="60"/>
  <c r="D250" i="60"/>
  <c r="D251" i="60"/>
  <c r="D252" i="60"/>
  <c r="D253" i="60"/>
  <c r="D254" i="60"/>
  <c r="D255" i="60"/>
  <c r="D256" i="60"/>
  <c r="D257" i="60"/>
  <c r="D258" i="60"/>
  <c r="D259" i="60"/>
  <c r="D260" i="60"/>
  <c r="D261" i="60"/>
  <c r="D262" i="60"/>
  <c r="D263" i="60"/>
  <c r="D264" i="60"/>
  <c r="D265" i="60"/>
  <c r="D266" i="60"/>
  <c r="D267" i="60"/>
  <c r="D268" i="60"/>
  <c r="D269" i="60"/>
  <c r="D270" i="60"/>
  <c r="D271" i="60"/>
  <c r="D272" i="60"/>
  <c r="D273" i="60"/>
  <c r="D274" i="60"/>
  <c r="D275" i="60"/>
  <c r="D276" i="60"/>
  <c r="D277" i="60"/>
  <c r="D278" i="60"/>
  <c r="D279" i="60"/>
  <c r="D280" i="60"/>
  <c r="D281" i="60"/>
  <c r="D282" i="60"/>
  <c r="D283" i="60"/>
  <c r="D284" i="60"/>
  <c r="D285" i="60"/>
  <c r="D286" i="60"/>
  <c r="D287" i="60"/>
  <c r="D288" i="60"/>
  <c r="D289" i="60"/>
  <c r="D290" i="60"/>
  <c r="D291" i="60"/>
  <c r="D292" i="60"/>
  <c r="D293" i="60"/>
  <c r="D294" i="60"/>
  <c r="D295" i="60"/>
  <c r="D296" i="60"/>
  <c r="D297" i="60"/>
  <c r="D298" i="60"/>
  <c r="D299" i="60"/>
  <c r="D300" i="60"/>
  <c r="D301" i="60"/>
  <c r="D302" i="60"/>
  <c r="D303" i="60"/>
  <c r="D304" i="60"/>
  <c r="D305" i="60"/>
  <c r="D306" i="60"/>
  <c r="D307" i="60"/>
  <c r="D308" i="60"/>
  <c r="D309" i="60"/>
  <c r="D310" i="60"/>
  <c r="D311" i="60"/>
  <c r="D312" i="60"/>
  <c r="D313" i="60"/>
  <c r="D314" i="60"/>
  <c r="D315" i="60"/>
  <c r="D316" i="60"/>
  <c r="D317" i="60"/>
  <c r="D318" i="60"/>
  <c r="D319" i="60"/>
  <c r="D320" i="60"/>
  <c r="D321" i="60"/>
  <c r="D322" i="60"/>
  <c r="D323" i="60"/>
  <c r="D324" i="60"/>
  <c r="D325" i="60"/>
  <c r="D326" i="60"/>
  <c r="D327" i="60"/>
  <c r="D328" i="60"/>
  <c r="D329" i="60"/>
  <c r="D330" i="60"/>
  <c r="D331" i="60"/>
  <c r="D332" i="60"/>
  <c r="D333" i="60"/>
  <c r="D334" i="60"/>
  <c r="D335" i="60"/>
  <c r="D336" i="60"/>
  <c r="D337" i="60"/>
  <c r="D338" i="60"/>
  <c r="D339" i="60"/>
  <c r="D340" i="60"/>
  <c r="D341" i="60"/>
  <c r="D342" i="60"/>
  <c r="D343" i="60"/>
  <c r="D344" i="60"/>
  <c r="D345" i="60"/>
  <c r="D346" i="60"/>
  <c r="D347" i="60"/>
  <c r="D348" i="60"/>
  <c r="D349" i="60"/>
  <c r="D350" i="60"/>
  <c r="D351" i="60"/>
  <c r="D352" i="60"/>
  <c r="D353" i="60"/>
  <c r="D354" i="60"/>
  <c r="D355" i="60"/>
  <c r="D356" i="60"/>
  <c r="D357" i="60"/>
  <c r="D358" i="60"/>
  <c r="D359" i="60"/>
  <c r="D360" i="60"/>
  <c r="D361" i="60"/>
  <c r="D362" i="60"/>
  <c r="D363" i="60"/>
  <c r="D364" i="60"/>
  <c r="D365" i="60"/>
  <c r="D366" i="60"/>
  <c r="D367" i="60"/>
  <c r="D368" i="60"/>
  <c r="D369" i="60"/>
  <c r="D370" i="60"/>
  <c r="D371" i="60"/>
  <c r="D372" i="60"/>
  <c r="D373" i="60"/>
  <c r="D374" i="60"/>
  <c r="D375" i="60"/>
  <c r="D376" i="60"/>
  <c r="D377" i="60"/>
  <c r="D378" i="60"/>
  <c r="D379" i="60"/>
  <c r="D380" i="60"/>
  <c r="D381" i="60"/>
  <c r="D382" i="60"/>
  <c r="D383" i="60"/>
  <c r="D384" i="60"/>
  <c r="D385" i="60"/>
  <c r="D386" i="60"/>
  <c r="D387" i="60"/>
  <c r="D388" i="60"/>
  <c r="D389" i="60"/>
  <c r="D390" i="60"/>
  <c r="D391" i="60"/>
  <c r="D392" i="60"/>
  <c r="D393" i="60"/>
  <c r="D394" i="60"/>
  <c r="D395" i="60"/>
  <c r="D396" i="60"/>
  <c r="D397" i="60"/>
  <c r="D398" i="60"/>
  <c r="D399" i="60"/>
  <c r="D400" i="60"/>
  <c r="D401" i="60"/>
  <c r="D402" i="60"/>
  <c r="D403" i="60"/>
  <c r="D404" i="60"/>
  <c r="D405" i="60"/>
  <c r="D406" i="60"/>
  <c r="D407" i="60"/>
  <c r="D408" i="60"/>
  <c r="D409" i="60"/>
  <c r="D410" i="60"/>
  <c r="D411" i="60"/>
  <c r="D412" i="60"/>
  <c r="D413" i="60"/>
  <c r="D414" i="60"/>
  <c r="D415" i="60"/>
  <c r="D416" i="60"/>
  <c r="D417" i="60"/>
  <c r="D418" i="60"/>
  <c r="D419" i="60"/>
  <c r="D420" i="60"/>
  <c r="D421" i="60"/>
  <c r="D422" i="60"/>
  <c r="D423" i="60"/>
  <c r="D424" i="60"/>
  <c r="D425" i="60"/>
  <c r="D426" i="60"/>
  <c r="D427" i="60"/>
  <c r="D428" i="60"/>
  <c r="D429" i="60"/>
  <c r="D430" i="60"/>
  <c r="D431" i="60"/>
  <c r="D432" i="60"/>
  <c r="D433" i="60"/>
  <c r="D434" i="60"/>
  <c r="D435" i="60"/>
  <c r="D436" i="60"/>
  <c r="D437" i="60"/>
  <c r="D438" i="60"/>
  <c r="D439" i="60"/>
  <c r="D440" i="60"/>
  <c r="D441" i="60"/>
  <c r="D442" i="60"/>
  <c r="D443" i="60"/>
  <c r="D444" i="60"/>
  <c r="D445" i="60"/>
  <c r="D446" i="60"/>
  <c r="D447" i="60"/>
  <c r="D448" i="60"/>
  <c r="D449" i="60"/>
  <c r="D450" i="60"/>
  <c r="D451" i="60"/>
  <c r="D452" i="60"/>
  <c r="D453" i="60"/>
  <c r="D454" i="60"/>
  <c r="D455" i="60"/>
  <c r="D456" i="60"/>
  <c r="D457" i="60"/>
  <c r="D458" i="60"/>
  <c r="D459" i="60"/>
  <c r="D460" i="60"/>
  <c r="D461" i="60"/>
  <c r="D462" i="60"/>
  <c r="D463" i="60"/>
  <c r="D464" i="60"/>
  <c r="D465" i="60"/>
  <c r="D466" i="60"/>
  <c r="D467" i="60"/>
  <c r="D468" i="60"/>
  <c r="D469" i="60"/>
  <c r="D470" i="60"/>
  <c r="D471" i="60"/>
  <c r="D472" i="60"/>
  <c r="D473" i="60"/>
  <c r="D474" i="60"/>
  <c r="D475" i="60"/>
  <c r="D476" i="60"/>
  <c r="D477" i="60"/>
  <c r="D478" i="60"/>
  <c r="D479" i="60"/>
  <c r="D480" i="60"/>
  <c r="D481" i="60"/>
  <c r="D482" i="60"/>
  <c r="D483" i="60"/>
  <c r="D484" i="60"/>
  <c r="D485" i="60"/>
  <c r="D486" i="60"/>
  <c r="D487" i="60"/>
  <c r="D488" i="60"/>
  <c r="D489" i="60"/>
  <c r="D490" i="60"/>
  <c r="D491" i="60"/>
  <c r="D492" i="60"/>
  <c r="D493" i="60"/>
  <c r="D494" i="60"/>
  <c r="D495" i="60"/>
  <c r="D496" i="60"/>
  <c r="D497" i="60"/>
  <c r="D498" i="60"/>
  <c r="D499" i="60"/>
  <c r="D500" i="60"/>
  <c r="D501" i="60"/>
  <c r="D193" i="60"/>
  <c r="D194" i="60"/>
  <c r="D27" i="60"/>
  <c r="D28" i="60"/>
  <c r="D29" i="60"/>
  <c r="D30" i="60"/>
  <c r="D31" i="60"/>
  <c r="D32" i="60"/>
  <c r="D33" i="60"/>
  <c r="D34" i="60"/>
  <c r="D35" i="60"/>
  <c r="D36" i="60"/>
  <c r="D37" i="60"/>
  <c r="D38" i="60"/>
  <c r="D39" i="60"/>
  <c r="D40" i="60"/>
  <c r="D41" i="60"/>
  <c r="D42" i="60"/>
  <c r="D43" i="60"/>
  <c r="D44" i="60"/>
  <c r="D45" i="60"/>
  <c r="D46" i="60"/>
  <c r="D47" i="60"/>
  <c r="D48" i="60"/>
  <c r="D49" i="60"/>
  <c r="D50" i="60"/>
  <c r="D51" i="60"/>
  <c r="D52" i="60"/>
  <c r="D53" i="60"/>
  <c r="D54" i="60"/>
  <c r="D55" i="60"/>
  <c r="D56" i="60"/>
  <c r="D57" i="60"/>
  <c r="D58" i="60"/>
  <c r="D59" i="60"/>
  <c r="D60" i="60"/>
  <c r="D61" i="60"/>
  <c r="D62" i="60"/>
  <c r="D63" i="60"/>
  <c r="D64" i="60"/>
  <c r="D65" i="60"/>
  <c r="D66" i="60"/>
  <c r="D67" i="60"/>
  <c r="D68" i="60"/>
  <c r="D69" i="60"/>
  <c r="D70" i="60"/>
  <c r="D71" i="60"/>
  <c r="D72" i="60"/>
  <c r="D73" i="60"/>
  <c r="D74" i="60"/>
  <c r="D75" i="60"/>
  <c r="D76" i="60"/>
  <c r="D77" i="60"/>
  <c r="D78" i="60"/>
  <c r="D79" i="60"/>
  <c r="D80" i="60"/>
  <c r="D81" i="60"/>
  <c r="D82" i="60"/>
  <c r="D83" i="60"/>
  <c r="D84" i="60"/>
  <c r="D85" i="60"/>
  <c r="D86" i="60"/>
  <c r="D87" i="60"/>
  <c r="D88" i="60"/>
  <c r="D89" i="60"/>
  <c r="D90" i="60"/>
  <c r="D91" i="60"/>
  <c r="D92" i="60"/>
  <c r="D93" i="60"/>
  <c r="D94" i="60"/>
  <c r="D95" i="60"/>
  <c r="D96" i="60"/>
  <c r="D97" i="60"/>
  <c r="D98" i="60"/>
  <c r="D99" i="60"/>
  <c r="D100" i="60"/>
  <c r="D101" i="60"/>
  <c r="D102" i="60"/>
  <c r="D103" i="60"/>
  <c r="D104" i="60"/>
  <c r="D105" i="60"/>
  <c r="D106" i="60"/>
  <c r="D107" i="60"/>
  <c r="D108" i="60"/>
  <c r="D109" i="60"/>
  <c r="D110" i="60"/>
  <c r="D111" i="60"/>
  <c r="D112" i="60"/>
  <c r="D113" i="60"/>
  <c r="D114" i="60"/>
  <c r="D115" i="60"/>
  <c r="D116" i="60"/>
  <c r="D117" i="60"/>
  <c r="D118" i="60"/>
  <c r="D119" i="60"/>
  <c r="D120" i="60"/>
  <c r="D121" i="60"/>
  <c r="D122" i="60"/>
  <c r="D123" i="60"/>
  <c r="D124" i="60"/>
  <c r="D125" i="60"/>
  <c r="D126" i="60"/>
  <c r="D127" i="60"/>
  <c r="D128" i="60"/>
  <c r="D129" i="60"/>
  <c r="D130" i="60"/>
  <c r="D131" i="60"/>
  <c r="D132" i="60"/>
  <c r="D133" i="60"/>
  <c r="D134" i="60"/>
  <c r="D135" i="60"/>
  <c r="D136" i="60"/>
  <c r="D137" i="60"/>
  <c r="D138" i="60"/>
  <c r="D139" i="60"/>
  <c r="D140" i="60"/>
  <c r="D141" i="60"/>
  <c r="D142" i="60"/>
  <c r="D143" i="60"/>
  <c r="D144" i="60"/>
  <c r="D145" i="60"/>
  <c r="D146" i="60"/>
  <c r="D147" i="60"/>
  <c r="D148" i="60"/>
  <c r="D149" i="60"/>
  <c r="D150" i="60"/>
  <c r="D151" i="60"/>
  <c r="D152" i="60"/>
  <c r="D153" i="60"/>
  <c r="D154" i="60"/>
  <c r="D155" i="60"/>
  <c r="D156" i="60"/>
  <c r="D157" i="60"/>
  <c r="D158" i="60"/>
  <c r="D159" i="60"/>
  <c r="D160" i="60"/>
  <c r="D161" i="60"/>
  <c r="D162" i="60"/>
  <c r="D163" i="60"/>
  <c r="D164" i="60"/>
  <c r="D165" i="60"/>
  <c r="D166" i="60"/>
  <c r="D167" i="60"/>
  <c r="D168" i="60"/>
  <c r="D169" i="60"/>
  <c r="D170" i="60"/>
  <c r="D171" i="60"/>
  <c r="D172" i="60"/>
  <c r="D173" i="60"/>
  <c r="D174" i="60"/>
  <c r="D175" i="60"/>
  <c r="D176" i="60"/>
  <c r="D177" i="60"/>
  <c r="D178" i="60"/>
  <c r="D179" i="60"/>
  <c r="D180" i="60"/>
  <c r="D181" i="60"/>
  <c r="D182" i="60"/>
  <c r="D183" i="60"/>
  <c r="D184" i="60"/>
  <c r="D185" i="60"/>
  <c r="D186" i="60"/>
  <c r="D187" i="60"/>
  <c r="D188" i="60"/>
  <c r="D189" i="60"/>
  <c r="D190" i="60"/>
  <c r="D191" i="60"/>
  <c r="D192" i="60"/>
  <c r="D21" i="60"/>
  <c r="D22" i="60"/>
  <c r="D23" i="60"/>
  <c r="D24" i="60"/>
  <c r="D25" i="60"/>
  <c r="D26" i="60"/>
  <c r="D11" i="60"/>
  <c r="D12" i="60"/>
  <c r="D13" i="60"/>
  <c r="D14" i="60"/>
  <c r="D15" i="60"/>
  <c r="D16" i="60"/>
  <c r="D17" i="60"/>
  <c r="D18" i="60"/>
  <c r="D19" i="60"/>
  <c r="D20" i="60"/>
  <c r="D3" i="60"/>
  <c r="D4" i="60"/>
  <c r="D5" i="60"/>
  <c r="D6" i="60"/>
  <c r="D7" i="60"/>
  <c r="D8" i="60"/>
  <c r="D9" i="60"/>
  <c r="D10" i="60"/>
  <c r="D2" i="60"/>
  <c r="C493" i="60"/>
  <c r="C489" i="60"/>
  <c r="C463" i="60"/>
  <c r="C421" i="60"/>
  <c r="C414" i="60"/>
  <c r="C409" i="60"/>
  <c r="C408" i="60"/>
  <c r="C378" i="60"/>
  <c r="C346" i="60"/>
  <c r="C341" i="60"/>
  <c r="C339" i="60"/>
  <c r="C386" i="60" s="1"/>
  <c r="C326" i="60"/>
  <c r="C319" i="60"/>
  <c r="C265" i="60"/>
  <c r="C173" i="60"/>
  <c r="C160" i="60"/>
  <c r="C122" i="60"/>
  <c r="C117" i="60"/>
  <c r="C88" i="60"/>
  <c r="C77" i="60"/>
  <c r="C49" i="60"/>
  <c r="C45" i="60"/>
  <c r="C493" i="47"/>
  <c r="C489" i="47"/>
  <c r="C463" i="47"/>
  <c r="C421" i="47"/>
  <c r="C414" i="47"/>
  <c r="C409" i="47"/>
  <c r="C408" i="47"/>
  <c r="C386" i="47"/>
  <c r="C378" i="47"/>
  <c r="C346" i="47"/>
  <c r="C341" i="47"/>
  <c r="C339" i="47"/>
  <c r="C326" i="47"/>
  <c r="C319" i="47"/>
  <c r="C265" i="47"/>
  <c r="C173" i="47"/>
  <c r="C160" i="47"/>
  <c r="C147" i="47"/>
  <c r="C122" i="47"/>
  <c r="C117" i="47"/>
  <c r="C103" i="47"/>
  <c r="C88" i="47"/>
  <c r="C77" i="47"/>
  <c r="C49" i="47"/>
  <c r="C45" i="47"/>
  <c r="D26" i="19"/>
  <c r="G30" i="19" a="1"/>
  <c r="G30" i="19" s="1"/>
  <c r="D25" i="19"/>
  <c r="C2" i="37"/>
  <c r="C3" i="37"/>
  <c r="C4" i="37"/>
  <c r="C5" i="37"/>
  <c r="C6" i="37"/>
  <c r="C7" i="37"/>
  <c r="C8" i="37"/>
  <c r="C9" i="37"/>
  <c r="C10" i="37"/>
  <c r="C11" i="37"/>
  <c r="C12" i="37"/>
  <c r="C13" i="37"/>
  <c r="C14" i="37"/>
  <c r="C15" i="37"/>
  <c r="C16" i="37"/>
  <c r="C17" i="37"/>
  <c r="C18" i="37"/>
  <c r="C19" i="37"/>
  <c r="C20" i="37"/>
  <c r="C21" i="37"/>
  <c r="C22" i="37"/>
  <c r="C23" i="37"/>
  <c r="C24" i="37"/>
  <c r="C25" i="37"/>
  <c r="C26" i="37"/>
  <c r="C27" i="37"/>
  <c r="C28" i="37"/>
  <c r="C29" i="37"/>
  <c r="C30" i="37"/>
  <c r="C31" i="37"/>
  <c r="C32" i="37"/>
  <c r="C33" i="37"/>
  <c r="C34" i="37"/>
  <c r="C35" i="37"/>
  <c r="C36" i="37"/>
  <c r="C37" i="37"/>
  <c r="C38" i="37"/>
  <c r="C39" i="37"/>
  <c r="C40" i="37"/>
  <c r="C41" i="37"/>
  <c r="C42" i="37"/>
  <c r="C43" i="37"/>
  <c r="C44" i="37"/>
  <c r="C45" i="37"/>
  <c r="C46" i="37"/>
  <c r="C47" i="37"/>
  <c r="C48" i="37"/>
  <c r="C49" i="37"/>
  <c r="C50" i="37"/>
  <c r="C51" i="37"/>
  <c r="C52" i="37"/>
  <c r="C53" i="37"/>
  <c r="C54" i="37"/>
  <c r="C55" i="37"/>
  <c r="C56" i="37"/>
  <c r="C57" i="37"/>
  <c r="C58" i="37"/>
  <c r="C59" i="37"/>
  <c r="C60" i="37"/>
  <c r="C61" i="37"/>
  <c r="C62" i="37"/>
  <c r="C63" i="37"/>
  <c r="C64" i="37"/>
  <c r="C65" i="37"/>
  <c r="C66" i="37"/>
  <c r="C67" i="37"/>
  <c r="C68" i="37"/>
  <c r="C69" i="37"/>
  <c r="C70" i="37"/>
  <c r="C71" i="37"/>
  <c r="C72" i="37"/>
  <c r="C73" i="37"/>
  <c r="C74" i="37"/>
  <c r="C75" i="37"/>
  <c r="C76" i="37"/>
  <c r="C77" i="37"/>
  <c r="C78" i="37"/>
  <c r="C79" i="37"/>
  <c r="C80" i="37"/>
  <c r="C81" i="37"/>
  <c r="C82" i="37"/>
  <c r="C83" i="37"/>
  <c r="C84" i="37"/>
  <c r="C85" i="37"/>
  <c r="C86" i="37"/>
  <c r="C87" i="37"/>
  <c r="C88" i="37"/>
  <c r="C89" i="37"/>
  <c r="C90" i="37"/>
  <c r="C91" i="37"/>
  <c r="C92" i="37"/>
  <c r="C93" i="37"/>
  <c r="C94" i="37"/>
  <c r="C95" i="37"/>
  <c r="C96" i="37"/>
  <c r="C97" i="37"/>
  <c r="C98" i="37"/>
  <c r="C99" i="37"/>
  <c r="C100" i="37"/>
  <c r="C101" i="37"/>
  <c r="C102" i="37"/>
  <c r="C103" i="37"/>
  <c r="C104" i="37"/>
  <c r="C105" i="37"/>
  <c r="C106" i="37"/>
  <c r="C107" i="37"/>
  <c r="C108" i="37"/>
  <c r="C109" i="37"/>
  <c r="C110" i="37"/>
  <c r="C111" i="37"/>
  <c r="C112" i="37"/>
  <c r="C113" i="37"/>
  <c r="C114" i="37"/>
  <c r="C115" i="37"/>
  <c r="C116" i="37"/>
  <c r="C117" i="37"/>
  <c r="C118" i="37"/>
  <c r="C119" i="37"/>
  <c r="C120" i="37"/>
  <c r="C121" i="37"/>
  <c r="C122" i="37"/>
  <c r="C123" i="37"/>
  <c r="C124" i="37"/>
  <c r="C125" i="37"/>
  <c r="C126" i="37"/>
  <c r="C127" i="37"/>
  <c r="C128" i="37"/>
  <c r="C129" i="37"/>
  <c r="C130" i="37"/>
  <c r="C131" i="37"/>
  <c r="C132" i="37"/>
  <c r="C133" i="37"/>
  <c r="C134" i="37"/>
  <c r="C135" i="37"/>
  <c r="C136" i="37"/>
  <c r="C137" i="37"/>
  <c r="C138" i="37"/>
  <c r="C139" i="37"/>
  <c r="C140" i="37"/>
  <c r="C141" i="37"/>
  <c r="C142" i="37"/>
  <c r="C143" i="37"/>
  <c r="C144" i="37"/>
  <c r="C145" i="37"/>
  <c r="C146" i="37"/>
  <c r="C147" i="37"/>
  <c r="C148" i="37"/>
  <c r="C149" i="37"/>
  <c r="C150" i="37"/>
  <c r="C151" i="37"/>
  <c r="C152" i="37"/>
  <c r="C153" i="37"/>
  <c r="C154" i="37"/>
  <c r="C155" i="37"/>
  <c r="C156" i="37"/>
  <c r="C157" i="37"/>
  <c r="C158" i="37"/>
  <c r="C159" i="37"/>
  <c r="C160" i="37"/>
  <c r="C161" i="37"/>
  <c r="C162" i="37"/>
  <c r="C163" i="37"/>
  <c r="C164" i="37"/>
  <c r="C165" i="37"/>
  <c r="C166" i="37"/>
  <c r="C167" i="37"/>
  <c r="C168" i="37"/>
  <c r="C169" i="37"/>
  <c r="C170" i="37"/>
  <c r="C171" i="37"/>
  <c r="C172" i="37"/>
  <c r="C173" i="37"/>
  <c r="C174" i="37"/>
  <c r="C175" i="37"/>
  <c r="C176" i="37"/>
  <c r="C177" i="37"/>
  <c r="C178" i="37"/>
  <c r="C179" i="37"/>
  <c r="C180" i="37"/>
  <c r="C181" i="37"/>
  <c r="C182" i="37"/>
  <c r="C183" i="37"/>
  <c r="C184" i="37"/>
  <c r="C185" i="37"/>
  <c r="C186" i="37"/>
  <c r="C187" i="37"/>
  <c r="C188" i="37"/>
  <c r="C189" i="37"/>
  <c r="C190" i="37"/>
  <c r="C191" i="37"/>
  <c r="C192" i="37"/>
  <c r="C193" i="37"/>
  <c r="C194" i="37"/>
  <c r="C195" i="37"/>
  <c r="C196" i="37"/>
  <c r="C197" i="37"/>
  <c r="C198" i="37"/>
  <c r="C199" i="37"/>
  <c r="C200" i="37"/>
  <c r="C201" i="37"/>
  <c r="C202" i="37"/>
  <c r="C203" i="37"/>
  <c r="C204" i="37"/>
  <c r="C205" i="37"/>
  <c r="C206" i="37"/>
  <c r="C207" i="37"/>
  <c r="C208" i="37"/>
  <c r="C209" i="37"/>
  <c r="C210" i="37"/>
  <c r="C211" i="37"/>
  <c r="C212" i="37"/>
  <c r="C213" i="37"/>
  <c r="C214" i="37"/>
  <c r="C215" i="37"/>
  <c r="C216" i="37"/>
  <c r="C217" i="37"/>
  <c r="C218" i="37"/>
  <c r="C219" i="37"/>
  <c r="C220" i="37"/>
  <c r="C221" i="37"/>
  <c r="C222" i="37"/>
  <c r="C223" i="37"/>
  <c r="C224" i="37"/>
  <c r="C225" i="37"/>
  <c r="C226" i="37"/>
  <c r="C227" i="37"/>
  <c r="C228" i="37"/>
  <c r="C229" i="37"/>
  <c r="C230" i="37"/>
  <c r="C231" i="37"/>
  <c r="C232" i="37"/>
  <c r="C233" i="37"/>
  <c r="C234" i="37"/>
  <c r="C235" i="37"/>
  <c r="C236" i="37"/>
  <c r="C237" i="37"/>
  <c r="C238" i="37"/>
  <c r="C239" i="37"/>
  <c r="C240" i="37"/>
  <c r="C241" i="37"/>
  <c r="C242" i="37"/>
  <c r="C243" i="37"/>
  <c r="C244" i="37"/>
  <c r="C245" i="37"/>
  <c r="C246" i="37"/>
  <c r="C247" i="37"/>
  <c r="C248" i="37"/>
  <c r="C249" i="37"/>
  <c r="C250" i="37"/>
  <c r="C251" i="37"/>
  <c r="C252" i="37"/>
  <c r="C253" i="37"/>
  <c r="C254" i="37"/>
  <c r="C255" i="37"/>
  <c r="C256" i="37"/>
  <c r="C257" i="37"/>
  <c r="C258" i="37"/>
  <c r="C259" i="37"/>
  <c r="C260" i="37"/>
  <c r="C261" i="37"/>
  <c r="C262" i="37"/>
  <c r="C263" i="37"/>
  <c r="C264" i="37"/>
  <c r="C265" i="37"/>
  <c r="C266" i="37"/>
  <c r="C267" i="37"/>
  <c r="C268" i="37"/>
  <c r="C269" i="37"/>
  <c r="C270" i="37"/>
  <c r="C271" i="37"/>
  <c r="C272" i="37"/>
  <c r="C273" i="37"/>
  <c r="C274" i="37"/>
  <c r="C275" i="37"/>
  <c r="C276" i="37"/>
  <c r="C277" i="37"/>
  <c r="C278" i="37"/>
  <c r="C279" i="37"/>
  <c r="C280" i="37"/>
  <c r="C281" i="37"/>
  <c r="C282" i="37"/>
  <c r="C283" i="37"/>
  <c r="C284" i="37"/>
  <c r="C285" i="37"/>
  <c r="C286" i="37"/>
  <c r="C287" i="37"/>
  <c r="C288" i="37"/>
  <c r="C289" i="37"/>
  <c r="C290" i="37"/>
  <c r="C291" i="37"/>
  <c r="C292" i="37"/>
  <c r="C293" i="37"/>
  <c r="C294" i="37"/>
  <c r="C295" i="37"/>
  <c r="C296" i="37"/>
  <c r="C297" i="37"/>
  <c r="C298" i="37"/>
  <c r="C299" i="37"/>
  <c r="C300" i="37"/>
  <c r="C301" i="37"/>
  <c r="C302" i="37"/>
  <c r="C303" i="37"/>
  <c r="C304" i="37"/>
  <c r="C305" i="37"/>
  <c r="C306" i="37"/>
  <c r="C307" i="37"/>
  <c r="C308" i="37"/>
  <c r="C309" i="37"/>
  <c r="C310" i="37"/>
  <c r="C311" i="37"/>
  <c r="C312" i="37"/>
  <c r="C313" i="37"/>
  <c r="C314" i="37"/>
  <c r="C315" i="37"/>
  <c r="C316" i="37"/>
  <c r="C317" i="37"/>
  <c r="C318" i="37"/>
  <c r="C319" i="37"/>
  <c r="C320" i="37"/>
  <c r="C321" i="37"/>
  <c r="C322" i="37"/>
  <c r="C323" i="37"/>
  <c r="C324" i="37"/>
  <c r="C325" i="37"/>
  <c r="C326" i="37"/>
  <c r="C327" i="37"/>
  <c r="C328" i="37"/>
  <c r="C329" i="37"/>
  <c r="C330" i="37"/>
  <c r="C331" i="37"/>
  <c r="C332" i="37"/>
  <c r="C333" i="37"/>
  <c r="C334" i="37"/>
  <c r="C335" i="37"/>
  <c r="C336" i="37"/>
  <c r="C337" i="37"/>
  <c r="C338" i="37"/>
  <c r="C339" i="37"/>
  <c r="C340" i="37"/>
  <c r="C341" i="37"/>
  <c r="C342" i="37"/>
  <c r="C343" i="37"/>
  <c r="C344" i="37"/>
  <c r="C345" i="37"/>
  <c r="C346" i="37"/>
  <c r="C347" i="37"/>
  <c r="C348" i="37"/>
  <c r="C349" i="37"/>
  <c r="C350" i="37"/>
  <c r="C351" i="37"/>
  <c r="C352" i="37"/>
  <c r="C353" i="37"/>
  <c r="C354" i="37"/>
  <c r="C355" i="37"/>
  <c r="C356" i="37"/>
  <c r="C357" i="37"/>
  <c r="C358" i="37"/>
  <c r="C359" i="37"/>
  <c r="C360" i="37"/>
  <c r="C361" i="37"/>
  <c r="C362" i="37"/>
  <c r="C363" i="37"/>
  <c r="C364" i="37"/>
  <c r="C365" i="37"/>
  <c r="C366" i="37"/>
  <c r="C367" i="37"/>
  <c r="C368" i="37"/>
  <c r="C369" i="37"/>
  <c r="C370" i="37"/>
  <c r="C371" i="37"/>
  <c r="C372" i="37"/>
  <c r="C373" i="37"/>
  <c r="C374" i="37"/>
  <c r="C375" i="37"/>
  <c r="C376" i="37"/>
  <c r="C377" i="37"/>
  <c r="C378" i="37"/>
  <c r="C379" i="37"/>
  <c r="C380" i="37"/>
  <c r="C381" i="37"/>
  <c r="C382" i="37"/>
  <c r="C383" i="37"/>
  <c r="C384" i="37"/>
  <c r="C385" i="37"/>
  <c r="C386" i="37"/>
  <c r="C387" i="37"/>
  <c r="C388" i="37"/>
  <c r="C389" i="37"/>
  <c r="C390" i="37"/>
  <c r="C391" i="37"/>
  <c r="C392" i="37"/>
  <c r="C393" i="37"/>
  <c r="C394" i="37"/>
  <c r="C395" i="37"/>
  <c r="C396" i="37"/>
  <c r="C397" i="37"/>
  <c r="C398" i="37"/>
  <c r="C399" i="37"/>
  <c r="C400" i="37"/>
  <c r="C401" i="37"/>
  <c r="C402" i="37"/>
  <c r="C403" i="37"/>
  <c r="C404" i="37"/>
  <c r="C405" i="37"/>
  <c r="C406" i="37"/>
  <c r="C407" i="37"/>
  <c r="C408" i="37"/>
  <c r="C409" i="37"/>
  <c r="C410" i="37"/>
  <c r="C411" i="37"/>
  <c r="C412" i="37"/>
  <c r="C413" i="37"/>
  <c r="C414" i="37"/>
  <c r="C415" i="37"/>
  <c r="C416" i="37"/>
  <c r="C417" i="37"/>
  <c r="C418" i="37"/>
  <c r="C419" i="37"/>
  <c r="C420" i="37"/>
  <c r="C421" i="37"/>
  <c r="C422" i="37"/>
  <c r="C423" i="37"/>
  <c r="C424" i="37"/>
  <c r="C425" i="37"/>
  <c r="C426" i="37"/>
  <c r="C427" i="37"/>
  <c r="C428" i="37"/>
  <c r="C429" i="37"/>
  <c r="C430" i="37"/>
  <c r="C431" i="37"/>
  <c r="C432" i="37"/>
  <c r="C433" i="37"/>
  <c r="C434" i="37"/>
  <c r="C435" i="37"/>
  <c r="C436" i="37"/>
  <c r="C437" i="37"/>
  <c r="C438" i="37"/>
  <c r="C439" i="37"/>
  <c r="C440" i="37"/>
  <c r="C441" i="37"/>
  <c r="C442" i="37"/>
  <c r="C443" i="37"/>
  <c r="C444" i="37"/>
  <c r="C445" i="37"/>
  <c r="C446" i="37"/>
  <c r="C447" i="37"/>
  <c r="C448" i="37"/>
  <c r="C449" i="37"/>
  <c r="C450" i="37"/>
  <c r="C451" i="37"/>
  <c r="C452" i="37"/>
  <c r="C453" i="37"/>
  <c r="C454" i="37"/>
  <c r="C455" i="37"/>
  <c r="C456" i="37"/>
  <c r="C457" i="37"/>
  <c r="C458" i="37"/>
  <c r="C459" i="37"/>
  <c r="C460" i="37"/>
  <c r="C461" i="37"/>
  <c r="C462" i="37"/>
  <c r="C463" i="37"/>
  <c r="C464" i="37"/>
  <c r="C465" i="37"/>
  <c r="C466" i="37"/>
  <c r="C467" i="37"/>
  <c r="C468" i="37"/>
  <c r="C469" i="37"/>
  <c r="C470" i="37"/>
  <c r="C471" i="37"/>
  <c r="C472" i="37"/>
  <c r="C473" i="37"/>
  <c r="C474" i="37"/>
  <c r="C475" i="37"/>
  <c r="C476" i="37"/>
  <c r="C477" i="37"/>
  <c r="C478" i="37"/>
  <c r="C479" i="37"/>
  <c r="C480" i="37"/>
  <c r="C481" i="37"/>
  <c r="C482" i="37"/>
  <c r="C483" i="37"/>
  <c r="C484" i="37"/>
  <c r="C485" i="37"/>
  <c r="C486" i="37"/>
  <c r="C487" i="37"/>
  <c r="C488" i="37"/>
  <c r="C489" i="37"/>
  <c r="C490" i="37"/>
  <c r="C491" i="37"/>
  <c r="C492" i="37"/>
  <c r="C493" i="37"/>
  <c r="C494" i="37"/>
  <c r="C495" i="37"/>
  <c r="C496" i="37"/>
  <c r="C497" i="37"/>
  <c r="C498" i="37"/>
  <c r="C499" i="37"/>
  <c r="C500" i="37"/>
  <c r="C501" i="37"/>
  <c r="B2"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44" i="37"/>
  <c r="B45" i="37"/>
  <c r="B46" i="37"/>
  <c r="B47" i="37"/>
  <c r="B48" i="37"/>
  <c r="B49" i="37"/>
  <c r="B50" i="37"/>
  <c r="B51" i="37"/>
  <c r="B52" i="37"/>
  <c r="B53" i="37"/>
  <c r="B54" i="37"/>
  <c r="B55" i="37"/>
  <c r="B56" i="37"/>
  <c r="B57" i="37"/>
  <c r="B58" i="37"/>
  <c r="B59" i="37"/>
  <c r="B60" i="37"/>
  <c r="B61" i="37"/>
  <c r="B62" i="37"/>
  <c r="B63" i="37"/>
  <c r="B64" i="37"/>
  <c r="B65" i="37"/>
  <c r="B66" i="37"/>
  <c r="B67" i="37"/>
  <c r="B68" i="37"/>
  <c r="B69" i="37"/>
  <c r="B70" i="37"/>
  <c r="B71" i="37"/>
  <c r="B72" i="37"/>
  <c r="B73" i="37"/>
  <c r="B74" i="37"/>
  <c r="B75" i="37"/>
  <c r="B76" i="37"/>
  <c r="B77" i="37"/>
  <c r="B78" i="37"/>
  <c r="B79" i="37"/>
  <c r="B80" i="37"/>
  <c r="B81" i="37"/>
  <c r="B82" i="37"/>
  <c r="B83" i="37"/>
  <c r="B84" i="37"/>
  <c r="B85" i="37"/>
  <c r="B86" i="37"/>
  <c r="B87" i="37"/>
  <c r="B88" i="37"/>
  <c r="B89" i="37"/>
  <c r="B90" i="37"/>
  <c r="B91" i="37"/>
  <c r="B92" i="37"/>
  <c r="B93" i="37"/>
  <c r="B94" i="37"/>
  <c r="B95" i="37"/>
  <c r="B96" i="37"/>
  <c r="B97" i="37"/>
  <c r="B98" i="37"/>
  <c r="B99" i="37"/>
  <c r="B100" i="37"/>
  <c r="B101" i="37"/>
  <c r="B102" i="37"/>
  <c r="B103" i="37"/>
  <c r="B104" i="37"/>
  <c r="B105" i="37"/>
  <c r="B106" i="37"/>
  <c r="B107" i="37"/>
  <c r="B108" i="37"/>
  <c r="B109" i="37"/>
  <c r="B110" i="37"/>
  <c r="B111" i="37"/>
  <c r="B112" i="37"/>
  <c r="B113" i="37"/>
  <c r="B114" i="37"/>
  <c r="B115" i="37"/>
  <c r="B116" i="37"/>
  <c r="B117" i="37"/>
  <c r="B118" i="37"/>
  <c r="B119" i="37"/>
  <c r="B120" i="37"/>
  <c r="B121" i="37"/>
  <c r="B122" i="37"/>
  <c r="B123" i="37"/>
  <c r="B124" i="37"/>
  <c r="B125" i="37"/>
  <c r="B126" i="37"/>
  <c r="B127" i="37"/>
  <c r="B128" i="37"/>
  <c r="B129" i="37"/>
  <c r="B130" i="37"/>
  <c r="B131" i="37"/>
  <c r="B132" i="37"/>
  <c r="B133" i="37"/>
  <c r="B134" i="37"/>
  <c r="B135" i="37"/>
  <c r="B136" i="37"/>
  <c r="B137" i="37"/>
  <c r="B138" i="37"/>
  <c r="B139" i="37"/>
  <c r="B140" i="37"/>
  <c r="B141" i="37"/>
  <c r="B142" i="37"/>
  <c r="B143" i="37"/>
  <c r="B144" i="37"/>
  <c r="B145" i="37"/>
  <c r="B146" i="37"/>
  <c r="B147" i="37"/>
  <c r="B148" i="37"/>
  <c r="B149" i="37"/>
  <c r="B150" i="37"/>
  <c r="B151" i="37"/>
  <c r="B152" i="37"/>
  <c r="B153" i="37"/>
  <c r="B154" i="37"/>
  <c r="B155" i="37"/>
  <c r="B156" i="37"/>
  <c r="B157" i="37"/>
  <c r="B158" i="37"/>
  <c r="B159" i="37"/>
  <c r="B160" i="37"/>
  <c r="B161" i="37"/>
  <c r="B162" i="37"/>
  <c r="B163" i="37"/>
  <c r="B164" i="37"/>
  <c r="B165" i="37"/>
  <c r="B166" i="37"/>
  <c r="B167" i="37"/>
  <c r="B168" i="37"/>
  <c r="B169" i="37"/>
  <c r="B170" i="37"/>
  <c r="B171" i="37"/>
  <c r="B172" i="37"/>
  <c r="B173" i="37"/>
  <c r="B174" i="37"/>
  <c r="B175" i="37"/>
  <c r="B176" i="37"/>
  <c r="B177" i="37"/>
  <c r="B178" i="37"/>
  <c r="B179" i="37"/>
  <c r="B180" i="37"/>
  <c r="B181" i="37"/>
  <c r="B182" i="37"/>
  <c r="B183" i="37"/>
  <c r="B184" i="37"/>
  <c r="B185" i="37"/>
  <c r="B186" i="37"/>
  <c r="B187" i="37"/>
  <c r="B188" i="37"/>
  <c r="B189" i="37"/>
  <c r="B190" i="37"/>
  <c r="B191" i="37"/>
  <c r="B192" i="37"/>
  <c r="B193" i="37"/>
  <c r="B194" i="37"/>
  <c r="B195" i="37"/>
  <c r="B196" i="37"/>
  <c r="B197" i="37"/>
  <c r="B198" i="37"/>
  <c r="B199" i="37"/>
  <c r="B200" i="37"/>
  <c r="B201" i="37"/>
  <c r="B202" i="37"/>
  <c r="B203" i="37"/>
  <c r="B204" i="37"/>
  <c r="B205" i="37"/>
  <c r="B206" i="37"/>
  <c r="B207" i="37"/>
  <c r="B208" i="37"/>
  <c r="B209" i="37"/>
  <c r="B210" i="37"/>
  <c r="B211" i="37"/>
  <c r="B212" i="37"/>
  <c r="B213" i="37"/>
  <c r="B214" i="37"/>
  <c r="B215" i="37"/>
  <c r="B216" i="37"/>
  <c r="B217" i="37"/>
  <c r="B218" i="37"/>
  <c r="B219" i="37"/>
  <c r="B220" i="37"/>
  <c r="B221" i="37"/>
  <c r="B222" i="37"/>
  <c r="B223" i="37"/>
  <c r="B224" i="37"/>
  <c r="B225" i="37"/>
  <c r="B226" i="37"/>
  <c r="B227" i="37"/>
  <c r="B228" i="37"/>
  <c r="B229" i="37"/>
  <c r="B230" i="37"/>
  <c r="B231" i="37"/>
  <c r="B232" i="37"/>
  <c r="B233" i="37"/>
  <c r="B234" i="37"/>
  <c r="B235" i="37"/>
  <c r="B236" i="37"/>
  <c r="B237" i="37"/>
  <c r="B238" i="37"/>
  <c r="B239" i="37"/>
  <c r="B240" i="37"/>
  <c r="B241" i="37"/>
  <c r="B242" i="37"/>
  <c r="B243" i="37"/>
  <c r="B244" i="37"/>
  <c r="B245" i="37"/>
  <c r="B246" i="37"/>
  <c r="B247" i="37"/>
  <c r="B248" i="37"/>
  <c r="B249" i="37"/>
  <c r="B250" i="37"/>
  <c r="B251" i="37"/>
  <c r="B252" i="37"/>
  <c r="B253" i="37"/>
  <c r="B254" i="37"/>
  <c r="B255" i="37"/>
  <c r="B256" i="37"/>
  <c r="B257" i="37"/>
  <c r="B258" i="37"/>
  <c r="B259" i="37"/>
  <c r="B260" i="37"/>
  <c r="B261" i="37"/>
  <c r="B262" i="37"/>
  <c r="B263" i="37"/>
  <c r="B264" i="37"/>
  <c r="B265" i="37"/>
  <c r="B266" i="37"/>
  <c r="B267" i="37"/>
  <c r="B268" i="37"/>
  <c r="B269" i="37"/>
  <c r="B270" i="37"/>
  <c r="B271" i="37"/>
  <c r="B272" i="37"/>
  <c r="B273" i="37"/>
  <c r="B274" i="37"/>
  <c r="B275" i="37"/>
  <c r="B276" i="37"/>
  <c r="B277" i="37"/>
  <c r="B278" i="37"/>
  <c r="B279" i="37"/>
  <c r="B280" i="37"/>
  <c r="B281" i="37"/>
  <c r="B282" i="37"/>
  <c r="B283" i="37"/>
  <c r="B284" i="37"/>
  <c r="B285" i="37"/>
  <c r="B286" i="37"/>
  <c r="B287" i="37"/>
  <c r="B288" i="37"/>
  <c r="B289" i="37"/>
  <c r="B290" i="37"/>
  <c r="B291" i="37"/>
  <c r="B292" i="37"/>
  <c r="B293" i="37"/>
  <c r="B294" i="37"/>
  <c r="B295" i="37"/>
  <c r="B296" i="37"/>
  <c r="B297" i="37"/>
  <c r="B298" i="37"/>
  <c r="B299" i="37"/>
  <c r="B300" i="37"/>
  <c r="B301" i="37"/>
  <c r="B302" i="37"/>
  <c r="B303" i="37"/>
  <c r="B304" i="37"/>
  <c r="B305" i="37"/>
  <c r="B306" i="37"/>
  <c r="B307" i="37"/>
  <c r="B308" i="37"/>
  <c r="B309" i="37"/>
  <c r="B310" i="37"/>
  <c r="B311" i="37"/>
  <c r="B312" i="37"/>
  <c r="B313" i="37"/>
  <c r="B314" i="37"/>
  <c r="B315" i="37"/>
  <c r="B316" i="37"/>
  <c r="B317" i="37"/>
  <c r="B318" i="37"/>
  <c r="B319" i="37"/>
  <c r="B320" i="37"/>
  <c r="B321" i="37"/>
  <c r="B322" i="37"/>
  <c r="B323" i="37"/>
  <c r="B324" i="37"/>
  <c r="B325" i="37"/>
  <c r="B326" i="37"/>
  <c r="B327" i="37"/>
  <c r="B328" i="37"/>
  <c r="B329" i="37"/>
  <c r="B330" i="37"/>
  <c r="B331" i="37"/>
  <c r="B332" i="37"/>
  <c r="B333" i="37"/>
  <c r="B334" i="37"/>
  <c r="B335" i="37"/>
  <c r="B336" i="37"/>
  <c r="B337" i="37"/>
  <c r="B338" i="37"/>
  <c r="B339" i="37"/>
  <c r="B340" i="37"/>
  <c r="B341" i="37"/>
  <c r="B342" i="37"/>
  <c r="B343" i="37"/>
  <c r="B344" i="37"/>
  <c r="B345" i="37"/>
  <c r="B346" i="37"/>
  <c r="B347" i="37"/>
  <c r="B348" i="37"/>
  <c r="B349" i="37"/>
  <c r="B350" i="37"/>
  <c r="B351" i="37"/>
  <c r="B352" i="37"/>
  <c r="B353" i="37"/>
  <c r="B354" i="37"/>
  <c r="B355" i="37"/>
  <c r="B356" i="37"/>
  <c r="B357" i="37"/>
  <c r="B358" i="37"/>
  <c r="B359" i="37"/>
  <c r="B360" i="37"/>
  <c r="B361" i="37"/>
  <c r="B362" i="37"/>
  <c r="B363" i="37"/>
  <c r="B364" i="37"/>
  <c r="B365" i="37"/>
  <c r="B366" i="37"/>
  <c r="B367" i="37"/>
  <c r="B368" i="37"/>
  <c r="B369" i="37"/>
  <c r="B370" i="37"/>
  <c r="B371" i="37"/>
  <c r="B372" i="37"/>
  <c r="B373" i="37"/>
  <c r="B374" i="37"/>
  <c r="B375" i="37"/>
  <c r="B376" i="37"/>
  <c r="B377" i="37"/>
  <c r="B378" i="37"/>
  <c r="B379" i="37"/>
  <c r="B380" i="37"/>
  <c r="B381" i="37"/>
  <c r="B382" i="37"/>
  <c r="B383" i="37"/>
  <c r="B384" i="37"/>
  <c r="B385" i="37"/>
  <c r="B386" i="37"/>
  <c r="B387" i="37"/>
  <c r="B388" i="37"/>
  <c r="B389" i="37"/>
  <c r="B390" i="37"/>
  <c r="B391" i="37"/>
  <c r="B392" i="37"/>
  <c r="B393" i="37"/>
  <c r="B394" i="37"/>
  <c r="B395" i="37"/>
  <c r="B396" i="37"/>
  <c r="B397" i="37"/>
  <c r="B398" i="37"/>
  <c r="B399" i="37"/>
  <c r="B400" i="37"/>
  <c r="B401" i="37"/>
  <c r="B402" i="37"/>
  <c r="B403" i="37"/>
  <c r="B404" i="37"/>
  <c r="B405" i="37"/>
  <c r="B406" i="37"/>
  <c r="B407" i="37"/>
  <c r="B408" i="37"/>
  <c r="B409" i="37"/>
  <c r="B410" i="37"/>
  <c r="B411" i="37"/>
  <c r="B412" i="37"/>
  <c r="B413" i="37"/>
  <c r="B414" i="37"/>
  <c r="B415" i="37"/>
  <c r="B416" i="37"/>
  <c r="B417" i="37"/>
  <c r="B418" i="37"/>
  <c r="B419" i="37"/>
  <c r="B420" i="37"/>
  <c r="B421" i="37"/>
  <c r="B422" i="37"/>
  <c r="B423" i="37"/>
  <c r="B424" i="37"/>
  <c r="B425" i="37"/>
  <c r="B426" i="37"/>
  <c r="B427" i="37"/>
  <c r="B428" i="37"/>
  <c r="B429" i="37"/>
  <c r="B430" i="37"/>
  <c r="B431" i="37"/>
  <c r="B432" i="37"/>
  <c r="B433" i="37"/>
  <c r="B434" i="37"/>
  <c r="B435" i="37"/>
  <c r="B436" i="37"/>
  <c r="B437" i="37"/>
  <c r="B438" i="37"/>
  <c r="B439" i="37"/>
  <c r="B440" i="37"/>
  <c r="B441" i="37"/>
  <c r="B442" i="37"/>
  <c r="B443" i="37"/>
  <c r="B444" i="37"/>
  <c r="B445" i="37"/>
  <c r="B446" i="37"/>
  <c r="B447" i="37"/>
  <c r="B448" i="37"/>
  <c r="B449" i="37"/>
  <c r="B450" i="37"/>
  <c r="B451" i="37"/>
  <c r="B452" i="37"/>
  <c r="B453" i="37"/>
  <c r="B454" i="37"/>
  <c r="B455" i="37"/>
  <c r="B456" i="37"/>
  <c r="B457" i="37"/>
  <c r="B458" i="37"/>
  <c r="B459" i="37"/>
  <c r="B460" i="37"/>
  <c r="B461" i="37"/>
  <c r="B462" i="37"/>
  <c r="B463" i="37"/>
  <c r="B464" i="37"/>
  <c r="B465" i="37"/>
  <c r="B466" i="37"/>
  <c r="B467" i="37"/>
  <c r="B468" i="37"/>
  <c r="B469" i="37"/>
  <c r="B470" i="37"/>
  <c r="B471" i="37"/>
  <c r="B472" i="37"/>
  <c r="B473" i="37"/>
  <c r="B474" i="37"/>
  <c r="B475" i="37"/>
  <c r="B476" i="37"/>
  <c r="B477" i="37"/>
  <c r="B478" i="37"/>
  <c r="B479" i="37"/>
  <c r="B480" i="37"/>
  <c r="B481" i="37"/>
  <c r="B482" i="37"/>
  <c r="B483" i="37"/>
  <c r="B484" i="37"/>
  <c r="B485" i="37"/>
  <c r="B486" i="37"/>
  <c r="B487" i="37"/>
  <c r="B488" i="37"/>
  <c r="B489" i="37"/>
  <c r="B490" i="37"/>
  <c r="B491" i="37"/>
  <c r="B492" i="37"/>
  <c r="B493" i="37"/>
  <c r="B494" i="37"/>
  <c r="B495" i="37"/>
  <c r="B496" i="37"/>
  <c r="B497" i="37"/>
  <c r="B498" i="37"/>
  <c r="B499" i="37"/>
  <c r="B500" i="37"/>
  <c r="B501" i="37"/>
  <c r="E493" i="37"/>
  <c r="E489" i="37"/>
  <c r="E463" i="37"/>
  <c r="E421" i="37"/>
  <c r="E414" i="37"/>
  <c r="E409" i="37"/>
  <c r="E408" i="37"/>
  <c r="E378" i="37"/>
  <c r="E346" i="37"/>
  <c r="E341" i="37"/>
  <c r="E339" i="37"/>
  <c r="E386" i="37" s="1"/>
  <c r="E326" i="37"/>
  <c r="E319" i="37"/>
  <c r="E265" i="37"/>
  <c r="E173" i="37"/>
  <c r="E160" i="37"/>
  <c r="E147" i="37"/>
  <c r="E122" i="37"/>
  <c r="E117" i="37"/>
  <c r="E103" i="37"/>
  <c r="E88" i="37"/>
  <c r="E77" i="37"/>
  <c r="E49" i="37"/>
  <c r="E45" i="37"/>
  <c r="C502" i="49"/>
  <c r="C506" i="49"/>
  <c r="C510" i="49"/>
  <c r="C514" i="49"/>
  <c r="C518" i="49"/>
  <c r="C522" i="49"/>
  <c r="C526" i="49"/>
  <c r="C530" i="49"/>
  <c r="C534" i="49"/>
  <c r="C538" i="49"/>
  <c r="C542" i="49"/>
  <c r="C546" i="49"/>
  <c r="C550" i="49"/>
  <c r="C554" i="49"/>
  <c r="C558" i="49"/>
  <c r="C562" i="49"/>
  <c r="C566" i="49"/>
  <c r="C570" i="49"/>
  <c r="C574" i="49"/>
  <c r="C578" i="49"/>
  <c r="C582" i="49"/>
  <c r="C586" i="49"/>
  <c r="C590" i="49"/>
  <c r="C594" i="49"/>
  <c r="C598" i="49"/>
  <c r="C602" i="49"/>
  <c r="C606" i="49"/>
  <c r="C610" i="49"/>
  <c r="C614" i="49"/>
  <c r="C618" i="49"/>
  <c r="C622" i="49"/>
  <c r="C626" i="49"/>
  <c r="C630" i="49"/>
  <c r="C634" i="49"/>
  <c r="C503" i="49"/>
  <c r="C507" i="49"/>
  <c r="C511" i="49"/>
  <c r="C515" i="49"/>
  <c r="C519" i="49"/>
  <c r="C523" i="49"/>
  <c r="C527" i="49"/>
  <c r="C531" i="49"/>
  <c r="C535" i="49"/>
  <c r="C539" i="49"/>
  <c r="C543" i="49"/>
  <c r="C547" i="49"/>
  <c r="C551" i="49"/>
  <c r="C555" i="49"/>
  <c r="C559" i="49"/>
  <c r="C563" i="49"/>
  <c r="C567" i="49"/>
  <c r="C571" i="49"/>
  <c r="C575" i="49"/>
  <c r="C579" i="49"/>
  <c r="C583" i="49"/>
  <c r="C587" i="49"/>
  <c r="C591" i="49"/>
  <c r="C595" i="49"/>
  <c r="C599" i="49"/>
  <c r="C603" i="49"/>
  <c r="C607" i="49"/>
  <c r="C611" i="49"/>
  <c r="C615" i="49"/>
  <c r="C619" i="49"/>
  <c r="C623" i="49"/>
  <c r="C627" i="49"/>
  <c r="C631" i="49"/>
  <c r="C635" i="49"/>
  <c r="C504" i="49"/>
  <c r="C508" i="49"/>
  <c r="C512" i="49"/>
  <c r="C516" i="49"/>
  <c r="C520" i="49"/>
  <c r="C524" i="49"/>
  <c r="C528" i="49"/>
  <c r="C532" i="49"/>
  <c r="C536" i="49"/>
  <c r="C540" i="49"/>
  <c r="C544" i="49"/>
  <c r="C548" i="49"/>
  <c r="C552" i="49"/>
  <c r="C556" i="49"/>
  <c r="C560" i="49"/>
  <c r="C564" i="49"/>
  <c r="C568" i="49"/>
  <c r="C572" i="49"/>
  <c r="C576" i="49"/>
  <c r="C580" i="49"/>
  <c r="C584" i="49"/>
  <c r="C588" i="49"/>
  <c r="C592" i="49"/>
  <c r="C596" i="49"/>
  <c r="C600" i="49"/>
  <c r="C604" i="49"/>
  <c r="C608" i="49"/>
  <c r="C612" i="49"/>
  <c r="C616" i="49"/>
  <c r="C620" i="49"/>
  <c r="C624" i="49"/>
  <c r="C628" i="49"/>
  <c r="C632" i="49"/>
  <c r="C505" i="49"/>
  <c r="C521" i="49"/>
  <c r="C537" i="49"/>
  <c r="C553" i="49"/>
  <c r="C569" i="49"/>
  <c r="C585" i="49"/>
  <c r="C601" i="49"/>
  <c r="C617" i="49"/>
  <c r="C633" i="49"/>
  <c r="C529" i="49"/>
  <c r="C561" i="49"/>
  <c r="C593" i="49"/>
  <c r="C625" i="49"/>
  <c r="C517" i="49"/>
  <c r="C565" i="49"/>
  <c r="C581" i="49"/>
  <c r="C629" i="49"/>
  <c r="C509" i="49"/>
  <c r="C525" i="49"/>
  <c r="C541" i="49"/>
  <c r="C557" i="49"/>
  <c r="C573" i="49"/>
  <c r="C589" i="49"/>
  <c r="C605" i="49"/>
  <c r="C621" i="49"/>
  <c r="C513" i="49"/>
  <c r="C545" i="49"/>
  <c r="C577" i="49"/>
  <c r="C609" i="49"/>
  <c r="C533" i="49"/>
  <c r="C549" i="49"/>
  <c r="C597" i="49"/>
  <c r="C613" i="49"/>
  <c r="G3" i="37" l="1"/>
  <c r="H3" i="37" s="1"/>
  <c r="I3" i="37" s="1"/>
  <c r="G6" i="37"/>
  <c r="H6" i="37" s="1"/>
  <c r="I6" i="37" s="1"/>
  <c r="G10" i="37"/>
  <c r="H10" i="37" s="1"/>
  <c r="I10" i="37" s="1"/>
  <c r="G14" i="37"/>
  <c r="H14" i="37" s="1"/>
  <c r="I14" i="37" s="1"/>
  <c r="G18" i="37"/>
  <c r="H18" i="37" s="1"/>
  <c r="I18" i="37" s="1"/>
  <c r="G22" i="37"/>
  <c r="H22" i="37" s="1"/>
  <c r="I22" i="37" s="1"/>
  <c r="G26" i="37"/>
  <c r="H26" i="37" s="1"/>
  <c r="I26" i="37" s="1"/>
  <c r="G30" i="37"/>
  <c r="H30" i="37" s="1"/>
  <c r="I30" i="37" s="1"/>
  <c r="G34" i="37"/>
  <c r="H34" i="37" s="1"/>
  <c r="I34" i="37" s="1"/>
  <c r="G38" i="37"/>
  <c r="H38" i="37" s="1"/>
  <c r="I38" i="37" s="1"/>
  <c r="G42" i="37"/>
  <c r="H42" i="37" s="1"/>
  <c r="I42" i="37" s="1"/>
  <c r="G46" i="37"/>
  <c r="H46" i="37" s="1"/>
  <c r="I46" i="37" s="1"/>
  <c r="G50" i="37"/>
  <c r="H50" i="37" s="1"/>
  <c r="I50" i="37" s="1"/>
  <c r="G54" i="37"/>
  <c r="H54" i="37" s="1"/>
  <c r="I54" i="37" s="1"/>
  <c r="G58" i="37"/>
  <c r="H58" i="37" s="1"/>
  <c r="I58" i="37" s="1"/>
  <c r="G62" i="37"/>
  <c r="H62" i="37" s="1"/>
  <c r="I62" i="37" s="1"/>
  <c r="G66" i="37"/>
  <c r="H66" i="37" s="1"/>
  <c r="I66" i="37" s="1"/>
  <c r="G70" i="37"/>
  <c r="H70" i="37" s="1"/>
  <c r="I70" i="37" s="1"/>
  <c r="G74" i="37"/>
  <c r="H74" i="37" s="1"/>
  <c r="I74" i="37" s="1"/>
  <c r="G78" i="37"/>
  <c r="H78" i="37" s="1"/>
  <c r="I78" i="37" s="1"/>
  <c r="G82" i="37"/>
  <c r="H82" i="37" s="1"/>
  <c r="I82" i="37" s="1"/>
  <c r="G86" i="37"/>
  <c r="H86" i="37" s="1"/>
  <c r="I86" i="37" s="1"/>
  <c r="G90" i="37"/>
  <c r="H90" i="37" s="1"/>
  <c r="I90" i="37" s="1"/>
  <c r="G94" i="37"/>
  <c r="H94" i="37" s="1"/>
  <c r="I94" i="37" s="1"/>
  <c r="G98" i="37"/>
  <c r="H98" i="37" s="1"/>
  <c r="I98" i="37" s="1"/>
  <c r="G102" i="37"/>
  <c r="H102" i="37" s="1"/>
  <c r="I102" i="37" s="1"/>
  <c r="G106" i="37"/>
  <c r="H106" i="37" s="1"/>
  <c r="I106" i="37" s="1"/>
  <c r="G110" i="37"/>
  <c r="H110" i="37" s="1"/>
  <c r="I110" i="37" s="1"/>
  <c r="G114" i="37"/>
  <c r="H114" i="37" s="1"/>
  <c r="I114" i="37" s="1"/>
  <c r="G118" i="37"/>
  <c r="H118" i="37" s="1"/>
  <c r="I118" i="37" s="1"/>
  <c r="G122" i="37"/>
  <c r="H122" i="37" s="1"/>
  <c r="I122" i="37" s="1"/>
  <c r="G126" i="37"/>
  <c r="H126" i="37" s="1"/>
  <c r="I126" i="37" s="1"/>
  <c r="G130" i="37"/>
  <c r="H130" i="37" s="1"/>
  <c r="I130" i="37" s="1"/>
  <c r="G134" i="37"/>
  <c r="H134" i="37" s="1"/>
  <c r="I134" i="37" s="1"/>
  <c r="G138" i="37"/>
  <c r="H138" i="37" s="1"/>
  <c r="I138" i="37" s="1"/>
  <c r="G142" i="37"/>
  <c r="H142" i="37" s="1"/>
  <c r="I142" i="37" s="1"/>
  <c r="G146" i="37"/>
  <c r="H146" i="37" s="1"/>
  <c r="I146" i="37" s="1"/>
  <c r="G150" i="37"/>
  <c r="H150" i="37" s="1"/>
  <c r="I150" i="37" s="1"/>
  <c r="G154" i="37"/>
  <c r="H154" i="37" s="1"/>
  <c r="I154" i="37" s="1"/>
  <c r="G158" i="37"/>
  <c r="H158" i="37" s="1"/>
  <c r="I158" i="37" s="1"/>
  <c r="G162" i="37"/>
  <c r="H162" i="37" s="1"/>
  <c r="I162" i="37" s="1"/>
  <c r="G166" i="37"/>
  <c r="H166" i="37" s="1"/>
  <c r="I166" i="37" s="1"/>
  <c r="G170" i="37"/>
  <c r="H170" i="37" s="1"/>
  <c r="I170" i="37" s="1"/>
  <c r="G174" i="37"/>
  <c r="H174" i="37" s="1"/>
  <c r="I174" i="37" s="1"/>
  <c r="G178" i="37"/>
  <c r="H178" i="37" s="1"/>
  <c r="I178" i="37" s="1"/>
  <c r="G182" i="37"/>
  <c r="H182" i="37" s="1"/>
  <c r="I182" i="37" s="1"/>
  <c r="G186" i="37"/>
  <c r="H186" i="37" s="1"/>
  <c r="I186" i="37" s="1"/>
  <c r="G190" i="37"/>
  <c r="H190" i="37" s="1"/>
  <c r="I190" i="37" s="1"/>
  <c r="G194" i="37"/>
  <c r="H194" i="37" s="1"/>
  <c r="I194" i="37" s="1"/>
  <c r="G198" i="37"/>
  <c r="H198" i="37" s="1"/>
  <c r="I198" i="37" s="1"/>
  <c r="G202" i="37"/>
  <c r="H202" i="37" s="1"/>
  <c r="I202" i="37" s="1"/>
  <c r="G206" i="37"/>
  <c r="H206" i="37" s="1"/>
  <c r="I206" i="37" s="1"/>
  <c r="G210" i="37"/>
  <c r="H210" i="37" s="1"/>
  <c r="I210" i="37" s="1"/>
  <c r="G214" i="37"/>
  <c r="H214" i="37" s="1"/>
  <c r="I214" i="37" s="1"/>
  <c r="G218" i="37"/>
  <c r="H218" i="37" s="1"/>
  <c r="I218" i="37" s="1"/>
  <c r="G222" i="37"/>
  <c r="H222" i="37" s="1"/>
  <c r="I222" i="37" s="1"/>
  <c r="G226" i="37"/>
  <c r="H226" i="37" s="1"/>
  <c r="I226" i="37" s="1"/>
  <c r="G230" i="37"/>
  <c r="H230" i="37" s="1"/>
  <c r="I230" i="37" s="1"/>
  <c r="G234" i="37"/>
  <c r="H234" i="37" s="1"/>
  <c r="I234" i="37" s="1"/>
  <c r="G238" i="37"/>
  <c r="H238" i="37" s="1"/>
  <c r="I238" i="37" s="1"/>
  <c r="G242" i="37"/>
  <c r="H242" i="37" s="1"/>
  <c r="I242" i="37" s="1"/>
  <c r="G246" i="37"/>
  <c r="H246" i="37" s="1"/>
  <c r="I246" i="37" s="1"/>
  <c r="G250" i="37"/>
  <c r="H250" i="37" s="1"/>
  <c r="I250" i="37" s="1"/>
  <c r="G254" i="37"/>
  <c r="H254" i="37" s="1"/>
  <c r="I254" i="37" s="1"/>
  <c r="G258" i="37"/>
  <c r="H258" i="37" s="1"/>
  <c r="I258" i="37" s="1"/>
  <c r="G262" i="37"/>
  <c r="H262" i="37" s="1"/>
  <c r="I262" i="37" s="1"/>
  <c r="G266" i="37"/>
  <c r="H266" i="37" s="1"/>
  <c r="I266" i="37" s="1"/>
  <c r="G270" i="37"/>
  <c r="H270" i="37" s="1"/>
  <c r="I270" i="37" s="1"/>
  <c r="G274" i="37"/>
  <c r="H274" i="37" s="1"/>
  <c r="I274" i="37" s="1"/>
  <c r="G278" i="37"/>
  <c r="H278" i="37" s="1"/>
  <c r="I278" i="37" s="1"/>
  <c r="G282" i="37"/>
  <c r="H282" i="37" s="1"/>
  <c r="I282" i="37" s="1"/>
  <c r="G286" i="37"/>
  <c r="H286" i="37" s="1"/>
  <c r="I286" i="37" s="1"/>
  <c r="G290" i="37"/>
  <c r="H290" i="37" s="1"/>
  <c r="I290" i="37" s="1"/>
  <c r="G294" i="37"/>
  <c r="H294" i="37" s="1"/>
  <c r="I294" i="37" s="1"/>
  <c r="G298" i="37"/>
  <c r="H298" i="37" s="1"/>
  <c r="I298" i="37" s="1"/>
  <c r="G302" i="37"/>
  <c r="H302" i="37" s="1"/>
  <c r="I302" i="37" s="1"/>
  <c r="G306" i="37"/>
  <c r="H306" i="37" s="1"/>
  <c r="I306" i="37" s="1"/>
  <c r="G310" i="37"/>
  <c r="H310" i="37" s="1"/>
  <c r="I310" i="37" s="1"/>
  <c r="G314" i="37"/>
  <c r="H314" i="37" s="1"/>
  <c r="I314" i="37" s="1"/>
  <c r="G318" i="37"/>
  <c r="H318" i="37" s="1"/>
  <c r="I318" i="37" s="1"/>
  <c r="G322" i="37"/>
  <c r="H322" i="37" s="1"/>
  <c r="I322" i="37" s="1"/>
  <c r="G2" i="37"/>
  <c r="H2" i="37" s="1"/>
  <c r="I2" i="37" s="1"/>
  <c r="G7" i="37"/>
  <c r="H7" i="37" s="1"/>
  <c r="I7" i="37" s="1"/>
  <c r="G11" i="37"/>
  <c r="H11" i="37" s="1"/>
  <c r="I11" i="37" s="1"/>
  <c r="G15" i="37"/>
  <c r="H15" i="37" s="1"/>
  <c r="I15" i="37" s="1"/>
  <c r="G19" i="37"/>
  <c r="H19" i="37" s="1"/>
  <c r="I19" i="37" s="1"/>
  <c r="G23" i="37"/>
  <c r="H23" i="37" s="1"/>
  <c r="I23" i="37" s="1"/>
  <c r="G27" i="37"/>
  <c r="H27" i="37" s="1"/>
  <c r="I27" i="37" s="1"/>
  <c r="G31" i="37"/>
  <c r="H31" i="37" s="1"/>
  <c r="I31" i="37" s="1"/>
  <c r="G35" i="37"/>
  <c r="H35" i="37" s="1"/>
  <c r="I35" i="37" s="1"/>
  <c r="G39" i="37"/>
  <c r="H39" i="37" s="1"/>
  <c r="I39" i="37" s="1"/>
  <c r="G43" i="37"/>
  <c r="H43" i="37" s="1"/>
  <c r="I43" i="37" s="1"/>
  <c r="G47" i="37"/>
  <c r="H47" i="37" s="1"/>
  <c r="I47" i="37" s="1"/>
  <c r="G51" i="37"/>
  <c r="H51" i="37" s="1"/>
  <c r="I51" i="37" s="1"/>
  <c r="G55" i="37"/>
  <c r="H55" i="37" s="1"/>
  <c r="I55" i="37" s="1"/>
  <c r="G59" i="37"/>
  <c r="H59" i="37" s="1"/>
  <c r="I59" i="37" s="1"/>
  <c r="G63" i="37"/>
  <c r="H63" i="37" s="1"/>
  <c r="I63" i="37" s="1"/>
  <c r="G67" i="37"/>
  <c r="H67" i="37" s="1"/>
  <c r="I67" i="37" s="1"/>
  <c r="G71" i="37"/>
  <c r="H71" i="37" s="1"/>
  <c r="I71" i="37" s="1"/>
  <c r="G75" i="37"/>
  <c r="H75" i="37" s="1"/>
  <c r="I75" i="37" s="1"/>
  <c r="G79" i="37"/>
  <c r="H79" i="37" s="1"/>
  <c r="I79" i="37" s="1"/>
  <c r="G83" i="37"/>
  <c r="H83" i="37" s="1"/>
  <c r="I83" i="37" s="1"/>
  <c r="G87" i="37"/>
  <c r="H87" i="37" s="1"/>
  <c r="I87" i="37" s="1"/>
  <c r="G91" i="37"/>
  <c r="H91" i="37" s="1"/>
  <c r="I91" i="37" s="1"/>
  <c r="G95" i="37"/>
  <c r="H95" i="37" s="1"/>
  <c r="I95" i="37" s="1"/>
  <c r="G99" i="37"/>
  <c r="H99" i="37" s="1"/>
  <c r="I99" i="37" s="1"/>
  <c r="G103" i="37"/>
  <c r="H103" i="37" s="1"/>
  <c r="I103" i="37" s="1"/>
  <c r="G107" i="37"/>
  <c r="H107" i="37" s="1"/>
  <c r="I107" i="37" s="1"/>
  <c r="G111" i="37"/>
  <c r="H111" i="37" s="1"/>
  <c r="I111" i="37" s="1"/>
  <c r="G115" i="37"/>
  <c r="H115" i="37" s="1"/>
  <c r="I115" i="37" s="1"/>
  <c r="G119" i="37"/>
  <c r="H119" i="37" s="1"/>
  <c r="I119" i="37" s="1"/>
  <c r="G123" i="37"/>
  <c r="H123" i="37" s="1"/>
  <c r="I123" i="37" s="1"/>
  <c r="G127" i="37"/>
  <c r="H127" i="37" s="1"/>
  <c r="I127" i="37" s="1"/>
  <c r="G131" i="37"/>
  <c r="H131" i="37" s="1"/>
  <c r="I131" i="37" s="1"/>
  <c r="G135" i="37"/>
  <c r="H135" i="37" s="1"/>
  <c r="I135" i="37" s="1"/>
  <c r="G139" i="37"/>
  <c r="H139" i="37" s="1"/>
  <c r="I139" i="37" s="1"/>
  <c r="G143" i="37"/>
  <c r="H143" i="37" s="1"/>
  <c r="I143" i="37" s="1"/>
  <c r="G147" i="37"/>
  <c r="H147" i="37" s="1"/>
  <c r="I147" i="37" s="1"/>
  <c r="G151" i="37"/>
  <c r="H151" i="37" s="1"/>
  <c r="I151" i="37" s="1"/>
  <c r="G155" i="37"/>
  <c r="H155" i="37" s="1"/>
  <c r="I155" i="37" s="1"/>
  <c r="G159" i="37"/>
  <c r="H159" i="37" s="1"/>
  <c r="I159" i="37" s="1"/>
  <c r="G163" i="37"/>
  <c r="H163" i="37" s="1"/>
  <c r="I163" i="37" s="1"/>
  <c r="G167" i="37"/>
  <c r="H167" i="37" s="1"/>
  <c r="I167" i="37" s="1"/>
  <c r="G171" i="37"/>
  <c r="H171" i="37" s="1"/>
  <c r="I171" i="37" s="1"/>
  <c r="G175" i="37"/>
  <c r="H175" i="37" s="1"/>
  <c r="I175" i="37" s="1"/>
  <c r="G179" i="37"/>
  <c r="H179" i="37" s="1"/>
  <c r="I179" i="37" s="1"/>
  <c r="G183" i="37"/>
  <c r="H183" i="37" s="1"/>
  <c r="I183" i="37" s="1"/>
  <c r="G187" i="37"/>
  <c r="H187" i="37" s="1"/>
  <c r="I187" i="37" s="1"/>
  <c r="G191" i="37"/>
  <c r="H191" i="37" s="1"/>
  <c r="I191" i="37" s="1"/>
  <c r="G195" i="37"/>
  <c r="H195" i="37" s="1"/>
  <c r="I195" i="37" s="1"/>
  <c r="G199" i="37"/>
  <c r="H199" i="37" s="1"/>
  <c r="I199" i="37" s="1"/>
  <c r="G203" i="37"/>
  <c r="H203" i="37" s="1"/>
  <c r="I203" i="37" s="1"/>
  <c r="G207" i="37"/>
  <c r="H207" i="37" s="1"/>
  <c r="I207" i="37" s="1"/>
  <c r="G211" i="37"/>
  <c r="H211" i="37" s="1"/>
  <c r="I211" i="37" s="1"/>
  <c r="G215" i="37"/>
  <c r="H215" i="37" s="1"/>
  <c r="I215" i="37" s="1"/>
  <c r="G219" i="37"/>
  <c r="H219" i="37" s="1"/>
  <c r="I219" i="37" s="1"/>
  <c r="G223" i="37"/>
  <c r="H223" i="37" s="1"/>
  <c r="I223" i="37" s="1"/>
  <c r="G227" i="37"/>
  <c r="H227" i="37" s="1"/>
  <c r="I227" i="37" s="1"/>
  <c r="G231" i="37"/>
  <c r="H231" i="37" s="1"/>
  <c r="I231" i="37" s="1"/>
  <c r="G235" i="37"/>
  <c r="H235" i="37" s="1"/>
  <c r="I235" i="37" s="1"/>
  <c r="G239" i="37"/>
  <c r="H239" i="37" s="1"/>
  <c r="I239" i="37" s="1"/>
  <c r="G243" i="37"/>
  <c r="H243" i="37" s="1"/>
  <c r="I243" i="37" s="1"/>
  <c r="G247" i="37"/>
  <c r="H247" i="37" s="1"/>
  <c r="I247" i="37" s="1"/>
  <c r="G251" i="37"/>
  <c r="H251" i="37" s="1"/>
  <c r="I251" i="37" s="1"/>
  <c r="G255" i="37"/>
  <c r="H255" i="37" s="1"/>
  <c r="I255" i="37" s="1"/>
  <c r="G259" i="37"/>
  <c r="H259" i="37" s="1"/>
  <c r="I259" i="37" s="1"/>
  <c r="G263" i="37"/>
  <c r="H263" i="37" s="1"/>
  <c r="I263" i="37" s="1"/>
  <c r="G267" i="37"/>
  <c r="H267" i="37" s="1"/>
  <c r="I267" i="37" s="1"/>
  <c r="G271" i="37"/>
  <c r="H271" i="37" s="1"/>
  <c r="I271" i="37" s="1"/>
  <c r="G275" i="37"/>
  <c r="H275" i="37" s="1"/>
  <c r="I275" i="37" s="1"/>
  <c r="G279" i="37"/>
  <c r="H279" i="37" s="1"/>
  <c r="I279" i="37" s="1"/>
  <c r="G283" i="37"/>
  <c r="H283" i="37" s="1"/>
  <c r="I283" i="37" s="1"/>
  <c r="G287" i="37"/>
  <c r="H287" i="37" s="1"/>
  <c r="I287" i="37" s="1"/>
  <c r="G291" i="37"/>
  <c r="H291" i="37" s="1"/>
  <c r="I291" i="37" s="1"/>
  <c r="G295" i="37"/>
  <c r="H295" i="37" s="1"/>
  <c r="I295" i="37" s="1"/>
  <c r="G299" i="37"/>
  <c r="H299" i="37" s="1"/>
  <c r="I299" i="37" s="1"/>
  <c r="G303" i="37"/>
  <c r="H303" i="37" s="1"/>
  <c r="I303" i="37" s="1"/>
  <c r="G307" i="37"/>
  <c r="H307" i="37" s="1"/>
  <c r="I307" i="37" s="1"/>
  <c r="G311" i="37"/>
  <c r="H311" i="37" s="1"/>
  <c r="I311" i="37" s="1"/>
  <c r="G315" i="37"/>
  <c r="H315" i="37" s="1"/>
  <c r="I315" i="37" s="1"/>
  <c r="G319" i="37"/>
  <c r="H319" i="37" s="1"/>
  <c r="I319" i="37" s="1"/>
  <c r="G323" i="37"/>
  <c r="H323" i="37" s="1"/>
  <c r="I323" i="37" s="1"/>
  <c r="G327" i="37"/>
  <c r="H327" i="37" s="1"/>
  <c r="I327" i="37" s="1"/>
  <c r="G331" i="37"/>
  <c r="H331" i="37" s="1"/>
  <c r="I331" i="37" s="1"/>
  <c r="G335" i="37"/>
  <c r="H335" i="37" s="1"/>
  <c r="I335" i="37" s="1"/>
  <c r="G339" i="37"/>
  <c r="H339" i="37" s="1"/>
  <c r="I339" i="37" s="1"/>
  <c r="G4" i="37"/>
  <c r="H4" i="37" s="1"/>
  <c r="I4" i="37" s="1"/>
  <c r="G8" i="37"/>
  <c r="H8" i="37" s="1"/>
  <c r="I8" i="37" s="1"/>
  <c r="G12" i="37"/>
  <c r="H12" i="37" s="1"/>
  <c r="I12" i="37" s="1"/>
  <c r="G16" i="37"/>
  <c r="H16" i="37" s="1"/>
  <c r="I16" i="37" s="1"/>
  <c r="G20" i="37"/>
  <c r="H20" i="37" s="1"/>
  <c r="I20" i="37" s="1"/>
  <c r="G24" i="37"/>
  <c r="H24" i="37" s="1"/>
  <c r="I24" i="37" s="1"/>
  <c r="G28" i="37"/>
  <c r="H28" i="37" s="1"/>
  <c r="I28" i="37" s="1"/>
  <c r="G32" i="37"/>
  <c r="H32" i="37" s="1"/>
  <c r="I32" i="37" s="1"/>
  <c r="G36" i="37"/>
  <c r="H36" i="37" s="1"/>
  <c r="I36" i="37" s="1"/>
  <c r="G40" i="37"/>
  <c r="H40" i="37" s="1"/>
  <c r="I40" i="37" s="1"/>
  <c r="G44" i="37"/>
  <c r="H44" i="37" s="1"/>
  <c r="I44" i="37" s="1"/>
  <c r="G48" i="37"/>
  <c r="H48" i="37" s="1"/>
  <c r="I48" i="37" s="1"/>
  <c r="G52" i="37"/>
  <c r="H52" i="37" s="1"/>
  <c r="I52" i="37" s="1"/>
  <c r="G56" i="37"/>
  <c r="H56" i="37" s="1"/>
  <c r="I56" i="37" s="1"/>
  <c r="G60" i="37"/>
  <c r="H60" i="37" s="1"/>
  <c r="I60" i="37" s="1"/>
  <c r="G64" i="37"/>
  <c r="H64" i="37" s="1"/>
  <c r="I64" i="37" s="1"/>
  <c r="G68" i="37"/>
  <c r="H68" i="37" s="1"/>
  <c r="I68" i="37" s="1"/>
  <c r="G72" i="37"/>
  <c r="H72" i="37" s="1"/>
  <c r="I72" i="37" s="1"/>
  <c r="G76" i="37"/>
  <c r="H76" i="37" s="1"/>
  <c r="I76" i="37" s="1"/>
  <c r="G80" i="37"/>
  <c r="H80" i="37" s="1"/>
  <c r="I80" i="37" s="1"/>
  <c r="G84" i="37"/>
  <c r="H84" i="37" s="1"/>
  <c r="I84" i="37" s="1"/>
  <c r="G88" i="37"/>
  <c r="H88" i="37" s="1"/>
  <c r="I88" i="37" s="1"/>
  <c r="G92" i="37"/>
  <c r="H92" i="37" s="1"/>
  <c r="I92" i="37" s="1"/>
  <c r="G96" i="37"/>
  <c r="H96" i="37" s="1"/>
  <c r="I96" i="37" s="1"/>
  <c r="G100" i="37"/>
  <c r="H100" i="37" s="1"/>
  <c r="I100" i="37" s="1"/>
  <c r="G104" i="37"/>
  <c r="H104" i="37" s="1"/>
  <c r="I104" i="37" s="1"/>
  <c r="G108" i="37"/>
  <c r="H108" i="37" s="1"/>
  <c r="I108" i="37" s="1"/>
  <c r="G112" i="37"/>
  <c r="H112" i="37" s="1"/>
  <c r="I112" i="37" s="1"/>
  <c r="G116" i="37"/>
  <c r="H116" i="37" s="1"/>
  <c r="I116" i="37" s="1"/>
  <c r="G120" i="37"/>
  <c r="H120" i="37" s="1"/>
  <c r="I120" i="37" s="1"/>
  <c r="G124" i="37"/>
  <c r="H124" i="37" s="1"/>
  <c r="I124" i="37" s="1"/>
  <c r="G128" i="37"/>
  <c r="H128" i="37" s="1"/>
  <c r="I128" i="37" s="1"/>
  <c r="G132" i="37"/>
  <c r="H132" i="37" s="1"/>
  <c r="I132" i="37" s="1"/>
  <c r="G136" i="37"/>
  <c r="H136" i="37" s="1"/>
  <c r="I136" i="37" s="1"/>
  <c r="G140" i="37"/>
  <c r="H140" i="37" s="1"/>
  <c r="I140" i="37" s="1"/>
  <c r="G144" i="37"/>
  <c r="H144" i="37" s="1"/>
  <c r="I144" i="37" s="1"/>
  <c r="G148" i="37"/>
  <c r="H148" i="37" s="1"/>
  <c r="I148" i="37" s="1"/>
  <c r="G152" i="37"/>
  <c r="H152" i="37" s="1"/>
  <c r="I152" i="37" s="1"/>
  <c r="G156" i="37"/>
  <c r="H156" i="37" s="1"/>
  <c r="I156" i="37" s="1"/>
  <c r="G160" i="37"/>
  <c r="G164" i="37"/>
  <c r="H164" i="37" s="1"/>
  <c r="I164" i="37" s="1"/>
  <c r="G168" i="37"/>
  <c r="H168" i="37" s="1"/>
  <c r="I168" i="37" s="1"/>
  <c r="G172" i="37"/>
  <c r="H172" i="37" s="1"/>
  <c r="I172" i="37" s="1"/>
  <c r="G176" i="37"/>
  <c r="H176" i="37" s="1"/>
  <c r="I176" i="37" s="1"/>
  <c r="G180" i="37"/>
  <c r="H180" i="37" s="1"/>
  <c r="I180" i="37" s="1"/>
  <c r="G184" i="37"/>
  <c r="H184" i="37" s="1"/>
  <c r="I184" i="37" s="1"/>
  <c r="G188" i="37"/>
  <c r="H188" i="37" s="1"/>
  <c r="I188" i="37" s="1"/>
  <c r="G192" i="37"/>
  <c r="H192" i="37" s="1"/>
  <c r="I192" i="37" s="1"/>
  <c r="G196" i="37"/>
  <c r="H196" i="37" s="1"/>
  <c r="I196" i="37" s="1"/>
  <c r="G200" i="37"/>
  <c r="H200" i="37" s="1"/>
  <c r="I200" i="37" s="1"/>
  <c r="G204" i="37"/>
  <c r="H204" i="37" s="1"/>
  <c r="I204" i="37" s="1"/>
  <c r="G208" i="37"/>
  <c r="H208" i="37" s="1"/>
  <c r="I208" i="37" s="1"/>
  <c r="G212" i="37"/>
  <c r="H212" i="37" s="1"/>
  <c r="I212" i="37" s="1"/>
  <c r="G216" i="37"/>
  <c r="H216" i="37" s="1"/>
  <c r="I216" i="37" s="1"/>
  <c r="G220" i="37"/>
  <c r="H220" i="37" s="1"/>
  <c r="I220" i="37" s="1"/>
  <c r="G224" i="37"/>
  <c r="H224" i="37" s="1"/>
  <c r="I224" i="37" s="1"/>
  <c r="G228" i="37"/>
  <c r="H228" i="37" s="1"/>
  <c r="I228" i="37" s="1"/>
  <c r="G232" i="37"/>
  <c r="H232" i="37" s="1"/>
  <c r="I232" i="37" s="1"/>
  <c r="G236" i="37"/>
  <c r="H236" i="37" s="1"/>
  <c r="I236" i="37" s="1"/>
  <c r="G240" i="37"/>
  <c r="H240" i="37" s="1"/>
  <c r="I240" i="37" s="1"/>
  <c r="G244" i="37"/>
  <c r="H244" i="37" s="1"/>
  <c r="I244" i="37" s="1"/>
  <c r="G248" i="37"/>
  <c r="H248" i="37" s="1"/>
  <c r="I248" i="37" s="1"/>
  <c r="G252" i="37"/>
  <c r="H252" i="37" s="1"/>
  <c r="I252" i="37" s="1"/>
  <c r="G256" i="37"/>
  <c r="H256" i="37" s="1"/>
  <c r="I256" i="37" s="1"/>
  <c r="G260" i="37"/>
  <c r="H260" i="37" s="1"/>
  <c r="I260" i="37" s="1"/>
  <c r="G264" i="37"/>
  <c r="H264" i="37" s="1"/>
  <c r="I264" i="37" s="1"/>
  <c r="G268" i="37"/>
  <c r="H268" i="37" s="1"/>
  <c r="I268" i="37" s="1"/>
  <c r="G272" i="37"/>
  <c r="H272" i="37" s="1"/>
  <c r="I272" i="37" s="1"/>
  <c r="G276" i="37"/>
  <c r="H276" i="37" s="1"/>
  <c r="I276" i="37" s="1"/>
  <c r="G280" i="37"/>
  <c r="H280" i="37" s="1"/>
  <c r="I280" i="37" s="1"/>
  <c r="G284" i="37"/>
  <c r="H284" i="37" s="1"/>
  <c r="I284" i="37" s="1"/>
  <c r="G288" i="37"/>
  <c r="H288" i="37" s="1"/>
  <c r="I288" i="37" s="1"/>
  <c r="G292" i="37"/>
  <c r="H292" i="37" s="1"/>
  <c r="I292" i="37" s="1"/>
  <c r="G296" i="37"/>
  <c r="H296" i="37" s="1"/>
  <c r="I296" i="37" s="1"/>
  <c r="G300" i="37"/>
  <c r="H300" i="37" s="1"/>
  <c r="I300" i="37" s="1"/>
  <c r="G304" i="37"/>
  <c r="H304" i="37" s="1"/>
  <c r="I304" i="37" s="1"/>
  <c r="G308" i="37"/>
  <c r="H308" i="37" s="1"/>
  <c r="I308" i="37" s="1"/>
  <c r="G312" i="37"/>
  <c r="H312" i="37" s="1"/>
  <c r="I312" i="37" s="1"/>
  <c r="G316" i="37"/>
  <c r="H316" i="37" s="1"/>
  <c r="I316" i="37" s="1"/>
  <c r="G320" i="37"/>
  <c r="H320" i="37" s="1"/>
  <c r="I320" i="37" s="1"/>
  <c r="G5" i="37"/>
  <c r="H5" i="37" s="1"/>
  <c r="I5" i="37" s="1"/>
  <c r="G21" i="37"/>
  <c r="H21" i="37" s="1"/>
  <c r="I21" i="37" s="1"/>
  <c r="G37" i="37"/>
  <c r="H37" i="37" s="1"/>
  <c r="I37" i="37" s="1"/>
  <c r="G53" i="37"/>
  <c r="H53" i="37" s="1"/>
  <c r="I53" i="37" s="1"/>
  <c r="G69" i="37"/>
  <c r="H69" i="37" s="1"/>
  <c r="I69" i="37" s="1"/>
  <c r="G85" i="37"/>
  <c r="H85" i="37" s="1"/>
  <c r="I85" i="37" s="1"/>
  <c r="G101" i="37"/>
  <c r="H101" i="37" s="1"/>
  <c r="I101" i="37" s="1"/>
  <c r="G117" i="37"/>
  <c r="H117" i="37" s="1"/>
  <c r="I117" i="37" s="1"/>
  <c r="G133" i="37"/>
  <c r="H133" i="37" s="1"/>
  <c r="I133" i="37" s="1"/>
  <c r="G149" i="37"/>
  <c r="H149" i="37" s="1"/>
  <c r="I149" i="37" s="1"/>
  <c r="G165" i="37"/>
  <c r="H165" i="37" s="1"/>
  <c r="I165" i="37" s="1"/>
  <c r="G181" i="37"/>
  <c r="H181" i="37" s="1"/>
  <c r="I181" i="37" s="1"/>
  <c r="G197" i="37"/>
  <c r="H197" i="37" s="1"/>
  <c r="I197" i="37" s="1"/>
  <c r="G213" i="37"/>
  <c r="H213" i="37" s="1"/>
  <c r="I213" i="37" s="1"/>
  <c r="G229" i="37"/>
  <c r="H229" i="37" s="1"/>
  <c r="I229" i="37" s="1"/>
  <c r="G245" i="37"/>
  <c r="H245" i="37" s="1"/>
  <c r="I245" i="37" s="1"/>
  <c r="G261" i="37"/>
  <c r="H261" i="37" s="1"/>
  <c r="I261" i="37" s="1"/>
  <c r="G277" i="37"/>
  <c r="H277" i="37" s="1"/>
  <c r="I277" i="37" s="1"/>
  <c r="G293" i="37"/>
  <c r="H293" i="37" s="1"/>
  <c r="I293" i="37" s="1"/>
  <c r="G309" i="37"/>
  <c r="H309" i="37" s="1"/>
  <c r="I309" i="37" s="1"/>
  <c r="G324" i="37"/>
  <c r="H324" i="37" s="1"/>
  <c r="I324" i="37" s="1"/>
  <c r="G329" i="37"/>
  <c r="H329" i="37" s="1"/>
  <c r="I329" i="37" s="1"/>
  <c r="G334" i="37"/>
  <c r="H334" i="37" s="1"/>
  <c r="I334" i="37" s="1"/>
  <c r="G340" i="37"/>
  <c r="H340" i="37" s="1"/>
  <c r="I340" i="37" s="1"/>
  <c r="G344" i="37"/>
  <c r="H344" i="37" s="1"/>
  <c r="I344" i="37" s="1"/>
  <c r="G348" i="37"/>
  <c r="H348" i="37" s="1"/>
  <c r="I348" i="37" s="1"/>
  <c r="G352" i="37"/>
  <c r="H352" i="37" s="1"/>
  <c r="I352" i="37" s="1"/>
  <c r="G9" i="37"/>
  <c r="H9" i="37" s="1"/>
  <c r="I9" i="37" s="1"/>
  <c r="G25" i="37"/>
  <c r="H25" i="37" s="1"/>
  <c r="I25" i="37" s="1"/>
  <c r="G41" i="37"/>
  <c r="H41" i="37" s="1"/>
  <c r="I41" i="37" s="1"/>
  <c r="G57" i="37"/>
  <c r="H57" i="37" s="1"/>
  <c r="I57" i="37" s="1"/>
  <c r="G73" i="37"/>
  <c r="H73" i="37" s="1"/>
  <c r="I73" i="37" s="1"/>
  <c r="G89" i="37"/>
  <c r="H89" i="37" s="1"/>
  <c r="I89" i="37" s="1"/>
  <c r="G105" i="37"/>
  <c r="H105" i="37" s="1"/>
  <c r="I105" i="37" s="1"/>
  <c r="G121" i="37"/>
  <c r="H121" i="37" s="1"/>
  <c r="I121" i="37" s="1"/>
  <c r="G137" i="37"/>
  <c r="H137" i="37" s="1"/>
  <c r="I137" i="37" s="1"/>
  <c r="G153" i="37"/>
  <c r="H153" i="37" s="1"/>
  <c r="I153" i="37" s="1"/>
  <c r="G169" i="37"/>
  <c r="H169" i="37" s="1"/>
  <c r="I169" i="37" s="1"/>
  <c r="G185" i="37"/>
  <c r="H185" i="37" s="1"/>
  <c r="I185" i="37" s="1"/>
  <c r="G201" i="37"/>
  <c r="H201" i="37" s="1"/>
  <c r="I201" i="37" s="1"/>
  <c r="G217" i="37"/>
  <c r="H217" i="37" s="1"/>
  <c r="I217" i="37" s="1"/>
  <c r="G233" i="37"/>
  <c r="H233" i="37" s="1"/>
  <c r="I233" i="37" s="1"/>
  <c r="G249" i="37"/>
  <c r="H249" i="37" s="1"/>
  <c r="I249" i="37" s="1"/>
  <c r="G265" i="37"/>
  <c r="H265" i="37" s="1"/>
  <c r="I265" i="37" s="1"/>
  <c r="G281" i="37"/>
  <c r="H281" i="37" s="1"/>
  <c r="I281" i="37" s="1"/>
  <c r="G297" i="37"/>
  <c r="H297" i="37" s="1"/>
  <c r="I297" i="37" s="1"/>
  <c r="G313" i="37"/>
  <c r="H313" i="37" s="1"/>
  <c r="I313" i="37" s="1"/>
  <c r="G325" i="37"/>
  <c r="H325" i="37" s="1"/>
  <c r="I325" i="37" s="1"/>
  <c r="G330" i="37"/>
  <c r="H330" i="37" s="1"/>
  <c r="I330" i="37" s="1"/>
  <c r="G336" i="37"/>
  <c r="H336" i="37" s="1"/>
  <c r="I336" i="37" s="1"/>
  <c r="G341" i="37"/>
  <c r="H341" i="37" s="1"/>
  <c r="I341" i="37" s="1"/>
  <c r="G345" i="37"/>
  <c r="H345" i="37" s="1"/>
  <c r="I345" i="37" s="1"/>
  <c r="G349" i="37"/>
  <c r="H349" i="37" s="1"/>
  <c r="I349" i="37" s="1"/>
  <c r="G353" i="37"/>
  <c r="H353" i="37" s="1"/>
  <c r="I353" i="37" s="1"/>
  <c r="G357" i="37"/>
  <c r="H357" i="37" s="1"/>
  <c r="I357" i="37" s="1"/>
  <c r="G361" i="37"/>
  <c r="H361" i="37" s="1"/>
  <c r="I361" i="37" s="1"/>
  <c r="G365" i="37"/>
  <c r="H365" i="37" s="1"/>
  <c r="I365" i="37" s="1"/>
  <c r="G369" i="37"/>
  <c r="H369" i="37" s="1"/>
  <c r="I369" i="37" s="1"/>
  <c r="G373" i="37"/>
  <c r="H373" i="37" s="1"/>
  <c r="I373" i="37" s="1"/>
  <c r="G377" i="37"/>
  <c r="H377" i="37" s="1"/>
  <c r="I377" i="37" s="1"/>
  <c r="G381" i="37"/>
  <c r="H381" i="37" s="1"/>
  <c r="I381" i="37" s="1"/>
  <c r="G385" i="37"/>
  <c r="H385" i="37" s="1"/>
  <c r="I385" i="37" s="1"/>
  <c r="G389" i="37"/>
  <c r="H389" i="37" s="1"/>
  <c r="I389" i="37" s="1"/>
  <c r="G393" i="37"/>
  <c r="H393" i="37" s="1"/>
  <c r="I393" i="37" s="1"/>
  <c r="G397" i="37"/>
  <c r="H397" i="37" s="1"/>
  <c r="I397" i="37" s="1"/>
  <c r="G401" i="37"/>
  <c r="H401" i="37" s="1"/>
  <c r="I401" i="37" s="1"/>
  <c r="G405" i="37"/>
  <c r="H405" i="37" s="1"/>
  <c r="I405" i="37" s="1"/>
  <c r="G409" i="37"/>
  <c r="H409" i="37" s="1"/>
  <c r="I409" i="37" s="1"/>
  <c r="G413" i="37"/>
  <c r="H413" i="37" s="1"/>
  <c r="I413" i="37" s="1"/>
  <c r="G417" i="37"/>
  <c r="H417" i="37" s="1"/>
  <c r="I417" i="37" s="1"/>
  <c r="G421" i="37"/>
  <c r="G425" i="37"/>
  <c r="H425" i="37" s="1"/>
  <c r="I425" i="37" s="1"/>
  <c r="G429" i="37"/>
  <c r="H429" i="37" s="1"/>
  <c r="I429" i="37" s="1"/>
  <c r="G433" i="37"/>
  <c r="H433" i="37" s="1"/>
  <c r="I433" i="37" s="1"/>
  <c r="G437" i="37"/>
  <c r="H437" i="37" s="1"/>
  <c r="I437" i="37" s="1"/>
  <c r="G441" i="37"/>
  <c r="H441" i="37" s="1"/>
  <c r="I441" i="37" s="1"/>
  <c r="G445" i="37"/>
  <c r="H445" i="37" s="1"/>
  <c r="I445" i="37" s="1"/>
  <c r="G449" i="37"/>
  <c r="H449" i="37" s="1"/>
  <c r="I449" i="37" s="1"/>
  <c r="G453" i="37"/>
  <c r="H453" i="37" s="1"/>
  <c r="I453" i="37" s="1"/>
  <c r="G457" i="37"/>
  <c r="H457" i="37" s="1"/>
  <c r="I457" i="37" s="1"/>
  <c r="G461" i="37"/>
  <c r="H461" i="37" s="1"/>
  <c r="I461" i="37" s="1"/>
  <c r="G465" i="37"/>
  <c r="H465" i="37" s="1"/>
  <c r="I465" i="37" s="1"/>
  <c r="G469" i="37"/>
  <c r="H469" i="37" s="1"/>
  <c r="I469" i="37" s="1"/>
  <c r="G473" i="37"/>
  <c r="H473" i="37" s="1"/>
  <c r="I473" i="37" s="1"/>
  <c r="G477" i="37"/>
  <c r="H477" i="37" s="1"/>
  <c r="I477" i="37" s="1"/>
  <c r="G481" i="37"/>
  <c r="H481" i="37" s="1"/>
  <c r="I481" i="37" s="1"/>
  <c r="G485" i="37"/>
  <c r="H485" i="37" s="1"/>
  <c r="I485" i="37" s="1"/>
  <c r="G489" i="37"/>
  <c r="H489" i="37" s="1"/>
  <c r="I489" i="37" s="1"/>
  <c r="G493" i="37"/>
  <c r="H493" i="37" s="1"/>
  <c r="I493" i="37" s="1"/>
  <c r="G497" i="37"/>
  <c r="H497" i="37" s="1"/>
  <c r="I497" i="37" s="1"/>
  <c r="G501" i="37"/>
  <c r="H501" i="37" s="1"/>
  <c r="I501" i="37" s="1"/>
  <c r="G13" i="37"/>
  <c r="H13" i="37" s="1"/>
  <c r="I13" i="37" s="1"/>
  <c r="G29" i="37"/>
  <c r="H29" i="37" s="1"/>
  <c r="I29" i="37" s="1"/>
  <c r="G45" i="37"/>
  <c r="H45" i="37" s="1"/>
  <c r="I45" i="37" s="1"/>
  <c r="G61" i="37"/>
  <c r="H61" i="37" s="1"/>
  <c r="I61" i="37" s="1"/>
  <c r="G77" i="37"/>
  <c r="H77" i="37" s="1"/>
  <c r="I77" i="37" s="1"/>
  <c r="G93" i="37"/>
  <c r="H93" i="37" s="1"/>
  <c r="I93" i="37" s="1"/>
  <c r="G109" i="37"/>
  <c r="H109" i="37" s="1"/>
  <c r="I109" i="37" s="1"/>
  <c r="G125" i="37"/>
  <c r="H125" i="37" s="1"/>
  <c r="I125" i="37" s="1"/>
  <c r="G141" i="37"/>
  <c r="H141" i="37" s="1"/>
  <c r="I141" i="37" s="1"/>
  <c r="G157" i="37"/>
  <c r="H157" i="37" s="1"/>
  <c r="I157" i="37" s="1"/>
  <c r="G173" i="37"/>
  <c r="H173" i="37" s="1"/>
  <c r="I173" i="37" s="1"/>
  <c r="G189" i="37"/>
  <c r="H189" i="37" s="1"/>
  <c r="I189" i="37" s="1"/>
  <c r="G205" i="37"/>
  <c r="H205" i="37" s="1"/>
  <c r="I205" i="37" s="1"/>
  <c r="G221" i="37"/>
  <c r="H221" i="37" s="1"/>
  <c r="I221" i="37" s="1"/>
  <c r="G237" i="37"/>
  <c r="H237" i="37" s="1"/>
  <c r="I237" i="37" s="1"/>
  <c r="G253" i="37"/>
  <c r="H253" i="37" s="1"/>
  <c r="I253" i="37" s="1"/>
  <c r="G269" i="37"/>
  <c r="H269" i="37" s="1"/>
  <c r="I269" i="37" s="1"/>
  <c r="G285" i="37"/>
  <c r="H285" i="37" s="1"/>
  <c r="I285" i="37" s="1"/>
  <c r="G301" i="37"/>
  <c r="H301" i="37" s="1"/>
  <c r="I301" i="37" s="1"/>
  <c r="G317" i="37"/>
  <c r="H317" i="37" s="1"/>
  <c r="I317" i="37" s="1"/>
  <c r="G326" i="37"/>
  <c r="G332" i="37"/>
  <c r="H332" i="37" s="1"/>
  <c r="I332" i="37" s="1"/>
  <c r="G337" i="37"/>
  <c r="H337" i="37" s="1"/>
  <c r="I337" i="37" s="1"/>
  <c r="G342" i="37"/>
  <c r="H342" i="37" s="1"/>
  <c r="I342" i="37" s="1"/>
  <c r="G346" i="37"/>
  <c r="H346" i="37" s="1"/>
  <c r="I346" i="37" s="1"/>
  <c r="G350" i="37"/>
  <c r="H350" i="37" s="1"/>
  <c r="I350" i="37" s="1"/>
  <c r="G354" i="37"/>
  <c r="H354" i="37" s="1"/>
  <c r="I354" i="37" s="1"/>
  <c r="G358" i="37"/>
  <c r="H358" i="37" s="1"/>
  <c r="I358" i="37" s="1"/>
  <c r="G362" i="37"/>
  <c r="H362" i="37" s="1"/>
  <c r="I362" i="37" s="1"/>
  <c r="G366" i="37"/>
  <c r="H366" i="37" s="1"/>
  <c r="I366" i="37" s="1"/>
  <c r="G370" i="37"/>
  <c r="H370" i="37" s="1"/>
  <c r="I370" i="37" s="1"/>
  <c r="G374" i="37"/>
  <c r="H374" i="37" s="1"/>
  <c r="I374" i="37" s="1"/>
  <c r="G378" i="37"/>
  <c r="H378" i="37" s="1"/>
  <c r="I378" i="37" s="1"/>
  <c r="G382" i="37"/>
  <c r="H382" i="37" s="1"/>
  <c r="I382" i="37" s="1"/>
  <c r="G386" i="37"/>
  <c r="H386" i="37" s="1"/>
  <c r="I386" i="37" s="1"/>
  <c r="G390" i="37"/>
  <c r="H390" i="37" s="1"/>
  <c r="I390" i="37" s="1"/>
  <c r="G394" i="37"/>
  <c r="H394" i="37" s="1"/>
  <c r="I394" i="37" s="1"/>
  <c r="G398" i="37"/>
  <c r="H398" i="37" s="1"/>
  <c r="I398" i="37" s="1"/>
  <c r="G402" i="37"/>
  <c r="H402" i="37" s="1"/>
  <c r="I402" i="37" s="1"/>
  <c r="G406" i="37"/>
  <c r="H406" i="37" s="1"/>
  <c r="I406" i="37" s="1"/>
  <c r="G410" i="37"/>
  <c r="H410" i="37" s="1"/>
  <c r="I410" i="37" s="1"/>
  <c r="G414" i="37"/>
  <c r="H414" i="37" s="1"/>
  <c r="I414" i="37" s="1"/>
  <c r="G418" i="37"/>
  <c r="H418" i="37" s="1"/>
  <c r="I418" i="37" s="1"/>
  <c r="G422" i="37"/>
  <c r="H422" i="37" s="1"/>
  <c r="I422" i="37" s="1"/>
  <c r="G426" i="37"/>
  <c r="H426" i="37" s="1"/>
  <c r="I426" i="37" s="1"/>
  <c r="G430" i="37"/>
  <c r="H430" i="37" s="1"/>
  <c r="I430" i="37" s="1"/>
  <c r="G434" i="37"/>
  <c r="H434" i="37" s="1"/>
  <c r="I434" i="37" s="1"/>
  <c r="G438" i="37"/>
  <c r="H438" i="37" s="1"/>
  <c r="I438" i="37" s="1"/>
  <c r="G442" i="37"/>
  <c r="H442" i="37" s="1"/>
  <c r="I442" i="37" s="1"/>
  <c r="G446" i="37"/>
  <c r="H446" i="37" s="1"/>
  <c r="I446" i="37" s="1"/>
  <c r="G450" i="37"/>
  <c r="H450" i="37" s="1"/>
  <c r="I450" i="37" s="1"/>
  <c r="G454" i="37"/>
  <c r="H454" i="37" s="1"/>
  <c r="I454" i="37" s="1"/>
  <c r="G458" i="37"/>
  <c r="H458" i="37" s="1"/>
  <c r="I458" i="37" s="1"/>
  <c r="G462" i="37"/>
  <c r="H462" i="37" s="1"/>
  <c r="I462" i="37" s="1"/>
  <c r="G466" i="37"/>
  <c r="H466" i="37" s="1"/>
  <c r="I466" i="37" s="1"/>
  <c r="G470" i="37"/>
  <c r="H470" i="37" s="1"/>
  <c r="I470" i="37" s="1"/>
  <c r="G474" i="37"/>
  <c r="H474" i="37" s="1"/>
  <c r="I474" i="37" s="1"/>
  <c r="G478" i="37"/>
  <c r="H478" i="37" s="1"/>
  <c r="I478" i="37" s="1"/>
  <c r="G482" i="37"/>
  <c r="H482" i="37" s="1"/>
  <c r="I482" i="37" s="1"/>
  <c r="G486" i="37"/>
  <c r="H486" i="37" s="1"/>
  <c r="I486" i="37" s="1"/>
  <c r="G490" i="37"/>
  <c r="H490" i="37" s="1"/>
  <c r="I490" i="37" s="1"/>
  <c r="G494" i="37"/>
  <c r="H494" i="37" s="1"/>
  <c r="I494" i="37" s="1"/>
  <c r="G498" i="37"/>
  <c r="H498" i="37" s="1"/>
  <c r="I498" i="37" s="1"/>
  <c r="G356" i="37"/>
  <c r="H356" i="37" s="1"/>
  <c r="I356" i="37" s="1"/>
  <c r="G372" i="37"/>
  <c r="H372" i="37" s="1"/>
  <c r="I372" i="37" s="1"/>
  <c r="G380" i="37"/>
  <c r="H380" i="37" s="1"/>
  <c r="I380" i="37" s="1"/>
  <c r="G384" i="37"/>
  <c r="H384" i="37" s="1"/>
  <c r="I384" i="37" s="1"/>
  <c r="G388" i="37"/>
  <c r="H388" i="37" s="1"/>
  <c r="I388" i="37" s="1"/>
  <c r="G396" i="37"/>
  <c r="H396" i="37" s="1"/>
  <c r="I396" i="37" s="1"/>
  <c r="G404" i="37"/>
  <c r="H404" i="37" s="1"/>
  <c r="I404" i="37" s="1"/>
  <c r="G412" i="37"/>
  <c r="H412" i="37" s="1"/>
  <c r="I412" i="37" s="1"/>
  <c r="G420" i="37"/>
  <c r="H420" i="37" s="1"/>
  <c r="I420" i="37" s="1"/>
  <c r="G428" i="37"/>
  <c r="H428" i="37" s="1"/>
  <c r="I428" i="37" s="1"/>
  <c r="G436" i="37"/>
  <c r="H436" i="37" s="1"/>
  <c r="I436" i="37" s="1"/>
  <c r="G444" i="37"/>
  <c r="H444" i="37" s="1"/>
  <c r="I444" i="37" s="1"/>
  <c r="G452" i="37"/>
  <c r="H452" i="37" s="1"/>
  <c r="I452" i="37" s="1"/>
  <c r="G460" i="37"/>
  <c r="H460" i="37" s="1"/>
  <c r="I460" i="37" s="1"/>
  <c r="G468" i="37"/>
  <c r="H468" i="37" s="1"/>
  <c r="I468" i="37" s="1"/>
  <c r="G476" i="37"/>
  <c r="H476" i="37" s="1"/>
  <c r="I476" i="37" s="1"/>
  <c r="G484" i="37"/>
  <c r="H484" i="37" s="1"/>
  <c r="I484" i="37" s="1"/>
  <c r="G492" i="37"/>
  <c r="H492" i="37" s="1"/>
  <c r="I492" i="37" s="1"/>
  <c r="G500" i="37"/>
  <c r="H500" i="37" s="1"/>
  <c r="I500" i="37" s="1"/>
  <c r="G17" i="37"/>
  <c r="H17" i="37" s="1"/>
  <c r="I17" i="37" s="1"/>
  <c r="G33" i="37"/>
  <c r="H33" i="37" s="1"/>
  <c r="I33" i="37" s="1"/>
  <c r="G49" i="37"/>
  <c r="H49" i="37" s="1"/>
  <c r="I49" i="37" s="1"/>
  <c r="G65" i="37"/>
  <c r="H65" i="37" s="1"/>
  <c r="I65" i="37" s="1"/>
  <c r="G81" i="37"/>
  <c r="H81" i="37" s="1"/>
  <c r="I81" i="37" s="1"/>
  <c r="G97" i="37"/>
  <c r="H97" i="37" s="1"/>
  <c r="I97" i="37" s="1"/>
  <c r="G113" i="37"/>
  <c r="H113" i="37" s="1"/>
  <c r="I113" i="37" s="1"/>
  <c r="G129" i="37"/>
  <c r="H129" i="37" s="1"/>
  <c r="I129" i="37" s="1"/>
  <c r="G145" i="37"/>
  <c r="H145" i="37" s="1"/>
  <c r="I145" i="37" s="1"/>
  <c r="G161" i="37"/>
  <c r="H161" i="37" s="1"/>
  <c r="I161" i="37" s="1"/>
  <c r="G177" i="37"/>
  <c r="H177" i="37" s="1"/>
  <c r="I177" i="37" s="1"/>
  <c r="G193" i="37"/>
  <c r="H193" i="37" s="1"/>
  <c r="I193" i="37" s="1"/>
  <c r="G209" i="37"/>
  <c r="H209" i="37" s="1"/>
  <c r="I209" i="37" s="1"/>
  <c r="G225" i="37"/>
  <c r="H225" i="37" s="1"/>
  <c r="I225" i="37" s="1"/>
  <c r="G241" i="37"/>
  <c r="H241" i="37" s="1"/>
  <c r="I241" i="37" s="1"/>
  <c r="G257" i="37"/>
  <c r="H257" i="37" s="1"/>
  <c r="I257" i="37" s="1"/>
  <c r="G273" i="37"/>
  <c r="H273" i="37" s="1"/>
  <c r="I273" i="37" s="1"/>
  <c r="G289" i="37"/>
  <c r="H289" i="37" s="1"/>
  <c r="I289" i="37" s="1"/>
  <c r="G305" i="37"/>
  <c r="H305" i="37" s="1"/>
  <c r="I305" i="37" s="1"/>
  <c r="G321" i="37"/>
  <c r="H321" i="37" s="1"/>
  <c r="I321" i="37" s="1"/>
  <c r="G328" i="37"/>
  <c r="H328" i="37" s="1"/>
  <c r="I328" i="37" s="1"/>
  <c r="G333" i="37"/>
  <c r="H333" i="37" s="1"/>
  <c r="I333" i="37" s="1"/>
  <c r="G338" i="37"/>
  <c r="H338" i="37" s="1"/>
  <c r="I338" i="37" s="1"/>
  <c r="G343" i="37"/>
  <c r="H343" i="37" s="1"/>
  <c r="I343" i="37" s="1"/>
  <c r="G347" i="37"/>
  <c r="H347" i="37" s="1"/>
  <c r="I347" i="37" s="1"/>
  <c r="G351" i="37"/>
  <c r="H351" i="37" s="1"/>
  <c r="I351" i="37" s="1"/>
  <c r="G355" i="37"/>
  <c r="H355" i="37" s="1"/>
  <c r="I355" i="37" s="1"/>
  <c r="G359" i="37"/>
  <c r="H359" i="37" s="1"/>
  <c r="I359" i="37" s="1"/>
  <c r="G363" i="37"/>
  <c r="H363" i="37" s="1"/>
  <c r="I363" i="37" s="1"/>
  <c r="G367" i="37"/>
  <c r="H367" i="37" s="1"/>
  <c r="I367" i="37" s="1"/>
  <c r="G371" i="37"/>
  <c r="H371" i="37" s="1"/>
  <c r="I371" i="37" s="1"/>
  <c r="G375" i="37"/>
  <c r="H375" i="37" s="1"/>
  <c r="I375" i="37" s="1"/>
  <c r="G379" i="37"/>
  <c r="H379" i="37" s="1"/>
  <c r="I379" i="37" s="1"/>
  <c r="G383" i="37"/>
  <c r="H383" i="37" s="1"/>
  <c r="I383" i="37" s="1"/>
  <c r="G387" i="37"/>
  <c r="H387" i="37" s="1"/>
  <c r="I387" i="37" s="1"/>
  <c r="G391" i="37"/>
  <c r="H391" i="37" s="1"/>
  <c r="I391" i="37" s="1"/>
  <c r="G395" i="37"/>
  <c r="H395" i="37" s="1"/>
  <c r="I395" i="37" s="1"/>
  <c r="G399" i="37"/>
  <c r="H399" i="37" s="1"/>
  <c r="I399" i="37" s="1"/>
  <c r="G403" i="37"/>
  <c r="H403" i="37" s="1"/>
  <c r="I403" i="37" s="1"/>
  <c r="G407" i="37"/>
  <c r="H407" i="37" s="1"/>
  <c r="I407" i="37" s="1"/>
  <c r="G411" i="37"/>
  <c r="H411" i="37" s="1"/>
  <c r="I411" i="37" s="1"/>
  <c r="G415" i="37"/>
  <c r="H415" i="37" s="1"/>
  <c r="I415" i="37" s="1"/>
  <c r="G419" i="37"/>
  <c r="H419" i="37" s="1"/>
  <c r="I419" i="37" s="1"/>
  <c r="G423" i="37"/>
  <c r="H423" i="37" s="1"/>
  <c r="I423" i="37" s="1"/>
  <c r="G427" i="37"/>
  <c r="H427" i="37" s="1"/>
  <c r="I427" i="37" s="1"/>
  <c r="G431" i="37"/>
  <c r="H431" i="37" s="1"/>
  <c r="I431" i="37" s="1"/>
  <c r="G435" i="37"/>
  <c r="H435" i="37" s="1"/>
  <c r="I435" i="37" s="1"/>
  <c r="G439" i="37"/>
  <c r="H439" i="37" s="1"/>
  <c r="I439" i="37" s="1"/>
  <c r="G443" i="37"/>
  <c r="H443" i="37" s="1"/>
  <c r="I443" i="37" s="1"/>
  <c r="G447" i="37"/>
  <c r="H447" i="37" s="1"/>
  <c r="I447" i="37" s="1"/>
  <c r="G451" i="37"/>
  <c r="H451" i="37" s="1"/>
  <c r="I451" i="37" s="1"/>
  <c r="G455" i="37"/>
  <c r="H455" i="37" s="1"/>
  <c r="I455" i="37" s="1"/>
  <c r="G459" i="37"/>
  <c r="H459" i="37" s="1"/>
  <c r="I459" i="37" s="1"/>
  <c r="G463" i="37"/>
  <c r="H463" i="37" s="1"/>
  <c r="I463" i="37" s="1"/>
  <c r="G467" i="37"/>
  <c r="H467" i="37" s="1"/>
  <c r="I467" i="37" s="1"/>
  <c r="G471" i="37"/>
  <c r="H471" i="37" s="1"/>
  <c r="I471" i="37" s="1"/>
  <c r="G475" i="37"/>
  <c r="H475" i="37" s="1"/>
  <c r="I475" i="37" s="1"/>
  <c r="G479" i="37"/>
  <c r="H479" i="37" s="1"/>
  <c r="I479" i="37" s="1"/>
  <c r="G483" i="37"/>
  <c r="H483" i="37" s="1"/>
  <c r="I483" i="37" s="1"/>
  <c r="G487" i="37"/>
  <c r="H487" i="37" s="1"/>
  <c r="I487" i="37" s="1"/>
  <c r="G491" i="37"/>
  <c r="H491" i="37" s="1"/>
  <c r="I491" i="37" s="1"/>
  <c r="G495" i="37"/>
  <c r="H495" i="37" s="1"/>
  <c r="I495" i="37" s="1"/>
  <c r="G499" i="37"/>
  <c r="H499" i="37" s="1"/>
  <c r="I499" i="37" s="1"/>
  <c r="G360" i="37"/>
  <c r="H360" i="37" s="1"/>
  <c r="I360" i="37" s="1"/>
  <c r="G364" i="37"/>
  <c r="H364" i="37" s="1"/>
  <c r="I364" i="37" s="1"/>
  <c r="G368" i="37"/>
  <c r="H368" i="37" s="1"/>
  <c r="I368" i="37" s="1"/>
  <c r="G376" i="37"/>
  <c r="H376" i="37" s="1"/>
  <c r="I376" i="37" s="1"/>
  <c r="G392" i="37"/>
  <c r="H392" i="37" s="1"/>
  <c r="I392" i="37" s="1"/>
  <c r="G400" i="37"/>
  <c r="H400" i="37" s="1"/>
  <c r="I400" i="37" s="1"/>
  <c r="G408" i="37"/>
  <c r="H408" i="37" s="1"/>
  <c r="I408" i="37" s="1"/>
  <c r="G416" i="37"/>
  <c r="H416" i="37" s="1"/>
  <c r="I416" i="37" s="1"/>
  <c r="G424" i="37"/>
  <c r="H424" i="37" s="1"/>
  <c r="I424" i="37" s="1"/>
  <c r="G432" i="37"/>
  <c r="H432" i="37" s="1"/>
  <c r="I432" i="37" s="1"/>
  <c r="G440" i="37"/>
  <c r="H440" i="37" s="1"/>
  <c r="I440" i="37" s="1"/>
  <c r="G448" i="37"/>
  <c r="H448" i="37" s="1"/>
  <c r="I448" i="37" s="1"/>
  <c r="G456" i="37"/>
  <c r="H456" i="37" s="1"/>
  <c r="I456" i="37" s="1"/>
  <c r="G464" i="37"/>
  <c r="H464" i="37" s="1"/>
  <c r="I464" i="37" s="1"/>
  <c r="G472" i="37"/>
  <c r="H472" i="37" s="1"/>
  <c r="I472" i="37" s="1"/>
  <c r="G480" i="37"/>
  <c r="H480" i="37" s="1"/>
  <c r="I480" i="37" s="1"/>
  <c r="G488" i="37"/>
  <c r="H488" i="37" s="1"/>
  <c r="I488" i="37" s="1"/>
  <c r="G496" i="37"/>
  <c r="H496" i="37" s="1"/>
  <c r="I496" i="37" s="1"/>
  <c r="H160" i="37"/>
  <c r="I160" i="37" s="1"/>
  <c r="H326" i="37"/>
  <c r="I326" i="37" s="1"/>
  <c r="H421" i="37"/>
  <c r="I421" i="37" s="1"/>
  <c r="E365" i="61"/>
  <c r="D386" i="61"/>
  <c r="E181" i="61" s="1"/>
  <c r="D24" i="19"/>
  <c r="D23" i="19"/>
  <c r="D22" i="19"/>
  <c r="A512" i="19"/>
  <c r="A508" i="19"/>
  <c r="A482" i="19"/>
  <c r="A440" i="19"/>
  <c r="A433" i="19"/>
  <c r="A428" i="19"/>
  <c r="A427" i="19"/>
  <c r="A397" i="19"/>
  <c r="A365" i="19"/>
  <c r="A360" i="19"/>
  <c r="A358" i="19"/>
  <c r="A405" i="19" s="1"/>
  <c r="A345" i="19"/>
  <c r="A338" i="19"/>
  <c r="A284" i="19"/>
  <c r="A192" i="19"/>
  <c r="A179" i="19"/>
  <c r="A166" i="19"/>
  <c r="A141" i="19"/>
  <c r="A136" i="19"/>
  <c r="A122" i="19"/>
  <c r="A107" i="19"/>
  <c r="A96" i="19"/>
  <c r="A68" i="19"/>
  <c r="A64" i="19"/>
  <c r="K405" i="35"/>
  <c r="K3" i="35" s="1"/>
  <c r="D20" i="34"/>
  <c r="O501" i="34"/>
  <c r="O468" i="34"/>
  <c r="O464" i="34"/>
  <c r="O451" i="34"/>
  <c r="O422" i="34"/>
  <c r="O409" i="34"/>
  <c r="O405" i="34"/>
  <c r="O395" i="34"/>
  <c r="O367" i="34"/>
  <c r="O363" i="34"/>
  <c r="O346" i="34"/>
  <c r="O296" i="34"/>
  <c r="O276" i="34"/>
  <c r="O264" i="34"/>
  <c r="O248" i="34"/>
  <c r="O228" i="34"/>
  <c r="O215" i="34"/>
  <c r="O207" i="34"/>
  <c r="O135" i="34"/>
  <c r="O123" i="34"/>
  <c r="O101" i="34"/>
  <c r="O86" i="34"/>
  <c r="O65" i="34"/>
  <c r="O36" i="34"/>
  <c r="O13" i="34"/>
  <c r="N502" i="34"/>
  <c r="N498" i="34"/>
  <c r="N472" i="34"/>
  <c r="N430" i="34"/>
  <c r="N423" i="34"/>
  <c r="N418" i="34"/>
  <c r="N417" i="34"/>
  <c r="N387" i="34"/>
  <c r="N355" i="34"/>
  <c r="N350" i="34"/>
  <c r="N348" i="34"/>
  <c r="N395" i="34" s="1"/>
  <c r="N335" i="34"/>
  <c r="N328" i="34"/>
  <c r="N274" i="34"/>
  <c r="N182" i="34"/>
  <c r="N169" i="34"/>
  <c r="N156" i="34"/>
  <c r="N131" i="34"/>
  <c r="N126" i="34"/>
  <c r="N112" i="34"/>
  <c r="N97" i="34"/>
  <c r="N86" i="34"/>
  <c r="N58" i="34"/>
  <c r="N54" i="34"/>
  <c r="D17" i="34"/>
  <c r="K502" i="34"/>
  <c r="K498" i="34"/>
  <c r="K472" i="34"/>
  <c r="K430" i="34"/>
  <c r="K423" i="34"/>
  <c r="K418" i="34"/>
  <c r="K417" i="34"/>
  <c r="K387" i="34"/>
  <c r="K355" i="34"/>
  <c r="K350" i="34"/>
  <c r="K348" i="34"/>
  <c r="K395" i="34" s="1"/>
  <c r="K335" i="34"/>
  <c r="K328" i="34"/>
  <c r="K274" i="34"/>
  <c r="K182" i="34"/>
  <c r="K169" i="34"/>
  <c r="K156" i="34"/>
  <c r="K131" i="34"/>
  <c r="K126" i="34"/>
  <c r="K112" i="34"/>
  <c r="K97" i="34"/>
  <c r="K86" i="34"/>
  <c r="K58" i="34"/>
  <c r="K54" i="34"/>
  <c r="L446" i="34"/>
  <c r="L436" i="34"/>
  <c r="L423" i="34"/>
  <c r="L418" i="34"/>
  <c r="L411" i="34"/>
  <c r="L406" i="34"/>
  <c r="L367" i="34"/>
  <c r="L364" i="34"/>
  <c r="L361" i="34"/>
  <c r="L349" i="34"/>
  <c r="L332" i="34"/>
  <c r="L318" i="34"/>
  <c r="L314" i="34"/>
  <c r="L300" i="34"/>
  <c r="L283" i="34"/>
  <c r="L270" i="34"/>
  <c r="L230" i="34"/>
  <c r="L200" i="34"/>
  <c r="L188" i="34"/>
  <c r="L165" i="34"/>
  <c r="L135" i="34"/>
  <c r="L72" i="34"/>
  <c r="L63" i="34"/>
  <c r="L46" i="34"/>
  <c r="L32" i="34"/>
  <c r="D14" i="34"/>
  <c r="I498" i="34"/>
  <c r="I461" i="34"/>
  <c r="I454" i="34"/>
  <c r="I438" i="34"/>
  <c r="I436" i="34"/>
  <c r="I400" i="34"/>
  <c r="I396" i="34"/>
  <c r="I394" i="34"/>
  <c r="I287" i="34"/>
  <c r="I251" i="34"/>
  <c r="I247" i="34"/>
  <c r="I243" i="34"/>
  <c r="I226" i="34"/>
  <c r="I205" i="34"/>
  <c r="I183" i="34"/>
  <c r="I178" i="34"/>
  <c r="I153" i="34"/>
  <c r="I144" i="34"/>
  <c r="I140" i="34"/>
  <c r="I119" i="34"/>
  <c r="I104" i="34"/>
  <c r="I52" i="34"/>
  <c r="I37" i="34"/>
  <c r="I36" i="34"/>
  <c r="I20" i="34"/>
  <c r="H502" i="34"/>
  <c r="H498" i="34"/>
  <c r="H472" i="34"/>
  <c r="H430" i="34"/>
  <c r="H423" i="34"/>
  <c r="H418" i="34"/>
  <c r="H417" i="34"/>
  <c r="H387" i="34"/>
  <c r="H355" i="34"/>
  <c r="H350" i="34"/>
  <c r="H348" i="34"/>
  <c r="H395" i="34" s="1"/>
  <c r="H335" i="34"/>
  <c r="H328" i="34"/>
  <c r="H274" i="34"/>
  <c r="H182" i="34"/>
  <c r="H169" i="34"/>
  <c r="H156" i="34"/>
  <c r="H131" i="34"/>
  <c r="H126" i="34"/>
  <c r="H112" i="34"/>
  <c r="H97" i="34"/>
  <c r="H86" i="34"/>
  <c r="H58" i="34"/>
  <c r="H54" i="34"/>
  <c r="D11" i="34"/>
  <c r="B505" i="34"/>
  <c r="B497" i="34"/>
  <c r="B431" i="34"/>
  <c r="B410" i="34"/>
  <c r="B404" i="34"/>
  <c r="B394" i="34"/>
  <c r="B379" i="34"/>
  <c r="B370" i="34"/>
  <c r="B354" i="34"/>
  <c r="B330" i="34"/>
  <c r="B322" i="34"/>
  <c r="B300" i="34"/>
  <c r="B254" i="34"/>
  <c r="B250" i="34"/>
  <c r="B200" i="34"/>
  <c r="B171" i="34"/>
  <c r="B143" i="34"/>
  <c r="B134" i="34"/>
  <c r="B123" i="34"/>
  <c r="B97" i="34"/>
  <c r="B95" i="34"/>
  <c r="B90" i="34"/>
  <c r="B76" i="34"/>
  <c r="B70" i="34"/>
  <c r="B22" i="34"/>
  <c r="A503" i="34"/>
  <c r="A499" i="34"/>
  <c r="A473" i="34"/>
  <c r="A431" i="34"/>
  <c r="A424" i="34"/>
  <c r="A419" i="34"/>
  <c r="A418" i="34"/>
  <c r="A388" i="34"/>
  <c r="A356" i="34"/>
  <c r="A351" i="34"/>
  <c r="A349" i="34"/>
  <c r="A396" i="34" s="1"/>
  <c r="A336" i="34"/>
  <c r="A329" i="34"/>
  <c r="A275" i="34"/>
  <c r="A183" i="34"/>
  <c r="A170" i="34"/>
  <c r="A157" i="34"/>
  <c r="A132" i="34"/>
  <c r="A127" i="34"/>
  <c r="A113" i="34"/>
  <c r="A98" i="34"/>
  <c r="A87" i="34"/>
  <c r="A59" i="34"/>
  <c r="A55" i="34"/>
  <c r="D613" i="49"/>
  <c r="D549" i="49"/>
  <c r="D609" i="49"/>
  <c r="D545" i="49"/>
  <c r="D621" i="49"/>
  <c r="D589" i="49"/>
  <c r="D557" i="49"/>
  <c r="D525" i="49"/>
  <c r="D629" i="49"/>
  <c r="D565" i="49"/>
  <c r="D625" i="49"/>
  <c r="D561" i="49"/>
  <c r="D633" i="49"/>
  <c r="D601" i="49"/>
  <c r="D569" i="49"/>
  <c r="D537" i="49"/>
  <c r="D505" i="49"/>
  <c r="D628" i="49"/>
  <c r="D620" i="49"/>
  <c r="D612" i="49"/>
  <c r="D604" i="49"/>
  <c r="D596" i="49"/>
  <c r="D588" i="49"/>
  <c r="D580" i="49"/>
  <c r="D572" i="49"/>
  <c r="D564" i="49"/>
  <c r="D556" i="49"/>
  <c r="D548" i="49"/>
  <c r="D540" i="49"/>
  <c r="D532" i="49"/>
  <c r="D524" i="49"/>
  <c r="D516" i="49"/>
  <c r="D508" i="49"/>
  <c r="E635" i="49"/>
  <c r="D627" i="49"/>
  <c r="D619" i="49"/>
  <c r="E611" i="49"/>
  <c r="E603" i="49"/>
  <c r="E595" i="49"/>
  <c r="E587" i="49"/>
  <c r="E579" i="49"/>
  <c r="E571" i="49"/>
  <c r="E563" i="49"/>
  <c r="E555" i="49"/>
  <c r="E547" i="49"/>
  <c r="E539" i="49"/>
  <c r="E531" i="49"/>
  <c r="E523" i="49"/>
  <c r="E515" i="49"/>
  <c r="E507" i="49"/>
  <c r="D634" i="49"/>
  <c r="D626" i="49"/>
  <c r="D618" i="49"/>
  <c r="E610" i="49"/>
  <c r="E602" i="49"/>
  <c r="E594" i="49"/>
  <c r="E586" i="49"/>
  <c r="E578" i="49"/>
  <c r="E570" i="49"/>
  <c r="E562" i="49"/>
  <c r="E554" i="49"/>
  <c r="E546" i="49"/>
  <c r="E538" i="49"/>
  <c r="E530" i="49"/>
  <c r="E522" i="49"/>
  <c r="E514" i="49"/>
  <c r="E506" i="49"/>
  <c r="E577" i="49"/>
  <c r="D511" i="49"/>
  <c r="D582" i="49"/>
  <c r="D542" i="49"/>
  <c r="D518" i="49"/>
  <c r="E613" i="49"/>
  <c r="E549" i="49"/>
  <c r="E609" i="49"/>
  <c r="E545" i="49"/>
  <c r="E621" i="49"/>
  <c r="E589" i="49"/>
  <c r="E557" i="49"/>
  <c r="E525" i="49"/>
  <c r="E629" i="49"/>
  <c r="E565" i="49"/>
  <c r="E625" i="49"/>
  <c r="E561" i="49"/>
  <c r="E633" i="49"/>
  <c r="E601" i="49"/>
  <c r="E569" i="49"/>
  <c r="E537" i="49"/>
  <c r="E505" i="49"/>
  <c r="E628" i="49"/>
  <c r="E620" i="49"/>
  <c r="E612" i="49"/>
  <c r="E604" i="49"/>
  <c r="E596" i="49"/>
  <c r="E588" i="49"/>
  <c r="E580" i="49"/>
  <c r="E572" i="49"/>
  <c r="E564" i="49"/>
  <c r="E556" i="49"/>
  <c r="E548" i="49"/>
  <c r="E540" i="49"/>
  <c r="E532" i="49"/>
  <c r="E524" i="49"/>
  <c r="E516" i="49"/>
  <c r="E508" i="49"/>
  <c r="D635" i="49"/>
  <c r="E627" i="49"/>
  <c r="E619" i="49"/>
  <c r="D611" i="49"/>
  <c r="D603" i="49"/>
  <c r="D595" i="49"/>
  <c r="D587" i="49"/>
  <c r="D579" i="49"/>
  <c r="D571" i="49"/>
  <c r="D563" i="49"/>
  <c r="D555" i="49"/>
  <c r="D547" i="49"/>
  <c r="D539" i="49"/>
  <c r="D531" i="49"/>
  <c r="D523" i="49"/>
  <c r="D515" i="49"/>
  <c r="D507" i="49"/>
  <c r="E634" i="49"/>
  <c r="E626" i="49"/>
  <c r="E618" i="49"/>
  <c r="D610" i="49"/>
  <c r="D602" i="49"/>
  <c r="D594" i="49"/>
  <c r="D586" i="49"/>
  <c r="D578" i="49"/>
  <c r="D570" i="49"/>
  <c r="D562" i="49"/>
  <c r="D554" i="49"/>
  <c r="D546" i="49"/>
  <c r="D538" i="49"/>
  <c r="D530" i="49"/>
  <c r="D522" i="49"/>
  <c r="D514" i="49"/>
  <c r="D506" i="49"/>
  <c r="E533" i="49"/>
  <c r="E605" i="49"/>
  <c r="E541" i="49"/>
  <c r="E581" i="49"/>
  <c r="E593" i="49"/>
  <c r="E617" i="49"/>
  <c r="E553" i="49"/>
  <c r="E632" i="49"/>
  <c r="E616" i="49"/>
  <c r="E600" i="49"/>
  <c r="E584" i="49"/>
  <c r="E568" i="49"/>
  <c r="E552" i="49"/>
  <c r="E544" i="49"/>
  <c r="E528" i="49"/>
  <c r="E512" i="49"/>
  <c r="E631" i="49"/>
  <c r="D615" i="49"/>
  <c r="D599" i="49"/>
  <c r="D583" i="49"/>
  <c r="D567" i="49"/>
  <c r="D551" i="49"/>
  <c r="D535" i="49"/>
  <c r="D519" i="49"/>
  <c r="E630" i="49"/>
  <c r="D614" i="49"/>
  <c r="D598" i="49"/>
  <c r="D574" i="49"/>
  <c r="D550" i="49"/>
  <c r="D526" i="49"/>
  <c r="D502" i="49"/>
  <c r="D597" i="49"/>
  <c r="D533" i="49"/>
  <c r="D577" i="49"/>
  <c r="D513" i="49"/>
  <c r="D605" i="49"/>
  <c r="D573" i="49"/>
  <c r="D541" i="49"/>
  <c r="D509" i="49"/>
  <c r="D581" i="49"/>
  <c r="D517" i="49"/>
  <c r="D593" i="49"/>
  <c r="D529" i="49"/>
  <c r="D617" i="49"/>
  <c r="D585" i="49"/>
  <c r="D553" i="49"/>
  <c r="D521" i="49"/>
  <c r="D632" i="49"/>
  <c r="D624" i="49"/>
  <c r="D616" i="49"/>
  <c r="D608" i="49"/>
  <c r="D600" i="49"/>
  <c r="D592" i="49"/>
  <c r="D584" i="49"/>
  <c r="D576" i="49"/>
  <c r="D568" i="49"/>
  <c r="D560" i="49"/>
  <c r="D552" i="49"/>
  <c r="D544" i="49"/>
  <c r="D536" i="49"/>
  <c r="D528" i="49"/>
  <c r="D520" i="49"/>
  <c r="D512" i="49"/>
  <c r="D504" i="49"/>
  <c r="D631" i="49"/>
  <c r="D623" i="49"/>
  <c r="E615" i="49"/>
  <c r="E607" i="49"/>
  <c r="E599" i="49"/>
  <c r="E591" i="49"/>
  <c r="E583" i="49"/>
  <c r="E575" i="49"/>
  <c r="E567" i="49"/>
  <c r="E559" i="49"/>
  <c r="E551" i="49"/>
  <c r="E543" i="49"/>
  <c r="E535" i="49"/>
  <c r="E527" i="49"/>
  <c r="E519" i="49"/>
  <c r="E511" i="49"/>
  <c r="E503" i="49"/>
  <c r="D630" i="49"/>
  <c r="D622" i="49"/>
  <c r="E614" i="49"/>
  <c r="E606" i="49"/>
  <c r="E598" i="49"/>
  <c r="E590" i="49"/>
  <c r="E582" i="49"/>
  <c r="E574" i="49"/>
  <c r="E566" i="49"/>
  <c r="E558" i="49"/>
  <c r="E550" i="49"/>
  <c r="E542" i="49"/>
  <c r="E534" i="49"/>
  <c r="E526" i="49"/>
  <c r="E518" i="49"/>
  <c r="E510" i="49"/>
  <c r="E502" i="49"/>
  <c r="E597" i="49"/>
  <c r="E513" i="49"/>
  <c r="E573" i="49"/>
  <c r="E509" i="49"/>
  <c r="E517" i="49"/>
  <c r="E529" i="49"/>
  <c r="E585" i="49"/>
  <c r="E521" i="49"/>
  <c r="E624" i="49"/>
  <c r="E608" i="49"/>
  <c r="E592" i="49"/>
  <c r="E576" i="49"/>
  <c r="E560" i="49"/>
  <c r="E536" i="49"/>
  <c r="E520" i="49"/>
  <c r="E504" i="49"/>
  <c r="E623" i="49"/>
  <c r="D607" i="49"/>
  <c r="D591" i="49"/>
  <c r="D575" i="49"/>
  <c r="D559" i="49"/>
  <c r="D543" i="49"/>
  <c r="D527" i="49"/>
  <c r="D503" i="49"/>
  <c r="E622" i="49"/>
  <c r="D606" i="49"/>
  <c r="D590" i="49"/>
  <c r="D566" i="49"/>
  <c r="D558" i="49"/>
  <c r="D534" i="49"/>
  <c r="D510" i="49"/>
  <c r="E440" i="61" l="1"/>
  <c r="E298" i="61"/>
  <c r="E496" i="61"/>
  <c r="H496" i="61" s="1"/>
  <c r="E69" i="61"/>
  <c r="Q69" i="61" s="1"/>
  <c r="E305" i="61"/>
  <c r="E283" i="61"/>
  <c r="K283" i="61" s="1"/>
  <c r="E466" i="61"/>
  <c r="H466" i="61" s="1"/>
  <c r="E155" i="61"/>
  <c r="F155" i="69" s="1"/>
  <c r="G155" i="69" s="1"/>
  <c r="E337" i="61"/>
  <c r="E200" i="61"/>
  <c r="K200" i="61" s="1"/>
  <c r="E27" i="61"/>
  <c r="K27" i="61" s="1"/>
  <c r="E443" i="61"/>
  <c r="K443" i="61" s="1"/>
  <c r="E493" i="61"/>
  <c r="E72" i="61"/>
  <c r="Q72" i="61" s="1"/>
  <c r="E126" i="61"/>
  <c r="F126" i="69" s="1"/>
  <c r="G126" i="69" s="1"/>
  <c r="E368" i="61"/>
  <c r="Q368" i="61" s="1"/>
  <c r="E241" i="61"/>
  <c r="E286" i="61"/>
  <c r="H286" i="61" s="1"/>
  <c r="E296" i="61"/>
  <c r="E40" i="61"/>
  <c r="H40" i="61" s="1"/>
  <c r="E222" i="61"/>
  <c r="H222" i="61" s="1"/>
  <c r="E428" i="61"/>
  <c r="Q428" i="61" s="1"/>
  <c r="E468" i="61"/>
  <c r="E81" i="61"/>
  <c r="Q81" i="61" s="1"/>
  <c r="E379" i="61"/>
  <c r="E125" i="61"/>
  <c r="Q125" i="61" s="1"/>
  <c r="E402" i="61"/>
  <c r="F402" i="69" s="1"/>
  <c r="G402" i="69" s="1"/>
  <c r="E217" i="61"/>
  <c r="H217" i="61" s="1"/>
  <c r="E429" i="61"/>
  <c r="E277" i="61"/>
  <c r="E264" i="61"/>
  <c r="Q264" i="61" s="1"/>
  <c r="E136" i="61"/>
  <c r="H136" i="61" s="1"/>
  <c r="E8" i="61"/>
  <c r="E219" i="61"/>
  <c r="E91" i="61"/>
  <c r="E190" i="61"/>
  <c r="Q190" i="61" s="1"/>
  <c r="E62" i="61"/>
  <c r="E411" i="61"/>
  <c r="E434" i="61"/>
  <c r="E461" i="61"/>
  <c r="F461" i="69" s="1"/>
  <c r="G461" i="69" s="1"/>
  <c r="E330" i="61"/>
  <c r="E168" i="61"/>
  <c r="F168" i="69" s="1"/>
  <c r="G168" i="69" s="1"/>
  <c r="E251" i="61"/>
  <c r="E123" i="61"/>
  <c r="H123" i="61" s="1"/>
  <c r="E94" i="61"/>
  <c r="E274" i="61"/>
  <c r="F274" i="69" s="1"/>
  <c r="G274" i="69" s="1"/>
  <c r="E340" i="61"/>
  <c r="F340" i="69" s="1"/>
  <c r="G340" i="69" s="1"/>
  <c r="E475" i="61"/>
  <c r="Q475" i="61" s="1"/>
  <c r="E347" i="61"/>
  <c r="E498" i="61"/>
  <c r="E370" i="61"/>
  <c r="H370" i="61" s="1"/>
  <c r="E89" i="61"/>
  <c r="F89" i="69" s="1"/>
  <c r="G89" i="69" s="1"/>
  <c r="E397" i="61"/>
  <c r="F397" i="69" s="1"/>
  <c r="G397" i="69" s="1"/>
  <c r="E197" i="61"/>
  <c r="F197" i="69" s="1"/>
  <c r="G197" i="69" s="1"/>
  <c r="E232" i="61"/>
  <c r="Q232" i="61" s="1"/>
  <c r="E104" i="61"/>
  <c r="F104" i="69" s="1"/>
  <c r="G104" i="69" s="1"/>
  <c r="E315" i="61"/>
  <c r="Q315" i="61" s="1"/>
  <c r="E187" i="61"/>
  <c r="E59" i="61"/>
  <c r="E158" i="61"/>
  <c r="H158" i="61" s="1"/>
  <c r="E30" i="61"/>
  <c r="Q30" i="61" s="1"/>
  <c r="Q496" i="61"/>
  <c r="K496" i="61"/>
  <c r="F305" i="69"/>
  <c r="G305" i="69" s="1"/>
  <c r="Q305" i="61"/>
  <c r="H305" i="61"/>
  <c r="Q365" i="61"/>
  <c r="F365" i="69"/>
  <c r="G365" i="69" s="1"/>
  <c r="K365" i="61"/>
  <c r="H365" i="61"/>
  <c r="F283" i="69"/>
  <c r="G283" i="69" s="1"/>
  <c r="F181" i="69"/>
  <c r="G181" i="69" s="1"/>
  <c r="Q181" i="61"/>
  <c r="Q241" i="61"/>
  <c r="F241" i="69"/>
  <c r="G241" i="69" s="1"/>
  <c r="K241" i="61"/>
  <c r="H241" i="61"/>
  <c r="F330" i="69"/>
  <c r="G330" i="69" s="1"/>
  <c r="Q330" i="61"/>
  <c r="K330" i="61"/>
  <c r="H330" i="61"/>
  <c r="F222" i="69"/>
  <c r="G222" i="69" s="1"/>
  <c r="Q222" i="61"/>
  <c r="K222" i="61"/>
  <c r="K181" i="61"/>
  <c r="Q379" i="61"/>
  <c r="F379" i="69"/>
  <c r="G379" i="69" s="1"/>
  <c r="K379" i="61"/>
  <c r="H379" i="61"/>
  <c r="F429" i="69"/>
  <c r="G429" i="69" s="1"/>
  <c r="Q429" i="61"/>
  <c r="K429" i="61"/>
  <c r="H429" i="61"/>
  <c r="Q8" i="61"/>
  <c r="F8" i="69"/>
  <c r="G8" i="69" s="1"/>
  <c r="F62" i="69"/>
  <c r="G62" i="69" s="1"/>
  <c r="Q62" i="61"/>
  <c r="H62" i="61"/>
  <c r="K62" i="61"/>
  <c r="F440" i="69"/>
  <c r="G440" i="69" s="1"/>
  <c r="Q440" i="61"/>
  <c r="K440" i="61"/>
  <c r="H440" i="61"/>
  <c r="K466" i="61"/>
  <c r="H72" i="61"/>
  <c r="H181" i="61"/>
  <c r="Q298" i="61"/>
  <c r="F298" i="69"/>
  <c r="G298" i="69" s="1"/>
  <c r="K298" i="61"/>
  <c r="H298" i="61"/>
  <c r="F94" i="69"/>
  <c r="G94" i="69" s="1"/>
  <c r="Q94" i="61"/>
  <c r="H94" i="61"/>
  <c r="K94" i="61"/>
  <c r="K305" i="61"/>
  <c r="F347" i="69"/>
  <c r="G347" i="69" s="1"/>
  <c r="Q347" i="61"/>
  <c r="K347" i="61"/>
  <c r="H347" i="61"/>
  <c r="H397" i="61"/>
  <c r="E412" i="61"/>
  <c r="F412" i="69" s="1"/>
  <c r="G412" i="69" s="1"/>
  <c r="E424" i="61"/>
  <c r="E452" i="61"/>
  <c r="E480" i="61"/>
  <c r="E17" i="61"/>
  <c r="E439" i="61"/>
  <c r="E375" i="61"/>
  <c r="E233" i="61"/>
  <c r="E109" i="61"/>
  <c r="E462" i="61"/>
  <c r="F462" i="69" s="1"/>
  <c r="G462" i="69" s="1"/>
  <c r="E398" i="61"/>
  <c r="E332" i="61"/>
  <c r="E201" i="61"/>
  <c r="E489" i="61"/>
  <c r="F489" i="69" s="1"/>
  <c r="G489" i="69" s="1"/>
  <c r="E425" i="61"/>
  <c r="E325" i="61"/>
  <c r="H325" i="61" s="1"/>
  <c r="E2" i="61"/>
  <c r="E18" i="61"/>
  <c r="E34" i="61"/>
  <c r="E50" i="61"/>
  <c r="E66" i="61"/>
  <c r="E82" i="61"/>
  <c r="E98" i="61"/>
  <c r="E114" i="61"/>
  <c r="E130" i="61"/>
  <c r="E146" i="61"/>
  <c r="H146" i="61" s="1"/>
  <c r="E162" i="61"/>
  <c r="E178" i="61"/>
  <c r="E194" i="61"/>
  <c r="E210" i="61"/>
  <c r="E226" i="61"/>
  <c r="E15" i="61"/>
  <c r="E31" i="61"/>
  <c r="E47" i="61"/>
  <c r="Q47" i="61" s="1"/>
  <c r="E63" i="61"/>
  <c r="E79" i="61"/>
  <c r="E95" i="61"/>
  <c r="E111" i="61"/>
  <c r="E127" i="61"/>
  <c r="E143" i="61"/>
  <c r="E159" i="61"/>
  <c r="Q159" i="61" s="1"/>
  <c r="E175" i="61"/>
  <c r="E191" i="61"/>
  <c r="E207" i="61"/>
  <c r="E223" i="61"/>
  <c r="E239" i="61"/>
  <c r="E255" i="61"/>
  <c r="E271" i="61"/>
  <c r="E287" i="61"/>
  <c r="E303" i="61"/>
  <c r="E319" i="61"/>
  <c r="Q319" i="61" s="1"/>
  <c r="E335" i="61"/>
  <c r="E12" i="61"/>
  <c r="E28" i="61"/>
  <c r="E44" i="61"/>
  <c r="F44" i="69" s="1"/>
  <c r="G44" i="69" s="1"/>
  <c r="E60" i="61"/>
  <c r="E76" i="61"/>
  <c r="K76" i="61" s="1"/>
  <c r="E92" i="61"/>
  <c r="E108" i="61"/>
  <c r="E124" i="61"/>
  <c r="E140" i="61"/>
  <c r="E156" i="61"/>
  <c r="E172" i="61"/>
  <c r="K172" i="61" s="1"/>
  <c r="E188" i="61"/>
  <c r="E204" i="61"/>
  <c r="E220" i="61"/>
  <c r="E236" i="61"/>
  <c r="E252" i="61"/>
  <c r="E268" i="61"/>
  <c r="E284" i="61"/>
  <c r="E300" i="61"/>
  <c r="E21" i="61"/>
  <c r="E85" i="61"/>
  <c r="E149" i="61"/>
  <c r="E213" i="61"/>
  <c r="E253" i="61"/>
  <c r="E285" i="61"/>
  <c r="E314" i="61"/>
  <c r="E336" i="61"/>
  <c r="E353" i="61"/>
  <c r="E369" i="61"/>
  <c r="E385" i="61"/>
  <c r="E401" i="61"/>
  <c r="E417" i="61"/>
  <c r="E433" i="61"/>
  <c r="E449" i="61"/>
  <c r="E465" i="61"/>
  <c r="E481" i="61"/>
  <c r="E497" i="61"/>
  <c r="E41" i="61"/>
  <c r="E105" i="61"/>
  <c r="E169" i="61"/>
  <c r="E230" i="61"/>
  <c r="E262" i="61"/>
  <c r="E294" i="61"/>
  <c r="E321" i="61"/>
  <c r="E342" i="61"/>
  <c r="E358" i="61"/>
  <c r="E374" i="61"/>
  <c r="E390" i="61"/>
  <c r="E406" i="61"/>
  <c r="H406" i="61" s="1"/>
  <c r="E422" i="61"/>
  <c r="E438" i="61"/>
  <c r="E454" i="61"/>
  <c r="E470" i="61"/>
  <c r="E486" i="61"/>
  <c r="E13" i="61"/>
  <c r="E77" i="61"/>
  <c r="F77" i="69" s="1"/>
  <c r="G77" i="69" s="1"/>
  <c r="E141" i="61"/>
  <c r="E205" i="61"/>
  <c r="E249" i="61"/>
  <c r="E281" i="61"/>
  <c r="E312" i="61"/>
  <c r="E333" i="61"/>
  <c r="E351" i="61"/>
  <c r="E367" i="61"/>
  <c r="E383" i="61"/>
  <c r="E399" i="61"/>
  <c r="E415" i="61"/>
  <c r="E431" i="61"/>
  <c r="E447" i="61"/>
  <c r="E463" i="61"/>
  <c r="Q463" i="61" s="1"/>
  <c r="E479" i="61"/>
  <c r="E495" i="61"/>
  <c r="E145" i="61"/>
  <c r="F145" i="69" s="1"/>
  <c r="G145" i="69" s="1"/>
  <c r="E313" i="61"/>
  <c r="E384" i="61"/>
  <c r="E448" i="61"/>
  <c r="E33" i="61"/>
  <c r="E258" i="61"/>
  <c r="E356" i="61"/>
  <c r="E420" i="61"/>
  <c r="K420" i="61" s="1"/>
  <c r="E484" i="61"/>
  <c r="E177" i="61"/>
  <c r="E324" i="61"/>
  <c r="Q324" i="61" s="1"/>
  <c r="E392" i="61"/>
  <c r="E456" i="61"/>
  <c r="E129" i="61"/>
  <c r="E306" i="61"/>
  <c r="E380" i="61"/>
  <c r="E444" i="61"/>
  <c r="E6" i="61"/>
  <c r="E22" i="61"/>
  <c r="E38" i="61"/>
  <c r="E54" i="61"/>
  <c r="E70" i="61"/>
  <c r="E86" i="61"/>
  <c r="H86" i="61" s="1"/>
  <c r="E102" i="61"/>
  <c r="E118" i="61"/>
  <c r="E134" i="61"/>
  <c r="E150" i="61"/>
  <c r="E166" i="61"/>
  <c r="E182" i="61"/>
  <c r="E198" i="61"/>
  <c r="E214" i="61"/>
  <c r="E3" i="61"/>
  <c r="E19" i="61"/>
  <c r="E35" i="61"/>
  <c r="E51" i="61"/>
  <c r="E67" i="61"/>
  <c r="E83" i="61"/>
  <c r="E99" i="61"/>
  <c r="E115" i="61"/>
  <c r="Q115" i="61" s="1"/>
  <c r="E131" i="61"/>
  <c r="E147" i="61"/>
  <c r="Q147" i="61" s="1"/>
  <c r="E163" i="61"/>
  <c r="E179" i="61"/>
  <c r="E195" i="61"/>
  <c r="E211" i="61"/>
  <c r="E227" i="61"/>
  <c r="E243" i="61"/>
  <c r="E259" i="61"/>
  <c r="E275" i="61"/>
  <c r="E291" i="61"/>
  <c r="E307" i="61"/>
  <c r="E323" i="61"/>
  <c r="E339" i="61"/>
  <c r="Q339" i="61" s="1"/>
  <c r="E16" i="61"/>
  <c r="E32" i="61"/>
  <c r="E48" i="61"/>
  <c r="E64" i="61"/>
  <c r="E80" i="61"/>
  <c r="E96" i="61"/>
  <c r="E112" i="61"/>
  <c r="E128" i="61"/>
  <c r="E144" i="61"/>
  <c r="E160" i="61"/>
  <c r="Q160" i="61" s="1"/>
  <c r="E176" i="61"/>
  <c r="E192" i="61"/>
  <c r="E208" i="61"/>
  <c r="E224" i="61"/>
  <c r="E240" i="61"/>
  <c r="E256" i="61"/>
  <c r="E272" i="61"/>
  <c r="E288" i="61"/>
  <c r="E304" i="61"/>
  <c r="E37" i="61"/>
  <c r="E101" i="61"/>
  <c r="F101" i="69" s="1"/>
  <c r="G101" i="69" s="1"/>
  <c r="E165" i="61"/>
  <c r="E229" i="61"/>
  <c r="E261" i="61"/>
  <c r="E293" i="61"/>
  <c r="E320" i="61"/>
  <c r="E341" i="61"/>
  <c r="F341" i="69" s="1"/>
  <c r="G341" i="69" s="1"/>
  <c r="E357" i="61"/>
  <c r="E373" i="61"/>
  <c r="E389" i="61"/>
  <c r="E405" i="61"/>
  <c r="E421" i="61"/>
  <c r="K421" i="61" s="1"/>
  <c r="E437" i="61"/>
  <c r="E453" i="61"/>
  <c r="E469" i="61"/>
  <c r="E485" i="61"/>
  <c r="E501" i="61"/>
  <c r="E57" i="61"/>
  <c r="E121" i="61"/>
  <c r="H121" i="61" s="1"/>
  <c r="E185" i="61"/>
  <c r="E238" i="61"/>
  <c r="E270" i="61"/>
  <c r="E302" i="61"/>
  <c r="E326" i="61"/>
  <c r="F326" i="69" s="1"/>
  <c r="G326" i="69" s="1"/>
  <c r="E346" i="61"/>
  <c r="K346" i="61" s="1"/>
  <c r="E362" i="61"/>
  <c r="E378" i="61"/>
  <c r="E394" i="61"/>
  <c r="E410" i="61"/>
  <c r="E426" i="61"/>
  <c r="E442" i="61"/>
  <c r="E458" i="61"/>
  <c r="E474" i="61"/>
  <c r="E490" i="61"/>
  <c r="E29" i="61"/>
  <c r="E93" i="61"/>
  <c r="E157" i="61"/>
  <c r="E221" i="61"/>
  <c r="E257" i="61"/>
  <c r="E289" i="61"/>
  <c r="E317" i="61"/>
  <c r="K317" i="61" s="1"/>
  <c r="E338" i="61"/>
  <c r="F338" i="69" s="1"/>
  <c r="G338" i="69" s="1"/>
  <c r="E355" i="61"/>
  <c r="E371" i="61"/>
  <c r="E387" i="61"/>
  <c r="E403" i="61"/>
  <c r="E419" i="61"/>
  <c r="E435" i="61"/>
  <c r="E451" i="61"/>
  <c r="E467" i="61"/>
  <c r="E483" i="61"/>
  <c r="E499" i="61"/>
  <c r="E209" i="61"/>
  <c r="E334" i="61"/>
  <c r="E400" i="61"/>
  <c r="E464" i="61"/>
  <c r="E97" i="61"/>
  <c r="E290" i="61"/>
  <c r="E372" i="61"/>
  <c r="E436" i="61"/>
  <c r="E500" i="61"/>
  <c r="E234" i="61"/>
  <c r="E344" i="61"/>
  <c r="E408" i="61"/>
  <c r="Q408" i="61" s="1"/>
  <c r="E472" i="61"/>
  <c r="E193" i="61"/>
  <c r="E329" i="61"/>
  <c r="E396" i="61"/>
  <c r="E460" i="61"/>
  <c r="E242" i="61"/>
  <c r="E266" i="61"/>
  <c r="E318" i="61"/>
  <c r="K318" i="61" s="1"/>
  <c r="E352" i="61"/>
  <c r="E471" i="61"/>
  <c r="E407" i="61"/>
  <c r="E343" i="61"/>
  <c r="E297" i="61"/>
  <c r="E494" i="61"/>
  <c r="E430" i="61"/>
  <c r="E366" i="61"/>
  <c r="E278" i="61"/>
  <c r="E73" i="61"/>
  <c r="E457" i="61"/>
  <c r="E393" i="61"/>
  <c r="E361" i="61"/>
  <c r="E269" i="61"/>
  <c r="E53" i="61"/>
  <c r="E260" i="61"/>
  <c r="E196" i="61"/>
  <c r="E132" i="61"/>
  <c r="E100" i="61"/>
  <c r="E36" i="61"/>
  <c r="E311" i="61"/>
  <c r="E247" i="61"/>
  <c r="E183" i="61"/>
  <c r="E119" i="61"/>
  <c r="E55" i="61"/>
  <c r="E218" i="61"/>
  <c r="E186" i="61"/>
  <c r="E154" i="61"/>
  <c r="E122" i="61"/>
  <c r="Q122" i="61" s="1"/>
  <c r="E58" i="61"/>
  <c r="E26" i="61"/>
  <c r="E492" i="61"/>
  <c r="Q492" i="61" s="1"/>
  <c r="E364" i="61"/>
  <c r="E65" i="61"/>
  <c r="E376" i="61"/>
  <c r="F376" i="69" s="1"/>
  <c r="G376" i="69" s="1"/>
  <c r="E113" i="61"/>
  <c r="E404" i="61"/>
  <c r="E225" i="61"/>
  <c r="E432" i="61"/>
  <c r="E282" i="61"/>
  <c r="E491" i="61"/>
  <c r="K491" i="61" s="1"/>
  <c r="E459" i="61"/>
  <c r="E427" i="61"/>
  <c r="E395" i="61"/>
  <c r="E363" i="61"/>
  <c r="E328" i="61"/>
  <c r="E273" i="61"/>
  <c r="E189" i="61"/>
  <c r="E61" i="61"/>
  <c r="E482" i="61"/>
  <c r="E450" i="61"/>
  <c r="E418" i="61"/>
  <c r="E386" i="61"/>
  <c r="E354" i="61"/>
  <c r="E316" i="61"/>
  <c r="E254" i="61"/>
  <c r="E153" i="61"/>
  <c r="E25" i="61"/>
  <c r="E477" i="61"/>
  <c r="E445" i="61"/>
  <c r="E413" i="61"/>
  <c r="F413" i="69" s="1"/>
  <c r="G413" i="69" s="1"/>
  <c r="E381" i="61"/>
  <c r="E349" i="61"/>
  <c r="E309" i="61"/>
  <c r="E245" i="61"/>
  <c r="E133" i="61"/>
  <c r="E5" i="61"/>
  <c r="E280" i="61"/>
  <c r="E248" i="61"/>
  <c r="E216" i="61"/>
  <c r="E184" i="61"/>
  <c r="E152" i="61"/>
  <c r="E120" i="61"/>
  <c r="K120" i="61" s="1"/>
  <c r="E88" i="61"/>
  <c r="F88" i="69" s="1"/>
  <c r="G88" i="69" s="1"/>
  <c r="E56" i="61"/>
  <c r="E24" i="61"/>
  <c r="E331" i="61"/>
  <c r="E299" i="61"/>
  <c r="E267" i="61"/>
  <c r="E235" i="61"/>
  <c r="E203" i="61"/>
  <c r="E171" i="61"/>
  <c r="Q171" i="61" s="1"/>
  <c r="E139" i="61"/>
  <c r="E107" i="61"/>
  <c r="E75" i="61"/>
  <c r="F75" i="69" s="1"/>
  <c r="G75" i="69" s="1"/>
  <c r="E43" i="61"/>
  <c r="F43" i="69" s="1"/>
  <c r="G43" i="69" s="1"/>
  <c r="E11" i="61"/>
  <c r="E206" i="61"/>
  <c r="E174" i="61"/>
  <c r="E142" i="61"/>
  <c r="E110" i="61"/>
  <c r="E78" i="61"/>
  <c r="E46" i="61"/>
  <c r="E14" i="61"/>
  <c r="E292" i="61"/>
  <c r="E228" i="61"/>
  <c r="E164" i="61"/>
  <c r="E68" i="61"/>
  <c r="E4" i="61"/>
  <c r="E279" i="61"/>
  <c r="E215" i="61"/>
  <c r="E151" i="61"/>
  <c r="E87" i="61"/>
  <c r="K87" i="61" s="1"/>
  <c r="E23" i="61"/>
  <c r="E90" i="61"/>
  <c r="E476" i="61"/>
  <c r="E348" i="61"/>
  <c r="E488" i="61"/>
  <c r="Q488" i="61" s="1"/>
  <c r="E360" i="61"/>
  <c r="E49" i="61"/>
  <c r="H49" i="61" s="1"/>
  <c r="E388" i="61"/>
  <c r="E161" i="61"/>
  <c r="E416" i="61"/>
  <c r="E250" i="61"/>
  <c r="E487" i="61"/>
  <c r="F487" i="69" s="1"/>
  <c r="G487" i="69" s="1"/>
  <c r="E455" i="61"/>
  <c r="E423" i="61"/>
  <c r="E391" i="61"/>
  <c r="E359" i="61"/>
  <c r="E322" i="61"/>
  <c r="E265" i="61"/>
  <c r="F265" i="69" s="1"/>
  <c r="G265" i="69" s="1"/>
  <c r="E173" i="61"/>
  <c r="K173" i="61" s="1"/>
  <c r="E45" i="61"/>
  <c r="F45" i="69" s="1"/>
  <c r="G45" i="69" s="1"/>
  <c r="E478" i="61"/>
  <c r="E446" i="61"/>
  <c r="E414" i="61"/>
  <c r="F414" i="69" s="1"/>
  <c r="G414" i="69" s="1"/>
  <c r="E382" i="61"/>
  <c r="E350" i="61"/>
  <c r="E310" i="61"/>
  <c r="E246" i="61"/>
  <c r="E137" i="61"/>
  <c r="E9" i="61"/>
  <c r="E473" i="61"/>
  <c r="E441" i="61"/>
  <c r="E409" i="61"/>
  <c r="K409" i="61" s="1"/>
  <c r="E377" i="61"/>
  <c r="Q377" i="61" s="1"/>
  <c r="E345" i="61"/>
  <c r="F345" i="69" s="1"/>
  <c r="G345" i="69" s="1"/>
  <c r="E301" i="61"/>
  <c r="E237" i="61"/>
  <c r="E117" i="61"/>
  <c r="F117" i="69" s="1"/>
  <c r="G117" i="69" s="1"/>
  <c r="E308" i="61"/>
  <c r="E276" i="61"/>
  <c r="E244" i="61"/>
  <c r="E212" i="61"/>
  <c r="E180" i="61"/>
  <c r="E148" i="61"/>
  <c r="E116" i="61"/>
  <c r="H116" i="61" s="1"/>
  <c r="E84" i="61"/>
  <c r="E52" i="61"/>
  <c r="E20" i="61"/>
  <c r="E327" i="61"/>
  <c r="E295" i="61"/>
  <c r="E263" i="61"/>
  <c r="K263" i="61" s="1"/>
  <c r="E231" i="61"/>
  <c r="E199" i="61"/>
  <c r="E167" i="61"/>
  <c r="E135" i="61"/>
  <c r="E103" i="61"/>
  <c r="H103" i="61" s="1"/>
  <c r="E71" i="61"/>
  <c r="E39" i="61"/>
  <c r="E7" i="61"/>
  <c r="E202" i="61"/>
  <c r="E170" i="61"/>
  <c r="E138" i="61"/>
  <c r="E106" i="61"/>
  <c r="E74" i="61"/>
  <c r="E42" i="61"/>
  <c r="E10" i="61"/>
  <c r="Q421" i="61"/>
  <c r="Q340" i="61"/>
  <c r="F339" i="69"/>
  <c r="G339" i="69" s="1"/>
  <c r="F406" i="69"/>
  <c r="G406" i="69" s="1"/>
  <c r="Q406" i="61"/>
  <c r="F337" i="69"/>
  <c r="G337" i="69" s="1"/>
  <c r="Q337" i="61"/>
  <c r="F488" i="69"/>
  <c r="G488" i="69" s="1"/>
  <c r="F76" i="69"/>
  <c r="G76" i="69" s="1"/>
  <c r="F493" i="69"/>
  <c r="G493" i="69" s="1"/>
  <c r="Q493" i="61"/>
  <c r="F319" i="69"/>
  <c r="G319" i="69" s="1"/>
  <c r="K340" i="61"/>
  <c r="H76" i="61"/>
  <c r="H340" i="61"/>
  <c r="H147" i="61"/>
  <c r="K377" i="61"/>
  <c r="H462" i="61"/>
  <c r="K493" i="61"/>
  <c r="H493" i="61"/>
  <c r="K339" i="61"/>
  <c r="H326" i="61"/>
  <c r="K406" i="61"/>
  <c r="K337" i="61"/>
  <c r="H337" i="61"/>
  <c r="K461" i="61"/>
  <c r="H421" i="61"/>
  <c r="H101" i="61"/>
  <c r="H7" i="56"/>
  <c r="O3" i="35"/>
  <c r="I5" i="35"/>
  <c r="H6" i="56"/>
  <c r="H4" i="56"/>
  <c r="U7" i="57"/>
  <c r="E7" i="57"/>
  <c r="L7" i="57"/>
  <c r="R7" i="57"/>
  <c r="K4" i="35"/>
  <c r="N3" i="35"/>
  <c r="I5" i="14"/>
  <c r="I4" i="14"/>
  <c r="L4" i="35"/>
  <c r="L3" i="35"/>
  <c r="L5" i="35"/>
  <c r="C5" i="35"/>
  <c r="C4" i="35"/>
  <c r="C6" i="35"/>
  <c r="K5" i="35"/>
  <c r="J8" i="32"/>
  <c r="C495" i="27"/>
  <c r="D494" i="27"/>
  <c r="C491" i="27"/>
  <c r="C465" i="27"/>
  <c r="D461" i="27"/>
  <c r="D457" i="27"/>
  <c r="D444" i="27"/>
  <c r="C423" i="27"/>
  <c r="C416" i="27"/>
  <c r="D415" i="27"/>
  <c r="C411" i="27"/>
  <c r="C410" i="27"/>
  <c r="D402" i="27"/>
  <c r="D398" i="27"/>
  <c r="D388" i="27"/>
  <c r="C388" i="27"/>
  <c r="C380" i="27"/>
  <c r="D360" i="27"/>
  <c r="D356" i="27"/>
  <c r="C348" i="27"/>
  <c r="C343" i="27"/>
  <c r="C341" i="27"/>
  <c r="D339" i="27"/>
  <c r="C328" i="27"/>
  <c r="C321" i="27"/>
  <c r="D289" i="27"/>
  <c r="D269" i="27"/>
  <c r="C267" i="27"/>
  <c r="D257" i="27"/>
  <c r="D241" i="27"/>
  <c r="D221" i="27"/>
  <c r="D208" i="27"/>
  <c r="D200" i="27"/>
  <c r="C175" i="27"/>
  <c r="C162" i="27"/>
  <c r="C149" i="27"/>
  <c r="D128" i="27"/>
  <c r="C124" i="27"/>
  <c r="C119" i="27"/>
  <c r="D116" i="27"/>
  <c r="C105" i="27"/>
  <c r="D94" i="27"/>
  <c r="C90" i="27"/>
  <c r="D79" i="27"/>
  <c r="C79" i="27"/>
  <c r="D58" i="27"/>
  <c r="C51" i="27"/>
  <c r="C47" i="27"/>
  <c r="D29" i="27"/>
  <c r="D6" i="27"/>
  <c r="C6" i="12"/>
  <c r="I5" i="12"/>
  <c r="H5" i="12"/>
  <c r="G5" i="12"/>
  <c r="F5" i="12"/>
  <c r="C5" i="12"/>
  <c r="I4" i="12"/>
  <c r="H4" i="12"/>
  <c r="G4" i="12"/>
  <c r="F4" i="12"/>
  <c r="C4" i="12"/>
  <c r="L3" i="12"/>
  <c r="K3" i="12"/>
  <c r="J3" i="12"/>
  <c r="I3" i="12"/>
  <c r="H3" i="12"/>
  <c r="G3" i="12"/>
  <c r="F3" i="12"/>
  <c r="C6" i="5"/>
  <c r="I5" i="5"/>
  <c r="H5" i="5"/>
  <c r="G5" i="5"/>
  <c r="F5" i="5"/>
  <c r="C5" i="5"/>
  <c r="I4" i="5"/>
  <c r="H4" i="5"/>
  <c r="G4" i="5"/>
  <c r="F4" i="5"/>
  <c r="C4" i="5"/>
  <c r="L3" i="5"/>
  <c r="K3" i="5"/>
  <c r="J3" i="5"/>
  <c r="I3" i="5"/>
  <c r="H3" i="5"/>
  <c r="G3" i="5"/>
  <c r="F3" i="5"/>
  <c r="M17" i="2"/>
  <c r="M15" i="2"/>
  <c r="M13" i="2"/>
  <c r="M11" i="2"/>
  <c r="M7" i="2"/>
  <c r="M5" i="2"/>
  <c r="K397" i="61" l="1"/>
  <c r="F318" i="69"/>
  <c r="G318" i="69" s="1"/>
  <c r="Q104" i="61"/>
  <c r="K123" i="61"/>
  <c r="H408" i="61"/>
  <c r="K326" i="61"/>
  <c r="H145" i="61"/>
  <c r="H159" i="61"/>
  <c r="K159" i="61"/>
  <c r="Q412" i="61"/>
  <c r="F408" i="69"/>
  <c r="G408" i="69" s="1"/>
  <c r="Q145" i="61"/>
  <c r="F492" i="69"/>
  <c r="G492" i="69" s="1"/>
  <c r="F159" i="69"/>
  <c r="G159" i="69" s="1"/>
  <c r="K117" i="61"/>
  <c r="K408" i="61"/>
  <c r="H339" i="61"/>
  <c r="L339" i="61" s="1"/>
  <c r="K145" i="61"/>
  <c r="K412" i="61"/>
  <c r="H412" i="61"/>
  <c r="Q76" i="61"/>
  <c r="L76" i="61" s="1"/>
  <c r="M76" i="61" s="1"/>
  <c r="O76" i="61" s="1"/>
  <c r="H318" i="61"/>
  <c r="K488" i="61"/>
  <c r="Q318" i="61"/>
  <c r="Q420" i="61"/>
  <c r="F69" i="69"/>
  <c r="G69" i="69" s="1"/>
  <c r="L222" i="61"/>
  <c r="H45" i="61"/>
  <c r="H376" i="61"/>
  <c r="K136" i="61"/>
  <c r="H155" i="61"/>
  <c r="F443" i="69"/>
  <c r="G443" i="69" s="1"/>
  <c r="H368" i="61"/>
  <c r="Q325" i="61"/>
  <c r="Q121" i="61"/>
  <c r="F158" i="69"/>
  <c r="G158" i="69" s="1"/>
  <c r="Q45" i="61"/>
  <c r="F30" i="69"/>
  <c r="G30" i="69" s="1"/>
  <c r="F315" i="69"/>
  <c r="G315" i="69" s="1"/>
  <c r="Q397" i="61"/>
  <c r="L94" i="61"/>
  <c r="M94" i="61" s="1"/>
  <c r="O94" i="61" s="1"/>
  <c r="Q2" i="61"/>
  <c r="H2" i="61"/>
  <c r="H489" i="61"/>
  <c r="Q462" i="61"/>
  <c r="Q158" i="61"/>
  <c r="Q489" i="61"/>
  <c r="K155" i="61"/>
  <c r="H69" i="61"/>
  <c r="F190" i="69"/>
  <c r="G190" i="69" s="1"/>
  <c r="K217" i="61"/>
  <c r="H47" i="61"/>
  <c r="K158" i="61"/>
  <c r="H492" i="61"/>
  <c r="K147" i="61"/>
  <c r="H491" i="61"/>
  <c r="Q117" i="61"/>
  <c r="F147" i="69"/>
  <c r="G147" i="69" s="1"/>
  <c r="Q326" i="61"/>
  <c r="Q346" i="61"/>
  <c r="Q461" i="61"/>
  <c r="Q317" i="61"/>
  <c r="F421" i="69"/>
  <c r="G421" i="69" s="1"/>
  <c r="F475" i="69"/>
  <c r="G475" i="69" s="1"/>
  <c r="H126" i="61"/>
  <c r="Q155" i="61"/>
  <c r="K69" i="61"/>
  <c r="Q466" i="61"/>
  <c r="L466" i="61" s="1"/>
  <c r="M466" i="61" s="1"/>
  <c r="O466" i="61" s="1"/>
  <c r="F81" i="69"/>
  <c r="G81" i="69" s="1"/>
  <c r="F496" i="69"/>
  <c r="G496" i="69" s="1"/>
  <c r="H263" i="61"/>
  <c r="F377" i="69"/>
  <c r="G377" i="69" s="1"/>
  <c r="H413" i="61"/>
  <c r="H461" i="61"/>
  <c r="K492" i="61"/>
  <c r="H377" i="61"/>
  <c r="L377" i="61" s="1"/>
  <c r="H75" i="61"/>
  <c r="Q146" i="61"/>
  <c r="Q116" i="61"/>
  <c r="F47" i="69"/>
  <c r="G47" i="69" s="1"/>
  <c r="K126" i="61"/>
  <c r="F466" i="69"/>
  <c r="G466" i="69" s="1"/>
  <c r="F40" i="69"/>
  <c r="G40" i="69" s="1"/>
  <c r="F27" i="69"/>
  <c r="G27" i="69" s="1"/>
  <c r="D11" i="5"/>
  <c r="D11" i="12"/>
  <c r="L11" i="12" s="1"/>
  <c r="D15" i="12"/>
  <c r="L15" i="12" s="1"/>
  <c r="D19" i="12"/>
  <c r="L19" i="12" s="1"/>
  <c r="D23" i="12"/>
  <c r="L23" i="12" s="1"/>
  <c r="D27" i="12"/>
  <c r="L27" i="12" s="1"/>
  <c r="D31" i="12"/>
  <c r="L31" i="12" s="1"/>
  <c r="D35" i="12"/>
  <c r="L35" i="12" s="1"/>
  <c r="D39" i="12"/>
  <c r="L39" i="12" s="1"/>
  <c r="D43" i="12"/>
  <c r="L43" i="12" s="1"/>
  <c r="D47" i="12"/>
  <c r="L47" i="12" s="1"/>
  <c r="D51" i="12"/>
  <c r="L51" i="12" s="1"/>
  <c r="D55" i="12"/>
  <c r="L55" i="12" s="1"/>
  <c r="D59" i="12"/>
  <c r="L59" i="12" s="1"/>
  <c r="D63" i="12"/>
  <c r="L63" i="12" s="1"/>
  <c r="D67" i="12"/>
  <c r="L67" i="12" s="1"/>
  <c r="D71" i="12"/>
  <c r="L71" i="12" s="1"/>
  <c r="D75" i="12"/>
  <c r="L75" i="12" s="1"/>
  <c r="D79" i="12"/>
  <c r="L79" i="12" s="1"/>
  <c r="D83" i="12"/>
  <c r="L83" i="12" s="1"/>
  <c r="D87" i="12"/>
  <c r="L87" i="12" s="1"/>
  <c r="D91" i="12"/>
  <c r="L91" i="12" s="1"/>
  <c r="D95" i="12"/>
  <c r="L95" i="12" s="1"/>
  <c r="D99" i="12"/>
  <c r="L99" i="12" s="1"/>
  <c r="D103" i="12"/>
  <c r="L103" i="12" s="1"/>
  <c r="D107" i="12"/>
  <c r="L107" i="12" s="1"/>
  <c r="D111" i="12"/>
  <c r="L111" i="12" s="1"/>
  <c r="D115" i="12"/>
  <c r="L115" i="12" s="1"/>
  <c r="D119" i="12"/>
  <c r="L119" i="12" s="1"/>
  <c r="D123" i="12"/>
  <c r="L123" i="12" s="1"/>
  <c r="D127" i="12"/>
  <c r="L127" i="12" s="1"/>
  <c r="D131" i="12"/>
  <c r="L131" i="12" s="1"/>
  <c r="D135" i="12"/>
  <c r="L135" i="12" s="1"/>
  <c r="D139" i="12"/>
  <c r="L139" i="12" s="1"/>
  <c r="D143" i="12"/>
  <c r="L143" i="12" s="1"/>
  <c r="D147" i="12"/>
  <c r="L147" i="12" s="1"/>
  <c r="D151" i="12"/>
  <c r="L151" i="12" s="1"/>
  <c r="D155" i="12"/>
  <c r="L155" i="12" s="1"/>
  <c r="D159" i="12"/>
  <c r="L159" i="12" s="1"/>
  <c r="D163" i="12"/>
  <c r="L163" i="12" s="1"/>
  <c r="D167" i="12"/>
  <c r="L167" i="12" s="1"/>
  <c r="D171" i="12"/>
  <c r="L171" i="12" s="1"/>
  <c r="D175" i="12"/>
  <c r="L175" i="12" s="1"/>
  <c r="D179" i="12"/>
  <c r="L179" i="12" s="1"/>
  <c r="D183" i="12"/>
  <c r="L183" i="12" s="1"/>
  <c r="D187" i="12"/>
  <c r="L187" i="12" s="1"/>
  <c r="D191" i="12"/>
  <c r="L191" i="12" s="1"/>
  <c r="D195" i="12"/>
  <c r="L195" i="12" s="1"/>
  <c r="D199" i="12"/>
  <c r="L199" i="12" s="1"/>
  <c r="D203" i="12"/>
  <c r="L203" i="12" s="1"/>
  <c r="D207" i="12"/>
  <c r="L207" i="12" s="1"/>
  <c r="D211" i="12"/>
  <c r="L211" i="12" s="1"/>
  <c r="D215" i="12"/>
  <c r="L215" i="12" s="1"/>
  <c r="D219" i="12"/>
  <c r="L219" i="12" s="1"/>
  <c r="D223" i="12"/>
  <c r="L223" i="12" s="1"/>
  <c r="D227" i="12"/>
  <c r="L227" i="12" s="1"/>
  <c r="D231" i="12"/>
  <c r="L231" i="12" s="1"/>
  <c r="D235" i="12"/>
  <c r="L235" i="12" s="1"/>
  <c r="D239" i="12"/>
  <c r="L239" i="12" s="1"/>
  <c r="D243" i="12"/>
  <c r="L243" i="12" s="1"/>
  <c r="D247" i="12"/>
  <c r="L247" i="12" s="1"/>
  <c r="D251" i="12"/>
  <c r="L251" i="12" s="1"/>
  <c r="D255" i="12"/>
  <c r="L255" i="12" s="1"/>
  <c r="D259" i="12"/>
  <c r="L259" i="12" s="1"/>
  <c r="D263" i="12"/>
  <c r="L263" i="12" s="1"/>
  <c r="D267" i="12"/>
  <c r="L267" i="12" s="1"/>
  <c r="D271" i="12"/>
  <c r="L271" i="12" s="1"/>
  <c r="D275" i="12"/>
  <c r="L275" i="12" s="1"/>
  <c r="D279" i="12"/>
  <c r="L279" i="12" s="1"/>
  <c r="D283" i="12"/>
  <c r="L283" i="12" s="1"/>
  <c r="D287" i="12"/>
  <c r="L287" i="12" s="1"/>
  <c r="D291" i="12"/>
  <c r="L291" i="12" s="1"/>
  <c r="D295" i="12"/>
  <c r="L295" i="12" s="1"/>
  <c r="D299" i="12"/>
  <c r="L299" i="12" s="1"/>
  <c r="D303" i="12"/>
  <c r="L303" i="12" s="1"/>
  <c r="D307" i="12"/>
  <c r="L307" i="12" s="1"/>
  <c r="D311" i="12"/>
  <c r="L311" i="12" s="1"/>
  <c r="D315" i="12"/>
  <c r="L315" i="12" s="1"/>
  <c r="D319" i="12"/>
  <c r="L319" i="12" s="1"/>
  <c r="D323" i="12"/>
  <c r="L323" i="12" s="1"/>
  <c r="D327" i="12"/>
  <c r="L327" i="12" s="1"/>
  <c r="D331" i="12"/>
  <c r="L331" i="12" s="1"/>
  <c r="D335" i="12"/>
  <c r="L335" i="12" s="1"/>
  <c r="D339" i="12"/>
  <c r="L339" i="12" s="1"/>
  <c r="D343" i="12"/>
  <c r="L343" i="12" s="1"/>
  <c r="D347" i="12"/>
  <c r="L347" i="12" s="1"/>
  <c r="D12" i="12"/>
  <c r="L12" i="12" s="1"/>
  <c r="D16" i="12"/>
  <c r="L16" i="12" s="1"/>
  <c r="D20" i="12"/>
  <c r="L20" i="12" s="1"/>
  <c r="D24" i="12"/>
  <c r="L24" i="12" s="1"/>
  <c r="D28" i="12"/>
  <c r="L28" i="12" s="1"/>
  <c r="D32" i="12"/>
  <c r="L32" i="12" s="1"/>
  <c r="D36" i="12"/>
  <c r="L36" i="12" s="1"/>
  <c r="D40" i="12"/>
  <c r="L40" i="12" s="1"/>
  <c r="D44" i="12"/>
  <c r="L44" i="12" s="1"/>
  <c r="D48" i="12"/>
  <c r="L48" i="12" s="1"/>
  <c r="D52" i="12"/>
  <c r="L52" i="12" s="1"/>
  <c r="D56" i="12"/>
  <c r="L56" i="12" s="1"/>
  <c r="D60" i="12"/>
  <c r="L60" i="12" s="1"/>
  <c r="D64" i="12"/>
  <c r="L64" i="12" s="1"/>
  <c r="D68" i="12"/>
  <c r="L68" i="12" s="1"/>
  <c r="D72" i="12"/>
  <c r="L72" i="12" s="1"/>
  <c r="D76" i="12"/>
  <c r="L76" i="12" s="1"/>
  <c r="D80" i="12"/>
  <c r="L80" i="12" s="1"/>
  <c r="D84" i="12"/>
  <c r="L84" i="12" s="1"/>
  <c r="D88" i="12"/>
  <c r="L88" i="12" s="1"/>
  <c r="D92" i="12"/>
  <c r="L92" i="12" s="1"/>
  <c r="D96" i="12"/>
  <c r="L96" i="12" s="1"/>
  <c r="D100" i="12"/>
  <c r="L100" i="12" s="1"/>
  <c r="D104" i="12"/>
  <c r="L104" i="12" s="1"/>
  <c r="D108" i="12"/>
  <c r="L108" i="12" s="1"/>
  <c r="D112" i="12"/>
  <c r="L112" i="12" s="1"/>
  <c r="D116" i="12"/>
  <c r="L116" i="12" s="1"/>
  <c r="D120" i="12"/>
  <c r="L120" i="12" s="1"/>
  <c r="D124" i="12"/>
  <c r="L124" i="12" s="1"/>
  <c r="D128" i="12"/>
  <c r="L128" i="12" s="1"/>
  <c r="D132" i="12"/>
  <c r="L132" i="12" s="1"/>
  <c r="D136" i="12"/>
  <c r="L136" i="12" s="1"/>
  <c r="D140" i="12"/>
  <c r="L140" i="12" s="1"/>
  <c r="D144" i="12"/>
  <c r="L144" i="12" s="1"/>
  <c r="D148" i="12"/>
  <c r="L148" i="12" s="1"/>
  <c r="D152" i="12"/>
  <c r="L152" i="12" s="1"/>
  <c r="D156" i="12"/>
  <c r="L156" i="12" s="1"/>
  <c r="D160" i="12"/>
  <c r="L160" i="12" s="1"/>
  <c r="D164" i="12"/>
  <c r="L164" i="12" s="1"/>
  <c r="D168" i="12"/>
  <c r="L168" i="12" s="1"/>
  <c r="D172" i="12"/>
  <c r="L172" i="12" s="1"/>
  <c r="D176" i="12"/>
  <c r="L176" i="12" s="1"/>
  <c r="D180" i="12"/>
  <c r="L180" i="12" s="1"/>
  <c r="D184" i="12"/>
  <c r="L184" i="12" s="1"/>
  <c r="D188" i="12"/>
  <c r="L188" i="12" s="1"/>
  <c r="D192" i="12"/>
  <c r="L192" i="12" s="1"/>
  <c r="D196" i="12"/>
  <c r="L196" i="12" s="1"/>
  <c r="D200" i="12"/>
  <c r="L200" i="12" s="1"/>
  <c r="D204" i="12"/>
  <c r="L204" i="12" s="1"/>
  <c r="D208" i="12"/>
  <c r="L208" i="12" s="1"/>
  <c r="D212" i="12"/>
  <c r="L212" i="12" s="1"/>
  <c r="D216" i="12"/>
  <c r="L216" i="12" s="1"/>
  <c r="D220" i="12"/>
  <c r="L220" i="12" s="1"/>
  <c r="D224" i="12"/>
  <c r="L224" i="12" s="1"/>
  <c r="D228" i="12"/>
  <c r="L228" i="12" s="1"/>
  <c r="D232" i="12"/>
  <c r="L232" i="12" s="1"/>
  <c r="D236" i="12"/>
  <c r="L236" i="12" s="1"/>
  <c r="D240" i="12"/>
  <c r="L240" i="12" s="1"/>
  <c r="D244" i="12"/>
  <c r="L244" i="12" s="1"/>
  <c r="D248" i="12"/>
  <c r="L248" i="12" s="1"/>
  <c r="D252" i="12"/>
  <c r="L252" i="12" s="1"/>
  <c r="D256" i="12"/>
  <c r="L256" i="12" s="1"/>
  <c r="D260" i="12"/>
  <c r="L260" i="12" s="1"/>
  <c r="D264" i="12"/>
  <c r="L264" i="12" s="1"/>
  <c r="D268" i="12"/>
  <c r="L268" i="12" s="1"/>
  <c r="D272" i="12"/>
  <c r="L272" i="12" s="1"/>
  <c r="D276" i="12"/>
  <c r="L276" i="12" s="1"/>
  <c r="D280" i="12"/>
  <c r="L280" i="12" s="1"/>
  <c r="D284" i="12"/>
  <c r="L284" i="12" s="1"/>
  <c r="D288" i="12"/>
  <c r="L288" i="12" s="1"/>
  <c r="D13" i="12"/>
  <c r="L13" i="12" s="1"/>
  <c r="D21" i="12"/>
  <c r="L21" i="12" s="1"/>
  <c r="D29" i="12"/>
  <c r="L29" i="12" s="1"/>
  <c r="D37" i="12"/>
  <c r="L37" i="12" s="1"/>
  <c r="D45" i="12"/>
  <c r="L45" i="12" s="1"/>
  <c r="D53" i="12"/>
  <c r="L53" i="12" s="1"/>
  <c r="D61" i="12"/>
  <c r="L61" i="12" s="1"/>
  <c r="D69" i="12"/>
  <c r="L69" i="12" s="1"/>
  <c r="D77" i="12"/>
  <c r="L77" i="12" s="1"/>
  <c r="D85" i="12"/>
  <c r="L85" i="12" s="1"/>
  <c r="D93" i="12"/>
  <c r="L93" i="12" s="1"/>
  <c r="D101" i="12"/>
  <c r="L101" i="12" s="1"/>
  <c r="D109" i="12"/>
  <c r="L109" i="12" s="1"/>
  <c r="D117" i="12"/>
  <c r="L117" i="12" s="1"/>
  <c r="D125" i="12"/>
  <c r="L125" i="12" s="1"/>
  <c r="D133" i="12"/>
  <c r="L133" i="12" s="1"/>
  <c r="D141" i="12"/>
  <c r="L141" i="12" s="1"/>
  <c r="D149" i="12"/>
  <c r="L149" i="12" s="1"/>
  <c r="D157" i="12"/>
  <c r="L157" i="12" s="1"/>
  <c r="D165" i="12"/>
  <c r="L165" i="12" s="1"/>
  <c r="D173" i="12"/>
  <c r="L173" i="12" s="1"/>
  <c r="D181" i="12"/>
  <c r="L181" i="12" s="1"/>
  <c r="D189" i="12"/>
  <c r="L189" i="12" s="1"/>
  <c r="D197" i="12"/>
  <c r="L197" i="12" s="1"/>
  <c r="D205" i="12"/>
  <c r="L205" i="12" s="1"/>
  <c r="D213" i="12"/>
  <c r="L213" i="12" s="1"/>
  <c r="D221" i="12"/>
  <c r="L221" i="12" s="1"/>
  <c r="D229" i="12"/>
  <c r="L229" i="12" s="1"/>
  <c r="D237" i="12"/>
  <c r="L237" i="12" s="1"/>
  <c r="D245" i="12"/>
  <c r="L245" i="12" s="1"/>
  <c r="D253" i="12"/>
  <c r="L253" i="12" s="1"/>
  <c r="D261" i="12"/>
  <c r="L261" i="12" s="1"/>
  <c r="D269" i="12"/>
  <c r="L269" i="12" s="1"/>
  <c r="D277" i="12"/>
  <c r="L277" i="12" s="1"/>
  <c r="D285" i="12"/>
  <c r="L285" i="12" s="1"/>
  <c r="D292" i="12"/>
  <c r="L292" i="12" s="1"/>
  <c r="D297" i="12"/>
  <c r="L297" i="12" s="1"/>
  <c r="D302" i="12"/>
  <c r="L302" i="12" s="1"/>
  <c r="D308" i="12"/>
  <c r="L308" i="12" s="1"/>
  <c r="D313" i="12"/>
  <c r="L313" i="12" s="1"/>
  <c r="D318" i="12"/>
  <c r="L318" i="12" s="1"/>
  <c r="D324" i="12"/>
  <c r="L324" i="12" s="1"/>
  <c r="D329" i="12"/>
  <c r="L329" i="12" s="1"/>
  <c r="D334" i="12"/>
  <c r="L334" i="12" s="1"/>
  <c r="D340" i="12"/>
  <c r="L340" i="12" s="1"/>
  <c r="D345" i="12"/>
  <c r="L345" i="12" s="1"/>
  <c r="D350" i="12"/>
  <c r="L350" i="12" s="1"/>
  <c r="D354" i="12"/>
  <c r="L354" i="12" s="1"/>
  <c r="D358" i="12"/>
  <c r="L358" i="12" s="1"/>
  <c r="D362" i="12"/>
  <c r="L362" i="12" s="1"/>
  <c r="D366" i="12"/>
  <c r="L366" i="12" s="1"/>
  <c r="D370" i="12"/>
  <c r="L370" i="12" s="1"/>
  <c r="D374" i="12"/>
  <c r="L374" i="12" s="1"/>
  <c r="D378" i="12"/>
  <c r="L378" i="12" s="1"/>
  <c r="D382" i="12"/>
  <c r="L382" i="12" s="1"/>
  <c r="D386" i="12"/>
  <c r="L386" i="12" s="1"/>
  <c r="D390" i="12"/>
  <c r="L390" i="12" s="1"/>
  <c r="D394" i="12"/>
  <c r="L394" i="12" s="1"/>
  <c r="D398" i="12"/>
  <c r="L398" i="12" s="1"/>
  <c r="D402" i="12"/>
  <c r="L402" i="12" s="1"/>
  <c r="D406" i="12"/>
  <c r="L406" i="12" s="1"/>
  <c r="D410" i="12"/>
  <c r="L410" i="12" s="1"/>
  <c r="D414" i="12"/>
  <c r="L414" i="12" s="1"/>
  <c r="D418" i="12"/>
  <c r="L418" i="12" s="1"/>
  <c r="D422" i="12"/>
  <c r="L422" i="12" s="1"/>
  <c r="D426" i="12"/>
  <c r="L426" i="12" s="1"/>
  <c r="D430" i="12"/>
  <c r="L430" i="12" s="1"/>
  <c r="D434" i="12"/>
  <c r="L434" i="12" s="1"/>
  <c r="D438" i="12"/>
  <c r="L438" i="12" s="1"/>
  <c r="D442" i="12"/>
  <c r="L442" i="12" s="1"/>
  <c r="D446" i="12"/>
  <c r="L446" i="12" s="1"/>
  <c r="D450" i="12"/>
  <c r="L450" i="12" s="1"/>
  <c r="D454" i="12"/>
  <c r="L454" i="12" s="1"/>
  <c r="D458" i="12"/>
  <c r="L458" i="12" s="1"/>
  <c r="D462" i="12"/>
  <c r="L462" i="12" s="1"/>
  <c r="D466" i="12"/>
  <c r="L466" i="12" s="1"/>
  <c r="D470" i="12"/>
  <c r="L470" i="12" s="1"/>
  <c r="D474" i="12"/>
  <c r="L474" i="12" s="1"/>
  <c r="D478" i="12"/>
  <c r="L478" i="12" s="1"/>
  <c r="D482" i="12"/>
  <c r="L482" i="12" s="1"/>
  <c r="D486" i="12"/>
  <c r="L486" i="12" s="1"/>
  <c r="D490" i="12"/>
  <c r="L490" i="12" s="1"/>
  <c r="D494" i="12"/>
  <c r="L494" i="12" s="1"/>
  <c r="D498" i="12"/>
  <c r="L498" i="12" s="1"/>
  <c r="D502" i="12"/>
  <c r="L502" i="12" s="1"/>
  <c r="D506" i="12"/>
  <c r="L506" i="12" s="1"/>
  <c r="D510" i="12"/>
  <c r="L510" i="12" s="1"/>
  <c r="D14" i="12"/>
  <c r="L14" i="12" s="1"/>
  <c r="D22" i="12"/>
  <c r="L22" i="12" s="1"/>
  <c r="D30" i="12"/>
  <c r="L30" i="12" s="1"/>
  <c r="D38" i="12"/>
  <c r="L38" i="12" s="1"/>
  <c r="D46" i="12"/>
  <c r="L46" i="12" s="1"/>
  <c r="D54" i="12"/>
  <c r="L54" i="12" s="1"/>
  <c r="D62" i="12"/>
  <c r="L62" i="12" s="1"/>
  <c r="D70" i="12"/>
  <c r="L70" i="12" s="1"/>
  <c r="D78" i="12"/>
  <c r="L78" i="12" s="1"/>
  <c r="D86" i="12"/>
  <c r="L86" i="12" s="1"/>
  <c r="D94" i="12"/>
  <c r="L94" i="12" s="1"/>
  <c r="D102" i="12"/>
  <c r="L102" i="12" s="1"/>
  <c r="D110" i="12"/>
  <c r="L110" i="12" s="1"/>
  <c r="D118" i="12"/>
  <c r="L118" i="12" s="1"/>
  <c r="D126" i="12"/>
  <c r="L126" i="12" s="1"/>
  <c r="D134" i="12"/>
  <c r="L134" i="12" s="1"/>
  <c r="D142" i="12"/>
  <c r="L142" i="12" s="1"/>
  <c r="D150" i="12"/>
  <c r="L150" i="12" s="1"/>
  <c r="D158" i="12"/>
  <c r="L158" i="12" s="1"/>
  <c r="D17" i="12"/>
  <c r="L17" i="12" s="1"/>
  <c r="D33" i="12"/>
  <c r="L33" i="12" s="1"/>
  <c r="D49" i="12"/>
  <c r="L49" i="12" s="1"/>
  <c r="D65" i="12"/>
  <c r="L65" i="12" s="1"/>
  <c r="D81" i="12"/>
  <c r="L81" i="12" s="1"/>
  <c r="D97" i="12"/>
  <c r="L97" i="12" s="1"/>
  <c r="D113" i="12"/>
  <c r="L113" i="12" s="1"/>
  <c r="D129" i="12"/>
  <c r="L129" i="12" s="1"/>
  <c r="D145" i="12"/>
  <c r="L145" i="12" s="1"/>
  <c r="D161" i="12"/>
  <c r="L161" i="12" s="1"/>
  <c r="D170" i="12"/>
  <c r="L170" i="12" s="1"/>
  <c r="D182" i="12"/>
  <c r="L182" i="12" s="1"/>
  <c r="D193" i="12"/>
  <c r="L193" i="12" s="1"/>
  <c r="D202" i="12"/>
  <c r="L202" i="12" s="1"/>
  <c r="D214" i="12"/>
  <c r="L214" i="12" s="1"/>
  <c r="D225" i="12"/>
  <c r="L225" i="12" s="1"/>
  <c r="D234" i="12"/>
  <c r="L234" i="12" s="1"/>
  <c r="D246" i="12"/>
  <c r="L246" i="12" s="1"/>
  <c r="D257" i="12"/>
  <c r="L257" i="12" s="1"/>
  <c r="D266" i="12"/>
  <c r="L266" i="12" s="1"/>
  <c r="D278" i="12"/>
  <c r="L278" i="12" s="1"/>
  <c r="D289" i="12"/>
  <c r="L289" i="12" s="1"/>
  <c r="D296" i="12"/>
  <c r="L296" i="12" s="1"/>
  <c r="D304" i="12"/>
  <c r="L304" i="12" s="1"/>
  <c r="D310" i="12"/>
  <c r="L310" i="12" s="1"/>
  <c r="D317" i="12"/>
  <c r="L317" i="12" s="1"/>
  <c r="D325" i="12"/>
  <c r="L325" i="12" s="1"/>
  <c r="D332" i="12"/>
  <c r="L332" i="12" s="1"/>
  <c r="D338" i="12"/>
  <c r="L338" i="12" s="1"/>
  <c r="D346" i="12"/>
  <c r="L346" i="12" s="1"/>
  <c r="D352" i="12"/>
  <c r="L352" i="12" s="1"/>
  <c r="D357" i="12"/>
  <c r="L357" i="12" s="1"/>
  <c r="D363" i="12"/>
  <c r="L363" i="12" s="1"/>
  <c r="D368" i="12"/>
  <c r="L368" i="12" s="1"/>
  <c r="D373" i="12"/>
  <c r="L373" i="12" s="1"/>
  <c r="D379" i="12"/>
  <c r="L379" i="12" s="1"/>
  <c r="D384" i="12"/>
  <c r="L384" i="12" s="1"/>
  <c r="D389" i="12"/>
  <c r="L389" i="12" s="1"/>
  <c r="D395" i="12"/>
  <c r="L395" i="12" s="1"/>
  <c r="D400" i="12"/>
  <c r="L400" i="12" s="1"/>
  <c r="D405" i="12"/>
  <c r="L405" i="12" s="1"/>
  <c r="D411" i="12"/>
  <c r="L411" i="12" s="1"/>
  <c r="D416" i="12"/>
  <c r="L416" i="12" s="1"/>
  <c r="D421" i="12"/>
  <c r="L421" i="12" s="1"/>
  <c r="D427" i="12"/>
  <c r="L427" i="12" s="1"/>
  <c r="D432" i="12"/>
  <c r="L432" i="12" s="1"/>
  <c r="D437" i="12"/>
  <c r="L437" i="12" s="1"/>
  <c r="D443" i="12"/>
  <c r="L443" i="12" s="1"/>
  <c r="D448" i="12"/>
  <c r="L448" i="12" s="1"/>
  <c r="D453" i="12"/>
  <c r="L453" i="12" s="1"/>
  <c r="D459" i="12"/>
  <c r="L459" i="12" s="1"/>
  <c r="D464" i="12"/>
  <c r="L464" i="12" s="1"/>
  <c r="D469" i="12"/>
  <c r="L469" i="12" s="1"/>
  <c r="D475" i="12"/>
  <c r="L475" i="12" s="1"/>
  <c r="D480" i="12"/>
  <c r="L480" i="12" s="1"/>
  <c r="D485" i="12"/>
  <c r="L485" i="12" s="1"/>
  <c r="D491" i="12"/>
  <c r="L491" i="12" s="1"/>
  <c r="D496" i="12"/>
  <c r="L496" i="12" s="1"/>
  <c r="D501" i="12"/>
  <c r="L501" i="12" s="1"/>
  <c r="D507" i="12"/>
  <c r="L507" i="12" s="1"/>
  <c r="D18" i="12"/>
  <c r="L18" i="12" s="1"/>
  <c r="D34" i="12"/>
  <c r="L34" i="12" s="1"/>
  <c r="D50" i="12"/>
  <c r="L50" i="12" s="1"/>
  <c r="D66" i="12"/>
  <c r="L66" i="12" s="1"/>
  <c r="D82" i="12"/>
  <c r="L82" i="12" s="1"/>
  <c r="D98" i="12"/>
  <c r="L98" i="12" s="1"/>
  <c r="D114" i="12"/>
  <c r="L114" i="12" s="1"/>
  <c r="D130" i="12"/>
  <c r="L130" i="12" s="1"/>
  <c r="D146" i="12"/>
  <c r="L146" i="12" s="1"/>
  <c r="D162" i="12"/>
  <c r="L162" i="12" s="1"/>
  <c r="D174" i="12"/>
  <c r="L174" i="12" s="1"/>
  <c r="D185" i="12"/>
  <c r="L185" i="12" s="1"/>
  <c r="D194" i="12"/>
  <c r="L194" i="12" s="1"/>
  <c r="D206" i="12"/>
  <c r="L206" i="12" s="1"/>
  <c r="D217" i="12"/>
  <c r="L217" i="12" s="1"/>
  <c r="D226" i="12"/>
  <c r="L226" i="12" s="1"/>
  <c r="D238" i="12"/>
  <c r="L238" i="12" s="1"/>
  <c r="D249" i="12"/>
  <c r="L249" i="12" s="1"/>
  <c r="D258" i="12"/>
  <c r="L258" i="12" s="1"/>
  <c r="D270" i="12"/>
  <c r="L270" i="12" s="1"/>
  <c r="D281" i="12"/>
  <c r="L281" i="12" s="1"/>
  <c r="D290" i="12"/>
  <c r="L290" i="12" s="1"/>
  <c r="D298" i="12"/>
  <c r="L298" i="12" s="1"/>
  <c r="D305" i="12"/>
  <c r="L305" i="12" s="1"/>
  <c r="D312" i="12"/>
  <c r="L312" i="12" s="1"/>
  <c r="D320" i="12"/>
  <c r="L320" i="12" s="1"/>
  <c r="D326" i="12"/>
  <c r="L326" i="12" s="1"/>
  <c r="D333" i="12"/>
  <c r="L333" i="12" s="1"/>
  <c r="D341" i="12"/>
  <c r="L341" i="12" s="1"/>
  <c r="D348" i="12"/>
  <c r="L348" i="12" s="1"/>
  <c r="D353" i="12"/>
  <c r="L353" i="12" s="1"/>
  <c r="D359" i="12"/>
  <c r="L359" i="12" s="1"/>
  <c r="D364" i="12"/>
  <c r="L364" i="12" s="1"/>
  <c r="D369" i="12"/>
  <c r="L369" i="12" s="1"/>
  <c r="D375" i="12"/>
  <c r="L375" i="12" s="1"/>
  <c r="D380" i="12"/>
  <c r="L380" i="12" s="1"/>
  <c r="D385" i="12"/>
  <c r="L385" i="12" s="1"/>
  <c r="D391" i="12"/>
  <c r="L391" i="12" s="1"/>
  <c r="D396" i="12"/>
  <c r="L396" i="12" s="1"/>
  <c r="D401" i="12"/>
  <c r="L401" i="12" s="1"/>
  <c r="D407" i="12"/>
  <c r="L407" i="12" s="1"/>
  <c r="D412" i="12"/>
  <c r="L412" i="12" s="1"/>
  <c r="D417" i="12"/>
  <c r="L417" i="12" s="1"/>
  <c r="D423" i="12"/>
  <c r="L423" i="12" s="1"/>
  <c r="D428" i="12"/>
  <c r="L428" i="12" s="1"/>
  <c r="D433" i="12"/>
  <c r="L433" i="12" s="1"/>
  <c r="D439" i="12"/>
  <c r="L439" i="12" s="1"/>
  <c r="D444" i="12"/>
  <c r="L444" i="12" s="1"/>
  <c r="D449" i="12"/>
  <c r="L449" i="12" s="1"/>
  <c r="D455" i="12"/>
  <c r="L455" i="12" s="1"/>
  <c r="D460" i="12"/>
  <c r="L460" i="12" s="1"/>
  <c r="D465" i="12"/>
  <c r="L465" i="12" s="1"/>
  <c r="D471" i="12"/>
  <c r="L471" i="12" s="1"/>
  <c r="D476" i="12"/>
  <c r="L476" i="12" s="1"/>
  <c r="D481" i="12"/>
  <c r="L481" i="12" s="1"/>
  <c r="D487" i="12"/>
  <c r="L487" i="12" s="1"/>
  <c r="D492" i="12"/>
  <c r="L492" i="12" s="1"/>
  <c r="D497" i="12"/>
  <c r="L497" i="12" s="1"/>
  <c r="D503" i="12"/>
  <c r="L503" i="12" s="1"/>
  <c r="D508" i="12"/>
  <c r="L508" i="12" s="1"/>
  <c r="D25" i="12"/>
  <c r="L25" i="12" s="1"/>
  <c r="D57" i="12"/>
  <c r="L57" i="12" s="1"/>
  <c r="D89" i="12"/>
  <c r="L89" i="12" s="1"/>
  <c r="D121" i="12"/>
  <c r="L121" i="12" s="1"/>
  <c r="D153" i="12"/>
  <c r="L153" i="12" s="1"/>
  <c r="D177" i="12"/>
  <c r="L177" i="12" s="1"/>
  <c r="D198" i="12"/>
  <c r="L198" i="12" s="1"/>
  <c r="D218" i="12"/>
  <c r="L218" i="12" s="1"/>
  <c r="D241" i="12"/>
  <c r="L241" i="12" s="1"/>
  <c r="D262" i="12"/>
  <c r="L262" i="12" s="1"/>
  <c r="D282" i="12"/>
  <c r="L282" i="12" s="1"/>
  <c r="D300" i="12"/>
  <c r="L300" i="12" s="1"/>
  <c r="D314" i="12"/>
  <c r="L314" i="12" s="1"/>
  <c r="D328" i="12"/>
  <c r="L328" i="12" s="1"/>
  <c r="D342" i="12"/>
  <c r="L342" i="12" s="1"/>
  <c r="D355" i="12"/>
  <c r="L355" i="12" s="1"/>
  <c r="D365" i="12"/>
  <c r="L365" i="12" s="1"/>
  <c r="D376" i="12"/>
  <c r="L376" i="12" s="1"/>
  <c r="D387" i="12"/>
  <c r="L387" i="12" s="1"/>
  <c r="D397" i="12"/>
  <c r="L397" i="12" s="1"/>
  <c r="D408" i="12"/>
  <c r="L408" i="12" s="1"/>
  <c r="D419" i="12"/>
  <c r="L419" i="12" s="1"/>
  <c r="D429" i="12"/>
  <c r="L429" i="12" s="1"/>
  <c r="D440" i="12"/>
  <c r="L440" i="12" s="1"/>
  <c r="D451" i="12"/>
  <c r="L451" i="12" s="1"/>
  <c r="D461" i="12"/>
  <c r="L461" i="12" s="1"/>
  <c r="D472" i="12"/>
  <c r="L472" i="12" s="1"/>
  <c r="D483" i="12"/>
  <c r="L483" i="12" s="1"/>
  <c r="D493" i="12"/>
  <c r="L493" i="12" s="1"/>
  <c r="D504" i="12"/>
  <c r="L504" i="12" s="1"/>
  <c r="D41" i="12"/>
  <c r="L41" i="12" s="1"/>
  <c r="D26" i="12"/>
  <c r="L26" i="12" s="1"/>
  <c r="D58" i="12"/>
  <c r="L58" i="12" s="1"/>
  <c r="D90" i="12"/>
  <c r="L90" i="12" s="1"/>
  <c r="D122" i="12"/>
  <c r="L122" i="12" s="1"/>
  <c r="D154" i="12"/>
  <c r="L154" i="12" s="1"/>
  <c r="D178" i="12"/>
  <c r="L178" i="12" s="1"/>
  <c r="D201" i="12"/>
  <c r="L201" i="12" s="1"/>
  <c r="D222" i="12"/>
  <c r="L222" i="12" s="1"/>
  <c r="D242" i="12"/>
  <c r="L242" i="12" s="1"/>
  <c r="D265" i="12"/>
  <c r="L265" i="12" s="1"/>
  <c r="D286" i="12"/>
  <c r="L286" i="12" s="1"/>
  <c r="D301" i="12"/>
  <c r="L301" i="12" s="1"/>
  <c r="D316" i="12"/>
  <c r="L316" i="12" s="1"/>
  <c r="D330" i="12"/>
  <c r="L330" i="12" s="1"/>
  <c r="D344" i="12"/>
  <c r="L344" i="12" s="1"/>
  <c r="D356" i="12"/>
  <c r="L356" i="12" s="1"/>
  <c r="D367" i="12"/>
  <c r="L367" i="12" s="1"/>
  <c r="D377" i="12"/>
  <c r="L377" i="12" s="1"/>
  <c r="D388" i="12"/>
  <c r="L388" i="12" s="1"/>
  <c r="D399" i="12"/>
  <c r="L399" i="12" s="1"/>
  <c r="D409" i="12"/>
  <c r="L409" i="12" s="1"/>
  <c r="D420" i="12"/>
  <c r="L420" i="12" s="1"/>
  <c r="D431" i="12"/>
  <c r="L431" i="12" s="1"/>
  <c r="D441" i="12"/>
  <c r="L441" i="12" s="1"/>
  <c r="D452" i="12"/>
  <c r="L452" i="12" s="1"/>
  <c r="D463" i="12"/>
  <c r="L463" i="12" s="1"/>
  <c r="D473" i="12"/>
  <c r="L473" i="12" s="1"/>
  <c r="D484" i="12"/>
  <c r="L484" i="12" s="1"/>
  <c r="D495" i="12"/>
  <c r="L495" i="12" s="1"/>
  <c r="D505" i="12"/>
  <c r="L505" i="12" s="1"/>
  <c r="D73" i="12"/>
  <c r="L73" i="12" s="1"/>
  <c r="D105" i="12"/>
  <c r="L105" i="12" s="1"/>
  <c r="D137" i="12"/>
  <c r="L137" i="12" s="1"/>
  <c r="D166" i="12"/>
  <c r="L166" i="12" s="1"/>
  <c r="D186" i="12"/>
  <c r="L186" i="12" s="1"/>
  <c r="D209" i="12"/>
  <c r="L209" i="12" s="1"/>
  <c r="D230" i="12"/>
  <c r="L230" i="12" s="1"/>
  <c r="D250" i="12"/>
  <c r="L250" i="12" s="1"/>
  <c r="D273" i="12"/>
  <c r="L273" i="12" s="1"/>
  <c r="D293" i="12"/>
  <c r="L293" i="12" s="1"/>
  <c r="D306" i="12"/>
  <c r="L306" i="12" s="1"/>
  <c r="D321" i="12"/>
  <c r="L321" i="12" s="1"/>
  <c r="D336" i="12"/>
  <c r="L336" i="12" s="1"/>
  <c r="D349" i="12"/>
  <c r="L349" i="12" s="1"/>
  <c r="D360" i="12"/>
  <c r="L360" i="12" s="1"/>
  <c r="D371" i="12"/>
  <c r="L371" i="12" s="1"/>
  <c r="D381" i="12"/>
  <c r="L381" i="12" s="1"/>
  <c r="D392" i="12"/>
  <c r="L392" i="12" s="1"/>
  <c r="D403" i="12"/>
  <c r="L403" i="12" s="1"/>
  <c r="D413" i="12"/>
  <c r="L413" i="12" s="1"/>
  <c r="D424" i="12"/>
  <c r="L424" i="12" s="1"/>
  <c r="D435" i="12"/>
  <c r="L435" i="12" s="1"/>
  <c r="D445" i="12"/>
  <c r="L445" i="12" s="1"/>
  <c r="D456" i="12"/>
  <c r="L456" i="12" s="1"/>
  <c r="D467" i="12"/>
  <c r="L467" i="12" s="1"/>
  <c r="D477" i="12"/>
  <c r="L477" i="12" s="1"/>
  <c r="D488" i="12"/>
  <c r="L488" i="12" s="1"/>
  <c r="D499" i="12"/>
  <c r="L499" i="12" s="1"/>
  <c r="D509" i="12"/>
  <c r="L509" i="12" s="1"/>
  <c r="D42" i="12"/>
  <c r="L42" i="12" s="1"/>
  <c r="D169" i="12"/>
  <c r="L169" i="12" s="1"/>
  <c r="D254" i="12"/>
  <c r="L254" i="12" s="1"/>
  <c r="D322" i="12"/>
  <c r="L322" i="12" s="1"/>
  <c r="D372" i="12"/>
  <c r="L372" i="12" s="1"/>
  <c r="D415" i="12"/>
  <c r="L415" i="12" s="1"/>
  <c r="D457" i="12"/>
  <c r="L457" i="12" s="1"/>
  <c r="D500" i="12"/>
  <c r="L500" i="12" s="1"/>
  <c r="D74" i="12"/>
  <c r="L74" i="12" s="1"/>
  <c r="D190" i="12"/>
  <c r="L190" i="12" s="1"/>
  <c r="D274" i="12"/>
  <c r="L274" i="12" s="1"/>
  <c r="D337" i="12"/>
  <c r="L337" i="12" s="1"/>
  <c r="D383" i="12"/>
  <c r="L383" i="12" s="1"/>
  <c r="D425" i="12"/>
  <c r="L425" i="12" s="1"/>
  <c r="D468" i="12"/>
  <c r="L468" i="12" s="1"/>
  <c r="D106" i="12"/>
  <c r="L106" i="12" s="1"/>
  <c r="D210" i="12"/>
  <c r="L210" i="12" s="1"/>
  <c r="D294" i="12"/>
  <c r="L294" i="12" s="1"/>
  <c r="D351" i="12"/>
  <c r="L351" i="12" s="1"/>
  <c r="D393" i="12"/>
  <c r="L393" i="12" s="1"/>
  <c r="D436" i="12"/>
  <c r="L436" i="12" s="1"/>
  <c r="D479" i="12"/>
  <c r="L479" i="12" s="1"/>
  <c r="D138" i="12"/>
  <c r="L138" i="12" s="1"/>
  <c r="D233" i="12"/>
  <c r="L233" i="12" s="1"/>
  <c r="D309" i="12"/>
  <c r="L309" i="12" s="1"/>
  <c r="D361" i="12"/>
  <c r="L361" i="12" s="1"/>
  <c r="D404" i="12"/>
  <c r="L404" i="12" s="1"/>
  <c r="D447" i="12"/>
  <c r="L447" i="12" s="1"/>
  <c r="D489" i="12"/>
  <c r="L489" i="12" s="1"/>
  <c r="L11" i="5"/>
  <c r="D15" i="5"/>
  <c r="L15" i="5" s="1"/>
  <c r="D19" i="5"/>
  <c r="L19" i="5" s="1"/>
  <c r="D23" i="5"/>
  <c r="L23" i="5" s="1"/>
  <c r="D27" i="5"/>
  <c r="L27" i="5" s="1"/>
  <c r="D31" i="5"/>
  <c r="L31" i="5" s="1"/>
  <c r="D35" i="5"/>
  <c r="L35" i="5" s="1"/>
  <c r="D39" i="5"/>
  <c r="L39" i="5" s="1"/>
  <c r="D43" i="5"/>
  <c r="L43" i="5" s="1"/>
  <c r="D47" i="5"/>
  <c r="L47" i="5" s="1"/>
  <c r="D51" i="5"/>
  <c r="L51" i="5" s="1"/>
  <c r="D55" i="5"/>
  <c r="L55" i="5" s="1"/>
  <c r="D59" i="5"/>
  <c r="L59" i="5" s="1"/>
  <c r="D63" i="5"/>
  <c r="L63" i="5" s="1"/>
  <c r="D67" i="5"/>
  <c r="L67" i="5" s="1"/>
  <c r="D71" i="5"/>
  <c r="L71" i="5" s="1"/>
  <c r="D75" i="5"/>
  <c r="L75" i="5" s="1"/>
  <c r="D79" i="5"/>
  <c r="L79" i="5" s="1"/>
  <c r="D83" i="5"/>
  <c r="L83" i="5" s="1"/>
  <c r="D87" i="5"/>
  <c r="L87" i="5" s="1"/>
  <c r="D91" i="5"/>
  <c r="L91" i="5" s="1"/>
  <c r="D95" i="5"/>
  <c r="L95" i="5" s="1"/>
  <c r="D99" i="5"/>
  <c r="L99" i="5" s="1"/>
  <c r="D103" i="5"/>
  <c r="L103" i="5" s="1"/>
  <c r="D107" i="5"/>
  <c r="L107" i="5" s="1"/>
  <c r="D111" i="5"/>
  <c r="L111" i="5" s="1"/>
  <c r="D115" i="5"/>
  <c r="L115" i="5" s="1"/>
  <c r="D119" i="5"/>
  <c r="L119" i="5" s="1"/>
  <c r="D123" i="5"/>
  <c r="L123" i="5" s="1"/>
  <c r="D127" i="5"/>
  <c r="L127" i="5" s="1"/>
  <c r="D131" i="5"/>
  <c r="L131" i="5" s="1"/>
  <c r="D135" i="5"/>
  <c r="L135" i="5" s="1"/>
  <c r="D139" i="5"/>
  <c r="L139" i="5" s="1"/>
  <c r="D143" i="5"/>
  <c r="L143" i="5" s="1"/>
  <c r="D147" i="5"/>
  <c r="L147" i="5" s="1"/>
  <c r="D151" i="5"/>
  <c r="L151" i="5" s="1"/>
  <c r="D155" i="5"/>
  <c r="L155" i="5" s="1"/>
  <c r="D159" i="5"/>
  <c r="L159" i="5" s="1"/>
  <c r="D163" i="5"/>
  <c r="L163" i="5" s="1"/>
  <c r="D167" i="5"/>
  <c r="L167" i="5" s="1"/>
  <c r="D171" i="5"/>
  <c r="L171" i="5" s="1"/>
  <c r="D175" i="5"/>
  <c r="L175" i="5" s="1"/>
  <c r="D179" i="5"/>
  <c r="L179" i="5" s="1"/>
  <c r="D183" i="5"/>
  <c r="L183" i="5" s="1"/>
  <c r="D187" i="5"/>
  <c r="L187" i="5" s="1"/>
  <c r="D191" i="5"/>
  <c r="L191" i="5" s="1"/>
  <c r="D195" i="5"/>
  <c r="L195" i="5" s="1"/>
  <c r="D199" i="5"/>
  <c r="L199" i="5" s="1"/>
  <c r="D203" i="5"/>
  <c r="L203" i="5" s="1"/>
  <c r="D207" i="5"/>
  <c r="L207" i="5" s="1"/>
  <c r="D211" i="5"/>
  <c r="L211" i="5" s="1"/>
  <c r="D215" i="5"/>
  <c r="L215" i="5" s="1"/>
  <c r="D219" i="5"/>
  <c r="L219" i="5" s="1"/>
  <c r="D223" i="5"/>
  <c r="L223" i="5" s="1"/>
  <c r="D227" i="5"/>
  <c r="L227" i="5" s="1"/>
  <c r="D231" i="5"/>
  <c r="L231" i="5" s="1"/>
  <c r="D235" i="5"/>
  <c r="L235" i="5" s="1"/>
  <c r="D239" i="5"/>
  <c r="L239" i="5" s="1"/>
  <c r="D243" i="5"/>
  <c r="L243" i="5" s="1"/>
  <c r="D247" i="5"/>
  <c r="L247" i="5" s="1"/>
  <c r="D251" i="5"/>
  <c r="L251" i="5" s="1"/>
  <c r="D255" i="5"/>
  <c r="L255" i="5" s="1"/>
  <c r="D259" i="5"/>
  <c r="L259" i="5" s="1"/>
  <c r="D263" i="5"/>
  <c r="L263" i="5" s="1"/>
  <c r="D267" i="5"/>
  <c r="L267" i="5" s="1"/>
  <c r="D271" i="5"/>
  <c r="L271" i="5" s="1"/>
  <c r="D275" i="5"/>
  <c r="L275" i="5" s="1"/>
  <c r="D279" i="5"/>
  <c r="L279" i="5" s="1"/>
  <c r="D283" i="5"/>
  <c r="L283" i="5" s="1"/>
  <c r="D287" i="5"/>
  <c r="L287" i="5" s="1"/>
  <c r="D291" i="5"/>
  <c r="L291" i="5" s="1"/>
  <c r="D295" i="5"/>
  <c r="L295" i="5" s="1"/>
  <c r="D299" i="5"/>
  <c r="L299" i="5" s="1"/>
  <c r="D303" i="5"/>
  <c r="L303" i="5" s="1"/>
  <c r="D307" i="5"/>
  <c r="L307" i="5" s="1"/>
  <c r="D311" i="5"/>
  <c r="L311" i="5" s="1"/>
  <c r="D315" i="5"/>
  <c r="L315" i="5" s="1"/>
  <c r="D319" i="5"/>
  <c r="L319" i="5" s="1"/>
  <c r="D323" i="5"/>
  <c r="L323" i="5" s="1"/>
  <c r="D327" i="5"/>
  <c r="L327" i="5" s="1"/>
  <c r="D331" i="5"/>
  <c r="L331" i="5" s="1"/>
  <c r="D335" i="5"/>
  <c r="L335" i="5" s="1"/>
  <c r="D339" i="5"/>
  <c r="L339" i="5" s="1"/>
  <c r="D12" i="5"/>
  <c r="L12" i="5" s="1"/>
  <c r="D16" i="5"/>
  <c r="L16" i="5" s="1"/>
  <c r="D20" i="5"/>
  <c r="L20" i="5" s="1"/>
  <c r="D24" i="5"/>
  <c r="L24" i="5" s="1"/>
  <c r="D28" i="5"/>
  <c r="L28" i="5" s="1"/>
  <c r="D32" i="5"/>
  <c r="L32" i="5" s="1"/>
  <c r="D36" i="5"/>
  <c r="L36" i="5" s="1"/>
  <c r="D40" i="5"/>
  <c r="L40" i="5" s="1"/>
  <c r="D44" i="5"/>
  <c r="L44" i="5" s="1"/>
  <c r="D48" i="5"/>
  <c r="L48" i="5" s="1"/>
  <c r="D52" i="5"/>
  <c r="L52" i="5" s="1"/>
  <c r="D56" i="5"/>
  <c r="L56" i="5" s="1"/>
  <c r="D60" i="5"/>
  <c r="L60" i="5" s="1"/>
  <c r="D64" i="5"/>
  <c r="L64" i="5" s="1"/>
  <c r="D68" i="5"/>
  <c r="L68" i="5" s="1"/>
  <c r="D72" i="5"/>
  <c r="L72" i="5" s="1"/>
  <c r="D76" i="5"/>
  <c r="L76" i="5" s="1"/>
  <c r="D80" i="5"/>
  <c r="L80" i="5" s="1"/>
  <c r="D84" i="5"/>
  <c r="L84" i="5" s="1"/>
  <c r="D88" i="5"/>
  <c r="L88" i="5" s="1"/>
  <c r="D92" i="5"/>
  <c r="L92" i="5" s="1"/>
  <c r="D96" i="5"/>
  <c r="L96" i="5" s="1"/>
  <c r="D100" i="5"/>
  <c r="L100" i="5" s="1"/>
  <c r="D104" i="5"/>
  <c r="L104" i="5" s="1"/>
  <c r="D108" i="5"/>
  <c r="L108" i="5" s="1"/>
  <c r="D112" i="5"/>
  <c r="L112" i="5" s="1"/>
  <c r="D116" i="5"/>
  <c r="L116" i="5" s="1"/>
  <c r="D120" i="5"/>
  <c r="L120" i="5" s="1"/>
  <c r="D124" i="5"/>
  <c r="L124" i="5" s="1"/>
  <c r="D128" i="5"/>
  <c r="L128" i="5" s="1"/>
  <c r="D132" i="5"/>
  <c r="L132" i="5" s="1"/>
  <c r="D136" i="5"/>
  <c r="L136" i="5" s="1"/>
  <c r="D140" i="5"/>
  <c r="L140" i="5" s="1"/>
  <c r="D144" i="5"/>
  <c r="L144" i="5" s="1"/>
  <c r="D148" i="5"/>
  <c r="L148" i="5" s="1"/>
  <c r="D152" i="5"/>
  <c r="L152" i="5" s="1"/>
  <c r="D156" i="5"/>
  <c r="L156" i="5" s="1"/>
  <c r="D160" i="5"/>
  <c r="L160" i="5" s="1"/>
  <c r="D164" i="5"/>
  <c r="L164" i="5" s="1"/>
  <c r="D168" i="5"/>
  <c r="L168" i="5" s="1"/>
  <c r="D172" i="5"/>
  <c r="L172" i="5" s="1"/>
  <c r="D176" i="5"/>
  <c r="L176" i="5" s="1"/>
  <c r="D180" i="5"/>
  <c r="L180" i="5" s="1"/>
  <c r="D184" i="5"/>
  <c r="L184" i="5" s="1"/>
  <c r="D188" i="5"/>
  <c r="L188" i="5" s="1"/>
  <c r="D192" i="5"/>
  <c r="L192" i="5" s="1"/>
  <c r="D196" i="5"/>
  <c r="L196" i="5" s="1"/>
  <c r="D200" i="5"/>
  <c r="L200" i="5" s="1"/>
  <c r="D204" i="5"/>
  <c r="L204" i="5" s="1"/>
  <c r="D208" i="5"/>
  <c r="L208" i="5" s="1"/>
  <c r="D212" i="5"/>
  <c r="L212" i="5" s="1"/>
  <c r="D216" i="5"/>
  <c r="L216" i="5" s="1"/>
  <c r="D220" i="5"/>
  <c r="L220" i="5" s="1"/>
  <c r="D224" i="5"/>
  <c r="L224" i="5" s="1"/>
  <c r="D228" i="5"/>
  <c r="L228" i="5" s="1"/>
  <c r="D232" i="5"/>
  <c r="L232" i="5" s="1"/>
  <c r="D236" i="5"/>
  <c r="L236" i="5" s="1"/>
  <c r="D240" i="5"/>
  <c r="L240" i="5" s="1"/>
  <c r="D244" i="5"/>
  <c r="L244" i="5" s="1"/>
  <c r="D248" i="5"/>
  <c r="L248" i="5" s="1"/>
  <c r="D252" i="5"/>
  <c r="L252" i="5" s="1"/>
  <c r="D256" i="5"/>
  <c r="L256" i="5" s="1"/>
  <c r="D260" i="5"/>
  <c r="L260" i="5" s="1"/>
  <c r="D264" i="5"/>
  <c r="L264" i="5" s="1"/>
  <c r="D268" i="5"/>
  <c r="L268" i="5" s="1"/>
  <c r="D272" i="5"/>
  <c r="L272" i="5" s="1"/>
  <c r="D276" i="5"/>
  <c r="L276" i="5" s="1"/>
  <c r="D280" i="5"/>
  <c r="L280" i="5" s="1"/>
  <c r="D284" i="5"/>
  <c r="L284" i="5" s="1"/>
  <c r="D288" i="5"/>
  <c r="L288" i="5" s="1"/>
  <c r="D292" i="5"/>
  <c r="L292" i="5" s="1"/>
  <c r="D296" i="5"/>
  <c r="L296" i="5" s="1"/>
  <c r="D300" i="5"/>
  <c r="L300" i="5" s="1"/>
  <c r="D304" i="5"/>
  <c r="L304" i="5" s="1"/>
  <c r="D308" i="5"/>
  <c r="L308" i="5" s="1"/>
  <c r="D312" i="5"/>
  <c r="L312" i="5" s="1"/>
  <c r="D316" i="5"/>
  <c r="L316" i="5" s="1"/>
  <c r="D320" i="5"/>
  <c r="L320" i="5" s="1"/>
  <c r="D324" i="5"/>
  <c r="L324" i="5" s="1"/>
  <c r="D328" i="5"/>
  <c r="L328" i="5" s="1"/>
  <c r="D332" i="5"/>
  <c r="L332" i="5" s="1"/>
  <c r="D336" i="5"/>
  <c r="L336" i="5" s="1"/>
  <c r="D340" i="5"/>
  <c r="L340" i="5" s="1"/>
  <c r="D344" i="5"/>
  <c r="L344" i="5" s="1"/>
  <c r="D348" i="5"/>
  <c r="L348" i="5" s="1"/>
  <c r="D13" i="5"/>
  <c r="L13" i="5" s="1"/>
  <c r="D17" i="5"/>
  <c r="L17" i="5" s="1"/>
  <c r="D21" i="5"/>
  <c r="L21" i="5" s="1"/>
  <c r="D25" i="5"/>
  <c r="L25" i="5" s="1"/>
  <c r="D29" i="5"/>
  <c r="L29" i="5" s="1"/>
  <c r="D33" i="5"/>
  <c r="L33" i="5" s="1"/>
  <c r="D37" i="5"/>
  <c r="L37" i="5" s="1"/>
  <c r="D41" i="5"/>
  <c r="L41" i="5" s="1"/>
  <c r="D45" i="5"/>
  <c r="L45" i="5" s="1"/>
  <c r="D49" i="5"/>
  <c r="L49" i="5" s="1"/>
  <c r="D53" i="5"/>
  <c r="L53" i="5" s="1"/>
  <c r="D57" i="5"/>
  <c r="L57" i="5" s="1"/>
  <c r="D61" i="5"/>
  <c r="L61" i="5" s="1"/>
  <c r="D65" i="5"/>
  <c r="L65" i="5" s="1"/>
  <c r="D69" i="5"/>
  <c r="L69" i="5" s="1"/>
  <c r="D73" i="5"/>
  <c r="L73" i="5" s="1"/>
  <c r="D77" i="5"/>
  <c r="L77" i="5" s="1"/>
  <c r="D81" i="5"/>
  <c r="L81" i="5" s="1"/>
  <c r="D85" i="5"/>
  <c r="L85" i="5" s="1"/>
  <c r="D89" i="5"/>
  <c r="L89" i="5" s="1"/>
  <c r="D93" i="5"/>
  <c r="L93" i="5" s="1"/>
  <c r="D97" i="5"/>
  <c r="L97" i="5" s="1"/>
  <c r="D101" i="5"/>
  <c r="L101" i="5" s="1"/>
  <c r="D105" i="5"/>
  <c r="L105" i="5" s="1"/>
  <c r="D109" i="5"/>
  <c r="L109" i="5" s="1"/>
  <c r="D113" i="5"/>
  <c r="L113" i="5" s="1"/>
  <c r="D117" i="5"/>
  <c r="L117" i="5" s="1"/>
  <c r="D121" i="5"/>
  <c r="L121" i="5" s="1"/>
  <c r="D125" i="5"/>
  <c r="L125" i="5" s="1"/>
  <c r="D129" i="5"/>
  <c r="L129" i="5" s="1"/>
  <c r="D133" i="5"/>
  <c r="L133" i="5" s="1"/>
  <c r="D137" i="5"/>
  <c r="L137" i="5" s="1"/>
  <c r="D141" i="5"/>
  <c r="L141" i="5" s="1"/>
  <c r="D145" i="5"/>
  <c r="L145" i="5" s="1"/>
  <c r="D149" i="5"/>
  <c r="L149" i="5" s="1"/>
  <c r="D153" i="5"/>
  <c r="L153" i="5" s="1"/>
  <c r="D157" i="5"/>
  <c r="L157" i="5" s="1"/>
  <c r="D161" i="5"/>
  <c r="L161" i="5" s="1"/>
  <c r="D165" i="5"/>
  <c r="L165" i="5" s="1"/>
  <c r="D169" i="5"/>
  <c r="L169" i="5" s="1"/>
  <c r="D173" i="5"/>
  <c r="L173" i="5" s="1"/>
  <c r="D177" i="5"/>
  <c r="L177" i="5" s="1"/>
  <c r="D181" i="5"/>
  <c r="L181" i="5" s="1"/>
  <c r="D185" i="5"/>
  <c r="L185" i="5" s="1"/>
  <c r="D189" i="5"/>
  <c r="L189" i="5" s="1"/>
  <c r="D193" i="5"/>
  <c r="L193" i="5" s="1"/>
  <c r="D197" i="5"/>
  <c r="L197" i="5" s="1"/>
  <c r="D201" i="5"/>
  <c r="L201" i="5" s="1"/>
  <c r="D205" i="5"/>
  <c r="L205" i="5" s="1"/>
  <c r="D209" i="5"/>
  <c r="L209" i="5" s="1"/>
  <c r="D213" i="5"/>
  <c r="L213" i="5" s="1"/>
  <c r="D217" i="5"/>
  <c r="L217" i="5" s="1"/>
  <c r="D221" i="5"/>
  <c r="L221" i="5" s="1"/>
  <c r="D225" i="5"/>
  <c r="L225" i="5" s="1"/>
  <c r="D229" i="5"/>
  <c r="L229" i="5" s="1"/>
  <c r="D233" i="5"/>
  <c r="L233" i="5" s="1"/>
  <c r="D237" i="5"/>
  <c r="L237" i="5" s="1"/>
  <c r="D241" i="5"/>
  <c r="L241" i="5" s="1"/>
  <c r="D245" i="5"/>
  <c r="L245" i="5" s="1"/>
  <c r="D249" i="5"/>
  <c r="L249" i="5" s="1"/>
  <c r="D253" i="5"/>
  <c r="L253" i="5" s="1"/>
  <c r="D257" i="5"/>
  <c r="L257" i="5" s="1"/>
  <c r="D261" i="5"/>
  <c r="L261" i="5" s="1"/>
  <c r="D265" i="5"/>
  <c r="L265" i="5" s="1"/>
  <c r="D269" i="5"/>
  <c r="L269" i="5" s="1"/>
  <c r="D273" i="5"/>
  <c r="L273" i="5" s="1"/>
  <c r="D277" i="5"/>
  <c r="L277" i="5" s="1"/>
  <c r="D281" i="5"/>
  <c r="L281" i="5" s="1"/>
  <c r="D285" i="5"/>
  <c r="L285" i="5" s="1"/>
  <c r="D289" i="5"/>
  <c r="L289" i="5" s="1"/>
  <c r="D293" i="5"/>
  <c r="L293" i="5" s="1"/>
  <c r="D297" i="5"/>
  <c r="L297" i="5" s="1"/>
  <c r="D301" i="5"/>
  <c r="L301" i="5" s="1"/>
  <c r="D305" i="5"/>
  <c r="L305" i="5" s="1"/>
  <c r="D309" i="5"/>
  <c r="L309" i="5" s="1"/>
  <c r="D313" i="5"/>
  <c r="L313" i="5" s="1"/>
  <c r="D317" i="5"/>
  <c r="L317" i="5" s="1"/>
  <c r="D321" i="5"/>
  <c r="L321" i="5" s="1"/>
  <c r="D325" i="5"/>
  <c r="L325" i="5" s="1"/>
  <c r="D329" i="5"/>
  <c r="L329" i="5" s="1"/>
  <c r="D333" i="5"/>
  <c r="L333" i="5" s="1"/>
  <c r="D337" i="5"/>
  <c r="L337" i="5" s="1"/>
  <c r="D341" i="5"/>
  <c r="L341" i="5" s="1"/>
  <c r="D345" i="5"/>
  <c r="L345" i="5" s="1"/>
  <c r="D349" i="5"/>
  <c r="L349" i="5" s="1"/>
  <c r="D14" i="5"/>
  <c r="L14" i="5" s="1"/>
  <c r="D30" i="5"/>
  <c r="L30" i="5" s="1"/>
  <c r="D46" i="5"/>
  <c r="L46" i="5" s="1"/>
  <c r="D62" i="5"/>
  <c r="L62" i="5" s="1"/>
  <c r="D78" i="5"/>
  <c r="L78" i="5" s="1"/>
  <c r="D94" i="5"/>
  <c r="L94" i="5" s="1"/>
  <c r="D110" i="5"/>
  <c r="L110" i="5" s="1"/>
  <c r="D126" i="5"/>
  <c r="L126" i="5" s="1"/>
  <c r="D142" i="5"/>
  <c r="L142" i="5" s="1"/>
  <c r="D158" i="5"/>
  <c r="L158" i="5" s="1"/>
  <c r="D174" i="5"/>
  <c r="L174" i="5" s="1"/>
  <c r="D190" i="5"/>
  <c r="L190" i="5" s="1"/>
  <c r="D206" i="5"/>
  <c r="L206" i="5" s="1"/>
  <c r="D222" i="5"/>
  <c r="L222" i="5" s="1"/>
  <c r="D238" i="5"/>
  <c r="L238" i="5" s="1"/>
  <c r="D254" i="5"/>
  <c r="L254" i="5" s="1"/>
  <c r="D270" i="5"/>
  <c r="L270" i="5" s="1"/>
  <c r="D286" i="5"/>
  <c r="L286" i="5" s="1"/>
  <c r="D302" i="5"/>
  <c r="L302" i="5" s="1"/>
  <c r="D318" i="5"/>
  <c r="L318" i="5" s="1"/>
  <c r="D334" i="5"/>
  <c r="L334" i="5" s="1"/>
  <c r="D346" i="5"/>
  <c r="L346" i="5" s="1"/>
  <c r="D352" i="5"/>
  <c r="L352" i="5" s="1"/>
  <c r="D356" i="5"/>
  <c r="L356" i="5" s="1"/>
  <c r="D360" i="5"/>
  <c r="L360" i="5" s="1"/>
  <c r="D364" i="5"/>
  <c r="L364" i="5" s="1"/>
  <c r="D368" i="5"/>
  <c r="L368" i="5" s="1"/>
  <c r="D372" i="5"/>
  <c r="L372" i="5" s="1"/>
  <c r="D376" i="5"/>
  <c r="L376" i="5" s="1"/>
  <c r="D380" i="5"/>
  <c r="L380" i="5" s="1"/>
  <c r="D384" i="5"/>
  <c r="L384" i="5" s="1"/>
  <c r="D388" i="5"/>
  <c r="L388" i="5" s="1"/>
  <c r="D392" i="5"/>
  <c r="L392" i="5" s="1"/>
  <c r="D396" i="5"/>
  <c r="L396" i="5" s="1"/>
  <c r="D400" i="5"/>
  <c r="L400" i="5" s="1"/>
  <c r="D404" i="5"/>
  <c r="L404" i="5" s="1"/>
  <c r="D408" i="5"/>
  <c r="L408" i="5" s="1"/>
  <c r="D412" i="5"/>
  <c r="L412" i="5" s="1"/>
  <c r="D416" i="5"/>
  <c r="L416" i="5" s="1"/>
  <c r="D420" i="5"/>
  <c r="L420" i="5" s="1"/>
  <c r="D424" i="5"/>
  <c r="L424" i="5" s="1"/>
  <c r="D428" i="5"/>
  <c r="L428" i="5" s="1"/>
  <c r="D432" i="5"/>
  <c r="L432" i="5" s="1"/>
  <c r="D436" i="5"/>
  <c r="L436" i="5" s="1"/>
  <c r="D440" i="5"/>
  <c r="L440" i="5" s="1"/>
  <c r="D444" i="5"/>
  <c r="L444" i="5" s="1"/>
  <c r="D448" i="5"/>
  <c r="L448" i="5" s="1"/>
  <c r="D452" i="5"/>
  <c r="L452" i="5" s="1"/>
  <c r="D456" i="5"/>
  <c r="L456" i="5" s="1"/>
  <c r="D460" i="5"/>
  <c r="L460" i="5" s="1"/>
  <c r="D464" i="5"/>
  <c r="L464" i="5" s="1"/>
  <c r="D468" i="5"/>
  <c r="L468" i="5" s="1"/>
  <c r="D472" i="5"/>
  <c r="L472" i="5" s="1"/>
  <c r="D476" i="5"/>
  <c r="L476" i="5" s="1"/>
  <c r="D480" i="5"/>
  <c r="L480" i="5" s="1"/>
  <c r="D484" i="5"/>
  <c r="L484" i="5" s="1"/>
  <c r="D488" i="5"/>
  <c r="L488" i="5" s="1"/>
  <c r="D492" i="5"/>
  <c r="L492" i="5" s="1"/>
  <c r="D496" i="5"/>
  <c r="L496" i="5" s="1"/>
  <c r="D500" i="5"/>
  <c r="L500" i="5" s="1"/>
  <c r="D504" i="5"/>
  <c r="L504" i="5" s="1"/>
  <c r="D508" i="5"/>
  <c r="L508" i="5" s="1"/>
  <c r="D18" i="5"/>
  <c r="L18" i="5" s="1"/>
  <c r="D34" i="5"/>
  <c r="L34" i="5" s="1"/>
  <c r="D50" i="5"/>
  <c r="L50" i="5" s="1"/>
  <c r="D66" i="5"/>
  <c r="L66" i="5" s="1"/>
  <c r="D82" i="5"/>
  <c r="L82" i="5" s="1"/>
  <c r="D98" i="5"/>
  <c r="L98" i="5" s="1"/>
  <c r="D114" i="5"/>
  <c r="L114" i="5" s="1"/>
  <c r="D130" i="5"/>
  <c r="L130" i="5" s="1"/>
  <c r="D146" i="5"/>
  <c r="L146" i="5" s="1"/>
  <c r="D162" i="5"/>
  <c r="L162" i="5" s="1"/>
  <c r="D178" i="5"/>
  <c r="L178" i="5" s="1"/>
  <c r="D194" i="5"/>
  <c r="L194" i="5" s="1"/>
  <c r="D210" i="5"/>
  <c r="L210" i="5" s="1"/>
  <c r="D226" i="5"/>
  <c r="L226" i="5" s="1"/>
  <c r="D242" i="5"/>
  <c r="L242" i="5" s="1"/>
  <c r="D258" i="5"/>
  <c r="L258" i="5" s="1"/>
  <c r="D274" i="5"/>
  <c r="L274" i="5" s="1"/>
  <c r="D290" i="5"/>
  <c r="L290" i="5" s="1"/>
  <c r="D306" i="5"/>
  <c r="L306" i="5" s="1"/>
  <c r="D322" i="5"/>
  <c r="L322" i="5" s="1"/>
  <c r="D338" i="5"/>
  <c r="L338" i="5" s="1"/>
  <c r="D347" i="5"/>
  <c r="L347" i="5" s="1"/>
  <c r="D353" i="5"/>
  <c r="L353" i="5" s="1"/>
  <c r="D357" i="5"/>
  <c r="L357" i="5" s="1"/>
  <c r="D361" i="5"/>
  <c r="L361" i="5" s="1"/>
  <c r="D365" i="5"/>
  <c r="L365" i="5" s="1"/>
  <c r="D369" i="5"/>
  <c r="L369" i="5" s="1"/>
  <c r="D373" i="5"/>
  <c r="L373" i="5" s="1"/>
  <c r="D377" i="5"/>
  <c r="L377" i="5" s="1"/>
  <c r="D381" i="5"/>
  <c r="L381" i="5" s="1"/>
  <c r="D385" i="5"/>
  <c r="L385" i="5" s="1"/>
  <c r="D389" i="5"/>
  <c r="L389" i="5" s="1"/>
  <c r="D393" i="5"/>
  <c r="L393" i="5" s="1"/>
  <c r="D397" i="5"/>
  <c r="L397" i="5" s="1"/>
  <c r="D401" i="5"/>
  <c r="L401" i="5" s="1"/>
  <c r="D405" i="5"/>
  <c r="L405" i="5" s="1"/>
  <c r="D409" i="5"/>
  <c r="L409" i="5" s="1"/>
  <c r="D413" i="5"/>
  <c r="L413" i="5" s="1"/>
  <c r="D417" i="5"/>
  <c r="L417" i="5" s="1"/>
  <c r="D421" i="5"/>
  <c r="L421" i="5" s="1"/>
  <c r="D425" i="5"/>
  <c r="L425" i="5" s="1"/>
  <c r="D429" i="5"/>
  <c r="L429" i="5" s="1"/>
  <c r="D433" i="5"/>
  <c r="L433" i="5" s="1"/>
  <c r="D437" i="5"/>
  <c r="L437" i="5" s="1"/>
  <c r="D441" i="5"/>
  <c r="L441" i="5" s="1"/>
  <c r="D445" i="5"/>
  <c r="L445" i="5" s="1"/>
  <c r="D449" i="5"/>
  <c r="L449" i="5" s="1"/>
  <c r="D453" i="5"/>
  <c r="L453" i="5" s="1"/>
  <c r="D457" i="5"/>
  <c r="L457" i="5" s="1"/>
  <c r="D461" i="5"/>
  <c r="L461" i="5" s="1"/>
  <c r="D465" i="5"/>
  <c r="L465" i="5" s="1"/>
  <c r="D469" i="5"/>
  <c r="L469" i="5" s="1"/>
  <c r="D473" i="5"/>
  <c r="L473" i="5" s="1"/>
  <c r="D477" i="5"/>
  <c r="L477" i="5" s="1"/>
  <c r="D481" i="5"/>
  <c r="L481" i="5" s="1"/>
  <c r="D485" i="5"/>
  <c r="L485" i="5" s="1"/>
  <c r="D489" i="5"/>
  <c r="L489" i="5" s="1"/>
  <c r="D493" i="5"/>
  <c r="L493" i="5" s="1"/>
  <c r="D497" i="5"/>
  <c r="L497" i="5" s="1"/>
  <c r="D501" i="5"/>
  <c r="L501" i="5" s="1"/>
  <c r="D505" i="5"/>
  <c r="L505" i="5" s="1"/>
  <c r="D509" i="5"/>
  <c r="L509" i="5" s="1"/>
  <c r="D22" i="5"/>
  <c r="L22" i="5" s="1"/>
  <c r="D38" i="5"/>
  <c r="L38" i="5" s="1"/>
  <c r="D54" i="5"/>
  <c r="L54" i="5" s="1"/>
  <c r="D70" i="5"/>
  <c r="L70" i="5" s="1"/>
  <c r="D86" i="5"/>
  <c r="L86" i="5" s="1"/>
  <c r="D102" i="5"/>
  <c r="L102" i="5" s="1"/>
  <c r="D118" i="5"/>
  <c r="L118" i="5" s="1"/>
  <c r="D134" i="5"/>
  <c r="L134" i="5" s="1"/>
  <c r="D150" i="5"/>
  <c r="L150" i="5" s="1"/>
  <c r="D166" i="5"/>
  <c r="L166" i="5" s="1"/>
  <c r="D182" i="5"/>
  <c r="L182" i="5" s="1"/>
  <c r="D198" i="5"/>
  <c r="L198" i="5" s="1"/>
  <c r="D214" i="5"/>
  <c r="L214" i="5" s="1"/>
  <c r="D230" i="5"/>
  <c r="L230" i="5" s="1"/>
  <c r="D246" i="5"/>
  <c r="L246" i="5" s="1"/>
  <c r="D262" i="5"/>
  <c r="L262" i="5" s="1"/>
  <c r="D278" i="5"/>
  <c r="L278" i="5" s="1"/>
  <c r="D294" i="5"/>
  <c r="L294" i="5" s="1"/>
  <c r="D310" i="5"/>
  <c r="L310" i="5" s="1"/>
  <c r="D326" i="5"/>
  <c r="L326" i="5" s="1"/>
  <c r="D342" i="5"/>
  <c r="L342" i="5" s="1"/>
  <c r="D350" i="5"/>
  <c r="L350" i="5" s="1"/>
  <c r="D354" i="5"/>
  <c r="L354" i="5" s="1"/>
  <c r="D358" i="5"/>
  <c r="L358" i="5" s="1"/>
  <c r="D362" i="5"/>
  <c r="L362" i="5" s="1"/>
  <c r="D366" i="5"/>
  <c r="L366" i="5" s="1"/>
  <c r="D370" i="5"/>
  <c r="L370" i="5" s="1"/>
  <c r="D374" i="5"/>
  <c r="L374" i="5" s="1"/>
  <c r="D378" i="5"/>
  <c r="L378" i="5" s="1"/>
  <c r="D382" i="5"/>
  <c r="L382" i="5" s="1"/>
  <c r="D386" i="5"/>
  <c r="L386" i="5" s="1"/>
  <c r="D390" i="5"/>
  <c r="L390" i="5" s="1"/>
  <c r="D394" i="5"/>
  <c r="L394" i="5" s="1"/>
  <c r="D398" i="5"/>
  <c r="L398" i="5" s="1"/>
  <c r="D402" i="5"/>
  <c r="L402" i="5" s="1"/>
  <c r="D406" i="5"/>
  <c r="L406" i="5" s="1"/>
  <c r="D410" i="5"/>
  <c r="L410" i="5" s="1"/>
  <c r="D414" i="5"/>
  <c r="L414" i="5" s="1"/>
  <c r="D418" i="5"/>
  <c r="L418" i="5" s="1"/>
  <c r="D422" i="5"/>
  <c r="L422" i="5" s="1"/>
  <c r="D426" i="5"/>
  <c r="L426" i="5" s="1"/>
  <c r="D430" i="5"/>
  <c r="L430" i="5" s="1"/>
  <c r="D434" i="5"/>
  <c r="L434" i="5" s="1"/>
  <c r="D438" i="5"/>
  <c r="L438" i="5" s="1"/>
  <c r="D442" i="5"/>
  <c r="L442" i="5" s="1"/>
  <c r="D446" i="5"/>
  <c r="L446" i="5" s="1"/>
  <c r="D450" i="5"/>
  <c r="L450" i="5" s="1"/>
  <c r="D454" i="5"/>
  <c r="L454" i="5" s="1"/>
  <c r="D458" i="5"/>
  <c r="L458" i="5" s="1"/>
  <c r="D462" i="5"/>
  <c r="L462" i="5" s="1"/>
  <c r="D466" i="5"/>
  <c r="L466" i="5" s="1"/>
  <c r="D470" i="5"/>
  <c r="L470" i="5" s="1"/>
  <c r="D474" i="5"/>
  <c r="L474" i="5" s="1"/>
  <c r="D478" i="5"/>
  <c r="L478" i="5" s="1"/>
  <c r="D482" i="5"/>
  <c r="L482" i="5" s="1"/>
  <c r="D486" i="5"/>
  <c r="L486" i="5" s="1"/>
  <c r="D490" i="5"/>
  <c r="L490" i="5" s="1"/>
  <c r="D494" i="5"/>
  <c r="L494" i="5" s="1"/>
  <c r="D498" i="5"/>
  <c r="L498" i="5" s="1"/>
  <c r="D502" i="5"/>
  <c r="L502" i="5" s="1"/>
  <c r="D506" i="5"/>
  <c r="L506" i="5" s="1"/>
  <c r="D510" i="5"/>
  <c r="L510" i="5" s="1"/>
  <c r="D26" i="5"/>
  <c r="L26" i="5" s="1"/>
  <c r="D42" i="5"/>
  <c r="L42" i="5" s="1"/>
  <c r="D58" i="5"/>
  <c r="L58" i="5" s="1"/>
  <c r="D74" i="5"/>
  <c r="L74" i="5" s="1"/>
  <c r="D90" i="5"/>
  <c r="L90" i="5" s="1"/>
  <c r="D106" i="5"/>
  <c r="L106" i="5" s="1"/>
  <c r="D122" i="5"/>
  <c r="L122" i="5" s="1"/>
  <c r="D138" i="5"/>
  <c r="L138" i="5" s="1"/>
  <c r="D154" i="5"/>
  <c r="L154" i="5" s="1"/>
  <c r="D170" i="5"/>
  <c r="L170" i="5" s="1"/>
  <c r="D186" i="5"/>
  <c r="L186" i="5" s="1"/>
  <c r="D202" i="5"/>
  <c r="L202" i="5" s="1"/>
  <c r="D218" i="5"/>
  <c r="L218" i="5" s="1"/>
  <c r="D234" i="5"/>
  <c r="L234" i="5" s="1"/>
  <c r="D250" i="5"/>
  <c r="L250" i="5" s="1"/>
  <c r="D266" i="5"/>
  <c r="L266" i="5" s="1"/>
  <c r="D282" i="5"/>
  <c r="L282" i="5" s="1"/>
  <c r="D298" i="5"/>
  <c r="L298" i="5" s="1"/>
  <c r="D314" i="5"/>
  <c r="L314" i="5" s="1"/>
  <c r="D330" i="5"/>
  <c r="L330" i="5" s="1"/>
  <c r="D343" i="5"/>
  <c r="L343" i="5" s="1"/>
  <c r="D351" i="5"/>
  <c r="L351" i="5" s="1"/>
  <c r="D355" i="5"/>
  <c r="L355" i="5" s="1"/>
  <c r="D359" i="5"/>
  <c r="L359" i="5" s="1"/>
  <c r="D363" i="5"/>
  <c r="L363" i="5" s="1"/>
  <c r="D367" i="5"/>
  <c r="L367" i="5" s="1"/>
  <c r="D371" i="5"/>
  <c r="L371" i="5" s="1"/>
  <c r="D375" i="5"/>
  <c r="L375" i="5" s="1"/>
  <c r="D379" i="5"/>
  <c r="L379" i="5" s="1"/>
  <c r="D383" i="5"/>
  <c r="L383" i="5" s="1"/>
  <c r="D387" i="5"/>
  <c r="L387" i="5" s="1"/>
  <c r="D391" i="5"/>
  <c r="L391" i="5" s="1"/>
  <c r="D395" i="5"/>
  <c r="L395" i="5" s="1"/>
  <c r="D399" i="5"/>
  <c r="L399" i="5" s="1"/>
  <c r="D403" i="5"/>
  <c r="L403" i="5" s="1"/>
  <c r="D407" i="5"/>
  <c r="L407" i="5" s="1"/>
  <c r="D411" i="5"/>
  <c r="L411" i="5" s="1"/>
  <c r="D415" i="5"/>
  <c r="L415" i="5" s="1"/>
  <c r="D419" i="5"/>
  <c r="L419" i="5" s="1"/>
  <c r="D423" i="5"/>
  <c r="L423" i="5" s="1"/>
  <c r="D427" i="5"/>
  <c r="L427" i="5" s="1"/>
  <c r="D431" i="5"/>
  <c r="L431" i="5" s="1"/>
  <c r="D435" i="5"/>
  <c r="L435" i="5" s="1"/>
  <c r="D439" i="5"/>
  <c r="L439" i="5" s="1"/>
  <c r="D443" i="5"/>
  <c r="L443" i="5" s="1"/>
  <c r="D447" i="5"/>
  <c r="L447" i="5" s="1"/>
  <c r="D451" i="5"/>
  <c r="L451" i="5" s="1"/>
  <c r="D455" i="5"/>
  <c r="L455" i="5" s="1"/>
  <c r="D459" i="5"/>
  <c r="L459" i="5" s="1"/>
  <c r="D463" i="5"/>
  <c r="L463" i="5" s="1"/>
  <c r="D467" i="5"/>
  <c r="L467" i="5" s="1"/>
  <c r="D471" i="5"/>
  <c r="L471" i="5" s="1"/>
  <c r="D475" i="5"/>
  <c r="L475" i="5" s="1"/>
  <c r="D479" i="5"/>
  <c r="L479" i="5" s="1"/>
  <c r="D483" i="5"/>
  <c r="L483" i="5" s="1"/>
  <c r="D487" i="5"/>
  <c r="L487" i="5" s="1"/>
  <c r="D491" i="5"/>
  <c r="L491" i="5" s="1"/>
  <c r="D495" i="5"/>
  <c r="L495" i="5" s="1"/>
  <c r="D499" i="5"/>
  <c r="L499" i="5" s="1"/>
  <c r="D503" i="5"/>
  <c r="L503" i="5" s="1"/>
  <c r="D507" i="5"/>
  <c r="L507" i="5" s="1"/>
  <c r="G11" i="35"/>
  <c r="S11" i="35" s="1"/>
  <c r="G15" i="35"/>
  <c r="S15" i="35" s="1"/>
  <c r="G19" i="35"/>
  <c r="S19" i="35" s="1"/>
  <c r="G23" i="35"/>
  <c r="S23" i="35" s="1"/>
  <c r="G27" i="35"/>
  <c r="S27" i="35" s="1"/>
  <c r="G31" i="35"/>
  <c r="S31" i="35" s="1"/>
  <c r="G35" i="35"/>
  <c r="S35" i="35" s="1"/>
  <c r="G39" i="35"/>
  <c r="S39" i="35" s="1"/>
  <c r="G43" i="35"/>
  <c r="S43" i="35" s="1"/>
  <c r="G47" i="35"/>
  <c r="S47" i="35" s="1"/>
  <c r="G51" i="35"/>
  <c r="S51" i="35" s="1"/>
  <c r="G55" i="35"/>
  <c r="S55" i="35" s="1"/>
  <c r="G59" i="35"/>
  <c r="S59" i="35" s="1"/>
  <c r="G63" i="35"/>
  <c r="S63" i="35" s="1"/>
  <c r="G67" i="35"/>
  <c r="S67" i="35" s="1"/>
  <c r="G71" i="35"/>
  <c r="S71" i="35" s="1"/>
  <c r="G75" i="35"/>
  <c r="S75" i="35" s="1"/>
  <c r="G79" i="35"/>
  <c r="S79" i="35" s="1"/>
  <c r="G83" i="35"/>
  <c r="S83" i="35" s="1"/>
  <c r="G87" i="35"/>
  <c r="S87" i="35" s="1"/>
  <c r="G91" i="35"/>
  <c r="S91" i="35" s="1"/>
  <c r="G95" i="35"/>
  <c r="S95" i="35" s="1"/>
  <c r="G99" i="35"/>
  <c r="S99" i="35" s="1"/>
  <c r="G103" i="35"/>
  <c r="S103" i="35" s="1"/>
  <c r="G107" i="35"/>
  <c r="S107" i="35" s="1"/>
  <c r="G111" i="35"/>
  <c r="S111" i="35" s="1"/>
  <c r="G115" i="35"/>
  <c r="S115" i="35" s="1"/>
  <c r="G119" i="35"/>
  <c r="S119" i="35" s="1"/>
  <c r="G123" i="35"/>
  <c r="S123" i="35" s="1"/>
  <c r="G127" i="35"/>
  <c r="S127" i="35" s="1"/>
  <c r="G131" i="35"/>
  <c r="S131" i="35" s="1"/>
  <c r="G135" i="35"/>
  <c r="S135" i="35" s="1"/>
  <c r="G139" i="35"/>
  <c r="S139" i="35" s="1"/>
  <c r="G143" i="35"/>
  <c r="S143" i="35" s="1"/>
  <c r="G147" i="35"/>
  <c r="S147" i="35" s="1"/>
  <c r="G151" i="35"/>
  <c r="S151" i="35" s="1"/>
  <c r="G155" i="35"/>
  <c r="S155" i="35" s="1"/>
  <c r="G159" i="35"/>
  <c r="S159" i="35" s="1"/>
  <c r="G163" i="35"/>
  <c r="S163" i="35" s="1"/>
  <c r="G167" i="35"/>
  <c r="S167" i="35" s="1"/>
  <c r="G171" i="35"/>
  <c r="S171" i="35" s="1"/>
  <c r="G175" i="35"/>
  <c r="S175" i="35" s="1"/>
  <c r="G179" i="35"/>
  <c r="S179" i="35" s="1"/>
  <c r="G183" i="35"/>
  <c r="S183" i="35" s="1"/>
  <c r="G187" i="35"/>
  <c r="S187" i="35" s="1"/>
  <c r="G191" i="35"/>
  <c r="S191" i="35" s="1"/>
  <c r="G195" i="35"/>
  <c r="S195" i="35" s="1"/>
  <c r="G199" i="35"/>
  <c r="S199" i="35" s="1"/>
  <c r="G203" i="35"/>
  <c r="S203" i="35" s="1"/>
  <c r="G207" i="35"/>
  <c r="S207" i="35" s="1"/>
  <c r="G211" i="35"/>
  <c r="S211" i="35" s="1"/>
  <c r="G215" i="35"/>
  <c r="S215" i="35" s="1"/>
  <c r="G219" i="35"/>
  <c r="S219" i="35" s="1"/>
  <c r="G223" i="35"/>
  <c r="S223" i="35" s="1"/>
  <c r="G227" i="35"/>
  <c r="S227" i="35" s="1"/>
  <c r="G231" i="35"/>
  <c r="S231" i="35" s="1"/>
  <c r="G235" i="35"/>
  <c r="S235" i="35" s="1"/>
  <c r="G239" i="35"/>
  <c r="S239" i="35" s="1"/>
  <c r="G243" i="35"/>
  <c r="S243" i="35" s="1"/>
  <c r="G247" i="35"/>
  <c r="S247" i="35" s="1"/>
  <c r="G251" i="35"/>
  <c r="S251" i="35" s="1"/>
  <c r="G255" i="35"/>
  <c r="S255" i="35" s="1"/>
  <c r="G259" i="35"/>
  <c r="S259" i="35" s="1"/>
  <c r="G263" i="35"/>
  <c r="S263" i="35" s="1"/>
  <c r="G267" i="35"/>
  <c r="S267" i="35" s="1"/>
  <c r="G271" i="35"/>
  <c r="S271" i="35" s="1"/>
  <c r="G275" i="35"/>
  <c r="S275" i="35" s="1"/>
  <c r="G279" i="35"/>
  <c r="S279" i="35" s="1"/>
  <c r="G283" i="35"/>
  <c r="S283" i="35" s="1"/>
  <c r="G287" i="35"/>
  <c r="S287" i="35" s="1"/>
  <c r="G291" i="35"/>
  <c r="S291" i="35" s="1"/>
  <c r="G295" i="35"/>
  <c r="S295" i="35" s="1"/>
  <c r="G299" i="35"/>
  <c r="S299" i="35" s="1"/>
  <c r="G303" i="35"/>
  <c r="S303" i="35" s="1"/>
  <c r="G307" i="35"/>
  <c r="S307" i="35" s="1"/>
  <c r="G12" i="35"/>
  <c r="S12" i="35" s="1"/>
  <c r="G16" i="35"/>
  <c r="S16" i="35" s="1"/>
  <c r="G20" i="35"/>
  <c r="S20" i="35" s="1"/>
  <c r="G24" i="35"/>
  <c r="S24" i="35" s="1"/>
  <c r="G28" i="35"/>
  <c r="S28" i="35" s="1"/>
  <c r="G32" i="35"/>
  <c r="S32" i="35" s="1"/>
  <c r="G36" i="35"/>
  <c r="S36" i="35" s="1"/>
  <c r="G40" i="35"/>
  <c r="S40" i="35" s="1"/>
  <c r="G44" i="35"/>
  <c r="S44" i="35" s="1"/>
  <c r="G48" i="35"/>
  <c r="S48" i="35" s="1"/>
  <c r="G52" i="35"/>
  <c r="S52" i="35" s="1"/>
  <c r="G56" i="35"/>
  <c r="S56" i="35" s="1"/>
  <c r="G60" i="35"/>
  <c r="S60" i="35" s="1"/>
  <c r="G64" i="35"/>
  <c r="S64" i="35" s="1"/>
  <c r="G68" i="35"/>
  <c r="S68" i="35" s="1"/>
  <c r="G72" i="35"/>
  <c r="S72" i="35" s="1"/>
  <c r="G76" i="35"/>
  <c r="S76" i="35" s="1"/>
  <c r="G80" i="35"/>
  <c r="S80" i="35" s="1"/>
  <c r="G84" i="35"/>
  <c r="S84" i="35" s="1"/>
  <c r="G88" i="35"/>
  <c r="S88" i="35" s="1"/>
  <c r="G92" i="35"/>
  <c r="S92" i="35" s="1"/>
  <c r="G96" i="35"/>
  <c r="S96" i="35" s="1"/>
  <c r="G100" i="35"/>
  <c r="S100" i="35" s="1"/>
  <c r="G104" i="35"/>
  <c r="S104" i="35" s="1"/>
  <c r="G108" i="35"/>
  <c r="S108" i="35" s="1"/>
  <c r="G112" i="35"/>
  <c r="S112" i="35" s="1"/>
  <c r="G116" i="35"/>
  <c r="S116" i="35" s="1"/>
  <c r="G120" i="35"/>
  <c r="S120" i="35" s="1"/>
  <c r="G124" i="35"/>
  <c r="S124" i="35" s="1"/>
  <c r="G128" i="35"/>
  <c r="S128" i="35" s="1"/>
  <c r="G132" i="35"/>
  <c r="S132" i="35" s="1"/>
  <c r="G136" i="35"/>
  <c r="S136" i="35" s="1"/>
  <c r="G140" i="35"/>
  <c r="S140" i="35" s="1"/>
  <c r="G144" i="35"/>
  <c r="S144" i="35" s="1"/>
  <c r="G148" i="35"/>
  <c r="S148" i="35" s="1"/>
  <c r="G152" i="35"/>
  <c r="S152" i="35" s="1"/>
  <c r="G156" i="35"/>
  <c r="S156" i="35" s="1"/>
  <c r="G160" i="35"/>
  <c r="S160" i="35" s="1"/>
  <c r="G164" i="35"/>
  <c r="S164" i="35" s="1"/>
  <c r="G168" i="35"/>
  <c r="S168" i="35" s="1"/>
  <c r="G172" i="35"/>
  <c r="S172" i="35" s="1"/>
  <c r="G176" i="35"/>
  <c r="S176" i="35" s="1"/>
  <c r="G180" i="35"/>
  <c r="S180" i="35" s="1"/>
  <c r="G184" i="35"/>
  <c r="S184" i="35" s="1"/>
  <c r="G188" i="35"/>
  <c r="S188" i="35" s="1"/>
  <c r="G192" i="35"/>
  <c r="S192" i="35" s="1"/>
  <c r="G196" i="35"/>
  <c r="S196" i="35" s="1"/>
  <c r="G200" i="35"/>
  <c r="S200" i="35" s="1"/>
  <c r="G204" i="35"/>
  <c r="S204" i="35" s="1"/>
  <c r="G208" i="35"/>
  <c r="S208" i="35" s="1"/>
  <c r="G212" i="35"/>
  <c r="S212" i="35" s="1"/>
  <c r="G216" i="35"/>
  <c r="S216" i="35" s="1"/>
  <c r="G220" i="35"/>
  <c r="S220" i="35" s="1"/>
  <c r="G224" i="35"/>
  <c r="S224" i="35" s="1"/>
  <c r="G228" i="35"/>
  <c r="S228" i="35" s="1"/>
  <c r="G232" i="35"/>
  <c r="S232" i="35" s="1"/>
  <c r="G236" i="35"/>
  <c r="S236" i="35" s="1"/>
  <c r="G240" i="35"/>
  <c r="S240" i="35" s="1"/>
  <c r="G244" i="35"/>
  <c r="S244" i="35" s="1"/>
  <c r="G248" i="35"/>
  <c r="S248" i="35" s="1"/>
  <c r="G252" i="35"/>
  <c r="S252" i="35" s="1"/>
  <c r="G256" i="35"/>
  <c r="S256" i="35" s="1"/>
  <c r="G260" i="35"/>
  <c r="S260" i="35" s="1"/>
  <c r="G264" i="35"/>
  <c r="S264" i="35" s="1"/>
  <c r="G268" i="35"/>
  <c r="S268" i="35" s="1"/>
  <c r="G272" i="35"/>
  <c r="S272" i="35" s="1"/>
  <c r="G276" i="35"/>
  <c r="S276" i="35" s="1"/>
  <c r="G13" i="35"/>
  <c r="S13" i="35" s="1"/>
  <c r="G17" i="35"/>
  <c r="S17" i="35" s="1"/>
  <c r="G21" i="35"/>
  <c r="S21" i="35" s="1"/>
  <c r="G25" i="35"/>
  <c r="S25" i="35" s="1"/>
  <c r="G29" i="35"/>
  <c r="S29" i="35" s="1"/>
  <c r="G33" i="35"/>
  <c r="S33" i="35" s="1"/>
  <c r="G37" i="35"/>
  <c r="S37" i="35" s="1"/>
  <c r="G41" i="35"/>
  <c r="S41" i="35" s="1"/>
  <c r="G45" i="35"/>
  <c r="S45" i="35" s="1"/>
  <c r="G49" i="35"/>
  <c r="S49" i="35" s="1"/>
  <c r="G53" i="35"/>
  <c r="S53" i="35" s="1"/>
  <c r="G57" i="35"/>
  <c r="S57" i="35" s="1"/>
  <c r="G61" i="35"/>
  <c r="S61" i="35" s="1"/>
  <c r="G65" i="35"/>
  <c r="S65" i="35" s="1"/>
  <c r="G69" i="35"/>
  <c r="S69" i="35" s="1"/>
  <c r="G73" i="35"/>
  <c r="S73" i="35" s="1"/>
  <c r="G77" i="35"/>
  <c r="S77" i="35" s="1"/>
  <c r="G81" i="35"/>
  <c r="S81" i="35" s="1"/>
  <c r="G85" i="35"/>
  <c r="S85" i="35" s="1"/>
  <c r="G89" i="35"/>
  <c r="S89" i="35" s="1"/>
  <c r="G93" i="35"/>
  <c r="S93" i="35" s="1"/>
  <c r="G97" i="35"/>
  <c r="S97" i="35" s="1"/>
  <c r="G101" i="35"/>
  <c r="S101" i="35" s="1"/>
  <c r="G105" i="35"/>
  <c r="S105" i="35" s="1"/>
  <c r="G109" i="35"/>
  <c r="S109" i="35" s="1"/>
  <c r="G113" i="35"/>
  <c r="S113" i="35" s="1"/>
  <c r="G117" i="35"/>
  <c r="S117" i="35" s="1"/>
  <c r="G121" i="35"/>
  <c r="S121" i="35" s="1"/>
  <c r="G125" i="35"/>
  <c r="S125" i="35" s="1"/>
  <c r="G129" i="35"/>
  <c r="S129" i="35" s="1"/>
  <c r="G133" i="35"/>
  <c r="S133" i="35" s="1"/>
  <c r="G137" i="35"/>
  <c r="S137" i="35" s="1"/>
  <c r="G141" i="35"/>
  <c r="S141" i="35" s="1"/>
  <c r="G145" i="35"/>
  <c r="S145" i="35" s="1"/>
  <c r="G149" i="35"/>
  <c r="S149" i="35" s="1"/>
  <c r="G153" i="35"/>
  <c r="S153" i="35" s="1"/>
  <c r="G157" i="35"/>
  <c r="S157" i="35" s="1"/>
  <c r="G161" i="35"/>
  <c r="S161" i="35" s="1"/>
  <c r="G165" i="35"/>
  <c r="S165" i="35" s="1"/>
  <c r="G169" i="35"/>
  <c r="S169" i="35" s="1"/>
  <c r="G173" i="35"/>
  <c r="S173" i="35" s="1"/>
  <c r="G177" i="35"/>
  <c r="S177" i="35" s="1"/>
  <c r="G181" i="35"/>
  <c r="S181" i="35" s="1"/>
  <c r="G185" i="35"/>
  <c r="S185" i="35" s="1"/>
  <c r="G189" i="35"/>
  <c r="S189" i="35" s="1"/>
  <c r="G193" i="35"/>
  <c r="S193" i="35" s="1"/>
  <c r="G197" i="35"/>
  <c r="S197" i="35" s="1"/>
  <c r="G201" i="35"/>
  <c r="S201" i="35" s="1"/>
  <c r="G205" i="35"/>
  <c r="S205" i="35" s="1"/>
  <c r="G209" i="35"/>
  <c r="S209" i="35" s="1"/>
  <c r="G213" i="35"/>
  <c r="S213" i="35" s="1"/>
  <c r="G217" i="35"/>
  <c r="S217" i="35" s="1"/>
  <c r="G221" i="35"/>
  <c r="S221" i="35" s="1"/>
  <c r="G225" i="35"/>
  <c r="S225" i="35" s="1"/>
  <c r="G229" i="35"/>
  <c r="S229" i="35" s="1"/>
  <c r="G233" i="35"/>
  <c r="S233" i="35" s="1"/>
  <c r="G237" i="35"/>
  <c r="S237" i="35" s="1"/>
  <c r="G241" i="35"/>
  <c r="S241" i="35" s="1"/>
  <c r="G245" i="35"/>
  <c r="S245" i="35" s="1"/>
  <c r="G249" i="35"/>
  <c r="S249" i="35" s="1"/>
  <c r="G253" i="35"/>
  <c r="S253" i="35" s="1"/>
  <c r="G257" i="35"/>
  <c r="S257" i="35" s="1"/>
  <c r="G261" i="35"/>
  <c r="S261" i="35" s="1"/>
  <c r="G265" i="35"/>
  <c r="S265" i="35" s="1"/>
  <c r="G269" i="35"/>
  <c r="S269" i="35" s="1"/>
  <c r="G273" i="35"/>
  <c r="S273" i="35" s="1"/>
  <c r="G277" i="35"/>
  <c r="S277" i="35" s="1"/>
  <c r="G281" i="35"/>
  <c r="S281" i="35" s="1"/>
  <c r="G285" i="35"/>
  <c r="S285" i="35" s="1"/>
  <c r="G289" i="35"/>
  <c r="S289" i="35" s="1"/>
  <c r="G293" i="35"/>
  <c r="S293" i="35" s="1"/>
  <c r="G297" i="35"/>
  <c r="S297" i="35" s="1"/>
  <c r="G301" i="35"/>
  <c r="S301" i="35" s="1"/>
  <c r="G305" i="35"/>
  <c r="S305" i="35" s="1"/>
  <c r="G309" i="35"/>
  <c r="S309" i="35" s="1"/>
  <c r="G313" i="35"/>
  <c r="S313" i="35" s="1"/>
  <c r="G317" i="35"/>
  <c r="S317" i="35" s="1"/>
  <c r="G321" i="35"/>
  <c r="S321" i="35" s="1"/>
  <c r="G325" i="35"/>
  <c r="S325" i="35" s="1"/>
  <c r="G329" i="35"/>
  <c r="S329" i="35" s="1"/>
  <c r="G333" i="35"/>
  <c r="S333" i="35" s="1"/>
  <c r="G14" i="35"/>
  <c r="S14" i="35" s="1"/>
  <c r="G18" i="35"/>
  <c r="S18" i="35" s="1"/>
  <c r="G22" i="35"/>
  <c r="S22" i="35" s="1"/>
  <c r="G26" i="35"/>
  <c r="S26" i="35" s="1"/>
  <c r="G30" i="35"/>
  <c r="S30" i="35" s="1"/>
  <c r="G34" i="35"/>
  <c r="S34" i="35" s="1"/>
  <c r="G38" i="35"/>
  <c r="S38" i="35" s="1"/>
  <c r="G42" i="35"/>
  <c r="S42" i="35" s="1"/>
  <c r="G46" i="35"/>
  <c r="S46" i="35" s="1"/>
  <c r="G50" i="35"/>
  <c r="S50" i="35" s="1"/>
  <c r="G54" i="35"/>
  <c r="S54" i="35" s="1"/>
  <c r="G58" i="35"/>
  <c r="S58" i="35" s="1"/>
  <c r="G62" i="35"/>
  <c r="S62" i="35" s="1"/>
  <c r="G66" i="35"/>
  <c r="S66" i="35" s="1"/>
  <c r="G70" i="35"/>
  <c r="S70" i="35" s="1"/>
  <c r="G74" i="35"/>
  <c r="S74" i="35" s="1"/>
  <c r="G78" i="35"/>
  <c r="S78" i="35" s="1"/>
  <c r="G82" i="35"/>
  <c r="S82" i="35" s="1"/>
  <c r="G86" i="35"/>
  <c r="S86" i="35" s="1"/>
  <c r="G90" i="35"/>
  <c r="S90" i="35" s="1"/>
  <c r="G94" i="35"/>
  <c r="S94" i="35" s="1"/>
  <c r="G98" i="35"/>
  <c r="S98" i="35" s="1"/>
  <c r="G102" i="35"/>
  <c r="S102" i="35" s="1"/>
  <c r="G106" i="35"/>
  <c r="S106" i="35" s="1"/>
  <c r="G110" i="35"/>
  <c r="S110" i="35" s="1"/>
  <c r="G114" i="35"/>
  <c r="S114" i="35" s="1"/>
  <c r="G118" i="35"/>
  <c r="S118" i="35" s="1"/>
  <c r="G122" i="35"/>
  <c r="S122" i="35" s="1"/>
  <c r="G126" i="35"/>
  <c r="S126" i="35" s="1"/>
  <c r="G130" i="35"/>
  <c r="S130" i="35" s="1"/>
  <c r="G134" i="35"/>
  <c r="S134" i="35" s="1"/>
  <c r="G138" i="35"/>
  <c r="S138" i="35" s="1"/>
  <c r="G142" i="35"/>
  <c r="S142" i="35" s="1"/>
  <c r="G146" i="35"/>
  <c r="S146" i="35" s="1"/>
  <c r="G150" i="35"/>
  <c r="S150" i="35" s="1"/>
  <c r="G154" i="35"/>
  <c r="S154" i="35" s="1"/>
  <c r="G158" i="35"/>
  <c r="S158" i="35" s="1"/>
  <c r="G162" i="35"/>
  <c r="S162" i="35" s="1"/>
  <c r="G166" i="35"/>
  <c r="S166" i="35" s="1"/>
  <c r="G170" i="35"/>
  <c r="S170" i="35" s="1"/>
  <c r="G174" i="35"/>
  <c r="S174" i="35" s="1"/>
  <c r="G178" i="35"/>
  <c r="S178" i="35" s="1"/>
  <c r="G182" i="35"/>
  <c r="S182" i="35" s="1"/>
  <c r="G186" i="35"/>
  <c r="S186" i="35" s="1"/>
  <c r="G190" i="35"/>
  <c r="S190" i="35" s="1"/>
  <c r="G194" i="35"/>
  <c r="S194" i="35" s="1"/>
  <c r="G198" i="35"/>
  <c r="S198" i="35" s="1"/>
  <c r="G202" i="35"/>
  <c r="S202" i="35" s="1"/>
  <c r="G206" i="35"/>
  <c r="S206" i="35" s="1"/>
  <c r="G210" i="35"/>
  <c r="S210" i="35" s="1"/>
  <c r="G214" i="35"/>
  <c r="S214" i="35" s="1"/>
  <c r="G218" i="35"/>
  <c r="S218" i="35" s="1"/>
  <c r="G222" i="35"/>
  <c r="S222" i="35" s="1"/>
  <c r="G226" i="35"/>
  <c r="S226" i="35" s="1"/>
  <c r="G230" i="35"/>
  <c r="S230" i="35" s="1"/>
  <c r="G234" i="35"/>
  <c r="S234" i="35" s="1"/>
  <c r="G238" i="35"/>
  <c r="S238" i="35" s="1"/>
  <c r="G242" i="35"/>
  <c r="S242" i="35" s="1"/>
  <c r="G246" i="35"/>
  <c r="S246" i="35" s="1"/>
  <c r="G250" i="35"/>
  <c r="S250" i="35" s="1"/>
  <c r="G254" i="35"/>
  <c r="S254" i="35" s="1"/>
  <c r="G258" i="35"/>
  <c r="S258" i="35" s="1"/>
  <c r="G262" i="35"/>
  <c r="S262" i="35" s="1"/>
  <c r="G266" i="35"/>
  <c r="S266" i="35" s="1"/>
  <c r="G270" i="35"/>
  <c r="S270" i="35" s="1"/>
  <c r="G274" i="35"/>
  <c r="S274" i="35" s="1"/>
  <c r="G278" i="35"/>
  <c r="S278" i="35" s="1"/>
  <c r="G282" i="35"/>
  <c r="S282" i="35" s="1"/>
  <c r="G286" i="35"/>
  <c r="S286" i="35" s="1"/>
  <c r="G290" i="35"/>
  <c r="S290" i="35" s="1"/>
  <c r="G294" i="35"/>
  <c r="S294" i="35" s="1"/>
  <c r="G298" i="35"/>
  <c r="S298" i="35" s="1"/>
  <c r="G302" i="35"/>
  <c r="S302" i="35" s="1"/>
  <c r="G306" i="35"/>
  <c r="S306" i="35" s="1"/>
  <c r="G310" i="35"/>
  <c r="S310" i="35" s="1"/>
  <c r="G314" i="35"/>
  <c r="S314" i="35" s="1"/>
  <c r="G318" i="35"/>
  <c r="S318" i="35" s="1"/>
  <c r="G322" i="35"/>
  <c r="S322" i="35" s="1"/>
  <c r="G326" i="35"/>
  <c r="S326" i="35" s="1"/>
  <c r="G330" i="35"/>
  <c r="S330" i="35" s="1"/>
  <c r="G334" i="35"/>
  <c r="S334" i="35" s="1"/>
  <c r="G338" i="35"/>
  <c r="S338" i="35" s="1"/>
  <c r="G342" i="35"/>
  <c r="S342" i="35" s="1"/>
  <c r="G346" i="35"/>
  <c r="S346" i="35" s="1"/>
  <c r="G350" i="35"/>
  <c r="S350" i="35" s="1"/>
  <c r="G280" i="35"/>
  <c r="S280" i="35" s="1"/>
  <c r="G296" i="35"/>
  <c r="S296" i="35" s="1"/>
  <c r="G311" i="35"/>
  <c r="S311" i="35" s="1"/>
  <c r="G319" i="35"/>
  <c r="S319" i="35" s="1"/>
  <c r="G327" i="35"/>
  <c r="S327" i="35" s="1"/>
  <c r="G335" i="35"/>
  <c r="S335" i="35" s="1"/>
  <c r="G340" i="35"/>
  <c r="S340" i="35" s="1"/>
  <c r="G345" i="35"/>
  <c r="S345" i="35" s="1"/>
  <c r="G351" i="35"/>
  <c r="S351" i="35" s="1"/>
  <c r="G355" i="35"/>
  <c r="S355" i="35" s="1"/>
  <c r="G359" i="35"/>
  <c r="S359" i="35" s="1"/>
  <c r="G363" i="35"/>
  <c r="S363" i="35" s="1"/>
  <c r="G367" i="35"/>
  <c r="S367" i="35" s="1"/>
  <c r="G371" i="35"/>
  <c r="S371" i="35" s="1"/>
  <c r="G375" i="35"/>
  <c r="S375" i="35" s="1"/>
  <c r="G379" i="35"/>
  <c r="S379" i="35" s="1"/>
  <c r="G383" i="35"/>
  <c r="S383" i="35" s="1"/>
  <c r="G387" i="35"/>
  <c r="S387" i="35" s="1"/>
  <c r="G391" i="35"/>
  <c r="S391" i="35" s="1"/>
  <c r="G395" i="35"/>
  <c r="S395" i="35" s="1"/>
  <c r="G399" i="35"/>
  <c r="S399" i="35" s="1"/>
  <c r="G403" i="35"/>
  <c r="S403" i="35" s="1"/>
  <c r="G407" i="35"/>
  <c r="S407" i="35" s="1"/>
  <c r="G411" i="35"/>
  <c r="S411" i="35" s="1"/>
  <c r="G415" i="35"/>
  <c r="S415" i="35" s="1"/>
  <c r="G419" i="35"/>
  <c r="S419" i="35" s="1"/>
  <c r="G423" i="35"/>
  <c r="S423" i="35" s="1"/>
  <c r="G427" i="35"/>
  <c r="S427" i="35" s="1"/>
  <c r="G431" i="35"/>
  <c r="S431" i="35" s="1"/>
  <c r="G435" i="35"/>
  <c r="S435" i="35" s="1"/>
  <c r="G439" i="35"/>
  <c r="S439" i="35" s="1"/>
  <c r="G443" i="35"/>
  <c r="S443" i="35" s="1"/>
  <c r="G447" i="35"/>
  <c r="S447" i="35" s="1"/>
  <c r="G451" i="35"/>
  <c r="S451" i="35" s="1"/>
  <c r="G455" i="35"/>
  <c r="S455" i="35" s="1"/>
  <c r="G459" i="35"/>
  <c r="S459" i="35" s="1"/>
  <c r="G463" i="35"/>
  <c r="S463" i="35" s="1"/>
  <c r="G467" i="35"/>
  <c r="S467" i="35" s="1"/>
  <c r="G471" i="35"/>
  <c r="S471" i="35" s="1"/>
  <c r="G475" i="35"/>
  <c r="S475" i="35" s="1"/>
  <c r="G479" i="35"/>
  <c r="S479" i="35" s="1"/>
  <c r="G483" i="35"/>
  <c r="S483" i="35" s="1"/>
  <c r="G487" i="35"/>
  <c r="S487" i="35" s="1"/>
  <c r="G491" i="35"/>
  <c r="S491" i="35" s="1"/>
  <c r="G495" i="35"/>
  <c r="S495" i="35" s="1"/>
  <c r="G499" i="35"/>
  <c r="S499" i="35" s="1"/>
  <c r="G503" i="35"/>
  <c r="S503" i="35" s="1"/>
  <c r="G507" i="35"/>
  <c r="S507" i="35" s="1"/>
  <c r="G284" i="35"/>
  <c r="S284" i="35" s="1"/>
  <c r="G300" i="35"/>
  <c r="S300" i="35" s="1"/>
  <c r="G312" i="35"/>
  <c r="S312" i="35" s="1"/>
  <c r="G320" i="35"/>
  <c r="S320" i="35" s="1"/>
  <c r="G328" i="35"/>
  <c r="S328" i="35" s="1"/>
  <c r="G336" i="35"/>
  <c r="S336" i="35" s="1"/>
  <c r="G341" i="35"/>
  <c r="S341" i="35" s="1"/>
  <c r="G347" i="35"/>
  <c r="S347" i="35" s="1"/>
  <c r="G352" i="35"/>
  <c r="S352" i="35" s="1"/>
  <c r="G356" i="35"/>
  <c r="S356" i="35" s="1"/>
  <c r="G360" i="35"/>
  <c r="S360" i="35" s="1"/>
  <c r="G364" i="35"/>
  <c r="S364" i="35" s="1"/>
  <c r="G368" i="35"/>
  <c r="S368" i="35" s="1"/>
  <c r="G372" i="35"/>
  <c r="S372" i="35" s="1"/>
  <c r="G376" i="35"/>
  <c r="S376" i="35" s="1"/>
  <c r="G380" i="35"/>
  <c r="S380" i="35" s="1"/>
  <c r="G384" i="35"/>
  <c r="S384" i="35" s="1"/>
  <c r="G388" i="35"/>
  <c r="S388" i="35" s="1"/>
  <c r="G392" i="35"/>
  <c r="S392" i="35" s="1"/>
  <c r="G396" i="35"/>
  <c r="S396" i="35" s="1"/>
  <c r="G400" i="35"/>
  <c r="S400" i="35" s="1"/>
  <c r="G404" i="35"/>
  <c r="S404" i="35" s="1"/>
  <c r="G408" i="35"/>
  <c r="S408" i="35" s="1"/>
  <c r="G412" i="35"/>
  <c r="S412" i="35" s="1"/>
  <c r="G416" i="35"/>
  <c r="S416" i="35" s="1"/>
  <c r="G420" i="35"/>
  <c r="S420" i="35" s="1"/>
  <c r="G424" i="35"/>
  <c r="S424" i="35" s="1"/>
  <c r="G428" i="35"/>
  <c r="S428" i="35" s="1"/>
  <c r="G432" i="35"/>
  <c r="S432" i="35" s="1"/>
  <c r="G436" i="35"/>
  <c r="S436" i="35" s="1"/>
  <c r="G440" i="35"/>
  <c r="S440" i="35" s="1"/>
  <c r="G444" i="35"/>
  <c r="S444" i="35" s="1"/>
  <c r="G448" i="35"/>
  <c r="S448" i="35" s="1"/>
  <c r="G452" i="35"/>
  <c r="S452" i="35" s="1"/>
  <c r="G456" i="35"/>
  <c r="S456" i="35" s="1"/>
  <c r="G460" i="35"/>
  <c r="S460" i="35" s="1"/>
  <c r="G464" i="35"/>
  <c r="S464" i="35" s="1"/>
  <c r="G468" i="35"/>
  <c r="S468" i="35" s="1"/>
  <c r="G472" i="35"/>
  <c r="S472" i="35" s="1"/>
  <c r="G476" i="35"/>
  <c r="S476" i="35" s="1"/>
  <c r="G480" i="35"/>
  <c r="S480" i="35" s="1"/>
  <c r="G484" i="35"/>
  <c r="S484" i="35" s="1"/>
  <c r="G488" i="35"/>
  <c r="S488" i="35" s="1"/>
  <c r="G492" i="35"/>
  <c r="S492" i="35" s="1"/>
  <c r="G496" i="35"/>
  <c r="S496" i="35" s="1"/>
  <c r="G500" i="35"/>
  <c r="S500" i="35" s="1"/>
  <c r="G504" i="35"/>
  <c r="S504" i="35" s="1"/>
  <c r="G508" i="35"/>
  <c r="S508" i="35" s="1"/>
  <c r="G288" i="35"/>
  <c r="S288" i="35" s="1"/>
  <c r="G304" i="35"/>
  <c r="S304" i="35" s="1"/>
  <c r="G315" i="35"/>
  <c r="S315" i="35" s="1"/>
  <c r="G323" i="35"/>
  <c r="S323" i="35" s="1"/>
  <c r="G331" i="35"/>
  <c r="S331" i="35" s="1"/>
  <c r="G337" i="35"/>
  <c r="S337" i="35" s="1"/>
  <c r="G343" i="35"/>
  <c r="S343" i="35" s="1"/>
  <c r="G348" i="35"/>
  <c r="S348" i="35" s="1"/>
  <c r="G353" i="35"/>
  <c r="S353" i="35" s="1"/>
  <c r="G357" i="35"/>
  <c r="S357" i="35" s="1"/>
  <c r="G361" i="35"/>
  <c r="S361" i="35" s="1"/>
  <c r="G365" i="35"/>
  <c r="S365" i="35" s="1"/>
  <c r="G369" i="35"/>
  <c r="S369" i="35" s="1"/>
  <c r="G373" i="35"/>
  <c r="S373" i="35" s="1"/>
  <c r="G377" i="35"/>
  <c r="S377" i="35" s="1"/>
  <c r="G381" i="35"/>
  <c r="S381" i="35" s="1"/>
  <c r="G385" i="35"/>
  <c r="S385" i="35" s="1"/>
  <c r="G389" i="35"/>
  <c r="S389" i="35" s="1"/>
  <c r="G393" i="35"/>
  <c r="S393" i="35" s="1"/>
  <c r="G397" i="35"/>
  <c r="S397" i="35" s="1"/>
  <c r="G401" i="35"/>
  <c r="S401" i="35" s="1"/>
  <c r="G405" i="35"/>
  <c r="S405" i="35" s="1"/>
  <c r="G409" i="35"/>
  <c r="S409" i="35" s="1"/>
  <c r="G413" i="35"/>
  <c r="S413" i="35" s="1"/>
  <c r="G417" i="35"/>
  <c r="S417" i="35" s="1"/>
  <c r="G421" i="35"/>
  <c r="S421" i="35" s="1"/>
  <c r="G425" i="35"/>
  <c r="S425" i="35" s="1"/>
  <c r="G429" i="35"/>
  <c r="S429" i="35" s="1"/>
  <c r="G433" i="35"/>
  <c r="S433" i="35" s="1"/>
  <c r="G437" i="35"/>
  <c r="S437" i="35" s="1"/>
  <c r="G441" i="35"/>
  <c r="S441" i="35" s="1"/>
  <c r="G445" i="35"/>
  <c r="S445" i="35" s="1"/>
  <c r="G449" i="35"/>
  <c r="S449" i="35" s="1"/>
  <c r="G453" i="35"/>
  <c r="S453" i="35" s="1"/>
  <c r="G457" i="35"/>
  <c r="S457" i="35" s="1"/>
  <c r="G461" i="35"/>
  <c r="S461" i="35" s="1"/>
  <c r="G465" i="35"/>
  <c r="S465" i="35" s="1"/>
  <c r="G469" i="35"/>
  <c r="S469" i="35" s="1"/>
  <c r="G473" i="35"/>
  <c r="S473" i="35" s="1"/>
  <c r="G477" i="35"/>
  <c r="S477" i="35" s="1"/>
  <c r="G481" i="35"/>
  <c r="S481" i="35" s="1"/>
  <c r="G485" i="35"/>
  <c r="S485" i="35" s="1"/>
  <c r="G489" i="35"/>
  <c r="S489" i="35" s="1"/>
  <c r="G493" i="35"/>
  <c r="S493" i="35" s="1"/>
  <c r="G497" i="35"/>
  <c r="S497" i="35" s="1"/>
  <c r="G501" i="35"/>
  <c r="S501" i="35" s="1"/>
  <c r="G505" i="35"/>
  <c r="S505" i="35" s="1"/>
  <c r="G509" i="35"/>
  <c r="S509" i="35" s="1"/>
  <c r="G292" i="35"/>
  <c r="S292" i="35" s="1"/>
  <c r="G308" i="35"/>
  <c r="S308" i="35" s="1"/>
  <c r="G316" i="35"/>
  <c r="S316" i="35" s="1"/>
  <c r="G324" i="35"/>
  <c r="S324" i="35" s="1"/>
  <c r="G332" i="35"/>
  <c r="S332" i="35" s="1"/>
  <c r="G339" i="35"/>
  <c r="S339" i="35" s="1"/>
  <c r="G344" i="35"/>
  <c r="S344" i="35" s="1"/>
  <c r="G349" i="35"/>
  <c r="S349" i="35" s="1"/>
  <c r="G354" i="35"/>
  <c r="S354" i="35" s="1"/>
  <c r="G358" i="35"/>
  <c r="S358" i="35" s="1"/>
  <c r="G362" i="35"/>
  <c r="S362" i="35" s="1"/>
  <c r="G366" i="35"/>
  <c r="S366" i="35" s="1"/>
  <c r="G370" i="35"/>
  <c r="S370" i="35" s="1"/>
  <c r="G374" i="35"/>
  <c r="S374" i="35" s="1"/>
  <c r="G378" i="35"/>
  <c r="S378" i="35" s="1"/>
  <c r="G382" i="35"/>
  <c r="S382" i="35" s="1"/>
  <c r="G386" i="35"/>
  <c r="S386" i="35" s="1"/>
  <c r="G390" i="35"/>
  <c r="S390" i="35" s="1"/>
  <c r="G394" i="35"/>
  <c r="S394" i="35" s="1"/>
  <c r="G398" i="35"/>
  <c r="S398" i="35" s="1"/>
  <c r="G402" i="35"/>
  <c r="S402" i="35" s="1"/>
  <c r="G406" i="35"/>
  <c r="S406" i="35" s="1"/>
  <c r="G410" i="35"/>
  <c r="S410" i="35" s="1"/>
  <c r="G414" i="35"/>
  <c r="S414" i="35" s="1"/>
  <c r="G418" i="35"/>
  <c r="S418" i="35" s="1"/>
  <c r="G422" i="35"/>
  <c r="S422" i="35" s="1"/>
  <c r="G426" i="35"/>
  <c r="S426" i="35" s="1"/>
  <c r="G430" i="35"/>
  <c r="S430" i="35" s="1"/>
  <c r="G434" i="35"/>
  <c r="S434" i="35" s="1"/>
  <c r="G438" i="35"/>
  <c r="S438" i="35" s="1"/>
  <c r="G442" i="35"/>
  <c r="S442" i="35" s="1"/>
  <c r="G446" i="35"/>
  <c r="S446" i="35" s="1"/>
  <c r="G450" i="35"/>
  <c r="S450" i="35" s="1"/>
  <c r="G454" i="35"/>
  <c r="S454" i="35" s="1"/>
  <c r="G458" i="35"/>
  <c r="S458" i="35" s="1"/>
  <c r="G462" i="35"/>
  <c r="S462" i="35" s="1"/>
  <c r="G466" i="35"/>
  <c r="S466" i="35" s="1"/>
  <c r="G470" i="35"/>
  <c r="S470" i="35" s="1"/>
  <c r="G474" i="35"/>
  <c r="S474" i="35" s="1"/>
  <c r="G478" i="35"/>
  <c r="S478" i="35" s="1"/>
  <c r="G482" i="35"/>
  <c r="S482" i="35" s="1"/>
  <c r="G486" i="35"/>
  <c r="S486" i="35" s="1"/>
  <c r="G490" i="35"/>
  <c r="S490" i="35" s="1"/>
  <c r="G494" i="35"/>
  <c r="S494" i="35" s="1"/>
  <c r="G498" i="35"/>
  <c r="S498" i="35" s="1"/>
  <c r="G502" i="35"/>
  <c r="S502" i="35" s="1"/>
  <c r="G506" i="35"/>
  <c r="S506" i="35" s="1"/>
  <c r="G510" i="35"/>
  <c r="S510" i="35" s="1"/>
  <c r="H6" i="12"/>
  <c r="H8" i="12" s="1"/>
  <c r="I6" i="12"/>
  <c r="I8" i="12" s="1"/>
  <c r="F6" i="12"/>
  <c r="F8" i="12" s="1"/>
  <c r="G6" i="12"/>
  <c r="G7" i="12" s="1"/>
  <c r="F6" i="5"/>
  <c r="F8" i="5" s="1"/>
  <c r="G6" i="5"/>
  <c r="G8" i="5" s="1"/>
  <c r="H6" i="5"/>
  <c r="H8" i="5" s="1"/>
  <c r="I6" i="5"/>
  <c r="I8" i="5" s="1"/>
  <c r="H283" i="61"/>
  <c r="K72" i="61"/>
  <c r="F125" i="69"/>
  <c r="G125" i="69" s="1"/>
  <c r="Q168" i="61"/>
  <c r="Q200" i="61"/>
  <c r="H200" i="61"/>
  <c r="F72" i="69"/>
  <c r="G72" i="69" s="1"/>
  <c r="Q286" i="61"/>
  <c r="F200" i="69"/>
  <c r="G200" i="69" s="1"/>
  <c r="H88" i="61"/>
  <c r="F171" i="69"/>
  <c r="G171" i="69" s="1"/>
  <c r="Q283" i="61"/>
  <c r="H43" i="61"/>
  <c r="H414" i="61"/>
  <c r="F115" i="69"/>
  <c r="G115" i="69" s="1"/>
  <c r="Q338" i="61"/>
  <c r="H475" i="61"/>
  <c r="H190" i="61"/>
  <c r="K368" i="61"/>
  <c r="L496" i="61"/>
  <c r="M496" i="61" s="1"/>
  <c r="Q123" i="61"/>
  <c r="L123" i="61" s="1"/>
  <c r="M123" i="61" s="1"/>
  <c r="O123" i="61" s="1"/>
  <c r="Q136" i="61"/>
  <c r="Q217" i="61"/>
  <c r="L217" i="61" s="1"/>
  <c r="M217" i="61" s="1"/>
  <c r="K81" i="61"/>
  <c r="Q40" i="61"/>
  <c r="K338" i="61"/>
  <c r="K43" i="61"/>
  <c r="H264" i="61"/>
  <c r="H265" i="61"/>
  <c r="K414" i="61"/>
  <c r="K122" i="61"/>
  <c r="Q75" i="61"/>
  <c r="F122" i="69"/>
  <c r="G122" i="69" s="1"/>
  <c r="Q414" i="61"/>
  <c r="F264" i="69"/>
  <c r="G264" i="69" s="1"/>
  <c r="Q89" i="61"/>
  <c r="K475" i="61"/>
  <c r="L475" i="61" s="1"/>
  <c r="M475" i="61" s="1"/>
  <c r="O475" i="61" s="1"/>
  <c r="F123" i="69"/>
  <c r="G123" i="69" s="1"/>
  <c r="Q126" i="61"/>
  <c r="L69" i="61"/>
  <c r="M69" i="61" s="1"/>
  <c r="K190" i="61"/>
  <c r="L190" i="61" s="1"/>
  <c r="M190" i="61" s="1"/>
  <c r="F136" i="69"/>
  <c r="G136" i="69" s="1"/>
  <c r="F217" i="69"/>
  <c r="G217" i="69" s="1"/>
  <c r="H81" i="61"/>
  <c r="K40" i="61"/>
  <c r="F368" i="69"/>
  <c r="G368" i="69" s="1"/>
  <c r="H443" i="61"/>
  <c r="L305" i="61"/>
  <c r="M305" i="61" s="1"/>
  <c r="H338" i="61"/>
  <c r="H324" i="61"/>
  <c r="Q120" i="61"/>
  <c r="Q491" i="61"/>
  <c r="L397" i="61"/>
  <c r="M397" i="61" s="1"/>
  <c r="H27" i="61"/>
  <c r="Q443" i="61"/>
  <c r="L443" i="61" s="1"/>
  <c r="M443" i="61" s="1"/>
  <c r="O443" i="61" s="1"/>
  <c r="L440" i="61"/>
  <c r="M440" i="61" s="1"/>
  <c r="L62" i="61"/>
  <c r="M62" i="61" s="1"/>
  <c r="Q27" i="61"/>
  <c r="F87" i="69"/>
  <c r="G87" i="69" s="1"/>
  <c r="Q87" i="61"/>
  <c r="Q378" i="61"/>
  <c r="K378" i="61"/>
  <c r="H48" i="61"/>
  <c r="F48" i="69"/>
  <c r="G48" i="69" s="1"/>
  <c r="Q102" i="61"/>
  <c r="H102" i="61"/>
  <c r="K325" i="61"/>
  <c r="L325" i="61" s="1"/>
  <c r="F325" i="69"/>
  <c r="G325" i="69" s="1"/>
  <c r="K59" i="61"/>
  <c r="Q59" i="61"/>
  <c r="H59" i="61"/>
  <c r="K232" i="61"/>
  <c r="H232" i="61"/>
  <c r="F232" i="69"/>
  <c r="G232" i="69" s="1"/>
  <c r="Q370" i="61"/>
  <c r="K370" i="61"/>
  <c r="K251" i="61"/>
  <c r="Q251" i="61"/>
  <c r="F251" i="69"/>
  <c r="G251" i="69" s="1"/>
  <c r="H434" i="61"/>
  <c r="F434" i="69"/>
  <c r="G434" i="69" s="1"/>
  <c r="H91" i="61"/>
  <c r="K91" i="61"/>
  <c r="Q91" i="61"/>
  <c r="K402" i="61"/>
  <c r="H402" i="61"/>
  <c r="Q402" i="61"/>
  <c r="H468" i="61"/>
  <c r="K468" i="61"/>
  <c r="Q468" i="61"/>
  <c r="F468" i="69"/>
  <c r="G468" i="69" s="1"/>
  <c r="Q296" i="61"/>
  <c r="H296" i="61"/>
  <c r="K296" i="61"/>
  <c r="F407" i="69"/>
  <c r="G407" i="69" s="1"/>
  <c r="K407" i="61"/>
  <c r="Q407" i="61"/>
  <c r="H344" i="61"/>
  <c r="F344" i="69"/>
  <c r="G344" i="69" s="1"/>
  <c r="K344" i="61"/>
  <c r="F419" i="69"/>
  <c r="G419" i="69" s="1"/>
  <c r="H419" i="61"/>
  <c r="Q419" i="61"/>
  <c r="H420" i="61"/>
  <c r="L420" i="61" s="1"/>
  <c r="M420" i="61" s="1"/>
  <c r="O420" i="61" s="1"/>
  <c r="K45" i="61"/>
  <c r="F378" i="69"/>
  <c r="G378" i="69" s="1"/>
  <c r="Q344" i="61"/>
  <c r="F116" i="69"/>
  <c r="G116" i="69" s="1"/>
  <c r="Q103" i="61"/>
  <c r="K103" i="61"/>
  <c r="F103" i="69"/>
  <c r="G103" i="69" s="1"/>
  <c r="F49" i="69"/>
  <c r="G49" i="69" s="1"/>
  <c r="Q49" i="61"/>
  <c r="K86" i="61"/>
  <c r="Q86" i="61"/>
  <c r="F172" i="69"/>
  <c r="G172" i="69" s="1"/>
  <c r="Q172" i="61"/>
  <c r="K419" i="61"/>
  <c r="K48" i="61"/>
  <c r="Q341" i="61"/>
  <c r="Q376" i="61"/>
  <c r="F173" i="69"/>
  <c r="G173" i="69" s="1"/>
  <c r="H173" i="61"/>
  <c r="Q173" i="61"/>
  <c r="H171" i="61"/>
  <c r="K171" i="61"/>
  <c r="Q44" i="61"/>
  <c r="K44" i="61"/>
  <c r="F370" i="69"/>
  <c r="G370" i="69" s="1"/>
  <c r="L347" i="61"/>
  <c r="K434" i="61"/>
  <c r="L365" i="61"/>
  <c r="M365" i="61" s="1"/>
  <c r="H187" i="61"/>
  <c r="K187" i="61"/>
  <c r="Q187" i="61"/>
  <c r="K498" i="61"/>
  <c r="H498" i="61"/>
  <c r="F498" i="69"/>
  <c r="G498" i="69" s="1"/>
  <c r="H219" i="61"/>
  <c r="K219" i="61"/>
  <c r="Q219" i="61"/>
  <c r="F277" i="69"/>
  <c r="G277" i="69" s="1"/>
  <c r="K277" i="61"/>
  <c r="H428" i="61"/>
  <c r="K428" i="61"/>
  <c r="H77" i="61"/>
  <c r="K88" i="61"/>
  <c r="H160" i="61"/>
  <c r="H341" i="61"/>
  <c r="K49" i="61"/>
  <c r="K264" i="61"/>
  <c r="H44" i="61"/>
  <c r="K102" i="61"/>
  <c r="K324" i="61"/>
  <c r="H319" i="61"/>
  <c r="K376" i="61"/>
  <c r="Q88" i="61"/>
  <c r="Q43" i="61"/>
  <c r="Q48" i="61"/>
  <c r="F86" i="69"/>
  <c r="G86" i="69" s="1"/>
  <c r="F324" i="69"/>
  <c r="G324" i="69" s="1"/>
  <c r="Q77" i="61"/>
  <c r="F102" i="69"/>
  <c r="G102" i="69" s="1"/>
  <c r="F59" i="69"/>
  <c r="G59" i="69" s="1"/>
  <c r="Q498" i="61"/>
  <c r="H251" i="61"/>
  <c r="F91" i="69"/>
  <c r="G91" i="69" s="1"/>
  <c r="H277" i="61"/>
  <c r="Q434" i="61"/>
  <c r="F409" i="69"/>
  <c r="G409" i="69" s="1"/>
  <c r="Q409" i="61"/>
  <c r="Q487" i="61"/>
  <c r="H487" i="61"/>
  <c r="K487" i="61"/>
  <c r="K121" i="61"/>
  <c r="L121" i="61" s="1"/>
  <c r="M121" i="61" s="1"/>
  <c r="F121" i="69"/>
  <c r="G121" i="69" s="1"/>
  <c r="K115" i="61"/>
  <c r="H115" i="61"/>
  <c r="H197" i="61"/>
  <c r="K197" i="61"/>
  <c r="Q197" i="61"/>
  <c r="H274" i="61"/>
  <c r="Q274" i="61"/>
  <c r="K168" i="61"/>
  <c r="H168" i="61"/>
  <c r="K411" i="61"/>
  <c r="H411" i="61"/>
  <c r="Q411" i="61"/>
  <c r="H125" i="61"/>
  <c r="K125" i="61"/>
  <c r="K286" i="61"/>
  <c r="F286" i="69"/>
  <c r="G286" i="69" s="1"/>
  <c r="H378" i="61"/>
  <c r="K77" i="61"/>
  <c r="H407" i="61"/>
  <c r="H87" i="61"/>
  <c r="K160" i="61"/>
  <c r="K341" i="61"/>
  <c r="K116" i="61"/>
  <c r="L116" i="61" s="1"/>
  <c r="H172" i="61"/>
  <c r="L172" i="61" s="1"/>
  <c r="K319" i="61"/>
  <c r="H409" i="61"/>
  <c r="F160" i="69"/>
  <c r="G160" i="69" s="1"/>
  <c r="F420" i="69"/>
  <c r="G420" i="69" s="1"/>
  <c r="F187" i="69"/>
  <c r="G187" i="69" s="1"/>
  <c r="K274" i="61"/>
  <c r="F411" i="69"/>
  <c r="G411" i="69" s="1"/>
  <c r="F219" i="69"/>
  <c r="G219" i="69" s="1"/>
  <c r="Q277" i="61"/>
  <c r="F428" i="69"/>
  <c r="G428" i="69" s="1"/>
  <c r="F296" i="69"/>
  <c r="G296" i="69" s="1"/>
  <c r="L298" i="61"/>
  <c r="M298" i="61" s="1"/>
  <c r="L72" i="61"/>
  <c r="L136" i="61"/>
  <c r="M136" i="61" s="1"/>
  <c r="O136" i="61" s="1"/>
  <c r="L429" i="61"/>
  <c r="M429" i="61" s="1"/>
  <c r="O429" i="61" s="1"/>
  <c r="L379" i="61"/>
  <c r="M379" i="61" s="1"/>
  <c r="L181" i="61"/>
  <c r="M181" i="61" s="1"/>
  <c r="O181" i="61" s="1"/>
  <c r="L330" i="61"/>
  <c r="M330" i="61" s="1"/>
  <c r="O330" i="61" s="1"/>
  <c r="L241" i="61"/>
  <c r="M241" i="61" s="1"/>
  <c r="L368" i="61"/>
  <c r="M368" i="61" s="1"/>
  <c r="L27" i="61"/>
  <c r="M27" i="61" s="1"/>
  <c r="H30" i="61"/>
  <c r="K30" i="61"/>
  <c r="K315" i="61"/>
  <c r="H315" i="61"/>
  <c r="K8" i="61"/>
  <c r="H8" i="61"/>
  <c r="Q263" i="61"/>
  <c r="L263" i="61" s="1"/>
  <c r="M263" i="61" s="1"/>
  <c r="O263" i="61" s="1"/>
  <c r="H104" i="61"/>
  <c r="K104" i="61"/>
  <c r="K89" i="61"/>
  <c r="H89" i="61"/>
  <c r="Q6" i="61"/>
  <c r="F6" i="69"/>
  <c r="G6" i="69" s="1"/>
  <c r="H6" i="61"/>
  <c r="K6" i="61"/>
  <c r="Q177" i="61"/>
  <c r="F177" i="69"/>
  <c r="G177" i="69" s="1"/>
  <c r="K177" i="61"/>
  <c r="H177" i="61"/>
  <c r="F399" i="69"/>
  <c r="G399" i="69" s="1"/>
  <c r="Q399" i="61"/>
  <c r="H399" i="61"/>
  <c r="K399" i="61"/>
  <c r="F486" i="69"/>
  <c r="G486" i="69" s="1"/>
  <c r="Q486" i="61"/>
  <c r="K486" i="61"/>
  <c r="H486" i="61"/>
  <c r="F262" i="69"/>
  <c r="G262" i="69" s="1"/>
  <c r="Q262" i="61"/>
  <c r="K262" i="61"/>
  <c r="H262" i="61"/>
  <c r="Q314" i="61"/>
  <c r="F314" i="69"/>
  <c r="G314" i="69" s="1"/>
  <c r="K314" i="61"/>
  <c r="H314" i="61"/>
  <c r="Q220" i="61"/>
  <c r="F220" i="69"/>
  <c r="G220" i="69" s="1"/>
  <c r="K220" i="61"/>
  <c r="H220" i="61"/>
  <c r="Q28" i="61"/>
  <c r="F28" i="69"/>
  <c r="G28" i="69" s="1"/>
  <c r="K28" i="61"/>
  <c r="H28" i="61"/>
  <c r="F175" i="69"/>
  <c r="G175" i="69" s="1"/>
  <c r="Q175" i="61"/>
  <c r="K175" i="61"/>
  <c r="H175" i="61"/>
  <c r="Q18" i="61"/>
  <c r="F18" i="69"/>
  <c r="G18" i="69" s="1"/>
  <c r="K18" i="61"/>
  <c r="H18" i="61"/>
  <c r="K47" i="61"/>
  <c r="K101" i="61"/>
  <c r="K489" i="61"/>
  <c r="K462" i="61"/>
  <c r="L462" i="61" s="1"/>
  <c r="K75" i="61"/>
  <c r="H122" i="61"/>
  <c r="L122" i="61" s="1"/>
  <c r="M122" i="61" s="1"/>
  <c r="O122" i="61" s="1"/>
  <c r="K146" i="61"/>
  <c r="F120" i="69"/>
  <c r="G120" i="69" s="1"/>
  <c r="F146" i="69"/>
  <c r="G146" i="69" s="1"/>
  <c r="F263" i="69"/>
  <c r="G263" i="69" s="1"/>
  <c r="Q10" i="61"/>
  <c r="F10" i="69"/>
  <c r="G10" i="69" s="1"/>
  <c r="K10" i="61"/>
  <c r="H10" i="61"/>
  <c r="F39" i="69"/>
  <c r="G39" i="69" s="1"/>
  <c r="Q39" i="61"/>
  <c r="K39" i="61"/>
  <c r="H39" i="61"/>
  <c r="Q295" i="61"/>
  <c r="F295" i="69"/>
  <c r="G295" i="69" s="1"/>
  <c r="K295" i="61"/>
  <c r="H295" i="61"/>
  <c r="Q9" i="61"/>
  <c r="F9" i="69"/>
  <c r="G9" i="69" s="1"/>
  <c r="H9" i="61"/>
  <c r="K9" i="61"/>
  <c r="Q478" i="61"/>
  <c r="F478" i="69"/>
  <c r="G478" i="69" s="1"/>
  <c r="H478" i="61"/>
  <c r="K478" i="61"/>
  <c r="Q455" i="61"/>
  <c r="F455" i="69"/>
  <c r="G455" i="69" s="1"/>
  <c r="K455" i="61"/>
  <c r="H455" i="61"/>
  <c r="F23" i="69"/>
  <c r="G23" i="69" s="1"/>
  <c r="Q23" i="61"/>
  <c r="H23" i="61"/>
  <c r="K23" i="61"/>
  <c r="F279" i="69"/>
  <c r="G279" i="69" s="1"/>
  <c r="Q279" i="61"/>
  <c r="K279" i="61"/>
  <c r="H279" i="61"/>
  <c r="F228" i="69"/>
  <c r="G228" i="69" s="1"/>
  <c r="Q228" i="61"/>
  <c r="K228" i="61"/>
  <c r="H228" i="61"/>
  <c r="F78" i="69"/>
  <c r="G78" i="69" s="1"/>
  <c r="Q78" i="61"/>
  <c r="H78" i="61"/>
  <c r="K78" i="61"/>
  <c r="F206" i="69"/>
  <c r="G206" i="69" s="1"/>
  <c r="Q206" i="61"/>
  <c r="K206" i="61"/>
  <c r="H206" i="61"/>
  <c r="F107" i="69"/>
  <c r="G107" i="69" s="1"/>
  <c r="Q107" i="61"/>
  <c r="K107" i="61"/>
  <c r="H107" i="61"/>
  <c r="F235" i="69"/>
  <c r="G235" i="69" s="1"/>
  <c r="Q235" i="61"/>
  <c r="H235" i="61"/>
  <c r="K235" i="61"/>
  <c r="Q24" i="61"/>
  <c r="F24" i="69"/>
  <c r="G24" i="69" s="1"/>
  <c r="K24" i="61"/>
  <c r="H24" i="61"/>
  <c r="Q152" i="61"/>
  <c r="F152" i="69"/>
  <c r="G152" i="69" s="1"/>
  <c r="K152" i="61"/>
  <c r="H152" i="61"/>
  <c r="Q280" i="61"/>
  <c r="F280" i="69"/>
  <c r="G280" i="69" s="1"/>
  <c r="K280" i="61"/>
  <c r="H280" i="61"/>
  <c r="Q309" i="61"/>
  <c r="F309" i="69"/>
  <c r="G309" i="69" s="1"/>
  <c r="K309" i="61"/>
  <c r="H309" i="61"/>
  <c r="F445" i="69"/>
  <c r="G445" i="69" s="1"/>
  <c r="Q445" i="61"/>
  <c r="K445" i="61"/>
  <c r="H445" i="61"/>
  <c r="F254" i="69"/>
  <c r="G254" i="69" s="1"/>
  <c r="Q254" i="61"/>
  <c r="H254" i="61"/>
  <c r="K254" i="61"/>
  <c r="Q418" i="61"/>
  <c r="F418" i="69"/>
  <c r="G418" i="69" s="1"/>
  <c r="K418" i="61"/>
  <c r="H418" i="61"/>
  <c r="F189" i="69"/>
  <c r="G189" i="69" s="1"/>
  <c r="Q189" i="61"/>
  <c r="H189" i="61"/>
  <c r="K189" i="61"/>
  <c r="Q395" i="61"/>
  <c r="F395" i="69"/>
  <c r="G395" i="69" s="1"/>
  <c r="K395" i="61"/>
  <c r="H395" i="61"/>
  <c r="Q282" i="61"/>
  <c r="F282" i="69"/>
  <c r="G282" i="69" s="1"/>
  <c r="K282" i="61"/>
  <c r="H282" i="61"/>
  <c r="Q113" i="61"/>
  <c r="F113" i="69"/>
  <c r="G113" i="69" s="1"/>
  <c r="K113" i="61"/>
  <c r="H113" i="61"/>
  <c r="F154" i="69"/>
  <c r="G154" i="69" s="1"/>
  <c r="Q154" i="61"/>
  <c r="K154" i="61"/>
  <c r="H154" i="61"/>
  <c r="F119" i="69"/>
  <c r="G119" i="69" s="1"/>
  <c r="Q119" i="61"/>
  <c r="K119" i="61"/>
  <c r="H119" i="61"/>
  <c r="Q36" i="61"/>
  <c r="F36" i="69"/>
  <c r="G36" i="69" s="1"/>
  <c r="K36" i="61"/>
  <c r="H36" i="61"/>
  <c r="F260" i="69"/>
  <c r="G260" i="69" s="1"/>
  <c r="Q260" i="61"/>
  <c r="K260" i="61"/>
  <c r="H260" i="61"/>
  <c r="F393" i="69"/>
  <c r="G393" i="69" s="1"/>
  <c r="Q393" i="61"/>
  <c r="H393" i="61"/>
  <c r="K393" i="61"/>
  <c r="F366" i="69"/>
  <c r="G366" i="69" s="1"/>
  <c r="Q366" i="61"/>
  <c r="K366" i="61"/>
  <c r="H366" i="61"/>
  <c r="F343" i="69"/>
  <c r="G343" i="69" s="1"/>
  <c r="Q343" i="61"/>
  <c r="K343" i="61"/>
  <c r="H343" i="61"/>
  <c r="F396" i="69"/>
  <c r="G396" i="69" s="1"/>
  <c r="Q396" i="61"/>
  <c r="H396" i="61"/>
  <c r="K396" i="61"/>
  <c r="F436" i="69"/>
  <c r="G436" i="69" s="1"/>
  <c r="Q436" i="61"/>
  <c r="K436" i="61"/>
  <c r="H436" i="61"/>
  <c r="F464" i="69"/>
  <c r="G464" i="69" s="1"/>
  <c r="Q464" i="61"/>
  <c r="K464" i="61"/>
  <c r="H464" i="61"/>
  <c r="Q499" i="61"/>
  <c r="F499" i="69"/>
  <c r="G499" i="69" s="1"/>
  <c r="K499" i="61"/>
  <c r="H499" i="61"/>
  <c r="Q435" i="61"/>
  <c r="F435" i="69"/>
  <c r="G435" i="69" s="1"/>
  <c r="K435" i="61"/>
  <c r="H435" i="61"/>
  <c r="Q371" i="61"/>
  <c r="F371" i="69"/>
  <c r="G371" i="69" s="1"/>
  <c r="K371" i="61"/>
  <c r="H371" i="61"/>
  <c r="F289" i="69"/>
  <c r="G289" i="69" s="1"/>
  <c r="Q289" i="61"/>
  <c r="K289" i="61"/>
  <c r="H289" i="61"/>
  <c r="Q93" i="61"/>
  <c r="F93" i="69"/>
  <c r="G93" i="69" s="1"/>
  <c r="K93" i="61"/>
  <c r="H93" i="61"/>
  <c r="F458" i="69"/>
  <c r="G458" i="69" s="1"/>
  <c r="Q458" i="61"/>
  <c r="K458" i="61"/>
  <c r="H458" i="61"/>
  <c r="Q394" i="61"/>
  <c r="F394" i="69"/>
  <c r="G394" i="69" s="1"/>
  <c r="H394" i="61"/>
  <c r="K394" i="61"/>
  <c r="F185" i="69"/>
  <c r="G185" i="69" s="1"/>
  <c r="Q185" i="61"/>
  <c r="K185" i="61"/>
  <c r="H185" i="61"/>
  <c r="F485" i="69"/>
  <c r="G485" i="69" s="1"/>
  <c r="Q485" i="61"/>
  <c r="H485" i="61"/>
  <c r="K485" i="61"/>
  <c r="Q357" i="61"/>
  <c r="F357" i="69"/>
  <c r="G357" i="69" s="1"/>
  <c r="K357" i="61"/>
  <c r="H357" i="61"/>
  <c r="F261" i="69"/>
  <c r="G261" i="69" s="1"/>
  <c r="Q261" i="61"/>
  <c r="K261" i="61"/>
  <c r="H261" i="61"/>
  <c r="F37" i="69"/>
  <c r="G37" i="69" s="1"/>
  <c r="Q37" i="61"/>
  <c r="K37" i="61"/>
  <c r="H37" i="61"/>
  <c r="F256" i="69"/>
  <c r="G256" i="69" s="1"/>
  <c r="Q256" i="61"/>
  <c r="K256" i="61"/>
  <c r="H256" i="61"/>
  <c r="Q192" i="61"/>
  <c r="F192" i="69"/>
  <c r="G192" i="69" s="1"/>
  <c r="K192" i="61"/>
  <c r="H192" i="61"/>
  <c r="F128" i="69"/>
  <c r="G128" i="69" s="1"/>
  <c r="Q128" i="61"/>
  <c r="K128" i="61"/>
  <c r="H128" i="61"/>
  <c r="Q64" i="61"/>
  <c r="F64" i="69"/>
  <c r="G64" i="69" s="1"/>
  <c r="K64" i="61"/>
  <c r="H64" i="61"/>
  <c r="Q275" i="61"/>
  <c r="F275" i="69"/>
  <c r="G275" i="69" s="1"/>
  <c r="K275" i="61"/>
  <c r="H275" i="61"/>
  <c r="F211" i="69"/>
  <c r="G211" i="69" s="1"/>
  <c r="Q211" i="61"/>
  <c r="H211" i="61"/>
  <c r="K211" i="61"/>
  <c r="F83" i="69"/>
  <c r="G83" i="69" s="1"/>
  <c r="Q83" i="61"/>
  <c r="H83" i="61"/>
  <c r="K83" i="61"/>
  <c r="F19" i="69"/>
  <c r="G19" i="69" s="1"/>
  <c r="Q19" i="61"/>
  <c r="H19" i="61"/>
  <c r="K19" i="61"/>
  <c r="F182" i="69"/>
  <c r="G182" i="69" s="1"/>
  <c r="Q182" i="61"/>
  <c r="K182" i="61"/>
  <c r="H182" i="61"/>
  <c r="F118" i="69"/>
  <c r="G118" i="69" s="1"/>
  <c r="Q118" i="61"/>
  <c r="H118" i="61"/>
  <c r="K118" i="61"/>
  <c r="Q54" i="61"/>
  <c r="F54" i="69"/>
  <c r="G54" i="69" s="1"/>
  <c r="H54" i="61"/>
  <c r="K54" i="61"/>
  <c r="Q444" i="61"/>
  <c r="F444" i="69"/>
  <c r="G444" i="69" s="1"/>
  <c r="H444" i="61"/>
  <c r="K444" i="61"/>
  <c r="Q456" i="61"/>
  <c r="F456" i="69"/>
  <c r="G456" i="69" s="1"/>
  <c r="K456" i="61"/>
  <c r="H456" i="61"/>
  <c r="F484" i="69"/>
  <c r="G484" i="69" s="1"/>
  <c r="Q484" i="61"/>
  <c r="H484" i="61"/>
  <c r="K484" i="61"/>
  <c r="Q33" i="61"/>
  <c r="F33" i="69"/>
  <c r="G33" i="69" s="1"/>
  <c r="K33" i="61"/>
  <c r="H33" i="61"/>
  <c r="F447" i="69"/>
  <c r="G447" i="69" s="1"/>
  <c r="Q447" i="61"/>
  <c r="H447" i="61"/>
  <c r="K447" i="61"/>
  <c r="F383" i="69"/>
  <c r="G383" i="69" s="1"/>
  <c r="Q383" i="61"/>
  <c r="H383" i="61"/>
  <c r="K383" i="61"/>
  <c r="Q312" i="61"/>
  <c r="F312" i="69"/>
  <c r="G312" i="69" s="1"/>
  <c r="K312" i="61"/>
  <c r="H312" i="61"/>
  <c r="Q141" i="61"/>
  <c r="F141" i="69"/>
  <c r="G141" i="69" s="1"/>
  <c r="H141" i="61"/>
  <c r="K141" i="61"/>
  <c r="Q470" i="61"/>
  <c r="F470" i="69"/>
  <c r="G470" i="69" s="1"/>
  <c r="H470" i="61"/>
  <c r="K470" i="61"/>
  <c r="F342" i="69"/>
  <c r="G342" i="69" s="1"/>
  <c r="Q342" i="61"/>
  <c r="H342" i="61"/>
  <c r="K342" i="61"/>
  <c r="F230" i="69"/>
  <c r="G230" i="69" s="1"/>
  <c r="Q230" i="61"/>
  <c r="H230" i="61"/>
  <c r="K230" i="61"/>
  <c r="F497" i="69"/>
  <c r="G497" i="69" s="1"/>
  <c r="Q497" i="61"/>
  <c r="K497" i="61"/>
  <c r="H497" i="61"/>
  <c r="F433" i="69"/>
  <c r="G433" i="69" s="1"/>
  <c r="Q433" i="61"/>
  <c r="H433" i="61"/>
  <c r="K433" i="61"/>
  <c r="F369" i="69"/>
  <c r="G369" i="69" s="1"/>
  <c r="Q369" i="61"/>
  <c r="K369" i="61"/>
  <c r="H369" i="61"/>
  <c r="Q285" i="61"/>
  <c r="F285" i="69"/>
  <c r="G285" i="69" s="1"/>
  <c r="K285" i="61"/>
  <c r="H285" i="61"/>
  <c r="Q85" i="61"/>
  <c r="F85" i="69"/>
  <c r="G85" i="69" s="1"/>
  <c r="K85" i="61"/>
  <c r="H85" i="61"/>
  <c r="Q268" i="61"/>
  <c r="F268" i="69"/>
  <c r="G268" i="69" s="1"/>
  <c r="K268" i="61"/>
  <c r="H268" i="61"/>
  <c r="Q204" i="61"/>
  <c r="F204" i="69"/>
  <c r="G204" i="69" s="1"/>
  <c r="K204" i="61"/>
  <c r="H204" i="61"/>
  <c r="F140" i="69"/>
  <c r="G140" i="69" s="1"/>
  <c r="Q140" i="61"/>
  <c r="H140" i="61"/>
  <c r="K140" i="61"/>
  <c r="Q12" i="61"/>
  <c r="F12" i="69"/>
  <c r="G12" i="69" s="1"/>
  <c r="H12" i="61"/>
  <c r="K12" i="61"/>
  <c r="F287" i="69"/>
  <c r="G287" i="69" s="1"/>
  <c r="Q287" i="61"/>
  <c r="K287" i="61"/>
  <c r="H287" i="61"/>
  <c r="Q223" i="61"/>
  <c r="F223" i="69"/>
  <c r="G223" i="69" s="1"/>
  <c r="K223" i="61"/>
  <c r="H223" i="61"/>
  <c r="Q95" i="61"/>
  <c r="F95" i="69"/>
  <c r="G95" i="69" s="1"/>
  <c r="K95" i="61"/>
  <c r="H95" i="61"/>
  <c r="Q31" i="61"/>
  <c r="F31" i="69"/>
  <c r="G31" i="69" s="1"/>
  <c r="K31" i="61"/>
  <c r="H31" i="61"/>
  <c r="F194" i="69"/>
  <c r="G194" i="69" s="1"/>
  <c r="Q194" i="61"/>
  <c r="K194" i="61"/>
  <c r="H194" i="61"/>
  <c r="Q130" i="61"/>
  <c r="F130" i="69"/>
  <c r="G130" i="69" s="1"/>
  <c r="H130" i="61"/>
  <c r="K130" i="61"/>
  <c r="F66" i="69"/>
  <c r="G66" i="69" s="1"/>
  <c r="Q66" i="61"/>
  <c r="K66" i="61"/>
  <c r="H66" i="61"/>
  <c r="K2" i="61"/>
  <c r="F2" i="69"/>
  <c r="G2" i="69" s="1"/>
  <c r="Q201" i="61"/>
  <c r="F201" i="69"/>
  <c r="G201" i="69" s="1"/>
  <c r="K201" i="61"/>
  <c r="H201" i="61"/>
  <c r="F109" i="69"/>
  <c r="G109" i="69" s="1"/>
  <c r="Q109" i="61"/>
  <c r="H109" i="61"/>
  <c r="K109" i="61"/>
  <c r="F17" i="69"/>
  <c r="G17" i="69" s="1"/>
  <c r="Q17" i="61"/>
  <c r="H17" i="61"/>
  <c r="K17" i="61"/>
  <c r="F135" i="69"/>
  <c r="G135" i="69" s="1"/>
  <c r="Q135" i="61"/>
  <c r="H135" i="61"/>
  <c r="K135" i="61"/>
  <c r="F52" i="69"/>
  <c r="G52" i="69" s="1"/>
  <c r="Q52" i="61"/>
  <c r="H52" i="61"/>
  <c r="K52" i="61"/>
  <c r="F308" i="69"/>
  <c r="G308" i="69" s="1"/>
  <c r="Q308" i="61"/>
  <c r="K308" i="61"/>
  <c r="H308" i="61"/>
  <c r="Q473" i="61"/>
  <c r="F473" i="69"/>
  <c r="G473" i="69" s="1"/>
  <c r="H473" i="61"/>
  <c r="K473" i="61"/>
  <c r="F446" i="69"/>
  <c r="G446" i="69" s="1"/>
  <c r="Q446" i="61"/>
  <c r="H446" i="61"/>
  <c r="K446" i="61"/>
  <c r="Q423" i="61"/>
  <c r="F423" i="69"/>
  <c r="G423" i="69" s="1"/>
  <c r="K423" i="61"/>
  <c r="H423" i="61"/>
  <c r="Q360" i="61"/>
  <c r="F360" i="69"/>
  <c r="G360" i="69" s="1"/>
  <c r="K360" i="61"/>
  <c r="H360" i="61"/>
  <c r="F215" i="69"/>
  <c r="G215" i="69" s="1"/>
  <c r="Q215" i="61"/>
  <c r="K215" i="61"/>
  <c r="H215" i="61"/>
  <c r="Q46" i="61"/>
  <c r="F46" i="69"/>
  <c r="G46" i="69" s="1"/>
  <c r="H46" i="61"/>
  <c r="K46" i="61"/>
  <c r="Q331" i="61"/>
  <c r="F331" i="69"/>
  <c r="G331" i="69" s="1"/>
  <c r="K331" i="61"/>
  <c r="H331" i="61"/>
  <c r="Q248" i="61"/>
  <c r="F248" i="69"/>
  <c r="G248" i="69" s="1"/>
  <c r="H248" i="61"/>
  <c r="K248" i="61"/>
  <c r="F363" i="69"/>
  <c r="G363" i="69" s="1"/>
  <c r="Q363" i="61"/>
  <c r="H363" i="61"/>
  <c r="K363" i="61"/>
  <c r="F404" i="69"/>
  <c r="G404" i="69" s="1"/>
  <c r="Q404" i="61"/>
  <c r="H404" i="61"/>
  <c r="K404" i="61"/>
  <c r="Q311" i="61"/>
  <c r="F311" i="69"/>
  <c r="G311" i="69" s="1"/>
  <c r="K311" i="61"/>
  <c r="H311" i="61"/>
  <c r="F278" i="69"/>
  <c r="G278" i="69" s="1"/>
  <c r="Q278" i="61"/>
  <c r="H278" i="61"/>
  <c r="K278" i="61"/>
  <c r="Q352" i="61"/>
  <c r="F352" i="69"/>
  <c r="G352" i="69" s="1"/>
  <c r="K352" i="61"/>
  <c r="H352" i="61"/>
  <c r="Q472" i="61"/>
  <c r="F472" i="69"/>
  <c r="G472" i="69" s="1"/>
  <c r="K472" i="61"/>
  <c r="H472" i="61"/>
  <c r="Q97" i="61"/>
  <c r="F97" i="69"/>
  <c r="G97" i="69" s="1"/>
  <c r="K97" i="61"/>
  <c r="H97" i="61"/>
  <c r="Q451" i="61"/>
  <c r="F451" i="69"/>
  <c r="G451" i="69" s="1"/>
  <c r="H451" i="61"/>
  <c r="K451" i="61"/>
  <c r="F474" i="69"/>
  <c r="G474" i="69" s="1"/>
  <c r="Q474" i="61"/>
  <c r="K474" i="61"/>
  <c r="H474" i="61"/>
  <c r="Q437" i="61"/>
  <c r="F437" i="69"/>
  <c r="G437" i="69" s="1"/>
  <c r="K437" i="61"/>
  <c r="H437" i="61"/>
  <c r="Q293" i="61"/>
  <c r="F293" i="69"/>
  <c r="G293" i="69" s="1"/>
  <c r="K293" i="61"/>
  <c r="H293" i="61"/>
  <c r="F272" i="69"/>
  <c r="G272" i="69" s="1"/>
  <c r="Q272" i="61"/>
  <c r="K272" i="61"/>
  <c r="H272" i="61"/>
  <c r="F144" i="69"/>
  <c r="G144" i="69" s="1"/>
  <c r="Q144" i="61"/>
  <c r="K144" i="61"/>
  <c r="H144" i="61"/>
  <c r="F16" i="69"/>
  <c r="G16" i="69" s="1"/>
  <c r="Q16" i="61"/>
  <c r="H16" i="61"/>
  <c r="K16" i="61"/>
  <c r="F227" i="69"/>
  <c r="G227" i="69" s="1"/>
  <c r="Q227" i="61"/>
  <c r="K227" i="61"/>
  <c r="H227" i="61"/>
  <c r="Q35" i="61"/>
  <c r="F35" i="69"/>
  <c r="G35" i="69" s="1"/>
  <c r="H35" i="61"/>
  <c r="K35" i="61"/>
  <c r="Q134" i="61"/>
  <c r="F134" i="69"/>
  <c r="G134" i="69" s="1"/>
  <c r="K134" i="61"/>
  <c r="H134" i="61"/>
  <c r="F129" i="69"/>
  <c r="G129" i="69" s="1"/>
  <c r="Q129" i="61"/>
  <c r="K129" i="61"/>
  <c r="H129" i="61"/>
  <c r="F258" i="69"/>
  <c r="G258" i="69" s="1"/>
  <c r="Q258" i="61"/>
  <c r="K258" i="61"/>
  <c r="H258" i="61"/>
  <c r="F205" i="69"/>
  <c r="G205" i="69" s="1"/>
  <c r="Q205" i="61"/>
  <c r="H205" i="61"/>
  <c r="K205" i="61"/>
  <c r="F358" i="69"/>
  <c r="G358" i="69" s="1"/>
  <c r="Q358" i="61"/>
  <c r="K358" i="61"/>
  <c r="H358" i="61"/>
  <c r="Q449" i="61"/>
  <c r="F449" i="69"/>
  <c r="G449" i="69" s="1"/>
  <c r="K449" i="61"/>
  <c r="H449" i="61"/>
  <c r="F149" i="69"/>
  <c r="G149" i="69" s="1"/>
  <c r="Q149" i="61"/>
  <c r="H149" i="61"/>
  <c r="K149" i="61"/>
  <c r="Q156" i="61"/>
  <c r="F156" i="69"/>
  <c r="G156" i="69" s="1"/>
  <c r="K156" i="61"/>
  <c r="H156" i="61"/>
  <c r="Q303" i="61"/>
  <c r="F303" i="69"/>
  <c r="G303" i="69" s="1"/>
  <c r="K303" i="61"/>
  <c r="H303" i="61"/>
  <c r="F111" i="69"/>
  <c r="G111" i="69" s="1"/>
  <c r="Q111" i="61"/>
  <c r="K111" i="61"/>
  <c r="H111" i="61"/>
  <c r="F439" i="69"/>
  <c r="G439" i="69" s="1"/>
  <c r="Q439" i="61"/>
  <c r="K439" i="61"/>
  <c r="H439" i="61"/>
  <c r="K413" i="61"/>
  <c r="K265" i="61"/>
  <c r="F491" i="69"/>
  <c r="G491" i="69" s="1"/>
  <c r="F346" i="69"/>
  <c r="G346" i="69" s="1"/>
  <c r="F317" i="69"/>
  <c r="G317" i="69" s="1"/>
  <c r="F138" i="69"/>
  <c r="G138" i="69" s="1"/>
  <c r="Q138" i="61"/>
  <c r="H138" i="61"/>
  <c r="K138" i="61"/>
  <c r="Q167" i="61"/>
  <c r="F167" i="69"/>
  <c r="G167" i="69" s="1"/>
  <c r="K167" i="61"/>
  <c r="H167" i="61"/>
  <c r="F84" i="69"/>
  <c r="G84" i="69" s="1"/>
  <c r="Q84" i="61"/>
  <c r="K84" i="61"/>
  <c r="H84" i="61"/>
  <c r="Q212" i="61"/>
  <c r="F212" i="69"/>
  <c r="G212" i="69" s="1"/>
  <c r="K212" i="61"/>
  <c r="H212" i="61"/>
  <c r="F350" i="69"/>
  <c r="G350" i="69" s="1"/>
  <c r="Q350" i="61"/>
  <c r="K350" i="61"/>
  <c r="H350" i="61"/>
  <c r="F322" i="69"/>
  <c r="G322" i="69" s="1"/>
  <c r="Q322" i="61"/>
  <c r="K322" i="61"/>
  <c r="H322" i="61"/>
  <c r="Q161" i="61"/>
  <c r="F161" i="69"/>
  <c r="G161" i="69" s="1"/>
  <c r="K161" i="61"/>
  <c r="H161" i="61"/>
  <c r="H117" i="61"/>
  <c r="H346" i="61"/>
  <c r="L346" i="61" s="1"/>
  <c r="M346" i="61" s="1"/>
  <c r="O346" i="61" s="1"/>
  <c r="H345" i="61"/>
  <c r="H317" i="61"/>
  <c r="H120" i="61"/>
  <c r="H488" i="61"/>
  <c r="L488" i="61" s="1"/>
  <c r="K463" i="61"/>
  <c r="Q265" i="61"/>
  <c r="Q413" i="61"/>
  <c r="Q101" i="61"/>
  <c r="F463" i="69"/>
  <c r="G463" i="69" s="1"/>
  <c r="Q345" i="61"/>
  <c r="F42" i="69"/>
  <c r="G42" i="69" s="1"/>
  <c r="Q42" i="61"/>
  <c r="K42" i="61"/>
  <c r="H42" i="61"/>
  <c r="F170" i="69"/>
  <c r="G170" i="69" s="1"/>
  <c r="Q170" i="61"/>
  <c r="H170" i="61"/>
  <c r="K170" i="61"/>
  <c r="F71" i="69"/>
  <c r="G71" i="69" s="1"/>
  <c r="Q71" i="61"/>
  <c r="K71" i="61"/>
  <c r="H71" i="61"/>
  <c r="F199" i="69"/>
  <c r="G199" i="69" s="1"/>
  <c r="Q199" i="61"/>
  <c r="K199" i="61"/>
  <c r="H199" i="61"/>
  <c r="F327" i="69"/>
  <c r="G327" i="69" s="1"/>
  <c r="Q327" i="61"/>
  <c r="K327" i="61"/>
  <c r="H327" i="61"/>
  <c r="F244" i="69"/>
  <c r="G244" i="69" s="1"/>
  <c r="Q244" i="61"/>
  <c r="K244" i="61"/>
  <c r="H244" i="61"/>
  <c r="F237" i="69"/>
  <c r="G237" i="69" s="1"/>
  <c r="Q237" i="61"/>
  <c r="K237" i="61"/>
  <c r="H237" i="61"/>
  <c r="F137" i="69"/>
  <c r="G137" i="69" s="1"/>
  <c r="Q137" i="61"/>
  <c r="H137" i="61"/>
  <c r="K137" i="61"/>
  <c r="Q382" i="61"/>
  <c r="F382" i="69"/>
  <c r="G382" i="69" s="1"/>
  <c r="K382" i="61"/>
  <c r="H382" i="61"/>
  <c r="Q359" i="61"/>
  <c r="F359" i="69"/>
  <c r="G359" i="69" s="1"/>
  <c r="H359" i="61"/>
  <c r="K359" i="61"/>
  <c r="F388" i="69"/>
  <c r="G388" i="69" s="1"/>
  <c r="Q388" i="61"/>
  <c r="H388" i="61"/>
  <c r="K388" i="61"/>
  <c r="Q348" i="61"/>
  <c r="F348" i="69"/>
  <c r="G348" i="69" s="1"/>
  <c r="H348" i="61"/>
  <c r="K348" i="61"/>
  <c r="F4" i="69"/>
  <c r="G4" i="69" s="1"/>
  <c r="Q4" i="61"/>
  <c r="K4" i="61"/>
  <c r="H4" i="61"/>
  <c r="Q292" i="61"/>
  <c r="F292" i="69"/>
  <c r="G292" i="69" s="1"/>
  <c r="K292" i="61"/>
  <c r="H292" i="61"/>
  <c r="Q110" i="61"/>
  <c r="F110" i="69"/>
  <c r="G110" i="69" s="1"/>
  <c r="K110" i="61"/>
  <c r="H110" i="61"/>
  <c r="F11" i="69"/>
  <c r="G11" i="69" s="1"/>
  <c r="Q11" i="61"/>
  <c r="H11" i="61"/>
  <c r="K11" i="61"/>
  <c r="Q139" i="61"/>
  <c r="F139" i="69"/>
  <c r="G139" i="69" s="1"/>
  <c r="K139" i="61"/>
  <c r="H139" i="61"/>
  <c r="Q267" i="61"/>
  <c r="F267" i="69"/>
  <c r="G267" i="69" s="1"/>
  <c r="H267" i="61"/>
  <c r="K267" i="61"/>
  <c r="Q56" i="61"/>
  <c r="F56" i="69"/>
  <c r="G56" i="69" s="1"/>
  <c r="K56" i="61"/>
  <c r="H56" i="61"/>
  <c r="Q184" i="61"/>
  <c r="F184" i="69"/>
  <c r="G184" i="69" s="1"/>
  <c r="H184" i="61"/>
  <c r="K184" i="61"/>
  <c r="F5" i="69"/>
  <c r="G5" i="69" s="1"/>
  <c r="Q5" i="61"/>
  <c r="K5" i="61"/>
  <c r="H5" i="61"/>
  <c r="F349" i="69"/>
  <c r="G349" i="69" s="1"/>
  <c r="Q349" i="61"/>
  <c r="K349" i="61"/>
  <c r="H349" i="61"/>
  <c r="F477" i="69"/>
  <c r="G477" i="69" s="1"/>
  <c r="Q477" i="61"/>
  <c r="K477" i="61"/>
  <c r="H477" i="61"/>
  <c r="Q316" i="61"/>
  <c r="F316" i="69"/>
  <c r="G316" i="69" s="1"/>
  <c r="K316" i="61"/>
  <c r="H316" i="61"/>
  <c r="F450" i="69"/>
  <c r="G450" i="69" s="1"/>
  <c r="Q450" i="61"/>
  <c r="H450" i="61"/>
  <c r="K450" i="61"/>
  <c r="Q273" i="61"/>
  <c r="F273" i="69"/>
  <c r="G273" i="69" s="1"/>
  <c r="H273" i="61"/>
  <c r="K273" i="61"/>
  <c r="Q427" i="61"/>
  <c r="F427" i="69"/>
  <c r="G427" i="69" s="1"/>
  <c r="H427" i="61"/>
  <c r="K427" i="61"/>
  <c r="Q432" i="61"/>
  <c r="F432" i="69"/>
  <c r="G432" i="69" s="1"/>
  <c r="K432" i="61"/>
  <c r="H432" i="61"/>
  <c r="F26" i="69"/>
  <c r="G26" i="69" s="1"/>
  <c r="Q26" i="61"/>
  <c r="K26" i="61"/>
  <c r="H26" i="61"/>
  <c r="Q186" i="61"/>
  <c r="F186" i="69"/>
  <c r="G186" i="69" s="1"/>
  <c r="K186" i="61"/>
  <c r="H186" i="61"/>
  <c r="F183" i="69"/>
  <c r="G183" i="69" s="1"/>
  <c r="Q183" i="61"/>
  <c r="K183" i="61"/>
  <c r="H183" i="61"/>
  <c r="Q100" i="61"/>
  <c r="F100" i="69"/>
  <c r="G100" i="69" s="1"/>
  <c r="K100" i="61"/>
  <c r="H100" i="61"/>
  <c r="Q53" i="61"/>
  <c r="F53" i="69"/>
  <c r="G53" i="69" s="1"/>
  <c r="K53" i="61"/>
  <c r="H53" i="61"/>
  <c r="F457" i="69"/>
  <c r="G457" i="69" s="1"/>
  <c r="Q457" i="61"/>
  <c r="H457" i="61"/>
  <c r="K457" i="61"/>
  <c r="F430" i="69"/>
  <c r="G430" i="69" s="1"/>
  <c r="Q430" i="61"/>
  <c r="H430" i="61"/>
  <c r="K430" i="61"/>
  <c r="Q266" i="61"/>
  <c r="F266" i="69"/>
  <c r="G266" i="69" s="1"/>
  <c r="K266" i="61"/>
  <c r="H266" i="61"/>
  <c r="F329" i="69"/>
  <c r="G329" i="69" s="1"/>
  <c r="Q329" i="61"/>
  <c r="H329" i="61"/>
  <c r="K329" i="61"/>
  <c r="F372" i="69"/>
  <c r="G372" i="69" s="1"/>
  <c r="Q372" i="61"/>
  <c r="K372" i="61"/>
  <c r="H372" i="61"/>
  <c r="Q400" i="61"/>
  <c r="F400" i="69"/>
  <c r="G400" i="69" s="1"/>
  <c r="K400" i="61"/>
  <c r="H400" i="61"/>
  <c r="F483" i="69"/>
  <c r="G483" i="69" s="1"/>
  <c r="Q483" i="61"/>
  <c r="K483" i="61"/>
  <c r="H483" i="61"/>
  <c r="Q355" i="61"/>
  <c r="F355" i="69"/>
  <c r="G355" i="69" s="1"/>
  <c r="K355" i="61"/>
  <c r="H355" i="61"/>
  <c r="F257" i="69"/>
  <c r="G257" i="69" s="1"/>
  <c r="Q257" i="61"/>
  <c r="K257" i="61"/>
  <c r="H257" i="61"/>
  <c r="F29" i="69"/>
  <c r="G29" i="69" s="1"/>
  <c r="Q29" i="61"/>
  <c r="H29" i="61"/>
  <c r="K29" i="61"/>
  <c r="F442" i="69"/>
  <c r="G442" i="69" s="1"/>
  <c r="Q442" i="61"/>
  <c r="K442" i="61"/>
  <c r="H442" i="61"/>
  <c r="F302" i="69"/>
  <c r="G302" i="69" s="1"/>
  <c r="Q302" i="61"/>
  <c r="H302" i="61"/>
  <c r="K302" i="61"/>
  <c r="F469" i="69"/>
  <c r="G469" i="69" s="1"/>
  <c r="Q469" i="61"/>
  <c r="K469" i="61"/>
  <c r="H469" i="61"/>
  <c r="Q405" i="61"/>
  <c r="F405" i="69"/>
  <c r="G405" i="69" s="1"/>
  <c r="K405" i="61"/>
  <c r="H405" i="61"/>
  <c r="F229" i="69"/>
  <c r="G229" i="69" s="1"/>
  <c r="Q229" i="61"/>
  <c r="K229" i="61"/>
  <c r="H229" i="61"/>
  <c r="Q304" i="61"/>
  <c r="F304" i="69"/>
  <c r="G304" i="69" s="1"/>
  <c r="K304" i="61"/>
  <c r="H304" i="61"/>
  <c r="Q240" i="61"/>
  <c r="F240" i="69"/>
  <c r="G240" i="69" s="1"/>
  <c r="H240" i="61"/>
  <c r="K240" i="61"/>
  <c r="Q176" i="61"/>
  <c r="F176" i="69"/>
  <c r="G176" i="69" s="1"/>
  <c r="H176" i="61"/>
  <c r="K176" i="61"/>
  <c r="Q112" i="61"/>
  <c r="F112" i="69"/>
  <c r="G112" i="69" s="1"/>
  <c r="H112" i="61"/>
  <c r="K112" i="61"/>
  <c r="F323" i="69"/>
  <c r="G323" i="69" s="1"/>
  <c r="Q323" i="61"/>
  <c r="K323" i="61"/>
  <c r="H323" i="61"/>
  <c r="F259" i="69"/>
  <c r="G259" i="69" s="1"/>
  <c r="Q259" i="61"/>
  <c r="K259" i="61"/>
  <c r="H259" i="61"/>
  <c r="F195" i="69"/>
  <c r="G195" i="69" s="1"/>
  <c r="Q195" i="61"/>
  <c r="K195" i="61"/>
  <c r="H195" i="61"/>
  <c r="F131" i="69"/>
  <c r="G131" i="69" s="1"/>
  <c r="Q131" i="61"/>
  <c r="K131" i="61"/>
  <c r="H131" i="61"/>
  <c r="F67" i="69"/>
  <c r="G67" i="69" s="1"/>
  <c r="Q67" i="61"/>
  <c r="K67" i="61"/>
  <c r="H67" i="61"/>
  <c r="F3" i="69"/>
  <c r="G3" i="69" s="1"/>
  <c r="Q3" i="61"/>
  <c r="H3" i="61"/>
  <c r="K3" i="61"/>
  <c r="Q166" i="61"/>
  <c r="F166" i="69"/>
  <c r="G166" i="69" s="1"/>
  <c r="K166" i="61"/>
  <c r="H166" i="61"/>
  <c r="Q38" i="61"/>
  <c r="F38" i="69"/>
  <c r="G38" i="69" s="1"/>
  <c r="K38" i="61"/>
  <c r="H38" i="61"/>
  <c r="F380" i="69"/>
  <c r="G380" i="69" s="1"/>
  <c r="Q380" i="61"/>
  <c r="H380" i="61"/>
  <c r="K380" i="61"/>
  <c r="F392" i="69"/>
  <c r="G392" i="69" s="1"/>
  <c r="Q392" i="61"/>
  <c r="K392" i="61"/>
  <c r="H392" i="61"/>
  <c r="Q448" i="61"/>
  <c r="F448" i="69"/>
  <c r="G448" i="69" s="1"/>
  <c r="K448" i="61"/>
  <c r="H448" i="61"/>
  <c r="F495" i="69"/>
  <c r="G495" i="69" s="1"/>
  <c r="Q495" i="61"/>
  <c r="H495" i="61"/>
  <c r="K495" i="61"/>
  <c r="Q431" i="61"/>
  <c r="F431" i="69"/>
  <c r="G431" i="69" s="1"/>
  <c r="K431" i="61"/>
  <c r="H431" i="61"/>
  <c r="Q367" i="61"/>
  <c r="F367" i="69"/>
  <c r="G367" i="69" s="1"/>
  <c r="K367" i="61"/>
  <c r="H367" i="61"/>
  <c r="F281" i="69"/>
  <c r="G281" i="69" s="1"/>
  <c r="Q281" i="61"/>
  <c r="H281" i="61"/>
  <c r="K281" i="61"/>
  <c r="F454" i="69"/>
  <c r="G454" i="69" s="1"/>
  <c r="Q454" i="61"/>
  <c r="H454" i="61"/>
  <c r="K454" i="61"/>
  <c r="F390" i="69"/>
  <c r="G390" i="69" s="1"/>
  <c r="Q390" i="61"/>
  <c r="K390" i="61"/>
  <c r="H390" i="61"/>
  <c r="Q321" i="61"/>
  <c r="F321" i="69"/>
  <c r="G321" i="69" s="1"/>
  <c r="H321" i="61"/>
  <c r="K321" i="61"/>
  <c r="Q169" i="61"/>
  <c r="F169" i="69"/>
  <c r="G169" i="69" s="1"/>
  <c r="K169" i="61"/>
  <c r="H169" i="61"/>
  <c r="F481" i="69"/>
  <c r="G481" i="69" s="1"/>
  <c r="Q481" i="61"/>
  <c r="H481" i="61"/>
  <c r="K481" i="61"/>
  <c r="Q417" i="61"/>
  <c r="F417" i="69"/>
  <c r="G417" i="69" s="1"/>
  <c r="K417" i="61"/>
  <c r="H417" i="61"/>
  <c r="Q353" i="61"/>
  <c r="F353" i="69"/>
  <c r="G353" i="69" s="1"/>
  <c r="K353" i="61"/>
  <c r="H353" i="61"/>
  <c r="F253" i="69"/>
  <c r="G253" i="69" s="1"/>
  <c r="Q253" i="61"/>
  <c r="K253" i="61"/>
  <c r="H253" i="61"/>
  <c r="Q21" i="61"/>
  <c r="F21" i="69"/>
  <c r="G21" i="69" s="1"/>
  <c r="K21" i="61"/>
  <c r="H21" i="61"/>
  <c r="Q252" i="61"/>
  <c r="F252" i="69"/>
  <c r="G252" i="69" s="1"/>
  <c r="K252" i="61"/>
  <c r="H252" i="61"/>
  <c r="F188" i="69"/>
  <c r="G188" i="69" s="1"/>
  <c r="Q188" i="61"/>
  <c r="K188" i="61"/>
  <c r="H188" i="61"/>
  <c r="F124" i="69"/>
  <c r="G124" i="69" s="1"/>
  <c r="Q124" i="61"/>
  <c r="H124" i="61"/>
  <c r="K124" i="61"/>
  <c r="Q60" i="61"/>
  <c r="F60" i="69"/>
  <c r="G60" i="69" s="1"/>
  <c r="H60" i="61"/>
  <c r="K60" i="61"/>
  <c r="F335" i="69"/>
  <c r="G335" i="69" s="1"/>
  <c r="Q335" i="61"/>
  <c r="H335" i="61"/>
  <c r="K335" i="61"/>
  <c r="F271" i="69"/>
  <c r="G271" i="69" s="1"/>
  <c r="Q271" i="61"/>
  <c r="K271" i="61"/>
  <c r="H271" i="61"/>
  <c r="Q207" i="61"/>
  <c r="F207" i="69"/>
  <c r="G207" i="69" s="1"/>
  <c r="K207" i="61"/>
  <c r="H207" i="61"/>
  <c r="F143" i="69"/>
  <c r="G143" i="69" s="1"/>
  <c r="Q143" i="61"/>
  <c r="H143" i="61"/>
  <c r="K143" i="61"/>
  <c r="Q79" i="61"/>
  <c r="F79" i="69"/>
  <c r="G79" i="69" s="1"/>
  <c r="K79" i="61"/>
  <c r="H79" i="61"/>
  <c r="F15" i="69"/>
  <c r="G15" i="69" s="1"/>
  <c r="Q15" i="61"/>
  <c r="K15" i="61"/>
  <c r="H15" i="61"/>
  <c r="F178" i="69"/>
  <c r="G178" i="69" s="1"/>
  <c r="Q178" i="61"/>
  <c r="K178" i="61"/>
  <c r="H178" i="61"/>
  <c r="F114" i="69"/>
  <c r="G114" i="69" s="1"/>
  <c r="Q114" i="61"/>
  <c r="K114" i="61"/>
  <c r="H114" i="61"/>
  <c r="F50" i="69"/>
  <c r="G50" i="69" s="1"/>
  <c r="Q50" i="61"/>
  <c r="K50" i="61"/>
  <c r="H50" i="61"/>
  <c r="F332" i="69"/>
  <c r="G332" i="69" s="1"/>
  <c r="Q332" i="61"/>
  <c r="K332" i="61"/>
  <c r="H332" i="61"/>
  <c r="Q233" i="61"/>
  <c r="F233" i="69"/>
  <c r="G233" i="69" s="1"/>
  <c r="K233" i="61"/>
  <c r="H233" i="61"/>
  <c r="Q480" i="61"/>
  <c r="F480" i="69"/>
  <c r="G480" i="69" s="1"/>
  <c r="K480" i="61"/>
  <c r="H480" i="61"/>
  <c r="Q106" i="61"/>
  <c r="F106" i="69"/>
  <c r="G106" i="69" s="1"/>
  <c r="H106" i="61"/>
  <c r="K106" i="61"/>
  <c r="Q7" i="61"/>
  <c r="F7" i="69"/>
  <c r="G7" i="69" s="1"/>
  <c r="K7" i="61"/>
  <c r="H7" i="61"/>
  <c r="Q180" i="61"/>
  <c r="F180" i="69"/>
  <c r="G180" i="69" s="1"/>
  <c r="K180" i="61"/>
  <c r="H180" i="61"/>
  <c r="F310" i="69"/>
  <c r="G310" i="69" s="1"/>
  <c r="Q310" i="61"/>
  <c r="H310" i="61"/>
  <c r="K310" i="61"/>
  <c r="Q416" i="61"/>
  <c r="F416" i="69"/>
  <c r="G416" i="69" s="1"/>
  <c r="H416" i="61"/>
  <c r="K416" i="61"/>
  <c r="Q90" i="61"/>
  <c r="F90" i="69"/>
  <c r="G90" i="69" s="1"/>
  <c r="H90" i="61"/>
  <c r="K90" i="61"/>
  <c r="F164" i="69"/>
  <c r="G164" i="69" s="1"/>
  <c r="Q164" i="61"/>
  <c r="K164" i="61"/>
  <c r="H164" i="61"/>
  <c r="F174" i="69"/>
  <c r="G174" i="69" s="1"/>
  <c r="Q174" i="61"/>
  <c r="K174" i="61"/>
  <c r="H174" i="61"/>
  <c r="Q203" i="61"/>
  <c r="F203" i="69"/>
  <c r="G203" i="69" s="1"/>
  <c r="H203" i="61"/>
  <c r="K203" i="61"/>
  <c r="F245" i="69"/>
  <c r="G245" i="69" s="1"/>
  <c r="Q245" i="61"/>
  <c r="K245" i="61"/>
  <c r="H245" i="61"/>
  <c r="Q153" i="61"/>
  <c r="F153" i="69"/>
  <c r="G153" i="69" s="1"/>
  <c r="K153" i="61"/>
  <c r="H153" i="61"/>
  <c r="F61" i="69"/>
  <c r="G61" i="69" s="1"/>
  <c r="Q61" i="61"/>
  <c r="K61" i="61"/>
  <c r="H61" i="61"/>
  <c r="Q364" i="61"/>
  <c r="F364" i="69"/>
  <c r="G364" i="69" s="1"/>
  <c r="H364" i="61"/>
  <c r="K364" i="61"/>
  <c r="F55" i="69"/>
  <c r="G55" i="69" s="1"/>
  <c r="Q55" i="61"/>
  <c r="H55" i="61"/>
  <c r="K55" i="61"/>
  <c r="Q196" i="61"/>
  <c r="F196" i="69"/>
  <c r="G196" i="69" s="1"/>
  <c r="K196" i="61"/>
  <c r="H196" i="61"/>
  <c r="F361" i="69"/>
  <c r="G361" i="69" s="1"/>
  <c r="Q361" i="61"/>
  <c r="H361" i="61"/>
  <c r="K361" i="61"/>
  <c r="Q297" i="61"/>
  <c r="F297" i="69"/>
  <c r="G297" i="69" s="1"/>
  <c r="K297" i="61"/>
  <c r="H297" i="61"/>
  <c r="Q460" i="61"/>
  <c r="F460" i="69"/>
  <c r="G460" i="69" s="1"/>
  <c r="H460" i="61"/>
  <c r="K460" i="61"/>
  <c r="F500" i="69"/>
  <c r="G500" i="69" s="1"/>
  <c r="Q500" i="61"/>
  <c r="H500" i="61"/>
  <c r="K500" i="61"/>
  <c r="F209" i="69"/>
  <c r="G209" i="69" s="1"/>
  <c r="Q209" i="61"/>
  <c r="K209" i="61"/>
  <c r="H209" i="61"/>
  <c r="Q387" i="61"/>
  <c r="F387" i="69"/>
  <c r="G387" i="69" s="1"/>
  <c r="K387" i="61"/>
  <c r="H387" i="61"/>
  <c r="Q157" i="61"/>
  <c r="F157" i="69"/>
  <c r="G157" i="69" s="1"/>
  <c r="K157" i="61"/>
  <c r="H157" i="61"/>
  <c r="F410" i="69"/>
  <c r="G410" i="69" s="1"/>
  <c r="Q410" i="61"/>
  <c r="K410" i="61"/>
  <c r="H410" i="61"/>
  <c r="F238" i="69"/>
  <c r="G238" i="69" s="1"/>
  <c r="Q238" i="61"/>
  <c r="K238" i="61"/>
  <c r="H238" i="61"/>
  <c r="Q501" i="61"/>
  <c r="F501" i="69"/>
  <c r="G501" i="69" s="1"/>
  <c r="H501" i="61"/>
  <c r="K501" i="61"/>
  <c r="Q373" i="61"/>
  <c r="F373" i="69"/>
  <c r="G373" i="69" s="1"/>
  <c r="K373" i="61"/>
  <c r="H373" i="61"/>
  <c r="Q208" i="61"/>
  <c r="F208" i="69"/>
  <c r="G208" i="69" s="1"/>
  <c r="H208" i="61"/>
  <c r="K208" i="61"/>
  <c r="F80" i="69"/>
  <c r="G80" i="69" s="1"/>
  <c r="Q80" i="61"/>
  <c r="K80" i="61"/>
  <c r="H80" i="61"/>
  <c r="Q291" i="61"/>
  <c r="F291" i="69"/>
  <c r="G291" i="69" s="1"/>
  <c r="H291" i="61"/>
  <c r="K291" i="61"/>
  <c r="Q163" i="61"/>
  <c r="F163" i="69"/>
  <c r="G163" i="69" s="1"/>
  <c r="H163" i="61"/>
  <c r="K163" i="61"/>
  <c r="Q99" i="61"/>
  <c r="F99" i="69"/>
  <c r="G99" i="69" s="1"/>
  <c r="K99" i="61"/>
  <c r="H99" i="61"/>
  <c r="F198" i="69"/>
  <c r="G198" i="69" s="1"/>
  <c r="Q198" i="61"/>
  <c r="H198" i="61"/>
  <c r="K198" i="61"/>
  <c r="F70" i="69"/>
  <c r="G70" i="69" s="1"/>
  <c r="Q70" i="61"/>
  <c r="H70" i="61"/>
  <c r="K70" i="61"/>
  <c r="Q313" i="61"/>
  <c r="F313" i="69"/>
  <c r="G313" i="69" s="1"/>
  <c r="H313" i="61"/>
  <c r="K313" i="61"/>
  <c r="Q333" i="61"/>
  <c r="F333" i="69"/>
  <c r="G333" i="69" s="1"/>
  <c r="K333" i="61"/>
  <c r="H333" i="61"/>
  <c r="F422" i="69"/>
  <c r="G422" i="69" s="1"/>
  <c r="Q422" i="61"/>
  <c r="H422" i="61"/>
  <c r="K422" i="61"/>
  <c r="Q41" i="61"/>
  <c r="F41" i="69"/>
  <c r="G41" i="69" s="1"/>
  <c r="K41" i="61"/>
  <c r="H41" i="61"/>
  <c r="F284" i="69"/>
  <c r="G284" i="69" s="1"/>
  <c r="Q284" i="61"/>
  <c r="K284" i="61"/>
  <c r="H284" i="61"/>
  <c r="Q92" i="61"/>
  <c r="F92" i="69"/>
  <c r="G92" i="69" s="1"/>
  <c r="H92" i="61"/>
  <c r="K92" i="61"/>
  <c r="F239" i="69"/>
  <c r="G239" i="69" s="1"/>
  <c r="Q239" i="61"/>
  <c r="K239" i="61"/>
  <c r="H239" i="61"/>
  <c r="Q210" i="61"/>
  <c r="F210" i="69"/>
  <c r="G210" i="69" s="1"/>
  <c r="K210" i="61"/>
  <c r="H210" i="61"/>
  <c r="F82" i="69"/>
  <c r="G82" i="69" s="1"/>
  <c r="Q82" i="61"/>
  <c r="H82" i="61"/>
  <c r="K82" i="61"/>
  <c r="Q424" i="61"/>
  <c r="F424" i="69"/>
  <c r="G424" i="69" s="1"/>
  <c r="K424" i="61"/>
  <c r="H424" i="61"/>
  <c r="K345" i="61"/>
  <c r="H463" i="61"/>
  <c r="F74" i="69"/>
  <c r="G74" i="69" s="1"/>
  <c r="Q74" i="61"/>
  <c r="K74" i="61"/>
  <c r="H74" i="61"/>
  <c r="Q202" i="61"/>
  <c r="F202" i="69"/>
  <c r="G202" i="69" s="1"/>
  <c r="H202" i="61"/>
  <c r="K202" i="61"/>
  <c r="Q231" i="61"/>
  <c r="F231" i="69"/>
  <c r="G231" i="69" s="1"/>
  <c r="K231" i="61"/>
  <c r="H231" i="61"/>
  <c r="F20" i="69"/>
  <c r="G20" i="69" s="1"/>
  <c r="Q20" i="61"/>
  <c r="K20" i="61"/>
  <c r="H20" i="61"/>
  <c r="Q148" i="61"/>
  <c r="F148" i="69"/>
  <c r="G148" i="69" s="1"/>
  <c r="K148" i="61"/>
  <c r="H148" i="61"/>
  <c r="F276" i="69"/>
  <c r="G276" i="69" s="1"/>
  <c r="Q276" i="61"/>
  <c r="K276" i="61"/>
  <c r="H276" i="61"/>
  <c r="Q301" i="61"/>
  <c r="F301" i="69"/>
  <c r="G301" i="69" s="1"/>
  <c r="H301" i="61"/>
  <c r="K301" i="61"/>
  <c r="Q441" i="61"/>
  <c r="F441" i="69"/>
  <c r="G441" i="69" s="1"/>
  <c r="H441" i="61"/>
  <c r="K441" i="61"/>
  <c r="F246" i="69"/>
  <c r="G246" i="69" s="1"/>
  <c r="Q246" i="61"/>
  <c r="H246" i="61"/>
  <c r="K246" i="61"/>
  <c r="Q391" i="61"/>
  <c r="F391" i="69"/>
  <c r="G391" i="69" s="1"/>
  <c r="H391" i="61"/>
  <c r="K391" i="61"/>
  <c r="Q250" i="61"/>
  <c r="F250" i="69"/>
  <c r="G250" i="69" s="1"/>
  <c r="K250" i="61"/>
  <c r="H250" i="61"/>
  <c r="F476" i="69"/>
  <c r="G476" i="69" s="1"/>
  <c r="Q476" i="61"/>
  <c r="H476" i="61"/>
  <c r="K476" i="61"/>
  <c r="F151" i="69"/>
  <c r="G151" i="69" s="1"/>
  <c r="Q151" i="61"/>
  <c r="H151" i="61"/>
  <c r="K151" i="61"/>
  <c r="F68" i="69"/>
  <c r="G68" i="69" s="1"/>
  <c r="Q68" i="61"/>
  <c r="H68" i="61"/>
  <c r="K68" i="61"/>
  <c r="Q14" i="61"/>
  <c r="F14" i="69"/>
  <c r="G14" i="69" s="1"/>
  <c r="H14" i="61"/>
  <c r="K14" i="61"/>
  <c r="F142" i="69"/>
  <c r="G142" i="69" s="1"/>
  <c r="Q142" i="61"/>
  <c r="K142" i="61"/>
  <c r="H142" i="61"/>
  <c r="F299" i="69"/>
  <c r="G299" i="69" s="1"/>
  <c r="Q299" i="61"/>
  <c r="H299" i="61"/>
  <c r="K299" i="61"/>
  <c r="Q216" i="61"/>
  <c r="F216" i="69"/>
  <c r="G216" i="69" s="1"/>
  <c r="H216" i="61"/>
  <c r="K216" i="61"/>
  <c r="F133" i="69"/>
  <c r="G133" i="69" s="1"/>
  <c r="Q133" i="61"/>
  <c r="K133" i="61"/>
  <c r="H133" i="61"/>
  <c r="F381" i="69"/>
  <c r="G381" i="69" s="1"/>
  <c r="Q381" i="61"/>
  <c r="K381" i="61"/>
  <c r="H381" i="61"/>
  <c r="Q25" i="61"/>
  <c r="F25" i="69"/>
  <c r="G25" i="69" s="1"/>
  <c r="K25" i="61"/>
  <c r="H25" i="61"/>
  <c r="F354" i="69"/>
  <c r="G354" i="69" s="1"/>
  <c r="Q354" i="61"/>
  <c r="K354" i="61"/>
  <c r="H354" i="61"/>
  <c r="F482" i="69"/>
  <c r="G482" i="69" s="1"/>
  <c r="Q482" i="61"/>
  <c r="K482" i="61"/>
  <c r="H482" i="61"/>
  <c r="F328" i="69"/>
  <c r="G328" i="69" s="1"/>
  <c r="Q328" i="61"/>
  <c r="K328" i="61"/>
  <c r="H328" i="61"/>
  <c r="Q459" i="61"/>
  <c r="F459" i="69"/>
  <c r="G459" i="69" s="1"/>
  <c r="K459" i="61"/>
  <c r="H459" i="61"/>
  <c r="F225" i="69"/>
  <c r="G225" i="69" s="1"/>
  <c r="Q225" i="61"/>
  <c r="K225" i="61"/>
  <c r="H225" i="61"/>
  <c r="F65" i="69"/>
  <c r="G65" i="69" s="1"/>
  <c r="Q65" i="61"/>
  <c r="H65" i="61"/>
  <c r="K65" i="61"/>
  <c r="F58" i="69"/>
  <c r="G58" i="69" s="1"/>
  <c r="Q58" i="61"/>
  <c r="H58" i="61"/>
  <c r="K58" i="61"/>
  <c r="Q218" i="61"/>
  <c r="F218" i="69"/>
  <c r="G218" i="69" s="1"/>
  <c r="K218" i="61"/>
  <c r="H218" i="61"/>
  <c r="F247" i="69"/>
  <c r="G247" i="69" s="1"/>
  <c r="Q247" i="61"/>
  <c r="K247" i="61"/>
  <c r="H247" i="61"/>
  <c r="F132" i="69"/>
  <c r="G132" i="69" s="1"/>
  <c r="Q132" i="61"/>
  <c r="H132" i="61"/>
  <c r="K132" i="61"/>
  <c r="Q269" i="61"/>
  <c r="F269" i="69"/>
  <c r="G269" i="69" s="1"/>
  <c r="K269" i="61"/>
  <c r="H269" i="61"/>
  <c r="F73" i="69"/>
  <c r="G73" i="69" s="1"/>
  <c r="Q73" i="61"/>
  <c r="H73" i="61"/>
  <c r="K73" i="61"/>
  <c r="F494" i="69"/>
  <c r="G494" i="69" s="1"/>
  <c r="Q494" i="61"/>
  <c r="K494" i="61"/>
  <c r="H494" i="61"/>
  <c r="Q471" i="61"/>
  <c r="F471" i="69"/>
  <c r="G471" i="69" s="1"/>
  <c r="K471" i="61"/>
  <c r="H471" i="61"/>
  <c r="F242" i="69"/>
  <c r="G242" i="69" s="1"/>
  <c r="Q242" i="61"/>
  <c r="K242" i="61"/>
  <c r="H242" i="61"/>
  <c r="F193" i="69"/>
  <c r="G193" i="69" s="1"/>
  <c r="Q193" i="61"/>
  <c r="K193" i="61"/>
  <c r="H193" i="61"/>
  <c r="Q234" i="61"/>
  <c r="F234" i="69"/>
  <c r="G234" i="69" s="1"/>
  <c r="K234" i="61"/>
  <c r="H234" i="61"/>
  <c r="Q290" i="61"/>
  <c r="F290" i="69"/>
  <c r="G290" i="69" s="1"/>
  <c r="K290" i="61"/>
  <c r="H290" i="61"/>
  <c r="F334" i="69"/>
  <c r="G334" i="69" s="1"/>
  <c r="Q334" i="61"/>
  <c r="K334" i="61"/>
  <c r="H334" i="61"/>
  <c r="Q467" i="61"/>
  <c r="F467" i="69"/>
  <c r="G467" i="69" s="1"/>
  <c r="K467" i="61"/>
  <c r="H467" i="61"/>
  <c r="F403" i="69"/>
  <c r="G403" i="69" s="1"/>
  <c r="Q403" i="61"/>
  <c r="K403" i="61"/>
  <c r="H403" i="61"/>
  <c r="F221" i="69"/>
  <c r="G221" i="69" s="1"/>
  <c r="Q221" i="61"/>
  <c r="K221" i="61"/>
  <c r="H221" i="61"/>
  <c r="F490" i="69"/>
  <c r="G490" i="69" s="1"/>
  <c r="Q490" i="61"/>
  <c r="H490" i="61"/>
  <c r="K490" i="61"/>
  <c r="F426" i="69"/>
  <c r="G426" i="69" s="1"/>
  <c r="Q426" i="61"/>
  <c r="K426" i="61"/>
  <c r="H426" i="61"/>
  <c r="F362" i="69"/>
  <c r="G362" i="69" s="1"/>
  <c r="Q362" i="61"/>
  <c r="K362" i="61"/>
  <c r="H362" i="61"/>
  <c r="F270" i="69"/>
  <c r="G270" i="69" s="1"/>
  <c r="Q270" i="61"/>
  <c r="H270" i="61"/>
  <c r="K270" i="61"/>
  <c r="F57" i="69"/>
  <c r="G57" i="69" s="1"/>
  <c r="Q57" i="61"/>
  <c r="K57" i="61"/>
  <c r="H57" i="61"/>
  <c r="Q453" i="61"/>
  <c r="F453" i="69"/>
  <c r="G453" i="69" s="1"/>
  <c r="K453" i="61"/>
  <c r="H453" i="61"/>
  <c r="F389" i="69"/>
  <c r="G389" i="69" s="1"/>
  <c r="Q389" i="61"/>
  <c r="H389" i="61"/>
  <c r="K389" i="61"/>
  <c r="F320" i="69"/>
  <c r="G320" i="69" s="1"/>
  <c r="Q320" i="61"/>
  <c r="K320" i="61"/>
  <c r="H320" i="61"/>
  <c r="F165" i="69"/>
  <c r="G165" i="69" s="1"/>
  <c r="Q165" i="61"/>
  <c r="H165" i="61"/>
  <c r="K165" i="61"/>
  <c r="Q288" i="61"/>
  <c r="F288" i="69"/>
  <c r="G288" i="69" s="1"/>
  <c r="K288" i="61"/>
  <c r="H288" i="61"/>
  <c r="Q224" i="61"/>
  <c r="F224" i="69"/>
  <c r="G224" i="69" s="1"/>
  <c r="K224" i="61"/>
  <c r="H224" i="61"/>
  <c r="Q96" i="61"/>
  <c r="F96" i="69"/>
  <c r="G96" i="69" s="1"/>
  <c r="K96" i="61"/>
  <c r="H96" i="61"/>
  <c r="Q32" i="61"/>
  <c r="F32" i="69"/>
  <c r="G32" i="69" s="1"/>
  <c r="H32" i="61"/>
  <c r="K32" i="61"/>
  <c r="F307" i="69"/>
  <c r="G307" i="69" s="1"/>
  <c r="Q307" i="61"/>
  <c r="K307" i="61"/>
  <c r="H307" i="61"/>
  <c r="F243" i="69"/>
  <c r="G243" i="69" s="1"/>
  <c r="Q243" i="61"/>
  <c r="H243" i="61"/>
  <c r="K243" i="61"/>
  <c r="F179" i="69"/>
  <c r="G179" i="69" s="1"/>
  <c r="Q179" i="61"/>
  <c r="H179" i="61"/>
  <c r="K179" i="61"/>
  <c r="F51" i="69"/>
  <c r="G51" i="69" s="1"/>
  <c r="Q51" i="61"/>
  <c r="K51" i="61"/>
  <c r="H51" i="61"/>
  <c r="F214" i="69"/>
  <c r="G214" i="69" s="1"/>
  <c r="Q214" i="61"/>
  <c r="H214" i="61"/>
  <c r="K214" i="61"/>
  <c r="Q150" i="61"/>
  <c r="F150" i="69"/>
  <c r="G150" i="69" s="1"/>
  <c r="K150" i="61"/>
  <c r="H150" i="61"/>
  <c r="Q22" i="61"/>
  <c r="F22" i="69"/>
  <c r="G22" i="69" s="1"/>
  <c r="H22" i="61"/>
  <c r="K22" i="61"/>
  <c r="Q306" i="61"/>
  <c r="F306" i="69"/>
  <c r="G306" i="69" s="1"/>
  <c r="K306" i="61"/>
  <c r="H306" i="61"/>
  <c r="F356" i="69"/>
  <c r="G356" i="69" s="1"/>
  <c r="Q356" i="61"/>
  <c r="H356" i="61"/>
  <c r="K356" i="61"/>
  <c r="Q479" i="61"/>
  <c r="F479" i="69"/>
  <c r="G479" i="69" s="1"/>
  <c r="H479" i="61"/>
  <c r="K479" i="61"/>
  <c r="F415" i="69"/>
  <c r="G415" i="69" s="1"/>
  <c r="Q415" i="61"/>
  <c r="H415" i="61"/>
  <c r="K415" i="61"/>
  <c r="F351" i="69"/>
  <c r="G351" i="69" s="1"/>
  <c r="Q351" i="61"/>
  <c r="K351" i="61"/>
  <c r="H351" i="61"/>
  <c r="F249" i="69"/>
  <c r="G249" i="69" s="1"/>
  <c r="Q249" i="61"/>
  <c r="K249" i="61"/>
  <c r="H249" i="61"/>
  <c r="F13" i="69"/>
  <c r="G13" i="69" s="1"/>
  <c r="Q13" i="61"/>
  <c r="K13" i="61"/>
  <c r="H13" i="61"/>
  <c r="F438" i="69"/>
  <c r="G438" i="69" s="1"/>
  <c r="Q438" i="61"/>
  <c r="H438" i="61"/>
  <c r="K438" i="61"/>
  <c r="F374" i="69"/>
  <c r="G374" i="69" s="1"/>
  <c r="Q374" i="61"/>
  <c r="K374" i="61"/>
  <c r="H374" i="61"/>
  <c r="F294" i="69"/>
  <c r="G294" i="69" s="1"/>
  <c r="Q294" i="61"/>
  <c r="K294" i="61"/>
  <c r="H294" i="61"/>
  <c r="F105" i="69"/>
  <c r="G105" i="69" s="1"/>
  <c r="Q105" i="61"/>
  <c r="K105" i="61"/>
  <c r="H105" i="61"/>
  <c r="F465" i="69"/>
  <c r="G465" i="69" s="1"/>
  <c r="Q465" i="61"/>
  <c r="H465" i="61"/>
  <c r="K465" i="61"/>
  <c r="Q401" i="61"/>
  <c r="F401" i="69"/>
  <c r="G401" i="69" s="1"/>
  <c r="K401" i="61"/>
  <c r="H401" i="61"/>
  <c r="Q336" i="61"/>
  <c r="F336" i="69"/>
  <c r="G336" i="69" s="1"/>
  <c r="K336" i="61"/>
  <c r="H336" i="61"/>
  <c r="Q213" i="61"/>
  <c r="F213" i="69"/>
  <c r="G213" i="69" s="1"/>
  <c r="K213" i="61"/>
  <c r="H213" i="61"/>
  <c r="F300" i="69"/>
  <c r="G300" i="69" s="1"/>
  <c r="Q300" i="61"/>
  <c r="K300" i="61"/>
  <c r="H300" i="61"/>
  <c r="F236" i="69"/>
  <c r="G236" i="69" s="1"/>
  <c r="Q236" i="61"/>
  <c r="K236" i="61"/>
  <c r="H236" i="61"/>
  <c r="F108" i="69"/>
  <c r="G108" i="69" s="1"/>
  <c r="Q108" i="61"/>
  <c r="K108" i="61"/>
  <c r="H108" i="61"/>
  <c r="F255" i="69"/>
  <c r="G255" i="69" s="1"/>
  <c r="Q255" i="61"/>
  <c r="K255" i="61"/>
  <c r="H255" i="61"/>
  <c r="F191" i="69"/>
  <c r="G191" i="69" s="1"/>
  <c r="Q191" i="61"/>
  <c r="K191" i="61"/>
  <c r="H191" i="61"/>
  <c r="Q127" i="61"/>
  <c r="F127" i="69"/>
  <c r="G127" i="69" s="1"/>
  <c r="H127" i="61"/>
  <c r="K127" i="61"/>
  <c r="F63" i="69"/>
  <c r="G63" i="69" s="1"/>
  <c r="Q63" i="61"/>
  <c r="K63" i="61"/>
  <c r="H63" i="61"/>
  <c r="F226" i="69"/>
  <c r="G226" i="69" s="1"/>
  <c r="Q226" i="61"/>
  <c r="K226" i="61"/>
  <c r="H226" i="61"/>
  <c r="F162" i="69"/>
  <c r="G162" i="69" s="1"/>
  <c r="Q162" i="61"/>
  <c r="H162" i="61"/>
  <c r="K162" i="61"/>
  <c r="F98" i="69"/>
  <c r="G98" i="69" s="1"/>
  <c r="Q98" i="61"/>
  <c r="H98" i="61"/>
  <c r="K98" i="61"/>
  <c r="F34" i="69"/>
  <c r="G34" i="69" s="1"/>
  <c r="Q34" i="61"/>
  <c r="K34" i="61"/>
  <c r="H34" i="61"/>
  <c r="Q425" i="61"/>
  <c r="F425" i="69"/>
  <c r="G425" i="69" s="1"/>
  <c r="H425" i="61"/>
  <c r="K425" i="61"/>
  <c r="F398" i="69"/>
  <c r="G398" i="69" s="1"/>
  <c r="Q398" i="61"/>
  <c r="K398" i="61"/>
  <c r="H398" i="61"/>
  <c r="F375" i="69"/>
  <c r="G375" i="69" s="1"/>
  <c r="Q375" i="61"/>
  <c r="K375" i="61"/>
  <c r="H375" i="61"/>
  <c r="Q452" i="61"/>
  <c r="F452" i="69"/>
  <c r="G452" i="69" s="1"/>
  <c r="H452" i="61"/>
  <c r="K452" i="61"/>
  <c r="F384" i="69"/>
  <c r="G384" i="69" s="1"/>
  <c r="Q384" i="61"/>
  <c r="F385" i="69"/>
  <c r="G385" i="69" s="1"/>
  <c r="Q385" i="61"/>
  <c r="F386" i="69"/>
  <c r="G386" i="69" s="1"/>
  <c r="Q386" i="61"/>
  <c r="L461" i="61"/>
  <c r="M461" i="61" s="1"/>
  <c r="O461" i="61" s="1"/>
  <c r="L414" i="61"/>
  <c r="L493" i="61"/>
  <c r="L318" i="61"/>
  <c r="L421" i="61"/>
  <c r="M421" i="61" s="1"/>
  <c r="L378" i="61"/>
  <c r="M378" i="61" s="1"/>
  <c r="O378" i="61" s="1"/>
  <c r="L317" i="61"/>
  <c r="M317" i="61" s="1"/>
  <c r="N317" i="61" s="1"/>
  <c r="L120" i="61"/>
  <c r="L145" i="61"/>
  <c r="L147" i="61"/>
  <c r="L412" i="61"/>
  <c r="M412" i="61" s="1"/>
  <c r="O412" i="61" s="1"/>
  <c r="L340" i="61"/>
  <c r="M340" i="61" s="1"/>
  <c r="L103" i="61"/>
  <c r="L337" i="61"/>
  <c r="L406" i="61"/>
  <c r="L326" i="61"/>
  <c r="L49" i="61"/>
  <c r="L324" i="61"/>
  <c r="M324" i="61" s="1"/>
  <c r="O324" i="61" s="1"/>
  <c r="H386" i="61"/>
  <c r="K385" i="61"/>
  <c r="K386" i="61"/>
  <c r="K384" i="61"/>
  <c r="H384" i="61"/>
  <c r="H385" i="61"/>
  <c r="E5" i="66"/>
  <c r="E2" i="65"/>
  <c r="M72" i="61"/>
  <c r="O72" i="61" s="1"/>
  <c r="M222" i="61"/>
  <c r="M347" i="61"/>
  <c r="O347" i="61" s="1"/>
  <c r="I3" i="35"/>
  <c r="I4" i="35"/>
  <c r="I6" i="35" s="1"/>
  <c r="I8" i="35" s="1"/>
  <c r="O7" i="57"/>
  <c r="H5" i="56"/>
  <c r="P21" i="30"/>
  <c r="P3" i="30"/>
  <c r="F8" i="32"/>
  <c r="V8" i="32"/>
  <c r="L2" i="42"/>
  <c r="D5" i="42"/>
  <c r="Q4" i="40"/>
  <c r="M4" i="40"/>
  <c r="L6" i="35"/>
  <c r="L8" i="35" s="1"/>
  <c r="K6" i="35"/>
  <c r="K7" i="35" s="1"/>
  <c r="M9" i="2"/>
  <c r="N8" i="32"/>
  <c r="J3" i="30"/>
  <c r="O3" i="14"/>
  <c r="L4" i="14"/>
  <c r="N3" i="14"/>
  <c r="L5" i="14"/>
  <c r="I3" i="14"/>
  <c r="C6" i="14"/>
  <c r="I6" i="14"/>
  <c r="K5" i="14"/>
  <c r="C4" i="14"/>
  <c r="C5" i="14"/>
  <c r="D3" i="30"/>
  <c r="L158" i="61" l="1"/>
  <c r="L87" i="61"/>
  <c r="L117" i="61"/>
  <c r="M117" i="61" s="1"/>
  <c r="N117" i="61" s="1"/>
  <c r="L159" i="61"/>
  <c r="M159" i="61" s="1"/>
  <c r="N159" i="61" s="1"/>
  <c r="L408" i="61"/>
  <c r="M408" i="61" s="1"/>
  <c r="O408" i="61" s="1"/>
  <c r="L155" i="61"/>
  <c r="M155" i="61" s="1"/>
  <c r="O155" i="61" s="1"/>
  <c r="L376" i="61"/>
  <c r="M376" i="61" s="1"/>
  <c r="O376" i="61" s="1"/>
  <c r="L45" i="61"/>
  <c r="L47" i="61"/>
  <c r="L491" i="61"/>
  <c r="M491" i="61" s="1"/>
  <c r="N491" i="61" s="1"/>
  <c r="L104" i="61"/>
  <c r="M104" i="61" s="1"/>
  <c r="O104" i="61" s="1"/>
  <c r="L8" i="61"/>
  <c r="M8" i="61" s="1"/>
  <c r="N8" i="61" s="1"/>
  <c r="L125" i="61"/>
  <c r="M125" i="61" s="1"/>
  <c r="O125" i="61" s="1"/>
  <c r="L115" i="61"/>
  <c r="M115" i="61" s="1"/>
  <c r="O115" i="61" s="1"/>
  <c r="L200" i="61"/>
  <c r="M200" i="61" s="1"/>
  <c r="O200" i="61" s="1"/>
  <c r="L101" i="61"/>
  <c r="M101" i="61" s="1"/>
  <c r="O101" i="61" s="1"/>
  <c r="L171" i="61"/>
  <c r="M171" i="61" s="1"/>
  <c r="O171" i="61" s="1"/>
  <c r="L492" i="61"/>
  <c r="L463" i="61"/>
  <c r="M463" i="61" s="1"/>
  <c r="O463" i="61" s="1"/>
  <c r="L160" i="61"/>
  <c r="M160" i="61" s="1"/>
  <c r="O160" i="61" s="1"/>
  <c r="L232" i="61"/>
  <c r="M232" i="61" s="1"/>
  <c r="N232" i="61" s="1"/>
  <c r="L126" i="61"/>
  <c r="M126" i="61" s="1"/>
  <c r="N126" i="61" s="1"/>
  <c r="L283" i="61"/>
  <c r="M283" i="61" s="1"/>
  <c r="O283" i="61" s="1"/>
  <c r="L487" i="61"/>
  <c r="M487" i="61" s="1"/>
  <c r="O487" i="61" s="1"/>
  <c r="L77" i="61"/>
  <c r="M77" i="61" s="1"/>
  <c r="O77" i="61" s="1"/>
  <c r="L43" i="61"/>
  <c r="M43" i="61" s="1"/>
  <c r="O43" i="61" s="1"/>
  <c r="L75" i="61"/>
  <c r="L81" i="61"/>
  <c r="M81" i="61" s="1"/>
  <c r="O81" i="61" s="1"/>
  <c r="L168" i="61"/>
  <c r="M168" i="61" s="1"/>
  <c r="O168" i="61" s="1"/>
  <c r="L146" i="61"/>
  <c r="M146" i="61" s="1"/>
  <c r="O146" i="61" s="1"/>
  <c r="L489" i="61"/>
  <c r="G12" i="14"/>
  <c r="S12" i="14" s="1"/>
  <c r="G16" i="14"/>
  <c r="S16" i="14" s="1"/>
  <c r="G20" i="14"/>
  <c r="S20" i="14" s="1"/>
  <c r="G24" i="14"/>
  <c r="S24" i="14" s="1"/>
  <c r="G28" i="14"/>
  <c r="S28" i="14" s="1"/>
  <c r="G32" i="14"/>
  <c r="S32" i="14" s="1"/>
  <c r="G36" i="14"/>
  <c r="S36" i="14" s="1"/>
  <c r="G40" i="14"/>
  <c r="S40" i="14" s="1"/>
  <c r="G44" i="14"/>
  <c r="S44" i="14" s="1"/>
  <c r="G48" i="14"/>
  <c r="S48" i="14" s="1"/>
  <c r="G52" i="14"/>
  <c r="S52" i="14" s="1"/>
  <c r="G56" i="14"/>
  <c r="S56" i="14" s="1"/>
  <c r="G60" i="14"/>
  <c r="S60" i="14" s="1"/>
  <c r="G64" i="14"/>
  <c r="S64" i="14" s="1"/>
  <c r="G68" i="14"/>
  <c r="S68" i="14" s="1"/>
  <c r="G72" i="14"/>
  <c r="S72" i="14" s="1"/>
  <c r="G76" i="14"/>
  <c r="S76" i="14" s="1"/>
  <c r="G80" i="14"/>
  <c r="S80" i="14" s="1"/>
  <c r="G84" i="14"/>
  <c r="S84" i="14" s="1"/>
  <c r="G88" i="14"/>
  <c r="S88" i="14" s="1"/>
  <c r="G92" i="14"/>
  <c r="S92" i="14" s="1"/>
  <c r="G96" i="14"/>
  <c r="S96" i="14" s="1"/>
  <c r="G100" i="14"/>
  <c r="S100" i="14" s="1"/>
  <c r="G104" i="14"/>
  <c r="S104" i="14" s="1"/>
  <c r="G108" i="14"/>
  <c r="S108" i="14" s="1"/>
  <c r="G112" i="14"/>
  <c r="S112" i="14" s="1"/>
  <c r="G116" i="14"/>
  <c r="S116" i="14" s="1"/>
  <c r="G120" i="14"/>
  <c r="S120" i="14" s="1"/>
  <c r="G124" i="14"/>
  <c r="S124" i="14" s="1"/>
  <c r="G128" i="14"/>
  <c r="S128" i="14" s="1"/>
  <c r="G132" i="14"/>
  <c r="S132" i="14" s="1"/>
  <c r="G136" i="14"/>
  <c r="S136" i="14" s="1"/>
  <c r="G140" i="14"/>
  <c r="S140" i="14" s="1"/>
  <c r="G144" i="14"/>
  <c r="S144" i="14" s="1"/>
  <c r="G148" i="14"/>
  <c r="S148" i="14" s="1"/>
  <c r="G152" i="14"/>
  <c r="S152" i="14" s="1"/>
  <c r="G156" i="14"/>
  <c r="S156" i="14" s="1"/>
  <c r="G160" i="14"/>
  <c r="S160" i="14" s="1"/>
  <c r="G164" i="14"/>
  <c r="S164" i="14" s="1"/>
  <c r="G168" i="14"/>
  <c r="S168" i="14" s="1"/>
  <c r="G172" i="14"/>
  <c r="S172" i="14" s="1"/>
  <c r="G176" i="14"/>
  <c r="S176" i="14" s="1"/>
  <c r="G180" i="14"/>
  <c r="S180" i="14" s="1"/>
  <c r="G184" i="14"/>
  <c r="S184" i="14" s="1"/>
  <c r="G188" i="14"/>
  <c r="S188" i="14" s="1"/>
  <c r="G192" i="14"/>
  <c r="S192" i="14" s="1"/>
  <c r="G196" i="14"/>
  <c r="S196" i="14" s="1"/>
  <c r="G200" i="14"/>
  <c r="S200" i="14" s="1"/>
  <c r="G204" i="14"/>
  <c r="S204" i="14" s="1"/>
  <c r="G208" i="14"/>
  <c r="S208" i="14" s="1"/>
  <c r="G212" i="14"/>
  <c r="S212" i="14" s="1"/>
  <c r="G216" i="14"/>
  <c r="S216" i="14" s="1"/>
  <c r="G220" i="14"/>
  <c r="S220" i="14" s="1"/>
  <c r="G224" i="14"/>
  <c r="S224" i="14" s="1"/>
  <c r="G228" i="14"/>
  <c r="S228" i="14" s="1"/>
  <c r="G232" i="14"/>
  <c r="S232" i="14" s="1"/>
  <c r="G236" i="14"/>
  <c r="S236" i="14" s="1"/>
  <c r="G240" i="14"/>
  <c r="S240" i="14" s="1"/>
  <c r="G244" i="14"/>
  <c r="S244" i="14" s="1"/>
  <c r="G248" i="14"/>
  <c r="S248" i="14" s="1"/>
  <c r="G252" i="14"/>
  <c r="S252" i="14" s="1"/>
  <c r="G256" i="14"/>
  <c r="S256" i="14" s="1"/>
  <c r="G260" i="14"/>
  <c r="S260" i="14" s="1"/>
  <c r="G264" i="14"/>
  <c r="S264" i="14" s="1"/>
  <c r="G268" i="14"/>
  <c r="S268" i="14" s="1"/>
  <c r="G272" i="14"/>
  <c r="S272" i="14" s="1"/>
  <c r="G276" i="14"/>
  <c r="S276" i="14" s="1"/>
  <c r="G280" i="14"/>
  <c r="S280" i="14" s="1"/>
  <c r="G284" i="14"/>
  <c r="S284" i="14" s="1"/>
  <c r="G288" i="14"/>
  <c r="S288" i="14" s="1"/>
  <c r="G292" i="14"/>
  <c r="S292" i="14" s="1"/>
  <c r="G296" i="14"/>
  <c r="S296" i="14" s="1"/>
  <c r="G300" i="14"/>
  <c r="S300" i="14" s="1"/>
  <c r="G304" i="14"/>
  <c r="S304" i="14" s="1"/>
  <c r="G308" i="14"/>
  <c r="S308" i="14" s="1"/>
  <c r="G312" i="14"/>
  <c r="S312" i="14" s="1"/>
  <c r="G316" i="14"/>
  <c r="S316" i="14" s="1"/>
  <c r="G320" i="14"/>
  <c r="S320" i="14" s="1"/>
  <c r="G324" i="14"/>
  <c r="S324" i="14" s="1"/>
  <c r="G328" i="14"/>
  <c r="S328" i="14" s="1"/>
  <c r="G332" i="14"/>
  <c r="S332" i="14" s="1"/>
  <c r="G336" i="14"/>
  <c r="S336" i="14" s="1"/>
  <c r="G340" i="14"/>
  <c r="S340" i="14" s="1"/>
  <c r="G344" i="14"/>
  <c r="S344" i="14" s="1"/>
  <c r="G348" i="14"/>
  <c r="S348" i="14" s="1"/>
  <c r="G13" i="14"/>
  <c r="S13" i="14" s="1"/>
  <c r="G17" i="14"/>
  <c r="S17" i="14" s="1"/>
  <c r="G21" i="14"/>
  <c r="S21" i="14" s="1"/>
  <c r="G25" i="14"/>
  <c r="S25" i="14" s="1"/>
  <c r="G29" i="14"/>
  <c r="S29" i="14" s="1"/>
  <c r="G33" i="14"/>
  <c r="S33" i="14" s="1"/>
  <c r="G37" i="14"/>
  <c r="S37" i="14" s="1"/>
  <c r="G41" i="14"/>
  <c r="S41" i="14" s="1"/>
  <c r="G45" i="14"/>
  <c r="S45" i="14" s="1"/>
  <c r="G49" i="14"/>
  <c r="S49" i="14" s="1"/>
  <c r="G53" i="14"/>
  <c r="S53" i="14" s="1"/>
  <c r="G57" i="14"/>
  <c r="S57" i="14" s="1"/>
  <c r="G61" i="14"/>
  <c r="S61" i="14" s="1"/>
  <c r="G65" i="14"/>
  <c r="S65" i="14" s="1"/>
  <c r="G69" i="14"/>
  <c r="S69" i="14" s="1"/>
  <c r="G73" i="14"/>
  <c r="S73" i="14" s="1"/>
  <c r="G77" i="14"/>
  <c r="S77" i="14" s="1"/>
  <c r="G81" i="14"/>
  <c r="S81" i="14" s="1"/>
  <c r="G85" i="14"/>
  <c r="S85" i="14" s="1"/>
  <c r="G11" i="14"/>
  <c r="S11" i="14" s="1"/>
  <c r="G19" i="14"/>
  <c r="S19" i="14" s="1"/>
  <c r="G27" i="14"/>
  <c r="S27" i="14" s="1"/>
  <c r="G35" i="14"/>
  <c r="S35" i="14" s="1"/>
  <c r="G43" i="14"/>
  <c r="S43" i="14" s="1"/>
  <c r="G51" i="14"/>
  <c r="S51" i="14" s="1"/>
  <c r="G59" i="14"/>
  <c r="S59" i="14" s="1"/>
  <c r="G67" i="14"/>
  <c r="S67" i="14" s="1"/>
  <c r="G75" i="14"/>
  <c r="S75" i="14" s="1"/>
  <c r="G83" i="14"/>
  <c r="S83" i="14" s="1"/>
  <c r="G90" i="14"/>
  <c r="S90" i="14" s="1"/>
  <c r="G95" i="14"/>
  <c r="S95" i="14" s="1"/>
  <c r="G101" i="14"/>
  <c r="S101" i="14" s="1"/>
  <c r="G106" i="14"/>
  <c r="S106" i="14" s="1"/>
  <c r="G111" i="14"/>
  <c r="S111" i="14" s="1"/>
  <c r="G117" i="14"/>
  <c r="S117" i="14" s="1"/>
  <c r="G122" i="14"/>
  <c r="S122" i="14" s="1"/>
  <c r="G127" i="14"/>
  <c r="S127" i="14" s="1"/>
  <c r="G133" i="14"/>
  <c r="S133" i="14" s="1"/>
  <c r="G138" i="14"/>
  <c r="S138" i="14" s="1"/>
  <c r="G143" i="14"/>
  <c r="S143" i="14" s="1"/>
  <c r="G149" i="14"/>
  <c r="S149" i="14" s="1"/>
  <c r="G154" i="14"/>
  <c r="S154" i="14" s="1"/>
  <c r="G159" i="14"/>
  <c r="S159" i="14" s="1"/>
  <c r="G165" i="14"/>
  <c r="S165" i="14" s="1"/>
  <c r="G170" i="14"/>
  <c r="S170" i="14" s="1"/>
  <c r="G175" i="14"/>
  <c r="S175" i="14" s="1"/>
  <c r="G181" i="14"/>
  <c r="S181" i="14" s="1"/>
  <c r="G186" i="14"/>
  <c r="S186" i="14" s="1"/>
  <c r="G191" i="14"/>
  <c r="S191" i="14" s="1"/>
  <c r="G197" i="14"/>
  <c r="S197" i="14" s="1"/>
  <c r="G202" i="14"/>
  <c r="S202" i="14" s="1"/>
  <c r="G207" i="14"/>
  <c r="S207" i="14" s="1"/>
  <c r="G213" i="14"/>
  <c r="S213" i="14" s="1"/>
  <c r="G218" i="14"/>
  <c r="S218" i="14" s="1"/>
  <c r="G223" i="14"/>
  <c r="S223" i="14" s="1"/>
  <c r="G229" i="14"/>
  <c r="S229" i="14" s="1"/>
  <c r="G234" i="14"/>
  <c r="S234" i="14" s="1"/>
  <c r="G239" i="14"/>
  <c r="S239" i="14" s="1"/>
  <c r="G245" i="14"/>
  <c r="S245" i="14" s="1"/>
  <c r="G250" i="14"/>
  <c r="S250" i="14" s="1"/>
  <c r="G255" i="14"/>
  <c r="S255" i="14" s="1"/>
  <c r="G261" i="14"/>
  <c r="S261" i="14" s="1"/>
  <c r="G266" i="14"/>
  <c r="S266" i="14" s="1"/>
  <c r="G271" i="14"/>
  <c r="S271" i="14" s="1"/>
  <c r="G277" i="14"/>
  <c r="S277" i="14" s="1"/>
  <c r="G282" i="14"/>
  <c r="S282" i="14" s="1"/>
  <c r="G287" i="14"/>
  <c r="S287" i="14" s="1"/>
  <c r="G293" i="14"/>
  <c r="S293" i="14" s="1"/>
  <c r="G298" i="14"/>
  <c r="S298" i="14" s="1"/>
  <c r="G303" i="14"/>
  <c r="S303" i="14" s="1"/>
  <c r="G309" i="14"/>
  <c r="S309" i="14" s="1"/>
  <c r="G14" i="14"/>
  <c r="S14" i="14" s="1"/>
  <c r="G22" i="14"/>
  <c r="S22" i="14" s="1"/>
  <c r="G30" i="14"/>
  <c r="S30" i="14" s="1"/>
  <c r="G38" i="14"/>
  <c r="S38" i="14" s="1"/>
  <c r="G46" i="14"/>
  <c r="S46" i="14" s="1"/>
  <c r="G54" i="14"/>
  <c r="S54" i="14" s="1"/>
  <c r="G62" i="14"/>
  <c r="S62" i="14" s="1"/>
  <c r="G70" i="14"/>
  <c r="S70" i="14" s="1"/>
  <c r="G78" i="14"/>
  <c r="S78" i="14" s="1"/>
  <c r="G86" i="14"/>
  <c r="S86" i="14" s="1"/>
  <c r="G91" i="14"/>
  <c r="S91" i="14" s="1"/>
  <c r="G97" i="14"/>
  <c r="S97" i="14" s="1"/>
  <c r="G102" i="14"/>
  <c r="S102" i="14" s="1"/>
  <c r="G107" i="14"/>
  <c r="S107" i="14" s="1"/>
  <c r="G113" i="14"/>
  <c r="S113" i="14" s="1"/>
  <c r="G118" i="14"/>
  <c r="S118" i="14" s="1"/>
  <c r="G123" i="14"/>
  <c r="S123" i="14" s="1"/>
  <c r="G129" i="14"/>
  <c r="S129" i="14" s="1"/>
  <c r="G134" i="14"/>
  <c r="S134" i="14" s="1"/>
  <c r="G139" i="14"/>
  <c r="S139" i="14" s="1"/>
  <c r="G15" i="14"/>
  <c r="S15" i="14" s="1"/>
  <c r="G23" i="14"/>
  <c r="S23" i="14" s="1"/>
  <c r="G31" i="14"/>
  <c r="S31" i="14" s="1"/>
  <c r="G39" i="14"/>
  <c r="S39" i="14" s="1"/>
  <c r="G47" i="14"/>
  <c r="S47" i="14" s="1"/>
  <c r="G55" i="14"/>
  <c r="S55" i="14" s="1"/>
  <c r="G63" i="14"/>
  <c r="S63" i="14" s="1"/>
  <c r="G71" i="14"/>
  <c r="S71" i="14" s="1"/>
  <c r="G79" i="14"/>
  <c r="S79" i="14" s="1"/>
  <c r="G87" i="14"/>
  <c r="S87" i="14" s="1"/>
  <c r="G93" i="14"/>
  <c r="S93" i="14" s="1"/>
  <c r="G98" i="14"/>
  <c r="S98" i="14" s="1"/>
  <c r="G103" i="14"/>
  <c r="S103" i="14" s="1"/>
  <c r="G109" i="14"/>
  <c r="S109" i="14" s="1"/>
  <c r="G114" i="14"/>
  <c r="S114" i="14" s="1"/>
  <c r="G119" i="14"/>
  <c r="S119" i="14" s="1"/>
  <c r="G125" i="14"/>
  <c r="S125" i="14" s="1"/>
  <c r="G130" i="14"/>
  <c r="S130" i="14" s="1"/>
  <c r="G135" i="14"/>
  <c r="S135" i="14" s="1"/>
  <c r="G141" i="14"/>
  <c r="S141" i="14" s="1"/>
  <c r="G146" i="14"/>
  <c r="S146" i="14" s="1"/>
  <c r="G151" i="14"/>
  <c r="S151" i="14" s="1"/>
  <c r="G157" i="14"/>
  <c r="S157" i="14" s="1"/>
  <c r="G162" i="14"/>
  <c r="S162" i="14" s="1"/>
  <c r="G167" i="14"/>
  <c r="S167" i="14" s="1"/>
  <c r="G173" i="14"/>
  <c r="S173" i="14" s="1"/>
  <c r="G178" i="14"/>
  <c r="S178" i="14" s="1"/>
  <c r="G183" i="14"/>
  <c r="S183" i="14" s="1"/>
  <c r="G189" i="14"/>
  <c r="S189" i="14" s="1"/>
  <c r="G194" i="14"/>
  <c r="S194" i="14" s="1"/>
  <c r="G199" i="14"/>
  <c r="S199" i="14" s="1"/>
  <c r="G205" i="14"/>
  <c r="S205" i="14" s="1"/>
  <c r="G210" i="14"/>
  <c r="S210" i="14" s="1"/>
  <c r="G215" i="14"/>
  <c r="S215" i="14" s="1"/>
  <c r="G221" i="14"/>
  <c r="S221" i="14" s="1"/>
  <c r="G226" i="14"/>
  <c r="S226" i="14" s="1"/>
  <c r="G231" i="14"/>
  <c r="S231" i="14" s="1"/>
  <c r="G237" i="14"/>
  <c r="S237" i="14" s="1"/>
  <c r="G242" i="14"/>
  <c r="S242" i="14" s="1"/>
  <c r="G247" i="14"/>
  <c r="S247" i="14" s="1"/>
  <c r="G253" i="14"/>
  <c r="S253" i="14" s="1"/>
  <c r="G258" i="14"/>
  <c r="S258" i="14" s="1"/>
  <c r="G263" i="14"/>
  <c r="S263" i="14" s="1"/>
  <c r="G269" i="14"/>
  <c r="S269" i="14" s="1"/>
  <c r="G274" i="14"/>
  <c r="S274" i="14" s="1"/>
  <c r="G279" i="14"/>
  <c r="S279" i="14" s="1"/>
  <c r="G285" i="14"/>
  <c r="S285" i="14" s="1"/>
  <c r="G290" i="14"/>
  <c r="S290" i="14" s="1"/>
  <c r="G295" i="14"/>
  <c r="S295" i="14" s="1"/>
  <c r="G301" i="14"/>
  <c r="S301" i="14" s="1"/>
  <c r="G306" i="14"/>
  <c r="S306" i="14" s="1"/>
  <c r="G311" i="14"/>
  <c r="S311" i="14" s="1"/>
  <c r="G317" i="14"/>
  <c r="S317" i="14" s="1"/>
  <c r="G322" i="14"/>
  <c r="S322" i="14" s="1"/>
  <c r="G327" i="14"/>
  <c r="S327" i="14" s="1"/>
  <c r="G333" i="14"/>
  <c r="S333" i="14" s="1"/>
  <c r="G338" i="14"/>
  <c r="S338" i="14" s="1"/>
  <c r="G343" i="14"/>
  <c r="S343" i="14" s="1"/>
  <c r="G349" i="14"/>
  <c r="S349" i="14" s="1"/>
  <c r="G353" i="14"/>
  <c r="S353" i="14" s="1"/>
  <c r="G357" i="14"/>
  <c r="S357" i="14" s="1"/>
  <c r="G361" i="14"/>
  <c r="S361" i="14" s="1"/>
  <c r="G365" i="14"/>
  <c r="S365" i="14" s="1"/>
  <c r="G369" i="14"/>
  <c r="S369" i="14" s="1"/>
  <c r="G373" i="14"/>
  <c r="S373" i="14" s="1"/>
  <c r="G377" i="14"/>
  <c r="S377" i="14" s="1"/>
  <c r="G381" i="14"/>
  <c r="S381" i="14" s="1"/>
  <c r="G385" i="14"/>
  <c r="S385" i="14" s="1"/>
  <c r="G389" i="14"/>
  <c r="S389" i="14" s="1"/>
  <c r="G393" i="14"/>
  <c r="S393" i="14" s="1"/>
  <c r="G397" i="14"/>
  <c r="S397" i="14" s="1"/>
  <c r="G401" i="14"/>
  <c r="S401" i="14" s="1"/>
  <c r="G405" i="14"/>
  <c r="S405" i="14" s="1"/>
  <c r="G409" i="14"/>
  <c r="S409" i="14" s="1"/>
  <c r="G413" i="14"/>
  <c r="S413" i="14" s="1"/>
  <c r="G417" i="14"/>
  <c r="S417" i="14" s="1"/>
  <c r="G421" i="14"/>
  <c r="S421" i="14" s="1"/>
  <c r="G425" i="14"/>
  <c r="S425" i="14" s="1"/>
  <c r="G429" i="14"/>
  <c r="S429" i="14" s="1"/>
  <c r="G433" i="14"/>
  <c r="S433" i="14" s="1"/>
  <c r="G437" i="14"/>
  <c r="S437" i="14" s="1"/>
  <c r="G441" i="14"/>
  <c r="S441" i="14" s="1"/>
  <c r="G445" i="14"/>
  <c r="S445" i="14" s="1"/>
  <c r="G449" i="14"/>
  <c r="S449" i="14" s="1"/>
  <c r="G453" i="14"/>
  <c r="S453" i="14" s="1"/>
  <c r="G18" i="14"/>
  <c r="S18" i="14" s="1"/>
  <c r="G50" i="14"/>
  <c r="S50" i="14" s="1"/>
  <c r="G82" i="14"/>
  <c r="S82" i="14" s="1"/>
  <c r="G105" i="14"/>
  <c r="S105" i="14" s="1"/>
  <c r="G126" i="14"/>
  <c r="S126" i="14" s="1"/>
  <c r="G145" i="14"/>
  <c r="S145" i="14" s="1"/>
  <c r="G155" i="14"/>
  <c r="S155" i="14" s="1"/>
  <c r="G166" i="14"/>
  <c r="S166" i="14" s="1"/>
  <c r="G177" i="14"/>
  <c r="S177" i="14" s="1"/>
  <c r="G187" i="14"/>
  <c r="S187" i="14" s="1"/>
  <c r="G198" i="14"/>
  <c r="S198" i="14" s="1"/>
  <c r="G209" i="14"/>
  <c r="S209" i="14" s="1"/>
  <c r="G219" i="14"/>
  <c r="S219" i="14" s="1"/>
  <c r="G230" i="14"/>
  <c r="S230" i="14" s="1"/>
  <c r="G241" i="14"/>
  <c r="S241" i="14" s="1"/>
  <c r="G251" i="14"/>
  <c r="S251" i="14" s="1"/>
  <c r="G262" i="14"/>
  <c r="S262" i="14" s="1"/>
  <c r="G273" i="14"/>
  <c r="S273" i="14" s="1"/>
  <c r="G283" i="14"/>
  <c r="S283" i="14" s="1"/>
  <c r="G294" i="14"/>
  <c r="S294" i="14" s="1"/>
  <c r="G305" i="14"/>
  <c r="S305" i="14" s="1"/>
  <c r="G314" i="14"/>
  <c r="S314" i="14" s="1"/>
  <c r="G321" i="14"/>
  <c r="S321" i="14" s="1"/>
  <c r="G329" i="14"/>
  <c r="S329" i="14" s="1"/>
  <c r="G335" i="14"/>
  <c r="S335" i="14" s="1"/>
  <c r="G342" i="14"/>
  <c r="S342" i="14" s="1"/>
  <c r="G350" i="14"/>
  <c r="S350" i="14" s="1"/>
  <c r="G355" i="14"/>
  <c r="S355" i="14" s="1"/>
  <c r="G360" i="14"/>
  <c r="S360" i="14" s="1"/>
  <c r="G366" i="14"/>
  <c r="S366" i="14" s="1"/>
  <c r="G371" i="14"/>
  <c r="S371" i="14" s="1"/>
  <c r="G376" i="14"/>
  <c r="S376" i="14" s="1"/>
  <c r="G382" i="14"/>
  <c r="S382" i="14" s="1"/>
  <c r="G387" i="14"/>
  <c r="S387" i="14" s="1"/>
  <c r="G392" i="14"/>
  <c r="S392" i="14" s="1"/>
  <c r="G398" i="14"/>
  <c r="S398" i="14" s="1"/>
  <c r="G403" i="14"/>
  <c r="S403" i="14" s="1"/>
  <c r="G408" i="14"/>
  <c r="S408" i="14" s="1"/>
  <c r="G414" i="14"/>
  <c r="S414" i="14" s="1"/>
  <c r="G419" i="14"/>
  <c r="S419" i="14" s="1"/>
  <c r="G424" i="14"/>
  <c r="S424" i="14" s="1"/>
  <c r="G430" i="14"/>
  <c r="S430" i="14" s="1"/>
  <c r="G435" i="14"/>
  <c r="S435" i="14" s="1"/>
  <c r="G440" i="14"/>
  <c r="S440" i="14" s="1"/>
  <c r="G446" i="14"/>
  <c r="S446" i="14" s="1"/>
  <c r="G451" i="14"/>
  <c r="S451" i="14" s="1"/>
  <c r="G456" i="14"/>
  <c r="S456" i="14" s="1"/>
  <c r="G460" i="14"/>
  <c r="S460" i="14" s="1"/>
  <c r="G464" i="14"/>
  <c r="S464" i="14" s="1"/>
  <c r="G468" i="14"/>
  <c r="S468" i="14" s="1"/>
  <c r="G472" i="14"/>
  <c r="S472" i="14" s="1"/>
  <c r="G476" i="14"/>
  <c r="S476" i="14" s="1"/>
  <c r="G480" i="14"/>
  <c r="S480" i="14" s="1"/>
  <c r="G484" i="14"/>
  <c r="S484" i="14" s="1"/>
  <c r="G488" i="14"/>
  <c r="S488" i="14" s="1"/>
  <c r="G492" i="14"/>
  <c r="S492" i="14" s="1"/>
  <c r="G496" i="14"/>
  <c r="S496" i="14" s="1"/>
  <c r="G500" i="14"/>
  <c r="S500" i="14" s="1"/>
  <c r="G504" i="14"/>
  <c r="S504" i="14" s="1"/>
  <c r="G508" i="14"/>
  <c r="S508" i="14" s="1"/>
  <c r="G26" i="14"/>
  <c r="S26" i="14" s="1"/>
  <c r="G58" i="14"/>
  <c r="S58" i="14" s="1"/>
  <c r="G89" i="14"/>
  <c r="S89" i="14" s="1"/>
  <c r="G110" i="14"/>
  <c r="S110" i="14" s="1"/>
  <c r="G131" i="14"/>
  <c r="S131" i="14" s="1"/>
  <c r="G147" i="14"/>
  <c r="S147" i="14" s="1"/>
  <c r="G158" i="14"/>
  <c r="S158" i="14" s="1"/>
  <c r="G169" i="14"/>
  <c r="S169" i="14" s="1"/>
  <c r="G179" i="14"/>
  <c r="S179" i="14" s="1"/>
  <c r="G190" i="14"/>
  <c r="S190" i="14" s="1"/>
  <c r="G201" i="14"/>
  <c r="S201" i="14" s="1"/>
  <c r="G211" i="14"/>
  <c r="S211" i="14" s="1"/>
  <c r="G222" i="14"/>
  <c r="S222" i="14" s="1"/>
  <c r="G233" i="14"/>
  <c r="S233" i="14" s="1"/>
  <c r="G243" i="14"/>
  <c r="S243" i="14" s="1"/>
  <c r="G254" i="14"/>
  <c r="S254" i="14" s="1"/>
  <c r="G265" i="14"/>
  <c r="S265" i="14" s="1"/>
  <c r="G275" i="14"/>
  <c r="S275" i="14" s="1"/>
  <c r="G286" i="14"/>
  <c r="S286" i="14" s="1"/>
  <c r="G297" i="14"/>
  <c r="S297" i="14" s="1"/>
  <c r="G307" i="14"/>
  <c r="S307" i="14" s="1"/>
  <c r="G315" i="14"/>
  <c r="S315" i="14" s="1"/>
  <c r="G323" i="14"/>
  <c r="S323" i="14" s="1"/>
  <c r="G330" i="14"/>
  <c r="S330" i="14" s="1"/>
  <c r="G337" i="14"/>
  <c r="S337" i="14" s="1"/>
  <c r="G345" i="14"/>
  <c r="S345" i="14" s="1"/>
  <c r="G351" i="14"/>
  <c r="S351" i="14" s="1"/>
  <c r="G356" i="14"/>
  <c r="S356" i="14" s="1"/>
  <c r="G362" i="14"/>
  <c r="S362" i="14" s="1"/>
  <c r="G367" i="14"/>
  <c r="S367" i="14" s="1"/>
  <c r="G372" i="14"/>
  <c r="S372" i="14" s="1"/>
  <c r="G378" i="14"/>
  <c r="S378" i="14" s="1"/>
  <c r="G383" i="14"/>
  <c r="S383" i="14" s="1"/>
  <c r="G388" i="14"/>
  <c r="S388" i="14" s="1"/>
  <c r="G394" i="14"/>
  <c r="S394" i="14" s="1"/>
  <c r="G399" i="14"/>
  <c r="S399" i="14" s="1"/>
  <c r="G404" i="14"/>
  <c r="S404" i="14" s="1"/>
  <c r="G410" i="14"/>
  <c r="S410" i="14" s="1"/>
  <c r="G415" i="14"/>
  <c r="S415" i="14" s="1"/>
  <c r="G420" i="14"/>
  <c r="S420" i="14" s="1"/>
  <c r="G426" i="14"/>
  <c r="S426" i="14" s="1"/>
  <c r="G431" i="14"/>
  <c r="S431" i="14" s="1"/>
  <c r="G436" i="14"/>
  <c r="S436" i="14" s="1"/>
  <c r="G442" i="14"/>
  <c r="S442" i="14" s="1"/>
  <c r="G447" i="14"/>
  <c r="S447" i="14" s="1"/>
  <c r="G452" i="14"/>
  <c r="S452" i="14" s="1"/>
  <c r="G457" i="14"/>
  <c r="S457" i="14" s="1"/>
  <c r="G461" i="14"/>
  <c r="S461" i="14" s="1"/>
  <c r="G465" i="14"/>
  <c r="S465" i="14" s="1"/>
  <c r="G469" i="14"/>
  <c r="S469" i="14" s="1"/>
  <c r="G473" i="14"/>
  <c r="S473" i="14" s="1"/>
  <c r="G477" i="14"/>
  <c r="S477" i="14" s="1"/>
  <c r="G481" i="14"/>
  <c r="S481" i="14" s="1"/>
  <c r="G485" i="14"/>
  <c r="S485" i="14" s="1"/>
  <c r="G489" i="14"/>
  <c r="S489" i="14" s="1"/>
  <c r="G493" i="14"/>
  <c r="S493" i="14" s="1"/>
  <c r="G497" i="14"/>
  <c r="S497" i="14" s="1"/>
  <c r="G501" i="14"/>
  <c r="S501" i="14" s="1"/>
  <c r="G505" i="14"/>
  <c r="S505" i="14" s="1"/>
  <c r="G509" i="14"/>
  <c r="S509" i="14" s="1"/>
  <c r="G34" i="14"/>
  <c r="S34" i="14" s="1"/>
  <c r="G66" i="14"/>
  <c r="S66" i="14" s="1"/>
  <c r="G94" i="14"/>
  <c r="S94" i="14" s="1"/>
  <c r="G115" i="14"/>
  <c r="S115" i="14" s="1"/>
  <c r="G137" i="14"/>
  <c r="S137" i="14" s="1"/>
  <c r="G150" i="14"/>
  <c r="S150" i="14" s="1"/>
  <c r="G161" i="14"/>
  <c r="S161" i="14" s="1"/>
  <c r="G171" i="14"/>
  <c r="S171" i="14" s="1"/>
  <c r="G182" i="14"/>
  <c r="S182" i="14" s="1"/>
  <c r="G193" i="14"/>
  <c r="S193" i="14" s="1"/>
  <c r="G203" i="14"/>
  <c r="S203" i="14" s="1"/>
  <c r="G214" i="14"/>
  <c r="S214" i="14" s="1"/>
  <c r="G225" i="14"/>
  <c r="S225" i="14" s="1"/>
  <c r="G235" i="14"/>
  <c r="S235" i="14" s="1"/>
  <c r="G246" i="14"/>
  <c r="S246" i="14" s="1"/>
  <c r="G257" i="14"/>
  <c r="S257" i="14" s="1"/>
  <c r="G267" i="14"/>
  <c r="S267" i="14" s="1"/>
  <c r="G278" i="14"/>
  <c r="S278" i="14" s="1"/>
  <c r="G289" i="14"/>
  <c r="S289" i="14" s="1"/>
  <c r="G299" i="14"/>
  <c r="S299" i="14" s="1"/>
  <c r="G310" i="14"/>
  <c r="S310" i="14" s="1"/>
  <c r="G318" i="14"/>
  <c r="S318" i="14" s="1"/>
  <c r="G325" i="14"/>
  <c r="S325" i="14" s="1"/>
  <c r="G331" i="14"/>
  <c r="S331" i="14" s="1"/>
  <c r="G339" i="14"/>
  <c r="S339" i="14" s="1"/>
  <c r="G346" i="14"/>
  <c r="S346" i="14" s="1"/>
  <c r="G352" i="14"/>
  <c r="S352" i="14" s="1"/>
  <c r="G358" i="14"/>
  <c r="S358" i="14" s="1"/>
  <c r="G363" i="14"/>
  <c r="S363" i="14" s="1"/>
  <c r="G368" i="14"/>
  <c r="S368" i="14" s="1"/>
  <c r="G374" i="14"/>
  <c r="S374" i="14" s="1"/>
  <c r="G379" i="14"/>
  <c r="S379" i="14" s="1"/>
  <c r="G384" i="14"/>
  <c r="S384" i="14" s="1"/>
  <c r="G390" i="14"/>
  <c r="S390" i="14" s="1"/>
  <c r="G395" i="14"/>
  <c r="S395" i="14" s="1"/>
  <c r="G400" i="14"/>
  <c r="S400" i="14" s="1"/>
  <c r="G406" i="14"/>
  <c r="S406" i="14" s="1"/>
  <c r="G411" i="14"/>
  <c r="S411" i="14" s="1"/>
  <c r="G416" i="14"/>
  <c r="S416" i="14" s="1"/>
  <c r="G422" i="14"/>
  <c r="S422" i="14" s="1"/>
  <c r="G427" i="14"/>
  <c r="S427" i="14" s="1"/>
  <c r="G432" i="14"/>
  <c r="S432" i="14" s="1"/>
  <c r="G438" i="14"/>
  <c r="S438" i="14" s="1"/>
  <c r="G443" i="14"/>
  <c r="S443" i="14" s="1"/>
  <c r="G448" i="14"/>
  <c r="S448" i="14" s="1"/>
  <c r="G454" i="14"/>
  <c r="S454" i="14" s="1"/>
  <c r="G458" i="14"/>
  <c r="S458" i="14" s="1"/>
  <c r="G462" i="14"/>
  <c r="S462" i="14" s="1"/>
  <c r="G466" i="14"/>
  <c r="S466" i="14" s="1"/>
  <c r="G470" i="14"/>
  <c r="S470" i="14" s="1"/>
  <c r="G474" i="14"/>
  <c r="S474" i="14" s="1"/>
  <c r="G478" i="14"/>
  <c r="S478" i="14" s="1"/>
  <c r="G482" i="14"/>
  <c r="S482" i="14" s="1"/>
  <c r="G486" i="14"/>
  <c r="S486" i="14" s="1"/>
  <c r="G490" i="14"/>
  <c r="S490" i="14" s="1"/>
  <c r="G494" i="14"/>
  <c r="S494" i="14" s="1"/>
  <c r="G498" i="14"/>
  <c r="S498" i="14" s="1"/>
  <c r="G502" i="14"/>
  <c r="S502" i="14" s="1"/>
  <c r="G506" i="14"/>
  <c r="S506" i="14" s="1"/>
  <c r="G510" i="14"/>
  <c r="S510" i="14" s="1"/>
  <c r="G42" i="14"/>
  <c r="S42" i="14" s="1"/>
  <c r="G142" i="14"/>
  <c r="S142" i="14" s="1"/>
  <c r="G185" i="14"/>
  <c r="S185" i="14" s="1"/>
  <c r="G227" i="14"/>
  <c r="S227" i="14" s="1"/>
  <c r="G270" i="14"/>
  <c r="S270" i="14" s="1"/>
  <c r="G313" i="14"/>
  <c r="S313" i="14" s="1"/>
  <c r="G341" i="14"/>
  <c r="S341" i="14" s="1"/>
  <c r="G364" i="14"/>
  <c r="S364" i="14" s="1"/>
  <c r="G386" i="14"/>
  <c r="S386" i="14" s="1"/>
  <c r="G407" i="14"/>
  <c r="S407" i="14" s="1"/>
  <c r="G428" i="14"/>
  <c r="S428" i="14" s="1"/>
  <c r="G450" i="14"/>
  <c r="S450" i="14" s="1"/>
  <c r="G467" i="14"/>
  <c r="S467" i="14" s="1"/>
  <c r="G483" i="14"/>
  <c r="S483" i="14" s="1"/>
  <c r="G499" i="14"/>
  <c r="S499" i="14" s="1"/>
  <c r="G74" i="14"/>
  <c r="S74" i="14" s="1"/>
  <c r="G153" i="14"/>
  <c r="S153" i="14" s="1"/>
  <c r="G195" i="14"/>
  <c r="S195" i="14" s="1"/>
  <c r="G238" i="14"/>
  <c r="S238" i="14" s="1"/>
  <c r="G281" i="14"/>
  <c r="S281" i="14" s="1"/>
  <c r="G319" i="14"/>
  <c r="S319" i="14" s="1"/>
  <c r="G347" i="14"/>
  <c r="S347" i="14" s="1"/>
  <c r="G370" i="14"/>
  <c r="S370" i="14" s="1"/>
  <c r="G391" i="14"/>
  <c r="S391" i="14" s="1"/>
  <c r="G412" i="14"/>
  <c r="S412" i="14" s="1"/>
  <c r="G434" i="14"/>
  <c r="S434" i="14" s="1"/>
  <c r="G455" i="14"/>
  <c r="S455" i="14" s="1"/>
  <c r="G471" i="14"/>
  <c r="S471" i="14" s="1"/>
  <c r="G487" i="14"/>
  <c r="S487" i="14" s="1"/>
  <c r="G503" i="14"/>
  <c r="S503" i="14" s="1"/>
  <c r="G99" i="14"/>
  <c r="S99" i="14" s="1"/>
  <c r="G163" i="14"/>
  <c r="S163" i="14" s="1"/>
  <c r="G206" i="14"/>
  <c r="S206" i="14" s="1"/>
  <c r="G249" i="14"/>
  <c r="S249" i="14" s="1"/>
  <c r="G291" i="14"/>
  <c r="S291" i="14" s="1"/>
  <c r="G326" i="14"/>
  <c r="S326" i="14" s="1"/>
  <c r="G354" i="14"/>
  <c r="S354" i="14" s="1"/>
  <c r="G375" i="14"/>
  <c r="S375" i="14" s="1"/>
  <c r="G396" i="14"/>
  <c r="S396" i="14" s="1"/>
  <c r="G418" i="14"/>
  <c r="S418" i="14" s="1"/>
  <c r="G439" i="14"/>
  <c r="S439" i="14" s="1"/>
  <c r="G459" i="14"/>
  <c r="S459" i="14" s="1"/>
  <c r="G475" i="14"/>
  <c r="S475" i="14" s="1"/>
  <c r="G491" i="14"/>
  <c r="S491" i="14" s="1"/>
  <c r="G507" i="14"/>
  <c r="S507" i="14" s="1"/>
  <c r="G121" i="14"/>
  <c r="S121" i="14" s="1"/>
  <c r="G302" i="14"/>
  <c r="S302" i="14" s="1"/>
  <c r="G402" i="14"/>
  <c r="S402" i="14" s="1"/>
  <c r="G479" i="14"/>
  <c r="S479" i="14" s="1"/>
  <c r="G174" i="14"/>
  <c r="S174" i="14" s="1"/>
  <c r="G334" i="14"/>
  <c r="S334" i="14" s="1"/>
  <c r="G423" i="14"/>
  <c r="S423" i="14" s="1"/>
  <c r="G495" i="14"/>
  <c r="S495" i="14" s="1"/>
  <c r="G217" i="14"/>
  <c r="S217" i="14" s="1"/>
  <c r="G359" i="14"/>
  <c r="S359" i="14" s="1"/>
  <c r="G444" i="14"/>
  <c r="S444" i="14" s="1"/>
  <c r="G259" i="14"/>
  <c r="S259" i="14" s="1"/>
  <c r="G380" i="14"/>
  <c r="S380" i="14" s="1"/>
  <c r="G463" i="14"/>
  <c r="S463" i="14" s="1"/>
  <c r="H7" i="12"/>
  <c r="I7" i="12"/>
  <c r="G8" i="12"/>
  <c r="F7" i="12"/>
  <c r="G7" i="5"/>
  <c r="I7" i="5"/>
  <c r="F7" i="5"/>
  <c r="H7" i="5"/>
  <c r="L419" i="61"/>
  <c r="M419" i="61" s="1"/>
  <c r="N419" i="61" s="1"/>
  <c r="L86" i="61"/>
  <c r="M86" i="61" s="1"/>
  <c r="O86" i="61" s="1"/>
  <c r="L315" i="61"/>
  <c r="M315" i="61" s="1"/>
  <c r="O315" i="61" s="1"/>
  <c r="L286" i="61"/>
  <c r="M286" i="61" s="1"/>
  <c r="O286" i="61" s="1"/>
  <c r="L48" i="61"/>
  <c r="M48" i="61" s="1"/>
  <c r="O48" i="61" s="1"/>
  <c r="L264" i="61"/>
  <c r="M264" i="61" s="1"/>
  <c r="N264" i="61" s="1"/>
  <c r="L44" i="61"/>
  <c r="M44" i="61" s="1"/>
  <c r="O44" i="61" s="1"/>
  <c r="L173" i="61"/>
  <c r="M173" i="61" s="1"/>
  <c r="O173" i="61" s="1"/>
  <c r="L341" i="61"/>
  <c r="M341" i="61" s="1"/>
  <c r="O341" i="61" s="1"/>
  <c r="L338" i="61"/>
  <c r="M338" i="61" s="1"/>
  <c r="O338" i="61" s="1"/>
  <c r="L40" i="61"/>
  <c r="M40" i="61" s="1"/>
  <c r="O40" i="61" s="1"/>
  <c r="L498" i="61"/>
  <c r="M498" i="61" s="1"/>
  <c r="O498" i="61" s="1"/>
  <c r="L428" i="61"/>
  <c r="M428" i="61" s="1"/>
  <c r="O428" i="61" s="1"/>
  <c r="L439" i="61"/>
  <c r="M439" i="61" s="1"/>
  <c r="O439" i="61" s="1"/>
  <c r="L111" i="61"/>
  <c r="M111" i="61" s="1"/>
  <c r="O111" i="61" s="1"/>
  <c r="L149" i="61"/>
  <c r="M149" i="61" s="1"/>
  <c r="O149" i="61" s="1"/>
  <c r="L358" i="61"/>
  <c r="M358" i="61" s="1"/>
  <c r="O358" i="61" s="1"/>
  <c r="L205" i="61"/>
  <c r="M205" i="61" s="1"/>
  <c r="O205" i="61" s="1"/>
  <c r="L258" i="61"/>
  <c r="M258" i="61" s="1"/>
  <c r="O258" i="61" s="1"/>
  <c r="L129" i="61"/>
  <c r="M129" i="61" s="1"/>
  <c r="O129" i="61" s="1"/>
  <c r="L227" i="61"/>
  <c r="M227" i="61" s="1"/>
  <c r="O227" i="61" s="1"/>
  <c r="L16" i="61"/>
  <c r="M16" i="61" s="1"/>
  <c r="O16" i="61" s="1"/>
  <c r="L144" i="61"/>
  <c r="M144" i="61" s="1"/>
  <c r="O144" i="61" s="1"/>
  <c r="L272" i="61"/>
  <c r="M272" i="61" s="1"/>
  <c r="O272" i="61" s="1"/>
  <c r="L474" i="61"/>
  <c r="M474" i="61" s="1"/>
  <c r="O474" i="61" s="1"/>
  <c r="L278" i="61"/>
  <c r="M278" i="61" s="1"/>
  <c r="O278" i="61" s="1"/>
  <c r="L404" i="61"/>
  <c r="M404" i="61" s="1"/>
  <c r="O404" i="61" s="1"/>
  <c r="L363" i="61"/>
  <c r="M363" i="61" s="1"/>
  <c r="O363" i="61" s="1"/>
  <c r="L215" i="61"/>
  <c r="M215" i="61" s="1"/>
  <c r="O215" i="61" s="1"/>
  <c r="L446" i="61"/>
  <c r="M446" i="61" s="1"/>
  <c r="O446" i="61" s="1"/>
  <c r="L308" i="61"/>
  <c r="M308" i="61" s="1"/>
  <c r="O308" i="61" s="1"/>
  <c r="L52" i="61"/>
  <c r="M52" i="61" s="1"/>
  <c r="O52" i="61" s="1"/>
  <c r="L135" i="61"/>
  <c r="M135" i="61" s="1"/>
  <c r="N135" i="61" s="1"/>
  <c r="L17" i="61"/>
  <c r="M17" i="61" s="1"/>
  <c r="O17" i="61" s="1"/>
  <c r="L109" i="61"/>
  <c r="M109" i="61" s="1"/>
  <c r="O109" i="61" s="1"/>
  <c r="L66" i="61"/>
  <c r="M66" i="61" s="1"/>
  <c r="O66" i="61" s="1"/>
  <c r="L194" i="61"/>
  <c r="M194" i="61" s="1"/>
  <c r="O194" i="61" s="1"/>
  <c r="L287" i="61"/>
  <c r="M287" i="61" s="1"/>
  <c r="O287" i="61" s="1"/>
  <c r="L140" i="61"/>
  <c r="M140" i="61" s="1"/>
  <c r="O140" i="61" s="1"/>
  <c r="L369" i="61"/>
  <c r="M369" i="61" s="1"/>
  <c r="O369" i="61" s="1"/>
  <c r="L433" i="61"/>
  <c r="M433" i="61" s="1"/>
  <c r="O433" i="61" s="1"/>
  <c r="L497" i="61"/>
  <c r="M497" i="61" s="1"/>
  <c r="O497" i="61" s="1"/>
  <c r="L230" i="61"/>
  <c r="M230" i="61" s="1"/>
  <c r="O230" i="61" s="1"/>
  <c r="L342" i="61"/>
  <c r="M342" i="61" s="1"/>
  <c r="O342" i="61" s="1"/>
  <c r="L383" i="61"/>
  <c r="M383" i="61" s="1"/>
  <c r="N383" i="61" s="1"/>
  <c r="L447" i="61"/>
  <c r="M447" i="61" s="1"/>
  <c r="O447" i="61" s="1"/>
  <c r="L484" i="61"/>
  <c r="M484" i="61" s="1"/>
  <c r="O484" i="61" s="1"/>
  <c r="L118" i="61"/>
  <c r="M118" i="61" s="1"/>
  <c r="O118" i="61" s="1"/>
  <c r="L182" i="61"/>
  <c r="M182" i="61" s="1"/>
  <c r="O182" i="61" s="1"/>
  <c r="L19" i="61"/>
  <c r="M19" i="61" s="1"/>
  <c r="O19" i="61" s="1"/>
  <c r="L83" i="61"/>
  <c r="M83" i="61" s="1"/>
  <c r="O83" i="61" s="1"/>
  <c r="L211" i="61"/>
  <c r="M211" i="61" s="1"/>
  <c r="O211" i="61" s="1"/>
  <c r="L128" i="61"/>
  <c r="M128" i="61" s="1"/>
  <c r="O128" i="61" s="1"/>
  <c r="L256" i="61"/>
  <c r="M256" i="61" s="1"/>
  <c r="O256" i="61" s="1"/>
  <c r="L37" i="61"/>
  <c r="M37" i="61" s="1"/>
  <c r="O37" i="61" s="1"/>
  <c r="L261" i="61"/>
  <c r="M261" i="61" s="1"/>
  <c r="O261" i="61" s="1"/>
  <c r="L485" i="61"/>
  <c r="M485" i="61" s="1"/>
  <c r="O485" i="61" s="1"/>
  <c r="L185" i="61"/>
  <c r="M185" i="61" s="1"/>
  <c r="O185" i="61" s="1"/>
  <c r="L458" i="61"/>
  <c r="M458" i="61" s="1"/>
  <c r="O458" i="61" s="1"/>
  <c r="L344" i="61"/>
  <c r="M344" i="61" s="1"/>
  <c r="O344" i="61" s="1"/>
  <c r="L468" i="61"/>
  <c r="M468" i="61" s="1"/>
  <c r="O468" i="61" s="1"/>
  <c r="L251" i="61"/>
  <c r="M251" i="61" s="1"/>
  <c r="O251" i="61" s="1"/>
  <c r="L265" i="61"/>
  <c r="L303" i="61"/>
  <c r="M303" i="61" s="1"/>
  <c r="O303" i="61" s="1"/>
  <c r="L156" i="61"/>
  <c r="M156" i="61" s="1"/>
  <c r="O156" i="61" s="1"/>
  <c r="L449" i="61"/>
  <c r="M449" i="61" s="1"/>
  <c r="O449" i="61" s="1"/>
  <c r="L134" i="61"/>
  <c r="M134" i="61" s="1"/>
  <c r="O134" i="61" s="1"/>
  <c r="L35" i="61"/>
  <c r="M35" i="61" s="1"/>
  <c r="O35" i="61" s="1"/>
  <c r="L293" i="61"/>
  <c r="M293" i="61" s="1"/>
  <c r="N293" i="61" s="1"/>
  <c r="L437" i="61"/>
  <c r="M437" i="61" s="1"/>
  <c r="O437" i="61" s="1"/>
  <c r="L451" i="61"/>
  <c r="M451" i="61" s="1"/>
  <c r="O451" i="61" s="1"/>
  <c r="L97" i="61"/>
  <c r="M97" i="61" s="1"/>
  <c r="O97" i="61" s="1"/>
  <c r="L472" i="61"/>
  <c r="M472" i="61" s="1"/>
  <c r="O472" i="61" s="1"/>
  <c r="L352" i="61"/>
  <c r="M352" i="61" s="1"/>
  <c r="O352" i="61" s="1"/>
  <c r="L311" i="61"/>
  <c r="M311" i="61" s="1"/>
  <c r="O311" i="61" s="1"/>
  <c r="L248" i="61"/>
  <c r="M248" i="61" s="1"/>
  <c r="O248" i="61" s="1"/>
  <c r="L331" i="61"/>
  <c r="M331" i="61" s="1"/>
  <c r="O331" i="61" s="1"/>
  <c r="L46" i="61"/>
  <c r="M46" i="61" s="1"/>
  <c r="O46" i="61" s="1"/>
  <c r="L360" i="61"/>
  <c r="M360" i="61" s="1"/>
  <c r="O360" i="61" s="1"/>
  <c r="L423" i="61"/>
  <c r="M423" i="61" s="1"/>
  <c r="O423" i="61" s="1"/>
  <c r="L473" i="61"/>
  <c r="M473" i="61" s="1"/>
  <c r="N473" i="61" s="1"/>
  <c r="L201" i="61"/>
  <c r="M201" i="61" s="1"/>
  <c r="O201" i="61" s="1"/>
  <c r="L130" i="61"/>
  <c r="M130" i="61" s="1"/>
  <c r="O130" i="61" s="1"/>
  <c r="L31" i="61"/>
  <c r="M31" i="61" s="1"/>
  <c r="O31" i="61" s="1"/>
  <c r="L95" i="61"/>
  <c r="M95" i="61" s="1"/>
  <c r="O95" i="61" s="1"/>
  <c r="L223" i="61"/>
  <c r="M223" i="61" s="1"/>
  <c r="O223" i="61" s="1"/>
  <c r="L12" i="61"/>
  <c r="M12" i="61" s="1"/>
  <c r="O12" i="61" s="1"/>
  <c r="L204" i="61"/>
  <c r="M204" i="61" s="1"/>
  <c r="O204" i="61" s="1"/>
  <c r="L268" i="61"/>
  <c r="M268" i="61" s="1"/>
  <c r="O268" i="61" s="1"/>
  <c r="L85" i="61"/>
  <c r="M85" i="61" s="1"/>
  <c r="O85" i="61" s="1"/>
  <c r="L285" i="61"/>
  <c r="M285" i="61" s="1"/>
  <c r="O285" i="61" s="1"/>
  <c r="L470" i="61"/>
  <c r="M470" i="61" s="1"/>
  <c r="O470" i="61" s="1"/>
  <c r="L141" i="61"/>
  <c r="M141" i="61" s="1"/>
  <c r="O141" i="61" s="1"/>
  <c r="L312" i="61"/>
  <c r="M312" i="61" s="1"/>
  <c r="O312" i="61" s="1"/>
  <c r="L33" i="61"/>
  <c r="M33" i="61" s="1"/>
  <c r="O33" i="61" s="1"/>
  <c r="L456" i="61"/>
  <c r="M456" i="61" s="1"/>
  <c r="O456" i="61" s="1"/>
  <c r="L444" i="61"/>
  <c r="M444" i="61" s="1"/>
  <c r="O444" i="61" s="1"/>
  <c r="L54" i="61"/>
  <c r="M54" i="61" s="1"/>
  <c r="O54" i="61" s="1"/>
  <c r="L275" i="61"/>
  <c r="M275" i="61" s="1"/>
  <c r="O275" i="61" s="1"/>
  <c r="L64" i="61"/>
  <c r="M64" i="61" s="1"/>
  <c r="O64" i="61" s="1"/>
  <c r="L192" i="61"/>
  <c r="M192" i="61" s="1"/>
  <c r="O192" i="61" s="1"/>
  <c r="L357" i="61"/>
  <c r="M357" i="61" s="1"/>
  <c r="O357" i="61" s="1"/>
  <c r="L394" i="61"/>
  <c r="M394" i="61" s="1"/>
  <c r="O394" i="61" s="1"/>
  <c r="L93" i="61"/>
  <c r="M93" i="61" s="1"/>
  <c r="O93" i="61" s="1"/>
  <c r="L371" i="61"/>
  <c r="M371" i="61" s="1"/>
  <c r="O371" i="61" s="1"/>
  <c r="L435" i="61"/>
  <c r="M435" i="61" s="1"/>
  <c r="O435" i="61" s="1"/>
  <c r="L499" i="61"/>
  <c r="M499" i="61" s="1"/>
  <c r="O499" i="61" s="1"/>
  <c r="L36" i="61"/>
  <c r="M36" i="61" s="1"/>
  <c r="O36" i="61" s="1"/>
  <c r="L113" i="61"/>
  <c r="M113" i="61" s="1"/>
  <c r="O113" i="61" s="1"/>
  <c r="L282" i="61"/>
  <c r="M282" i="61" s="1"/>
  <c r="O282" i="61" s="1"/>
  <c r="L395" i="61"/>
  <c r="M395" i="61" s="1"/>
  <c r="O395" i="61" s="1"/>
  <c r="L418" i="61"/>
  <c r="M418" i="61" s="1"/>
  <c r="O418" i="61" s="1"/>
  <c r="L309" i="61"/>
  <c r="M309" i="61" s="1"/>
  <c r="O309" i="61" s="1"/>
  <c r="L280" i="61"/>
  <c r="M280" i="61" s="1"/>
  <c r="O280" i="61" s="1"/>
  <c r="L152" i="61"/>
  <c r="M152" i="61" s="1"/>
  <c r="O152" i="61" s="1"/>
  <c r="L24" i="61"/>
  <c r="M24" i="61" s="1"/>
  <c r="O24" i="61" s="1"/>
  <c r="L455" i="61"/>
  <c r="M455" i="61" s="1"/>
  <c r="O455" i="61" s="1"/>
  <c r="L478" i="61"/>
  <c r="M478" i="61" s="1"/>
  <c r="O478" i="61" s="1"/>
  <c r="L9" i="61"/>
  <c r="M9" i="61" s="1"/>
  <c r="O9" i="61" s="1"/>
  <c r="L295" i="61"/>
  <c r="M295" i="61" s="1"/>
  <c r="O295" i="61" s="1"/>
  <c r="L10" i="61"/>
  <c r="M10" i="61" s="1"/>
  <c r="O10" i="61" s="1"/>
  <c r="L89" i="61"/>
  <c r="M89" i="61" s="1"/>
  <c r="O89" i="61" s="1"/>
  <c r="L30" i="61"/>
  <c r="M30" i="61" s="1"/>
  <c r="O30" i="61" s="1"/>
  <c r="L407" i="61"/>
  <c r="M407" i="61" s="1"/>
  <c r="O407" i="61" s="1"/>
  <c r="L274" i="61"/>
  <c r="M274" i="61" s="1"/>
  <c r="O274" i="61" s="1"/>
  <c r="L409" i="61"/>
  <c r="M409" i="61" s="1"/>
  <c r="O409" i="61" s="1"/>
  <c r="L319" i="61"/>
  <c r="M319" i="61" s="1"/>
  <c r="O319" i="61" s="1"/>
  <c r="L88" i="61"/>
  <c r="M88" i="61" s="1"/>
  <c r="O88" i="61" s="1"/>
  <c r="L187" i="61"/>
  <c r="M187" i="61" s="1"/>
  <c r="O187" i="61" s="1"/>
  <c r="L102" i="61"/>
  <c r="M102" i="61" s="1"/>
  <c r="O102" i="61" s="1"/>
  <c r="L277" i="61"/>
  <c r="M277" i="61" s="1"/>
  <c r="O277" i="61" s="1"/>
  <c r="L197" i="61"/>
  <c r="M197" i="61" s="1"/>
  <c r="O197" i="61" s="1"/>
  <c r="L434" i="61"/>
  <c r="M434" i="61" s="1"/>
  <c r="O434" i="61" s="1"/>
  <c r="L219" i="61"/>
  <c r="M219" i="61" s="1"/>
  <c r="O219" i="61" s="1"/>
  <c r="L296" i="61"/>
  <c r="M296" i="61" s="1"/>
  <c r="O296" i="61" s="1"/>
  <c r="L91" i="61"/>
  <c r="M91" i="61" s="1"/>
  <c r="O91" i="61" s="1"/>
  <c r="L345" i="61"/>
  <c r="M345" i="61" s="1"/>
  <c r="O345" i="61" s="1"/>
  <c r="L424" i="61"/>
  <c r="M424" i="61" s="1"/>
  <c r="O424" i="61" s="1"/>
  <c r="L210" i="61"/>
  <c r="M210" i="61" s="1"/>
  <c r="O210" i="61" s="1"/>
  <c r="L92" i="61"/>
  <c r="M92" i="61" s="1"/>
  <c r="O92" i="61" s="1"/>
  <c r="L41" i="61"/>
  <c r="M41" i="61" s="1"/>
  <c r="O41" i="61" s="1"/>
  <c r="L333" i="61"/>
  <c r="M333" i="61" s="1"/>
  <c r="O333" i="61" s="1"/>
  <c r="L313" i="61"/>
  <c r="M313" i="61" s="1"/>
  <c r="O313" i="61" s="1"/>
  <c r="L99" i="61"/>
  <c r="M99" i="61" s="1"/>
  <c r="O99" i="61" s="1"/>
  <c r="L163" i="61"/>
  <c r="M163" i="61" s="1"/>
  <c r="O163" i="61" s="1"/>
  <c r="L291" i="61"/>
  <c r="M291" i="61" s="1"/>
  <c r="O291" i="61" s="1"/>
  <c r="L208" i="61"/>
  <c r="M208" i="61" s="1"/>
  <c r="O208" i="61" s="1"/>
  <c r="L373" i="61"/>
  <c r="M373" i="61" s="1"/>
  <c r="O373" i="61" s="1"/>
  <c r="L501" i="61"/>
  <c r="M501" i="61" s="1"/>
  <c r="O501" i="61" s="1"/>
  <c r="L157" i="61"/>
  <c r="M157" i="61" s="1"/>
  <c r="O157" i="61" s="1"/>
  <c r="L387" i="61"/>
  <c r="M387" i="61" s="1"/>
  <c r="O387" i="61" s="1"/>
  <c r="L460" i="61"/>
  <c r="M460" i="61" s="1"/>
  <c r="O460" i="61" s="1"/>
  <c r="L297" i="61"/>
  <c r="M297" i="61" s="1"/>
  <c r="O297" i="61" s="1"/>
  <c r="L196" i="61"/>
  <c r="M196" i="61" s="1"/>
  <c r="O196" i="61" s="1"/>
  <c r="L364" i="61"/>
  <c r="M364" i="61" s="1"/>
  <c r="O364" i="61" s="1"/>
  <c r="L153" i="61"/>
  <c r="M153" i="61" s="1"/>
  <c r="O153" i="61" s="1"/>
  <c r="L203" i="61"/>
  <c r="M203" i="61" s="1"/>
  <c r="O203" i="61" s="1"/>
  <c r="L90" i="61"/>
  <c r="M90" i="61" s="1"/>
  <c r="O90" i="61" s="1"/>
  <c r="L416" i="61"/>
  <c r="M416" i="61" s="1"/>
  <c r="O416" i="61" s="1"/>
  <c r="L180" i="61"/>
  <c r="M180" i="61" s="1"/>
  <c r="O180" i="61" s="1"/>
  <c r="L7" i="61"/>
  <c r="M7" i="61" s="1"/>
  <c r="O7" i="61" s="1"/>
  <c r="L106" i="61"/>
  <c r="M106" i="61" s="1"/>
  <c r="O106" i="61" s="1"/>
  <c r="L480" i="61"/>
  <c r="M480" i="61" s="1"/>
  <c r="O480" i="61" s="1"/>
  <c r="L233" i="61"/>
  <c r="M233" i="61" s="1"/>
  <c r="O233" i="61" s="1"/>
  <c r="L79" i="61"/>
  <c r="M79" i="61" s="1"/>
  <c r="O79" i="61" s="1"/>
  <c r="L207" i="61"/>
  <c r="M207" i="61" s="1"/>
  <c r="O207" i="61" s="1"/>
  <c r="L60" i="61"/>
  <c r="M60" i="61" s="1"/>
  <c r="O60" i="61" s="1"/>
  <c r="L252" i="61"/>
  <c r="M252" i="61" s="1"/>
  <c r="O252" i="61" s="1"/>
  <c r="L21" i="61"/>
  <c r="M21" i="61" s="1"/>
  <c r="O21" i="61" s="1"/>
  <c r="L353" i="61"/>
  <c r="M353" i="61" s="1"/>
  <c r="O353" i="61" s="1"/>
  <c r="L417" i="61"/>
  <c r="M417" i="61" s="1"/>
  <c r="O417" i="61" s="1"/>
  <c r="L169" i="61"/>
  <c r="M169" i="61" s="1"/>
  <c r="O169" i="61" s="1"/>
  <c r="L321" i="61"/>
  <c r="M321" i="61" s="1"/>
  <c r="N321" i="61" s="1"/>
  <c r="L367" i="61"/>
  <c r="M367" i="61" s="1"/>
  <c r="O367" i="61" s="1"/>
  <c r="L431" i="61"/>
  <c r="M431" i="61" s="1"/>
  <c r="O431" i="61" s="1"/>
  <c r="L448" i="61"/>
  <c r="M448" i="61" s="1"/>
  <c r="O448" i="61" s="1"/>
  <c r="L38" i="61"/>
  <c r="M38" i="61" s="1"/>
  <c r="O38" i="61" s="1"/>
  <c r="L166" i="61"/>
  <c r="M166" i="61" s="1"/>
  <c r="O166" i="61" s="1"/>
  <c r="L112" i="61"/>
  <c r="M112" i="61" s="1"/>
  <c r="O112" i="61" s="1"/>
  <c r="L176" i="61"/>
  <c r="M176" i="61" s="1"/>
  <c r="O176" i="61" s="1"/>
  <c r="L240" i="61"/>
  <c r="M240" i="61" s="1"/>
  <c r="O240" i="61" s="1"/>
  <c r="L304" i="61"/>
  <c r="M304" i="61" s="1"/>
  <c r="O304" i="61" s="1"/>
  <c r="L405" i="61"/>
  <c r="M405" i="61" s="1"/>
  <c r="O405" i="61" s="1"/>
  <c r="L355" i="61"/>
  <c r="M355" i="61" s="1"/>
  <c r="O355" i="61" s="1"/>
  <c r="L400" i="61"/>
  <c r="M400" i="61" s="1"/>
  <c r="O400" i="61" s="1"/>
  <c r="L266" i="61"/>
  <c r="M266" i="61" s="1"/>
  <c r="O266" i="61" s="1"/>
  <c r="L53" i="61"/>
  <c r="M53" i="61" s="1"/>
  <c r="O53" i="61" s="1"/>
  <c r="L100" i="61"/>
  <c r="M100" i="61" s="1"/>
  <c r="O100" i="61" s="1"/>
  <c r="L186" i="61"/>
  <c r="M186" i="61" s="1"/>
  <c r="O186" i="61" s="1"/>
  <c r="L432" i="61"/>
  <c r="M432" i="61" s="1"/>
  <c r="O432" i="61" s="1"/>
  <c r="L427" i="61"/>
  <c r="M427" i="61" s="1"/>
  <c r="O427" i="61" s="1"/>
  <c r="L273" i="61"/>
  <c r="M273" i="61" s="1"/>
  <c r="O273" i="61" s="1"/>
  <c r="L316" i="61"/>
  <c r="M316" i="61" s="1"/>
  <c r="O316" i="61" s="1"/>
  <c r="L184" i="61"/>
  <c r="M184" i="61" s="1"/>
  <c r="O184" i="61" s="1"/>
  <c r="L56" i="61"/>
  <c r="M56" i="61" s="1"/>
  <c r="O56" i="61" s="1"/>
  <c r="L267" i="61"/>
  <c r="M267" i="61" s="1"/>
  <c r="O267" i="61" s="1"/>
  <c r="L139" i="61"/>
  <c r="M139" i="61" s="1"/>
  <c r="O139" i="61" s="1"/>
  <c r="L110" i="61"/>
  <c r="M110" i="61" s="1"/>
  <c r="O110" i="61" s="1"/>
  <c r="L292" i="61"/>
  <c r="M292" i="61" s="1"/>
  <c r="O292" i="61" s="1"/>
  <c r="L348" i="61"/>
  <c r="M348" i="61" s="1"/>
  <c r="O348" i="61" s="1"/>
  <c r="L359" i="61"/>
  <c r="M359" i="61" s="1"/>
  <c r="O359" i="61" s="1"/>
  <c r="L382" i="61"/>
  <c r="M382" i="61" s="1"/>
  <c r="O382" i="61" s="1"/>
  <c r="L413" i="61"/>
  <c r="M413" i="61" s="1"/>
  <c r="O413" i="61" s="1"/>
  <c r="L161" i="61"/>
  <c r="M161" i="61" s="1"/>
  <c r="O161" i="61" s="1"/>
  <c r="L212" i="61"/>
  <c r="M212" i="61" s="1"/>
  <c r="N212" i="61" s="1"/>
  <c r="L167" i="61"/>
  <c r="M167" i="61" s="1"/>
  <c r="O167" i="61" s="1"/>
  <c r="L289" i="61"/>
  <c r="M289" i="61" s="1"/>
  <c r="O289" i="61" s="1"/>
  <c r="L464" i="61"/>
  <c r="M464" i="61" s="1"/>
  <c r="O464" i="61" s="1"/>
  <c r="L436" i="61"/>
  <c r="M436" i="61" s="1"/>
  <c r="N436" i="61" s="1"/>
  <c r="L396" i="61"/>
  <c r="M396" i="61" s="1"/>
  <c r="O396" i="61" s="1"/>
  <c r="L343" i="61"/>
  <c r="M343" i="61" s="1"/>
  <c r="O343" i="61" s="1"/>
  <c r="L366" i="61"/>
  <c r="M366" i="61" s="1"/>
  <c r="O366" i="61" s="1"/>
  <c r="L393" i="61"/>
  <c r="M393" i="61" s="1"/>
  <c r="O393" i="61" s="1"/>
  <c r="L260" i="61"/>
  <c r="M260" i="61" s="1"/>
  <c r="O260" i="61" s="1"/>
  <c r="L119" i="61"/>
  <c r="M119" i="61" s="1"/>
  <c r="O119" i="61" s="1"/>
  <c r="L154" i="61"/>
  <c r="M154" i="61" s="1"/>
  <c r="O154" i="61" s="1"/>
  <c r="L189" i="61"/>
  <c r="M189" i="61" s="1"/>
  <c r="O189" i="61" s="1"/>
  <c r="L254" i="61"/>
  <c r="M254" i="61" s="1"/>
  <c r="O254" i="61" s="1"/>
  <c r="L445" i="61"/>
  <c r="M445" i="61" s="1"/>
  <c r="O445" i="61" s="1"/>
  <c r="L235" i="61"/>
  <c r="M235" i="61" s="1"/>
  <c r="O235" i="61" s="1"/>
  <c r="L107" i="61"/>
  <c r="M107" i="61" s="1"/>
  <c r="O107" i="61" s="1"/>
  <c r="L206" i="61"/>
  <c r="M206" i="61" s="1"/>
  <c r="O206" i="61" s="1"/>
  <c r="L78" i="61"/>
  <c r="M78" i="61" s="1"/>
  <c r="O78" i="61" s="1"/>
  <c r="L228" i="61"/>
  <c r="M228" i="61" s="1"/>
  <c r="O228" i="61" s="1"/>
  <c r="L279" i="61"/>
  <c r="M279" i="61" s="1"/>
  <c r="O279" i="61" s="1"/>
  <c r="L23" i="61"/>
  <c r="M23" i="61" s="1"/>
  <c r="O23" i="61" s="1"/>
  <c r="L39" i="61"/>
  <c r="M39" i="61" s="1"/>
  <c r="O39" i="61" s="1"/>
  <c r="L411" i="61"/>
  <c r="M411" i="61" s="1"/>
  <c r="O411" i="61" s="1"/>
  <c r="L402" i="61"/>
  <c r="M402" i="61" s="1"/>
  <c r="O402" i="61" s="1"/>
  <c r="L370" i="61"/>
  <c r="M370" i="61" s="1"/>
  <c r="O370" i="61" s="1"/>
  <c r="L59" i="61"/>
  <c r="M59" i="61" s="1"/>
  <c r="O59" i="61" s="1"/>
  <c r="L375" i="61"/>
  <c r="M375" i="61" s="1"/>
  <c r="O375" i="61" s="1"/>
  <c r="L398" i="61"/>
  <c r="M398" i="61" s="1"/>
  <c r="O398" i="61" s="1"/>
  <c r="L34" i="61"/>
  <c r="M34" i="61" s="1"/>
  <c r="O34" i="61" s="1"/>
  <c r="L98" i="61"/>
  <c r="M98" i="61" s="1"/>
  <c r="O98" i="61" s="1"/>
  <c r="L226" i="61"/>
  <c r="M226" i="61" s="1"/>
  <c r="O226" i="61" s="1"/>
  <c r="L63" i="61"/>
  <c r="M63" i="61" s="1"/>
  <c r="O63" i="61" s="1"/>
  <c r="L191" i="61"/>
  <c r="M191" i="61" s="1"/>
  <c r="O191" i="61" s="1"/>
  <c r="L255" i="61"/>
  <c r="M255" i="61" s="1"/>
  <c r="O255" i="61" s="1"/>
  <c r="L236" i="61"/>
  <c r="M236" i="61" s="1"/>
  <c r="O236" i="61" s="1"/>
  <c r="L465" i="61"/>
  <c r="M465" i="61" s="1"/>
  <c r="N465" i="61" s="1"/>
  <c r="L294" i="61"/>
  <c r="M294" i="61" s="1"/>
  <c r="O294" i="61" s="1"/>
  <c r="L438" i="61"/>
  <c r="M438" i="61" s="1"/>
  <c r="O438" i="61" s="1"/>
  <c r="L249" i="61"/>
  <c r="M249" i="61" s="1"/>
  <c r="O249" i="61" s="1"/>
  <c r="L415" i="61"/>
  <c r="M415" i="61" s="1"/>
  <c r="O415" i="61" s="1"/>
  <c r="L51" i="61"/>
  <c r="M51" i="61" s="1"/>
  <c r="O51" i="61" s="1"/>
  <c r="L179" i="61"/>
  <c r="M179" i="61" s="1"/>
  <c r="O179" i="61" s="1"/>
  <c r="L307" i="61"/>
  <c r="M307" i="61" s="1"/>
  <c r="O307" i="61" s="1"/>
  <c r="L165" i="61"/>
  <c r="M165" i="61" s="1"/>
  <c r="O165" i="61" s="1"/>
  <c r="L389" i="61"/>
  <c r="M389" i="61" s="1"/>
  <c r="O389" i="61" s="1"/>
  <c r="L57" i="61"/>
  <c r="M57" i="61" s="1"/>
  <c r="O57" i="61" s="1"/>
  <c r="L270" i="61"/>
  <c r="M270" i="61" s="1"/>
  <c r="O270" i="61" s="1"/>
  <c r="L426" i="61"/>
  <c r="M426" i="61" s="1"/>
  <c r="O426" i="61" s="1"/>
  <c r="L403" i="61"/>
  <c r="M403" i="61" s="1"/>
  <c r="O403" i="61" s="1"/>
  <c r="L193" i="61"/>
  <c r="M193" i="61" s="1"/>
  <c r="O193" i="61" s="1"/>
  <c r="L73" i="61"/>
  <c r="M73" i="61" s="1"/>
  <c r="O73" i="61" s="1"/>
  <c r="L132" i="61"/>
  <c r="M132" i="61" s="1"/>
  <c r="O132" i="61" s="1"/>
  <c r="L65" i="61"/>
  <c r="M65" i="61" s="1"/>
  <c r="O65" i="61" s="1"/>
  <c r="L482" i="61"/>
  <c r="M482" i="61" s="1"/>
  <c r="O482" i="61" s="1"/>
  <c r="L133" i="61"/>
  <c r="M133" i="61" s="1"/>
  <c r="O133" i="61" s="1"/>
  <c r="L299" i="61"/>
  <c r="M299" i="61" s="1"/>
  <c r="O299" i="61" s="1"/>
  <c r="L151" i="61"/>
  <c r="M151" i="61" s="1"/>
  <c r="O151" i="61" s="1"/>
  <c r="L276" i="61"/>
  <c r="M276" i="61" s="1"/>
  <c r="O276" i="61" s="1"/>
  <c r="L74" i="61"/>
  <c r="M74" i="61" s="1"/>
  <c r="O74" i="61" s="1"/>
  <c r="L452" i="61"/>
  <c r="M452" i="61" s="1"/>
  <c r="O452" i="61" s="1"/>
  <c r="L425" i="61"/>
  <c r="M425" i="61" s="1"/>
  <c r="O425" i="61" s="1"/>
  <c r="L127" i="61"/>
  <c r="M127" i="61" s="1"/>
  <c r="O127" i="61" s="1"/>
  <c r="L213" i="61"/>
  <c r="M213" i="61" s="1"/>
  <c r="O213" i="61" s="1"/>
  <c r="L336" i="61"/>
  <c r="M336" i="61" s="1"/>
  <c r="O336" i="61" s="1"/>
  <c r="L401" i="61"/>
  <c r="M401" i="61" s="1"/>
  <c r="O401" i="61" s="1"/>
  <c r="L479" i="61"/>
  <c r="M479" i="61" s="1"/>
  <c r="O479" i="61" s="1"/>
  <c r="L306" i="61"/>
  <c r="M306" i="61" s="1"/>
  <c r="O306" i="61" s="1"/>
  <c r="L22" i="61"/>
  <c r="M22" i="61" s="1"/>
  <c r="O22" i="61" s="1"/>
  <c r="L150" i="61"/>
  <c r="M150" i="61" s="1"/>
  <c r="O150" i="61" s="1"/>
  <c r="L32" i="61"/>
  <c r="M32" i="61" s="1"/>
  <c r="O32" i="61" s="1"/>
  <c r="L96" i="61"/>
  <c r="M96" i="61" s="1"/>
  <c r="O96" i="61" s="1"/>
  <c r="L224" i="61"/>
  <c r="M224" i="61" s="1"/>
  <c r="O224" i="61" s="1"/>
  <c r="L288" i="61"/>
  <c r="M288" i="61" s="1"/>
  <c r="O288" i="61" s="1"/>
  <c r="L453" i="61"/>
  <c r="M453" i="61" s="1"/>
  <c r="O453" i="61" s="1"/>
  <c r="L467" i="61"/>
  <c r="M467" i="61" s="1"/>
  <c r="O467" i="61" s="1"/>
  <c r="L290" i="61"/>
  <c r="M290" i="61" s="1"/>
  <c r="O290" i="61" s="1"/>
  <c r="L234" i="61"/>
  <c r="M234" i="61" s="1"/>
  <c r="O234" i="61" s="1"/>
  <c r="L471" i="61"/>
  <c r="M471" i="61" s="1"/>
  <c r="O471" i="61" s="1"/>
  <c r="L269" i="61"/>
  <c r="M269" i="61" s="1"/>
  <c r="O269" i="61" s="1"/>
  <c r="L218" i="61"/>
  <c r="M218" i="61" s="1"/>
  <c r="O218" i="61" s="1"/>
  <c r="L459" i="61"/>
  <c r="M459" i="61" s="1"/>
  <c r="O459" i="61" s="1"/>
  <c r="L25" i="61"/>
  <c r="M25" i="61" s="1"/>
  <c r="O25" i="61" s="1"/>
  <c r="L216" i="61"/>
  <c r="M216" i="61" s="1"/>
  <c r="O216" i="61" s="1"/>
  <c r="L14" i="61"/>
  <c r="M14" i="61" s="1"/>
  <c r="O14" i="61" s="1"/>
  <c r="L250" i="61"/>
  <c r="M250" i="61" s="1"/>
  <c r="O250" i="61" s="1"/>
  <c r="L391" i="61"/>
  <c r="M391" i="61" s="1"/>
  <c r="O391" i="61" s="1"/>
  <c r="L441" i="61"/>
  <c r="M441" i="61" s="1"/>
  <c r="O441" i="61" s="1"/>
  <c r="L301" i="61"/>
  <c r="M301" i="61" s="1"/>
  <c r="O301" i="61" s="1"/>
  <c r="L148" i="61"/>
  <c r="M148" i="61" s="1"/>
  <c r="O148" i="61" s="1"/>
  <c r="L231" i="61"/>
  <c r="M231" i="61" s="1"/>
  <c r="O231" i="61" s="1"/>
  <c r="L202" i="61"/>
  <c r="M202" i="61" s="1"/>
  <c r="O202" i="61" s="1"/>
  <c r="L175" i="61"/>
  <c r="M175" i="61" s="1"/>
  <c r="O175" i="61" s="1"/>
  <c r="L262" i="61"/>
  <c r="M262" i="61" s="1"/>
  <c r="O262" i="61" s="1"/>
  <c r="L486" i="61"/>
  <c r="M486" i="61" s="1"/>
  <c r="O486" i="61" s="1"/>
  <c r="L399" i="61"/>
  <c r="M399" i="61" s="1"/>
  <c r="O399" i="61" s="1"/>
  <c r="L162" i="61"/>
  <c r="M162" i="61" s="1"/>
  <c r="O162" i="61" s="1"/>
  <c r="L108" i="61"/>
  <c r="M108" i="61" s="1"/>
  <c r="O108" i="61" s="1"/>
  <c r="L300" i="61"/>
  <c r="M300" i="61" s="1"/>
  <c r="O300" i="61" s="1"/>
  <c r="L105" i="61"/>
  <c r="M105" i="61" s="1"/>
  <c r="O105" i="61" s="1"/>
  <c r="L374" i="61"/>
  <c r="M374" i="61" s="1"/>
  <c r="N374" i="61" s="1"/>
  <c r="L13" i="61"/>
  <c r="M13" i="61" s="1"/>
  <c r="O13" i="61" s="1"/>
  <c r="L351" i="61"/>
  <c r="M351" i="61" s="1"/>
  <c r="O351" i="61" s="1"/>
  <c r="L356" i="61"/>
  <c r="M356" i="61" s="1"/>
  <c r="O356" i="61" s="1"/>
  <c r="L214" i="61"/>
  <c r="M214" i="61" s="1"/>
  <c r="O214" i="61" s="1"/>
  <c r="L243" i="61"/>
  <c r="M243" i="61" s="1"/>
  <c r="O243" i="61" s="1"/>
  <c r="L320" i="61"/>
  <c r="M320" i="61" s="1"/>
  <c r="O320" i="61" s="1"/>
  <c r="L362" i="61"/>
  <c r="M362" i="61" s="1"/>
  <c r="O362" i="61" s="1"/>
  <c r="L490" i="61"/>
  <c r="M490" i="61" s="1"/>
  <c r="O490" i="61" s="1"/>
  <c r="L221" i="61"/>
  <c r="M221" i="61" s="1"/>
  <c r="O221" i="61" s="1"/>
  <c r="L334" i="61"/>
  <c r="M334" i="61" s="1"/>
  <c r="O334" i="61" s="1"/>
  <c r="L242" i="61"/>
  <c r="M242" i="61" s="1"/>
  <c r="O242" i="61" s="1"/>
  <c r="L494" i="61"/>
  <c r="M494" i="61" s="1"/>
  <c r="O494" i="61" s="1"/>
  <c r="L247" i="61"/>
  <c r="M247" i="61" s="1"/>
  <c r="O247" i="61" s="1"/>
  <c r="L58" i="61"/>
  <c r="M58" i="61" s="1"/>
  <c r="O58" i="61" s="1"/>
  <c r="L225" i="61"/>
  <c r="M225" i="61" s="1"/>
  <c r="O225" i="61" s="1"/>
  <c r="L328" i="61"/>
  <c r="M328" i="61" s="1"/>
  <c r="O328" i="61" s="1"/>
  <c r="L354" i="61"/>
  <c r="M354" i="61" s="1"/>
  <c r="O354" i="61" s="1"/>
  <c r="L381" i="61"/>
  <c r="M381" i="61" s="1"/>
  <c r="O381" i="61" s="1"/>
  <c r="L142" i="61"/>
  <c r="M142" i="61" s="1"/>
  <c r="O142" i="61" s="1"/>
  <c r="L68" i="61"/>
  <c r="M68" i="61" s="1"/>
  <c r="O68" i="61" s="1"/>
  <c r="L476" i="61"/>
  <c r="M476" i="61" s="1"/>
  <c r="O476" i="61" s="1"/>
  <c r="L246" i="61"/>
  <c r="M246" i="61" s="1"/>
  <c r="O246" i="61" s="1"/>
  <c r="L20" i="61"/>
  <c r="M20" i="61" s="1"/>
  <c r="O20" i="61" s="1"/>
  <c r="L2" i="61"/>
  <c r="L82" i="61"/>
  <c r="M82" i="61" s="1"/>
  <c r="O82" i="61" s="1"/>
  <c r="L239" i="61"/>
  <c r="M239" i="61" s="1"/>
  <c r="O239" i="61" s="1"/>
  <c r="L284" i="61"/>
  <c r="M284" i="61" s="1"/>
  <c r="O284" i="61" s="1"/>
  <c r="L422" i="61"/>
  <c r="M422" i="61" s="1"/>
  <c r="O422" i="61" s="1"/>
  <c r="L70" i="61"/>
  <c r="M70" i="61" s="1"/>
  <c r="O70" i="61" s="1"/>
  <c r="L198" i="61"/>
  <c r="M198" i="61" s="1"/>
  <c r="O198" i="61" s="1"/>
  <c r="L80" i="61"/>
  <c r="M80" i="61" s="1"/>
  <c r="O80" i="61" s="1"/>
  <c r="L238" i="61"/>
  <c r="M238" i="61" s="1"/>
  <c r="O238" i="61" s="1"/>
  <c r="L410" i="61"/>
  <c r="M410" i="61" s="1"/>
  <c r="O410" i="61" s="1"/>
  <c r="L209" i="61"/>
  <c r="M209" i="61" s="1"/>
  <c r="O209" i="61" s="1"/>
  <c r="L500" i="61"/>
  <c r="M500" i="61" s="1"/>
  <c r="O500" i="61" s="1"/>
  <c r="L361" i="61"/>
  <c r="M361" i="61" s="1"/>
  <c r="O361" i="61" s="1"/>
  <c r="L55" i="61"/>
  <c r="M55" i="61" s="1"/>
  <c r="O55" i="61" s="1"/>
  <c r="L61" i="61"/>
  <c r="M61" i="61" s="1"/>
  <c r="O61" i="61" s="1"/>
  <c r="L245" i="61"/>
  <c r="M245" i="61" s="1"/>
  <c r="O245" i="61" s="1"/>
  <c r="L174" i="61"/>
  <c r="M174" i="61" s="1"/>
  <c r="O174" i="61" s="1"/>
  <c r="L164" i="61"/>
  <c r="M164" i="61" s="1"/>
  <c r="O164" i="61" s="1"/>
  <c r="L310" i="61"/>
  <c r="M310" i="61" s="1"/>
  <c r="O310" i="61" s="1"/>
  <c r="L332" i="61"/>
  <c r="M332" i="61" s="1"/>
  <c r="O332" i="61" s="1"/>
  <c r="L50" i="61"/>
  <c r="M50" i="61" s="1"/>
  <c r="O50" i="61" s="1"/>
  <c r="L114" i="61"/>
  <c r="M114" i="61" s="1"/>
  <c r="O114" i="61" s="1"/>
  <c r="L178" i="61"/>
  <c r="M178" i="61" s="1"/>
  <c r="O178" i="61" s="1"/>
  <c r="L15" i="61"/>
  <c r="M15" i="61" s="1"/>
  <c r="O15" i="61" s="1"/>
  <c r="L143" i="61"/>
  <c r="M143" i="61" s="1"/>
  <c r="O143" i="61" s="1"/>
  <c r="L271" i="61"/>
  <c r="M271" i="61" s="1"/>
  <c r="O271" i="61" s="1"/>
  <c r="L335" i="61"/>
  <c r="M335" i="61" s="1"/>
  <c r="O335" i="61" s="1"/>
  <c r="L124" i="61"/>
  <c r="M124" i="61" s="1"/>
  <c r="O124" i="61" s="1"/>
  <c r="L188" i="61"/>
  <c r="M188" i="61" s="1"/>
  <c r="O188" i="61" s="1"/>
  <c r="L253" i="61"/>
  <c r="M253" i="61" s="1"/>
  <c r="O253" i="61" s="1"/>
  <c r="L481" i="61"/>
  <c r="L390" i="61"/>
  <c r="M390" i="61" s="1"/>
  <c r="O390" i="61" s="1"/>
  <c r="L454" i="61"/>
  <c r="M454" i="61" s="1"/>
  <c r="O454" i="61" s="1"/>
  <c r="L281" i="61"/>
  <c r="M281" i="61" s="1"/>
  <c r="O281" i="61" s="1"/>
  <c r="L495" i="61"/>
  <c r="M495" i="61" s="1"/>
  <c r="O495" i="61" s="1"/>
  <c r="L392" i="61"/>
  <c r="M392" i="61" s="1"/>
  <c r="O392" i="61" s="1"/>
  <c r="L380" i="61"/>
  <c r="M380" i="61" s="1"/>
  <c r="O380" i="61" s="1"/>
  <c r="L3" i="61"/>
  <c r="M3" i="61" s="1"/>
  <c r="O3" i="61" s="1"/>
  <c r="L67" i="61"/>
  <c r="M67" i="61" s="1"/>
  <c r="O67" i="61" s="1"/>
  <c r="L131" i="61"/>
  <c r="M131" i="61" s="1"/>
  <c r="O131" i="61" s="1"/>
  <c r="L195" i="61"/>
  <c r="M195" i="61" s="1"/>
  <c r="O195" i="61" s="1"/>
  <c r="L259" i="61"/>
  <c r="M259" i="61" s="1"/>
  <c r="O259" i="61" s="1"/>
  <c r="L323" i="61"/>
  <c r="M323" i="61" s="1"/>
  <c r="O323" i="61" s="1"/>
  <c r="L229" i="61"/>
  <c r="M229" i="61" s="1"/>
  <c r="O229" i="61" s="1"/>
  <c r="L469" i="61"/>
  <c r="M469" i="61" s="1"/>
  <c r="O469" i="61" s="1"/>
  <c r="L302" i="61"/>
  <c r="M302" i="61" s="1"/>
  <c r="O302" i="61" s="1"/>
  <c r="L442" i="61"/>
  <c r="M442" i="61" s="1"/>
  <c r="O442" i="61" s="1"/>
  <c r="L29" i="61"/>
  <c r="M29" i="61" s="1"/>
  <c r="O29" i="61" s="1"/>
  <c r="L257" i="61"/>
  <c r="M257" i="61" s="1"/>
  <c r="O257" i="61" s="1"/>
  <c r="L483" i="61"/>
  <c r="M483" i="61" s="1"/>
  <c r="O483" i="61" s="1"/>
  <c r="L372" i="61"/>
  <c r="M372" i="61" s="1"/>
  <c r="O372" i="61" s="1"/>
  <c r="L329" i="61"/>
  <c r="M329" i="61" s="1"/>
  <c r="O329" i="61" s="1"/>
  <c r="L430" i="61"/>
  <c r="M430" i="61" s="1"/>
  <c r="O430" i="61" s="1"/>
  <c r="L457" i="61"/>
  <c r="M457" i="61" s="1"/>
  <c r="O457" i="61" s="1"/>
  <c r="L183" i="61"/>
  <c r="M183" i="61" s="1"/>
  <c r="O183" i="61" s="1"/>
  <c r="L26" i="61"/>
  <c r="M26" i="61" s="1"/>
  <c r="O26" i="61" s="1"/>
  <c r="L450" i="61"/>
  <c r="M450" i="61" s="1"/>
  <c r="O450" i="61" s="1"/>
  <c r="L477" i="61"/>
  <c r="M477" i="61" s="1"/>
  <c r="O477" i="61" s="1"/>
  <c r="L349" i="61"/>
  <c r="M349" i="61" s="1"/>
  <c r="O349" i="61" s="1"/>
  <c r="L5" i="61"/>
  <c r="M5" i="61" s="1"/>
  <c r="O5" i="61" s="1"/>
  <c r="L11" i="61"/>
  <c r="M11" i="61" s="1"/>
  <c r="O11" i="61" s="1"/>
  <c r="L4" i="61"/>
  <c r="M4" i="61" s="1"/>
  <c r="O4" i="61" s="1"/>
  <c r="L388" i="61"/>
  <c r="M388" i="61" s="1"/>
  <c r="O388" i="61" s="1"/>
  <c r="L137" i="61"/>
  <c r="M137" i="61" s="1"/>
  <c r="O137" i="61" s="1"/>
  <c r="L237" i="61"/>
  <c r="M237" i="61" s="1"/>
  <c r="N237" i="61" s="1"/>
  <c r="L244" i="61"/>
  <c r="M244" i="61" s="1"/>
  <c r="O244" i="61" s="1"/>
  <c r="L327" i="61"/>
  <c r="M327" i="61" s="1"/>
  <c r="O327" i="61" s="1"/>
  <c r="L199" i="61"/>
  <c r="M199" i="61" s="1"/>
  <c r="O199" i="61" s="1"/>
  <c r="L71" i="61"/>
  <c r="M71" i="61" s="1"/>
  <c r="N71" i="61" s="1"/>
  <c r="L170" i="61"/>
  <c r="M170" i="61" s="1"/>
  <c r="O170" i="61" s="1"/>
  <c r="L42" i="61"/>
  <c r="M42" i="61" s="1"/>
  <c r="O42" i="61" s="1"/>
  <c r="L322" i="61"/>
  <c r="M322" i="61" s="1"/>
  <c r="O322" i="61" s="1"/>
  <c r="L350" i="61"/>
  <c r="M350" i="61" s="1"/>
  <c r="O350" i="61" s="1"/>
  <c r="L84" i="61"/>
  <c r="M84" i="61" s="1"/>
  <c r="O84" i="61" s="1"/>
  <c r="L138" i="61"/>
  <c r="M138" i="61" s="1"/>
  <c r="O138" i="61" s="1"/>
  <c r="L18" i="61"/>
  <c r="M18" i="61" s="1"/>
  <c r="O18" i="61" s="1"/>
  <c r="L28" i="61"/>
  <c r="M28" i="61" s="1"/>
  <c r="N28" i="61" s="1"/>
  <c r="L220" i="61"/>
  <c r="M220" i="61" s="1"/>
  <c r="O220" i="61" s="1"/>
  <c r="L314" i="61"/>
  <c r="M314" i="61" s="1"/>
  <c r="O314" i="61" s="1"/>
  <c r="L177" i="61"/>
  <c r="M177" i="61" s="1"/>
  <c r="O177" i="61" s="1"/>
  <c r="L6" i="61"/>
  <c r="M6" i="61" s="1"/>
  <c r="O6" i="61" s="1"/>
  <c r="L386" i="61"/>
  <c r="M386" i="61" s="1"/>
  <c r="O386" i="61" s="1"/>
  <c r="L384" i="61"/>
  <c r="M384" i="61" s="1"/>
  <c r="L385" i="61"/>
  <c r="M385" i="61" s="1"/>
  <c r="N136" i="61"/>
  <c r="N466" i="61"/>
  <c r="N122" i="61"/>
  <c r="N72" i="61"/>
  <c r="N181" i="61"/>
  <c r="N429" i="61"/>
  <c r="N263" i="61"/>
  <c r="N94" i="61"/>
  <c r="N324" i="61"/>
  <c r="N475" i="61"/>
  <c r="N412" i="61"/>
  <c r="N461" i="61"/>
  <c r="N330" i="61"/>
  <c r="N378" i="61"/>
  <c r="N346" i="61"/>
  <c r="N76" i="61"/>
  <c r="N168" i="61"/>
  <c r="N347" i="61"/>
  <c r="N123" i="61"/>
  <c r="O421" i="61"/>
  <c r="N421" i="61"/>
  <c r="O121" i="61"/>
  <c r="N121" i="61"/>
  <c r="N379" i="61"/>
  <c r="O379" i="61"/>
  <c r="N217" i="61"/>
  <c r="O217" i="61"/>
  <c r="N368" i="61"/>
  <c r="O368" i="61"/>
  <c r="N155" i="61"/>
  <c r="N397" i="61"/>
  <c r="O397" i="61"/>
  <c r="N298" i="61"/>
  <c r="O298" i="61"/>
  <c r="N241" i="61"/>
  <c r="O241" i="61"/>
  <c r="N440" i="61"/>
  <c r="O440" i="61"/>
  <c r="O317" i="61"/>
  <c r="N222" i="61"/>
  <c r="O222" i="61"/>
  <c r="M49" i="61"/>
  <c r="O49" i="61" s="1"/>
  <c r="N420" i="61"/>
  <c r="O232" i="61"/>
  <c r="N340" i="61"/>
  <c r="O340" i="61"/>
  <c r="N190" i="61"/>
  <c r="O190" i="61"/>
  <c r="N27" i="61"/>
  <c r="O27" i="61"/>
  <c r="N62" i="61"/>
  <c r="O62" i="61"/>
  <c r="N443" i="61"/>
  <c r="N69" i="61"/>
  <c r="O69" i="61"/>
  <c r="N496" i="61"/>
  <c r="O496" i="61"/>
  <c r="N365" i="61"/>
  <c r="O365" i="61"/>
  <c r="N305" i="61"/>
  <c r="O305" i="61"/>
  <c r="M75" i="61"/>
  <c r="O75" i="61" s="1"/>
  <c r="M116" i="61"/>
  <c r="O116" i="61" s="1"/>
  <c r="M45" i="61"/>
  <c r="O45" i="61" s="1"/>
  <c r="M337" i="61"/>
  <c r="O337" i="61" s="1"/>
  <c r="M47" i="61"/>
  <c r="O47" i="61" s="1"/>
  <c r="M339" i="61"/>
  <c r="O339" i="61" s="1"/>
  <c r="M489" i="61"/>
  <c r="O489" i="61" s="1"/>
  <c r="M158" i="61"/>
  <c r="O158" i="61" s="1"/>
  <c r="M147" i="61"/>
  <c r="O147" i="61" s="1"/>
  <c r="M492" i="61"/>
  <c r="O492" i="61" s="1"/>
  <c r="M318" i="61"/>
  <c r="O318" i="61" s="1"/>
  <c r="M406" i="61"/>
  <c r="O406" i="61" s="1"/>
  <c r="M414" i="61"/>
  <c r="O414" i="61" s="1"/>
  <c r="M265" i="61"/>
  <c r="O265" i="61" s="1"/>
  <c r="M172" i="61"/>
  <c r="O172" i="61" s="1"/>
  <c r="M325" i="61"/>
  <c r="O325" i="61" s="1"/>
  <c r="M488" i="61"/>
  <c r="O488" i="61" s="1"/>
  <c r="M462" i="61"/>
  <c r="O462" i="61" s="1"/>
  <c r="M120" i="61"/>
  <c r="O120" i="61" s="1"/>
  <c r="M103" i="61"/>
  <c r="O103" i="61" s="1"/>
  <c r="M377" i="61"/>
  <c r="O377" i="61" s="1"/>
  <c r="M326" i="61"/>
  <c r="O326" i="61" s="1"/>
  <c r="M87" i="61"/>
  <c r="O87" i="61" s="1"/>
  <c r="M145" i="61"/>
  <c r="M493" i="61"/>
  <c r="O493" i="61" s="1"/>
  <c r="L7" i="35"/>
  <c r="I7" i="35"/>
  <c r="K8" i="35"/>
  <c r="L6" i="14"/>
  <c r="L8" i="14" s="1"/>
  <c r="I8" i="14"/>
  <c r="I7" i="14"/>
  <c r="K6" i="14"/>
  <c r="K8" i="14" s="1"/>
  <c r="N376" i="61" l="1"/>
  <c r="N408" i="61"/>
  <c r="O117" i="61"/>
  <c r="O159" i="61"/>
  <c r="O491" i="61"/>
  <c r="N146" i="61"/>
  <c r="N362" i="61"/>
  <c r="N284" i="61"/>
  <c r="N283" i="61"/>
  <c r="N211" i="61"/>
  <c r="N415" i="61"/>
  <c r="N369" i="61"/>
  <c r="N200" i="61"/>
  <c r="N180" i="61"/>
  <c r="N226" i="61"/>
  <c r="N29" i="61"/>
  <c r="N248" i="61"/>
  <c r="N460" i="61"/>
  <c r="N500" i="61"/>
  <c r="N104" i="61"/>
  <c r="N464" i="61"/>
  <c r="N472" i="61"/>
  <c r="N273" i="61"/>
  <c r="N91" i="61"/>
  <c r="N236" i="61"/>
  <c r="N332" i="61"/>
  <c r="N204" i="61"/>
  <c r="N100" i="61"/>
  <c r="N238" i="61"/>
  <c r="N153" i="61"/>
  <c r="N456" i="61"/>
  <c r="N467" i="61"/>
  <c r="N463" i="61"/>
  <c r="N124" i="61"/>
  <c r="N132" i="61"/>
  <c r="N348" i="61"/>
  <c r="N81" i="61"/>
  <c r="N399" i="61"/>
  <c r="N169" i="61"/>
  <c r="N93" i="61"/>
  <c r="N252" i="61"/>
  <c r="N418" i="61"/>
  <c r="N411" i="61"/>
  <c r="N454" i="61"/>
  <c r="O436" i="61"/>
  <c r="N38" i="61"/>
  <c r="N41" i="61"/>
  <c r="N361" i="61"/>
  <c r="N95" i="61"/>
  <c r="N485" i="61"/>
  <c r="N195" i="61"/>
  <c r="O135" i="61"/>
  <c r="N328" i="61"/>
  <c r="O321" i="61"/>
  <c r="N175" i="61"/>
  <c r="N240" i="61"/>
  <c r="O383" i="61"/>
  <c r="N163" i="61"/>
  <c r="N218" i="61"/>
  <c r="N341" i="61"/>
  <c r="N468" i="61"/>
  <c r="N400" i="61"/>
  <c r="O8" i="61"/>
  <c r="N350" i="61"/>
  <c r="N189" i="61"/>
  <c r="O293" i="61"/>
  <c r="N79" i="61"/>
  <c r="N194" i="61"/>
  <c r="N358" i="61"/>
  <c r="N299" i="61"/>
  <c r="N469" i="61"/>
  <c r="N162" i="61"/>
  <c r="N107" i="61"/>
  <c r="N7" i="61"/>
  <c r="N182" i="61"/>
  <c r="N174" i="61"/>
  <c r="N50" i="61"/>
  <c r="N68" i="61"/>
  <c r="N11" i="61"/>
  <c r="N10" i="61"/>
  <c r="N227" i="61"/>
  <c r="O71" i="61"/>
  <c r="N398" i="61"/>
  <c r="O419" i="61"/>
  <c r="N128" i="61"/>
  <c r="N474" i="61"/>
  <c r="O237" i="61"/>
  <c r="N487" i="61"/>
  <c r="N214" i="61"/>
  <c r="N63" i="61"/>
  <c r="O28" i="61"/>
  <c r="N186" i="61"/>
  <c r="N290" i="61"/>
  <c r="N203" i="61"/>
  <c r="N113" i="61"/>
  <c r="N48" i="61"/>
  <c r="N165" i="61"/>
  <c r="N141" i="61"/>
  <c r="N380" i="61"/>
  <c r="N6" i="61"/>
  <c r="N345" i="61"/>
  <c r="N422" i="61"/>
  <c r="N402" i="61"/>
  <c r="N393" i="61"/>
  <c r="N331" i="61"/>
  <c r="N490" i="61"/>
  <c r="N14" i="61"/>
  <c r="N279" i="61"/>
  <c r="O374" i="61"/>
  <c r="N139" i="61"/>
  <c r="N224" i="61"/>
  <c r="N143" i="61"/>
  <c r="O465" i="61"/>
  <c r="N444" i="61"/>
  <c r="N455" i="61"/>
  <c r="N450" i="61"/>
  <c r="O473" i="61"/>
  <c r="N452" i="61"/>
  <c r="N188" i="61"/>
  <c r="O212" i="61"/>
  <c r="N426" i="61"/>
  <c r="N297" i="61"/>
  <c r="N434" i="61"/>
  <c r="N316" i="61"/>
  <c r="N192" i="61"/>
  <c r="N215" i="61"/>
  <c r="N156" i="61"/>
  <c r="N268" i="61"/>
  <c r="N274" i="61"/>
  <c r="N301" i="61"/>
  <c r="N86" i="61"/>
  <c r="N258" i="61"/>
  <c r="O126" i="61"/>
  <c r="N308" i="61"/>
  <c r="N439" i="61"/>
  <c r="N77" i="61"/>
  <c r="N431" i="61"/>
  <c r="N494" i="61"/>
  <c r="N364" i="61"/>
  <c r="N309" i="61"/>
  <c r="N22" i="61"/>
  <c r="N21" i="61"/>
  <c r="N371" i="61"/>
  <c r="N433" i="61"/>
  <c r="N428" i="61"/>
  <c r="N359" i="61"/>
  <c r="N501" i="61"/>
  <c r="N257" i="61"/>
  <c r="N187" i="61"/>
  <c r="N336" i="61"/>
  <c r="N140" i="61"/>
  <c r="N480" i="61"/>
  <c r="N83" i="61"/>
  <c r="N33" i="61"/>
  <c r="N152" i="61"/>
  <c r="N198" i="61"/>
  <c r="N171" i="61"/>
  <c r="N300" i="61"/>
  <c r="N59" i="61"/>
  <c r="N56" i="61"/>
  <c r="N282" i="61"/>
  <c r="N109" i="61"/>
  <c r="N115" i="61"/>
  <c r="N37" i="61"/>
  <c r="N338" i="61"/>
  <c r="N89" i="61"/>
  <c r="N208" i="61"/>
  <c r="N125" i="61"/>
  <c r="N486" i="61"/>
  <c r="N343" i="61"/>
  <c r="N360" i="61"/>
  <c r="N60" i="61"/>
  <c r="N44" i="61"/>
  <c r="N30" i="61"/>
  <c r="N193" i="61"/>
  <c r="N12" i="61"/>
  <c r="N313" i="61"/>
  <c r="N196" i="61"/>
  <c r="N277" i="61"/>
  <c r="N292" i="61"/>
  <c r="N484" i="61"/>
  <c r="N424" i="61"/>
  <c r="N458" i="61"/>
  <c r="N32" i="61"/>
  <c r="N453" i="61"/>
  <c r="N445" i="61"/>
  <c r="O264" i="61"/>
  <c r="N16" i="61"/>
  <c r="N319" i="61"/>
  <c r="N53" i="61"/>
  <c r="N179" i="61"/>
  <c r="N39" i="61"/>
  <c r="N329" i="61"/>
  <c r="N9" i="61"/>
  <c r="N134" i="61"/>
  <c r="N112" i="61"/>
  <c r="N130" i="61"/>
  <c r="N499" i="61"/>
  <c r="N144" i="61"/>
  <c r="N40" i="61"/>
  <c r="N230" i="61"/>
  <c r="N451" i="61"/>
  <c r="N478" i="61"/>
  <c r="N296" i="61"/>
  <c r="N404" i="61"/>
  <c r="N23" i="61"/>
  <c r="N395" i="61"/>
  <c r="N275" i="61"/>
  <c r="N46" i="61"/>
  <c r="N427" i="61"/>
  <c r="N111" i="61"/>
  <c r="N285" i="61"/>
  <c r="N289" i="61"/>
  <c r="N119" i="61"/>
  <c r="N210" i="61"/>
  <c r="N58" i="61"/>
  <c r="N315" i="61"/>
  <c r="N311" i="61"/>
  <c r="N416" i="61"/>
  <c r="N85" i="61"/>
  <c r="L7" i="14"/>
  <c r="N24" i="61"/>
  <c r="N105" i="61"/>
  <c r="N216" i="61"/>
  <c r="N373" i="61"/>
  <c r="N133" i="61"/>
  <c r="N366" i="61"/>
  <c r="N73" i="61"/>
  <c r="N80" i="61"/>
  <c r="N20" i="61"/>
  <c r="N235" i="61"/>
  <c r="N177" i="61"/>
  <c r="N375" i="61"/>
  <c r="N96" i="61"/>
  <c r="N118" i="61"/>
  <c r="N131" i="61"/>
  <c r="N26" i="61"/>
  <c r="N149" i="61"/>
  <c r="N97" i="61"/>
  <c r="N322" i="61"/>
  <c r="N342" i="61"/>
  <c r="N245" i="61"/>
  <c r="N242" i="61"/>
  <c r="N229" i="61"/>
  <c r="N129" i="61"/>
  <c r="N99" i="61"/>
  <c r="N249" i="61"/>
  <c r="N67" i="61"/>
  <c r="N197" i="61"/>
  <c r="N233" i="61"/>
  <c r="N18" i="61"/>
  <c r="N138" i="61"/>
  <c r="N202" i="61"/>
  <c r="N42" i="61"/>
  <c r="N52" i="61"/>
  <c r="N154" i="61"/>
  <c r="N225" i="61"/>
  <c r="N448" i="61"/>
  <c r="N356" i="61"/>
  <c r="N314" i="61"/>
  <c r="N267" i="61"/>
  <c r="N88" i="61"/>
  <c r="N213" i="61"/>
  <c r="N36" i="61"/>
  <c r="N344" i="61"/>
  <c r="N228" i="61"/>
  <c r="N15" i="61"/>
  <c r="N355" i="61"/>
  <c r="N387" i="61"/>
  <c r="N430" i="61"/>
  <c r="N199" i="61"/>
  <c r="N405" i="61"/>
  <c r="N270" i="61"/>
  <c r="N74" i="61"/>
  <c r="N272" i="61"/>
  <c r="N363" i="61"/>
  <c r="N417" i="61"/>
  <c r="N394" i="61"/>
  <c r="N335" i="61"/>
  <c r="N392" i="61"/>
  <c r="N306" i="61"/>
  <c r="N92" i="61"/>
  <c r="N66" i="61"/>
  <c r="N261" i="61"/>
  <c r="N423" i="61"/>
  <c r="N176" i="61"/>
  <c r="N495" i="61"/>
  <c r="N183" i="61"/>
  <c r="N35" i="61"/>
  <c r="N390" i="61"/>
  <c r="N161" i="61"/>
  <c r="N303" i="61"/>
  <c r="N64" i="61"/>
  <c r="N137" i="61"/>
  <c r="N286" i="61"/>
  <c r="N142" i="61"/>
  <c r="N239" i="61"/>
  <c r="N295" i="61"/>
  <c r="N25" i="61"/>
  <c r="N5" i="61"/>
  <c r="N498" i="61"/>
  <c r="N31" i="61"/>
  <c r="N470" i="61"/>
  <c r="N255" i="61"/>
  <c r="N307" i="61"/>
  <c r="N269" i="61"/>
  <c r="N441" i="61"/>
  <c r="N78" i="61"/>
  <c r="N4" i="61"/>
  <c r="N150" i="61"/>
  <c r="N251" i="61"/>
  <c r="N287" i="61"/>
  <c r="N201" i="61"/>
  <c r="N312" i="61"/>
  <c r="N382" i="61"/>
  <c r="N278" i="61"/>
  <c r="N409" i="61"/>
  <c r="N207" i="61"/>
  <c r="N19" i="61"/>
  <c r="N223" i="61"/>
  <c r="N437" i="61"/>
  <c r="N447" i="61"/>
  <c r="N151" i="61"/>
  <c r="N302" i="61"/>
  <c r="N446" i="61"/>
  <c r="N352" i="61"/>
  <c r="N205" i="61"/>
  <c r="N280" i="61"/>
  <c r="N250" i="61"/>
  <c r="N70" i="61"/>
  <c r="N219" i="61"/>
  <c r="N435" i="61"/>
  <c r="N54" i="61"/>
  <c r="N449" i="61"/>
  <c r="N357" i="61"/>
  <c r="N497" i="61"/>
  <c r="N256" i="61"/>
  <c r="N102" i="61"/>
  <c r="N17" i="61"/>
  <c r="N184" i="61"/>
  <c r="N185" i="61"/>
  <c r="N170" i="61"/>
  <c r="N367" i="61"/>
  <c r="N254" i="61"/>
  <c r="N294" i="61"/>
  <c r="N370" i="61"/>
  <c r="N110" i="61"/>
  <c r="N108" i="61"/>
  <c r="N333" i="61"/>
  <c r="N396" i="61"/>
  <c r="N244" i="61"/>
  <c r="N82" i="61"/>
  <c r="N65" i="61"/>
  <c r="N353" i="61"/>
  <c r="N266" i="61"/>
  <c r="N106" i="61"/>
  <c r="N234" i="61"/>
  <c r="N166" i="61"/>
  <c r="N304" i="61"/>
  <c r="N84" i="61"/>
  <c r="N291" i="61"/>
  <c r="N90" i="61"/>
  <c r="N260" i="61"/>
  <c r="N281" i="61"/>
  <c r="N476" i="61"/>
  <c r="N432" i="61"/>
  <c r="N164" i="61"/>
  <c r="N157" i="61"/>
  <c r="N167" i="61"/>
  <c r="N206" i="61"/>
  <c r="N401" i="61"/>
  <c r="N389" i="61"/>
  <c r="N410" i="61"/>
  <c r="N61" i="61"/>
  <c r="N3" i="61"/>
  <c r="N323" i="61"/>
  <c r="N209" i="61"/>
  <c r="N327" i="61"/>
  <c r="N320" i="61"/>
  <c r="N457" i="61"/>
  <c r="N372" i="61"/>
  <c r="N220" i="61"/>
  <c r="N13" i="61"/>
  <c r="N178" i="61"/>
  <c r="N253" i="61"/>
  <c r="N459" i="61"/>
  <c r="N438" i="61"/>
  <c r="N231" i="61"/>
  <c r="N334" i="61"/>
  <c r="N51" i="61"/>
  <c r="N349" i="61"/>
  <c r="N391" i="61"/>
  <c r="N246" i="61"/>
  <c r="N247" i="61"/>
  <c r="N98" i="61"/>
  <c r="N262" i="61"/>
  <c r="N57" i="61"/>
  <c r="N310" i="61"/>
  <c r="N477" i="61"/>
  <c r="N388" i="61"/>
  <c r="N288" i="61"/>
  <c r="N354" i="61"/>
  <c r="N191" i="61"/>
  <c r="M2" i="61"/>
  <c r="O2" i="61" s="1"/>
  <c r="M481" i="61"/>
  <c r="O481" i="61" s="1"/>
  <c r="N442" i="61"/>
  <c r="N482" i="61"/>
  <c r="N276" i="61"/>
  <c r="N127" i="61"/>
  <c r="N55" i="61"/>
  <c r="N479" i="61"/>
  <c r="N351" i="61"/>
  <c r="N34" i="61"/>
  <c r="N381" i="61"/>
  <c r="N221" i="61"/>
  <c r="N271" i="61"/>
  <c r="N148" i="61"/>
  <c r="N425" i="61"/>
  <c r="N114" i="61"/>
  <c r="N483" i="61"/>
  <c r="N471" i="61"/>
  <c r="N243" i="61"/>
  <c r="N403" i="61"/>
  <c r="N259" i="61"/>
  <c r="O385" i="61"/>
  <c r="N385" i="61"/>
  <c r="O384" i="61"/>
  <c r="N384" i="61"/>
  <c r="S2" i="65"/>
  <c r="S5" i="66"/>
  <c r="N326" i="61"/>
  <c r="N45" i="61"/>
  <c r="N173" i="61"/>
  <c r="N147" i="61"/>
  <c r="N103" i="61"/>
  <c r="N492" i="61"/>
  <c r="N407" i="61"/>
  <c r="N101" i="61"/>
  <c r="N493" i="61"/>
  <c r="N462" i="61"/>
  <c r="N414" i="61"/>
  <c r="N489" i="61"/>
  <c r="N413" i="61"/>
  <c r="N325" i="61"/>
  <c r="N406" i="61"/>
  <c r="N47" i="61"/>
  <c r="N145" i="61"/>
  <c r="O145" i="61"/>
  <c r="N87" i="61"/>
  <c r="N377" i="61"/>
  <c r="N120" i="61"/>
  <c r="N488" i="61"/>
  <c r="N160" i="61"/>
  <c r="N172" i="61"/>
  <c r="N265" i="61"/>
  <c r="N43" i="61"/>
  <c r="N318" i="61"/>
  <c r="N386" i="61"/>
  <c r="N158" i="61"/>
  <c r="N339" i="61"/>
  <c r="N337" i="61"/>
  <c r="N116" i="61"/>
  <c r="N75" i="61"/>
  <c r="N49" i="61"/>
  <c r="K7" i="14"/>
  <c r="N481" i="61" l="1"/>
  <c r="N2" i="61"/>
  <c r="M3" i="35"/>
  <c r="J5" i="35"/>
  <c r="J4" i="35"/>
  <c r="J3" i="35"/>
  <c r="R8" i="32"/>
  <c r="D16" i="30"/>
  <c r="Q16" i="30" s="1"/>
  <c r="J6" i="35" l="1"/>
  <c r="J7" i="35" s="1"/>
  <c r="J16" i="30"/>
  <c r="J4" i="14"/>
  <c r="J5" i="14"/>
  <c r="J3" i="14"/>
  <c r="J6" i="14" l="1"/>
  <c r="J7" i="14" s="1"/>
  <c r="J8" i="35"/>
  <c r="J8" i="1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2A70AC-329C-4CE6-A52B-7D0F4EDEAEFF}" keepAlive="1" name="Query - automotive_demand_forecasting_dataset" description="Connection to the 'automotive_demand_forecasting_dataset' query in the workbook." type="5" refreshedVersion="8" background="1" saveData="1">
    <dbPr connection="Provider=Microsoft.Mashup.OleDb.1;Data Source=$Workbook$;Location=automotive_demand_forecasting_dataset;Extended Properties=&quot;&quot;" command="SELECT * FROM [automotive_demand_forecasting_dataset]"/>
  </connection>
  <connection id="2" xr16:uid="{2D6FABD3-6236-4029-8E7B-A3050D2F034A}" keepAlive="1" name="Query - automotive_demand_forecasting_dataset (10)" description="Connection to the 'automotive_demand_forecasting_dataset (10)' query in the workbook." type="5" refreshedVersion="8" background="1" saveData="1">
    <dbPr connection="Provider=Microsoft.Mashup.OleDb.1;Data Source=$Workbook$;Location=&quot;automotive_demand_forecasting_dataset (10)&quot;;Extended Properties=&quot;&quot;" command="SELECT * FROM [automotive_demand_forecasting_dataset (10)]"/>
  </connection>
  <connection id="3" xr16:uid="{75965D48-7601-468F-9C63-D84A1B8EADFA}" keepAlive="1" name="Query - automotive_demand_forecasting_dataset (11)" description="Connection to the 'automotive_demand_forecasting_dataset (11)' query in the workbook." type="5" refreshedVersion="8" background="1" saveData="1">
    <dbPr connection="Provider=Microsoft.Mashup.OleDb.1;Data Source=$Workbook$;Location=&quot;automotive_demand_forecasting_dataset (11)&quot;;Extended Properties=&quot;&quot;" command="SELECT * FROM [automotive_demand_forecasting_dataset (11)]"/>
  </connection>
  <connection id="4" xr16:uid="{8135FAAD-8379-43B4-9766-C2B03760FB12}" keepAlive="1" name="Query - automotive_demand_forecasting_dataset (12)" description="Connection to the 'automotive_demand_forecasting_dataset (12)' query in the workbook." type="5" refreshedVersion="8" background="1" saveData="1">
    <dbPr connection="Provider=Microsoft.Mashup.OleDb.1;Data Source=$Workbook$;Location=&quot;automotive_demand_forecasting_dataset (12)&quot;;Extended Properties=&quot;&quot;" command="SELECT * FROM [automotive_demand_forecasting_dataset (12)]"/>
  </connection>
  <connection id="5" xr16:uid="{2FD02A64-21A9-45BD-81F8-296B8C379967}" keepAlive="1" name="Query - automotive_demand_forecasting_dataset (13)" description="Connection to the 'automotive_demand_forecasting_dataset (13)' query in the workbook." type="5" refreshedVersion="8" background="1" saveData="1">
    <dbPr connection="Provider=Microsoft.Mashup.OleDb.1;Data Source=$Workbook$;Location=&quot;automotive_demand_forecasting_dataset (13)&quot;;Extended Properties=&quot;&quot;" command="SELECT * FROM [automotive_demand_forecasting_dataset (13)]"/>
  </connection>
  <connection id="6" xr16:uid="{9F06557B-D59D-4D37-8374-7D3C3E7A4073}" keepAlive="1" name="Query - automotive_demand_forecasting_dataset (2)" description="Connection to the 'automotive_demand_forecasting_dataset (2)' query in the workbook." type="5" refreshedVersion="8" background="1" saveData="1">
    <dbPr connection="Provider=Microsoft.Mashup.OleDb.1;Data Source=$Workbook$;Location=&quot;automotive_demand_forecasting_dataset (2)&quot;;Extended Properties=&quot;&quot;" command="SELECT * FROM [automotive_demand_forecasting_dataset (2)]"/>
  </connection>
  <connection id="7" xr16:uid="{012A773C-8A4A-4974-B2A2-9242D15FAC29}" keepAlive="1" name="Query - automotive_demand_forecasting_dataset (3)" description="Connection to the 'automotive_demand_forecasting_dataset (3)' query in the workbook." type="5" refreshedVersion="8" background="1" saveData="1">
    <dbPr connection="Provider=Microsoft.Mashup.OleDb.1;Data Source=$Workbook$;Location=&quot;automotive_demand_forecasting_dataset (3)&quot;;Extended Properties=&quot;&quot;" command="SELECT * FROM [automotive_demand_forecasting_dataset (3)]"/>
  </connection>
  <connection id="8" xr16:uid="{56F22F2F-C7E4-4839-A855-5DBD00331C6E}" keepAlive="1" name="Query - automotive_demand_forecasting_dataset (4)" description="Connection to the 'automotive_demand_forecasting_dataset (4)' query in the workbook." type="5" refreshedVersion="8" background="1" saveData="1">
    <dbPr connection="Provider=Microsoft.Mashup.OleDb.1;Data Source=$Workbook$;Location=&quot;automotive_demand_forecasting_dataset (4)&quot;;Extended Properties=&quot;&quot;" command="SELECT * FROM [automotive_demand_forecasting_dataset (4)]"/>
  </connection>
  <connection id="9" xr16:uid="{0C77BFC3-9E42-4B5F-AD4C-8C1E8E157404}" keepAlive="1" name="Query - automotive_demand_forecasting_dataset (5)" description="Connection to the 'automotive_demand_forecasting_dataset (5)' query in the workbook." type="5" refreshedVersion="8" background="1" saveData="1">
    <dbPr connection="Provider=Microsoft.Mashup.OleDb.1;Data Source=$Workbook$;Location=&quot;automotive_demand_forecasting_dataset (5)&quot;;Extended Properties=&quot;&quot;" command="SELECT * FROM [automotive_demand_forecasting_dataset (5)]"/>
  </connection>
  <connection id="10" xr16:uid="{42ABC37E-054D-4CFD-AEA6-2A35EF5ABB0E}" keepAlive="1" name="Query - automotive_demand_forecasting_dataset (6)" description="Connection to the 'automotive_demand_forecasting_dataset (6)' query in the workbook." type="5" refreshedVersion="8" background="1" saveData="1">
    <dbPr connection="Provider=Microsoft.Mashup.OleDb.1;Data Source=$Workbook$;Location=&quot;automotive_demand_forecasting_dataset (6)&quot;;Extended Properties=&quot;&quot;" command="SELECT * FROM [automotive_demand_forecasting_dataset (6)]"/>
  </connection>
  <connection id="11" xr16:uid="{8CABF35C-2970-4128-ABB6-320A5349CE28}" keepAlive="1" name="Query - automotive_demand_forecasting_dataset (7)" description="Connection to the 'automotive_demand_forecasting_dataset (7)' query in the workbook." type="5" refreshedVersion="8" background="1" saveData="1">
    <dbPr connection="Provider=Microsoft.Mashup.OleDb.1;Data Source=$Workbook$;Location=&quot;automotive_demand_forecasting_dataset (7)&quot;;Extended Properties=&quot;&quot;" command="SELECT * FROM [automotive_demand_forecasting_dataset (7)]"/>
  </connection>
  <connection id="12" xr16:uid="{9ADC765B-B68B-4C1A-BFFD-6FBC8B2E235C}" keepAlive="1" name="Query - automotive_demand_forecasting_dataset (8)" description="Connection to the 'automotive_demand_forecasting_dataset (8)' query in the workbook." type="5" refreshedVersion="8" background="1" saveData="1">
    <dbPr connection="Provider=Microsoft.Mashup.OleDb.1;Data Source=$Workbook$;Location=&quot;automotive_demand_forecasting_dataset (8)&quot;;Extended Properties=&quot;&quot;" command="SELECT * FROM [automotive_demand_forecasting_dataset (8)]"/>
  </connection>
  <connection id="13" xr16:uid="{EF5157D2-AEF9-424A-975E-BF0C9ED82C5E}" keepAlive="1" name="Query - automotive_demand_forecasting_dataset (9)" description="Connection to the 'automotive_demand_forecasting_dataset (9)' query in the workbook." type="5" refreshedVersion="8" background="1" saveData="1">
    <dbPr connection="Provider=Microsoft.Mashup.OleDb.1;Data Source=$Workbook$;Location=&quot;automotive_demand_forecasting_dataset (9)&quot;;Extended Properties=&quot;&quot;" command="SELECT * FROM [automotive_demand_forecasting_dataset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<sst xmlns="http://schemas.openxmlformats.org/spreadsheetml/2006/main" count="11347" uniqueCount="472">
  <si>
    <t>Date</t>
  </si>
  <si>
    <t>Vehicle_Type</t>
  </si>
  <si>
    <t>Units_Sold</t>
  </si>
  <si>
    <t>Average_Price</t>
  </si>
  <si>
    <t>Fuel_Price</t>
  </si>
  <si>
    <t>GDP_Growth_Rate</t>
  </si>
  <si>
    <t>Unemployment_Rate</t>
  </si>
  <si>
    <t>Marketing_Spend</t>
  </si>
  <si>
    <t>Competitor_Sales</t>
  </si>
  <si>
    <t>Online_Interest_Index</t>
  </si>
  <si>
    <t>Sedan</t>
  </si>
  <si>
    <t>Hatchback</t>
  </si>
  <si>
    <t>SUV</t>
  </si>
  <si>
    <t>Electric</t>
  </si>
  <si>
    <t>Truck</t>
  </si>
  <si>
    <t>Missing Data</t>
  </si>
  <si>
    <t>Online_Interest_Index(Mean)</t>
  </si>
  <si>
    <t>Competitor_Sale(Mean)</t>
  </si>
  <si>
    <t>Marketing_Spend(Mean)</t>
  </si>
  <si>
    <t>Unemployment_Rate(Mean)</t>
  </si>
  <si>
    <t>GDP_Growth_Rate(Mean)</t>
  </si>
  <si>
    <t>Fuel_Price(Mean)</t>
  </si>
  <si>
    <t>Average_Price(Mean)</t>
  </si>
  <si>
    <t>Units_Sold (Mean)</t>
  </si>
  <si>
    <t>Z Score for unit sold</t>
  </si>
  <si>
    <t>Mean</t>
  </si>
  <si>
    <t>Standrad deviation</t>
  </si>
  <si>
    <t>Unit_Sold Z Score</t>
  </si>
  <si>
    <t>Median</t>
  </si>
  <si>
    <t>Q1</t>
  </si>
  <si>
    <t>IQR</t>
  </si>
  <si>
    <t>Q3</t>
  </si>
  <si>
    <t>Upper Bound</t>
  </si>
  <si>
    <t>Lower Bound</t>
  </si>
  <si>
    <t xml:space="preserve">Quartile for </t>
  </si>
  <si>
    <t>Average price</t>
  </si>
  <si>
    <t>Z &gt; -+3 = Outliers</t>
  </si>
  <si>
    <t>Row Labels</t>
  </si>
  <si>
    <t>Grand Total</t>
  </si>
  <si>
    <t>Sum of Units_Sold</t>
  </si>
  <si>
    <t>No inconsistencies</t>
  </si>
  <si>
    <t>West</t>
  </si>
  <si>
    <t>North</t>
  </si>
  <si>
    <t>South</t>
  </si>
  <si>
    <t>East</t>
  </si>
  <si>
    <t>Region</t>
  </si>
  <si>
    <t>Standard Error</t>
  </si>
  <si>
    <t>Mode</t>
  </si>
  <si>
    <t>Standard Deviation</t>
  </si>
  <si>
    <t>Sample Variance</t>
  </si>
  <si>
    <t>Kurtosis</t>
  </si>
  <si>
    <t>Skewness</t>
  </si>
  <si>
    <t>Range</t>
  </si>
  <si>
    <t>Minimum</t>
  </si>
  <si>
    <t>Maximum</t>
  </si>
  <si>
    <t>Sum</t>
  </si>
  <si>
    <t>Count</t>
  </si>
  <si>
    <t>Largest(1)</t>
  </si>
  <si>
    <t>Smallest(1)</t>
  </si>
  <si>
    <t>Confidence Level(95.0%)</t>
  </si>
  <si>
    <t>bin</t>
  </si>
  <si>
    <t>More</t>
  </si>
  <si>
    <t>Frequency</t>
  </si>
  <si>
    <t>Cumulative %</t>
  </si>
  <si>
    <t>Monthy_Sale</t>
  </si>
  <si>
    <t>May</t>
  </si>
  <si>
    <t>January</t>
  </si>
  <si>
    <t>February</t>
  </si>
  <si>
    <t>March</t>
  </si>
  <si>
    <t>April</t>
  </si>
  <si>
    <t>June</t>
  </si>
  <si>
    <t>July</t>
  </si>
  <si>
    <t>August</t>
  </si>
  <si>
    <t>September</t>
  </si>
  <si>
    <t>October</t>
  </si>
  <si>
    <t>November</t>
  </si>
  <si>
    <t>December</t>
  </si>
  <si>
    <t>Sum of Marketing_Spend</t>
  </si>
  <si>
    <t>Average of Average_Price</t>
  </si>
  <si>
    <t>Average of Units_Sold</t>
  </si>
  <si>
    <t>Total Units Sold</t>
  </si>
  <si>
    <r>
      <t>Description</t>
    </r>
    <r>
      <rPr>
        <sz val="11"/>
        <color theme="1"/>
        <rFont val="Calibri"/>
        <family val="2"/>
        <scheme val="minor"/>
      </rPr>
      <t>: Total number of vehicles sold over the selected time period.</t>
    </r>
  </si>
  <si>
    <t>Average Vehicle Price</t>
  </si>
  <si>
    <t>Estimated Revenue</t>
  </si>
  <si>
    <r>
      <t>Description</t>
    </r>
    <r>
      <rPr>
        <sz val="11"/>
        <color theme="1"/>
        <rFont val="Calibri"/>
        <family val="2"/>
        <scheme val="minor"/>
      </rPr>
      <t>: Indicates price positioning and customer spending behavior.</t>
    </r>
  </si>
  <si>
    <t>Marketing Efficiency Ratio</t>
  </si>
  <si>
    <t>Total Marketing_Spend</t>
  </si>
  <si>
    <r>
      <t>Description</t>
    </r>
    <r>
      <rPr>
        <sz val="11"/>
        <color theme="1"/>
        <rFont val="Calibri"/>
        <family val="2"/>
        <scheme val="minor"/>
      </rPr>
      <t>: Approximate revenue = Units Sold × Average Price.</t>
    </r>
  </si>
  <si>
    <t>Total Online_Interest_Index</t>
  </si>
  <si>
    <t>Online Interest Conversion Rate</t>
  </si>
  <si>
    <r>
      <t>Description</t>
    </r>
    <r>
      <rPr>
        <sz val="11"/>
        <color theme="1"/>
        <rFont val="Calibri"/>
        <family val="2"/>
        <scheme val="minor"/>
      </rPr>
      <t>: Measures how well online interest translates to sales.</t>
    </r>
  </si>
  <si>
    <r>
      <t>Description</t>
    </r>
    <r>
      <rPr>
        <sz val="11"/>
        <color theme="1"/>
        <rFont val="Calibri"/>
        <family val="2"/>
        <scheme val="minor"/>
      </rPr>
      <t>: Shows the return on marketing spend.</t>
    </r>
  </si>
  <si>
    <t>Correlation b/w Units_Sold and Average_Price</t>
  </si>
  <si>
    <t>Correlation b/w Units_Sold and Competitor_Sales</t>
  </si>
  <si>
    <t>Correlation b/w Units_Sold and Marketing_Spend</t>
  </si>
  <si>
    <t>Correlation b/w Units_Sold and Online_Interest_Index</t>
  </si>
  <si>
    <t>Finding missing values through Conditional formatting</t>
  </si>
  <si>
    <t>Handling missing values by using average value</t>
  </si>
  <si>
    <t>Analysing Automotive Market Demand Trends</t>
  </si>
  <si>
    <t xml:space="preserve">Unit_Sold </t>
  </si>
  <si>
    <t>Jan</t>
  </si>
  <si>
    <t>Feb</t>
  </si>
  <si>
    <t>Mar</t>
  </si>
  <si>
    <t>Apr</t>
  </si>
  <si>
    <t>Jun</t>
  </si>
  <si>
    <t>Jul</t>
  </si>
  <si>
    <t>Aug</t>
  </si>
  <si>
    <t>Sep</t>
  </si>
  <si>
    <t>Oct</t>
  </si>
  <si>
    <t>Nov</t>
  </si>
  <si>
    <t>Dec</t>
  </si>
  <si>
    <t>Column Labels</t>
  </si>
  <si>
    <t>Month</t>
  </si>
  <si>
    <t>Year</t>
  </si>
  <si>
    <t>Forecasted_Units</t>
  </si>
  <si>
    <t>Error</t>
  </si>
  <si>
    <t>% Error</t>
  </si>
  <si>
    <t>Error = Actual - Forecasted</t>
  </si>
  <si>
    <t>% Error = Error / Actual</t>
  </si>
  <si>
    <t>Mean = MEAN()</t>
  </si>
  <si>
    <t>Meadian = MEDIAN()</t>
  </si>
  <si>
    <t>Mode = MODE()</t>
  </si>
  <si>
    <t>Standard Deviation = STDEV.S()</t>
  </si>
  <si>
    <t>Frequancy Distribution</t>
  </si>
  <si>
    <t>Variance</t>
  </si>
  <si>
    <t>Variance = VAR.S()</t>
  </si>
  <si>
    <t>Frequency Distribution = FREQUENCY()</t>
  </si>
  <si>
    <t>Median = Median()</t>
  </si>
  <si>
    <t>Q3 = QUARTILE.EXC(array, 3)</t>
  </si>
  <si>
    <t>Q1 = QUARTILE.EXC(array, 1)</t>
  </si>
  <si>
    <t>IQR = Q3-Q1</t>
  </si>
  <si>
    <t>Lower Bound = Q1 - 1.5 * IQR</t>
  </si>
  <si>
    <t>Upper Bound = Q3 - 1.5 * IQR</t>
  </si>
  <si>
    <t>Handling missing values by using average(mean) value</t>
  </si>
  <si>
    <t>Z Score = (X−μ) /σ</t>
  </si>
  <si>
    <t>Where:</t>
  </si>
  <si>
    <r>
      <t>X</t>
    </r>
    <r>
      <rPr>
        <sz val="11"/>
        <color theme="1"/>
        <rFont val="Calibri"/>
        <family val="2"/>
        <scheme val="minor"/>
      </rPr>
      <t xml:space="preserve"> = individual data point</t>
    </r>
  </si>
  <si>
    <r>
      <t>μ (mu)</t>
    </r>
    <r>
      <rPr>
        <sz val="11"/>
        <color theme="1"/>
        <rFont val="Calibri"/>
        <family val="2"/>
        <scheme val="minor"/>
      </rPr>
      <t xml:space="preserve"> = mean of the dataset</t>
    </r>
  </si>
  <si>
    <r>
      <t>σ (sigma)</t>
    </r>
    <r>
      <rPr>
        <sz val="11"/>
        <color theme="1"/>
        <rFont val="Calibri"/>
        <family val="2"/>
        <scheme val="minor"/>
      </rPr>
      <t xml:space="preserve"> = standard deviation of the dataset</t>
    </r>
  </si>
  <si>
    <t>Analysing Demand Forecasting by using Error formula</t>
  </si>
  <si>
    <t>%Error = Error / Actual</t>
  </si>
  <si>
    <t xml:space="preserve">For Descriptive Statistics Using Formula </t>
  </si>
  <si>
    <t>Data Representation Using Conditional Formatting</t>
  </si>
  <si>
    <r>
      <t>Color Scales</t>
    </r>
    <r>
      <rPr>
        <sz val="11"/>
        <color theme="1"/>
        <rFont val="Calibri"/>
        <family val="2"/>
        <scheme val="minor"/>
      </rPr>
      <t xml:space="preserve"> → Great for showing high-to-low values with gradient colors.</t>
    </r>
  </si>
  <si>
    <r>
      <t>Data Bars</t>
    </r>
    <r>
      <rPr>
        <sz val="11"/>
        <color theme="1"/>
        <rFont val="Calibri"/>
        <family val="2"/>
        <scheme val="minor"/>
      </rPr>
      <t xml:space="preserve"> → Adds horizontal bars to represent values.</t>
    </r>
  </si>
  <si>
    <r>
      <t>Icon Sets</t>
    </r>
    <r>
      <rPr>
        <sz val="11"/>
        <color theme="1"/>
        <rFont val="Calibri"/>
        <family val="2"/>
        <scheme val="minor"/>
      </rPr>
      <t xml:space="preserve"> → Arrows or icons based on value thresholds.</t>
    </r>
  </si>
  <si>
    <t>Finding Correlation Between columns by using Correlation Function</t>
  </si>
  <si>
    <t>Finding Outliers Through Quartile, Z-score and Box Plot Function</t>
  </si>
  <si>
    <t xml:space="preserve">Fixing Outliers Through Median Value </t>
  </si>
  <si>
    <t>Correlation = CORREL(array1, array2)</t>
  </si>
  <si>
    <t>Sum of Average_Price</t>
  </si>
  <si>
    <t>(All)</t>
  </si>
  <si>
    <r>
      <t>Purpose</t>
    </r>
    <r>
      <rPr>
        <sz val="11"/>
        <color theme="1"/>
        <rFont val="Calibri"/>
        <family val="2"/>
        <scheme val="minor"/>
      </rPr>
      <t>: Summarize sales and other metrics by vehicle type.</t>
    </r>
  </si>
  <si>
    <t>Average Units Sold per Month</t>
  </si>
  <si>
    <t>Price Sensitivity Index</t>
  </si>
  <si>
    <t>Competitor Sales Impact</t>
  </si>
  <si>
    <r>
      <rPr>
        <b/>
        <sz val="11"/>
        <color theme="1"/>
        <rFont val="Calibri"/>
        <family val="2"/>
        <scheme val="minor"/>
      </rPr>
      <t>Description:</t>
    </r>
    <r>
      <rPr>
        <sz val="11"/>
        <color theme="1"/>
        <rFont val="Calibri"/>
        <family val="2"/>
        <scheme val="minor"/>
      </rPr>
      <t xml:space="preserve"> Correlation with competitor sales</t>
    </r>
  </si>
  <si>
    <r>
      <rPr>
        <b/>
        <sz val="11"/>
        <color theme="1"/>
        <rFont val="Calibri"/>
        <family val="2"/>
        <scheme val="minor"/>
      </rPr>
      <t>Description:</t>
    </r>
    <r>
      <rPr>
        <sz val="11"/>
        <color theme="1"/>
        <rFont val="Calibri"/>
        <family val="2"/>
        <scheme val="minor"/>
      </rPr>
      <t xml:space="preserve"> Correlation between price and sales</t>
    </r>
  </si>
  <si>
    <r>
      <rPr>
        <b/>
        <sz val="11"/>
        <color theme="1"/>
        <rFont val="Calibri"/>
        <family val="2"/>
        <scheme val="minor"/>
      </rPr>
      <t xml:space="preserve">Description: </t>
    </r>
    <r>
      <rPr>
        <sz val="11"/>
        <color theme="1"/>
        <rFont val="Calibri"/>
        <family val="2"/>
        <scheme val="minor"/>
      </rPr>
      <t>Monthly average demand</t>
    </r>
  </si>
  <si>
    <r>
      <rPr>
        <b/>
        <sz val="11"/>
        <color theme="1"/>
        <rFont val="Calibri"/>
        <family val="2"/>
        <scheme val="minor"/>
      </rPr>
      <t xml:space="preserve">Description: </t>
    </r>
    <r>
      <rPr>
        <sz val="11"/>
        <color theme="1"/>
        <rFont val="Calibri"/>
        <family val="2"/>
        <scheme val="minor"/>
      </rPr>
      <t>Total number of vehicles sold per type</t>
    </r>
  </si>
  <si>
    <t>Online Interest Index Avg</t>
  </si>
  <si>
    <r>
      <rPr>
        <b/>
        <sz val="11"/>
        <color theme="1"/>
        <rFont val="Calibri"/>
        <family val="2"/>
        <scheme val="minor"/>
      </rPr>
      <t xml:space="preserve">Description: </t>
    </r>
    <r>
      <rPr>
        <sz val="11"/>
        <color theme="1"/>
        <rFont val="Calibri"/>
        <family val="2"/>
        <scheme val="minor"/>
      </rPr>
      <t>Consumer online search engagement</t>
    </r>
  </si>
  <si>
    <t>Analysing Consumer Trends by Vehicle Type</t>
  </si>
  <si>
    <t>Forecast(Units_Sold)</t>
  </si>
  <si>
    <t>Lower Confidence Bound(Units_Sold)</t>
  </si>
  <si>
    <t>Upper Confidence Bound(Units_Sold)</t>
  </si>
  <si>
    <t>Forecasted_Units = Average()</t>
  </si>
  <si>
    <t>Season</t>
  </si>
  <si>
    <t>Autumn</t>
  </si>
  <si>
    <t>Spring</t>
  </si>
  <si>
    <t>Summer</t>
  </si>
  <si>
    <t>Winter</t>
  </si>
  <si>
    <t>Season with Highest Demand</t>
  </si>
  <si>
    <t>Average Units Sold per Season:</t>
  </si>
  <si>
    <t>Benefits of Seasonal Demand Tracking</t>
  </si>
  <si>
    <r>
      <t xml:space="preserve">Reveals </t>
    </r>
    <r>
      <rPr>
        <b/>
        <sz val="11"/>
        <color theme="1"/>
        <rFont val="Calibri"/>
        <family val="2"/>
        <scheme val="minor"/>
      </rPr>
      <t>cyclical buying behavior</t>
    </r>
    <r>
      <rPr>
        <sz val="11"/>
        <color theme="1"/>
        <rFont val="Calibri"/>
        <family val="2"/>
        <scheme val="minor"/>
      </rPr>
      <t>.</t>
    </r>
  </si>
  <si>
    <r>
      <t xml:space="preserve">Helps in </t>
    </r>
    <r>
      <rPr>
        <b/>
        <sz val="11"/>
        <color theme="1"/>
        <rFont val="Calibri"/>
        <family val="2"/>
        <scheme val="minor"/>
      </rPr>
      <t>inventory planning</t>
    </r>
    <r>
      <rPr>
        <sz val="11"/>
        <color theme="1"/>
        <rFont val="Calibri"/>
        <family val="2"/>
        <scheme val="minor"/>
      </rPr>
      <t xml:space="preserve"> and </t>
    </r>
    <r>
      <rPr>
        <b/>
        <sz val="11"/>
        <color theme="1"/>
        <rFont val="Calibri"/>
        <family val="2"/>
        <scheme val="minor"/>
      </rPr>
      <t>marketing timing</t>
    </r>
    <r>
      <rPr>
        <sz val="11"/>
        <color theme="1"/>
        <rFont val="Calibri"/>
        <family val="2"/>
        <scheme val="minor"/>
      </rPr>
      <t>.</t>
    </r>
  </si>
  <si>
    <r>
      <t xml:space="preserve">Enables </t>
    </r>
    <r>
      <rPr>
        <b/>
        <sz val="11"/>
        <color theme="1"/>
        <rFont val="Calibri"/>
        <family val="2"/>
        <scheme val="minor"/>
      </rPr>
      <t>seasonal promotions</t>
    </r>
    <r>
      <rPr>
        <sz val="11"/>
        <color theme="1"/>
        <rFont val="Calibri"/>
        <family val="2"/>
        <scheme val="minor"/>
      </rPr>
      <t xml:space="preserve"> for different vehicle types.</t>
    </r>
  </si>
  <si>
    <t>Demand Change</t>
  </si>
  <si>
    <t>Calculating Demand Change by using formula = IF(B2=B1, C2 - C1, "")</t>
  </si>
  <si>
    <r>
      <rPr>
        <b/>
        <sz val="11"/>
        <color theme="1"/>
        <rFont val="Calibri"/>
        <family val="2"/>
        <scheme val="minor"/>
      </rPr>
      <t>Description:</t>
    </r>
    <r>
      <rPr>
        <sz val="11"/>
        <color theme="1"/>
        <rFont val="Calibri"/>
        <family val="2"/>
        <scheme val="minor"/>
      </rPr>
      <t xml:space="preserve"> This checks if the same Vehicle_Type is being compared to the previous row. If yes, it calculates the change in Units_Sold.</t>
    </r>
  </si>
  <si>
    <t>Apply Conditional Formatting to Alert Declines</t>
  </si>
  <si>
    <r>
      <t xml:space="preserve">Now, any row with a </t>
    </r>
    <r>
      <rPr>
        <b/>
        <sz val="11"/>
        <color theme="1"/>
        <rFont val="Calibri"/>
        <family val="2"/>
        <scheme val="minor"/>
      </rPr>
      <t>decline in Units_Sold</t>
    </r>
    <r>
      <rPr>
        <sz val="11"/>
        <color theme="1"/>
        <rFont val="Calibri"/>
        <family val="2"/>
        <scheme val="minor"/>
      </rPr>
      <t xml:space="preserve"> will be visually flagged.</t>
    </r>
  </si>
  <si>
    <t>Inventory_On_Hand</t>
  </si>
  <si>
    <t>Lead_Time</t>
  </si>
  <si>
    <t>Daily_Production</t>
  </si>
  <si>
    <t>Production_Capacity</t>
  </si>
  <si>
    <t>Safety_Stock</t>
  </si>
  <si>
    <t>Production_Needed</t>
  </si>
  <si>
    <t>Planned_Production</t>
  </si>
  <si>
    <t>Backlog</t>
  </si>
  <si>
    <t>Inventory_After</t>
  </si>
  <si>
    <t>Sum of Planned_Production</t>
  </si>
  <si>
    <t>Sum of Inventory_On_Hand</t>
  </si>
  <si>
    <t>Sum of Inventory_After</t>
  </si>
  <si>
    <t>Total Forecasted Units</t>
  </si>
  <si>
    <t>Average Production Capacity</t>
  </si>
  <si>
    <t>Total Daily Production</t>
  </si>
  <si>
    <t>Total Production Needed</t>
  </si>
  <si>
    <t>Optimizing Production Planning based on Demand Forecasts</t>
  </si>
  <si>
    <t>Benefits of This System</t>
  </si>
  <si>
    <r>
      <t xml:space="preserve">Ensures </t>
    </r>
    <r>
      <rPr>
        <b/>
        <sz val="11"/>
        <color theme="1"/>
        <rFont val="Calibri"/>
        <family val="2"/>
        <scheme val="minor"/>
      </rPr>
      <t>demand-driven production</t>
    </r>
  </si>
  <si>
    <r>
      <t xml:space="preserve">Reduces </t>
    </r>
    <r>
      <rPr>
        <b/>
        <sz val="11"/>
        <color theme="1"/>
        <rFont val="Calibri"/>
        <family val="2"/>
        <scheme val="minor"/>
      </rPr>
      <t>inventory holding costs</t>
    </r>
  </si>
  <si>
    <r>
      <t xml:space="preserve">Avoids </t>
    </r>
    <r>
      <rPr>
        <b/>
        <sz val="11"/>
        <color theme="1"/>
        <rFont val="Calibri"/>
        <family val="2"/>
        <scheme val="minor"/>
      </rPr>
      <t>capacity overloads</t>
    </r>
  </si>
  <si>
    <t>Sales_Rep_Name</t>
  </si>
  <si>
    <t>Feedback_Type</t>
  </si>
  <si>
    <t>Feedback_Comment</t>
  </si>
  <si>
    <t>Adjustment_Suggestion</t>
  </si>
  <si>
    <t>Demand Spike</t>
  </si>
  <si>
    <t>Demand Drop</t>
  </si>
  <si>
    <t>Stock Shortage</t>
  </si>
  <si>
    <t>Seasonal Trend</t>
  </si>
  <si>
    <t>Competitor Price Drop</t>
  </si>
  <si>
    <t>John Doe</t>
  </si>
  <si>
    <t>Priya Sharma</t>
  </si>
  <si>
    <t>Ahmed Khan</t>
  </si>
  <si>
    <t>John D.</t>
  </si>
  <si>
    <t>Lisa Chen</t>
  </si>
  <si>
    <t>Rahul Mehta</t>
  </si>
  <si>
    <t>Anjali R.</t>
  </si>
  <si>
    <t>Sudden increase in SUV inquiries after recent promotions.</t>
  </si>
  <si>
    <t>Showroom footfall has decreased due to rising fuel prices.</t>
  </si>
  <si>
    <t>Multiple lost sales this month due to lack of hatchback availability.</t>
  </si>
  <si>
    <t>Competitor slashed prices for similar vehicles by 10%, affecting our Electric sales.</t>
  </si>
  <si>
    <t>Sales typically drop in the rainy season; expecting lower demand for convertibles.</t>
  </si>
  <si>
    <t>Reduce forecast by 10%</t>
  </si>
  <si>
    <t>Increase forecast by 15%</t>
  </si>
  <si>
    <t>Add 200 extra units</t>
  </si>
  <si>
    <t>Delay production by 1 week</t>
  </si>
  <si>
    <t>Shift 100 units to North</t>
  </si>
  <si>
    <t>FeedBack_Type</t>
  </si>
  <si>
    <t>Using Drop-Down For :</t>
  </si>
  <si>
    <t>Using XLookUp:</t>
  </si>
  <si>
    <t>Forecasted_Date</t>
  </si>
  <si>
    <t>Forecasted_Unit_Sold</t>
  </si>
  <si>
    <t>Adjustment_Percentage</t>
  </si>
  <si>
    <t>Feedback_Adjustment</t>
  </si>
  <si>
    <t>Adjusted_Forecast</t>
  </si>
  <si>
    <t>Accuracy (%)</t>
  </si>
  <si>
    <t xml:space="preserve">Calculating </t>
  </si>
  <si>
    <t>Daily_Production by using IFS()</t>
  </si>
  <si>
    <t>Inventory_On_Hand =[@[Daily_Production]]-[@[Forecasted_Units]]</t>
  </si>
  <si>
    <t>Lead_Time by using IFS()</t>
  </si>
  <si>
    <t>Production_Capacity =[@[Daily_Production]]*22</t>
  </si>
  <si>
    <t>Safety_Stock =[@[Forecasted_Units]]*0.1</t>
  </si>
  <si>
    <t>Production_Needed =[@[Adjusted_Forecast]]+[@[Safety_Stock]]-[@[Inventory_On_Hand]]</t>
  </si>
  <si>
    <t>Planned_Production =MIN([@[Production_Needed]],[@[Production_Capacity]])</t>
  </si>
  <si>
    <t>Backlog =MAX([@[Production_Needed]]-[@[Planned_Production]],0)</t>
  </si>
  <si>
    <t>Inventory_After =[@[Inventory_On_Hand]]+[@[Planned_Production]]-[@[Forecasted_Units]]</t>
  </si>
  <si>
    <t>Adjustment_Percentage by using XLookUp()</t>
  </si>
  <si>
    <t>Adjusted_Forecast =[@[Forecasted_Units]]*(1+[@[Adjustment_Percentage]])</t>
  </si>
  <si>
    <t>Sum of Forecasted_Units</t>
  </si>
  <si>
    <t>Capacity Utilization %</t>
  </si>
  <si>
    <t>Forecasted_Units by using Forecast.Linear()</t>
  </si>
  <si>
    <t>Review &amp; Update Monthly</t>
  </si>
  <si>
    <r>
      <t xml:space="preserve">Collect feedback </t>
    </r>
    <r>
      <rPr>
        <b/>
        <sz val="11"/>
        <color theme="1"/>
        <rFont val="Calibri"/>
        <family val="2"/>
        <scheme val="minor"/>
      </rPr>
      <t>monthly or bi-weekly</t>
    </r>
  </si>
  <si>
    <t>Review accuracy report</t>
  </si>
  <si>
    <t>Share back to sales team for alignment</t>
  </si>
  <si>
    <t>Calculating Forecasted_Unit_Sold by using Forecast.Linear</t>
  </si>
  <si>
    <t>(blank)</t>
  </si>
  <si>
    <t>Sum of Feedback_Adjustment</t>
  </si>
  <si>
    <r>
      <t xml:space="preserve">Make decisions based on </t>
    </r>
    <r>
      <rPr>
        <b/>
        <sz val="11"/>
        <color theme="1"/>
        <rFont val="Calibri"/>
        <family val="2"/>
        <scheme val="minor"/>
      </rPr>
      <t>capacity constraints</t>
    </r>
  </si>
  <si>
    <t>Sum of Production_Capacity</t>
  </si>
  <si>
    <t>Vehicle_type</t>
  </si>
  <si>
    <t>Sum of Accuracy (%)</t>
  </si>
  <si>
    <t>Sum of Adjusted_Forecast</t>
  </si>
  <si>
    <t>Total Forecasted_Units</t>
  </si>
  <si>
    <t>Mean Absolute Error (MAE)</t>
  </si>
  <si>
    <t>Mean Absolute Percentage Error (MAPE)</t>
  </si>
  <si>
    <t>Root Mean Squared Error (RMSE)</t>
  </si>
  <si>
    <r>
      <rPr>
        <b/>
        <sz val="11"/>
        <color theme="1"/>
        <rFont val="Calibri"/>
        <family val="2"/>
        <scheme val="minor"/>
      </rPr>
      <t>Description:</t>
    </r>
    <r>
      <rPr>
        <sz val="11"/>
        <color theme="1"/>
        <rFont val="Calibri"/>
        <family val="2"/>
        <scheme val="minor"/>
      </rPr>
      <t xml:space="preserve"> Average forecast error as a percentage of actual values.</t>
    </r>
  </si>
  <si>
    <r>
      <rPr>
        <b/>
        <sz val="11"/>
        <color theme="1"/>
        <rFont val="Calibri"/>
        <family val="2"/>
        <scheme val="minor"/>
      </rPr>
      <t xml:space="preserve">Description: </t>
    </r>
    <r>
      <rPr>
        <sz val="11"/>
        <color theme="1"/>
        <rFont val="Calibri"/>
        <family val="2"/>
        <scheme val="minor"/>
      </rPr>
      <t>Average of absolute differences between forecasted and actual sales.</t>
    </r>
  </si>
  <si>
    <r>
      <rPr>
        <b/>
        <sz val="11"/>
        <color theme="1"/>
        <rFont val="Calibri"/>
        <family val="2"/>
        <scheme val="minor"/>
      </rPr>
      <t>Description:</t>
    </r>
    <r>
      <rPr>
        <sz val="11"/>
        <color theme="1"/>
        <rFont val="Calibri"/>
        <family val="2"/>
        <scheme val="minor"/>
      </rPr>
      <t xml:space="preserve"> Penalizes larger forecast errors.</t>
    </r>
  </si>
  <si>
    <t>Feature</t>
  </si>
  <si>
    <t>Total Revenue</t>
  </si>
  <si>
    <t>Total Unit_Sold</t>
  </si>
  <si>
    <t>Average Marketing_Spend</t>
  </si>
  <si>
    <t>Total Average Price</t>
  </si>
  <si>
    <t>System to automate the generation of demand forecasting reports</t>
  </si>
  <si>
    <t>Benefits of this System</t>
  </si>
  <si>
    <t>Updates with new data.</t>
  </si>
  <si>
    <t>Recalculates KPIs and forecasts.</t>
  </si>
  <si>
    <t>Refreshes charts and PivotTables.</t>
  </si>
  <si>
    <t>Exports clean reports in 1 click.</t>
  </si>
  <si>
    <t>Sales Feedback Input</t>
  </si>
  <si>
    <t>Forecast Adjustment Logic</t>
  </si>
  <si>
    <t>Accuracy Tracking</t>
  </si>
  <si>
    <t>Integrated Dashboard</t>
  </si>
  <si>
    <t>Benefit</t>
  </si>
  <si>
    <t>Captures field insights</t>
  </si>
  <si>
    <t>Refines planning dynamically</t>
  </si>
  <si>
    <t>Measures value of feedback</t>
  </si>
  <si>
    <t>Helps visualize and respond to feedback</t>
  </si>
  <si>
    <t>Sum of Competitor_Sales</t>
  </si>
  <si>
    <t>Total Sales</t>
  </si>
  <si>
    <t>Average Price</t>
  </si>
  <si>
    <t>Forecast Error</t>
  </si>
  <si>
    <t>MAPE</t>
  </si>
  <si>
    <t xml:space="preserve">Benefits </t>
  </si>
  <si>
    <t>A live-updating dashboard.</t>
  </si>
  <si>
    <t>Automated KPIs and trend tracking.</t>
  </si>
  <si>
    <t>No need to recalculate or manually update formulas.</t>
  </si>
  <si>
    <t>Online Interest Level</t>
  </si>
  <si>
    <t>Column1</t>
  </si>
  <si>
    <t>Forecast Accuracy (MAPE)</t>
  </si>
  <si>
    <t>Marketing Spend Efficiency</t>
  </si>
  <si>
    <t>Most Demanded Vehicle</t>
  </si>
  <si>
    <t>Forecasted_Demand</t>
  </si>
  <si>
    <t>Prod_Cost_Per_Unit</t>
  </si>
  <si>
    <t>Working_Days</t>
  </si>
  <si>
    <t>Max Capacity</t>
  </si>
  <si>
    <t>Production_Hours</t>
  </si>
  <si>
    <t>Maintenance_Downtime</t>
  </si>
  <si>
    <t>Units_to_Produce (Decision Variable)</t>
  </si>
  <si>
    <t>Total_Cost</t>
  </si>
  <si>
    <t>Max_Capacity</t>
  </si>
  <si>
    <t>Marketing_Campaign</t>
  </si>
  <si>
    <t>Campaign_Channel</t>
  </si>
  <si>
    <t>Online</t>
  </si>
  <si>
    <t>TV</t>
  </si>
  <si>
    <t>Radio</t>
  </si>
  <si>
    <t>Print</t>
  </si>
  <si>
    <t>Billboards</t>
  </si>
  <si>
    <r>
      <t>Cost per Unit Sold</t>
    </r>
    <r>
      <rPr>
        <sz val="11"/>
        <color theme="1"/>
        <rFont val="Calibri"/>
        <family val="2"/>
        <scheme val="minor"/>
      </rPr>
      <t>:</t>
    </r>
  </si>
  <si>
    <t>Autumn Arrivals</t>
  </si>
  <si>
    <t>BloomingDeal</t>
  </si>
  <si>
    <t>Halloween Haul</t>
  </si>
  <si>
    <t>NewYearSale</t>
  </si>
  <si>
    <t>November Nirvana</t>
  </si>
  <si>
    <t>Savings Be Wid You</t>
  </si>
  <si>
    <t>SpringPromo</t>
  </si>
  <si>
    <t>SummerFinale</t>
  </si>
  <si>
    <t>SummerSale</t>
  </si>
  <si>
    <t>SunshineSavings</t>
  </si>
  <si>
    <t>Valentine'sDrive</t>
  </si>
  <si>
    <t>Winter Wonderland</t>
  </si>
  <si>
    <t>Sum of Cost per Unit Sold:</t>
  </si>
  <si>
    <t>MAX of Units_Sold</t>
  </si>
  <si>
    <t>MIN of Cost</t>
  </si>
  <si>
    <t>Cost per Sale</t>
  </si>
  <si>
    <t>ROI per Campaign</t>
  </si>
  <si>
    <t>Sum of Online_Interest_Index</t>
  </si>
  <si>
    <t>Current_Month_Sales</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</si>
  <si>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</si>
  <si>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</si>
  <si>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</si>
  <si>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</si>
  <si>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</si>
  <si>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</si>
  <si>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</si>
  <si>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</si>
  <si>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</si>
  <si>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</si>
  <si>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</si>
  <si>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</si>
  <si>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</si>
  <si>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</si>
  <si>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</si>
  <si>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</si>
  <si>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</si>
  <si>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</si>
  <si>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</si>
  <si>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</si>
  <si>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</si>
  <si>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</si>
  <si>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</si>
  <si>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</si>
  <si>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</si>
  <si>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</si>
  <si>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</si>
  <si>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</si>
  <si>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</si>
  <si>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</si>
  <si>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</si>
  <si>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</si>
  <si>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</si>
  <si>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</si>
  <si>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</si>
  <si>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</si>
  <si>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</si>
  <si>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</si>
  <si>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</si>
  <si>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</si>
  <si>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</si>
  <si>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Previous Month Sales</t>
  </si>
  <si>
    <t>%Change</t>
  </si>
  <si>
    <t>Alert</t>
  </si>
  <si>
    <t>Monitoring Demand Trends Over Time</t>
  </si>
  <si>
    <t>Peak Demand Month</t>
  </si>
  <si>
    <t>Year-to-Date (YTD) Sales</t>
  </si>
  <si>
    <t>Average Monthly Sales</t>
  </si>
  <si>
    <t>Market Demand Trends</t>
  </si>
  <si>
    <t>Section</t>
  </si>
  <si>
    <t>Go to Dashboard</t>
  </si>
  <si>
    <t>Consumer Trends by Vehicle Type</t>
  </si>
  <si>
    <t>Demand Forecasting Reports</t>
  </si>
  <si>
    <t>Tracking Market Demand by Season</t>
  </si>
  <si>
    <t>Market Demand by Season</t>
  </si>
  <si>
    <t>Optimizing Production Planning</t>
  </si>
  <si>
    <t>System to Automate the Process of Market Data Analysis</t>
  </si>
  <si>
    <t>Market Data Analysis</t>
  </si>
  <si>
    <t>Process of Demand Trend analysis</t>
  </si>
  <si>
    <t>Dashboard for real-time demand insights</t>
  </si>
  <si>
    <t>Real-time demand insights</t>
  </si>
  <si>
    <t>Tracking Demand by Marketing Campaign Effectiveness</t>
  </si>
  <si>
    <t>Marketing Campaign Effectiveness</t>
  </si>
  <si>
    <t xml:space="preserve">Integrating feedback from sales teams for continuous improvement </t>
  </si>
  <si>
    <t xml:space="preserve">Integrating feedback from sales teams </t>
  </si>
  <si>
    <t>Automate the process of demand trend analysis</t>
  </si>
  <si>
    <t>Demand trend analysis</t>
  </si>
  <si>
    <t>Formula And Calculations</t>
  </si>
  <si>
    <t>SUV Sales</t>
  </si>
  <si>
    <t>Sedan Sales</t>
  </si>
  <si>
    <r>
      <t>Null Hypothesis (H₀):</t>
    </r>
    <r>
      <rPr>
        <sz val="11"/>
        <color theme="1"/>
        <rFont val="Calibri"/>
        <family val="2"/>
        <scheme val="minor"/>
      </rPr>
      <t xml:space="preserve"> μ(SUV) = μ(Sedan)</t>
    </r>
  </si>
  <si>
    <r>
      <t>Alternative Hypothesis (H₁):</t>
    </r>
    <r>
      <rPr>
        <sz val="11"/>
        <color theme="1"/>
        <rFont val="Calibri"/>
        <family val="2"/>
        <scheme val="minor"/>
      </rPr>
      <t xml:space="preserve"> μ(SUV) &gt; μ(Sedan)</t>
    </r>
  </si>
  <si>
    <t>t-Test: Two-Sample Assuming Unequal Variances</t>
  </si>
  <si>
    <t>Observations</t>
  </si>
  <si>
    <t>Hypothesized Mean Difference</t>
  </si>
  <si>
    <t>df</t>
  </si>
  <si>
    <t>t Stat</t>
  </si>
  <si>
    <t>P(T&lt;=t) one-tail</t>
  </si>
  <si>
    <t>t Critical one-tail</t>
  </si>
  <si>
    <t>P(T&lt;=t) two-tail</t>
  </si>
  <si>
    <t>t Critical two-tail</t>
  </si>
  <si>
    <t>Result</t>
  </si>
  <si>
    <t>Hypothesis Testing by</t>
  </si>
  <si>
    <t>T- test</t>
  </si>
  <si>
    <t>Anova Test</t>
  </si>
  <si>
    <t>SUVs Sale</t>
  </si>
  <si>
    <t>Sedans Sale</t>
  </si>
  <si>
    <t>Hatchback Sale</t>
  </si>
  <si>
    <t>Electric Sale</t>
  </si>
  <si>
    <t>Truck Sale</t>
  </si>
  <si>
    <r>
      <t>H₀ (Null Hypothesis):</t>
    </r>
    <r>
      <rPr>
        <sz val="11"/>
        <color theme="1"/>
        <rFont val="Calibri"/>
        <family val="2"/>
        <scheme val="minor"/>
      </rPr>
      <t xml:space="preserve"> Mean Units_Sold is the same across all vehicle types.</t>
    </r>
  </si>
  <si>
    <r>
      <t>H₁ (Alternative Hypothesis):</t>
    </r>
    <r>
      <rPr>
        <sz val="11"/>
        <color theme="1"/>
        <rFont val="Calibri"/>
        <family val="2"/>
        <scheme val="minor"/>
      </rPr>
      <t xml:space="preserve"> At least one vehicle type has a different average Units_Sold.</t>
    </r>
  </si>
  <si>
    <t>Anova: Single Factor</t>
  </si>
  <si>
    <t>SUMMARY</t>
  </si>
  <si>
    <t>Groups</t>
  </si>
  <si>
    <t>Average</t>
  </si>
  <si>
    <t>ANOVA</t>
  </si>
  <si>
    <t>Source of Variation</t>
  </si>
  <si>
    <t>SS</t>
  </si>
  <si>
    <t>MS</t>
  </si>
  <si>
    <t>F</t>
  </si>
  <si>
    <t>P-value</t>
  </si>
  <si>
    <t>F crit</t>
  </si>
  <si>
    <t>Between Groups</t>
  </si>
  <si>
    <t>Within Groups</t>
  </si>
  <si>
    <t>Total</t>
  </si>
  <si>
    <t>No significant difference.</t>
  </si>
  <si>
    <t>Description</t>
  </si>
  <si>
    <r>
      <t>There is a significant difference</t>
    </r>
    <r>
      <rPr>
        <sz val="11"/>
        <color theme="1"/>
        <rFont val="Calibri"/>
        <family val="2"/>
        <scheme val="minor"/>
      </rPr>
      <t xml:space="preserve"> in average sales among vehicle types.</t>
    </r>
  </si>
  <si>
    <t>Variables</t>
  </si>
  <si>
    <t>Forecasted_Units_Sold</t>
  </si>
  <si>
    <t>$B$2</t>
  </si>
  <si>
    <t>$B$3</t>
  </si>
  <si>
    <t>$B$4</t>
  </si>
  <si>
    <t>$B$5</t>
  </si>
  <si>
    <t>$B$6</t>
  </si>
  <si>
    <t>Best Case</t>
  </si>
  <si>
    <t>Created by Sabhya Singh on 30-06-2025</t>
  </si>
  <si>
    <t>Worst Case</t>
  </si>
  <si>
    <t>Average Case</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</si>
  <si>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</si>
  <si>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</si>
  <si>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</si>
  <si>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</si>
  <si>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</si>
  <si>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</si>
  <si>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</si>
  <si>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Values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</si>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</sst>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7">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b/>
      <sz val="11"/>
      <color theme="0"/>
      <name val="Calibri"/>
      <family val="2"/>
      <scheme val="minor"/>
    </font>
    <font>
      <sz val="14"/>
      <color theme="1"/>
      <name val="Calibri"/>
      <family val="2"/>
      <scheme val="minor"/>
    </font>
    <font>
      <sz val="14"/>
      <color theme="5"/>
      <name val="Calibri"/>
      <family val="2"/>
      <scheme val="minor"/>
    </font>
    <font>
      <sz val="11"/>
      <color rgb="FFFF0000"/>
      <name val="Calibri"/>
      <family val="2"/>
      <scheme val="minor"/>
    </font>
    <font>
      <sz val="11"/>
      <color theme="0"/>
      <name val="Calibri"/>
      <family val="2"/>
      <scheme val="minor"/>
    </font>
    <font>
      <sz val="14"/>
      <color rgb="FFFFFF00"/>
      <name val="Calibri"/>
      <family val="2"/>
      <scheme val="minor"/>
    </font>
    <font>
      <sz val="14"/>
      <color theme="0"/>
      <name val="Calibri"/>
      <family val="2"/>
      <scheme val="minor"/>
    </font>
    <font>
      <sz val="11"/>
      <color rgb="FF002060"/>
      <name val="Calibri"/>
      <family val="2"/>
      <scheme val="minor"/>
    </font>
    <font>
      <sz val="14"/>
      <color rgb="FF002060"/>
      <name val="Calibri"/>
      <family val="2"/>
      <scheme val="minor"/>
    </font>
    <font>
      <sz val="36"/>
      <color theme="0"/>
      <name val="Calibri"/>
      <family val="2"/>
      <scheme val="minor"/>
    </font>
    <font>
      <sz val="20"/>
      <color theme="1"/>
      <name val="Calibri"/>
      <family val="2"/>
      <scheme val="minor"/>
    </font>
    <font>
      <sz val="20"/>
      <color rgb="FFFFFF00"/>
      <name val="Calibri"/>
      <family val="2"/>
      <scheme val="minor"/>
    </font>
    <font>
      <sz val="20"/>
      <color theme="0"/>
      <name val="Calibri"/>
      <family val="2"/>
      <scheme val="minor"/>
    </font>
    <font>
      <sz val="10"/>
      <color theme="1"/>
      <name val="Arial Unicode MS"/>
    </font>
    <font>
      <b/>
      <sz val="14"/>
      <color theme="1"/>
      <name val="Calibri"/>
      <family val="2"/>
      <scheme val="minor"/>
    </font>
    <font>
      <b/>
      <sz val="12"/>
      <color theme="1"/>
      <name val="Calibri"/>
      <family val="2"/>
      <scheme val="minor"/>
    </font>
    <font>
      <sz val="11"/>
      <color theme="1"/>
      <name val="Calibri"/>
      <family val="2"/>
      <scheme val="minor"/>
    </font>
    <font>
      <sz val="11"/>
      <color rgb="FFFFFF00"/>
      <name val="Calibri"/>
      <family val="2"/>
      <scheme val="minor"/>
    </font>
    <font>
      <sz val="20"/>
      <color rgb="FF002060"/>
      <name val="Calibri"/>
      <family val="2"/>
      <scheme val="minor"/>
    </font>
    <font>
      <sz val="11"/>
      <color rgb="FF000000"/>
      <name val="Calibri"/>
      <family val="2"/>
    </font>
    <font>
      <b/>
      <sz val="14"/>
      <color theme="0"/>
      <name val="Calibri"/>
      <family val="2"/>
      <scheme val="minor"/>
    </font>
    <font>
      <b/>
      <sz val="18"/>
      <color theme="1"/>
      <name val="Calibri"/>
      <family val="2"/>
      <scheme val="minor"/>
    </font>
    <font>
      <sz val="14"/>
      <color rgb="FF595959"/>
      <name val="Calibri"/>
      <family val="2"/>
      <scheme val="minor"/>
    </font>
    <font>
      <sz val="18"/>
      <color theme="1"/>
      <name val="Calibri"/>
      <family val="2"/>
      <scheme val="minor"/>
    </font>
    <font>
      <u/>
      <sz val="11"/>
      <color theme="10"/>
      <name val="Calibri"/>
      <family val="2"/>
      <scheme val="minor"/>
    </font>
    <font>
      <b/>
      <sz val="20"/>
      <color theme="0"/>
      <name val="Calibri"/>
      <family val="2"/>
      <scheme val="minor"/>
    </font>
    <font>
      <b/>
      <sz val="20"/>
      <color theme="1"/>
      <name val="Calibri"/>
      <family val="2"/>
      <scheme val="minor"/>
    </font>
    <font>
      <sz val="20"/>
      <color rgb="FFEE0000"/>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s>
  <fills count="41">
    <fill>
      <patternFill patternType="none"/>
    </fill>
    <fill>
      <patternFill patternType="gray125"/>
    </fill>
    <fill>
      <patternFill patternType="solid">
        <fgColor rgb="FF92D050"/>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5"/>
        <bgColor indexed="64"/>
      </patternFill>
    </fill>
    <fill>
      <patternFill patternType="solid">
        <fgColor theme="4"/>
        <bgColor indexed="64"/>
      </patternFill>
    </fill>
    <fill>
      <patternFill patternType="solid">
        <fgColor rgb="FF00B0F0"/>
        <bgColor indexed="64"/>
      </patternFill>
    </fill>
    <fill>
      <patternFill patternType="solid">
        <fgColor rgb="FFFF0000"/>
        <bgColor indexed="64"/>
      </patternFill>
    </fill>
    <fill>
      <patternFill patternType="solid">
        <fgColor rgb="FF7030A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rgb="FF002060"/>
        <bgColor indexed="64"/>
      </patternFill>
    </fill>
    <fill>
      <patternFill patternType="solid">
        <fgColor theme="0"/>
        <bgColor indexed="64"/>
      </patternFill>
    </fill>
    <fill>
      <patternFill patternType="solid">
        <fgColor theme="7" tint="0.79998168889431442"/>
        <bgColor indexed="64"/>
      </patternFill>
    </fill>
    <fill>
      <patternFill patternType="solid">
        <fgColor rgb="FFFFC000"/>
        <bgColor indexed="64"/>
      </patternFill>
    </fill>
    <fill>
      <patternFill patternType="solid">
        <fgColor theme="5" tint="0.59999389629810485"/>
        <bgColor indexed="64"/>
      </patternFill>
    </fill>
    <fill>
      <patternFill patternType="solid">
        <fgColor theme="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theme="4" tint="0.79998168889431442"/>
        <bgColor indexed="64"/>
      </patternFill>
    </fill>
    <fill>
      <patternFill patternType="solid">
        <fgColor theme="8"/>
        <bgColor indexed="64"/>
      </patternFill>
    </fill>
    <fill>
      <patternFill patternType="solid">
        <fgColor theme="0"/>
        <bgColor theme="4" tint="0.79998168889431442"/>
      </patternFill>
    </fill>
    <fill>
      <patternFill patternType="solid">
        <fgColor rgb="FFC0000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rgb="FF0070C0"/>
        <bgColor indexed="64"/>
      </patternFill>
    </fill>
    <fill>
      <patternFill patternType="solid">
        <fgColor theme="6" tint="0.79998168889431442"/>
        <bgColor indexed="64"/>
      </patternFill>
    </fill>
    <fill>
      <patternFill patternType="solid">
        <fgColor rgb="FF00B050"/>
        <bgColor indexed="64"/>
      </patternFill>
    </fill>
    <fill>
      <patternFill patternType="solid">
        <fgColor theme="5" tint="-0.249977111117893"/>
        <bgColor indexed="64"/>
      </patternFill>
    </fill>
    <fill>
      <patternFill patternType="solid">
        <fgColor theme="7" tint="-0.499984740745262"/>
        <bgColor indexed="64"/>
      </patternFill>
    </fill>
    <fill>
      <patternFill patternType="solid">
        <fgColor theme="4" tint="-0.249977111117893"/>
        <bgColor indexed="64"/>
      </patternFill>
    </fill>
    <fill>
      <patternFill patternType="solid">
        <fgColor theme="0"/>
        <bgColor theme="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s>
  <borders count="10">
    <border>
      <left/>
      <right/>
      <top/>
      <bottom/>
      <diagonal/>
    </border>
    <border>
      <left/>
      <right/>
      <top/>
      <bottom style="medium">
        <color indexed="64"/>
      </bottom>
      <diagonal/>
    </border>
    <border>
      <left/>
      <right/>
      <top style="medium">
        <color indexed="64"/>
      </top>
      <bottom style="thin">
        <color indexed="64"/>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s>
  <cellStyleXfs count="3">
    <xf numFmtId="0" fontId="0" fillId="0" borderId="0"/>
    <xf numFmtId="9" fontId="20" fillId="0" borderId="0" applyFont="0" applyFill="0" applyBorder="0" applyAlignment="0" applyProtection="0"/>
    <xf numFmtId="0" fontId="28" fillId="0" borderId="0" applyNumberFormat="0" applyFill="0" applyBorder="0" applyAlignment="0" applyProtection="0"/>
  </cellStyleXfs>
  <cellXfs count="174">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1" xfId="0" applyBorder="1"/>
    <xf numFmtId="0" fontId="2" fillId="0" borderId="2" xfId="0" applyFont="1" applyBorder="1" applyAlignment="1">
      <alignment horizontal="center"/>
    </xf>
    <xf numFmtId="0" fontId="2" fillId="0" borderId="2" xfId="0" applyFont="1" applyBorder="1" applyAlignment="1">
      <alignment horizontal="centerContinuous"/>
    </xf>
    <xf numFmtId="10" fontId="0" fillId="0" borderId="0" xfId="0" applyNumberFormat="1"/>
    <xf numFmtId="10" fontId="0" fillId="0" borderId="1" xfId="0" applyNumberFormat="1" applyBorder="1"/>
    <xf numFmtId="0" fontId="2" fillId="0" borderId="0" xfId="0" applyFont="1" applyAlignment="1">
      <alignment horizontal="center"/>
    </xf>
    <xf numFmtId="0" fontId="1" fillId="2" borderId="0" xfId="0" applyFont="1" applyFill="1"/>
    <xf numFmtId="0" fontId="0" fillId="2" borderId="0" xfId="0" applyFill="1"/>
    <xf numFmtId="0" fontId="0" fillId="3" borderId="0" xfId="0" applyFill="1"/>
    <xf numFmtId="0" fontId="0" fillId="4" borderId="3" xfId="0" applyFill="1" applyBorder="1"/>
    <xf numFmtId="0" fontId="0" fillId="0" borderId="3" xfId="0" applyBorder="1"/>
    <xf numFmtId="0" fontId="4" fillId="5" borderId="3" xfId="0" applyFont="1" applyFill="1" applyBorder="1"/>
    <xf numFmtId="0" fontId="5" fillId="6" borderId="0" xfId="0" applyFont="1" applyFill="1"/>
    <xf numFmtId="0" fontId="5" fillId="0" borderId="0" xfId="0" applyFont="1"/>
    <xf numFmtId="0" fontId="5" fillId="7" borderId="0" xfId="0" applyFont="1" applyFill="1"/>
    <xf numFmtId="0" fontId="6" fillId="7" borderId="0" xfId="0" applyFont="1" applyFill="1"/>
    <xf numFmtId="0" fontId="0" fillId="8" borderId="0" xfId="0" applyFill="1"/>
    <xf numFmtId="0" fontId="7" fillId="0" borderId="0" xfId="0" applyFont="1"/>
    <xf numFmtId="0" fontId="9" fillId="8" borderId="0" xfId="0" applyFont="1" applyFill="1"/>
    <xf numFmtId="0" fontId="8" fillId="9" borderId="0" xfId="0" applyFont="1" applyFill="1"/>
    <xf numFmtId="0" fontId="10" fillId="9" borderId="0" xfId="0" applyFont="1" applyFill="1"/>
    <xf numFmtId="0" fontId="11" fillId="2" borderId="0" xfId="0" applyFont="1" applyFill="1"/>
    <xf numFmtId="0" fontId="12" fillId="2" borderId="0" xfId="0" applyFont="1" applyFill="1"/>
    <xf numFmtId="0" fontId="10" fillId="10" borderId="0" xfId="0" applyFont="1" applyFill="1"/>
    <xf numFmtId="0" fontId="5" fillId="3" borderId="0" xfId="0" applyFont="1" applyFill="1"/>
    <xf numFmtId="0" fontId="0" fillId="11" borderId="0" xfId="0" applyFill="1"/>
    <xf numFmtId="0" fontId="0" fillId="6" borderId="0" xfId="0" applyFill="1"/>
    <xf numFmtId="0" fontId="0" fillId="12" borderId="0" xfId="0" applyFill="1"/>
    <xf numFmtId="0" fontId="1" fillId="12" borderId="0" xfId="0" applyFont="1" applyFill="1"/>
    <xf numFmtId="0" fontId="3" fillId="0" borderId="2" xfId="0" applyFont="1" applyBorder="1" applyAlignment="1">
      <alignment horizontal="center"/>
    </xf>
    <xf numFmtId="0" fontId="3" fillId="13" borderId="2" xfId="0" applyFont="1" applyFill="1" applyBorder="1" applyAlignment="1">
      <alignment horizontal="center"/>
    </xf>
    <xf numFmtId="0" fontId="0" fillId="13" borderId="0" xfId="0" applyFill="1"/>
    <xf numFmtId="0" fontId="0" fillId="13" borderId="1" xfId="0" applyFill="1" applyBorder="1"/>
    <xf numFmtId="0" fontId="13" fillId="14" borderId="0" xfId="0" applyFont="1" applyFill="1"/>
    <xf numFmtId="0" fontId="8" fillId="14" borderId="0" xfId="0" applyFont="1" applyFill="1"/>
    <xf numFmtId="0" fontId="14" fillId="6" borderId="0" xfId="0" applyFont="1" applyFill="1"/>
    <xf numFmtId="0" fontId="14" fillId="0" borderId="0" xfId="0" applyFont="1"/>
    <xf numFmtId="0" fontId="15" fillId="8" borderId="0" xfId="0" applyFont="1" applyFill="1"/>
    <xf numFmtId="0" fontId="14" fillId="8" borderId="0" xfId="0" applyFont="1" applyFill="1"/>
    <xf numFmtId="0" fontId="16" fillId="9" borderId="0" xfId="0" applyFont="1" applyFill="1"/>
    <xf numFmtId="0" fontId="14" fillId="3" borderId="0" xfId="0" applyFont="1" applyFill="1"/>
    <xf numFmtId="0" fontId="8" fillId="16" borderId="0" xfId="0" applyFont="1" applyFill="1"/>
    <xf numFmtId="0" fontId="0" fillId="15" borderId="0" xfId="0" applyFill="1"/>
    <xf numFmtId="0" fontId="4" fillId="7" borderId="0" xfId="0" applyFont="1" applyFill="1"/>
    <xf numFmtId="0" fontId="0" fillId="17" borderId="0" xfId="0" applyFill="1"/>
    <xf numFmtId="0" fontId="0" fillId="0" borderId="0" xfId="0" applyAlignment="1">
      <alignment horizontal="left" vertical="center" indent="2"/>
    </xf>
    <xf numFmtId="0" fontId="17" fillId="9" borderId="0" xfId="0" applyFont="1" applyFill="1" applyAlignment="1">
      <alignment horizontal="left" vertical="center" indent="2"/>
    </xf>
    <xf numFmtId="0" fontId="0" fillId="9" borderId="0" xfId="0" applyFill="1"/>
    <xf numFmtId="14" fontId="0" fillId="4" borderId="3" xfId="0" applyNumberFormat="1" applyFill="1" applyBorder="1"/>
    <xf numFmtId="14" fontId="0" fillId="0" borderId="3" xfId="0" applyNumberFormat="1" applyBorder="1"/>
    <xf numFmtId="0" fontId="0" fillId="18" borderId="0" xfId="0" applyFill="1"/>
    <xf numFmtId="0" fontId="0" fillId="7" borderId="0" xfId="0" applyFill="1"/>
    <xf numFmtId="0" fontId="0" fillId="19" borderId="0" xfId="0" applyFill="1"/>
    <xf numFmtId="0" fontId="0" fillId="20" borderId="0" xfId="0" applyFill="1"/>
    <xf numFmtId="0" fontId="0" fillId="21" borderId="0" xfId="0" applyFill="1"/>
    <xf numFmtId="0" fontId="0" fillId="22" borderId="0" xfId="0" applyFill="1"/>
    <xf numFmtId="0" fontId="1" fillId="18" borderId="0" xfId="0" applyFont="1" applyFill="1"/>
    <xf numFmtId="0" fontId="1" fillId="21" borderId="0" xfId="0" applyFont="1" applyFill="1"/>
    <xf numFmtId="0" fontId="1" fillId="21" borderId="0" xfId="0" applyFont="1" applyFill="1" applyAlignment="1">
      <alignment horizontal="left" vertical="center" indent="1"/>
    </xf>
    <xf numFmtId="0" fontId="8" fillId="7" borderId="0" xfId="0" applyFont="1" applyFill="1"/>
    <xf numFmtId="0" fontId="0" fillId="23" borderId="0" xfId="0" applyFill="1"/>
    <xf numFmtId="0" fontId="8" fillId="23" borderId="0" xfId="0" applyFont="1" applyFill="1"/>
    <xf numFmtId="0" fontId="8" fillId="19" borderId="0" xfId="0" applyFont="1" applyFill="1"/>
    <xf numFmtId="0" fontId="8" fillId="8" borderId="0" xfId="0" applyFont="1" applyFill="1"/>
    <xf numFmtId="0" fontId="0" fillId="10" borderId="0" xfId="0" applyFill="1"/>
    <xf numFmtId="0" fontId="8" fillId="10" borderId="0" xfId="0" applyFont="1" applyFill="1"/>
    <xf numFmtId="0" fontId="0" fillId="24" borderId="0" xfId="0" applyFill="1"/>
    <xf numFmtId="0" fontId="0" fillId="25" borderId="0" xfId="0" applyFill="1"/>
    <xf numFmtId="0" fontId="5" fillId="12" borderId="0" xfId="0" applyFont="1" applyFill="1"/>
    <xf numFmtId="0" fontId="10" fillId="8" borderId="0" xfId="0" applyFont="1" applyFill="1"/>
    <xf numFmtId="0" fontId="18" fillId="26" borderId="4" xfId="0" applyFont="1" applyFill="1" applyBorder="1"/>
    <xf numFmtId="0" fontId="18" fillId="0" borderId="0" xfId="0" applyFont="1"/>
    <xf numFmtId="0" fontId="5" fillId="2" borderId="0" xfId="0" applyFont="1" applyFill="1"/>
    <xf numFmtId="0" fontId="4" fillId="5" borderId="5" xfId="0" applyFont="1" applyFill="1" applyBorder="1"/>
    <xf numFmtId="14" fontId="0" fillId="4" borderId="5" xfId="0" applyNumberFormat="1" applyFill="1" applyBorder="1"/>
    <xf numFmtId="14" fontId="0" fillId="0" borderId="5" xfId="0" applyNumberFormat="1" applyBorder="1"/>
    <xf numFmtId="2" fontId="0" fillId="0" borderId="0" xfId="0" applyNumberFormat="1"/>
    <xf numFmtId="1" fontId="0" fillId="0" borderId="0" xfId="0" applyNumberFormat="1"/>
    <xf numFmtId="0" fontId="0" fillId="27" borderId="0" xfId="0" applyFill="1"/>
    <xf numFmtId="0" fontId="10" fillId="25" borderId="0" xfId="0" applyFont="1" applyFill="1"/>
    <xf numFmtId="0" fontId="5" fillId="18" borderId="0" xfId="0" applyFont="1" applyFill="1"/>
    <xf numFmtId="0" fontId="5" fillId="28" borderId="0" xfId="0" applyFont="1" applyFill="1"/>
    <xf numFmtId="0" fontId="0" fillId="14" borderId="0" xfId="0" applyFill="1"/>
    <xf numFmtId="0" fontId="16" fillId="27" borderId="0" xfId="0" applyFont="1" applyFill="1"/>
    <xf numFmtId="0" fontId="8" fillId="27" borderId="0" xfId="0" applyFont="1" applyFill="1"/>
    <xf numFmtId="0" fontId="0" fillId="29" borderId="0" xfId="0" applyFill="1"/>
    <xf numFmtId="0" fontId="0" fillId="0" borderId="0" xfId="0" applyAlignment="1">
      <alignment horizontal="left" vertical="center" indent="1"/>
    </xf>
    <xf numFmtId="0" fontId="19" fillId="0" borderId="0" xfId="0" applyFont="1" applyAlignment="1">
      <alignment vertical="center"/>
    </xf>
    <xf numFmtId="1" fontId="0" fillId="0" borderId="0" xfId="0" applyNumberFormat="1" applyAlignment="1">
      <alignment vertical="center"/>
    </xf>
    <xf numFmtId="1" fontId="17" fillId="0" borderId="0" xfId="0" applyNumberFormat="1" applyFont="1" applyAlignment="1">
      <alignment vertical="center"/>
    </xf>
    <xf numFmtId="1" fontId="5" fillId="0" borderId="0" xfId="0" applyNumberFormat="1" applyFont="1"/>
    <xf numFmtId="0" fontId="10" fillId="14" borderId="0" xfId="0" applyFont="1" applyFill="1"/>
    <xf numFmtId="0" fontId="0" fillId="30" borderId="0" xfId="0" applyFill="1"/>
    <xf numFmtId="0" fontId="16" fillId="10" borderId="0" xfId="0" applyFont="1" applyFill="1"/>
    <xf numFmtId="0" fontId="10" fillId="31" borderId="0" xfId="0" applyFont="1" applyFill="1"/>
    <xf numFmtId="0" fontId="8" fillId="31" borderId="0" xfId="0" applyFont="1" applyFill="1"/>
    <xf numFmtId="0" fontId="1" fillId="11" borderId="0" xfId="0" applyFont="1" applyFill="1"/>
    <xf numFmtId="14" fontId="0" fillId="0" borderId="5" xfId="0" applyNumberFormat="1" applyBorder="1" applyAlignment="1">
      <alignment horizontal="left"/>
    </xf>
    <xf numFmtId="2" fontId="0" fillId="0" borderId="0" xfId="1" applyNumberFormat="1" applyFont="1"/>
    <xf numFmtId="0" fontId="4" fillId="5" borderId="6" xfId="0" applyFont="1" applyFill="1" applyBorder="1"/>
    <xf numFmtId="1" fontId="0" fillId="4" borderId="3" xfId="0" applyNumberFormat="1" applyFill="1" applyBorder="1"/>
    <xf numFmtId="1" fontId="0" fillId="0" borderId="3" xfId="0" applyNumberFormat="1" applyBorder="1"/>
    <xf numFmtId="0" fontId="0" fillId="0" borderId="0" xfId="1" applyNumberFormat="1" applyFont="1"/>
    <xf numFmtId="1" fontId="0" fillId="4" borderId="6" xfId="0" applyNumberFormat="1" applyFill="1" applyBorder="1"/>
    <xf numFmtId="1" fontId="0" fillId="0" borderId="6" xfId="0" applyNumberFormat="1" applyBorder="1"/>
    <xf numFmtId="0" fontId="1" fillId="0" borderId="0" xfId="0" applyFont="1" applyAlignment="1">
      <alignment horizontal="right" wrapText="1"/>
    </xf>
    <xf numFmtId="0" fontId="0" fillId="0" borderId="0" xfId="0" applyAlignment="1">
      <alignment vertical="center"/>
    </xf>
    <xf numFmtId="0" fontId="0" fillId="32" borderId="0" xfId="0" applyFill="1"/>
    <xf numFmtId="10" fontId="0" fillId="0" borderId="0" xfId="0" applyNumberFormat="1" applyAlignment="1">
      <alignment vertical="center" wrapText="1"/>
    </xf>
    <xf numFmtId="0" fontId="0" fillId="16" borderId="0" xfId="0" applyFill="1"/>
    <xf numFmtId="2" fontId="5" fillId="0" borderId="0" xfId="0" applyNumberFormat="1" applyFont="1"/>
    <xf numFmtId="0" fontId="9" fillId="7" borderId="0" xfId="0" applyFont="1" applyFill="1"/>
    <xf numFmtId="0" fontId="10" fillId="6" borderId="0" xfId="0" applyFont="1" applyFill="1"/>
    <xf numFmtId="0" fontId="10" fillId="33" borderId="0" xfId="0" applyFont="1" applyFill="1" applyAlignment="1">
      <alignment vertical="center"/>
    </xf>
    <xf numFmtId="0" fontId="10" fillId="33" borderId="0" xfId="0" applyFont="1" applyFill="1"/>
    <xf numFmtId="0" fontId="15" fillId="10" borderId="0" xfId="0" applyFont="1" applyFill="1"/>
    <xf numFmtId="0" fontId="0" fillId="31" borderId="0" xfId="0" applyFill="1"/>
    <xf numFmtId="0" fontId="5" fillId="24" borderId="0" xfId="0" applyFont="1" applyFill="1"/>
    <xf numFmtId="0" fontId="10" fillId="34" borderId="0" xfId="0" applyFont="1" applyFill="1"/>
    <xf numFmtId="0" fontId="22" fillId="17" borderId="0" xfId="0" applyFont="1" applyFill="1"/>
    <xf numFmtId="0" fontId="11" fillId="17" borderId="0" xfId="0" applyFont="1" applyFill="1"/>
    <xf numFmtId="0" fontId="4" fillId="14" borderId="0" xfId="0" applyFont="1" applyFill="1"/>
    <xf numFmtId="0" fontId="24" fillId="7" borderId="0" xfId="0" applyFont="1" applyFill="1"/>
    <xf numFmtId="0" fontId="18" fillId="6" borderId="0" xfId="0" applyFont="1" applyFill="1"/>
    <xf numFmtId="0" fontId="24" fillId="10" borderId="0" xfId="0" applyFont="1" applyFill="1"/>
    <xf numFmtId="0" fontId="24" fillId="14" borderId="0" xfId="0" applyFont="1" applyFill="1"/>
    <xf numFmtId="0" fontId="16" fillId="14" borderId="0" xfId="0" applyFont="1" applyFill="1"/>
    <xf numFmtId="0" fontId="4" fillId="10" borderId="0" xfId="0" applyFont="1" applyFill="1"/>
    <xf numFmtId="0" fontId="5" fillId="30" borderId="0" xfId="0" applyFont="1" applyFill="1"/>
    <xf numFmtId="0" fontId="10" fillId="30" borderId="0" xfId="0" applyFont="1" applyFill="1"/>
    <xf numFmtId="0" fontId="10" fillId="35" borderId="0" xfId="0" applyFont="1" applyFill="1"/>
    <xf numFmtId="0" fontId="10" fillId="36" borderId="0" xfId="0" applyFont="1" applyFill="1"/>
    <xf numFmtId="0" fontId="4" fillId="5" borderId="0" xfId="0" applyFont="1" applyFill="1"/>
    <xf numFmtId="164" fontId="0" fillId="0" borderId="0" xfId="0" applyNumberFormat="1"/>
    <xf numFmtId="0" fontId="25" fillId="6" borderId="0" xfId="0" applyFont="1" applyFill="1" applyAlignment="1">
      <alignment vertical="center"/>
    </xf>
    <xf numFmtId="0" fontId="1" fillId="15" borderId="0" xfId="0" applyFont="1" applyFill="1"/>
    <xf numFmtId="0" fontId="26" fillId="0" borderId="0" xfId="0" applyFont="1" applyAlignment="1">
      <alignment horizontal="center" vertical="center" readingOrder="1"/>
    </xf>
    <xf numFmtId="0" fontId="27" fillId="12" borderId="0" xfId="0" applyFont="1" applyFill="1"/>
    <xf numFmtId="0" fontId="0" fillId="0" borderId="0" xfId="0" applyAlignment="1">
      <alignment horizontal="left" indent="1"/>
    </xf>
    <xf numFmtId="0" fontId="24" fillId="25" borderId="0" xfId="0" applyFont="1" applyFill="1"/>
    <xf numFmtId="0" fontId="8" fillId="12" borderId="0" xfId="0" applyFont="1" applyFill="1"/>
    <xf numFmtId="0" fontId="28" fillId="14" borderId="0" xfId="2" quotePrefix="1" applyFill="1"/>
    <xf numFmtId="0" fontId="5" fillId="14" borderId="0" xfId="0" applyFont="1" applyFill="1"/>
    <xf numFmtId="0" fontId="5" fillId="11" borderId="0" xfId="0" applyFont="1" applyFill="1"/>
    <xf numFmtId="0" fontId="29" fillId="8" borderId="0" xfId="0" applyFont="1" applyFill="1"/>
    <xf numFmtId="0" fontId="30" fillId="11" borderId="0" xfId="0" applyFont="1" applyFill="1"/>
    <xf numFmtId="0" fontId="8" fillId="13" borderId="0" xfId="0" applyFont="1" applyFill="1"/>
    <xf numFmtId="0" fontId="21" fillId="16" borderId="0" xfId="0" applyFont="1" applyFill="1"/>
    <xf numFmtId="1" fontId="8" fillId="31" borderId="0" xfId="0" applyNumberFormat="1" applyFont="1" applyFill="1"/>
    <xf numFmtId="0" fontId="4" fillId="31" borderId="0" xfId="0" applyFont="1" applyFill="1"/>
    <xf numFmtId="0" fontId="31" fillId="12" borderId="0" xfId="0" applyFont="1" applyFill="1"/>
    <xf numFmtId="0" fontId="0" fillId="37" borderId="3" xfId="0" applyFill="1" applyBorder="1"/>
    <xf numFmtId="0" fontId="8" fillId="15" borderId="0" xfId="0" applyFont="1" applyFill="1"/>
    <xf numFmtId="0" fontId="4" fillId="2" borderId="0" xfId="0" applyFont="1" applyFill="1"/>
    <xf numFmtId="0" fontId="8" fillId="2" borderId="0" xfId="0" applyFont="1" applyFill="1"/>
    <xf numFmtId="0" fontId="8" fillId="3" borderId="0" xfId="0" applyFont="1" applyFill="1"/>
    <xf numFmtId="0" fontId="1" fillId="0" borderId="0" xfId="0" applyFont="1" applyAlignment="1">
      <alignment horizontal="center"/>
    </xf>
    <xf numFmtId="14" fontId="0" fillId="15" borderId="0" xfId="0" applyNumberFormat="1" applyFill="1"/>
    <xf numFmtId="1" fontId="0" fillId="15" borderId="0" xfId="0" applyNumberFormat="1" applyFill="1"/>
    <xf numFmtId="0" fontId="32" fillId="38" borderId="8" xfId="0" applyFont="1" applyFill="1" applyBorder="1" applyAlignment="1">
      <alignment horizontal="left"/>
    </xf>
    <xf numFmtId="0" fontId="32" fillId="38" borderId="7" xfId="0" applyFont="1" applyFill="1" applyBorder="1" applyAlignment="1">
      <alignment horizontal="left"/>
    </xf>
    <xf numFmtId="0" fontId="0" fillId="0" borderId="9" xfId="0" applyBorder="1"/>
    <xf numFmtId="0" fontId="33" fillId="39" borderId="0" xfId="0" applyFont="1" applyFill="1" applyAlignment="1">
      <alignment horizontal="left"/>
    </xf>
    <xf numFmtId="0" fontId="34" fillId="39" borderId="9" xfId="0" applyFont="1" applyFill="1" applyBorder="1" applyAlignment="1">
      <alignment horizontal="left"/>
    </xf>
    <xf numFmtId="0" fontId="33" fillId="39" borderId="1" xfId="0" applyFont="1" applyFill="1" applyBorder="1" applyAlignment="1">
      <alignment horizontal="left"/>
    </xf>
    <xf numFmtId="0" fontId="35" fillId="38" borderId="7" xfId="0" applyFont="1" applyFill="1" applyBorder="1" applyAlignment="1">
      <alignment horizontal="right"/>
    </xf>
    <xf numFmtId="0" fontId="35" fillId="38" borderId="8" xfId="0" applyFont="1" applyFill="1" applyBorder="1" applyAlignment="1">
      <alignment horizontal="right"/>
    </xf>
    <xf numFmtId="0" fontId="0" fillId="40" borderId="0" xfId="0" applyFill="1"/>
    <xf numFmtId="0" fontId="36" fillId="0" borderId="0" xfId="0" applyFont="1" applyAlignment="1">
      <alignment vertical="top" wrapText="1"/>
    </xf>
  </cellXfs>
  <cellStyles count="3">
    <cellStyle name="Hyperlink" xfId="2" builtinId="8"/>
    <cellStyle name="Normal" xfId="0" builtinId="0"/>
    <cellStyle name="Percent" xfId="1" builtinId="5"/>
  </cellStyles>
  <dxfs count="332">
    <dxf>
      <fill>
        <patternFill>
          <bgColor theme="4"/>
        </patternFill>
      </fill>
    </dxf>
    <dxf>
      <fill>
        <patternFill>
          <bgColor theme="1" tint="0.499984740745262"/>
        </patternFill>
      </fill>
    </dxf>
    <dxf>
      <fill>
        <patternFill>
          <bgColor rgb="FFC00000"/>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4"/>
        </patternFill>
      </fill>
    </dxf>
    <dxf>
      <fill>
        <patternFill>
          <bgColor rgb="FFC00000"/>
        </patternFill>
      </fill>
    </dxf>
    <dxf>
      <fill>
        <patternFill>
          <bgColor theme="1" tint="0.499984740745262"/>
        </patternFill>
      </fill>
    </dxf>
    <dxf>
      <fill>
        <patternFill>
          <bgColor theme="7"/>
        </patternFill>
      </fill>
    </dxf>
    <dxf>
      <fill>
        <patternFill>
          <bgColor rgb="FFFFFF00"/>
        </patternFill>
      </fill>
    </dxf>
    <dxf>
      <fill>
        <patternFill>
          <bgColor theme="5"/>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5" tint="-0.24994659260841701"/>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1" tint="0.499984740745262"/>
        </patternFill>
      </fill>
    </dxf>
    <dxf>
      <fill>
        <patternFill>
          <bgColor theme="1" tint="0.499984740745262"/>
        </patternFill>
      </fill>
    </dxf>
    <dxf>
      <fill>
        <patternFill>
          <bgColor theme="4"/>
        </patternFill>
      </fill>
    </dxf>
    <dxf>
      <fill>
        <patternFill>
          <bgColor theme="1" tint="0.499984740745262"/>
        </patternFill>
      </fill>
    </dxf>
    <dxf>
      <fill>
        <patternFill>
          <bgColor theme="5" tint="-0.24994659260841701"/>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1" tint="0.499984740745262"/>
        </patternFill>
      </fill>
    </dxf>
    <dxf>
      <fill>
        <patternFill>
          <bgColor theme="1" tint="0.499984740745262"/>
        </patternFill>
      </fill>
    </dxf>
    <dxf>
      <fill>
        <patternFill>
          <bgColor theme="7"/>
        </patternFill>
      </fill>
    </dxf>
    <dxf>
      <fill>
        <patternFill>
          <bgColor rgb="FFFFFF00"/>
        </patternFill>
      </fill>
    </dxf>
    <dxf>
      <fill>
        <patternFill>
          <bgColor theme="5"/>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1" tint="0.499984740745262"/>
        </patternFill>
      </fill>
    </dxf>
    <dxf>
      <fill>
        <patternFill>
          <bgColor theme="1" tint="0.499984740745262"/>
        </patternFill>
      </fill>
    </dxf>
    <dxf>
      <fill>
        <patternFill>
          <bgColor rgb="FFFF0000"/>
        </patternFill>
      </fill>
    </dxf>
    <dxf>
      <fill>
        <patternFill>
          <bgColor theme="4"/>
        </patternFill>
      </fill>
    </dxf>
    <dxf>
      <fill>
        <patternFill>
          <bgColor rgb="FFC00000"/>
        </patternFill>
      </fill>
    </dxf>
    <dxf>
      <fill>
        <patternFill>
          <bgColor theme="1" tint="0.499984740745262"/>
        </patternFill>
      </fill>
    </dxf>
    <dxf>
      <fill>
        <patternFill>
          <bgColor rgb="FFFF0000"/>
        </patternFill>
      </fill>
    </dxf>
    <dxf>
      <fill>
        <patternFill>
          <bgColor theme="4"/>
        </patternFill>
      </fill>
    </dxf>
    <dxf>
      <fill>
        <patternFill>
          <bgColor theme="1" tint="0.499984740745262"/>
        </patternFill>
      </fill>
    </dxf>
    <dxf>
      <fill>
        <patternFill>
          <bgColor rgb="FFC00000"/>
        </patternFill>
      </fill>
    </dxf>
    <dxf>
      <fill>
        <patternFill>
          <bgColor theme="1" tint="0.499984740745262"/>
        </patternFill>
      </fill>
    </dxf>
    <dxf>
      <fill>
        <patternFill>
          <bgColor theme="1" tint="0.499984740745262"/>
        </patternFill>
      </fill>
    </dxf>
    <dxf>
      <fill>
        <patternFill>
          <bgColor rgb="FFCCFF33"/>
        </patternFill>
      </fill>
    </dxf>
    <dxf>
      <fill>
        <patternFill>
          <bgColor rgb="FFFF5050"/>
        </patternFill>
      </fill>
    </dxf>
    <dxf>
      <fill>
        <patternFill>
          <bgColor theme="4"/>
        </patternFill>
      </fill>
    </dxf>
    <dxf>
      <fill>
        <patternFill>
          <bgColor theme="1" tint="0.499984740745262"/>
        </patternFill>
      </fill>
    </dxf>
    <dxf>
      <fill>
        <patternFill>
          <bgColor rgb="FFC00000"/>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1" tint="0.499984740745262"/>
        </patternFill>
      </fill>
    </dxf>
    <dxf>
      <fill>
        <patternFill>
          <bgColor theme="1" tint="0.499984740745262"/>
        </patternFill>
      </fill>
    </dxf>
    <dxf>
      <font>
        <color rgb="FF9C0006"/>
      </font>
      <fill>
        <patternFill>
          <bgColor rgb="FFFFC7CE"/>
        </patternFill>
      </fill>
    </dxf>
    <dxf>
      <fill>
        <patternFill>
          <bgColor theme="1" tint="0.499984740745262"/>
        </patternFill>
      </fill>
    </dxf>
    <dxf>
      <fill>
        <patternFill>
          <bgColor rgb="FFC00000"/>
        </patternFill>
      </fill>
    </dxf>
    <dxf>
      <fill>
        <patternFill>
          <bgColor theme="4"/>
        </patternFill>
      </fill>
    </dxf>
    <dxf>
      <fill>
        <patternFill>
          <bgColor theme="1" tint="0.499984740745262"/>
        </patternFill>
      </fill>
    </dxf>
    <dxf>
      <fill>
        <patternFill>
          <bgColor rgb="FFC00000"/>
        </patternFill>
      </fill>
    </dxf>
    <dxf>
      <fill>
        <patternFill>
          <bgColor theme="4"/>
        </patternFill>
      </fill>
    </dxf>
    <dxf>
      <fill>
        <patternFill>
          <bgColor theme="1" tint="0.499984740745262"/>
        </patternFill>
      </fill>
    </dxf>
    <dxf>
      <fill>
        <patternFill>
          <bgColor rgb="FFC00000"/>
        </patternFill>
      </fill>
    </dxf>
    <dxf>
      <fill>
        <patternFill>
          <bgColor theme="4"/>
        </patternFill>
      </fill>
    </dxf>
    <dxf>
      <fill>
        <patternFill>
          <bgColor theme="1" tint="0.499984740745262"/>
        </patternFill>
      </fill>
    </dxf>
    <dxf>
      <fill>
        <patternFill>
          <bgColor rgb="FFC00000"/>
        </patternFill>
      </fill>
    </dxf>
    <dxf>
      <fill>
        <patternFill>
          <bgColor theme="4"/>
        </patternFill>
      </fill>
    </dxf>
    <dxf>
      <fill>
        <patternFill>
          <bgColor theme="1" tint="0.499984740745262"/>
        </patternFill>
      </fill>
    </dxf>
    <dxf>
      <fill>
        <patternFill>
          <bgColor rgb="FFC00000"/>
        </patternFill>
      </fill>
    </dxf>
    <dxf>
      <fill>
        <patternFill>
          <bgColor theme="4"/>
        </patternFill>
      </fill>
    </dxf>
    <dxf>
      <font>
        <color rgb="FF006100"/>
      </font>
      <fill>
        <patternFill>
          <bgColor rgb="FFC6EFCE"/>
        </patternFill>
      </fill>
    </dxf>
    <dxf>
      <fill>
        <patternFill>
          <bgColor theme="1" tint="0.499984740745262"/>
        </patternFill>
      </fill>
    </dxf>
    <dxf>
      <fill>
        <patternFill>
          <bgColor rgb="FFC00000"/>
        </patternFill>
      </fill>
    </dxf>
    <dxf>
      <fill>
        <patternFill>
          <bgColor theme="4"/>
        </patternFill>
      </fill>
    </dxf>
    <dxf>
      <fill>
        <patternFill>
          <bgColor theme="1" tint="0.499984740745262"/>
        </patternFill>
      </fill>
    </dxf>
    <dxf>
      <fill>
        <patternFill>
          <bgColor rgb="FFC00000"/>
        </patternFill>
      </fill>
    </dxf>
    <dxf>
      <fill>
        <patternFill>
          <bgColor theme="4"/>
        </patternFill>
      </fill>
    </dxf>
    <dxf>
      <fill>
        <patternFill>
          <bgColor theme="7"/>
        </patternFill>
      </fill>
    </dxf>
    <dxf>
      <fill>
        <patternFill>
          <bgColor rgb="FFFFFF00"/>
        </patternFill>
      </fill>
    </dxf>
    <dxf>
      <fill>
        <patternFill>
          <bgColor theme="5"/>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4"/>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5" tint="-0.24994659260841701"/>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8"/>
        </patternFill>
      </fill>
    </dxf>
    <dxf>
      <fill>
        <patternFill>
          <bgColor theme="8"/>
        </patternFill>
      </fill>
    </dxf>
    <dxf>
      <fill>
        <patternFill>
          <bgColor theme="1" tint="0.499984740745262"/>
        </patternFill>
      </fill>
    </dxf>
    <dxf>
      <fill>
        <patternFill>
          <bgColor theme="4"/>
        </patternFill>
      </fill>
    </dxf>
    <dxf>
      <fill>
        <patternFill>
          <bgColor theme="1" tint="0.499984740745262"/>
        </patternFill>
      </fill>
    </dxf>
    <dxf>
      <fill>
        <patternFill>
          <bgColor rgb="FFC00000"/>
        </patternFill>
      </fill>
    </dxf>
    <dxf>
      <fill>
        <patternFill>
          <bgColor theme="4"/>
        </patternFill>
      </fill>
    </dxf>
    <dxf>
      <fill>
        <patternFill>
          <bgColor theme="1" tint="0.499984740745262"/>
        </patternFill>
      </fill>
    </dxf>
    <dxf>
      <fill>
        <patternFill>
          <bgColor rgb="FFC00000"/>
        </patternFill>
      </fill>
    </dxf>
    <dxf>
      <fill>
        <patternFill>
          <bgColor theme="1" tint="0.499984740745262"/>
        </patternFill>
      </fill>
    </dxf>
    <dxf>
      <fill>
        <patternFill>
          <bgColor theme="4"/>
        </patternFill>
      </fill>
    </dxf>
    <dxf>
      <fill>
        <patternFill>
          <bgColor theme="8"/>
        </patternFill>
      </fill>
    </dxf>
    <dxf>
      <fill>
        <patternFill>
          <bgColor theme="8"/>
        </patternFill>
      </fill>
    </dxf>
    <dxf>
      <fill>
        <patternFill>
          <bgColor theme="5" tint="-0.24994659260841701"/>
        </patternFill>
      </fill>
    </dxf>
    <dxf>
      <fill>
        <patternFill>
          <bgColor theme="8" tint="-0.24994659260841701"/>
        </patternFill>
      </fill>
    </dxf>
    <dxf>
      <fill>
        <patternFill>
          <bgColor theme="8"/>
        </patternFill>
      </fill>
    </dxf>
    <dxf>
      <fill>
        <patternFill>
          <bgColor theme="5"/>
        </patternFill>
      </fill>
    </dxf>
    <dxf>
      <fill>
        <patternFill>
          <bgColor theme="7" tint="-0.24994659260841701"/>
        </patternFill>
      </fill>
    </dxf>
    <dxf>
      <fill>
        <patternFill>
          <bgColor theme="6" tint="-0.499984740745262"/>
        </patternFill>
      </fill>
    </dxf>
    <dxf>
      <fill>
        <patternFill>
          <bgColor theme="5" tint="-0.499984740745262"/>
        </patternFill>
      </fill>
    </dxf>
    <dxf>
      <fill>
        <patternFill>
          <bgColor rgb="FF92D050"/>
        </patternFill>
      </fill>
    </dxf>
    <dxf>
      <fill>
        <patternFill>
          <bgColor theme="1" tint="0.34998626667073579"/>
        </patternFill>
      </fill>
    </dxf>
    <dxf>
      <fill>
        <patternFill>
          <bgColor theme="4"/>
        </patternFill>
      </fill>
    </dxf>
    <dxf>
      <fill>
        <patternFill>
          <bgColor theme="1" tint="0.499984740745262"/>
        </patternFill>
      </fill>
    </dxf>
    <dxf>
      <fill>
        <patternFill>
          <bgColor theme="5" tint="0.59996337778862885"/>
        </patternFill>
      </fill>
    </dxf>
    <dxf>
      <fill>
        <patternFill>
          <bgColor theme="6"/>
        </patternFill>
      </fill>
    </dxf>
    <dxf>
      <fill>
        <patternFill>
          <bgColor theme="7"/>
        </patternFill>
      </fill>
    </dxf>
    <dxf>
      <fill>
        <patternFill>
          <bgColor theme="7"/>
        </patternFill>
      </fill>
    </dxf>
    <dxf>
      <fill>
        <patternFill>
          <bgColor rgb="FFFFFF00"/>
        </patternFill>
      </fill>
    </dxf>
    <dxf>
      <fill>
        <patternFill>
          <bgColor theme="5"/>
        </patternFill>
      </fill>
    </dxf>
    <dxf>
      <fill>
        <patternFill>
          <bgColor theme="5"/>
        </patternFill>
      </fill>
    </dxf>
    <dxf>
      <fill>
        <patternFill>
          <bgColor theme="5"/>
        </patternFill>
      </fill>
    </dxf>
    <dxf>
      <fill>
        <patternFill>
          <bgColor theme="4"/>
        </patternFill>
      </fill>
    </dxf>
    <dxf>
      <fill>
        <patternFill>
          <bgColor rgb="FFC00000"/>
        </patternFill>
      </fill>
    </dxf>
    <dxf>
      <fill>
        <patternFill>
          <bgColor theme="1" tint="0.499984740745262"/>
        </patternFill>
      </fill>
    </dxf>
    <dxf>
      <fill>
        <patternFill>
          <bgColor theme="4"/>
        </patternFill>
      </fill>
    </dxf>
    <dxf>
      <fill>
        <patternFill>
          <bgColor theme="8"/>
        </patternFill>
      </fill>
    </dxf>
    <dxf>
      <fill>
        <patternFill>
          <bgColor theme="8"/>
        </patternFill>
      </fill>
    </dxf>
    <dxf>
      <fill>
        <patternFill>
          <bgColor theme="5" tint="-0.24994659260841701"/>
        </patternFill>
      </fill>
    </dxf>
    <dxf>
      <fill>
        <patternFill>
          <bgColor theme="8" tint="-0.24994659260841701"/>
        </patternFill>
      </fill>
    </dxf>
    <dxf>
      <fill>
        <patternFill>
          <bgColor theme="8"/>
        </patternFill>
      </fill>
    </dxf>
    <dxf>
      <fill>
        <patternFill>
          <bgColor theme="5"/>
        </patternFill>
      </fill>
    </dxf>
    <dxf>
      <fill>
        <patternFill>
          <bgColor theme="7" tint="-0.24994659260841701"/>
        </patternFill>
      </fill>
    </dxf>
    <dxf>
      <fill>
        <patternFill>
          <bgColor theme="6" tint="-0.499984740745262"/>
        </patternFill>
      </fill>
    </dxf>
    <dxf>
      <fill>
        <patternFill>
          <bgColor theme="5" tint="-0.499984740745262"/>
        </patternFill>
      </fill>
    </dxf>
    <dxf>
      <fill>
        <patternFill>
          <bgColor rgb="FF92D050"/>
        </patternFill>
      </fill>
    </dxf>
    <dxf>
      <fill>
        <patternFill>
          <bgColor theme="1" tint="0.34998626667073579"/>
        </patternFill>
      </fill>
    </dxf>
    <dxf>
      <fill>
        <patternFill>
          <bgColor theme="4"/>
        </patternFill>
      </fill>
    </dxf>
    <dxf>
      <fill>
        <patternFill>
          <bgColor theme="1" tint="0.499984740745262"/>
        </patternFill>
      </fill>
    </dxf>
    <dxf>
      <fill>
        <patternFill>
          <bgColor theme="5" tint="0.59996337778862885"/>
        </patternFill>
      </fill>
    </dxf>
    <dxf>
      <fill>
        <patternFill>
          <bgColor theme="6"/>
        </patternFill>
      </fill>
    </dxf>
    <dxf>
      <fill>
        <patternFill>
          <bgColor theme="7"/>
        </patternFill>
      </fill>
    </dxf>
    <dxf>
      <fill>
        <patternFill>
          <bgColor theme="7"/>
        </patternFill>
      </fill>
    </dxf>
    <dxf>
      <fill>
        <patternFill>
          <bgColor rgb="FFFFFF00"/>
        </patternFill>
      </fill>
    </dxf>
    <dxf>
      <fill>
        <patternFill>
          <bgColor theme="5"/>
        </patternFill>
      </fill>
    </dxf>
    <dxf>
      <fill>
        <patternFill>
          <bgColor theme="5"/>
        </patternFill>
      </fill>
    </dxf>
    <dxf>
      <fill>
        <patternFill>
          <bgColor theme="5"/>
        </patternFill>
      </fill>
    </dxf>
    <dxf>
      <fill>
        <patternFill>
          <bgColor theme="4"/>
        </patternFill>
      </fill>
    </dxf>
    <dxf>
      <fill>
        <patternFill>
          <bgColor rgb="FFC00000"/>
        </patternFill>
      </fill>
    </dxf>
    <dxf>
      <fill>
        <patternFill>
          <bgColor theme="1" tint="0.499984740745262"/>
        </patternFill>
      </fill>
    </dxf>
    <dxf>
      <fill>
        <patternFill>
          <bgColor theme="4"/>
        </patternFill>
      </fill>
    </dxf>
    <dxf>
      <fill>
        <patternFill>
          <bgColor theme="8"/>
        </patternFill>
      </fill>
    </dxf>
    <dxf>
      <fill>
        <patternFill>
          <bgColor theme="8"/>
        </patternFill>
      </fill>
    </dxf>
    <dxf>
      <fill>
        <patternFill>
          <bgColor theme="5" tint="-0.24994659260841701"/>
        </patternFill>
      </fill>
    </dxf>
    <dxf>
      <fill>
        <patternFill>
          <bgColor theme="8" tint="-0.24994659260841701"/>
        </patternFill>
      </fill>
    </dxf>
    <dxf>
      <fill>
        <patternFill>
          <bgColor theme="8"/>
        </patternFill>
      </fill>
    </dxf>
    <dxf>
      <fill>
        <patternFill>
          <bgColor theme="5"/>
        </patternFill>
      </fill>
    </dxf>
    <dxf>
      <fill>
        <patternFill>
          <bgColor theme="7" tint="-0.24994659260841701"/>
        </patternFill>
      </fill>
    </dxf>
    <dxf>
      <fill>
        <patternFill>
          <bgColor theme="6" tint="-0.499984740745262"/>
        </patternFill>
      </fill>
    </dxf>
    <dxf>
      <fill>
        <patternFill>
          <bgColor theme="5" tint="-0.499984740745262"/>
        </patternFill>
      </fill>
    </dxf>
    <dxf>
      <fill>
        <patternFill>
          <bgColor rgb="FF92D050"/>
        </patternFill>
      </fill>
    </dxf>
    <dxf>
      <fill>
        <patternFill>
          <bgColor theme="1" tint="0.34998626667073579"/>
        </patternFill>
      </fill>
    </dxf>
    <dxf>
      <fill>
        <patternFill>
          <bgColor theme="4"/>
        </patternFill>
      </fill>
    </dxf>
    <dxf>
      <fill>
        <patternFill>
          <bgColor theme="5" tint="0.59996337778862885"/>
        </patternFill>
      </fill>
    </dxf>
    <dxf>
      <fill>
        <patternFill>
          <bgColor theme="6"/>
        </patternFill>
      </fill>
    </dxf>
    <dxf>
      <fill>
        <patternFill>
          <bgColor theme="7"/>
        </patternFill>
      </fill>
    </dxf>
    <dxf>
      <fill>
        <patternFill>
          <bgColor theme="7"/>
        </patternFill>
      </fill>
    </dxf>
    <dxf>
      <fill>
        <patternFill>
          <bgColor rgb="FFFFFF00"/>
        </patternFill>
      </fill>
    </dxf>
    <dxf>
      <fill>
        <patternFill>
          <bgColor theme="5"/>
        </patternFill>
      </fill>
    </dxf>
    <dxf>
      <fill>
        <patternFill>
          <bgColor theme="5"/>
        </patternFill>
      </fill>
    </dxf>
    <dxf>
      <fill>
        <patternFill>
          <bgColor theme="5"/>
        </patternFill>
      </fill>
    </dxf>
    <dxf>
      <fill>
        <patternFill>
          <bgColor theme="4"/>
        </patternFill>
      </fill>
    </dxf>
    <dxf>
      <fill>
        <patternFill>
          <bgColor rgb="FFC00000"/>
        </patternFill>
      </fill>
    </dxf>
    <dxf>
      <fill>
        <patternFill>
          <bgColor theme="1" tint="0.499984740745262"/>
        </patternFill>
      </fill>
    </dxf>
    <dxf>
      <fill>
        <patternFill>
          <bgColor theme="4"/>
        </patternFill>
      </fill>
    </dxf>
    <dxf>
      <fill>
        <patternFill>
          <bgColor theme="8"/>
        </patternFill>
      </fill>
    </dxf>
    <dxf>
      <fill>
        <patternFill>
          <bgColor theme="5" tint="-0.24994659260841701"/>
        </patternFill>
      </fill>
    </dxf>
    <dxf>
      <fill>
        <patternFill>
          <bgColor theme="8" tint="-0.24994659260841701"/>
        </patternFill>
      </fill>
    </dxf>
    <dxf>
      <fill>
        <patternFill>
          <bgColor theme="8"/>
        </patternFill>
      </fill>
    </dxf>
    <dxf>
      <fill>
        <patternFill>
          <bgColor theme="7" tint="-0.24994659260841701"/>
        </patternFill>
      </fill>
    </dxf>
    <dxf>
      <fill>
        <patternFill>
          <bgColor theme="6" tint="-0.499984740745262"/>
        </patternFill>
      </fill>
    </dxf>
    <dxf>
      <fill>
        <patternFill>
          <bgColor theme="5" tint="-0.499984740745262"/>
        </patternFill>
      </fill>
    </dxf>
    <dxf>
      <fill>
        <patternFill>
          <bgColor rgb="FF92D050"/>
        </patternFill>
      </fill>
    </dxf>
    <dxf>
      <fill>
        <patternFill>
          <bgColor theme="5" tint="0.59996337778862885"/>
        </patternFill>
      </fill>
    </dxf>
    <dxf>
      <fill>
        <patternFill>
          <bgColor theme="6"/>
        </patternFill>
      </fill>
    </dxf>
    <dxf>
      <fill>
        <patternFill>
          <bgColor theme="7"/>
        </patternFill>
      </fill>
    </dxf>
    <dxf>
      <fill>
        <patternFill>
          <bgColor theme="7"/>
        </patternFill>
      </fill>
    </dxf>
    <dxf>
      <fill>
        <patternFill>
          <bgColor rgb="FFFFFF00"/>
        </patternFill>
      </fill>
    </dxf>
    <dxf>
      <fill>
        <patternFill>
          <bgColor theme="5"/>
        </patternFill>
      </fill>
    </dxf>
    <dxf>
      <fill>
        <patternFill>
          <bgColor theme="5"/>
        </patternFill>
      </fill>
    </dxf>
    <dxf>
      <fill>
        <patternFill>
          <bgColor theme="5"/>
        </patternFill>
      </fill>
    </dxf>
    <dxf>
      <fill>
        <patternFill>
          <bgColor rgb="FFC00000"/>
        </patternFill>
      </fill>
    </dxf>
    <dxf>
      <fill>
        <patternFill>
          <bgColor theme="1" tint="0.499984740745262"/>
        </patternFill>
      </fill>
    </dxf>
    <dxf>
      <fill>
        <patternFill>
          <bgColor theme="1" tint="0.499984740745262"/>
        </patternFill>
      </fill>
    </dxf>
    <dxf>
      <fill>
        <patternFill>
          <bgColor theme="1" tint="0.499984740745262"/>
        </patternFill>
      </fill>
    </dxf>
    <dxf>
      <numFmt numFmtId="2" formatCode="0.00"/>
    </dxf>
    <dxf>
      <numFmt numFmtId="14" formatCode="0.00%"/>
      <alignment horizontal="general" vertical="center" textRotation="0" wrapText="1" indent="0" justifyLastLine="0" shrinkToFit="0" readingOrder="0"/>
    </dxf>
    <dxf>
      <numFmt numFmtId="1" formatCode="0"/>
      <border diagonalUp="0" diagonalDown="0" outline="0">
        <left/>
        <right/>
        <top style="thin">
          <color theme="4" tint="0.39997558519241921"/>
        </top>
        <bottom style="thin">
          <color theme="4" tint="0.39997558519241921"/>
        </bottom>
      </border>
    </dxf>
    <dxf>
      <numFmt numFmtId="1" formatCode="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2" formatCode="0.00"/>
    </dxf>
    <dxf>
      <border diagonalUp="0" diagonalDown="0">
        <left/>
        <right/>
        <top style="thin">
          <color theme="4" tint="0.39997558519241921"/>
        </top>
        <bottom style="thin">
          <color theme="4" tint="0.39997558519241921"/>
        </bottom>
        <vertical/>
        <horizontal/>
      </border>
    </dxf>
    <dxf>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numFmt numFmtId="14" formatCode="0.00%"/>
    </dxf>
    <dxf>
      <numFmt numFmtId="1" formatCode="0"/>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164" formatCode="0.000"/>
    </dxf>
    <dxf>
      <numFmt numFmtId="1" formatCode="0"/>
    </dxf>
    <dxf>
      <font>
        <b val="0"/>
        <i val="0"/>
        <strike val="0"/>
        <condense val="0"/>
        <extend val="0"/>
        <outline val="0"/>
        <shadow val="0"/>
        <u val="none"/>
        <vertAlign val="baseline"/>
        <sz val="11"/>
        <color theme="1"/>
        <name val="Calibri"/>
        <family val="2"/>
        <scheme val="minor"/>
      </font>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1" formatCode="0"/>
    </dxf>
    <dxf>
      <numFmt numFmtId="0" formatCode="General"/>
    </dxf>
    <dxf>
      <numFmt numFmtId="1" formatCode="0"/>
    </dxf>
    <dxf>
      <numFmt numFmtId="1" formatCode="0"/>
    </dxf>
    <dxf>
      <numFmt numFmtId="1" formatCode="0"/>
    </dxf>
    <dxf>
      <numFmt numFmtId="1" formatCode="0"/>
    </dxf>
    <dxf>
      <numFmt numFmtId="2" formatCode="0.00"/>
    </dxf>
    <dxf>
      <numFmt numFmtId="0" formatCode="General"/>
    </dxf>
    <dxf>
      <numFmt numFmtId="0" formatCode="General"/>
    </dxf>
    <dxf>
      <numFmt numFmtId="1" formatCode="0"/>
    </dxf>
    <dxf>
      <numFmt numFmtId="0" formatCode="General"/>
    </dxf>
    <dxf>
      <numFmt numFmtId="1" formatCode="0"/>
    </dxf>
    <dxf>
      <numFmt numFmtId="1" formatCode="0"/>
    </dxf>
    <dxf>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2" formatCode="0.00"/>
    </dxf>
    <dxf>
      <numFmt numFmtId="2" formatCode="0.00"/>
    </dxf>
    <dxf>
      <numFmt numFmtId="19" formatCode="dd/mm/yyyy"/>
    </dxf>
    <dxf>
      <numFmt numFmtId="0" formatCode="General"/>
    </dxf>
    <dxf>
      <numFmt numFmtId="2"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dxf>
    <dxf>
      <numFmt numFmtId="0" formatCode="General"/>
    </dxf>
    <dxf>
      <font>
        <strike val="0"/>
        <outline val="0"/>
        <shadow val="0"/>
        <u val="none"/>
        <vertAlign val="baseline"/>
        <sz val="11"/>
        <color theme="0"/>
        <name val="Calibri"/>
        <family val="2"/>
        <scheme val="minor"/>
      </font>
      <numFmt numFmtId="0" formatCode="General"/>
      <fill>
        <patternFill patternType="solid">
          <fgColor indexed="64"/>
          <bgColor theme="7" tint="0.79998168889431442"/>
        </patternFill>
      </fill>
    </dxf>
    <dxf>
      <numFmt numFmtId="1" formatCode="0"/>
    </dxf>
    <dxf>
      <font>
        <strike val="0"/>
        <outline val="0"/>
        <shadow val="0"/>
        <u val="none"/>
        <vertAlign val="baseline"/>
        <sz val="11"/>
        <color theme="1"/>
        <name val="Calibri"/>
        <family val="2"/>
        <scheme val="minor"/>
      </font>
      <numFmt numFmtId="0" formatCode="General"/>
      <fill>
        <patternFill patternType="solid">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 formatCode="0"/>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19" formatCode="dd/mm/yyyy"/>
    </dxf>
  </dxfs>
  <tableStyles count="0" defaultTableStyle="TableStyleMedium2" defaultPivotStyle="PivotStyleLight16"/>
  <colors>
    <mruColors>
      <color rgb="FFCCFF33"/>
      <color rgb="FF66FF66"/>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onnections" Target="connection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pivotCacheDefinition" Target="pivotCache/pivotCacheDefinition1.xml"/><Relationship Id="rId89" Type="http://schemas.openxmlformats.org/officeDocument/2006/relationships/pivotCacheDefinition" Target="pivotCache/pivotCacheDefinition6.xml"/><Relationship Id="rId112" Type="http://schemas.microsoft.com/office/2007/relationships/slicerCache" Target="slicerCaches/slicerCache19.xml"/><Relationship Id="rId16" Type="http://schemas.openxmlformats.org/officeDocument/2006/relationships/worksheet" Target="worksheets/sheet16.xml"/><Relationship Id="rId107" Type="http://schemas.microsoft.com/office/2007/relationships/slicerCache" Target="slicerCaches/slicerCache14.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microsoft.com/office/2007/relationships/slicerCache" Target="slicerCaches/slicerCache9.xml"/><Relationship Id="rId5" Type="http://schemas.openxmlformats.org/officeDocument/2006/relationships/worksheet" Target="worksheets/sheet5.xml"/><Relationship Id="rId90" Type="http://schemas.openxmlformats.org/officeDocument/2006/relationships/pivotCacheDefinition" Target="pivotCache/pivotCacheDefinition7.xml"/><Relationship Id="rId95" Type="http://schemas.microsoft.com/office/2007/relationships/slicerCache" Target="slicerCaches/slicerCache2.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microsoft.com/office/2007/relationships/slicerCache" Target="slicerCaches/slicerCache20.xml"/><Relationship Id="rId118"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pivotCacheDefinition" Target="pivotCache/pivotCacheDefinition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microsoft.com/office/2007/relationships/slicerCache" Target="slicerCaches/slicerCache10.xml"/><Relationship Id="rId108" Type="http://schemas.microsoft.com/office/2007/relationships/slicerCache" Target="slicerCaches/slicerCache15.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pivotCacheDefinition" Target="pivotCache/pivotCacheDefinition8.xml"/><Relationship Id="rId9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microsoft.com/office/2007/relationships/slicerCache" Target="slicerCaches/slicerCache21.xml"/><Relationship Id="rId119" Type="http://schemas.openxmlformats.org/officeDocument/2006/relationships/sharedStrings" Target="sharedStrings.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16.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microsoft.com/office/2007/relationships/slicerCache" Target="slicerCaches/slicerCache4.xml"/><Relationship Id="rId104" Type="http://schemas.microsoft.com/office/2007/relationships/slicerCache" Target="slicerCaches/slicerCache11.xml"/><Relationship Id="rId120" Type="http://schemas.openxmlformats.org/officeDocument/2006/relationships/sheetMetadata" Target="metadata.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pivotCacheDefinition" Target="pivotCache/pivotCacheDefinition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pivotCacheDefinition" Target="pivotCache/pivotCacheDefinition4.xml"/><Relationship Id="rId110" Type="http://schemas.microsoft.com/office/2007/relationships/slicerCache" Target="slicerCaches/slicerCache17.xml"/><Relationship Id="rId115" Type="http://schemas.microsoft.com/office/2011/relationships/timelineCache" Target="timelineCaches/timelineCach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microsoft.com/office/2007/relationships/slicerCache" Target="slicerCaches/slicerCache7.xml"/><Relationship Id="rId105" Type="http://schemas.microsoft.com/office/2007/relationships/slicerCache" Target="slicerCaches/slicerCache1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pivotCacheDefinition" Target="pivotCache/pivotCacheDefinition10.xml"/><Relationship Id="rId98" Type="http://schemas.microsoft.com/office/2007/relationships/slicerCache" Target="slicerCaches/slicerCache5.xml"/><Relationship Id="rId121" Type="http://schemas.openxmlformats.org/officeDocument/2006/relationships/calcChain" Target="calcChain.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pivotCacheDefinition" Target="pivotCache/pivotCacheDefinition5.xml"/><Relationship Id="rId111" Type="http://schemas.microsoft.com/office/2007/relationships/slicerCache" Target="slicerCaches/slicerCache1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microsoft.com/office/2007/relationships/slicerCache" Target="slicerCaches/slicerCache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microsoft.com/office/2007/relationships/slicerCache" Target="slicerCaches/slicerCache1.xml"/><Relationship Id="rId99" Type="http://schemas.microsoft.com/office/2007/relationships/slicerCache" Target="slicerCaches/slicerCache6.xml"/><Relationship Id="rId101" Type="http://schemas.microsoft.com/office/2007/relationships/slicerCache" Target="slicerCaches/slicerCache8.xml"/><Relationship Id="rId1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1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1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1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1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1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1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1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1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1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1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2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2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2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2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2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2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26.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49.xml"/><Relationship Id="rId1" Type="http://schemas.microsoft.com/office/2011/relationships/chartStyle" Target="style49.xml"/><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image" Target="../media/image3.svg"/></Relationships>
</file>

<file path=xl/charts/_rels/chart2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2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2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30.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3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54.xml"/><Relationship Id="rId1" Type="http://schemas.microsoft.com/office/2011/relationships/chartStyle" Target="style54.xml"/><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image" Target="../media/image3.svg"/></Relationships>
</file>

<file path=xl/charts/_rels/chart32.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33.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34.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35.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36.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37.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38.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39.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40.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41.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42.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43.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44.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45.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46.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47.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48.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49.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50.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51.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52.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53.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54.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55.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56.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57.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58.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59.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60.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61.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62.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63.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64.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65.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66.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67.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68.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69.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70.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71.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'Scenario Summary 2'!$D$2:$D$4</c:f>
              <c:strCache>
                <c:ptCount val="3"/>
                <c:pt idx="0">
                  <c:v>Scenario Summary</c:v>
                </c:pt>
                <c:pt idx="1">
                  <c:v>Current Values:</c:v>
                </c:pt>
              </c:strCache>
            </c:strRef>
          </c:tx>
          <c:spPr>
            <a:solidFill>
              <a:schemeClr val="accent1"/>
            </a:solidFill>
            <a:ln>
              <a:noFill/>
            </a:ln>
            <a:effectLst/>
          </c:spPr>
          <c:invertIfNegative val="0"/>
          <c:cat>
            <c:multiLvlStrRef>
              <c:f>'Scenario Summary 2'!$B$5:$C$11</c:f>
              <c:multiLvlStrCache>
                <c:ptCount val="7"/>
                <c:lvl>
                  <c:pt idx="1">
                    <c:v>Fuel_Price</c:v>
                  </c:pt>
                  <c:pt idx="2">
                    <c:v>GDP_Growth_Rate</c:v>
                  </c:pt>
                  <c:pt idx="3">
                    <c:v>Marketing_Spend</c:v>
                  </c:pt>
                  <c:pt idx="4">
                    <c:v>Online_Interest_Index</c:v>
                  </c:pt>
                  <c:pt idx="6">
                    <c:v>Forecasted_Units_Sold</c:v>
                  </c:pt>
                </c:lvl>
                <c:lvl>
                  <c:pt idx="0">
                    <c:v>Changing Cells:</c:v>
                  </c:pt>
                  <c:pt idx="5">
                    <c:v>Result Cells:</c:v>
                  </c:pt>
                </c:lvl>
              </c:multiLvlStrCache>
            </c:multiLvlStrRef>
          </c:cat>
          <c:val>
            <c:numRef>
              <c:f>'Scenario Summary 2'!$D$5:$D$11</c:f>
              <c:numCache>
                <c:formatCode>General</c:formatCode>
                <c:ptCount val="7"/>
                <c:pt idx="1">
                  <c:v>3.57101410692488</c:v>
                </c:pt>
                <c:pt idx="2">
                  <c:v>2.5457621083961599</c:v>
                </c:pt>
                <c:pt idx="3">
                  <c:v>100650.830041436</c:v>
                </c:pt>
                <c:pt idx="4">
                  <c:v>61.467868191791197</c:v>
                </c:pt>
                <c:pt idx="6">
                  <c:v>8055504.6065064296</c:v>
                </c:pt>
              </c:numCache>
            </c:numRef>
          </c:val>
          <c:extLst>
            <c:ext xmlns:c16="http://schemas.microsoft.com/office/drawing/2014/chart" uri="{C3380CC4-5D6E-409C-BE32-E72D297353CC}">
              <c16:uniqueId val="{00000000-EFFA-4CA0-93D3-EC3696546BFB}"/>
            </c:ext>
          </c:extLst>
        </c:ser>
        <c:ser>
          <c:idx val="1"/>
          <c:order val="1"/>
          <c:tx>
            <c:strRef>
              <c:f>'Scenario Summary 2'!$E$2:$E$4</c:f>
              <c:strCache>
                <c:ptCount val="3"/>
                <c:pt idx="0">
                  <c:v>Scenario Summary</c:v>
                </c:pt>
                <c:pt idx="1">
                  <c:v>Best Case</c:v>
                </c:pt>
                <c:pt idx="2">
                  <c:v>Created by Sabhya Singh on 30-06-2025</c:v>
                </c:pt>
              </c:strCache>
            </c:strRef>
          </c:tx>
          <c:spPr>
            <a:solidFill>
              <a:schemeClr val="accent2"/>
            </a:solidFill>
            <a:ln>
              <a:noFill/>
            </a:ln>
            <a:effectLst/>
          </c:spPr>
          <c:invertIfNegative val="0"/>
          <c:cat>
            <c:multiLvlStrRef>
              <c:f>'Scenario Summary 2'!$B$5:$C$11</c:f>
              <c:multiLvlStrCache>
                <c:ptCount val="7"/>
                <c:lvl>
                  <c:pt idx="1">
                    <c:v>Fuel_Price</c:v>
                  </c:pt>
                  <c:pt idx="2">
                    <c:v>GDP_Growth_Rate</c:v>
                  </c:pt>
                  <c:pt idx="3">
                    <c:v>Marketing_Spend</c:v>
                  </c:pt>
                  <c:pt idx="4">
                    <c:v>Online_Interest_Index</c:v>
                  </c:pt>
                  <c:pt idx="6">
                    <c:v>Forecasted_Units_Sold</c:v>
                  </c:pt>
                </c:lvl>
                <c:lvl>
                  <c:pt idx="0">
                    <c:v>Changing Cells:</c:v>
                  </c:pt>
                  <c:pt idx="5">
                    <c:v>Result Cells:</c:v>
                  </c:pt>
                </c:lvl>
              </c:multiLvlStrCache>
            </c:multiLvlStrRef>
          </c:cat>
          <c:val>
            <c:numRef>
              <c:f>'Scenario Summary 2'!$E$5:$E$11</c:f>
              <c:numCache>
                <c:formatCode>General</c:formatCode>
                <c:ptCount val="7"/>
                <c:pt idx="1">
                  <c:v>2.5499999999999998</c:v>
                </c:pt>
                <c:pt idx="2">
                  <c:v>3.65</c:v>
                </c:pt>
                <c:pt idx="3">
                  <c:v>120000</c:v>
                </c:pt>
                <c:pt idx="4">
                  <c:v>65.45</c:v>
                </c:pt>
                <c:pt idx="6">
                  <c:v>9603485.3864999991</c:v>
                </c:pt>
              </c:numCache>
            </c:numRef>
          </c:val>
          <c:extLst>
            <c:ext xmlns:c16="http://schemas.microsoft.com/office/drawing/2014/chart" uri="{C3380CC4-5D6E-409C-BE32-E72D297353CC}">
              <c16:uniqueId val="{00000001-EFFA-4CA0-93D3-EC3696546BFB}"/>
            </c:ext>
          </c:extLst>
        </c:ser>
        <c:ser>
          <c:idx val="2"/>
          <c:order val="2"/>
          <c:tx>
            <c:strRef>
              <c:f>'Scenario Summary 2'!$F$2:$F$4</c:f>
              <c:strCache>
                <c:ptCount val="3"/>
                <c:pt idx="0">
                  <c:v>Scenario Summary</c:v>
                </c:pt>
                <c:pt idx="1">
                  <c:v>Average Case</c:v>
                </c:pt>
                <c:pt idx="2">
                  <c:v>Created by Sabhya Singh on 30-06-2025</c:v>
                </c:pt>
              </c:strCache>
            </c:strRef>
          </c:tx>
          <c:spPr>
            <a:solidFill>
              <a:schemeClr val="accent3"/>
            </a:solidFill>
            <a:ln>
              <a:noFill/>
            </a:ln>
            <a:effectLst/>
          </c:spPr>
          <c:invertIfNegative val="0"/>
          <c:cat>
            <c:multiLvlStrRef>
              <c:f>'Scenario Summary 2'!$B$5:$C$11</c:f>
              <c:multiLvlStrCache>
                <c:ptCount val="7"/>
                <c:lvl>
                  <c:pt idx="1">
                    <c:v>Fuel_Price</c:v>
                  </c:pt>
                  <c:pt idx="2">
                    <c:v>GDP_Growth_Rate</c:v>
                  </c:pt>
                  <c:pt idx="3">
                    <c:v>Marketing_Spend</c:v>
                  </c:pt>
                  <c:pt idx="4">
                    <c:v>Online_Interest_Index</c:v>
                  </c:pt>
                  <c:pt idx="6">
                    <c:v>Forecasted_Units_Sold</c:v>
                  </c:pt>
                </c:lvl>
                <c:lvl>
                  <c:pt idx="0">
                    <c:v>Changing Cells:</c:v>
                  </c:pt>
                  <c:pt idx="5">
                    <c:v>Result Cells:</c:v>
                  </c:pt>
                </c:lvl>
              </c:multiLvlStrCache>
            </c:multiLvlStrRef>
          </c:cat>
          <c:val>
            <c:numRef>
              <c:f>'Scenario Summary 2'!$F$5:$F$11</c:f>
              <c:numCache>
                <c:formatCode>General</c:formatCode>
                <c:ptCount val="7"/>
                <c:pt idx="1">
                  <c:v>3.15</c:v>
                </c:pt>
                <c:pt idx="2">
                  <c:v>2.25</c:v>
                </c:pt>
                <c:pt idx="3">
                  <c:v>100000.65</c:v>
                </c:pt>
                <c:pt idx="4">
                  <c:v>60.45</c:v>
                </c:pt>
                <c:pt idx="6">
                  <c:v>8003488.3724999996</c:v>
                </c:pt>
              </c:numCache>
            </c:numRef>
          </c:val>
          <c:extLst>
            <c:ext xmlns:c16="http://schemas.microsoft.com/office/drawing/2014/chart" uri="{C3380CC4-5D6E-409C-BE32-E72D297353CC}">
              <c16:uniqueId val="{00000002-EFFA-4CA0-93D3-EC3696546BFB}"/>
            </c:ext>
          </c:extLst>
        </c:ser>
        <c:ser>
          <c:idx val="3"/>
          <c:order val="3"/>
          <c:tx>
            <c:strRef>
              <c:f>'Scenario Summary 2'!$G$2:$G$4</c:f>
              <c:strCache>
                <c:ptCount val="3"/>
                <c:pt idx="0">
                  <c:v>Scenario Summary</c:v>
                </c:pt>
                <c:pt idx="1">
                  <c:v>Worst Case</c:v>
                </c:pt>
                <c:pt idx="2">
                  <c:v>Created by Sabhya Singh on 30-06-2025</c:v>
                </c:pt>
              </c:strCache>
            </c:strRef>
          </c:tx>
          <c:spPr>
            <a:solidFill>
              <a:schemeClr val="accent4"/>
            </a:solidFill>
            <a:ln>
              <a:noFill/>
            </a:ln>
            <a:effectLst/>
          </c:spPr>
          <c:invertIfNegative val="0"/>
          <c:cat>
            <c:multiLvlStrRef>
              <c:f>'Scenario Summary 2'!$B$5:$C$11</c:f>
              <c:multiLvlStrCache>
                <c:ptCount val="7"/>
                <c:lvl>
                  <c:pt idx="1">
                    <c:v>Fuel_Price</c:v>
                  </c:pt>
                  <c:pt idx="2">
                    <c:v>GDP_Growth_Rate</c:v>
                  </c:pt>
                  <c:pt idx="3">
                    <c:v>Marketing_Spend</c:v>
                  </c:pt>
                  <c:pt idx="4">
                    <c:v>Online_Interest_Index</c:v>
                  </c:pt>
                  <c:pt idx="6">
                    <c:v>Forecasted_Units_Sold</c:v>
                  </c:pt>
                </c:lvl>
                <c:lvl>
                  <c:pt idx="0">
                    <c:v>Changing Cells:</c:v>
                  </c:pt>
                  <c:pt idx="5">
                    <c:v>Result Cells:</c:v>
                  </c:pt>
                </c:lvl>
              </c:multiLvlStrCache>
            </c:multiLvlStrRef>
          </c:cat>
          <c:val>
            <c:numRef>
              <c:f>'Scenario Summary 2'!$G$5:$G$11</c:f>
              <c:numCache>
                <c:formatCode>General</c:formatCode>
                <c:ptCount val="7"/>
                <c:pt idx="1">
                  <c:v>2.65</c:v>
                </c:pt>
                <c:pt idx="2">
                  <c:v>1.45</c:v>
                </c:pt>
                <c:pt idx="3">
                  <c:v>80500.45</c:v>
                </c:pt>
                <c:pt idx="4">
                  <c:v>55.65</c:v>
                </c:pt>
                <c:pt idx="6">
                  <c:v>6443441.4644999998</c:v>
                </c:pt>
              </c:numCache>
            </c:numRef>
          </c:val>
          <c:extLst>
            <c:ext xmlns:c16="http://schemas.microsoft.com/office/drawing/2014/chart" uri="{C3380CC4-5D6E-409C-BE32-E72D297353CC}">
              <c16:uniqueId val="{00000003-EFFA-4CA0-93D3-EC3696546BFB}"/>
            </c:ext>
          </c:extLst>
        </c:ser>
        <c:dLbls>
          <c:showLegendKey val="0"/>
          <c:showVal val="0"/>
          <c:showCatName val="0"/>
          <c:showSerName val="0"/>
          <c:showPercent val="0"/>
          <c:showBubbleSize val="0"/>
        </c:dLbls>
        <c:gapWidth val="219"/>
        <c:overlap val="-27"/>
        <c:axId val="2046743616"/>
        <c:axId val="2046749856"/>
      </c:barChart>
      <c:catAx>
        <c:axId val="204674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49856"/>
        <c:crosses val="autoZero"/>
        <c:auto val="1"/>
        <c:lblAlgn val="ctr"/>
        <c:lblOffset val="100"/>
        <c:noMultiLvlLbl val="0"/>
      </c:catAx>
      <c:valAx>
        <c:axId val="204674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4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GDP_Growth_Rate</a:t>
            </a:r>
          </a:p>
        </c:rich>
      </c:tx>
      <c:layout>
        <c:manualLayout>
          <c:xMode val="edge"/>
          <c:yMode val="edge"/>
          <c:x val="0.36344661037220533"/>
          <c:y val="3.96825396825396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1"/>
            <c:dispEq val="1"/>
            <c:trendlineLbl>
              <c:layout>
                <c:manualLayout>
                  <c:x val="0.11156114330048367"/>
                  <c:y val="-0.491306510626321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Histogram!$R$4:$R$10</c:f>
              <c:strCache>
                <c:ptCount val="7"/>
                <c:pt idx="0">
                  <c:v>3</c:v>
                </c:pt>
                <c:pt idx="1">
                  <c:v>4</c:v>
                </c:pt>
                <c:pt idx="2">
                  <c:v>2</c:v>
                </c:pt>
                <c:pt idx="3">
                  <c:v>1</c:v>
                </c:pt>
                <c:pt idx="4">
                  <c:v>5</c:v>
                </c:pt>
                <c:pt idx="5">
                  <c:v>0</c:v>
                </c:pt>
                <c:pt idx="6">
                  <c:v>More</c:v>
                </c:pt>
              </c:strCache>
            </c:strRef>
          </c:cat>
          <c:val>
            <c:numRef>
              <c:f>Histogram!$S$4:$S$10</c:f>
              <c:numCache>
                <c:formatCode>General</c:formatCode>
                <c:ptCount val="7"/>
                <c:pt idx="0">
                  <c:v>213</c:v>
                </c:pt>
                <c:pt idx="1">
                  <c:v>130</c:v>
                </c:pt>
                <c:pt idx="2">
                  <c:v>112</c:v>
                </c:pt>
                <c:pt idx="3">
                  <c:v>25</c:v>
                </c:pt>
                <c:pt idx="4">
                  <c:v>19</c:v>
                </c:pt>
                <c:pt idx="5">
                  <c:v>0</c:v>
                </c:pt>
                <c:pt idx="6">
                  <c:v>0</c:v>
                </c:pt>
              </c:numCache>
            </c:numRef>
          </c:val>
          <c:extLst>
            <c:ext xmlns:c16="http://schemas.microsoft.com/office/drawing/2014/chart" uri="{C3380CC4-5D6E-409C-BE32-E72D297353CC}">
              <c16:uniqueId val="{00000001-1728-4B26-90F0-7BF872275A6C}"/>
            </c:ext>
          </c:extLst>
        </c:ser>
        <c:dLbls>
          <c:showLegendKey val="0"/>
          <c:showVal val="1"/>
          <c:showCatName val="0"/>
          <c:showSerName val="0"/>
          <c:showPercent val="0"/>
          <c:showBubbleSize val="0"/>
        </c:dLbls>
        <c:gapWidth val="150"/>
        <c:axId val="1781392975"/>
        <c:axId val="1781394415"/>
      </c:barChart>
      <c:lineChart>
        <c:grouping val="standard"/>
        <c:varyColors val="0"/>
        <c:ser>
          <c:idx val="1"/>
          <c:order val="1"/>
          <c:tx>
            <c:v>Cumulative %</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Histogram!$R$4:$R$10</c:f>
              <c:strCache>
                <c:ptCount val="7"/>
                <c:pt idx="0">
                  <c:v>3</c:v>
                </c:pt>
                <c:pt idx="1">
                  <c:v>4</c:v>
                </c:pt>
                <c:pt idx="2">
                  <c:v>2</c:v>
                </c:pt>
                <c:pt idx="3">
                  <c:v>1</c:v>
                </c:pt>
                <c:pt idx="4">
                  <c:v>5</c:v>
                </c:pt>
                <c:pt idx="5">
                  <c:v>0</c:v>
                </c:pt>
                <c:pt idx="6">
                  <c:v>More</c:v>
                </c:pt>
              </c:strCache>
            </c:strRef>
          </c:cat>
          <c:val>
            <c:numRef>
              <c:f>Histogram!$T$4:$T$10</c:f>
              <c:numCache>
                <c:formatCode>0.00%</c:formatCode>
                <c:ptCount val="7"/>
                <c:pt idx="0">
                  <c:v>0.42685370741482964</c:v>
                </c:pt>
                <c:pt idx="1">
                  <c:v>0.68737474949899802</c:v>
                </c:pt>
                <c:pt idx="2">
                  <c:v>0.9118236472945892</c:v>
                </c:pt>
                <c:pt idx="3">
                  <c:v>0.96192384769539074</c:v>
                </c:pt>
                <c:pt idx="4">
                  <c:v>1</c:v>
                </c:pt>
                <c:pt idx="5">
                  <c:v>1</c:v>
                </c:pt>
                <c:pt idx="6">
                  <c:v>1</c:v>
                </c:pt>
              </c:numCache>
            </c:numRef>
          </c:val>
          <c:smooth val="0"/>
          <c:extLst>
            <c:ext xmlns:c16="http://schemas.microsoft.com/office/drawing/2014/chart" uri="{C3380CC4-5D6E-409C-BE32-E72D297353CC}">
              <c16:uniqueId val="{00000002-1728-4B26-90F0-7BF872275A6C}"/>
            </c:ext>
          </c:extLst>
        </c:ser>
        <c:dLbls>
          <c:showLegendKey val="0"/>
          <c:showVal val="1"/>
          <c:showCatName val="0"/>
          <c:showSerName val="0"/>
          <c:showPercent val="0"/>
          <c:showBubbleSize val="0"/>
        </c:dLbls>
        <c:marker val="1"/>
        <c:smooth val="0"/>
        <c:axId val="338643999"/>
        <c:axId val="338638719"/>
      </c:lineChart>
      <c:catAx>
        <c:axId val="178139297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bin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394415"/>
        <c:crosses val="autoZero"/>
        <c:auto val="1"/>
        <c:lblAlgn val="ctr"/>
        <c:lblOffset val="100"/>
        <c:noMultiLvlLbl val="0"/>
      </c:catAx>
      <c:valAx>
        <c:axId val="1781394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Frequency</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392975"/>
        <c:crosses val="autoZero"/>
        <c:crossBetween val="between"/>
      </c:valAx>
      <c:valAx>
        <c:axId val="33863871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643999"/>
        <c:crosses val="max"/>
        <c:crossBetween val="between"/>
      </c:valAx>
      <c:catAx>
        <c:axId val="338643999"/>
        <c:scaling>
          <c:orientation val="minMax"/>
        </c:scaling>
        <c:delete val="1"/>
        <c:axPos val="b"/>
        <c:numFmt formatCode="General" sourceLinked="1"/>
        <c:majorTickMark val="none"/>
        <c:minorTickMark val="none"/>
        <c:tickLblPos val="nextTo"/>
        <c:crossAx val="33863871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Marketing_Spend</a:t>
            </a:r>
          </a:p>
        </c:rich>
      </c:tx>
      <c:overlay val="0"/>
    </c:title>
    <c:autoTitleDeleted val="0"/>
    <c:plotArea>
      <c:layout/>
      <c:barChart>
        <c:barDir val="col"/>
        <c:grouping val="clustered"/>
        <c:varyColors val="0"/>
        <c:ser>
          <c:idx val="0"/>
          <c:order val="0"/>
          <c:tx>
            <c:v>Frequency</c:v>
          </c:tx>
          <c:spPr>
            <a:solidFill>
              <a:srgbClr val="002060"/>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trendline>
            <c:trendlineType val="linear"/>
            <c:dispRSqr val="1"/>
            <c:dispEq val="1"/>
            <c:trendlineLbl>
              <c:layout>
                <c:manualLayout>
                  <c:x val="0.38474785651793525"/>
                  <c:y val="-0.69591455309731531"/>
                </c:manualLayout>
              </c:layout>
              <c:numFmt formatCode="General" sourceLinked="0"/>
            </c:trendlineLbl>
          </c:trendline>
          <c:cat>
            <c:strRef>
              <c:f>Histogram!$AA$4:$AA$10</c:f>
              <c:strCache>
                <c:ptCount val="7"/>
                <c:pt idx="0">
                  <c:v>120000</c:v>
                </c:pt>
                <c:pt idx="1">
                  <c:v>100000</c:v>
                </c:pt>
                <c:pt idx="2">
                  <c:v>80000</c:v>
                </c:pt>
                <c:pt idx="3">
                  <c:v>140000</c:v>
                </c:pt>
                <c:pt idx="4">
                  <c:v>160000</c:v>
                </c:pt>
                <c:pt idx="5">
                  <c:v>40000</c:v>
                </c:pt>
                <c:pt idx="6">
                  <c:v>More</c:v>
                </c:pt>
              </c:strCache>
            </c:strRef>
          </c:cat>
          <c:val>
            <c:numRef>
              <c:f>Histogram!$AB$4:$AB$10</c:f>
              <c:numCache>
                <c:formatCode>General</c:formatCode>
                <c:ptCount val="7"/>
                <c:pt idx="0">
                  <c:v>172</c:v>
                </c:pt>
                <c:pt idx="1">
                  <c:v>151</c:v>
                </c:pt>
                <c:pt idx="2">
                  <c:v>93</c:v>
                </c:pt>
                <c:pt idx="3">
                  <c:v>77</c:v>
                </c:pt>
                <c:pt idx="4">
                  <c:v>6</c:v>
                </c:pt>
                <c:pt idx="5">
                  <c:v>0</c:v>
                </c:pt>
                <c:pt idx="6">
                  <c:v>0</c:v>
                </c:pt>
              </c:numCache>
            </c:numRef>
          </c:val>
          <c:extLst>
            <c:ext xmlns:c16="http://schemas.microsoft.com/office/drawing/2014/chart" uri="{C3380CC4-5D6E-409C-BE32-E72D297353CC}">
              <c16:uniqueId val="{00000001-57B3-4DD5-BA67-0F7B44DC2615}"/>
            </c:ext>
          </c:extLst>
        </c:ser>
        <c:dLbls>
          <c:showLegendKey val="0"/>
          <c:showVal val="1"/>
          <c:showCatName val="0"/>
          <c:showSerName val="0"/>
          <c:showPercent val="0"/>
          <c:showBubbleSize val="0"/>
        </c:dLbls>
        <c:gapWidth val="150"/>
        <c:axId val="1071619679"/>
        <c:axId val="1594315311"/>
      </c:barChart>
      <c:lineChart>
        <c:grouping val="standard"/>
        <c:varyColors val="0"/>
        <c:ser>
          <c:idx val="1"/>
          <c:order val="1"/>
          <c:tx>
            <c:v>Cumulative %</c:v>
          </c:tx>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Histogram!$AA$4:$AA$10</c:f>
              <c:strCache>
                <c:ptCount val="7"/>
                <c:pt idx="0">
                  <c:v>120000</c:v>
                </c:pt>
                <c:pt idx="1">
                  <c:v>100000</c:v>
                </c:pt>
                <c:pt idx="2">
                  <c:v>80000</c:v>
                </c:pt>
                <c:pt idx="3">
                  <c:v>140000</c:v>
                </c:pt>
                <c:pt idx="4">
                  <c:v>160000</c:v>
                </c:pt>
                <c:pt idx="5">
                  <c:v>40000</c:v>
                </c:pt>
                <c:pt idx="6">
                  <c:v>More</c:v>
                </c:pt>
              </c:strCache>
            </c:strRef>
          </c:cat>
          <c:val>
            <c:numRef>
              <c:f>Histogram!$AC$4:$AC$10</c:f>
              <c:numCache>
                <c:formatCode>0.00%</c:formatCode>
                <c:ptCount val="7"/>
                <c:pt idx="0">
                  <c:v>0.34468937875751504</c:v>
                </c:pt>
                <c:pt idx="1">
                  <c:v>0.64729458917835669</c:v>
                </c:pt>
                <c:pt idx="2">
                  <c:v>0.83366733466933862</c:v>
                </c:pt>
                <c:pt idx="3">
                  <c:v>0.9879759519038076</c:v>
                </c:pt>
                <c:pt idx="4">
                  <c:v>1</c:v>
                </c:pt>
                <c:pt idx="5">
                  <c:v>1</c:v>
                </c:pt>
                <c:pt idx="6">
                  <c:v>1</c:v>
                </c:pt>
              </c:numCache>
            </c:numRef>
          </c:val>
          <c:smooth val="0"/>
          <c:extLst>
            <c:ext xmlns:c16="http://schemas.microsoft.com/office/drawing/2014/chart" uri="{C3380CC4-5D6E-409C-BE32-E72D297353CC}">
              <c16:uniqueId val="{00000002-57B3-4DD5-BA67-0F7B44DC2615}"/>
            </c:ext>
          </c:extLst>
        </c:ser>
        <c:dLbls>
          <c:showLegendKey val="0"/>
          <c:showVal val="1"/>
          <c:showCatName val="0"/>
          <c:showSerName val="0"/>
          <c:showPercent val="0"/>
          <c:showBubbleSize val="0"/>
        </c:dLbls>
        <c:marker val="1"/>
        <c:smooth val="0"/>
        <c:axId val="1781393935"/>
        <c:axId val="1781394895"/>
      </c:lineChart>
      <c:catAx>
        <c:axId val="1071619679"/>
        <c:scaling>
          <c:orientation val="minMax"/>
        </c:scaling>
        <c:delete val="0"/>
        <c:axPos val="b"/>
        <c:title>
          <c:tx>
            <c:rich>
              <a:bodyPr/>
              <a:lstStyle/>
              <a:p>
                <a:pPr>
                  <a:defRPr/>
                </a:pPr>
                <a:r>
                  <a:rPr lang="en-IN"/>
                  <a:t>bin</a:t>
                </a:r>
              </a:p>
            </c:rich>
          </c:tx>
          <c:overlay val="0"/>
        </c:title>
        <c:numFmt formatCode="General" sourceLinked="1"/>
        <c:majorTickMark val="out"/>
        <c:minorTickMark val="none"/>
        <c:tickLblPos val="nextTo"/>
        <c:crossAx val="1594315311"/>
        <c:crosses val="autoZero"/>
        <c:auto val="1"/>
        <c:lblAlgn val="ctr"/>
        <c:lblOffset val="100"/>
        <c:noMultiLvlLbl val="0"/>
      </c:catAx>
      <c:valAx>
        <c:axId val="1594315311"/>
        <c:scaling>
          <c:orientation val="minMax"/>
        </c:scaling>
        <c:delete val="0"/>
        <c:axPos val="l"/>
        <c:title>
          <c:tx>
            <c:rich>
              <a:bodyPr/>
              <a:lstStyle/>
              <a:p>
                <a:pPr>
                  <a:defRPr/>
                </a:pPr>
                <a:r>
                  <a:rPr lang="en-IN"/>
                  <a:t>Frequency</a:t>
                </a:r>
              </a:p>
            </c:rich>
          </c:tx>
          <c:overlay val="0"/>
        </c:title>
        <c:numFmt formatCode="General" sourceLinked="1"/>
        <c:majorTickMark val="out"/>
        <c:minorTickMark val="none"/>
        <c:tickLblPos val="nextTo"/>
        <c:crossAx val="1071619679"/>
        <c:crosses val="autoZero"/>
        <c:crossBetween val="between"/>
      </c:valAx>
      <c:valAx>
        <c:axId val="1781394895"/>
        <c:scaling>
          <c:orientation val="minMax"/>
        </c:scaling>
        <c:delete val="0"/>
        <c:axPos val="r"/>
        <c:numFmt formatCode="0.00%" sourceLinked="1"/>
        <c:majorTickMark val="out"/>
        <c:minorTickMark val="none"/>
        <c:tickLblPos val="nextTo"/>
        <c:crossAx val="1781393935"/>
        <c:crosses val="max"/>
        <c:crossBetween val="between"/>
      </c:valAx>
      <c:catAx>
        <c:axId val="1781393935"/>
        <c:scaling>
          <c:orientation val="minMax"/>
        </c:scaling>
        <c:delete val="1"/>
        <c:axPos val="b"/>
        <c:numFmt formatCode="General" sourceLinked="1"/>
        <c:majorTickMark val="out"/>
        <c:minorTickMark val="none"/>
        <c:tickLblPos val="nextTo"/>
        <c:crossAx val="1781394895"/>
        <c:crosses val="autoZero"/>
        <c:auto val="1"/>
        <c:lblAlgn val="ctr"/>
        <c:lblOffset val="100"/>
        <c:noMultiLvlLbl val="0"/>
      </c:cat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Units_Sold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Frequency</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dispRSqr val="1"/>
            <c:dispEq val="1"/>
            <c:trendlineLbl>
              <c:layout>
                <c:manualLayout>
                  <c:x val="0.1453589134691497"/>
                  <c:y val="-0.6069612294284941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rendlineLbl>
          </c:trendline>
          <c:cat>
            <c:strRef>
              <c:f>Histogram!$I$4:$I$10</c:f>
              <c:strCache>
                <c:ptCount val="7"/>
                <c:pt idx="0">
                  <c:v>110</c:v>
                </c:pt>
                <c:pt idx="1">
                  <c:v>95</c:v>
                </c:pt>
                <c:pt idx="2">
                  <c:v>125</c:v>
                </c:pt>
                <c:pt idx="3">
                  <c:v>80</c:v>
                </c:pt>
                <c:pt idx="4">
                  <c:v>140</c:v>
                </c:pt>
                <c:pt idx="5">
                  <c:v>65</c:v>
                </c:pt>
                <c:pt idx="6">
                  <c:v>More</c:v>
                </c:pt>
              </c:strCache>
            </c:strRef>
          </c:cat>
          <c:val>
            <c:numRef>
              <c:f>Histogram!$J$4:$J$10</c:f>
              <c:numCache>
                <c:formatCode>General</c:formatCode>
                <c:ptCount val="7"/>
                <c:pt idx="0">
                  <c:v>252</c:v>
                </c:pt>
                <c:pt idx="1">
                  <c:v>167</c:v>
                </c:pt>
                <c:pt idx="2">
                  <c:v>65</c:v>
                </c:pt>
                <c:pt idx="3">
                  <c:v>12</c:v>
                </c:pt>
                <c:pt idx="4">
                  <c:v>3</c:v>
                </c:pt>
                <c:pt idx="5">
                  <c:v>0</c:v>
                </c:pt>
                <c:pt idx="6">
                  <c:v>0</c:v>
                </c:pt>
              </c:numCache>
            </c:numRef>
          </c:val>
          <c:extLst>
            <c:ext xmlns:c16="http://schemas.microsoft.com/office/drawing/2014/chart" uri="{C3380CC4-5D6E-409C-BE32-E72D297353CC}">
              <c16:uniqueId val="{00000001-637A-4351-BC28-05D652820306}"/>
            </c:ext>
          </c:extLst>
        </c:ser>
        <c:dLbls>
          <c:showLegendKey val="0"/>
          <c:showVal val="1"/>
          <c:showCatName val="0"/>
          <c:showSerName val="0"/>
          <c:showPercent val="0"/>
          <c:showBubbleSize val="0"/>
        </c:dLbls>
        <c:gapWidth val="150"/>
        <c:axId val="1070795599"/>
        <c:axId val="1070794159"/>
      </c:barChart>
      <c:lineChart>
        <c:grouping val="standard"/>
        <c:varyColors val="0"/>
        <c:ser>
          <c:idx val="1"/>
          <c:order val="1"/>
          <c:tx>
            <c:v>Cumulative %</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Histogram!$I$4:$I$10</c:f>
              <c:strCache>
                <c:ptCount val="7"/>
                <c:pt idx="0">
                  <c:v>110</c:v>
                </c:pt>
                <c:pt idx="1">
                  <c:v>95</c:v>
                </c:pt>
                <c:pt idx="2">
                  <c:v>125</c:v>
                </c:pt>
                <c:pt idx="3">
                  <c:v>80</c:v>
                </c:pt>
                <c:pt idx="4">
                  <c:v>140</c:v>
                </c:pt>
                <c:pt idx="5">
                  <c:v>65</c:v>
                </c:pt>
                <c:pt idx="6">
                  <c:v>More</c:v>
                </c:pt>
              </c:strCache>
            </c:strRef>
          </c:cat>
          <c:val>
            <c:numRef>
              <c:f>Histogram!$K$4:$K$10</c:f>
              <c:numCache>
                <c:formatCode>0.00%</c:formatCode>
                <c:ptCount val="7"/>
                <c:pt idx="0">
                  <c:v>0.50501002004008011</c:v>
                </c:pt>
                <c:pt idx="1">
                  <c:v>0.83967935871743482</c:v>
                </c:pt>
                <c:pt idx="2">
                  <c:v>0.96993987975951901</c:v>
                </c:pt>
                <c:pt idx="3">
                  <c:v>0.9939879759519038</c:v>
                </c:pt>
                <c:pt idx="4">
                  <c:v>1</c:v>
                </c:pt>
                <c:pt idx="5">
                  <c:v>1</c:v>
                </c:pt>
                <c:pt idx="6">
                  <c:v>1</c:v>
                </c:pt>
              </c:numCache>
            </c:numRef>
          </c:val>
          <c:smooth val="0"/>
          <c:extLst>
            <c:ext xmlns:c16="http://schemas.microsoft.com/office/drawing/2014/chart" uri="{C3380CC4-5D6E-409C-BE32-E72D297353CC}">
              <c16:uniqueId val="{00000002-637A-4351-BC28-05D652820306}"/>
            </c:ext>
          </c:extLst>
        </c:ser>
        <c:dLbls>
          <c:showLegendKey val="0"/>
          <c:showVal val="1"/>
          <c:showCatName val="0"/>
          <c:showSerName val="0"/>
          <c:showPercent val="0"/>
          <c:showBubbleSize val="0"/>
        </c:dLbls>
        <c:marker val="1"/>
        <c:smooth val="0"/>
        <c:axId val="338629599"/>
        <c:axId val="338637279"/>
      </c:lineChart>
      <c:catAx>
        <c:axId val="10707955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bin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794159"/>
        <c:crosses val="autoZero"/>
        <c:auto val="1"/>
        <c:lblAlgn val="ctr"/>
        <c:lblOffset val="100"/>
        <c:noMultiLvlLbl val="0"/>
      </c:catAx>
      <c:valAx>
        <c:axId val="107079415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795599"/>
        <c:crosses val="autoZero"/>
        <c:crossBetween val="between"/>
      </c:valAx>
      <c:valAx>
        <c:axId val="33863727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629599"/>
        <c:crosses val="max"/>
        <c:crossBetween val="between"/>
      </c:valAx>
      <c:catAx>
        <c:axId val="338629599"/>
        <c:scaling>
          <c:orientation val="minMax"/>
        </c:scaling>
        <c:delete val="1"/>
        <c:axPos val="b"/>
        <c:numFmt formatCode="General" sourceLinked="1"/>
        <c:majorTickMark val="none"/>
        <c:minorTickMark val="none"/>
        <c:tickLblPos val="nextTo"/>
        <c:crossAx val="3386372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Competitor_Sales</a:t>
            </a:r>
          </a:p>
        </c:rich>
      </c:tx>
      <c:layout>
        <c:manualLayout>
          <c:xMode val="edge"/>
          <c:yMode val="edge"/>
          <c:x val="0.22123273643815022"/>
          <c:y val="2.8409090909090908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6"/>
                </a:solidFill>
              </a:ln>
              <a:effectLst/>
            </c:spPr>
            <c:trendlineType val="linear"/>
            <c:dispRSqr val="1"/>
            <c:dispEq val="1"/>
            <c:trendlineLbl>
              <c:layout>
                <c:manualLayout>
                  <c:x val="0.20820098242443213"/>
                  <c:y val="-0.6314859967788117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Histogram!$AJ$4:$AJ$10</c:f>
              <c:strCache>
                <c:ptCount val="7"/>
                <c:pt idx="0">
                  <c:v>95</c:v>
                </c:pt>
                <c:pt idx="1">
                  <c:v>110</c:v>
                </c:pt>
                <c:pt idx="2">
                  <c:v>80</c:v>
                </c:pt>
                <c:pt idx="3">
                  <c:v>125</c:v>
                </c:pt>
                <c:pt idx="4">
                  <c:v>65</c:v>
                </c:pt>
                <c:pt idx="5">
                  <c:v>50</c:v>
                </c:pt>
                <c:pt idx="6">
                  <c:v>More</c:v>
                </c:pt>
              </c:strCache>
            </c:strRef>
          </c:cat>
          <c:val>
            <c:numRef>
              <c:f>Histogram!$AK$4:$AK$10</c:f>
              <c:numCache>
                <c:formatCode>General</c:formatCode>
                <c:ptCount val="7"/>
                <c:pt idx="0">
                  <c:v>311</c:v>
                </c:pt>
                <c:pt idx="1">
                  <c:v>104</c:v>
                </c:pt>
                <c:pt idx="2">
                  <c:v>78</c:v>
                </c:pt>
                <c:pt idx="3">
                  <c:v>5</c:v>
                </c:pt>
                <c:pt idx="4">
                  <c:v>1</c:v>
                </c:pt>
                <c:pt idx="5">
                  <c:v>0</c:v>
                </c:pt>
                <c:pt idx="6">
                  <c:v>0</c:v>
                </c:pt>
              </c:numCache>
            </c:numRef>
          </c:val>
          <c:extLst>
            <c:ext xmlns:c16="http://schemas.microsoft.com/office/drawing/2014/chart" uri="{C3380CC4-5D6E-409C-BE32-E72D297353CC}">
              <c16:uniqueId val="{00000001-F7E9-4DD8-8C9D-525EC6C66535}"/>
            </c:ext>
          </c:extLst>
        </c:ser>
        <c:dLbls>
          <c:showLegendKey val="0"/>
          <c:showVal val="1"/>
          <c:showCatName val="0"/>
          <c:showSerName val="0"/>
          <c:showPercent val="0"/>
          <c:showBubbleSize val="0"/>
        </c:dLbls>
        <c:gapWidth val="269"/>
        <c:axId val="338639199"/>
        <c:axId val="338632959"/>
      </c:barChart>
      <c:lineChart>
        <c:grouping val="standard"/>
        <c:varyColors val="0"/>
        <c:ser>
          <c:idx val="1"/>
          <c:order val="1"/>
          <c:tx>
            <c:v>Cumulative %</c:v>
          </c:tx>
          <c:spPr>
            <a:ln w="28575" cap="rnd">
              <a:solidFill>
                <a:schemeClr val="accent5"/>
              </a:solidFill>
              <a:round/>
            </a:ln>
            <a:effectLst/>
          </c:spPr>
          <c:marker>
            <c:symbol val="circle"/>
            <c:size val="6"/>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Histogram!$AJ$4:$AJ$10</c:f>
              <c:strCache>
                <c:ptCount val="7"/>
                <c:pt idx="0">
                  <c:v>95</c:v>
                </c:pt>
                <c:pt idx="1">
                  <c:v>110</c:v>
                </c:pt>
                <c:pt idx="2">
                  <c:v>80</c:v>
                </c:pt>
                <c:pt idx="3">
                  <c:v>125</c:v>
                </c:pt>
                <c:pt idx="4">
                  <c:v>65</c:v>
                </c:pt>
                <c:pt idx="5">
                  <c:v>50</c:v>
                </c:pt>
                <c:pt idx="6">
                  <c:v>More</c:v>
                </c:pt>
              </c:strCache>
            </c:strRef>
          </c:cat>
          <c:val>
            <c:numRef>
              <c:f>Histogram!$AL$4:$AL$10</c:f>
              <c:numCache>
                <c:formatCode>0.00%</c:formatCode>
                <c:ptCount val="7"/>
                <c:pt idx="0">
                  <c:v>0.6232464929859719</c:v>
                </c:pt>
                <c:pt idx="1">
                  <c:v>0.83166332665330667</c:v>
                </c:pt>
                <c:pt idx="2">
                  <c:v>0.9879759519038076</c:v>
                </c:pt>
                <c:pt idx="3">
                  <c:v>0.99799599198396793</c:v>
                </c:pt>
                <c:pt idx="4">
                  <c:v>1</c:v>
                </c:pt>
                <c:pt idx="5">
                  <c:v>1</c:v>
                </c:pt>
                <c:pt idx="6">
                  <c:v>1</c:v>
                </c:pt>
              </c:numCache>
            </c:numRef>
          </c:val>
          <c:smooth val="0"/>
          <c:extLst>
            <c:ext xmlns:c16="http://schemas.microsoft.com/office/drawing/2014/chart" uri="{C3380CC4-5D6E-409C-BE32-E72D297353CC}">
              <c16:uniqueId val="{00000002-F7E9-4DD8-8C9D-525EC6C66535}"/>
            </c:ext>
          </c:extLst>
        </c:ser>
        <c:dLbls>
          <c:showLegendKey val="0"/>
          <c:showVal val="1"/>
          <c:showCatName val="0"/>
          <c:showSerName val="0"/>
          <c:showPercent val="0"/>
          <c:showBubbleSize val="0"/>
        </c:dLbls>
        <c:marker val="1"/>
        <c:smooth val="0"/>
        <c:axId val="338630079"/>
        <c:axId val="338640639"/>
      </c:lineChart>
      <c:catAx>
        <c:axId val="33863919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bin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632959"/>
        <c:crosses val="autoZero"/>
        <c:auto val="1"/>
        <c:lblAlgn val="ctr"/>
        <c:lblOffset val="100"/>
        <c:noMultiLvlLbl val="0"/>
      </c:catAx>
      <c:valAx>
        <c:axId val="338632959"/>
        <c:scaling>
          <c:orientation val="minMax"/>
        </c:scaling>
        <c:delete val="0"/>
        <c:axPos val="l"/>
        <c:majorGridlines>
          <c:spPr>
            <a:ln>
              <a:solidFill>
                <a:schemeClr val="tx1">
                  <a:lumMod val="15000"/>
                  <a:lumOff val="85000"/>
                </a:schemeClr>
              </a:solidFill>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Frequency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639199"/>
        <c:crosses val="autoZero"/>
        <c:crossBetween val="between"/>
      </c:valAx>
      <c:valAx>
        <c:axId val="33864063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630079"/>
        <c:crosses val="max"/>
        <c:crossBetween val="between"/>
      </c:valAx>
      <c:catAx>
        <c:axId val="338630079"/>
        <c:scaling>
          <c:orientation val="minMax"/>
        </c:scaling>
        <c:delete val="1"/>
        <c:axPos val="b"/>
        <c:numFmt formatCode="General" sourceLinked="1"/>
        <c:majorTickMark val="none"/>
        <c:minorTickMark val="none"/>
        <c:tickLblPos val="nextTo"/>
        <c:crossAx val="33864063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Online</a:t>
            </a:r>
            <a:r>
              <a:rPr lang="en-IN" baseline="0"/>
              <a:t>_Market_Index</a:t>
            </a:r>
            <a:endParaRPr lang="en-I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lotArea>
      <c:layout/>
      <c:barChart>
        <c:barDir val="col"/>
        <c:grouping val="clustered"/>
        <c:varyColors val="0"/>
        <c:ser>
          <c:idx val="0"/>
          <c:order val="0"/>
          <c:tx>
            <c:v>Frequency</c:v>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1"/>
                </a:solidFill>
                <a:round/>
              </a:ln>
              <a:effectLst/>
            </c:spPr>
            <c:trendlineType val="linear"/>
            <c:dispRSqr val="1"/>
            <c:dispEq val="1"/>
            <c:trendlineLbl>
              <c:layout>
                <c:manualLayout>
                  <c:x val="0.1653305780216387"/>
                  <c:y val="-0.6498507747015493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Histogram!$AS$4:$AS$9</c:f>
              <c:strCache>
                <c:ptCount val="6"/>
                <c:pt idx="0">
                  <c:v>80</c:v>
                </c:pt>
                <c:pt idx="1">
                  <c:v>40</c:v>
                </c:pt>
                <c:pt idx="2">
                  <c:v>100</c:v>
                </c:pt>
                <c:pt idx="3">
                  <c:v>60</c:v>
                </c:pt>
                <c:pt idx="4">
                  <c:v>20</c:v>
                </c:pt>
                <c:pt idx="5">
                  <c:v>More</c:v>
                </c:pt>
              </c:strCache>
            </c:strRef>
          </c:cat>
          <c:val>
            <c:numRef>
              <c:f>Histogram!$AT$4:$AT$9</c:f>
              <c:numCache>
                <c:formatCode>General</c:formatCode>
                <c:ptCount val="6"/>
                <c:pt idx="0">
                  <c:v>134</c:v>
                </c:pt>
                <c:pt idx="1">
                  <c:v>130</c:v>
                </c:pt>
                <c:pt idx="2">
                  <c:v>126</c:v>
                </c:pt>
                <c:pt idx="3">
                  <c:v>109</c:v>
                </c:pt>
                <c:pt idx="4">
                  <c:v>0</c:v>
                </c:pt>
                <c:pt idx="5">
                  <c:v>0</c:v>
                </c:pt>
              </c:numCache>
            </c:numRef>
          </c:val>
          <c:extLst>
            <c:ext xmlns:c16="http://schemas.microsoft.com/office/drawing/2014/chart" uri="{C3380CC4-5D6E-409C-BE32-E72D297353CC}">
              <c16:uniqueId val="{00000001-9751-428D-B855-27727BA1927E}"/>
            </c:ext>
          </c:extLst>
        </c:ser>
        <c:dLbls>
          <c:showLegendKey val="0"/>
          <c:showVal val="1"/>
          <c:showCatName val="0"/>
          <c:showSerName val="0"/>
          <c:showPercent val="0"/>
          <c:showBubbleSize val="0"/>
        </c:dLbls>
        <c:gapWidth val="269"/>
        <c:axId val="1745302271"/>
        <c:axId val="1745301791"/>
      </c:barChart>
      <c:lineChart>
        <c:grouping val="standard"/>
        <c:varyColors val="0"/>
        <c:ser>
          <c:idx val="1"/>
          <c:order val="1"/>
          <c:tx>
            <c:v>Cumulative %</c:v>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Histogram!$AS$4:$AS$9</c:f>
              <c:strCache>
                <c:ptCount val="6"/>
                <c:pt idx="0">
                  <c:v>80</c:v>
                </c:pt>
                <c:pt idx="1">
                  <c:v>40</c:v>
                </c:pt>
                <c:pt idx="2">
                  <c:v>100</c:v>
                </c:pt>
                <c:pt idx="3">
                  <c:v>60</c:v>
                </c:pt>
                <c:pt idx="4">
                  <c:v>20</c:v>
                </c:pt>
                <c:pt idx="5">
                  <c:v>More</c:v>
                </c:pt>
              </c:strCache>
            </c:strRef>
          </c:cat>
          <c:val>
            <c:numRef>
              <c:f>Histogram!$AU$4:$AU$9</c:f>
              <c:numCache>
                <c:formatCode>0.00%</c:formatCode>
                <c:ptCount val="6"/>
                <c:pt idx="0">
                  <c:v>0.26853707414829658</c:v>
                </c:pt>
                <c:pt idx="1">
                  <c:v>0.5290581162324649</c:v>
                </c:pt>
                <c:pt idx="2">
                  <c:v>0.78156312625250501</c:v>
                </c:pt>
                <c:pt idx="3">
                  <c:v>1</c:v>
                </c:pt>
                <c:pt idx="4">
                  <c:v>1</c:v>
                </c:pt>
                <c:pt idx="5">
                  <c:v>1</c:v>
                </c:pt>
              </c:numCache>
            </c:numRef>
          </c:val>
          <c:smooth val="0"/>
          <c:extLst>
            <c:ext xmlns:c16="http://schemas.microsoft.com/office/drawing/2014/chart" uri="{C3380CC4-5D6E-409C-BE32-E72D297353CC}">
              <c16:uniqueId val="{00000002-9751-428D-B855-27727BA1927E}"/>
            </c:ext>
          </c:extLst>
        </c:ser>
        <c:dLbls>
          <c:showLegendKey val="0"/>
          <c:showVal val="1"/>
          <c:showCatName val="0"/>
          <c:showSerName val="0"/>
          <c:showPercent val="0"/>
          <c:showBubbleSize val="0"/>
        </c:dLbls>
        <c:marker val="1"/>
        <c:smooth val="0"/>
        <c:axId val="1422278847"/>
        <c:axId val="1422282207"/>
      </c:lineChart>
      <c:catAx>
        <c:axId val="174530227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bin</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45301791"/>
        <c:crosses val="autoZero"/>
        <c:auto val="1"/>
        <c:lblAlgn val="ctr"/>
        <c:lblOffset val="100"/>
        <c:noMultiLvlLbl val="0"/>
      </c:catAx>
      <c:valAx>
        <c:axId val="174530179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Frequency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302271"/>
        <c:crosses val="autoZero"/>
        <c:crossBetween val="between"/>
      </c:valAx>
      <c:valAx>
        <c:axId val="142228220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278847"/>
        <c:crosses val="max"/>
        <c:crossBetween val="between"/>
      </c:valAx>
      <c:catAx>
        <c:axId val="1422278847"/>
        <c:scaling>
          <c:orientation val="minMax"/>
        </c:scaling>
        <c:delete val="1"/>
        <c:axPos val="b"/>
        <c:numFmt formatCode="General" sourceLinked="1"/>
        <c:majorTickMark val="out"/>
        <c:minorTickMark val="none"/>
        <c:tickLblPos val="nextTo"/>
        <c:crossAx val="142228220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Demand</a:t>
            </a:r>
            <a:r>
              <a:rPr lang="en-IN" baseline="0"/>
              <a:t> Forecasting Sheet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5.6271792112942406E-2"/>
          <c:y val="4.8484848484848485E-2"/>
          <c:w val="0.93452731452046756"/>
          <c:h val="0.69496649282476053"/>
        </c:manualLayout>
      </c:layout>
      <c:lineChart>
        <c:grouping val="standard"/>
        <c:varyColors val="0"/>
        <c:ser>
          <c:idx val="0"/>
          <c:order val="0"/>
          <c:tx>
            <c:strRef>
              <c:f>'Demand Forecasting Sheet'!$B$1</c:f>
              <c:strCache>
                <c:ptCount val="1"/>
                <c:pt idx="0">
                  <c:v>Units_Sold</c:v>
                </c:pt>
              </c:strCache>
            </c:strRef>
          </c:tx>
          <c:spPr>
            <a:ln w="28575" cap="rnd">
              <a:solidFill>
                <a:schemeClr val="accent1"/>
              </a:solidFill>
              <a:round/>
            </a:ln>
            <a:effectLst/>
          </c:spPr>
          <c:marker>
            <c:symbol val="none"/>
          </c:marker>
          <c:val>
            <c:numRef>
              <c:f>'Demand Forecasting Sheet'!$B$2:$B$635</c:f>
              <c:numCache>
                <c:formatCode>General</c:formatCode>
                <c:ptCount val="634"/>
                <c:pt idx="0">
                  <c:v>96</c:v>
                </c:pt>
                <c:pt idx="1">
                  <c:v>107</c:v>
                </c:pt>
                <c:pt idx="2">
                  <c:v>88</c:v>
                </c:pt>
                <c:pt idx="3">
                  <c:v>103</c:v>
                </c:pt>
                <c:pt idx="4">
                  <c:v>111</c:v>
                </c:pt>
                <c:pt idx="5">
                  <c:v>90</c:v>
                </c:pt>
                <c:pt idx="6">
                  <c:v>94</c:v>
                </c:pt>
                <c:pt idx="7">
                  <c:v>98</c:v>
                </c:pt>
                <c:pt idx="8">
                  <c:v>103</c:v>
                </c:pt>
                <c:pt idx="9">
                  <c:v>94</c:v>
                </c:pt>
                <c:pt idx="10">
                  <c:v>99</c:v>
                </c:pt>
                <c:pt idx="11">
                  <c:v>90</c:v>
                </c:pt>
                <c:pt idx="12">
                  <c:v>100</c:v>
                </c:pt>
                <c:pt idx="13">
                  <c:v>103</c:v>
                </c:pt>
                <c:pt idx="14">
                  <c:v>94</c:v>
                </c:pt>
                <c:pt idx="15">
                  <c:v>105</c:v>
                </c:pt>
                <c:pt idx="16">
                  <c:v>86</c:v>
                </c:pt>
                <c:pt idx="17">
                  <c:v>92</c:v>
                </c:pt>
                <c:pt idx="18">
                  <c:v>94</c:v>
                </c:pt>
                <c:pt idx="19">
                  <c:v>101</c:v>
                </c:pt>
                <c:pt idx="20">
                  <c:v>103</c:v>
                </c:pt>
                <c:pt idx="21">
                  <c:v>84</c:v>
                </c:pt>
                <c:pt idx="22">
                  <c:v>76</c:v>
                </c:pt>
                <c:pt idx="23">
                  <c:v>100</c:v>
                </c:pt>
                <c:pt idx="24">
                  <c:v>111</c:v>
                </c:pt>
                <c:pt idx="25">
                  <c:v>93</c:v>
                </c:pt>
                <c:pt idx="26">
                  <c:v>87</c:v>
                </c:pt>
                <c:pt idx="27">
                  <c:v>108</c:v>
                </c:pt>
                <c:pt idx="28">
                  <c:v>106</c:v>
                </c:pt>
                <c:pt idx="29">
                  <c:v>108</c:v>
                </c:pt>
                <c:pt idx="30">
                  <c:v>96</c:v>
                </c:pt>
                <c:pt idx="31">
                  <c:v>113</c:v>
                </c:pt>
                <c:pt idx="32">
                  <c:v>95</c:v>
                </c:pt>
                <c:pt idx="33">
                  <c:v>94</c:v>
                </c:pt>
                <c:pt idx="34">
                  <c:v>107</c:v>
                </c:pt>
                <c:pt idx="35">
                  <c:v>114</c:v>
                </c:pt>
                <c:pt idx="36">
                  <c:v>86</c:v>
                </c:pt>
                <c:pt idx="37">
                  <c:v>100</c:v>
                </c:pt>
                <c:pt idx="38">
                  <c:v>108</c:v>
                </c:pt>
                <c:pt idx="39">
                  <c:v>101</c:v>
                </c:pt>
                <c:pt idx="40">
                  <c:v>94</c:v>
                </c:pt>
                <c:pt idx="41">
                  <c:v>116</c:v>
                </c:pt>
                <c:pt idx="42">
                  <c:v>97</c:v>
                </c:pt>
                <c:pt idx="43">
                  <c:v>96</c:v>
                </c:pt>
                <c:pt idx="44">
                  <c:v>94</c:v>
                </c:pt>
                <c:pt idx="45">
                  <c:v>118</c:v>
                </c:pt>
                <c:pt idx="46">
                  <c:v>104</c:v>
                </c:pt>
                <c:pt idx="47">
                  <c:v>96</c:v>
                </c:pt>
                <c:pt idx="48">
                  <c:v>115</c:v>
                </c:pt>
                <c:pt idx="49">
                  <c:v>94</c:v>
                </c:pt>
                <c:pt idx="50">
                  <c:v>91</c:v>
                </c:pt>
                <c:pt idx="51">
                  <c:v>110</c:v>
                </c:pt>
                <c:pt idx="52">
                  <c:v>98</c:v>
                </c:pt>
                <c:pt idx="53">
                  <c:v>86</c:v>
                </c:pt>
                <c:pt idx="54">
                  <c:v>121</c:v>
                </c:pt>
                <c:pt idx="55">
                  <c:v>100</c:v>
                </c:pt>
                <c:pt idx="56">
                  <c:v>96</c:v>
                </c:pt>
                <c:pt idx="57">
                  <c:v>127</c:v>
                </c:pt>
                <c:pt idx="58">
                  <c:v>100</c:v>
                </c:pt>
                <c:pt idx="59">
                  <c:v>93</c:v>
                </c:pt>
                <c:pt idx="60">
                  <c:v>103</c:v>
                </c:pt>
                <c:pt idx="61">
                  <c:v>78</c:v>
                </c:pt>
                <c:pt idx="62">
                  <c:v>116</c:v>
                </c:pt>
                <c:pt idx="63">
                  <c:v>88</c:v>
                </c:pt>
                <c:pt idx="64">
                  <c:v>105</c:v>
                </c:pt>
                <c:pt idx="65">
                  <c:v>92</c:v>
                </c:pt>
                <c:pt idx="66">
                  <c:v>96</c:v>
                </c:pt>
                <c:pt idx="67">
                  <c:v>104</c:v>
                </c:pt>
                <c:pt idx="68">
                  <c:v>84</c:v>
                </c:pt>
                <c:pt idx="69">
                  <c:v>95</c:v>
                </c:pt>
                <c:pt idx="70">
                  <c:v>105</c:v>
                </c:pt>
                <c:pt idx="71">
                  <c:v>100</c:v>
                </c:pt>
                <c:pt idx="72">
                  <c:v>104</c:v>
                </c:pt>
                <c:pt idx="73">
                  <c:v>106</c:v>
                </c:pt>
                <c:pt idx="74">
                  <c:v>120</c:v>
                </c:pt>
                <c:pt idx="75">
                  <c:v>106</c:v>
                </c:pt>
                <c:pt idx="76">
                  <c:v>118</c:v>
                </c:pt>
                <c:pt idx="77">
                  <c:v>92</c:v>
                </c:pt>
                <c:pt idx="78">
                  <c:v>110</c:v>
                </c:pt>
                <c:pt idx="79">
                  <c:v>101</c:v>
                </c:pt>
                <c:pt idx="80">
                  <c:v>84</c:v>
                </c:pt>
                <c:pt idx="81">
                  <c:v>115</c:v>
                </c:pt>
                <c:pt idx="82">
                  <c:v>95</c:v>
                </c:pt>
                <c:pt idx="83">
                  <c:v>114</c:v>
                </c:pt>
                <c:pt idx="84">
                  <c:v>104</c:v>
                </c:pt>
                <c:pt idx="85">
                  <c:v>89</c:v>
                </c:pt>
                <c:pt idx="86">
                  <c:v>101</c:v>
                </c:pt>
                <c:pt idx="87">
                  <c:v>85</c:v>
                </c:pt>
                <c:pt idx="88">
                  <c:v>101</c:v>
                </c:pt>
                <c:pt idx="89">
                  <c:v>104</c:v>
                </c:pt>
                <c:pt idx="90">
                  <c:v>106</c:v>
                </c:pt>
                <c:pt idx="91">
                  <c:v>95</c:v>
                </c:pt>
                <c:pt idx="92">
                  <c:v>104</c:v>
                </c:pt>
                <c:pt idx="93">
                  <c:v>105</c:v>
                </c:pt>
                <c:pt idx="94">
                  <c:v>84</c:v>
                </c:pt>
                <c:pt idx="95">
                  <c:v>93</c:v>
                </c:pt>
                <c:pt idx="96">
                  <c:v>115</c:v>
                </c:pt>
                <c:pt idx="97">
                  <c:v>109</c:v>
                </c:pt>
                <c:pt idx="98">
                  <c:v>102</c:v>
                </c:pt>
                <c:pt idx="99">
                  <c:v>100</c:v>
                </c:pt>
                <c:pt idx="100">
                  <c:v>93</c:v>
                </c:pt>
                <c:pt idx="101">
                  <c:v>121</c:v>
                </c:pt>
                <c:pt idx="102">
                  <c:v>117</c:v>
                </c:pt>
                <c:pt idx="103">
                  <c:v>98</c:v>
                </c:pt>
                <c:pt idx="104">
                  <c:v>94</c:v>
                </c:pt>
                <c:pt idx="105">
                  <c:v>112</c:v>
                </c:pt>
                <c:pt idx="106">
                  <c:v>89</c:v>
                </c:pt>
                <c:pt idx="107">
                  <c:v>119</c:v>
                </c:pt>
                <c:pt idx="108">
                  <c:v>102</c:v>
                </c:pt>
                <c:pt idx="109">
                  <c:v>87</c:v>
                </c:pt>
                <c:pt idx="110">
                  <c:v>113</c:v>
                </c:pt>
                <c:pt idx="111">
                  <c:v>106</c:v>
                </c:pt>
                <c:pt idx="112">
                  <c:v>96</c:v>
                </c:pt>
                <c:pt idx="113">
                  <c:v>110</c:v>
                </c:pt>
                <c:pt idx="114">
                  <c:v>100</c:v>
                </c:pt>
                <c:pt idx="115">
                  <c:v>84</c:v>
                </c:pt>
                <c:pt idx="116">
                  <c:v>106</c:v>
                </c:pt>
                <c:pt idx="117">
                  <c:v>114</c:v>
                </c:pt>
                <c:pt idx="118">
                  <c:v>96</c:v>
                </c:pt>
                <c:pt idx="119">
                  <c:v>102</c:v>
                </c:pt>
                <c:pt idx="120">
                  <c:v>106</c:v>
                </c:pt>
                <c:pt idx="121">
                  <c:v>93</c:v>
                </c:pt>
                <c:pt idx="122">
                  <c:v>100</c:v>
                </c:pt>
                <c:pt idx="123">
                  <c:v>111</c:v>
                </c:pt>
                <c:pt idx="124">
                  <c:v>87</c:v>
                </c:pt>
                <c:pt idx="125">
                  <c:v>100</c:v>
                </c:pt>
                <c:pt idx="126">
                  <c:v>104</c:v>
                </c:pt>
                <c:pt idx="127">
                  <c:v>78</c:v>
                </c:pt>
                <c:pt idx="128">
                  <c:v>101</c:v>
                </c:pt>
                <c:pt idx="129">
                  <c:v>100</c:v>
                </c:pt>
                <c:pt idx="130">
                  <c:v>109</c:v>
                </c:pt>
                <c:pt idx="131">
                  <c:v>98</c:v>
                </c:pt>
                <c:pt idx="132">
                  <c:v>111</c:v>
                </c:pt>
                <c:pt idx="133">
                  <c:v>97</c:v>
                </c:pt>
                <c:pt idx="134">
                  <c:v>88</c:v>
                </c:pt>
                <c:pt idx="135">
                  <c:v>101</c:v>
                </c:pt>
                <c:pt idx="136">
                  <c:v>105</c:v>
                </c:pt>
                <c:pt idx="137">
                  <c:v>102</c:v>
                </c:pt>
                <c:pt idx="138">
                  <c:v>98</c:v>
                </c:pt>
                <c:pt idx="139">
                  <c:v>96</c:v>
                </c:pt>
                <c:pt idx="140">
                  <c:v>76</c:v>
                </c:pt>
                <c:pt idx="141">
                  <c:v>112</c:v>
                </c:pt>
                <c:pt idx="142">
                  <c:v>99</c:v>
                </c:pt>
                <c:pt idx="143">
                  <c:v>100</c:v>
                </c:pt>
                <c:pt idx="144">
                  <c:v>89</c:v>
                </c:pt>
                <c:pt idx="145">
                  <c:v>102</c:v>
                </c:pt>
                <c:pt idx="146">
                  <c:v>104</c:v>
                </c:pt>
                <c:pt idx="147">
                  <c:v>96</c:v>
                </c:pt>
                <c:pt idx="148">
                  <c:v>100</c:v>
                </c:pt>
                <c:pt idx="149">
                  <c:v>105</c:v>
                </c:pt>
                <c:pt idx="150">
                  <c:v>81</c:v>
                </c:pt>
                <c:pt idx="151">
                  <c:v>120</c:v>
                </c:pt>
                <c:pt idx="152">
                  <c:v>97</c:v>
                </c:pt>
                <c:pt idx="153">
                  <c:v>99</c:v>
                </c:pt>
                <c:pt idx="154">
                  <c:v>120</c:v>
                </c:pt>
                <c:pt idx="155">
                  <c:v>90</c:v>
                </c:pt>
                <c:pt idx="156">
                  <c:v>85</c:v>
                </c:pt>
                <c:pt idx="157">
                  <c:v>84</c:v>
                </c:pt>
                <c:pt idx="158">
                  <c:v>106</c:v>
                </c:pt>
                <c:pt idx="159">
                  <c:v>112</c:v>
                </c:pt>
                <c:pt idx="160">
                  <c:v>110</c:v>
                </c:pt>
                <c:pt idx="161">
                  <c:v>86</c:v>
                </c:pt>
                <c:pt idx="162">
                  <c:v>104</c:v>
                </c:pt>
                <c:pt idx="163">
                  <c:v>107</c:v>
                </c:pt>
                <c:pt idx="164">
                  <c:v>93</c:v>
                </c:pt>
                <c:pt idx="165">
                  <c:v>108</c:v>
                </c:pt>
                <c:pt idx="166">
                  <c:v>96</c:v>
                </c:pt>
                <c:pt idx="167">
                  <c:v>95</c:v>
                </c:pt>
                <c:pt idx="168">
                  <c:v>112</c:v>
                </c:pt>
                <c:pt idx="169">
                  <c:v>108</c:v>
                </c:pt>
                <c:pt idx="170">
                  <c:v>85</c:v>
                </c:pt>
                <c:pt idx="171">
                  <c:v>87</c:v>
                </c:pt>
                <c:pt idx="172">
                  <c:v>95</c:v>
                </c:pt>
                <c:pt idx="173">
                  <c:v>97</c:v>
                </c:pt>
                <c:pt idx="174">
                  <c:v>116</c:v>
                </c:pt>
                <c:pt idx="175">
                  <c:v>95</c:v>
                </c:pt>
                <c:pt idx="176">
                  <c:v>123</c:v>
                </c:pt>
                <c:pt idx="177">
                  <c:v>104</c:v>
                </c:pt>
                <c:pt idx="178">
                  <c:v>94</c:v>
                </c:pt>
                <c:pt idx="179">
                  <c:v>105</c:v>
                </c:pt>
                <c:pt idx="180">
                  <c:v>109</c:v>
                </c:pt>
                <c:pt idx="181">
                  <c:v>84</c:v>
                </c:pt>
                <c:pt idx="182">
                  <c:v>79</c:v>
                </c:pt>
                <c:pt idx="183">
                  <c:v>98</c:v>
                </c:pt>
                <c:pt idx="184">
                  <c:v>96</c:v>
                </c:pt>
                <c:pt idx="185">
                  <c:v>88</c:v>
                </c:pt>
                <c:pt idx="186">
                  <c:v>103</c:v>
                </c:pt>
                <c:pt idx="187">
                  <c:v>83</c:v>
                </c:pt>
                <c:pt idx="188">
                  <c:v>82</c:v>
                </c:pt>
                <c:pt idx="189">
                  <c:v>106</c:v>
                </c:pt>
                <c:pt idx="190">
                  <c:v>96</c:v>
                </c:pt>
                <c:pt idx="191">
                  <c:v>96</c:v>
                </c:pt>
                <c:pt idx="192">
                  <c:v>109</c:v>
                </c:pt>
                <c:pt idx="193">
                  <c:v>98</c:v>
                </c:pt>
                <c:pt idx="194">
                  <c:v>86</c:v>
                </c:pt>
                <c:pt idx="195">
                  <c:v>79</c:v>
                </c:pt>
                <c:pt idx="196">
                  <c:v>86</c:v>
                </c:pt>
                <c:pt idx="197">
                  <c:v>108</c:v>
                </c:pt>
                <c:pt idx="198">
                  <c:v>127</c:v>
                </c:pt>
                <c:pt idx="199">
                  <c:v>93</c:v>
                </c:pt>
                <c:pt idx="200">
                  <c:v>82</c:v>
                </c:pt>
                <c:pt idx="201">
                  <c:v>104</c:v>
                </c:pt>
                <c:pt idx="202">
                  <c:v>99</c:v>
                </c:pt>
                <c:pt idx="203">
                  <c:v>102</c:v>
                </c:pt>
                <c:pt idx="204">
                  <c:v>76</c:v>
                </c:pt>
                <c:pt idx="205">
                  <c:v>99</c:v>
                </c:pt>
                <c:pt idx="206">
                  <c:v>93</c:v>
                </c:pt>
                <c:pt idx="207">
                  <c:v>99</c:v>
                </c:pt>
                <c:pt idx="208">
                  <c:v>102</c:v>
                </c:pt>
                <c:pt idx="209">
                  <c:v>106</c:v>
                </c:pt>
                <c:pt idx="210">
                  <c:v>94</c:v>
                </c:pt>
                <c:pt idx="211">
                  <c:v>105</c:v>
                </c:pt>
                <c:pt idx="212">
                  <c:v>100</c:v>
                </c:pt>
                <c:pt idx="213">
                  <c:v>122</c:v>
                </c:pt>
                <c:pt idx="214">
                  <c:v>103</c:v>
                </c:pt>
                <c:pt idx="215">
                  <c:v>119</c:v>
                </c:pt>
                <c:pt idx="216">
                  <c:v>76</c:v>
                </c:pt>
                <c:pt idx="217">
                  <c:v>96</c:v>
                </c:pt>
                <c:pt idx="218">
                  <c:v>103</c:v>
                </c:pt>
                <c:pt idx="219">
                  <c:v>111</c:v>
                </c:pt>
                <c:pt idx="220">
                  <c:v>97</c:v>
                </c:pt>
                <c:pt idx="221">
                  <c:v>112</c:v>
                </c:pt>
                <c:pt idx="222">
                  <c:v>99</c:v>
                </c:pt>
                <c:pt idx="223">
                  <c:v>124</c:v>
                </c:pt>
                <c:pt idx="224">
                  <c:v>91</c:v>
                </c:pt>
                <c:pt idx="225">
                  <c:v>103</c:v>
                </c:pt>
                <c:pt idx="226">
                  <c:v>86</c:v>
                </c:pt>
                <c:pt idx="227">
                  <c:v>101</c:v>
                </c:pt>
                <c:pt idx="228">
                  <c:v>101</c:v>
                </c:pt>
                <c:pt idx="229">
                  <c:v>101</c:v>
                </c:pt>
                <c:pt idx="230">
                  <c:v>113</c:v>
                </c:pt>
                <c:pt idx="231">
                  <c:v>87</c:v>
                </c:pt>
                <c:pt idx="232">
                  <c:v>108</c:v>
                </c:pt>
                <c:pt idx="233">
                  <c:v>100</c:v>
                </c:pt>
                <c:pt idx="234">
                  <c:v>87</c:v>
                </c:pt>
                <c:pt idx="235">
                  <c:v>96</c:v>
                </c:pt>
                <c:pt idx="236">
                  <c:v>97</c:v>
                </c:pt>
                <c:pt idx="237">
                  <c:v>116</c:v>
                </c:pt>
                <c:pt idx="238">
                  <c:v>100</c:v>
                </c:pt>
                <c:pt idx="239">
                  <c:v>97</c:v>
                </c:pt>
                <c:pt idx="240">
                  <c:v>100</c:v>
                </c:pt>
                <c:pt idx="241">
                  <c:v>99</c:v>
                </c:pt>
                <c:pt idx="242">
                  <c:v>100</c:v>
                </c:pt>
                <c:pt idx="243">
                  <c:v>100</c:v>
                </c:pt>
                <c:pt idx="244">
                  <c:v>82</c:v>
                </c:pt>
                <c:pt idx="245">
                  <c:v>87</c:v>
                </c:pt>
                <c:pt idx="246">
                  <c:v>87</c:v>
                </c:pt>
                <c:pt idx="247">
                  <c:v>90</c:v>
                </c:pt>
                <c:pt idx="248">
                  <c:v>115</c:v>
                </c:pt>
                <c:pt idx="249">
                  <c:v>105</c:v>
                </c:pt>
                <c:pt idx="250">
                  <c:v>90</c:v>
                </c:pt>
                <c:pt idx="251">
                  <c:v>89</c:v>
                </c:pt>
                <c:pt idx="252">
                  <c:v>89</c:v>
                </c:pt>
                <c:pt idx="253">
                  <c:v>86</c:v>
                </c:pt>
                <c:pt idx="254">
                  <c:v>91</c:v>
                </c:pt>
                <c:pt idx="255">
                  <c:v>100</c:v>
                </c:pt>
                <c:pt idx="256">
                  <c:v>104</c:v>
                </c:pt>
                <c:pt idx="257">
                  <c:v>80</c:v>
                </c:pt>
                <c:pt idx="258">
                  <c:v>110</c:v>
                </c:pt>
                <c:pt idx="259">
                  <c:v>90</c:v>
                </c:pt>
                <c:pt idx="260">
                  <c:v>96</c:v>
                </c:pt>
                <c:pt idx="261">
                  <c:v>103</c:v>
                </c:pt>
                <c:pt idx="262">
                  <c:v>99</c:v>
                </c:pt>
                <c:pt idx="263">
                  <c:v>76</c:v>
                </c:pt>
                <c:pt idx="264">
                  <c:v>106</c:v>
                </c:pt>
                <c:pt idx="265">
                  <c:v>100</c:v>
                </c:pt>
                <c:pt idx="266">
                  <c:v>85</c:v>
                </c:pt>
                <c:pt idx="267">
                  <c:v>101</c:v>
                </c:pt>
                <c:pt idx="268">
                  <c:v>93</c:v>
                </c:pt>
                <c:pt idx="269">
                  <c:v>91</c:v>
                </c:pt>
                <c:pt idx="270">
                  <c:v>103</c:v>
                </c:pt>
                <c:pt idx="271">
                  <c:v>109</c:v>
                </c:pt>
                <c:pt idx="272">
                  <c:v>83</c:v>
                </c:pt>
                <c:pt idx="273">
                  <c:v>102</c:v>
                </c:pt>
                <c:pt idx="274">
                  <c:v>98</c:v>
                </c:pt>
                <c:pt idx="275">
                  <c:v>93</c:v>
                </c:pt>
                <c:pt idx="276">
                  <c:v>104</c:v>
                </c:pt>
                <c:pt idx="277">
                  <c:v>96</c:v>
                </c:pt>
                <c:pt idx="278">
                  <c:v>103</c:v>
                </c:pt>
                <c:pt idx="279">
                  <c:v>85</c:v>
                </c:pt>
                <c:pt idx="280">
                  <c:v>92</c:v>
                </c:pt>
                <c:pt idx="281">
                  <c:v>90</c:v>
                </c:pt>
                <c:pt idx="282">
                  <c:v>83</c:v>
                </c:pt>
                <c:pt idx="283">
                  <c:v>86</c:v>
                </c:pt>
                <c:pt idx="284">
                  <c:v>110</c:v>
                </c:pt>
                <c:pt idx="285">
                  <c:v>89</c:v>
                </c:pt>
                <c:pt idx="286">
                  <c:v>118</c:v>
                </c:pt>
                <c:pt idx="287">
                  <c:v>102</c:v>
                </c:pt>
                <c:pt idx="288">
                  <c:v>108</c:v>
                </c:pt>
                <c:pt idx="289">
                  <c:v>95</c:v>
                </c:pt>
                <c:pt idx="290">
                  <c:v>100</c:v>
                </c:pt>
                <c:pt idx="291">
                  <c:v>86</c:v>
                </c:pt>
                <c:pt idx="292">
                  <c:v>94</c:v>
                </c:pt>
                <c:pt idx="293">
                  <c:v>88</c:v>
                </c:pt>
                <c:pt idx="294">
                  <c:v>100</c:v>
                </c:pt>
                <c:pt idx="295">
                  <c:v>95</c:v>
                </c:pt>
                <c:pt idx="296">
                  <c:v>95</c:v>
                </c:pt>
                <c:pt idx="297">
                  <c:v>92</c:v>
                </c:pt>
                <c:pt idx="298">
                  <c:v>108</c:v>
                </c:pt>
                <c:pt idx="299">
                  <c:v>99</c:v>
                </c:pt>
                <c:pt idx="300">
                  <c:v>95</c:v>
                </c:pt>
                <c:pt idx="301">
                  <c:v>86</c:v>
                </c:pt>
                <c:pt idx="302">
                  <c:v>120</c:v>
                </c:pt>
                <c:pt idx="303">
                  <c:v>81</c:v>
                </c:pt>
                <c:pt idx="304">
                  <c:v>102</c:v>
                </c:pt>
                <c:pt idx="305">
                  <c:v>87</c:v>
                </c:pt>
                <c:pt idx="306">
                  <c:v>90</c:v>
                </c:pt>
                <c:pt idx="307">
                  <c:v>89</c:v>
                </c:pt>
                <c:pt idx="308">
                  <c:v>105</c:v>
                </c:pt>
                <c:pt idx="309">
                  <c:v>96</c:v>
                </c:pt>
                <c:pt idx="310">
                  <c:v>97</c:v>
                </c:pt>
                <c:pt idx="311">
                  <c:v>98</c:v>
                </c:pt>
                <c:pt idx="312">
                  <c:v>100</c:v>
                </c:pt>
                <c:pt idx="313">
                  <c:v>108</c:v>
                </c:pt>
                <c:pt idx="314">
                  <c:v>92</c:v>
                </c:pt>
                <c:pt idx="315">
                  <c:v>97</c:v>
                </c:pt>
                <c:pt idx="316">
                  <c:v>116</c:v>
                </c:pt>
                <c:pt idx="317">
                  <c:v>103</c:v>
                </c:pt>
                <c:pt idx="318">
                  <c:v>87</c:v>
                </c:pt>
                <c:pt idx="319">
                  <c:v>103</c:v>
                </c:pt>
                <c:pt idx="320">
                  <c:v>115</c:v>
                </c:pt>
                <c:pt idx="321">
                  <c:v>88</c:v>
                </c:pt>
                <c:pt idx="322">
                  <c:v>100</c:v>
                </c:pt>
                <c:pt idx="323">
                  <c:v>108</c:v>
                </c:pt>
                <c:pt idx="324">
                  <c:v>96</c:v>
                </c:pt>
                <c:pt idx="325">
                  <c:v>86</c:v>
                </c:pt>
                <c:pt idx="326">
                  <c:v>87</c:v>
                </c:pt>
                <c:pt idx="327">
                  <c:v>109</c:v>
                </c:pt>
                <c:pt idx="328">
                  <c:v>91</c:v>
                </c:pt>
                <c:pt idx="329">
                  <c:v>107</c:v>
                </c:pt>
                <c:pt idx="330">
                  <c:v>106</c:v>
                </c:pt>
                <c:pt idx="331">
                  <c:v>92</c:v>
                </c:pt>
                <c:pt idx="332">
                  <c:v>90</c:v>
                </c:pt>
                <c:pt idx="333">
                  <c:v>102</c:v>
                </c:pt>
                <c:pt idx="334">
                  <c:v>99</c:v>
                </c:pt>
                <c:pt idx="335">
                  <c:v>88</c:v>
                </c:pt>
                <c:pt idx="336">
                  <c:v>100</c:v>
                </c:pt>
                <c:pt idx="337">
                  <c:v>100</c:v>
                </c:pt>
                <c:pt idx="338">
                  <c:v>106</c:v>
                </c:pt>
                <c:pt idx="339">
                  <c:v>94</c:v>
                </c:pt>
                <c:pt idx="340">
                  <c:v>98</c:v>
                </c:pt>
                <c:pt idx="341">
                  <c:v>119</c:v>
                </c:pt>
                <c:pt idx="342">
                  <c:v>99</c:v>
                </c:pt>
                <c:pt idx="343">
                  <c:v>87</c:v>
                </c:pt>
                <c:pt idx="344">
                  <c:v>92</c:v>
                </c:pt>
                <c:pt idx="345">
                  <c:v>103</c:v>
                </c:pt>
                <c:pt idx="346">
                  <c:v>79</c:v>
                </c:pt>
                <c:pt idx="347">
                  <c:v>110</c:v>
                </c:pt>
                <c:pt idx="348">
                  <c:v>95</c:v>
                </c:pt>
                <c:pt idx="349">
                  <c:v>101</c:v>
                </c:pt>
                <c:pt idx="350">
                  <c:v>95</c:v>
                </c:pt>
                <c:pt idx="351">
                  <c:v>107</c:v>
                </c:pt>
                <c:pt idx="352">
                  <c:v>91</c:v>
                </c:pt>
                <c:pt idx="353">
                  <c:v>87</c:v>
                </c:pt>
                <c:pt idx="354">
                  <c:v>100</c:v>
                </c:pt>
                <c:pt idx="355">
                  <c:v>117</c:v>
                </c:pt>
                <c:pt idx="356">
                  <c:v>102</c:v>
                </c:pt>
                <c:pt idx="357">
                  <c:v>88</c:v>
                </c:pt>
                <c:pt idx="358">
                  <c:v>100</c:v>
                </c:pt>
                <c:pt idx="359">
                  <c:v>81</c:v>
                </c:pt>
                <c:pt idx="360">
                  <c:v>91</c:v>
                </c:pt>
                <c:pt idx="361">
                  <c:v>90</c:v>
                </c:pt>
                <c:pt idx="362">
                  <c:v>102</c:v>
                </c:pt>
                <c:pt idx="363">
                  <c:v>109</c:v>
                </c:pt>
                <c:pt idx="364">
                  <c:v>101</c:v>
                </c:pt>
                <c:pt idx="365">
                  <c:v>97</c:v>
                </c:pt>
                <c:pt idx="366">
                  <c:v>88</c:v>
                </c:pt>
                <c:pt idx="367">
                  <c:v>100</c:v>
                </c:pt>
                <c:pt idx="368">
                  <c:v>104</c:v>
                </c:pt>
                <c:pt idx="369">
                  <c:v>106</c:v>
                </c:pt>
                <c:pt idx="370">
                  <c:v>91</c:v>
                </c:pt>
                <c:pt idx="371">
                  <c:v>110</c:v>
                </c:pt>
                <c:pt idx="372">
                  <c:v>104</c:v>
                </c:pt>
                <c:pt idx="373">
                  <c:v>85</c:v>
                </c:pt>
                <c:pt idx="374">
                  <c:v>107</c:v>
                </c:pt>
                <c:pt idx="375">
                  <c:v>111</c:v>
                </c:pt>
                <c:pt idx="376">
                  <c:v>107</c:v>
                </c:pt>
                <c:pt idx="377">
                  <c:v>94</c:v>
                </c:pt>
                <c:pt idx="378">
                  <c:v>91</c:v>
                </c:pt>
                <c:pt idx="379">
                  <c:v>89</c:v>
                </c:pt>
                <c:pt idx="380">
                  <c:v>98</c:v>
                </c:pt>
                <c:pt idx="381">
                  <c:v>110</c:v>
                </c:pt>
                <c:pt idx="382">
                  <c:v>93</c:v>
                </c:pt>
                <c:pt idx="383">
                  <c:v>103</c:v>
                </c:pt>
                <c:pt idx="384">
                  <c:v>100</c:v>
                </c:pt>
                <c:pt idx="385">
                  <c:v>101</c:v>
                </c:pt>
                <c:pt idx="386">
                  <c:v>94</c:v>
                </c:pt>
                <c:pt idx="387">
                  <c:v>108</c:v>
                </c:pt>
                <c:pt idx="388">
                  <c:v>113</c:v>
                </c:pt>
                <c:pt idx="389">
                  <c:v>115</c:v>
                </c:pt>
                <c:pt idx="390">
                  <c:v>98</c:v>
                </c:pt>
                <c:pt idx="391">
                  <c:v>93</c:v>
                </c:pt>
                <c:pt idx="392">
                  <c:v>104</c:v>
                </c:pt>
                <c:pt idx="393">
                  <c:v>100</c:v>
                </c:pt>
                <c:pt idx="394">
                  <c:v>89</c:v>
                </c:pt>
                <c:pt idx="395">
                  <c:v>86</c:v>
                </c:pt>
                <c:pt idx="396">
                  <c:v>93</c:v>
                </c:pt>
                <c:pt idx="397">
                  <c:v>104</c:v>
                </c:pt>
                <c:pt idx="398">
                  <c:v>91</c:v>
                </c:pt>
                <c:pt idx="399">
                  <c:v>113</c:v>
                </c:pt>
                <c:pt idx="400">
                  <c:v>103</c:v>
                </c:pt>
                <c:pt idx="401">
                  <c:v>98</c:v>
                </c:pt>
                <c:pt idx="402">
                  <c:v>100</c:v>
                </c:pt>
                <c:pt idx="403">
                  <c:v>89</c:v>
                </c:pt>
                <c:pt idx="404">
                  <c:v>83</c:v>
                </c:pt>
                <c:pt idx="405">
                  <c:v>92</c:v>
                </c:pt>
                <c:pt idx="406">
                  <c:v>81</c:v>
                </c:pt>
                <c:pt idx="407">
                  <c:v>91</c:v>
                </c:pt>
                <c:pt idx="408">
                  <c:v>102</c:v>
                </c:pt>
                <c:pt idx="409">
                  <c:v>107</c:v>
                </c:pt>
                <c:pt idx="410">
                  <c:v>103</c:v>
                </c:pt>
                <c:pt idx="411">
                  <c:v>100</c:v>
                </c:pt>
                <c:pt idx="412">
                  <c:v>97</c:v>
                </c:pt>
                <c:pt idx="413">
                  <c:v>85</c:v>
                </c:pt>
                <c:pt idx="414">
                  <c:v>107</c:v>
                </c:pt>
                <c:pt idx="415">
                  <c:v>106</c:v>
                </c:pt>
                <c:pt idx="416">
                  <c:v>92</c:v>
                </c:pt>
                <c:pt idx="417">
                  <c:v>110</c:v>
                </c:pt>
                <c:pt idx="418">
                  <c:v>93</c:v>
                </c:pt>
                <c:pt idx="419">
                  <c:v>104</c:v>
                </c:pt>
                <c:pt idx="420">
                  <c:v>117</c:v>
                </c:pt>
                <c:pt idx="421">
                  <c:v>122</c:v>
                </c:pt>
                <c:pt idx="422">
                  <c:v>90</c:v>
                </c:pt>
                <c:pt idx="423">
                  <c:v>113</c:v>
                </c:pt>
                <c:pt idx="424">
                  <c:v>110</c:v>
                </c:pt>
                <c:pt idx="425">
                  <c:v>106</c:v>
                </c:pt>
                <c:pt idx="426">
                  <c:v>92</c:v>
                </c:pt>
                <c:pt idx="427">
                  <c:v>121</c:v>
                </c:pt>
                <c:pt idx="428">
                  <c:v>89</c:v>
                </c:pt>
                <c:pt idx="429">
                  <c:v>117</c:v>
                </c:pt>
                <c:pt idx="430">
                  <c:v>106</c:v>
                </c:pt>
                <c:pt idx="431">
                  <c:v>121</c:v>
                </c:pt>
                <c:pt idx="432">
                  <c:v>95</c:v>
                </c:pt>
                <c:pt idx="433">
                  <c:v>91</c:v>
                </c:pt>
                <c:pt idx="434">
                  <c:v>82</c:v>
                </c:pt>
                <c:pt idx="435">
                  <c:v>100</c:v>
                </c:pt>
                <c:pt idx="436">
                  <c:v>81</c:v>
                </c:pt>
                <c:pt idx="437">
                  <c:v>101</c:v>
                </c:pt>
                <c:pt idx="438">
                  <c:v>95</c:v>
                </c:pt>
                <c:pt idx="439">
                  <c:v>114</c:v>
                </c:pt>
                <c:pt idx="440">
                  <c:v>92</c:v>
                </c:pt>
                <c:pt idx="441">
                  <c:v>113</c:v>
                </c:pt>
                <c:pt idx="442">
                  <c:v>113</c:v>
                </c:pt>
                <c:pt idx="443">
                  <c:v>120</c:v>
                </c:pt>
                <c:pt idx="444">
                  <c:v>108</c:v>
                </c:pt>
                <c:pt idx="445">
                  <c:v>99</c:v>
                </c:pt>
                <c:pt idx="446">
                  <c:v>108</c:v>
                </c:pt>
                <c:pt idx="447">
                  <c:v>98</c:v>
                </c:pt>
                <c:pt idx="448">
                  <c:v>92</c:v>
                </c:pt>
                <c:pt idx="449">
                  <c:v>96</c:v>
                </c:pt>
                <c:pt idx="450">
                  <c:v>94</c:v>
                </c:pt>
                <c:pt idx="451">
                  <c:v>75</c:v>
                </c:pt>
                <c:pt idx="452">
                  <c:v>97</c:v>
                </c:pt>
                <c:pt idx="453">
                  <c:v>100</c:v>
                </c:pt>
                <c:pt idx="454">
                  <c:v>98</c:v>
                </c:pt>
                <c:pt idx="455">
                  <c:v>121</c:v>
                </c:pt>
                <c:pt idx="456">
                  <c:v>103</c:v>
                </c:pt>
                <c:pt idx="457">
                  <c:v>121</c:v>
                </c:pt>
                <c:pt idx="458">
                  <c:v>103</c:v>
                </c:pt>
                <c:pt idx="459">
                  <c:v>91</c:v>
                </c:pt>
                <c:pt idx="460">
                  <c:v>91</c:v>
                </c:pt>
                <c:pt idx="461">
                  <c:v>107</c:v>
                </c:pt>
                <c:pt idx="462">
                  <c:v>97</c:v>
                </c:pt>
                <c:pt idx="463">
                  <c:v>106</c:v>
                </c:pt>
                <c:pt idx="464">
                  <c:v>110</c:v>
                </c:pt>
                <c:pt idx="465">
                  <c:v>91</c:v>
                </c:pt>
                <c:pt idx="466">
                  <c:v>103</c:v>
                </c:pt>
                <c:pt idx="467">
                  <c:v>84</c:v>
                </c:pt>
                <c:pt idx="468">
                  <c:v>93</c:v>
                </c:pt>
                <c:pt idx="469">
                  <c:v>113</c:v>
                </c:pt>
                <c:pt idx="470">
                  <c:v>105</c:v>
                </c:pt>
                <c:pt idx="471">
                  <c:v>83</c:v>
                </c:pt>
                <c:pt idx="472">
                  <c:v>96</c:v>
                </c:pt>
                <c:pt idx="473">
                  <c:v>107</c:v>
                </c:pt>
                <c:pt idx="474">
                  <c:v>83</c:v>
                </c:pt>
                <c:pt idx="475">
                  <c:v>105</c:v>
                </c:pt>
                <c:pt idx="476">
                  <c:v>112</c:v>
                </c:pt>
                <c:pt idx="477">
                  <c:v>99</c:v>
                </c:pt>
                <c:pt idx="478">
                  <c:v>111</c:v>
                </c:pt>
                <c:pt idx="479">
                  <c:v>105</c:v>
                </c:pt>
                <c:pt idx="480">
                  <c:v>93</c:v>
                </c:pt>
                <c:pt idx="481">
                  <c:v>109</c:v>
                </c:pt>
                <c:pt idx="482">
                  <c:v>106</c:v>
                </c:pt>
                <c:pt idx="483">
                  <c:v>106</c:v>
                </c:pt>
                <c:pt idx="484">
                  <c:v>103</c:v>
                </c:pt>
                <c:pt idx="485">
                  <c:v>113</c:v>
                </c:pt>
                <c:pt idx="486">
                  <c:v>111</c:v>
                </c:pt>
                <c:pt idx="487">
                  <c:v>92</c:v>
                </c:pt>
                <c:pt idx="488">
                  <c:v>89</c:v>
                </c:pt>
                <c:pt idx="489">
                  <c:v>111</c:v>
                </c:pt>
                <c:pt idx="490">
                  <c:v>104</c:v>
                </c:pt>
                <c:pt idx="491">
                  <c:v>108</c:v>
                </c:pt>
                <c:pt idx="492">
                  <c:v>109</c:v>
                </c:pt>
                <c:pt idx="493">
                  <c:v>108</c:v>
                </c:pt>
                <c:pt idx="494">
                  <c:v>127</c:v>
                </c:pt>
                <c:pt idx="495">
                  <c:v>104</c:v>
                </c:pt>
                <c:pt idx="496">
                  <c:v>106</c:v>
                </c:pt>
                <c:pt idx="497">
                  <c:v>94</c:v>
                </c:pt>
                <c:pt idx="498">
                  <c:v>81</c:v>
                </c:pt>
                <c:pt idx="499">
                  <c:v>95</c:v>
                </c:pt>
              </c:numCache>
            </c:numRef>
          </c:val>
          <c:smooth val="0"/>
          <c:extLst>
            <c:ext xmlns:c16="http://schemas.microsoft.com/office/drawing/2014/chart" uri="{C3380CC4-5D6E-409C-BE32-E72D297353CC}">
              <c16:uniqueId val="{00000000-C6B6-403F-BA8D-3869BDAAE864}"/>
            </c:ext>
          </c:extLst>
        </c:ser>
        <c:ser>
          <c:idx val="1"/>
          <c:order val="1"/>
          <c:tx>
            <c:strRef>
              <c:f>'Demand Forecasting Sheet'!$C$1</c:f>
              <c:strCache>
                <c:ptCount val="1"/>
                <c:pt idx="0">
                  <c:v>Forecast(Units_Sold)</c:v>
                </c:pt>
              </c:strCache>
            </c:strRef>
          </c:tx>
          <c:spPr>
            <a:ln w="25400" cap="rnd">
              <a:solidFill>
                <a:schemeClr val="accent2"/>
              </a:solidFill>
              <a:round/>
            </a:ln>
            <a:effectLst/>
          </c:spPr>
          <c:marker>
            <c:symbol val="none"/>
          </c:marker>
          <c:trendline>
            <c:spPr>
              <a:ln w="28575" cap="rnd">
                <a:solidFill>
                  <a:schemeClr val="accent2"/>
                </a:solidFill>
                <a:prstDash val="sysDot"/>
              </a:ln>
              <a:effectLst/>
            </c:spPr>
            <c:trendlineType val="linear"/>
            <c:forward val="10"/>
            <c:dispRSqr val="1"/>
            <c:dispEq val="1"/>
            <c:trendlineLbl>
              <c:layout>
                <c:manualLayout>
                  <c:x val="-2.4074468952250534E-2"/>
                  <c:y val="-0.2280252241197123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'Demand Forecasting Sheet'!$A$2:$A$635</c:f>
              <c:numCache>
                <c:formatCode>m/d/yyyy</c:formatCode>
                <c:ptCount val="634"/>
                <c:pt idx="0">
                  <c:v>42005</c:v>
                </c:pt>
                <c:pt idx="1">
                  <c:v>42035</c:v>
                </c:pt>
                <c:pt idx="2">
                  <c:v>42065</c:v>
                </c:pt>
                <c:pt idx="3">
                  <c:v>42095</c:v>
                </c:pt>
                <c:pt idx="4">
                  <c:v>42125</c:v>
                </c:pt>
                <c:pt idx="5">
                  <c:v>42155</c:v>
                </c:pt>
                <c:pt idx="6">
                  <c:v>42185</c:v>
                </c:pt>
                <c:pt idx="7">
                  <c:v>42215</c:v>
                </c:pt>
                <c:pt idx="8">
                  <c:v>42245</c:v>
                </c:pt>
                <c:pt idx="9">
                  <c:v>42275</c:v>
                </c:pt>
                <c:pt idx="10">
                  <c:v>42305</c:v>
                </c:pt>
                <c:pt idx="11">
                  <c:v>42335</c:v>
                </c:pt>
                <c:pt idx="12">
                  <c:v>42365</c:v>
                </c:pt>
                <c:pt idx="13">
                  <c:v>42395</c:v>
                </c:pt>
                <c:pt idx="14">
                  <c:v>42425</c:v>
                </c:pt>
                <c:pt idx="15">
                  <c:v>42455</c:v>
                </c:pt>
                <c:pt idx="16">
                  <c:v>42485</c:v>
                </c:pt>
                <c:pt idx="17">
                  <c:v>42515</c:v>
                </c:pt>
                <c:pt idx="18">
                  <c:v>42545</c:v>
                </c:pt>
                <c:pt idx="19">
                  <c:v>42575</c:v>
                </c:pt>
                <c:pt idx="20">
                  <c:v>42605</c:v>
                </c:pt>
                <c:pt idx="21">
                  <c:v>42635</c:v>
                </c:pt>
                <c:pt idx="22">
                  <c:v>42665</c:v>
                </c:pt>
                <c:pt idx="23">
                  <c:v>42695</c:v>
                </c:pt>
                <c:pt idx="24">
                  <c:v>42725</c:v>
                </c:pt>
                <c:pt idx="25">
                  <c:v>42755</c:v>
                </c:pt>
                <c:pt idx="26">
                  <c:v>42785</c:v>
                </c:pt>
                <c:pt idx="27">
                  <c:v>42815</c:v>
                </c:pt>
                <c:pt idx="28">
                  <c:v>42845</c:v>
                </c:pt>
                <c:pt idx="29">
                  <c:v>42875</c:v>
                </c:pt>
                <c:pt idx="30">
                  <c:v>42905</c:v>
                </c:pt>
                <c:pt idx="31">
                  <c:v>42935</c:v>
                </c:pt>
                <c:pt idx="32">
                  <c:v>42965</c:v>
                </c:pt>
                <c:pt idx="33">
                  <c:v>42995</c:v>
                </c:pt>
                <c:pt idx="34">
                  <c:v>43025</c:v>
                </c:pt>
                <c:pt idx="35">
                  <c:v>43055</c:v>
                </c:pt>
                <c:pt idx="36">
                  <c:v>43085</c:v>
                </c:pt>
                <c:pt idx="37">
                  <c:v>43115</c:v>
                </c:pt>
                <c:pt idx="38">
                  <c:v>43145</c:v>
                </c:pt>
                <c:pt idx="39">
                  <c:v>43175</c:v>
                </c:pt>
                <c:pt idx="40">
                  <c:v>43205</c:v>
                </c:pt>
                <c:pt idx="41">
                  <c:v>43235</c:v>
                </c:pt>
                <c:pt idx="42">
                  <c:v>43265</c:v>
                </c:pt>
                <c:pt idx="43">
                  <c:v>43295</c:v>
                </c:pt>
                <c:pt idx="44">
                  <c:v>43325</c:v>
                </c:pt>
                <c:pt idx="45">
                  <c:v>43355</c:v>
                </c:pt>
                <c:pt idx="46">
                  <c:v>43385</c:v>
                </c:pt>
                <c:pt idx="47">
                  <c:v>43415</c:v>
                </c:pt>
                <c:pt idx="48">
                  <c:v>43445</c:v>
                </c:pt>
                <c:pt idx="49">
                  <c:v>43475</c:v>
                </c:pt>
                <c:pt idx="50">
                  <c:v>43505</c:v>
                </c:pt>
                <c:pt idx="51">
                  <c:v>43535</c:v>
                </c:pt>
                <c:pt idx="52">
                  <c:v>43565</c:v>
                </c:pt>
                <c:pt idx="53">
                  <c:v>43595</c:v>
                </c:pt>
                <c:pt idx="54">
                  <c:v>43625</c:v>
                </c:pt>
                <c:pt idx="55">
                  <c:v>43655</c:v>
                </c:pt>
                <c:pt idx="56">
                  <c:v>43685</c:v>
                </c:pt>
                <c:pt idx="57">
                  <c:v>43715</c:v>
                </c:pt>
                <c:pt idx="58">
                  <c:v>43745</c:v>
                </c:pt>
                <c:pt idx="59">
                  <c:v>43775</c:v>
                </c:pt>
                <c:pt idx="60">
                  <c:v>43805</c:v>
                </c:pt>
                <c:pt idx="61">
                  <c:v>43835</c:v>
                </c:pt>
                <c:pt idx="62">
                  <c:v>43865</c:v>
                </c:pt>
                <c:pt idx="63">
                  <c:v>43895</c:v>
                </c:pt>
                <c:pt idx="64">
                  <c:v>43925</c:v>
                </c:pt>
                <c:pt idx="65">
                  <c:v>43955</c:v>
                </c:pt>
                <c:pt idx="66">
                  <c:v>43985</c:v>
                </c:pt>
                <c:pt idx="67">
                  <c:v>44015</c:v>
                </c:pt>
                <c:pt idx="68">
                  <c:v>44045</c:v>
                </c:pt>
                <c:pt idx="69">
                  <c:v>44075</c:v>
                </c:pt>
                <c:pt idx="70">
                  <c:v>44105</c:v>
                </c:pt>
                <c:pt idx="71">
                  <c:v>44135</c:v>
                </c:pt>
                <c:pt idx="72">
                  <c:v>44165</c:v>
                </c:pt>
                <c:pt idx="73">
                  <c:v>44195</c:v>
                </c:pt>
                <c:pt idx="74">
                  <c:v>44225</c:v>
                </c:pt>
                <c:pt idx="75">
                  <c:v>44255</c:v>
                </c:pt>
                <c:pt idx="76">
                  <c:v>44285</c:v>
                </c:pt>
                <c:pt idx="77">
                  <c:v>44315</c:v>
                </c:pt>
                <c:pt idx="78">
                  <c:v>44345</c:v>
                </c:pt>
                <c:pt idx="79">
                  <c:v>44375</c:v>
                </c:pt>
                <c:pt idx="80">
                  <c:v>44405</c:v>
                </c:pt>
                <c:pt idx="81">
                  <c:v>44435</c:v>
                </c:pt>
                <c:pt idx="82">
                  <c:v>44465</c:v>
                </c:pt>
                <c:pt idx="83">
                  <c:v>44495</c:v>
                </c:pt>
                <c:pt idx="84">
                  <c:v>44525</c:v>
                </c:pt>
                <c:pt idx="85">
                  <c:v>44555</c:v>
                </c:pt>
                <c:pt idx="86">
                  <c:v>44585</c:v>
                </c:pt>
                <c:pt idx="87">
                  <c:v>44615</c:v>
                </c:pt>
                <c:pt idx="88">
                  <c:v>44645</c:v>
                </c:pt>
                <c:pt idx="89">
                  <c:v>44675</c:v>
                </c:pt>
                <c:pt idx="90">
                  <c:v>44705</c:v>
                </c:pt>
                <c:pt idx="91">
                  <c:v>44735</c:v>
                </c:pt>
                <c:pt idx="92">
                  <c:v>44765</c:v>
                </c:pt>
                <c:pt idx="93">
                  <c:v>44795</c:v>
                </c:pt>
                <c:pt idx="94">
                  <c:v>44825</c:v>
                </c:pt>
                <c:pt idx="95">
                  <c:v>44855</c:v>
                </c:pt>
                <c:pt idx="96">
                  <c:v>44885</c:v>
                </c:pt>
                <c:pt idx="97">
                  <c:v>44915</c:v>
                </c:pt>
                <c:pt idx="98">
                  <c:v>44945</c:v>
                </c:pt>
                <c:pt idx="99">
                  <c:v>44975</c:v>
                </c:pt>
                <c:pt idx="100">
                  <c:v>45005</c:v>
                </c:pt>
                <c:pt idx="101">
                  <c:v>45035</c:v>
                </c:pt>
                <c:pt idx="102">
                  <c:v>45065</c:v>
                </c:pt>
                <c:pt idx="103">
                  <c:v>45095</c:v>
                </c:pt>
                <c:pt idx="104">
                  <c:v>45125</c:v>
                </c:pt>
                <c:pt idx="105">
                  <c:v>45155</c:v>
                </c:pt>
                <c:pt idx="106">
                  <c:v>45185</c:v>
                </c:pt>
                <c:pt idx="107">
                  <c:v>45215</c:v>
                </c:pt>
                <c:pt idx="108">
                  <c:v>45245</c:v>
                </c:pt>
                <c:pt idx="109">
                  <c:v>45275</c:v>
                </c:pt>
                <c:pt idx="110">
                  <c:v>45305</c:v>
                </c:pt>
                <c:pt idx="111">
                  <c:v>45335</c:v>
                </c:pt>
                <c:pt idx="112">
                  <c:v>45365</c:v>
                </c:pt>
                <c:pt idx="113">
                  <c:v>45395</c:v>
                </c:pt>
                <c:pt idx="114">
                  <c:v>45425</c:v>
                </c:pt>
                <c:pt idx="115">
                  <c:v>45455</c:v>
                </c:pt>
                <c:pt idx="116">
                  <c:v>45485</c:v>
                </c:pt>
                <c:pt idx="117">
                  <c:v>45515</c:v>
                </c:pt>
                <c:pt idx="118">
                  <c:v>45545</c:v>
                </c:pt>
                <c:pt idx="119">
                  <c:v>45575</c:v>
                </c:pt>
                <c:pt idx="120">
                  <c:v>45605</c:v>
                </c:pt>
                <c:pt idx="121">
                  <c:v>45635</c:v>
                </c:pt>
                <c:pt idx="122">
                  <c:v>45665</c:v>
                </c:pt>
                <c:pt idx="123">
                  <c:v>45695</c:v>
                </c:pt>
                <c:pt idx="124">
                  <c:v>45725</c:v>
                </c:pt>
                <c:pt idx="125">
                  <c:v>45755</c:v>
                </c:pt>
                <c:pt idx="126">
                  <c:v>45785</c:v>
                </c:pt>
                <c:pt idx="127">
                  <c:v>45815</c:v>
                </c:pt>
                <c:pt idx="128">
                  <c:v>45845</c:v>
                </c:pt>
                <c:pt idx="129">
                  <c:v>45875</c:v>
                </c:pt>
                <c:pt idx="130">
                  <c:v>45905</c:v>
                </c:pt>
                <c:pt idx="131">
                  <c:v>45935</c:v>
                </c:pt>
                <c:pt idx="132">
                  <c:v>45965</c:v>
                </c:pt>
                <c:pt idx="133">
                  <c:v>45995</c:v>
                </c:pt>
                <c:pt idx="134">
                  <c:v>46025</c:v>
                </c:pt>
                <c:pt idx="135">
                  <c:v>46055</c:v>
                </c:pt>
                <c:pt idx="136">
                  <c:v>46085</c:v>
                </c:pt>
                <c:pt idx="137">
                  <c:v>46115</c:v>
                </c:pt>
                <c:pt idx="138">
                  <c:v>46145</c:v>
                </c:pt>
                <c:pt idx="139">
                  <c:v>46175</c:v>
                </c:pt>
                <c:pt idx="140">
                  <c:v>46205</c:v>
                </c:pt>
                <c:pt idx="141">
                  <c:v>46235</c:v>
                </c:pt>
                <c:pt idx="142">
                  <c:v>46265</c:v>
                </c:pt>
                <c:pt idx="143">
                  <c:v>46295</c:v>
                </c:pt>
                <c:pt idx="144">
                  <c:v>46325</c:v>
                </c:pt>
                <c:pt idx="145">
                  <c:v>46355</c:v>
                </c:pt>
                <c:pt idx="146">
                  <c:v>46385</c:v>
                </c:pt>
                <c:pt idx="147">
                  <c:v>46415</c:v>
                </c:pt>
                <c:pt idx="148">
                  <c:v>46445</c:v>
                </c:pt>
                <c:pt idx="149">
                  <c:v>46475</c:v>
                </c:pt>
                <c:pt idx="150">
                  <c:v>46505</c:v>
                </c:pt>
                <c:pt idx="151">
                  <c:v>46535</c:v>
                </c:pt>
                <c:pt idx="152">
                  <c:v>46565</c:v>
                </c:pt>
                <c:pt idx="153">
                  <c:v>46595</c:v>
                </c:pt>
                <c:pt idx="154">
                  <c:v>46625</c:v>
                </c:pt>
                <c:pt idx="155">
                  <c:v>46655</c:v>
                </c:pt>
                <c:pt idx="156">
                  <c:v>46685</c:v>
                </c:pt>
                <c:pt idx="157">
                  <c:v>46715</c:v>
                </c:pt>
                <c:pt idx="158">
                  <c:v>46745</c:v>
                </c:pt>
                <c:pt idx="159">
                  <c:v>46775</c:v>
                </c:pt>
                <c:pt idx="160">
                  <c:v>46805</c:v>
                </c:pt>
                <c:pt idx="161">
                  <c:v>46835</c:v>
                </c:pt>
                <c:pt idx="162">
                  <c:v>46865</c:v>
                </c:pt>
                <c:pt idx="163">
                  <c:v>46895</c:v>
                </c:pt>
                <c:pt idx="164">
                  <c:v>46925</c:v>
                </c:pt>
                <c:pt idx="165">
                  <c:v>46955</c:v>
                </c:pt>
                <c:pt idx="166">
                  <c:v>46985</c:v>
                </c:pt>
                <c:pt idx="167">
                  <c:v>47015</c:v>
                </c:pt>
                <c:pt idx="168">
                  <c:v>47045</c:v>
                </c:pt>
                <c:pt idx="169">
                  <c:v>47075</c:v>
                </c:pt>
                <c:pt idx="170">
                  <c:v>47105</c:v>
                </c:pt>
                <c:pt idx="171">
                  <c:v>47135</c:v>
                </c:pt>
                <c:pt idx="172">
                  <c:v>47165</c:v>
                </c:pt>
                <c:pt idx="173">
                  <c:v>47195</c:v>
                </c:pt>
                <c:pt idx="174">
                  <c:v>47225</c:v>
                </c:pt>
                <c:pt idx="175">
                  <c:v>47255</c:v>
                </c:pt>
                <c:pt idx="176">
                  <c:v>47285</c:v>
                </c:pt>
                <c:pt idx="177">
                  <c:v>47315</c:v>
                </c:pt>
                <c:pt idx="178">
                  <c:v>47345</c:v>
                </c:pt>
                <c:pt idx="179">
                  <c:v>47375</c:v>
                </c:pt>
                <c:pt idx="180">
                  <c:v>47405</c:v>
                </c:pt>
                <c:pt idx="181">
                  <c:v>47435</c:v>
                </c:pt>
                <c:pt idx="182">
                  <c:v>47465</c:v>
                </c:pt>
                <c:pt idx="183">
                  <c:v>47495</c:v>
                </c:pt>
                <c:pt idx="184">
                  <c:v>47525</c:v>
                </c:pt>
                <c:pt idx="185">
                  <c:v>47555</c:v>
                </c:pt>
                <c:pt idx="186">
                  <c:v>47585</c:v>
                </c:pt>
                <c:pt idx="187">
                  <c:v>47615</c:v>
                </c:pt>
                <c:pt idx="188">
                  <c:v>47645</c:v>
                </c:pt>
                <c:pt idx="189">
                  <c:v>47675</c:v>
                </c:pt>
                <c:pt idx="190">
                  <c:v>47705</c:v>
                </c:pt>
                <c:pt idx="191">
                  <c:v>47735</c:v>
                </c:pt>
                <c:pt idx="192">
                  <c:v>47765</c:v>
                </c:pt>
                <c:pt idx="193">
                  <c:v>47795</c:v>
                </c:pt>
                <c:pt idx="194">
                  <c:v>47825</c:v>
                </c:pt>
                <c:pt idx="195">
                  <c:v>47855</c:v>
                </c:pt>
                <c:pt idx="196">
                  <c:v>47885</c:v>
                </c:pt>
                <c:pt idx="197">
                  <c:v>47915</c:v>
                </c:pt>
                <c:pt idx="198">
                  <c:v>47945</c:v>
                </c:pt>
                <c:pt idx="199">
                  <c:v>47975</c:v>
                </c:pt>
                <c:pt idx="200">
                  <c:v>48005</c:v>
                </c:pt>
                <c:pt idx="201">
                  <c:v>48035</c:v>
                </c:pt>
                <c:pt idx="202">
                  <c:v>48065</c:v>
                </c:pt>
                <c:pt idx="203">
                  <c:v>48095</c:v>
                </c:pt>
                <c:pt idx="204">
                  <c:v>48125</c:v>
                </c:pt>
                <c:pt idx="205">
                  <c:v>48155</c:v>
                </c:pt>
                <c:pt idx="206">
                  <c:v>48185</c:v>
                </c:pt>
                <c:pt idx="207">
                  <c:v>48215</c:v>
                </c:pt>
                <c:pt idx="208">
                  <c:v>48245</c:v>
                </c:pt>
                <c:pt idx="209">
                  <c:v>48275</c:v>
                </c:pt>
                <c:pt idx="210">
                  <c:v>48305</c:v>
                </c:pt>
                <c:pt idx="211">
                  <c:v>48335</c:v>
                </c:pt>
                <c:pt idx="212">
                  <c:v>48365</c:v>
                </c:pt>
                <c:pt idx="213">
                  <c:v>48395</c:v>
                </c:pt>
                <c:pt idx="214">
                  <c:v>48425</c:v>
                </c:pt>
                <c:pt idx="215">
                  <c:v>48455</c:v>
                </c:pt>
                <c:pt idx="216">
                  <c:v>48485</c:v>
                </c:pt>
                <c:pt idx="217">
                  <c:v>48515</c:v>
                </c:pt>
                <c:pt idx="218">
                  <c:v>48545</c:v>
                </c:pt>
                <c:pt idx="219">
                  <c:v>48575</c:v>
                </c:pt>
                <c:pt idx="220">
                  <c:v>48605</c:v>
                </c:pt>
                <c:pt idx="221">
                  <c:v>48635</c:v>
                </c:pt>
                <c:pt idx="222">
                  <c:v>48665</c:v>
                </c:pt>
                <c:pt idx="223">
                  <c:v>48695</c:v>
                </c:pt>
                <c:pt idx="224">
                  <c:v>48725</c:v>
                </c:pt>
                <c:pt idx="225">
                  <c:v>48755</c:v>
                </c:pt>
                <c:pt idx="226">
                  <c:v>48785</c:v>
                </c:pt>
                <c:pt idx="227">
                  <c:v>48815</c:v>
                </c:pt>
                <c:pt idx="228">
                  <c:v>48845</c:v>
                </c:pt>
                <c:pt idx="229">
                  <c:v>48875</c:v>
                </c:pt>
                <c:pt idx="230">
                  <c:v>48905</c:v>
                </c:pt>
                <c:pt idx="231">
                  <c:v>48935</c:v>
                </c:pt>
                <c:pt idx="232">
                  <c:v>48965</c:v>
                </c:pt>
                <c:pt idx="233">
                  <c:v>48995</c:v>
                </c:pt>
                <c:pt idx="234">
                  <c:v>49025</c:v>
                </c:pt>
                <c:pt idx="235">
                  <c:v>49055</c:v>
                </c:pt>
                <c:pt idx="236">
                  <c:v>49085</c:v>
                </c:pt>
                <c:pt idx="237">
                  <c:v>49115</c:v>
                </c:pt>
                <c:pt idx="238">
                  <c:v>49145</c:v>
                </c:pt>
                <c:pt idx="239">
                  <c:v>49175</c:v>
                </c:pt>
                <c:pt idx="240">
                  <c:v>49205</c:v>
                </c:pt>
                <c:pt idx="241">
                  <c:v>49235</c:v>
                </c:pt>
                <c:pt idx="242">
                  <c:v>49265</c:v>
                </c:pt>
                <c:pt idx="243">
                  <c:v>49295</c:v>
                </c:pt>
                <c:pt idx="244">
                  <c:v>49325</c:v>
                </c:pt>
                <c:pt idx="245">
                  <c:v>49355</c:v>
                </c:pt>
                <c:pt idx="246">
                  <c:v>49385</c:v>
                </c:pt>
                <c:pt idx="247">
                  <c:v>49415</c:v>
                </c:pt>
                <c:pt idx="248">
                  <c:v>49445</c:v>
                </c:pt>
                <c:pt idx="249">
                  <c:v>49475</c:v>
                </c:pt>
                <c:pt idx="250">
                  <c:v>49505</c:v>
                </c:pt>
                <c:pt idx="251">
                  <c:v>49535</c:v>
                </c:pt>
                <c:pt idx="252">
                  <c:v>49565</c:v>
                </c:pt>
                <c:pt idx="253">
                  <c:v>49595</c:v>
                </c:pt>
                <c:pt idx="254">
                  <c:v>49625</c:v>
                </c:pt>
                <c:pt idx="255">
                  <c:v>49655</c:v>
                </c:pt>
                <c:pt idx="256">
                  <c:v>49685</c:v>
                </c:pt>
                <c:pt idx="257">
                  <c:v>49715</c:v>
                </c:pt>
                <c:pt idx="258">
                  <c:v>49745</c:v>
                </c:pt>
                <c:pt idx="259">
                  <c:v>49775</c:v>
                </c:pt>
                <c:pt idx="260">
                  <c:v>49805</c:v>
                </c:pt>
                <c:pt idx="261">
                  <c:v>49835</c:v>
                </c:pt>
                <c:pt idx="262">
                  <c:v>49865</c:v>
                </c:pt>
                <c:pt idx="263">
                  <c:v>49895</c:v>
                </c:pt>
                <c:pt idx="264">
                  <c:v>49925</c:v>
                </c:pt>
                <c:pt idx="265">
                  <c:v>49955</c:v>
                </c:pt>
                <c:pt idx="266">
                  <c:v>49985</c:v>
                </c:pt>
                <c:pt idx="267">
                  <c:v>50015</c:v>
                </c:pt>
                <c:pt idx="268">
                  <c:v>50045</c:v>
                </c:pt>
                <c:pt idx="269">
                  <c:v>50075</c:v>
                </c:pt>
                <c:pt idx="270">
                  <c:v>50105</c:v>
                </c:pt>
                <c:pt idx="271">
                  <c:v>50135</c:v>
                </c:pt>
                <c:pt idx="272">
                  <c:v>50165</c:v>
                </c:pt>
                <c:pt idx="273">
                  <c:v>50195</c:v>
                </c:pt>
                <c:pt idx="274">
                  <c:v>50225</c:v>
                </c:pt>
                <c:pt idx="275">
                  <c:v>50255</c:v>
                </c:pt>
                <c:pt idx="276">
                  <c:v>50285</c:v>
                </c:pt>
                <c:pt idx="277">
                  <c:v>50315</c:v>
                </c:pt>
                <c:pt idx="278">
                  <c:v>50345</c:v>
                </c:pt>
                <c:pt idx="279">
                  <c:v>50375</c:v>
                </c:pt>
                <c:pt idx="280">
                  <c:v>50405</c:v>
                </c:pt>
                <c:pt idx="281">
                  <c:v>50435</c:v>
                </c:pt>
                <c:pt idx="282">
                  <c:v>50465</c:v>
                </c:pt>
                <c:pt idx="283">
                  <c:v>50495</c:v>
                </c:pt>
                <c:pt idx="284">
                  <c:v>50525</c:v>
                </c:pt>
                <c:pt idx="285">
                  <c:v>50555</c:v>
                </c:pt>
                <c:pt idx="286">
                  <c:v>50585</c:v>
                </c:pt>
                <c:pt idx="287">
                  <c:v>50615</c:v>
                </c:pt>
                <c:pt idx="288">
                  <c:v>50645</c:v>
                </c:pt>
                <c:pt idx="289">
                  <c:v>50675</c:v>
                </c:pt>
                <c:pt idx="290">
                  <c:v>50705</c:v>
                </c:pt>
                <c:pt idx="291">
                  <c:v>50735</c:v>
                </c:pt>
                <c:pt idx="292">
                  <c:v>50765</c:v>
                </c:pt>
                <c:pt idx="293">
                  <c:v>50795</c:v>
                </c:pt>
                <c:pt idx="294">
                  <c:v>50825</c:v>
                </c:pt>
                <c:pt idx="295">
                  <c:v>50855</c:v>
                </c:pt>
                <c:pt idx="296">
                  <c:v>50885</c:v>
                </c:pt>
                <c:pt idx="297">
                  <c:v>50915</c:v>
                </c:pt>
                <c:pt idx="298">
                  <c:v>50945</c:v>
                </c:pt>
                <c:pt idx="299">
                  <c:v>50975</c:v>
                </c:pt>
                <c:pt idx="300">
                  <c:v>51005</c:v>
                </c:pt>
                <c:pt idx="301">
                  <c:v>51035</c:v>
                </c:pt>
                <c:pt idx="302">
                  <c:v>51065</c:v>
                </c:pt>
                <c:pt idx="303">
                  <c:v>51095</c:v>
                </c:pt>
                <c:pt idx="304">
                  <c:v>51125</c:v>
                </c:pt>
                <c:pt idx="305">
                  <c:v>51155</c:v>
                </c:pt>
                <c:pt idx="306">
                  <c:v>51185</c:v>
                </c:pt>
                <c:pt idx="307">
                  <c:v>51215</c:v>
                </c:pt>
                <c:pt idx="308">
                  <c:v>51245</c:v>
                </c:pt>
                <c:pt idx="309">
                  <c:v>51275</c:v>
                </c:pt>
                <c:pt idx="310">
                  <c:v>51305</c:v>
                </c:pt>
                <c:pt idx="311">
                  <c:v>51335</c:v>
                </c:pt>
                <c:pt idx="312">
                  <c:v>51365</c:v>
                </c:pt>
                <c:pt idx="313">
                  <c:v>51395</c:v>
                </c:pt>
                <c:pt idx="314">
                  <c:v>51425</c:v>
                </c:pt>
                <c:pt idx="315">
                  <c:v>51455</c:v>
                </c:pt>
                <c:pt idx="316">
                  <c:v>51485</c:v>
                </c:pt>
                <c:pt idx="317">
                  <c:v>51515</c:v>
                </c:pt>
                <c:pt idx="318">
                  <c:v>51545</c:v>
                </c:pt>
                <c:pt idx="319">
                  <c:v>51575</c:v>
                </c:pt>
                <c:pt idx="320">
                  <c:v>51605</c:v>
                </c:pt>
                <c:pt idx="321">
                  <c:v>51635</c:v>
                </c:pt>
                <c:pt idx="322">
                  <c:v>51665</c:v>
                </c:pt>
                <c:pt idx="323">
                  <c:v>51695</c:v>
                </c:pt>
                <c:pt idx="324">
                  <c:v>51725</c:v>
                </c:pt>
                <c:pt idx="325">
                  <c:v>51755</c:v>
                </c:pt>
                <c:pt idx="326">
                  <c:v>51785</c:v>
                </c:pt>
                <c:pt idx="327">
                  <c:v>51815</c:v>
                </c:pt>
                <c:pt idx="328">
                  <c:v>51845</c:v>
                </c:pt>
                <c:pt idx="329">
                  <c:v>51875</c:v>
                </c:pt>
                <c:pt idx="330">
                  <c:v>51905</c:v>
                </c:pt>
                <c:pt idx="331">
                  <c:v>51935</c:v>
                </c:pt>
                <c:pt idx="332">
                  <c:v>51965</c:v>
                </c:pt>
                <c:pt idx="333">
                  <c:v>51995</c:v>
                </c:pt>
                <c:pt idx="334">
                  <c:v>52025</c:v>
                </c:pt>
                <c:pt idx="335">
                  <c:v>52055</c:v>
                </c:pt>
                <c:pt idx="336">
                  <c:v>52085</c:v>
                </c:pt>
                <c:pt idx="337">
                  <c:v>52115</c:v>
                </c:pt>
                <c:pt idx="338">
                  <c:v>52145</c:v>
                </c:pt>
                <c:pt idx="339">
                  <c:v>52175</c:v>
                </c:pt>
                <c:pt idx="340">
                  <c:v>52205</c:v>
                </c:pt>
                <c:pt idx="341">
                  <c:v>52235</c:v>
                </c:pt>
                <c:pt idx="342">
                  <c:v>52265</c:v>
                </c:pt>
                <c:pt idx="343">
                  <c:v>52295</c:v>
                </c:pt>
                <c:pt idx="344">
                  <c:v>52325</c:v>
                </c:pt>
                <c:pt idx="345">
                  <c:v>52355</c:v>
                </c:pt>
                <c:pt idx="346">
                  <c:v>52385</c:v>
                </c:pt>
                <c:pt idx="347">
                  <c:v>52415</c:v>
                </c:pt>
                <c:pt idx="348">
                  <c:v>52445</c:v>
                </c:pt>
                <c:pt idx="349">
                  <c:v>52475</c:v>
                </c:pt>
                <c:pt idx="350">
                  <c:v>52505</c:v>
                </c:pt>
                <c:pt idx="351">
                  <c:v>52535</c:v>
                </c:pt>
                <c:pt idx="352">
                  <c:v>52565</c:v>
                </c:pt>
                <c:pt idx="353">
                  <c:v>52595</c:v>
                </c:pt>
                <c:pt idx="354">
                  <c:v>52625</c:v>
                </c:pt>
                <c:pt idx="355">
                  <c:v>52655</c:v>
                </c:pt>
                <c:pt idx="356">
                  <c:v>52685</c:v>
                </c:pt>
                <c:pt idx="357">
                  <c:v>52715</c:v>
                </c:pt>
                <c:pt idx="358">
                  <c:v>52745</c:v>
                </c:pt>
                <c:pt idx="359">
                  <c:v>52775</c:v>
                </c:pt>
                <c:pt idx="360">
                  <c:v>52805</c:v>
                </c:pt>
                <c:pt idx="361">
                  <c:v>52835</c:v>
                </c:pt>
                <c:pt idx="362">
                  <c:v>52865</c:v>
                </c:pt>
                <c:pt idx="363">
                  <c:v>52895</c:v>
                </c:pt>
                <c:pt idx="364">
                  <c:v>52925</c:v>
                </c:pt>
                <c:pt idx="365">
                  <c:v>52955</c:v>
                </c:pt>
                <c:pt idx="366">
                  <c:v>52985</c:v>
                </c:pt>
                <c:pt idx="367">
                  <c:v>53015</c:v>
                </c:pt>
                <c:pt idx="368">
                  <c:v>53045</c:v>
                </c:pt>
                <c:pt idx="369">
                  <c:v>53075</c:v>
                </c:pt>
                <c:pt idx="370">
                  <c:v>53105</c:v>
                </c:pt>
                <c:pt idx="371">
                  <c:v>53135</c:v>
                </c:pt>
                <c:pt idx="372">
                  <c:v>53165</c:v>
                </c:pt>
                <c:pt idx="373">
                  <c:v>53195</c:v>
                </c:pt>
                <c:pt idx="374">
                  <c:v>53225</c:v>
                </c:pt>
                <c:pt idx="375">
                  <c:v>53255</c:v>
                </c:pt>
                <c:pt idx="376">
                  <c:v>53285</c:v>
                </c:pt>
                <c:pt idx="377">
                  <c:v>53315</c:v>
                </c:pt>
                <c:pt idx="378">
                  <c:v>53345</c:v>
                </c:pt>
                <c:pt idx="379">
                  <c:v>53375</c:v>
                </c:pt>
                <c:pt idx="380">
                  <c:v>53405</c:v>
                </c:pt>
                <c:pt idx="381">
                  <c:v>53435</c:v>
                </c:pt>
                <c:pt idx="382">
                  <c:v>53465</c:v>
                </c:pt>
                <c:pt idx="383">
                  <c:v>53495</c:v>
                </c:pt>
                <c:pt idx="384">
                  <c:v>53525</c:v>
                </c:pt>
                <c:pt idx="385">
                  <c:v>53555</c:v>
                </c:pt>
                <c:pt idx="386">
                  <c:v>53585</c:v>
                </c:pt>
                <c:pt idx="387">
                  <c:v>53615</c:v>
                </c:pt>
                <c:pt idx="388">
                  <c:v>53645</c:v>
                </c:pt>
                <c:pt idx="389">
                  <c:v>53675</c:v>
                </c:pt>
                <c:pt idx="390">
                  <c:v>53705</c:v>
                </c:pt>
                <c:pt idx="391">
                  <c:v>53735</c:v>
                </c:pt>
                <c:pt idx="392">
                  <c:v>53765</c:v>
                </c:pt>
                <c:pt idx="393">
                  <c:v>53795</c:v>
                </c:pt>
                <c:pt idx="394">
                  <c:v>53825</c:v>
                </c:pt>
                <c:pt idx="395">
                  <c:v>53855</c:v>
                </c:pt>
                <c:pt idx="396">
                  <c:v>53885</c:v>
                </c:pt>
                <c:pt idx="397">
                  <c:v>53915</c:v>
                </c:pt>
                <c:pt idx="398">
                  <c:v>53945</c:v>
                </c:pt>
                <c:pt idx="399">
                  <c:v>53975</c:v>
                </c:pt>
                <c:pt idx="400">
                  <c:v>54005</c:v>
                </c:pt>
                <c:pt idx="401">
                  <c:v>54035</c:v>
                </c:pt>
                <c:pt idx="402">
                  <c:v>54065</c:v>
                </c:pt>
                <c:pt idx="403">
                  <c:v>54095</c:v>
                </c:pt>
                <c:pt idx="404">
                  <c:v>54125</c:v>
                </c:pt>
                <c:pt idx="405">
                  <c:v>54155</c:v>
                </c:pt>
                <c:pt idx="406">
                  <c:v>54185</c:v>
                </c:pt>
                <c:pt idx="407">
                  <c:v>54215</c:v>
                </c:pt>
                <c:pt idx="408">
                  <c:v>54245</c:v>
                </c:pt>
                <c:pt idx="409">
                  <c:v>54275</c:v>
                </c:pt>
                <c:pt idx="410">
                  <c:v>54305</c:v>
                </c:pt>
                <c:pt idx="411">
                  <c:v>54335</c:v>
                </c:pt>
                <c:pt idx="412">
                  <c:v>54365</c:v>
                </c:pt>
                <c:pt idx="413">
                  <c:v>54395</c:v>
                </c:pt>
                <c:pt idx="414">
                  <c:v>54425</c:v>
                </c:pt>
                <c:pt idx="415">
                  <c:v>54455</c:v>
                </c:pt>
                <c:pt idx="416">
                  <c:v>54485</c:v>
                </c:pt>
                <c:pt idx="417">
                  <c:v>54515</c:v>
                </c:pt>
                <c:pt idx="418">
                  <c:v>54545</c:v>
                </c:pt>
                <c:pt idx="419">
                  <c:v>54575</c:v>
                </c:pt>
                <c:pt idx="420">
                  <c:v>54605</c:v>
                </c:pt>
                <c:pt idx="421">
                  <c:v>54635</c:v>
                </c:pt>
                <c:pt idx="422">
                  <c:v>54665</c:v>
                </c:pt>
                <c:pt idx="423">
                  <c:v>54695</c:v>
                </c:pt>
                <c:pt idx="424">
                  <c:v>54725</c:v>
                </c:pt>
                <c:pt idx="425">
                  <c:v>54755</c:v>
                </c:pt>
                <c:pt idx="426">
                  <c:v>54785</c:v>
                </c:pt>
                <c:pt idx="427">
                  <c:v>54815</c:v>
                </c:pt>
                <c:pt idx="428">
                  <c:v>54845</c:v>
                </c:pt>
                <c:pt idx="429">
                  <c:v>54875</c:v>
                </c:pt>
                <c:pt idx="430">
                  <c:v>54905</c:v>
                </c:pt>
                <c:pt idx="431">
                  <c:v>54935</c:v>
                </c:pt>
                <c:pt idx="432">
                  <c:v>54965</c:v>
                </c:pt>
                <c:pt idx="433">
                  <c:v>54995</c:v>
                </c:pt>
                <c:pt idx="434">
                  <c:v>55025</c:v>
                </c:pt>
                <c:pt idx="435">
                  <c:v>55055</c:v>
                </c:pt>
                <c:pt idx="436">
                  <c:v>55085</c:v>
                </c:pt>
                <c:pt idx="437">
                  <c:v>55115</c:v>
                </c:pt>
                <c:pt idx="438">
                  <c:v>55145</c:v>
                </c:pt>
                <c:pt idx="439">
                  <c:v>55175</c:v>
                </c:pt>
                <c:pt idx="440">
                  <c:v>55205</c:v>
                </c:pt>
                <c:pt idx="441">
                  <c:v>55235</c:v>
                </c:pt>
                <c:pt idx="442">
                  <c:v>55265</c:v>
                </c:pt>
                <c:pt idx="443">
                  <c:v>55295</c:v>
                </c:pt>
                <c:pt idx="444">
                  <c:v>55325</c:v>
                </c:pt>
                <c:pt idx="445">
                  <c:v>55355</c:v>
                </c:pt>
                <c:pt idx="446">
                  <c:v>55385</c:v>
                </c:pt>
                <c:pt idx="447">
                  <c:v>55415</c:v>
                </c:pt>
                <c:pt idx="448">
                  <c:v>55445</c:v>
                </c:pt>
                <c:pt idx="449">
                  <c:v>55475</c:v>
                </c:pt>
                <c:pt idx="450">
                  <c:v>55505</c:v>
                </c:pt>
                <c:pt idx="451">
                  <c:v>55535</c:v>
                </c:pt>
                <c:pt idx="452">
                  <c:v>55565</c:v>
                </c:pt>
                <c:pt idx="453">
                  <c:v>55595</c:v>
                </c:pt>
                <c:pt idx="454">
                  <c:v>55625</c:v>
                </c:pt>
                <c:pt idx="455">
                  <c:v>55655</c:v>
                </c:pt>
                <c:pt idx="456">
                  <c:v>55685</c:v>
                </c:pt>
                <c:pt idx="457">
                  <c:v>55715</c:v>
                </c:pt>
                <c:pt idx="458">
                  <c:v>55745</c:v>
                </c:pt>
                <c:pt idx="459">
                  <c:v>55775</c:v>
                </c:pt>
                <c:pt idx="460">
                  <c:v>55805</c:v>
                </c:pt>
                <c:pt idx="461">
                  <c:v>55835</c:v>
                </c:pt>
                <c:pt idx="462">
                  <c:v>55865</c:v>
                </c:pt>
                <c:pt idx="463">
                  <c:v>55895</c:v>
                </c:pt>
                <c:pt idx="464">
                  <c:v>55925</c:v>
                </c:pt>
                <c:pt idx="465">
                  <c:v>55955</c:v>
                </c:pt>
                <c:pt idx="466">
                  <c:v>55985</c:v>
                </c:pt>
                <c:pt idx="467">
                  <c:v>56015</c:v>
                </c:pt>
                <c:pt idx="468">
                  <c:v>56045</c:v>
                </c:pt>
                <c:pt idx="469">
                  <c:v>56075</c:v>
                </c:pt>
                <c:pt idx="470">
                  <c:v>56105</c:v>
                </c:pt>
                <c:pt idx="471">
                  <c:v>56135</c:v>
                </c:pt>
                <c:pt idx="472">
                  <c:v>56165</c:v>
                </c:pt>
                <c:pt idx="473">
                  <c:v>56195</c:v>
                </c:pt>
                <c:pt idx="474">
                  <c:v>56225</c:v>
                </c:pt>
                <c:pt idx="475">
                  <c:v>56255</c:v>
                </c:pt>
                <c:pt idx="476">
                  <c:v>56285</c:v>
                </c:pt>
                <c:pt idx="477">
                  <c:v>56315</c:v>
                </c:pt>
                <c:pt idx="478">
                  <c:v>56345</c:v>
                </c:pt>
                <c:pt idx="479">
                  <c:v>56375</c:v>
                </c:pt>
                <c:pt idx="480">
                  <c:v>56405</c:v>
                </c:pt>
                <c:pt idx="481">
                  <c:v>56435</c:v>
                </c:pt>
                <c:pt idx="482">
                  <c:v>56465</c:v>
                </c:pt>
                <c:pt idx="483">
                  <c:v>56495</c:v>
                </c:pt>
                <c:pt idx="484">
                  <c:v>56525</c:v>
                </c:pt>
                <c:pt idx="485">
                  <c:v>56555</c:v>
                </c:pt>
                <c:pt idx="486">
                  <c:v>56585</c:v>
                </c:pt>
                <c:pt idx="487">
                  <c:v>56615</c:v>
                </c:pt>
                <c:pt idx="488">
                  <c:v>56645</c:v>
                </c:pt>
                <c:pt idx="489">
                  <c:v>56675</c:v>
                </c:pt>
                <c:pt idx="490">
                  <c:v>56705</c:v>
                </c:pt>
                <c:pt idx="491">
                  <c:v>56735</c:v>
                </c:pt>
                <c:pt idx="492">
                  <c:v>56765</c:v>
                </c:pt>
                <c:pt idx="493">
                  <c:v>56795</c:v>
                </c:pt>
                <c:pt idx="494">
                  <c:v>56825</c:v>
                </c:pt>
                <c:pt idx="495">
                  <c:v>56855</c:v>
                </c:pt>
                <c:pt idx="496">
                  <c:v>56885</c:v>
                </c:pt>
                <c:pt idx="497">
                  <c:v>56915</c:v>
                </c:pt>
                <c:pt idx="498">
                  <c:v>56945</c:v>
                </c:pt>
                <c:pt idx="499">
                  <c:v>56975</c:v>
                </c:pt>
                <c:pt idx="500">
                  <c:v>57005</c:v>
                </c:pt>
                <c:pt idx="501">
                  <c:v>57035</c:v>
                </c:pt>
                <c:pt idx="502">
                  <c:v>57065</c:v>
                </c:pt>
                <c:pt idx="503">
                  <c:v>57095</c:v>
                </c:pt>
                <c:pt idx="504">
                  <c:v>57125</c:v>
                </c:pt>
                <c:pt idx="505">
                  <c:v>57155</c:v>
                </c:pt>
                <c:pt idx="506">
                  <c:v>57185</c:v>
                </c:pt>
                <c:pt idx="507">
                  <c:v>57215</c:v>
                </c:pt>
                <c:pt idx="508">
                  <c:v>57245</c:v>
                </c:pt>
                <c:pt idx="509">
                  <c:v>57275</c:v>
                </c:pt>
                <c:pt idx="510">
                  <c:v>57305</c:v>
                </c:pt>
                <c:pt idx="511">
                  <c:v>57335</c:v>
                </c:pt>
                <c:pt idx="512">
                  <c:v>57365</c:v>
                </c:pt>
                <c:pt idx="513">
                  <c:v>57395</c:v>
                </c:pt>
                <c:pt idx="514">
                  <c:v>57425</c:v>
                </c:pt>
                <c:pt idx="515">
                  <c:v>57455</c:v>
                </c:pt>
                <c:pt idx="516">
                  <c:v>57485</c:v>
                </c:pt>
                <c:pt idx="517">
                  <c:v>57515</c:v>
                </c:pt>
                <c:pt idx="518">
                  <c:v>57545</c:v>
                </c:pt>
                <c:pt idx="519">
                  <c:v>57575</c:v>
                </c:pt>
                <c:pt idx="520">
                  <c:v>57605</c:v>
                </c:pt>
                <c:pt idx="521">
                  <c:v>57635</c:v>
                </c:pt>
                <c:pt idx="522">
                  <c:v>57665</c:v>
                </c:pt>
                <c:pt idx="523">
                  <c:v>57695</c:v>
                </c:pt>
                <c:pt idx="524">
                  <c:v>57725</c:v>
                </c:pt>
                <c:pt idx="525">
                  <c:v>57755</c:v>
                </c:pt>
                <c:pt idx="526">
                  <c:v>57785</c:v>
                </c:pt>
                <c:pt idx="527">
                  <c:v>57815</c:v>
                </c:pt>
                <c:pt idx="528">
                  <c:v>57845</c:v>
                </c:pt>
                <c:pt idx="529">
                  <c:v>57875</c:v>
                </c:pt>
                <c:pt idx="530">
                  <c:v>57905</c:v>
                </c:pt>
                <c:pt idx="531">
                  <c:v>57935</c:v>
                </c:pt>
                <c:pt idx="532">
                  <c:v>57965</c:v>
                </c:pt>
                <c:pt idx="533">
                  <c:v>57995</c:v>
                </c:pt>
                <c:pt idx="534">
                  <c:v>58025</c:v>
                </c:pt>
                <c:pt idx="535">
                  <c:v>58055</c:v>
                </c:pt>
                <c:pt idx="536">
                  <c:v>58085</c:v>
                </c:pt>
                <c:pt idx="537">
                  <c:v>58115</c:v>
                </c:pt>
                <c:pt idx="538">
                  <c:v>58145</c:v>
                </c:pt>
                <c:pt idx="539">
                  <c:v>58175</c:v>
                </c:pt>
                <c:pt idx="540">
                  <c:v>58205</c:v>
                </c:pt>
                <c:pt idx="541">
                  <c:v>58235</c:v>
                </c:pt>
                <c:pt idx="542">
                  <c:v>58265</c:v>
                </c:pt>
                <c:pt idx="543">
                  <c:v>58295</c:v>
                </c:pt>
                <c:pt idx="544">
                  <c:v>58325</c:v>
                </c:pt>
                <c:pt idx="545">
                  <c:v>58355</c:v>
                </c:pt>
                <c:pt idx="546">
                  <c:v>58385</c:v>
                </c:pt>
                <c:pt idx="547">
                  <c:v>58415</c:v>
                </c:pt>
                <c:pt idx="548">
                  <c:v>58445</c:v>
                </c:pt>
                <c:pt idx="549">
                  <c:v>58475</c:v>
                </c:pt>
                <c:pt idx="550">
                  <c:v>58505</c:v>
                </c:pt>
                <c:pt idx="551">
                  <c:v>58535</c:v>
                </c:pt>
                <c:pt idx="552">
                  <c:v>58565</c:v>
                </c:pt>
                <c:pt idx="553">
                  <c:v>58595</c:v>
                </c:pt>
                <c:pt idx="554">
                  <c:v>58625</c:v>
                </c:pt>
                <c:pt idx="555">
                  <c:v>58655</c:v>
                </c:pt>
                <c:pt idx="556">
                  <c:v>58685</c:v>
                </c:pt>
                <c:pt idx="557">
                  <c:v>58715</c:v>
                </c:pt>
                <c:pt idx="558">
                  <c:v>58745</c:v>
                </c:pt>
                <c:pt idx="559">
                  <c:v>58775</c:v>
                </c:pt>
                <c:pt idx="560">
                  <c:v>58805</c:v>
                </c:pt>
                <c:pt idx="561">
                  <c:v>58835</c:v>
                </c:pt>
                <c:pt idx="562">
                  <c:v>58865</c:v>
                </c:pt>
                <c:pt idx="563">
                  <c:v>58895</c:v>
                </c:pt>
                <c:pt idx="564">
                  <c:v>58925</c:v>
                </c:pt>
                <c:pt idx="565">
                  <c:v>58955</c:v>
                </c:pt>
                <c:pt idx="566">
                  <c:v>58985</c:v>
                </c:pt>
                <c:pt idx="567">
                  <c:v>59015</c:v>
                </c:pt>
                <c:pt idx="568">
                  <c:v>59045</c:v>
                </c:pt>
                <c:pt idx="569">
                  <c:v>59075</c:v>
                </c:pt>
                <c:pt idx="570">
                  <c:v>59105</c:v>
                </c:pt>
                <c:pt idx="571">
                  <c:v>59135</c:v>
                </c:pt>
                <c:pt idx="572">
                  <c:v>59165</c:v>
                </c:pt>
                <c:pt idx="573">
                  <c:v>59195</c:v>
                </c:pt>
                <c:pt idx="574">
                  <c:v>59225</c:v>
                </c:pt>
                <c:pt idx="575">
                  <c:v>59255</c:v>
                </c:pt>
                <c:pt idx="576">
                  <c:v>59285</c:v>
                </c:pt>
                <c:pt idx="577">
                  <c:v>59315</c:v>
                </c:pt>
                <c:pt idx="578">
                  <c:v>59345</c:v>
                </c:pt>
                <c:pt idx="579">
                  <c:v>59375</c:v>
                </c:pt>
                <c:pt idx="580">
                  <c:v>59405</c:v>
                </c:pt>
                <c:pt idx="581">
                  <c:v>59435</c:v>
                </c:pt>
                <c:pt idx="582">
                  <c:v>59465</c:v>
                </c:pt>
                <c:pt idx="583">
                  <c:v>59495</c:v>
                </c:pt>
                <c:pt idx="584">
                  <c:v>59525</c:v>
                </c:pt>
                <c:pt idx="585">
                  <c:v>59555</c:v>
                </c:pt>
                <c:pt idx="586">
                  <c:v>59585</c:v>
                </c:pt>
                <c:pt idx="587">
                  <c:v>59615</c:v>
                </c:pt>
                <c:pt idx="588">
                  <c:v>59645</c:v>
                </c:pt>
                <c:pt idx="589">
                  <c:v>59675</c:v>
                </c:pt>
                <c:pt idx="590">
                  <c:v>59705</c:v>
                </c:pt>
                <c:pt idx="591">
                  <c:v>59735</c:v>
                </c:pt>
                <c:pt idx="592">
                  <c:v>59765</c:v>
                </c:pt>
                <c:pt idx="593">
                  <c:v>59795</c:v>
                </c:pt>
                <c:pt idx="594">
                  <c:v>59825</c:v>
                </c:pt>
                <c:pt idx="595">
                  <c:v>59855</c:v>
                </c:pt>
                <c:pt idx="596">
                  <c:v>59885</c:v>
                </c:pt>
                <c:pt idx="597">
                  <c:v>59915</c:v>
                </c:pt>
                <c:pt idx="598">
                  <c:v>59945</c:v>
                </c:pt>
                <c:pt idx="599">
                  <c:v>59975</c:v>
                </c:pt>
                <c:pt idx="600">
                  <c:v>60005</c:v>
                </c:pt>
                <c:pt idx="601">
                  <c:v>60035</c:v>
                </c:pt>
                <c:pt idx="602">
                  <c:v>60065</c:v>
                </c:pt>
                <c:pt idx="603">
                  <c:v>60095</c:v>
                </c:pt>
                <c:pt idx="604">
                  <c:v>60125</c:v>
                </c:pt>
                <c:pt idx="605">
                  <c:v>60155</c:v>
                </c:pt>
                <c:pt idx="606">
                  <c:v>60185</c:v>
                </c:pt>
                <c:pt idx="607">
                  <c:v>60215</c:v>
                </c:pt>
                <c:pt idx="608">
                  <c:v>60245</c:v>
                </c:pt>
                <c:pt idx="609">
                  <c:v>60275</c:v>
                </c:pt>
                <c:pt idx="610">
                  <c:v>60305</c:v>
                </c:pt>
                <c:pt idx="611">
                  <c:v>60335</c:v>
                </c:pt>
                <c:pt idx="612">
                  <c:v>60365</c:v>
                </c:pt>
                <c:pt idx="613">
                  <c:v>60395</c:v>
                </c:pt>
                <c:pt idx="614">
                  <c:v>60425</c:v>
                </c:pt>
                <c:pt idx="615">
                  <c:v>60455</c:v>
                </c:pt>
                <c:pt idx="616">
                  <c:v>60485</c:v>
                </c:pt>
                <c:pt idx="617">
                  <c:v>60515</c:v>
                </c:pt>
                <c:pt idx="618">
                  <c:v>60545</c:v>
                </c:pt>
                <c:pt idx="619">
                  <c:v>60575</c:v>
                </c:pt>
                <c:pt idx="620">
                  <c:v>60605</c:v>
                </c:pt>
                <c:pt idx="621">
                  <c:v>60635</c:v>
                </c:pt>
                <c:pt idx="622">
                  <c:v>60665</c:v>
                </c:pt>
                <c:pt idx="623">
                  <c:v>60695</c:v>
                </c:pt>
                <c:pt idx="624">
                  <c:v>60725</c:v>
                </c:pt>
                <c:pt idx="625">
                  <c:v>60755</c:v>
                </c:pt>
                <c:pt idx="626">
                  <c:v>60785</c:v>
                </c:pt>
                <c:pt idx="627">
                  <c:v>60815</c:v>
                </c:pt>
                <c:pt idx="628">
                  <c:v>60845</c:v>
                </c:pt>
                <c:pt idx="629">
                  <c:v>60875</c:v>
                </c:pt>
                <c:pt idx="630">
                  <c:v>60905</c:v>
                </c:pt>
                <c:pt idx="631">
                  <c:v>60935</c:v>
                </c:pt>
                <c:pt idx="632">
                  <c:v>60965</c:v>
                </c:pt>
                <c:pt idx="633">
                  <c:v>60966</c:v>
                </c:pt>
              </c:numCache>
            </c:numRef>
          </c:cat>
          <c:val>
            <c:numRef>
              <c:f>'Demand Forecasting Sheet'!$C$2:$C$635</c:f>
              <c:numCache>
                <c:formatCode>General</c:formatCode>
                <c:ptCount val="634"/>
                <c:pt idx="499">
                  <c:v>95</c:v>
                </c:pt>
                <c:pt idx="500">
                  <c:v>95.001164196656717</c:v>
                </c:pt>
                <c:pt idx="501">
                  <c:v>95.002328393313562</c:v>
                </c:pt>
                <c:pt idx="502">
                  <c:v>95.003492589970293</c:v>
                </c:pt>
                <c:pt idx="503">
                  <c:v>95.004656786627137</c:v>
                </c:pt>
                <c:pt idx="504">
                  <c:v>95.005820983283868</c:v>
                </c:pt>
                <c:pt idx="505">
                  <c:v>95.006985179940699</c:v>
                </c:pt>
                <c:pt idx="506">
                  <c:v>95.00814937659743</c:v>
                </c:pt>
                <c:pt idx="507">
                  <c:v>95.009313573254275</c:v>
                </c:pt>
                <c:pt idx="508">
                  <c:v>95.010477769911006</c:v>
                </c:pt>
                <c:pt idx="509">
                  <c:v>95.011641966567851</c:v>
                </c:pt>
                <c:pt idx="510">
                  <c:v>95.012806163224582</c:v>
                </c:pt>
                <c:pt idx="511">
                  <c:v>95.013970359881426</c:v>
                </c:pt>
                <c:pt idx="512">
                  <c:v>95.015134556538158</c:v>
                </c:pt>
                <c:pt idx="513">
                  <c:v>95.016298753195002</c:v>
                </c:pt>
                <c:pt idx="514">
                  <c:v>95.017462949851733</c:v>
                </c:pt>
                <c:pt idx="515">
                  <c:v>95.018627146508578</c:v>
                </c:pt>
                <c:pt idx="516">
                  <c:v>95.019791343165295</c:v>
                </c:pt>
                <c:pt idx="517">
                  <c:v>95.02095553982214</c:v>
                </c:pt>
                <c:pt idx="518">
                  <c:v>95.022119736478871</c:v>
                </c:pt>
                <c:pt idx="519">
                  <c:v>95.023283933135716</c:v>
                </c:pt>
                <c:pt idx="520">
                  <c:v>95.024448129792447</c:v>
                </c:pt>
                <c:pt idx="521">
                  <c:v>95.025612326449291</c:v>
                </c:pt>
                <c:pt idx="522">
                  <c:v>95.026776523106022</c:v>
                </c:pt>
                <c:pt idx="523">
                  <c:v>95.027940719762867</c:v>
                </c:pt>
                <c:pt idx="524">
                  <c:v>95.029104916419598</c:v>
                </c:pt>
                <c:pt idx="525">
                  <c:v>95.030269113076443</c:v>
                </c:pt>
                <c:pt idx="526">
                  <c:v>95.031433309733174</c:v>
                </c:pt>
                <c:pt idx="527">
                  <c:v>95.032597506390005</c:v>
                </c:pt>
                <c:pt idx="528">
                  <c:v>95.033761703046736</c:v>
                </c:pt>
                <c:pt idx="529">
                  <c:v>95.03492589970358</c:v>
                </c:pt>
                <c:pt idx="530">
                  <c:v>95.036090096360311</c:v>
                </c:pt>
                <c:pt idx="531">
                  <c:v>95.037254293017156</c:v>
                </c:pt>
                <c:pt idx="532">
                  <c:v>95.038418489673887</c:v>
                </c:pt>
                <c:pt idx="533">
                  <c:v>95.039582686330732</c:v>
                </c:pt>
                <c:pt idx="534">
                  <c:v>95.040746882987463</c:v>
                </c:pt>
                <c:pt idx="535">
                  <c:v>95.041911079644308</c:v>
                </c:pt>
                <c:pt idx="536">
                  <c:v>95.043075276301039</c:v>
                </c:pt>
                <c:pt idx="537">
                  <c:v>95.044239472957884</c:v>
                </c:pt>
                <c:pt idx="538">
                  <c:v>95.045403669614601</c:v>
                </c:pt>
                <c:pt idx="539">
                  <c:v>95.046567866271445</c:v>
                </c:pt>
                <c:pt idx="540">
                  <c:v>95.047732062928176</c:v>
                </c:pt>
                <c:pt idx="541">
                  <c:v>95.048896259585021</c:v>
                </c:pt>
                <c:pt idx="542">
                  <c:v>95.050060456241752</c:v>
                </c:pt>
                <c:pt idx="543">
                  <c:v>95.051224652898597</c:v>
                </c:pt>
                <c:pt idx="544">
                  <c:v>95.052388849555328</c:v>
                </c:pt>
                <c:pt idx="545">
                  <c:v>95.053553046212173</c:v>
                </c:pt>
                <c:pt idx="546">
                  <c:v>95.054717242868904</c:v>
                </c:pt>
                <c:pt idx="547">
                  <c:v>95.055881439525749</c:v>
                </c:pt>
                <c:pt idx="548">
                  <c:v>95.05704563618248</c:v>
                </c:pt>
                <c:pt idx="549">
                  <c:v>95.05820983283931</c:v>
                </c:pt>
                <c:pt idx="550">
                  <c:v>95.059374029496041</c:v>
                </c:pt>
                <c:pt idx="551">
                  <c:v>95.060538226152886</c:v>
                </c:pt>
                <c:pt idx="552">
                  <c:v>95.061702422809617</c:v>
                </c:pt>
                <c:pt idx="553">
                  <c:v>95.062866619466462</c:v>
                </c:pt>
                <c:pt idx="554">
                  <c:v>95.064030816123193</c:v>
                </c:pt>
                <c:pt idx="555">
                  <c:v>95.065195012780038</c:v>
                </c:pt>
                <c:pt idx="556">
                  <c:v>95.066359209436769</c:v>
                </c:pt>
                <c:pt idx="557">
                  <c:v>95.067523406093613</c:v>
                </c:pt>
                <c:pt idx="558">
                  <c:v>95.068687602750344</c:v>
                </c:pt>
                <c:pt idx="559">
                  <c:v>95.069851799407189</c:v>
                </c:pt>
                <c:pt idx="560">
                  <c:v>95.07101599606392</c:v>
                </c:pt>
                <c:pt idx="561">
                  <c:v>95.072180192720751</c:v>
                </c:pt>
                <c:pt idx="562">
                  <c:v>95.073344389377482</c:v>
                </c:pt>
                <c:pt idx="563">
                  <c:v>95.074508586034327</c:v>
                </c:pt>
                <c:pt idx="564">
                  <c:v>95.075672782691058</c:v>
                </c:pt>
                <c:pt idx="565">
                  <c:v>95.076836979347902</c:v>
                </c:pt>
                <c:pt idx="566">
                  <c:v>95.078001176004634</c:v>
                </c:pt>
                <c:pt idx="567">
                  <c:v>95.079165372661478</c:v>
                </c:pt>
                <c:pt idx="568">
                  <c:v>95.080329569318209</c:v>
                </c:pt>
                <c:pt idx="569">
                  <c:v>95.081493765975054</c:v>
                </c:pt>
                <c:pt idx="570">
                  <c:v>95.082657962631785</c:v>
                </c:pt>
                <c:pt idx="571">
                  <c:v>95.08382215928863</c:v>
                </c:pt>
                <c:pt idx="572">
                  <c:v>95.084986355945347</c:v>
                </c:pt>
                <c:pt idx="573">
                  <c:v>95.086150552602192</c:v>
                </c:pt>
                <c:pt idx="574">
                  <c:v>95.087314749258923</c:v>
                </c:pt>
                <c:pt idx="575">
                  <c:v>95.088478945915767</c:v>
                </c:pt>
                <c:pt idx="576">
                  <c:v>95.089643142572498</c:v>
                </c:pt>
                <c:pt idx="577">
                  <c:v>95.090807339229343</c:v>
                </c:pt>
                <c:pt idx="578">
                  <c:v>95.091971535886074</c:v>
                </c:pt>
                <c:pt idx="579">
                  <c:v>95.093135732542919</c:v>
                </c:pt>
                <c:pt idx="580">
                  <c:v>95.09429992919965</c:v>
                </c:pt>
                <c:pt idx="581">
                  <c:v>95.095464125856495</c:v>
                </c:pt>
                <c:pt idx="582">
                  <c:v>95.096628322513226</c:v>
                </c:pt>
                <c:pt idx="583">
                  <c:v>95.097792519170056</c:v>
                </c:pt>
                <c:pt idx="584">
                  <c:v>95.098956715826787</c:v>
                </c:pt>
                <c:pt idx="585">
                  <c:v>95.100120912483632</c:v>
                </c:pt>
                <c:pt idx="586">
                  <c:v>95.101285109140363</c:v>
                </c:pt>
                <c:pt idx="587">
                  <c:v>95.102449305797208</c:v>
                </c:pt>
                <c:pt idx="588">
                  <c:v>95.103613502453939</c:v>
                </c:pt>
                <c:pt idx="589">
                  <c:v>95.104777699110784</c:v>
                </c:pt>
                <c:pt idx="590">
                  <c:v>95.105941895767515</c:v>
                </c:pt>
                <c:pt idx="591">
                  <c:v>95.10710609242436</c:v>
                </c:pt>
                <c:pt idx="592">
                  <c:v>95.108270289081091</c:v>
                </c:pt>
                <c:pt idx="593">
                  <c:v>95.109434485737935</c:v>
                </c:pt>
                <c:pt idx="594">
                  <c:v>95.110598682394652</c:v>
                </c:pt>
                <c:pt idx="595">
                  <c:v>95.111762879051497</c:v>
                </c:pt>
                <c:pt idx="596">
                  <c:v>95.112927075708228</c:v>
                </c:pt>
                <c:pt idx="597">
                  <c:v>95.114091272365073</c:v>
                </c:pt>
                <c:pt idx="598">
                  <c:v>95.115255469021804</c:v>
                </c:pt>
                <c:pt idx="599">
                  <c:v>95.116419665678649</c:v>
                </c:pt>
                <c:pt idx="600">
                  <c:v>95.11758386233538</c:v>
                </c:pt>
                <c:pt idx="601">
                  <c:v>95.118748058992225</c:v>
                </c:pt>
                <c:pt idx="602">
                  <c:v>95.119912255648956</c:v>
                </c:pt>
                <c:pt idx="603">
                  <c:v>95.1210764523058</c:v>
                </c:pt>
                <c:pt idx="604">
                  <c:v>95.122240648962531</c:v>
                </c:pt>
                <c:pt idx="605">
                  <c:v>95.123404845619362</c:v>
                </c:pt>
                <c:pt idx="606">
                  <c:v>95.124569042276093</c:v>
                </c:pt>
                <c:pt idx="607">
                  <c:v>95.125733238932938</c:v>
                </c:pt>
                <c:pt idx="608">
                  <c:v>95.126897435589669</c:v>
                </c:pt>
                <c:pt idx="609">
                  <c:v>95.128061632246514</c:v>
                </c:pt>
                <c:pt idx="610">
                  <c:v>95.129225828903245</c:v>
                </c:pt>
                <c:pt idx="611">
                  <c:v>95.130390025560089</c:v>
                </c:pt>
                <c:pt idx="612">
                  <c:v>95.13155422221682</c:v>
                </c:pt>
                <c:pt idx="613">
                  <c:v>95.132718418873665</c:v>
                </c:pt>
                <c:pt idx="614">
                  <c:v>95.133882615530396</c:v>
                </c:pt>
                <c:pt idx="615">
                  <c:v>95.135046812187241</c:v>
                </c:pt>
                <c:pt idx="616">
                  <c:v>95.136211008843958</c:v>
                </c:pt>
                <c:pt idx="617">
                  <c:v>95.137375205500803</c:v>
                </c:pt>
                <c:pt idx="618">
                  <c:v>95.138539402157534</c:v>
                </c:pt>
                <c:pt idx="619">
                  <c:v>95.139703598814378</c:v>
                </c:pt>
                <c:pt idx="620">
                  <c:v>95.14086779547111</c:v>
                </c:pt>
                <c:pt idx="621">
                  <c:v>95.142031992127954</c:v>
                </c:pt>
                <c:pt idx="622">
                  <c:v>95.143196188784685</c:v>
                </c:pt>
                <c:pt idx="623">
                  <c:v>95.14436038544153</c:v>
                </c:pt>
                <c:pt idx="624">
                  <c:v>95.145524582098261</c:v>
                </c:pt>
                <c:pt idx="625">
                  <c:v>95.146688778755106</c:v>
                </c:pt>
                <c:pt idx="626">
                  <c:v>95.147852975411837</c:v>
                </c:pt>
                <c:pt idx="627">
                  <c:v>95.149017172068667</c:v>
                </c:pt>
                <c:pt idx="628">
                  <c:v>95.150181368725399</c:v>
                </c:pt>
                <c:pt idx="629">
                  <c:v>95.151345565382243</c:v>
                </c:pt>
                <c:pt idx="630">
                  <c:v>95.152509762038974</c:v>
                </c:pt>
                <c:pt idx="631">
                  <c:v>95.153673958695819</c:v>
                </c:pt>
                <c:pt idx="632">
                  <c:v>95.15483815535255</c:v>
                </c:pt>
                <c:pt idx="633">
                  <c:v>95.154876961907775</c:v>
                </c:pt>
              </c:numCache>
            </c:numRef>
          </c:val>
          <c:smooth val="0"/>
          <c:extLst>
            <c:ext xmlns:c16="http://schemas.microsoft.com/office/drawing/2014/chart" uri="{C3380CC4-5D6E-409C-BE32-E72D297353CC}">
              <c16:uniqueId val="{00000001-C6B6-403F-BA8D-3869BDAAE864}"/>
            </c:ext>
          </c:extLst>
        </c:ser>
        <c:ser>
          <c:idx val="2"/>
          <c:order val="2"/>
          <c:tx>
            <c:strRef>
              <c:f>'Demand Forecasting Sheet'!$D$1</c:f>
              <c:strCache>
                <c:ptCount val="1"/>
                <c:pt idx="0">
                  <c:v>Lower Confidence Bound(Units_Sold)</c:v>
                </c:pt>
              </c:strCache>
            </c:strRef>
          </c:tx>
          <c:spPr>
            <a:ln w="12700" cap="rnd">
              <a:solidFill>
                <a:srgbClr val="ED7D31"/>
              </a:solidFill>
              <a:prstDash val="solid"/>
              <a:round/>
            </a:ln>
            <a:effectLst/>
          </c:spPr>
          <c:marker>
            <c:symbol val="none"/>
          </c:marker>
          <c:cat>
            <c:numRef>
              <c:f>'Demand Forecasting Sheet'!$A$2:$A$635</c:f>
              <c:numCache>
                <c:formatCode>m/d/yyyy</c:formatCode>
                <c:ptCount val="634"/>
                <c:pt idx="0">
                  <c:v>42005</c:v>
                </c:pt>
                <c:pt idx="1">
                  <c:v>42035</c:v>
                </c:pt>
                <c:pt idx="2">
                  <c:v>42065</c:v>
                </c:pt>
                <c:pt idx="3">
                  <c:v>42095</c:v>
                </c:pt>
                <c:pt idx="4">
                  <c:v>42125</c:v>
                </c:pt>
                <c:pt idx="5">
                  <c:v>42155</c:v>
                </c:pt>
                <c:pt idx="6">
                  <c:v>42185</c:v>
                </c:pt>
                <c:pt idx="7">
                  <c:v>42215</c:v>
                </c:pt>
                <c:pt idx="8">
                  <c:v>42245</c:v>
                </c:pt>
                <c:pt idx="9">
                  <c:v>42275</c:v>
                </c:pt>
                <c:pt idx="10">
                  <c:v>42305</c:v>
                </c:pt>
                <c:pt idx="11">
                  <c:v>42335</c:v>
                </c:pt>
                <c:pt idx="12">
                  <c:v>42365</c:v>
                </c:pt>
                <c:pt idx="13">
                  <c:v>42395</c:v>
                </c:pt>
                <c:pt idx="14">
                  <c:v>42425</c:v>
                </c:pt>
                <c:pt idx="15">
                  <c:v>42455</c:v>
                </c:pt>
                <c:pt idx="16">
                  <c:v>42485</c:v>
                </c:pt>
                <c:pt idx="17">
                  <c:v>42515</c:v>
                </c:pt>
                <c:pt idx="18">
                  <c:v>42545</c:v>
                </c:pt>
                <c:pt idx="19">
                  <c:v>42575</c:v>
                </c:pt>
                <c:pt idx="20">
                  <c:v>42605</c:v>
                </c:pt>
                <c:pt idx="21">
                  <c:v>42635</c:v>
                </c:pt>
                <c:pt idx="22">
                  <c:v>42665</c:v>
                </c:pt>
                <c:pt idx="23">
                  <c:v>42695</c:v>
                </c:pt>
                <c:pt idx="24">
                  <c:v>42725</c:v>
                </c:pt>
                <c:pt idx="25">
                  <c:v>42755</c:v>
                </c:pt>
                <c:pt idx="26">
                  <c:v>42785</c:v>
                </c:pt>
                <c:pt idx="27">
                  <c:v>42815</c:v>
                </c:pt>
                <c:pt idx="28">
                  <c:v>42845</c:v>
                </c:pt>
                <c:pt idx="29">
                  <c:v>42875</c:v>
                </c:pt>
                <c:pt idx="30">
                  <c:v>42905</c:v>
                </c:pt>
                <c:pt idx="31">
                  <c:v>42935</c:v>
                </c:pt>
                <c:pt idx="32">
                  <c:v>42965</c:v>
                </c:pt>
                <c:pt idx="33">
                  <c:v>42995</c:v>
                </c:pt>
                <c:pt idx="34">
                  <c:v>43025</c:v>
                </c:pt>
                <c:pt idx="35">
                  <c:v>43055</c:v>
                </c:pt>
                <c:pt idx="36">
                  <c:v>43085</c:v>
                </c:pt>
                <c:pt idx="37">
                  <c:v>43115</c:v>
                </c:pt>
                <c:pt idx="38">
                  <c:v>43145</c:v>
                </c:pt>
                <c:pt idx="39">
                  <c:v>43175</c:v>
                </c:pt>
                <c:pt idx="40">
                  <c:v>43205</c:v>
                </c:pt>
                <c:pt idx="41">
                  <c:v>43235</c:v>
                </c:pt>
                <c:pt idx="42">
                  <c:v>43265</c:v>
                </c:pt>
                <c:pt idx="43">
                  <c:v>43295</c:v>
                </c:pt>
                <c:pt idx="44">
                  <c:v>43325</c:v>
                </c:pt>
                <c:pt idx="45">
                  <c:v>43355</c:v>
                </c:pt>
                <c:pt idx="46">
                  <c:v>43385</c:v>
                </c:pt>
                <c:pt idx="47">
                  <c:v>43415</c:v>
                </c:pt>
                <c:pt idx="48">
                  <c:v>43445</c:v>
                </c:pt>
                <c:pt idx="49">
                  <c:v>43475</c:v>
                </c:pt>
                <c:pt idx="50">
                  <c:v>43505</c:v>
                </c:pt>
                <c:pt idx="51">
                  <c:v>43535</c:v>
                </c:pt>
                <c:pt idx="52">
                  <c:v>43565</c:v>
                </c:pt>
                <c:pt idx="53">
                  <c:v>43595</c:v>
                </c:pt>
                <c:pt idx="54">
                  <c:v>43625</c:v>
                </c:pt>
                <c:pt idx="55">
                  <c:v>43655</c:v>
                </c:pt>
                <c:pt idx="56">
                  <c:v>43685</c:v>
                </c:pt>
                <c:pt idx="57">
                  <c:v>43715</c:v>
                </c:pt>
                <c:pt idx="58">
                  <c:v>43745</c:v>
                </c:pt>
                <c:pt idx="59">
                  <c:v>43775</c:v>
                </c:pt>
                <c:pt idx="60">
                  <c:v>43805</c:v>
                </c:pt>
                <c:pt idx="61">
                  <c:v>43835</c:v>
                </c:pt>
                <c:pt idx="62">
                  <c:v>43865</c:v>
                </c:pt>
                <c:pt idx="63">
                  <c:v>43895</c:v>
                </c:pt>
                <c:pt idx="64">
                  <c:v>43925</c:v>
                </c:pt>
                <c:pt idx="65">
                  <c:v>43955</c:v>
                </c:pt>
                <c:pt idx="66">
                  <c:v>43985</c:v>
                </c:pt>
                <c:pt idx="67">
                  <c:v>44015</c:v>
                </c:pt>
                <c:pt idx="68">
                  <c:v>44045</c:v>
                </c:pt>
                <c:pt idx="69">
                  <c:v>44075</c:v>
                </c:pt>
                <c:pt idx="70">
                  <c:v>44105</c:v>
                </c:pt>
                <c:pt idx="71">
                  <c:v>44135</c:v>
                </c:pt>
                <c:pt idx="72">
                  <c:v>44165</c:v>
                </c:pt>
                <c:pt idx="73">
                  <c:v>44195</c:v>
                </c:pt>
                <c:pt idx="74">
                  <c:v>44225</c:v>
                </c:pt>
                <c:pt idx="75">
                  <c:v>44255</c:v>
                </c:pt>
                <c:pt idx="76">
                  <c:v>44285</c:v>
                </c:pt>
                <c:pt idx="77">
                  <c:v>44315</c:v>
                </c:pt>
                <c:pt idx="78">
                  <c:v>44345</c:v>
                </c:pt>
                <c:pt idx="79">
                  <c:v>44375</c:v>
                </c:pt>
                <c:pt idx="80">
                  <c:v>44405</c:v>
                </c:pt>
                <c:pt idx="81">
                  <c:v>44435</c:v>
                </c:pt>
                <c:pt idx="82">
                  <c:v>44465</c:v>
                </c:pt>
                <c:pt idx="83">
                  <c:v>44495</c:v>
                </c:pt>
                <c:pt idx="84">
                  <c:v>44525</c:v>
                </c:pt>
                <c:pt idx="85">
                  <c:v>44555</c:v>
                </c:pt>
                <c:pt idx="86">
                  <c:v>44585</c:v>
                </c:pt>
                <c:pt idx="87">
                  <c:v>44615</c:v>
                </c:pt>
                <c:pt idx="88">
                  <c:v>44645</c:v>
                </c:pt>
                <c:pt idx="89">
                  <c:v>44675</c:v>
                </c:pt>
                <c:pt idx="90">
                  <c:v>44705</c:v>
                </c:pt>
                <c:pt idx="91">
                  <c:v>44735</c:v>
                </c:pt>
                <c:pt idx="92">
                  <c:v>44765</c:v>
                </c:pt>
                <c:pt idx="93">
                  <c:v>44795</c:v>
                </c:pt>
                <c:pt idx="94">
                  <c:v>44825</c:v>
                </c:pt>
                <c:pt idx="95">
                  <c:v>44855</c:v>
                </c:pt>
                <c:pt idx="96">
                  <c:v>44885</c:v>
                </c:pt>
                <c:pt idx="97">
                  <c:v>44915</c:v>
                </c:pt>
                <c:pt idx="98">
                  <c:v>44945</c:v>
                </c:pt>
                <c:pt idx="99">
                  <c:v>44975</c:v>
                </c:pt>
                <c:pt idx="100">
                  <c:v>45005</c:v>
                </c:pt>
                <c:pt idx="101">
                  <c:v>45035</c:v>
                </c:pt>
                <c:pt idx="102">
                  <c:v>45065</c:v>
                </c:pt>
                <c:pt idx="103">
                  <c:v>45095</c:v>
                </c:pt>
                <c:pt idx="104">
                  <c:v>45125</c:v>
                </c:pt>
                <c:pt idx="105">
                  <c:v>45155</c:v>
                </c:pt>
                <c:pt idx="106">
                  <c:v>45185</c:v>
                </c:pt>
                <c:pt idx="107">
                  <c:v>45215</c:v>
                </c:pt>
                <c:pt idx="108">
                  <c:v>45245</c:v>
                </c:pt>
                <c:pt idx="109">
                  <c:v>45275</c:v>
                </c:pt>
                <c:pt idx="110">
                  <c:v>45305</c:v>
                </c:pt>
                <c:pt idx="111">
                  <c:v>45335</c:v>
                </c:pt>
                <c:pt idx="112">
                  <c:v>45365</c:v>
                </c:pt>
                <c:pt idx="113">
                  <c:v>45395</c:v>
                </c:pt>
                <c:pt idx="114">
                  <c:v>45425</c:v>
                </c:pt>
                <c:pt idx="115">
                  <c:v>45455</c:v>
                </c:pt>
                <c:pt idx="116">
                  <c:v>45485</c:v>
                </c:pt>
                <c:pt idx="117">
                  <c:v>45515</c:v>
                </c:pt>
                <c:pt idx="118">
                  <c:v>45545</c:v>
                </c:pt>
                <c:pt idx="119">
                  <c:v>45575</c:v>
                </c:pt>
                <c:pt idx="120">
                  <c:v>45605</c:v>
                </c:pt>
                <c:pt idx="121">
                  <c:v>45635</c:v>
                </c:pt>
                <c:pt idx="122">
                  <c:v>45665</c:v>
                </c:pt>
                <c:pt idx="123">
                  <c:v>45695</c:v>
                </c:pt>
                <c:pt idx="124">
                  <c:v>45725</c:v>
                </c:pt>
                <c:pt idx="125">
                  <c:v>45755</c:v>
                </c:pt>
                <c:pt idx="126">
                  <c:v>45785</c:v>
                </c:pt>
                <c:pt idx="127">
                  <c:v>45815</c:v>
                </c:pt>
                <c:pt idx="128">
                  <c:v>45845</c:v>
                </c:pt>
                <c:pt idx="129">
                  <c:v>45875</c:v>
                </c:pt>
                <c:pt idx="130">
                  <c:v>45905</c:v>
                </c:pt>
                <c:pt idx="131">
                  <c:v>45935</c:v>
                </c:pt>
                <c:pt idx="132">
                  <c:v>45965</c:v>
                </c:pt>
                <c:pt idx="133">
                  <c:v>45995</c:v>
                </c:pt>
                <c:pt idx="134">
                  <c:v>46025</c:v>
                </c:pt>
                <c:pt idx="135">
                  <c:v>46055</c:v>
                </c:pt>
                <c:pt idx="136">
                  <c:v>46085</c:v>
                </c:pt>
                <c:pt idx="137">
                  <c:v>46115</c:v>
                </c:pt>
                <c:pt idx="138">
                  <c:v>46145</c:v>
                </c:pt>
                <c:pt idx="139">
                  <c:v>46175</c:v>
                </c:pt>
                <c:pt idx="140">
                  <c:v>46205</c:v>
                </c:pt>
                <c:pt idx="141">
                  <c:v>46235</c:v>
                </c:pt>
                <c:pt idx="142">
                  <c:v>46265</c:v>
                </c:pt>
                <c:pt idx="143">
                  <c:v>46295</c:v>
                </c:pt>
                <c:pt idx="144">
                  <c:v>46325</c:v>
                </c:pt>
                <c:pt idx="145">
                  <c:v>46355</c:v>
                </c:pt>
                <c:pt idx="146">
                  <c:v>46385</c:v>
                </c:pt>
                <c:pt idx="147">
                  <c:v>46415</c:v>
                </c:pt>
                <c:pt idx="148">
                  <c:v>46445</c:v>
                </c:pt>
                <c:pt idx="149">
                  <c:v>46475</c:v>
                </c:pt>
                <c:pt idx="150">
                  <c:v>46505</c:v>
                </c:pt>
                <c:pt idx="151">
                  <c:v>46535</c:v>
                </c:pt>
                <c:pt idx="152">
                  <c:v>46565</c:v>
                </c:pt>
                <c:pt idx="153">
                  <c:v>46595</c:v>
                </c:pt>
                <c:pt idx="154">
                  <c:v>46625</c:v>
                </c:pt>
                <c:pt idx="155">
                  <c:v>46655</c:v>
                </c:pt>
                <c:pt idx="156">
                  <c:v>46685</c:v>
                </c:pt>
                <c:pt idx="157">
                  <c:v>46715</c:v>
                </c:pt>
                <c:pt idx="158">
                  <c:v>46745</c:v>
                </c:pt>
                <c:pt idx="159">
                  <c:v>46775</c:v>
                </c:pt>
                <c:pt idx="160">
                  <c:v>46805</c:v>
                </c:pt>
                <c:pt idx="161">
                  <c:v>46835</c:v>
                </c:pt>
                <c:pt idx="162">
                  <c:v>46865</c:v>
                </c:pt>
                <c:pt idx="163">
                  <c:v>46895</c:v>
                </c:pt>
                <c:pt idx="164">
                  <c:v>46925</c:v>
                </c:pt>
                <c:pt idx="165">
                  <c:v>46955</c:v>
                </c:pt>
                <c:pt idx="166">
                  <c:v>46985</c:v>
                </c:pt>
                <c:pt idx="167">
                  <c:v>47015</c:v>
                </c:pt>
                <c:pt idx="168">
                  <c:v>47045</c:v>
                </c:pt>
                <c:pt idx="169">
                  <c:v>47075</c:v>
                </c:pt>
                <c:pt idx="170">
                  <c:v>47105</c:v>
                </c:pt>
                <c:pt idx="171">
                  <c:v>47135</c:v>
                </c:pt>
                <c:pt idx="172">
                  <c:v>47165</c:v>
                </c:pt>
                <c:pt idx="173">
                  <c:v>47195</c:v>
                </c:pt>
                <c:pt idx="174">
                  <c:v>47225</c:v>
                </c:pt>
                <c:pt idx="175">
                  <c:v>47255</c:v>
                </c:pt>
                <c:pt idx="176">
                  <c:v>47285</c:v>
                </c:pt>
                <c:pt idx="177">
                  <c:v>47315</c:v>
                </c:pt>
                <c:pt idx="178">
                  <c:v>47345</c:v>
                </c:pt>
                <c:pt idx="179">
                  <c:v>47375</c:v>
                </c:pt>
                <c:pt idx="180">
                  <c:v>47405</c:v>
                </c:pt>
                <c:pt idx="181">
                  <c:v>47435</c:v>
                </c:pt>
                <c:pt idx="182">
                  <c:v>47465</c:v>
                </c:pt>
                <c:pt idx="183">
                  <c:v>47495</c:v>
                </c:pt>
                <c:pt idx="184">
                  <c:v>47525</c:v>
                </c:pt>
                <c:pt idx="185">
                  <c:v>47555</c:v>
                </c:pt>
                <c:pt idx="186">
                  <c:v>47585</c:v>
                </c:pt>
                <c:pt idx="187">
                  <c:v>47615</c:v>
                </c:pt>
                <c:pt idx="188">
                  <c:v>47645</c:v>
                </c:pt>
                <c:pt idx="189">
                  <c:v>47675</c:v>
                </c:pt>
                <c:pt idx="190">
                  <c:v>47705</c:v>
                </c:pt>
                <c:pt idx="191">
                  <c:v>47735</c:v>
                </c:pt>
                <c:pt idx="192">
                  <c:v>47765</c:v>
                </c:pt>
                <c:pt idx="193">
                  <c:v>47795</c:v>
                </c:pt>
                <c:pt idx="194">
                  <c:v>47825</c:v>
                </c:pt>
                <c:pt idx="195">
                  <c:v>47855</c:v>
                </c:pt>
                <c:pt idx="196">
                  <c:v>47885</c:v>
                </c:pt>
                <c:pt idx="197">
                  <c:v>47915</c:v>
                </c:pt>
                <c:pt idx="198">
                  <c:v>47945</c:v>
                </c:pt>
                <c:pt idx="199">
                  <c:v>47975</c:v>
                </c:pt>
                <c:pt idx="200">
                  <c:v>48005</c:v>
                </c:pt>
                <c:pt idx="201">
                  <c:v>48035</c:v>
                </c:pt>
                <c:pt idx="202">
                  <c:v>48065</c:v>
                </c:pt>
                <c:pt idx="203">
                  <c:v>48095</c:v>
                </c:pt>
                <c:pt idx="204">
                  <c:v>48125</c:v>
                </c:pt>
                <c:pt idx="205">
                  <c:v>48155</c:v>
                </c:pt>
                <c:pt idx="206">
                  <c:v>48185</c:v>
                </c:pt>
                <c:pt idx="207">
                  <c:v>48215</c:v>
                </c:pt>
                <c:pt idx="208">
                  <c:v>48245</c:v>
                </c:pt>
                <c:pt idx="209">
                  <c:v>48275</c:v>
                </c:pt>
                <c:pt idx="210">
                  <c:v>48305</c:v>
                </c:pt>
                <c:pt idx="211">
                  <c:v>48335</c:v>
                </c:pt>
                <c:pt idx="212">
                  <c:v>48365</c:v>
                </c:pt>
                <c:pt idx="213">
                  <c:v>48395</c:v>
                </c:pt>
                <c:pt idx="214">
                  <c:v>48425</c:v>
                </c:pt>
                <c:pt idx="215">
                  <c:v>48455</c:v>
                </c:pt>
                <c:pt idx="216">
                  <c:v>48485</c:v>
                </c:pt>
                <c:pt idx="217">
                  <c:v>48515</c:v>
                </c:pt>
                <c:pt idx="218">
                  <c:v>48545</c:v>
                </c:pt>
                <c:pt idx="219">
                  <c:v>48575</c:v>
                </c:pt>
                <c:pt idx="220">
                  <c:v>48605</c:v>
                </c:pt>
                <c:pt idx="221">
                  <c:v>48635</c:v>
                </c:pt>
                <c:pt idx="222">
                  <c:v>48665</c:v>
                </c:pt>
                <c:pt idx="223">
                  <c:v>48695</c:v>
                </c:pt>
                <c:pt idx="224">
                  <c:v>48725</c:v>
                </c:pt>
                <c:pt idx="225">
                  <c:v>48755</c:v>
                </c:pt>
                <c:pt idx="226">
                  <c:v>48785</c:v>
                </c:pt>
                <c:pt idx="227">
                  <c:v>48815</c:v>
                </c:pt>
                <c:pt idx="228">
                  <c:v>48845</c:v>
                </c:pt>
                <c:pt idx="229">
                  <c:v>48875</c:v>
                </c:pt>
                <c:pt idx="230">
                  <c:v>48905</c:v>
                </c:pt>
                <c:pt idx="231">
                  <c:v>48935</c:v>
                </c:pt>
                <c:pt idx="232">
                  <c:v>48965</c:v>
                </c:pt>
                <c:pt idx="233">
                  <c:v>48995</c:v>
                </c:pt>
                <c:pt idx="234">
                  <c:v>49025</c:v>
                </c:pt>
                <c:pt idx="235">
                  <c:v>49055</c:v>
                </c:pt>
                <c:pt idx="236">
                  <c:v>49085</c:v>
                </c:pt>
                <c:pt idx="237">
                  <c:v>49115</c:v>
                </c:pt>
                <c:pt idx="238">
                  <c:v>49145</c:v>
                </c:pt>
                <c:pt idx="239">
                  <c:v>49175</c:v>
                </c:pt>
                <c:pt idx="240">
                  <c:v>49205</c:v>
                </c:pt>
                <c:pt idx="241">
                  <c:v>49235</c:v>
                </c:pt>
                <c:pt idx="242">
                  <c:v>49265</c:v>
                </c:pt>
                <c:pt idx="243">
                  <c:v>49295</c:v>
                </c:pt>
                <c:pt idx="244">
                  <c:v>49325</c:v>
                </c:pt>
                <c:pt idx="245">
                  <c:v>49355</c:v>
                </c:pt>
                <c:pt idx="246">
                  <c:v>49385</c:v>
                </c:pt>
                <c:pt idx="247">
                  <c:v>49415</c:v>
                </c:pt>
                <c:pt idx="248">
                  <c:v>49445</c:v>
                </c:pt>
                <c:pt idx="249">
                  <c:v>49475</c:v>
                </c:pt>
                <c:pt idx="250">
                  <c:v>49505</c:v>
                </c:pt>
                <c:pt idx="251">
                  <c:v>49535</c:v>
                </c:pt>
                <c:pt idx="252">
                  <c:v>49565</c:v>
                </c:pt>
                <c:pt idx="253">
                  <c:v>49595</c:v>
                </c:pt>
                <c:pt idx="254">
                  <c:v>49625</c:v>
                </c:pt>
                <c:pt idx="255">
                  <c:v>49655</c:v>
                </c:pt>
                <c:pt idx="256">
                  <c:v>49685</c:v>
                </c:pt>
                <c:pt idx="257">
                  <c:v>49715</c:v>
                </c:pt>
                <c:pt idx="258">
                  <c:v>49745</c:v>
                </c:pt>
                <c:pt idx="259">
                  <c:v>49775</c:v>
                </c:pt>
                <c:pt idx="260">
                  <c:v>49805</c:v>
                </c:pt>
                <c:pt idx="261">
                  <c:v>49835</c:v>
                </c:pt>
                <c:pt idx="262">
                  <c:v>49865</c:v>
                </c:pt>
                <c:pt idx="263">
                  <c:v>49895</c:v>
                </c:pt>
                <c:pt idx="264">
                  <c:v>49925</c:v>
                </c:pt>
                <c:pt idx="265">
                  <c:v>49955</c:v>
                </c:pt>
                <c:pt idx="266">
                  <c:v>49985</c:v>
                </c:pt>
                <c:pt idx="267">
                  <c:v>50015</c:v>
                </c:pt>
                <c:pt idx="268">
                  <c:v>50045</c:v>
                </c:pt>
                <c:pt idx="269">
                  <c:v>50075</c:v>
                </c:pt>
                <c:pt idx="270">
                  <c:v>50105</c:v>
                </c:pt>
                <c:pt idx="271">
                  <c:v>50135</c:v>
                </c:pt>
                <c:pt idx="272">
                  <c:v>50165</c:v>
                </c:pt>
                <c:pt idx="273">
                  <c:v>50195</c:v>
                </c:pt>
                <c:pt idx="274">
                  <c:v>50225</c:v>
                </c:pt>
                <c:pt idx="275">
                  <c:v>50255</c:v>
                </c:pt>
                <c:pt idx="276">
                  <c:v>50285</c:v>
                </c:pt>
                <c:pt idx="277">
                  <c:v>50315</c:v>
                </c:pt>
                <c:pt idx="278">
                  <c:v>50345</c:v>
                </c:pt>
                <c:pt idx="279">
                  <c:v>50375</c:v>
                </c:pt>
                <c:pt idx="280">
                  <c:v>50405</c:v>
                </c:pt>
                <c:pt idx="281">
                  <c:v>50435</c:v>
                </c:pt>
                <c:pt idx="282">
                  <c:v>50465</c:v>
                </c:pt>
                <c:pt idx="283">
                  <c:v>50495</c:v>
                </c:pt>
                <c:pt idx="284">
                  <c:v>50525</c:v>
                </c:pt>
                <c:pt idx="285">
                  <c:v>50555</c:v>
                </c:pt>
                <c:pt idx="286">
                  <c:v>50585</c:v>
                </c:pt>
                <c:pt idx="287">
                  <c:v>50615</c:v>
                </c:pt>
                <c:pt idx="288">
                  <c:v>50645</c:v>
                </c:pt>
                <c:pt idx="289">
                  <c:v>50675</c:v>
                </c:pt>
                <c:pt idx="290">
                  <c:v>50705</c:v>
                </c:pt>
                <c:pt idx="291">
                  <c:v>50735</c:v>
                </c:pt>
                <c:pt idx="292">
                  <c:v>50765</c:v>
                </c:pt>
                <c:pt idx="293">
                  <c:v>50795</c:v>
                </c:pt>
                <c:pt idx="294">
                  <c:v>50825</c:v>
                </c:pt>
                <c:pt idx="295">
                  <c:v>50855</c:v>
                </c:pt>
                <c:pt idx="296">
                  <c:v>50885</c:v>
                </c:pt>
                <c:pt idx="297">
                  <c:v>50915</c:v>
                </c:pt>
                <c:pt idx="298">
                  <c:v>50945</c:v>
                </c:pt>
                <c:pt idx="299">
                  <c:v>50975</c:v>
                </c:pt>
                <c:pt idx="300">
                  <c:v>51005</c:v>
                </c:pt>
                <c:pt idx="301">
                  <c:v>51035</c:v>
                </c:pt>
                <c:pt idx="302">
                  <c:v>51065</c:v>
                </c:pt>
                <c:pt idx="303">
                  <c:v>51095</c:v>
                </c:pt>
                <c:pt idx="304">
                  <c:v>51125</c:v>
                </c:pt>
                <c:pt idx="305">
                  <c:v>51155</c:v>
                </c:pt>
                <c:pt idx="306">
                  <c:v>51185</c:v>
                </c:pt>
                <c:pt idx="307">
                  <c:v>51215</c:v>
                </c:pt>
                <c:pt idx="308">
                  <c:v>51245</c:v>
                </c:pt>
                <c:pt idx="309">
                  <c:v>51275</c:v>
                </c:pt>
                <c:pt idx="310">
                  <c:v>51305</c:v>
                </c:pt>
                <c:pt idx="311">
                  <c:v>51335</c:v>
                </c:pt>
                <c:pt idx="312">
                  <c:v>51365</c:v>
                </c:pt>
                <c:pt idx="313">
                  <c:v>51395</c:v>
                </c:pt>
                <c:pt idx="314">
                  <c:v>51425</c:v>
                </c:pt>
                <c:pt idx="315">
                  <c:v>51455</c:v>
                </c:pt>
                <c:pt idx="316">
                  <c:v>51485</c:v>
                </c:pt>
                <c:pt idx="317">
                  <c:v>51515</c:v>
                </c:pt>
                <c:pt idx="318">
                  <c:v>51545</c:v>
                </c:pt>
                <c:pt idx="319">
                  <c:v>51575</c:v>
                </c:pt>
                <c:pt idx="320">
                  <c:v>51605</c:v>
                </c:pt>
                <c:pt idx="321">
                  <c:v>51635</c:v>
                </c:pt>
                <c:pt idx="322">
                  <c:v>51665</c:v>
                </c:pt>
                <c:pt idx="323">
                  <c:v>51695</c:v>
                </c:pt>
                <c:pt idx="324">
                  <c:v>51725</c:v>
                </c:pt>
                <c:pt idx="325">
                  <c:v>51755</c:v>
                </c:pt>
                <c:pt idx="326">
                  <c:v>51785</c:v>
                </c:pt>
                <c:pt idx="327">
                  <c:v>51815</c:v>
                </c:pt>
                <c:pt idx="328">
                  <c:v>51845</c:v>
                </c:pt>
                <c:pt idx="329">
                  <c:v>51875</c:v>
                </c:pt>
                <c:pt idx="330">
                  <c:v>51905</c:v>
                </c:pt>
                <c:pt idx="331">
                  <c:v>51935</c:v>
                </c:pt>
                <c:pt idx="332">
                  <c:v>51965</c:v>
                </c:pt>
                <c:pt idx="333">
                  <c:v>51995</c:v>
                </c:pt>
                <c:pt idx="334">
                  <c:v>52025</c:v>
                </c:pt>
                <c:pt idx="335">
                  <c:v>52055</c:v>
                </c:pt>
                <c:pt idx="336">
                  <c:v>52085</c:v>
                </c:pt>
                <c:pt idx="337">
                  <c:v>52115</c:v>
                </c:pt>
                <c:pt idx="338">
                  <c:v>52145</c:v>
                </c:pt>
                <c:pt idx="339">
                  <c:v>52175</c:v>
                </c:pt>
                <c:pt idx="340">
                  <c:v>52205</c:v>
                </c:pt>
                <c:pt idx="341">
                  <c:v>52235</c:v>
                </c:pt>
                <c:pt idx="342">
                  <c:v>52265</c:v>
                </c:pt>
                <c:pt idx="343">
                  <c:v>52295</c:v>
                </c:pt>
                <c:pt idx="344">
                  <c:v>52325</c:v>
                </c:pt>
                <c:pt idx="345">
                  <c:v>52355</c:v>
                </c:pt>
                <c:pt idx="346">
                  <c:v>52385</c:v>
                </c:pt>
                <c:pt idx="347">
                  <c:v>52415</c:v>
                </c:pt>
                <c:pt idx="348">
                  <c:v>52445</c:v>
                </c:pt>
                <c:pt idx="349">
                  <c:v>52475</c:v>
                </c:pt>
                <c:pt idx="350">
                  <c:v>52505</c:v>
                </c:pt>
                <c:pt idx="351">
                  <c:v>52535</c:v>
                </c:pt>
                <c:pt idx="352">
                  <c:v>52565</c:v>
                </c:pt>
                <c:pt idx="353">
                  <c:v>52595</c:v>
                </c:pt>
                <c:pt idx="354">
                  <c:v>52625</c:v>
                </c:pt>
                <c:pt idx="355">
                  <c:v>52655</c:v>
                </c:pt>
                <c:pt idx="356">
                  <c:v>52685</c:v>
                </c:pt>
                <c:pt idx="357">
                  <c:v>52715</c:v>
                </c:pt>
                <c:pt idx="358">
                  <c:v>52745</c:v>
                </c:pt>
                <c:pt idx="359">
                  <c:v>52775</c:v>
                </c:pt>
                <c:pt idx="360">
                  <c:v>52805</c:v>
                </c:pt>
                <c:pt idx="361">
                  <c:v>52835</c:v>
                </c:pt>
                <c:pt idx="362">
                  <c:v>52865</c:v>
                </c:pt>
                <c:pt idx="363">
                  <c:v>52895</c:v>
                </c:pt>
                <c:pt idx="364">
                  <c:v>52925</c:v>
                </c:pt>
                <c:pt idx="365">
                  <c:v>52955</c:v>
                </c:pt>
                <c:pt idx="366">
                  <c:v>52985</c:v>
                </c:pt>
                <c:pt idx="367">
                  <c:v>53015</c:v>
                </c:pt>
                <c:pt idx="368">
                  <c:v>53045</c:v>
                </c:pt>
                <c:pt idx="369">
                  <c:v>53075</c:v>
                </c:pt>
                <c:pt idx="370">
                  <c:v>53105</c:v>
                </c:pt>
                <c:pt idx="371">
                  <c:v>53135</c:v>
                </c:pt>
                <c:pt idx="372">
                  <c:v>53165</c:v>
                </c:pt>
                <c:pt idx="373">
                  <c:v>53195</c:v>
                </c:pt>
                <c:pt idx="374">
                  <c:v>53225</c:v>
                </c:pt>
                <c:pt idx="375">
                  <c:v>53255</c:v>
                </c:pt>
                <c:pt idx="376">
                  <c:v>53285</c:v>
                </c:pt>
                <c:pt idx="377">
                  <c:v>53315</c:v>
                </c:pt>
                <c:pt idx="378">
                  <c:v>53345</c:v>
                </c:pt>
                <c:pt idx="379">
                  <c:v>53375</c:v>
                </c:pt>
                <c:pt idx="380">
                  <c:v>53405</c:v>
                </c:pt>
                <c:pt idx="381">
                  <c:v>53435</c:v>
                </c:pt>
                <c:pt idx="382">
                  <c:v>53465</c:v>
                </c:pt>
                <c:pt idx="383">
                  <c:v>53495</c:v>
                </c:pt>
                <c:pt idx="384">
                  <c:v>53525</c:v>
                </c:pt>
                <c:pt idx="385">
                  <c:v>53555</c:v>
                </c:pt>
                <c:pt idx="386">
                  <c:v>53585</c:v>
                </c:pt>
                <c:pt idx="387">
                  <c:v>53615</c:v>
                </c:pt>
                <c:pt idx="388">
                  <c:v>53645</c:v>
                </c:pt>
                <c:pt idx="389">
                  <c:v>53675</c:v>
                </c:pt>
                <c:pt idx="390">
                  <c:v>53705</c:v>
                </c:pt>
                <c:pt idx="391">
                  <c:v>53735</c:v>
                </c:pt>
                <c:pt idx="392">
                  <c:v>53765</c:v>
                </c:pt>
                <c:pt idx="393">
                  <c:v>53795</c:v>
                </c:pt>
                <c:pt idx="394">
                  <c:v>53825</c:v>
                </c:pt>
                <c:pt idx="395">
                  <c:v>53855</c:v>
                </c:pt>
                <c:pt idx="396">
                  <c:v>53885</c:v>
                </c:pt>
                <c:pt idx="397">
                  <c:v>53915</c:v>
                </c:pt>
                <c:pt idx="398">
                  <c:v>53945</c:v>
                </c:pt>
                <c:pt idx="399">
                  <c:v>53975</c:v>
                </c:pt>
                <c:pt idx="400">
                  <c:v>54005</c:v>
                </c:pt>
                <c:pt idx="401">
                  <c:v>54035</c:v>
                </c:pt>
                <c:pt idx="402">
                  <c:v>54065</c:v>
                </c:pt>
                <c:pt idx="403">
                  <c:v>54095</c:v>
                </c:pt>
                <c:pt idx="404">
                  <c:v>54125</c:v>
                </c:pt>
                <c:pt idx="405">
                  <c:v>54155</c:v>
                </c:pt>
                <c:pt idx="406">
                  <c:v>54185</c:v>
                </c:pt>
                <c:pt idx="407">
                  <c:v>54215</c:v>
                </c:pt>
                <c:pt idx="408">
                  <c:v>54245</c:v>
                </c:pt>
                <c:pt idx="409">
                  <c:v>54275</c:v>
                </c:pt>
                <c:pt idx="410">
                  <c:v>54305</c:v>
                </c:pt>
                <c:pt idx="411">
                  <c:v>54335</c:v>
                </c:pt>
                <c:pt idx="412">
                  <c:v>54365</c:v>
                </c:pt>
                <c:pt idx="413">
                  <c:v>54395</c:v>
                </c:pt>
                <c:pt idx="414">
                  <c:v>54425</c:v>
                </c:pt>
                <c:pt idx="415">
                  <c:v>54455</c:v>
                </c:pt>
                <c:pt idx="416">
                  <c:v>54485</c:v>
                </c:pt>
                <c:pt idx="417">
                  <c:v>54515</c:v>
                </c:pt>
                <c:pt idx="418">
                  <c:v>54545</c:v>
                </c:pt>
                <c:pt idx="419">
                  <c:v>54575</c:v>
                </c:pt>
                <c:pt idx="420">
                  <c:v>54605</c:v>
                </c:pt>
                <c:pt idx="421">
                  <c:v>54635</c:v>
                </c:pt>
                <c:pt idx="422">
                  <c:v>54665</c:v>
                </c:pt>
                <c:pt idx="423">
                  <c:v>54695</c:v>
                </c:pt>
                <c:pt idx="424">
                  <c:v>54725</c:v>
                </c:pt>
                <c:pt idx="425">
                  <c:v>54755</c:v>
                </c:pt>
                <c:pt idx="426">
                  <c:v>54785</c:v>
                </c:pt>
                <c:pt idx="427">
                  <c:v>54815</c:v>
                </c:pt>
                <c:pt idx="428">
                  <c:v>54845</c:v>
                </c:pt>
                <c:pt idx="429">
                  <c:v>54875</c:v>
                </c:pt>
                <c:pt idx="430">
                  <c:v>54905</c:v>
                </c:pt>
                <c:pt idx="431">
                  <c:v>54935</c:v>
                </c:pt>
                <c:pt idx="432">
                  <c:v>54965</c:v>
                </c:pt>
                <c:pt idx="433">
                  <c:v>54995</c:v>
                </c:pt>
                <c:pt idx="434">
                  <c:v>55025</c:v>
                </c:pt>
                <c:pt idx="435">
                  <c:v>55055</c:v>
                </c:pt>
                <c:pt idx="436">
                  <c:v>55085</c:v>
                </c:pt>
                <c:pt idx="437">
                  <c:v>55115</c:v>
                </c:pt>
                <c:pt idx="438">
                  <c:v>55145</c:v>
                </c:pt>
                <c:pt idx="439">
                  <c:v>55175</c:v>
                </c:pt>
                <c:pt idx="440">
                  <c:v>55205</c:v>
                </c:pt>
                <c:pt idx="441">
                  <c:v>55235</c:v>
                </c:pt>
                <c:pt idx="442">
                  <c:v>55265</c:v>
                </c:pt>
                <c:pt idx="443">
                  <c:v>55295</c:v>
                </c:pt>
                <c:pt idx="444">
                  <c:v>55325</c:v>
                </c:pt>
                <c:pt idx="445">
                  <c:v>55355</c:v>
                </c:pt>
                <c:pt idx="446">
                  <c:v>55385</c:v>
                </c:pt>
                <c:pt idx="447">
                  <c:v>55415</c:v>
                </c:pt>
                <c:pt idx="448">
                  <c:v>55445</c:v>
                </c:pt>
                <c:pt idx="449">
                  <c:v>55475</c:v>
                </c:pt>
                <c:pt idx="450">
                  <c:v>55505</c:v>
                </c:pt>
                <c:pt idx="451">
                  <c:v>55535</c:v>
                </c:pt>
                <c:pt idx="452">
                  <c:v>55565</c:v>
                </c:pt>
                <c:pt idx="453">
                  <c:v>55595</c:v>
                </c:pt>
                <c:pt idx="454">
                  <c:v>55625</c:v>
                </c:pt>
                <c:pt idx="455">
                  <c:v>55655</c:v>
                </c:pt>
                <c:pt idx="456">
                  <c:v>55685</c:v>
                </c:pt>
                <c:pt idx="457">
                  <c:v>55715</c:v>
                </c:pt>
                <c:pt idx="458">
                  <c:v>55745</c:v>
                </c:pt>
                <c:pt idx="459">
                  <c:v>55775</c:v>
                </c:pt>
                <c:pt idx="460">
                  <c:v>55805</c:v>
                </c:pt>
                <c:pt idx="461">
                  <c:v>55835</c:v>
                </c:pt>
                <c:pt idx="462">
                  <c:v>55865</c:v>
                </c:pt>
                <c:pt idx="463">
                  <c:v>55895</c:v>
                </c:pt>
                <c:pt idx="464">
                  <c:v>55925</c:v>
                </c:pt>
                <c:pt idx="465">
                  <c:v>55955</c:v>
                </c:pt>
                <c:pt idx="466">
                  <c:v>55985</c:v>
                </c:pt>
                <c:pt idx="467">
                  <c:v>56015</c:v>
                </c:pt>
                <c:pt idx="468">
                  <c:v>56045</c:v>
                </c:pt>
                <c:pt idx="469">
                  <c:v>56075</c:v>
                </c:pt>
                <c:pt idx="470">
                  <c:v>56105</c:v>
                </c:pt>
                <c:pt idx="471">
                  <c:v>56135</c:v>
                </c:pt>
                <c:pt idx="472">
                  <c:v>56165</c:v>
                </c:pt>
                <c:pt idx="473">
                  <c:v>56195</c:v>
                </c:pt>
                <c:pt idx="474">
                  <c:v>56225</c:v>
                </c:pt>
                <c:pt idx="475">
                  <c:v>56255</c:v>
                </c:pt>
                <c:pt idx="476">
                  <c:v>56285</c:v>
                </c:pt>
                <c:pt idx="477">
                  <c:v>56315</c:v>
                </c:pt>
                <c:pt idx="478">
                  <c:v>56345</c:v>
                </c:pt>
                <c:pt idx="479">
                  <c:v>56375</c:v>
                </c:pt>
                <c:pt idx="480">
                  <c:v>56405</c:v>
                </c:pt>
                <c:pt idx="481">
                  <c:v>56435</c:v>
                </c:pt>
                <c:pt idx="482">
                  <c:v>56465</c:v>
                </c:pt>
                <c:pt idx="483">
                  <c:v>56495</c:v>
                </c:pt>
                <c:pt idx="484">
                  <c:v>56525</c:v>
                </c:pt>
                <c:pt idx="485">
                  <c:v>56555</c:v>
                </c:pt>
                <c:pt idx="486">
                  <c:v>56585</c:v>
                </c:pt>
                <c:pt idx="487">
                  <c:v>56615</c:v>
                </c:pt>
                <c:pt idx="488">
                  <c:v>56645</c:v>
                </c:pt>
                <c:pt idx="489">
                  <c:v>56675</c:v>
                </c:pt>
                <c:pt idx="490">
                  <c:v>56705</c:v>
                </c:pt>
                <c:pt idx="491">
                  <c:v>56735</c:v>
                </c:pt>
                <c:pt idx="492">
                  <c:v>56765</c:v>
                </c:pt>
                <c:pt idx="493">
                  <c:v>56795</c:v>
                </c:pt>
                <c:pt idx="494">
                  <c:v>56825</c:v>
                </c:pt>
                <c:pt idx="495">
                  <c:v>56855</c:v>
                </c:pt>
                <c:pt idx="496">
                  <c:v>56885</c:v>
                </c:pt>
                <c:pt idx="497">
                  <c:v>56915</c:v>
                </c:pt>
                <c:pt idx="498">
                  <c:v>56945</c:v>
                </c:pt>
                <c:pt idx="499">
                  <c:v>56975</c:v>
                </c:pt>
                <c:pt idx="500">
                  <c:v>57005</c:v>
                </c:pt>
                <c:pt idx="501">
                  <c:v>57035</c:v>
                </c:pt>
                <c:pt idx="502">
                  <c:v>57065</c:v>
                </c:pt>
                <c:pt idx="503">
                  <c:v>57095</c:v>
                </c:pt>
                <c:pt idx="504">
                  <c:v>57125</c:v>
                </c:pt>
                <c:pt idx="505">
                  <c:v>57155</c:v>
                </c:pt>
                <c:pt idx="506">
                  <c:v>57185</c:v>
                </c:pt>
                <c:pt idx="507">
                  <c:v>57215</c:v>
                </c:pt>
                <c:pt idx="508">
                  <c:v>57245</c:v>
                </c:pt>
                <c:pt idx="509">
                  <c:v>57275</c:v>
                </c:pt>
                <c:pt idx="510">
                  <c:v>57305</c:v>
                </c:pt>
                <c:pt idx="511">
                  <c:v>57335</c:v>
                </c:pt>
                <c:pt idx="512">
                  <c:v>57365</c:v>
                </c:pt>
                <c:pt idx="513">
                  <c:v>57395</c:v>
                </c:pt>
                <c:pt idx="514">
                  <c:v>57425</c:v>
                </c:pt>
                <c:pt idx="515">
                  <c:v>57455</c:v>
                </c:pt>
                <c:pt idx="516">
                  <c:v>57485</c:v>
                </c:pt>
                <c:pt idx="517">
                  <c:v>57515</c:v>
                </c:pt>
                <c:pt idx="518">
                  <c:v>57545</c:v>
                </c:pt>
                <c:pt idx="519">
                  <c:v>57575</c:v>
                </c:pt>
                <c:pt idx="520">
                  <c:v>57605</c:v>
                </c:pt>
                <c:pt idx="521">
                  <c:v>57635</c:v>
                </c:pt>
                <c:pt idx="522">
                  <c:v>57665</c:v>
                </c:pt>
                <c:pt idx="523">
                  <c:v>57695</c:v>
                </c:pt>
                <c:pt idx="524">
                  <c:v>57725</c:v>
                </c:pt>
                <c:pt idx="525">
                  <c:v>57755</c:v>
                </c:pt>
                <c:pt idx="526">
                  <c:v>57785</c:v>
                </c:pt>
                <c:pt idx="527">
                  <c:v>57815</c:v>
                </c:pt>
                <c:pt idx="528">
                  <c:v>57845</c:v>
                </c:pt>
                <c:pt idx="529">
                  <c:v>57875</c:v>
                </c:pt>
                <c:pt idx="530">
                  <c:v>57905</c:v>
                </c:pt>
                <c:pt idx="531">
                  <c:v>57935</c:v>
                </c:pt>
                <c:pt idx="532">
                  <c:v>57965</c:v>
                </c:pt>
                <c:pt idx="533">
                  <c:v>57995</c:v>
                </c:pt>
                <c:pt idx="534">
                  <c:v>58025</c:v>
                </c:pt>
                <c:pt idx="535">
                  <c:v>58055</c:v>
                </c:pt>
                <c:pt idx="536">
                  <c:v>58085</c:v>
                </c:pt>
                <c:pt idx="537">
                  <c:v>58115</c:v>
                </c:pt>
                <c:pt idx="538">
                  <c:v>58145</c:v>
                </c:pt>
                <c:pt idx="539">
                  <c:v>58175</c:v>
                </c:pt>
                <c:pt idx="540">
                  <c:v>58205</c:v>
                </c:pt>
                <c:pt idx="541">
                  <c:v>58235</c:v>
                </c:pt>
                <c:pt idx="542">
                  <c:v>58265</c:v>
                </c:pt>
                <c:pt idx="543">
                  <c:v>58295</c:v>
                </c:pt>
                <c:pt idx="544">
                  <c:v>58325</c:v>
                </c:pt>
                <c:pt idx="545">
                  <c:v>58355</c:v>
                </c:pt>
                <c:pt idx="546">
                  <c:v>58385</c:v>
                </c:pt>
                <c:pt idx="547">
                  <c:v>58415</c:v>
                </c:pt>
                <c:pt idx="548">
                  <c:v>58445</c:v>
                </c:pt>
                <c:pt idx="549">
                  <c:v>58475</c:v>
                </c:pt>
                <c:pt idx="550">
                  <c:v>58505</c:v>
                </c:pt>
                <c:pt idx="551">
                  <c:v>58535</c:v>
                </c:pt>
                <c:pt idx="552">
                  <c:v>58565</c:v>
                </c:pt>
                <c:pt idx="553">
                  <c:v>58595</c:v>
                </c:pt>
                <c:pt idx="554">
                  <c:v>58625</c:v>
                </c:pt>
                <c:pt idx="555">
                  <c:v>58655</c:v>
                </c:pt>
                <c:pt idx="556">
                  <c:v>58685</c:v>
                </c:pt>
                <c:pt idx="557">
                  <c:v>58715</c:v>
                </c:pt>
                <c:pt idx="558">
                  <c:v>58745</c:v>
                </c:pt>
                <c:pt idx="559">
                  <c:v>58775</c:v>
                </c:pt>
                <c:pt idx="560">
                  <c:v>58805</c:v>
                </c:pt>
                <c:pt idx="561">
                  <c:v>58835</c:v>
                </c:pt>
                <c:pt idx="562">
                  <c:v>58865</c:v>
                </c:pt>
                <c:pt idx="563">
                  <c:v>58895</c:v>
                </c:pt>
                <c:pt idx="564">
                  <c:v>58925</c:v>
                </c:pt>
                <c:pt idx="565">
                  <c:v>58955</c:v>
                </c:pt>
                <c:pt idx="566">
                  <c:v>58985</c:v>
                </c:pt>
                <c:pt idx="567">
                  <c:v>59015</c:v>
                </c:pt>
                <c:pt idx="568">
                  <c:v>59045</c:v>
                </c:pt>
                <c:pt idx="569">
                  <c:v>59075</c:v>
                </c:pt>
                <c:pt idx="570">
                  <c:v>59105</c:v>
                </c:pt>
                <c:pt idx="571">
                  <c:v>59135</c:v>
                </c:pt>
                <c:pt idx="572">
                  <c:v>59165</c:v>
                </c:pt>
                <c:pt idx="573">
                  <c:v>59195</c:v>
                </c:pt>
                <c:pt idx="574">
                  <c:v>59225</c:v>
                </c:pt>
                <c:pt idx="575">
                  <c:v>59255</c:v>
                </c:pt>
                <c:pt idx="576">
                  <c:v>59285</c:v>
                </c:pt>
                <c:pt idx="577">
                  <c:v>59315</c:v>
                </c:pt>
                <c:pt idx="578">
                  <c:v>59345</c:v>
                </c:pt>
                <c:pt idx="579">
                  <c:v>59375</c:v>
                </c:pt>
                <c:pt idx="580">
                  <c:v>59405</c:v>
                </c:pt>
                <c:pt idx="581">
                  <c:v>59435</c:v>
                </c:pt>
                <c:pt idx="582">
                  <c:v>59465</c:v>
                </c:pt>
                <c:pt idx="583">
                  <c:v>59495</c:v>
                </c:pt>
                <c:pt idx="584">
                  <c:v>59525</c:v>
                </c:pt>
                <c:pt idx="585">
                  <c:v>59555</c:v>
                </c:pt>
                <c:pt idx="586">
                  <c:v>59585</c:v>
                </c:pt>
                <c:pt idx="587">
                  <c:v>59615</c:v>
                </c:pt>
                <c:pt idx="588">
                  <c:v>59645</c:v>
                </c:pt>
                <c:pt idx="589">
                  <c:v>59675</c:v>
                </c:pt>
                <c:pt idx="590">
                  <c:v>59705</c:v>
                </c:pt>
                <c:pt idx="591">
                  <c:v>59735</c:v>
                </c:pt>
                <c:pt idx="592">
                  <c:v>59765</c:v>
                </c:pt>
                <c:pt idx="593">
                  <c:v>59795</c:v>
                </c:pt>
                <c:pt idx="594">
                  <c:v>59825</c:v>
                </c:pt>
                <c:pt idx="595">
                  <c:v>59855</c:v>
                </c:pt>
                <c:pt idx="596">
                  <c:v>59885</c:v>
                </c:pt>
                <c:pt idx="597">
                  <c:v>59915</c:v>
                </c:pt>
                <c:pt idx="598">
                  <c:v>59945</c:v>
                </c:pt>
                <c:pt idx="599">
                  <c:v>59975</c:v>
                </c:pt>
                <c:pt idx="600">
                  <c:v>60005</c:v>
                </c:pt>
                <c:pt idx="601">
                  <c:v>60035</c:v>
                </c:pt>
                <c:pt idx="602">
                  <c:v>60065</c:v>
                </c:pt>
                <c:pt idx="603">
                  <c:v>60095</c:v>
                </c:pt>
                <c:pt idx="604">
                  <c:v>60125</c:v>
                </c:pt>
                <c:pt idx="605">
                  <c:v>60155</c:v>
                </c:pt>
                <c:pt idx="606">
                  <c:v>60185</c:v>
                </c:pt>
                <c:pt idx="607">
                  <c:v>60215</c:v>
                </c:pt>
                <c:pt idx="608">
                  <c:v>60245</c:v>
                </c:pt>
                <c:pt idx="609">
                  <c:v>60275</c:v>
                </c:pt>
                <c:pt idx="610">
                  <c:v>60305</c:v>
                </c:pt>
                <c:pt idx="611">
                  <c:v>60335</c:v>
                </c:pt>
                <c:pt idx="612">
                  <c:v>60365</c:v>
                </c:pt>
                <c:pt idx="613">
                  <c:v>60395</c:v>
                </c:pt>
                <c:pt idx="614">
                  <c:v>60425</c:v>
                </c:pt>
                <c:pt idx="615">
                  <c:v>60455</c:v>
                </c:pt>
                <c:pt idx="616">
                  <c:v>60485</c:v>
                </c:pt>
                <c:pt idx="617">
                  <c:v>60515</c:v>
                </c:pt>
                <c:pt idx="618">
                  <c:v>60545</c:v>
                </c:pt>
                <c:pt idx="619">
                  <c:v>60575</c:v>
                </c:pt>
                <c:pt idx="620">
                  <c:v>60605</c:v>
                </c:pt>
                <c:pt idx="621">
                  <c:v>60635</c:v>
                </c:pt>
                <c:pt idx="622">
                  <c:v>60665</c:v>
                </c:pt>
                <c:pt idx="623">
                  <c:v>60695</c:v>
                </c:pt>
                <c:pt idx="624">
                  <c:v>60725</c:v>
                </c:pt>
                <c:pt idx="625">
                  <c:v>60755</c:v>
                </c:pt>
                <c:pt idx="626">
                  <c:v>60785</c:v>
                </c:pt>
                <c:pt idx="627">
                  <c:v>60815</c:v>
                </c:pt>
                <c:pt idx="628">
                  <c:v>60845</c:v>
                </c:pt>
                <c:pt idx="629">
                  <c:v>60875</c:v>
                </c:pt>
                <c:pt idx="630">
                  <c:v>60905</c:v>
                </c:pt>
                <c:pt idx="631">
                  <c:v>60935</c:v>
                </c:pt>
                <c:pt idx="632">
                  <c:v>60965</c:v>
                </c:pt>
                <c:pt idx="633">
                  <c:v>60966</c:v>
                </c:pt>
              </c:numCache>
            </c:numRef>
          </c:cat>
          <c:val>
            <c:numRef>
              <c:f>'Demand Forecasting Sheet'!$D$2:$D$635</c:f>
              <c:numCache>
                <c:formatCode>General</c:formatCode>
                <c:ptCount val="634"/>
                <c:pt idx="499" formatCode="0.00">
                  <c:v>95</c:v>
                </c:pt>
                <c:pt idx="500" formatCode="0.00">
                  <c:v>74.499024808985268</c:v>
                </c:pt>
                <c:pt idx="501" formatCode="0.00">
                  <c:v>74.395883174697175</c:v>
                </c:pt>
                <c:pt idx="502" formatCode="0.00">
                  <c:v>74.291206907766608</c:v>
                </c:pt>
                <c:pt idx="503" formatCode="0.00">
                  <c:v>74.184999223470797</c:v>
                </c:pt>
                <c:pt idx="504" formatCode="0.00">
                  <c:v>74.077263607752784</c:v>
                </c:pt>
                <c:pt idx="505" formatCode="0.00">
                  <c:v>73.968003807781301</c:v>
                </c:pt>
                <c:pt idx="506" formatCode="0.00">
                  <c:v>73.857223822521732</c:v>
                </c:pt>
                <c:pt idx="507" formatCode="0.00">
                  <c:v>73.744927893336751</c:v>
                </c:pt>
                <c:pt idx="508" formatCode="0.00">
                  <c:v>73.631120494627979</c:v>
                </c:pt>
                <c:pt idx="509" formatCode="0.00">
                  <c:v>73.5158063245362</c:v>
                </c:pt>
                <c:pt idx="510" formatCode="0.00">
                  <c:v>73.398990295709581</c:v>
                </c:pt>
                <c:pt idx="511" formatCode="0.00">
                  <c:v>73.280677526156211</c:v>
                </c:pt>
                <c:pt idx="512" formatCode="0.00">
                  <c:v>73.160873330189133</c:v>
                </c:pt>
                <c:pt idx="513" formatCode="0.00">
                  <c:v>73.039583209478423</c:v>
                </c:pt>
                <c:pt idx="514" formatCode="0.00">
                  <c:v>72.916812844217148</c:v>
                </c:pt>
                <c:pt idx="515" formatCode="0.00">
                  <c:v>72.792568084414441</c:v>
                </c:pt>
                <c:pt idx="516" formatCode="0.00">
                  <c:v>72.666854941320793</c:v>
                </c:pt>
                <c:pt idx="517" formatCode="0.00">
                  <c:v>72.539679578997522</c:v>
                </c:pt>
                <c:pt idx="518" formatCode="0.00">
                  <c:v>72.411048306034175</c:v>
                </c:pt>
                <c:pt idx="519" formatCode="0.00">
                  <c:v>72.280967567424227</c:v>
                </c:pt>
                <c:pt idx="520" formatCode="0.00">
                  <c:v>72.149443936601614</c:v>
                </c:pt>
                <c:pt idx="521" formatCode="0.00">
                  <c:v>72.016484107647074</c:v>
                </c:pt>
                <c:pt idx="522" formatCode="0.00">
                  <c:v>71.882094887665573</c:v>
                </c:pt>
                <c:pt idx="523" formatCode="0.00">
                  <c:v>71.746283189342506</c:v>
                </c:pt>
                <c:pt idx="524" formatCode="0.00">
                  <c:v>71.609056023678733</c:v>
                </c:pt>
                <c:pt idx="525" formatCode="0.00">
                  <c:v>71.470420492910932</c:v>
                </c:pt>
                <c:pt idx="526" formatCode="0.00">
                  <c:v>71.330383783616298</c:v>
                </c:pt>
                <c:pt idx="527" formatCode="0.00">
                  <c:v>71.188953160007031</c:v>
                </c:pt>
                <c:pt idx="528" formatCode="0.00">
                  <c:v>71.046135957412346</c:v>
                </c:pt>
                <c:pt idx="529" formatCode="0.00">
                  <c:v>70.901939575952696</c:v>
                </c:pt>
                <c:pt idx="530" formatCode="0.00">
                  <c:v>70.756371474403096</c:v>
                </c:pt>
                <c:pt idx="531" formatCode="0.00">
                  <c:v>70.609439164249167</c:v>
                </c:pt>
                <c:pt idx="532" formatCode="0.00">
                  <c:v>70.461150203931908</c:v>
                </c:pt>
                <c:pt idx="533" formatCode="0.00">
                  <c:v>70.311512193284386</c:v>
                </c:pt>
                <c:pt idx="534" formatCode="0.00">
                  <c:v>70.160532768155178</c:v>
                </c:pt>
                <c:pt idx="535" formatCode="0.00">
                  <c:v>70.008219595221391</c:v>
                </c:pt>
                <c:pt idx="536" formatCode="0.00">
                  <c:v>69.85458036698553</c:v>
                </c:pt>
                <c:pt idx="537" formatCode="0.00">
                  <c:v>69.699622796957954</c:v>
                </c:pt>
                <c:pt idx="538" formatCode="0.00">
                  <c:v>69.543354615019211</c:v>
                </c:pt>
                <c:pt idx="539" formatCode="0.00">
                  <c:v>69.385783562963439</c:v>
                </c:pt>
                <c:pt idx="540" formatCode="0.00">
                  <c:v>69.226917390216158</c:v>
                </c:pt>
                <c:pt idx="541" formatCode="0.00">
                  <c:v>69.066763849727792</c:v>
                </c:pt>
                <c:pt idx="542" formatCode="0.00">
                  <c:v>68.905330694035825</c:v>
                </c:pt>
                <c:pt idx="543" formatCode="0.00">
                  <c:v>68.742625671496157</c:v>
                </c:pt>
                <c:pt idx="544" formatCode="0.00">
                  <c:v>68.578656522676852</c:v>
                </c:pt>
                <c:pt idx="545" formatCode="0.00">
                  <c:v>68.413430976914157</c:v>
                </c:pt>
                <c:pt idx="546" formatCode="0.00">
                  <c:v>68.246956749023951</c:v>
                </c:pt>
                <c:pt idx="547" formatCode="0.00">
                  <c:v>68.079241536168354</c:v>
                </c:pt>
                <c:pt idx="548" formatCode="0.00">
                  <c:v>67.910293014870334</c:v>
                </c:pt>
                <c:pt idx="549" formatCode="0.00">
                  <c:v>67.740118838175988</c:v>
                </c:pt>
                <c:pt idx="550" formatCode="0.00">
                  <c:v>67.56872663295745</c:v>
                </c:pt>
                <c:pt idx="551" formatCode="0.00">
                  <c:v>67.396123997355559</c:v>
                </c:pt>
                <c:pt idx="552" formatCode="0.00">
                  <c:v>67.22231849835552</c:v>
                </c:pt>
                <c:pt idx="553" formatCode="0.00">
                  <c:v>67.047317669494731</c:v>
                </c:pt>
                <c:pt idx="554" formatCode="0.00">
                  <c:v>66.871129008695704</c:v>
                </c:pt>
                <c:pt idx="555" formatCode="0.00">
                  <c:v>66.693759976223433</c:v>
                </c:pt>
                <c:pt idx="556" formatCode="0.00">
                  <c:v>66.515217992760157</c:v>
                </c:pt>
                <c:pt idx="557" formatCode="0.00">
                  <c:v>66.335510437596895</c:v>
                </c:pt>
                <c:pt idx="558" formatCode="0.00">
                  <c:v>66.154644646934742</c:v>
                </c:pt>
                <c:pt idx="559" formatCode="0.00">
                  <c:v>65.972627912295394</c:v>
                </c:pt>
                <c:pt idx="560" formatCode="0.00">
                  <c:v>65.789467479033945</c:v>
                </c:pt>
                <c:pt idx="561" formatCode="0.00">
                  <c:v>65.605170544953623</c:v>
                </c:pt>
                <c:pt idx="562" formatCode="0.00">
                  <c:v>65.419744259015374</c:v>
                </c:pt>
                <c:pt idx="563" formatCode="0.00">
                  <c:v>65.233195720142348</c:v>
                </c:pt>
                <c:pt idx="564" formatCode="0.00">
                  <c:v>65.045531976112159</c:v>
                </c:pt>
                <c:pt idx="565" formatCode="0.00">
                  <c:v>64.856760022537088</c:v>
                </c:pt>
                <c:pt idx="566" formatCode="0.00">
                  <c:v>64.666886801925472</c:v>
                </c:pt>
                <c:pt idx="567" formatCode="0.00">
                  <c:v>64.475919202824116</c:v>
                </c:pt>
                <c:pt idx="568" formatCode="0.00">
                  <c:v>64.283864059035551</c:v>
                </c:pt>
                <c:pt idx="569" formatCode="0.00">
                  <c:v>64.090728148910102</c:v>
                </c:pt>
                <c:pt idx="570" formatCode="0.00">
                  <c:v>63.896518194706331</c:v>
                </c:pt>
                <c:pt idx="571" formatCode="0.00">
                  <c:v>63.701240862020427</c:v>
                </c:pt>
                <c:pt idx="572" formatCode="0.00">
                  <c:v>63.504902759278067</c:v>
                </c:pt>
                <c:pt idx="573" formatCode="0.00">
                  <c:v>63.307510437289579</c:v>
                </c:pt>
                <c:pt idx="574" formatCode="0.00">
                  <c:v>63.109070388861717</c:v>
                </c:pt>
                <c:pt idx="575" formatCode="0.00">
                  <c:v>62.909589048467623</c:v>
                </c:pt>
                <c:pt idx="576" formatCode="0.00">
                  <c:v>62.709072791968119</c:v>
                </c:pt>
                <c:pt idx="577" formatCode="0.00">
                  <c:v>62.507527936385884</c:v>
                </c:pt>
                <c:pt idx="578" formatCode="0.00">
                  <c:v>62.304960739726297</c:v>
                </c:pt>
                <c:pt idx="579" formatCode="0.00">
                  <c:v>62.101377400846125</c:v>
                </c:pt>
                <c:pt idx="580" formatCode="0.00">
                  <c:v>61.896784059364421</c:v>
                </c:pt>
                <c:pt idx="581" formatCode="0.00">
                  <c:v>61.691186795616765</c:v>
                </c:pt>
                <c:pt idx="582" formatCode="0.00">
                  <c:v>61.484591630647287</c:v>
                </c:pt>
                <c:pt idx="583" formatCode="0.00">
                  <c:v>61.277004526239978</c:v>
                </c:pt>
                <c:pt idx="584" formatCode="0.00">
                  <c:v>61.068431384983732</c:v>
                </c:pt>
                <c:pt idx="585" formatCode="0.00">
                  <c:v>60.858878050372688</c:v>
                </c:pt>
                <c:pt idx="586" formatCode="0.00">
                  <c:v>60.648350306936649</c:v>
                </c:pt>
                <c:pt idx="587" formatCode="0.00">
                  <c:v>60.436853880403184</c:v>
                </c:pt>
                <c:pt idx="588" formatCode="0.00">
                  <c:v>60.224394437886282</c:v>
                </c:pt>
                <c:pt idx="589" formatCode="0.00">
                  <c:v>60.010977588103401</c:v>
                </c:pt>
                <c:pt idx="590" formatCode="0.00">
                  <c:v>59.796608881615811</c:v>
                </c:pt>
                <c:pt idx="591" formatCode="0.00">
                  <c:v>59.58129381109427</c:v>
                </c:pt>
                <c:pt idx="592" formatCode="0.00">
                  <c:v>59.365037811604999</c:v>
                </c:pt>
                <c:pt idx="593" formatCode="0.00">
                  <c:v>59.147846260918172</c:v>
                </c:pt>
                <c:pt idx="594" formatCode="0.00">
                  <c:v>58.929724479833915</c:v>
                </c:pt>
                <c:pt idx="595" formatCode="0.00">
                  <c:v>58.710677732528332</c:v>
                </c:pt>
                <c:pt idx="596" formatCode="0.00">
                  <c:v>58.490711226914378</c:v>
                </c:pt>
                <c:pt idx="597" formatCode="0.00">
                  <c:v>58.269830115020412</c:v>
                </c:pt>
                <c:pt idx="598" formatCode="0.00">
                  <c:v>58.048039493381303</c:v>
                </c:pt>
                <c:pt idx="599" formatCode="0.00">
                  <c:v>57.825344403445065</c:v>
                </c:pt>
                <c:pt idx="600" formatCode="0.00">
                  <c:v>57.601749831989878</c:v>
                </c:pt>
                <c:pt idx="601" formatCode="0.00">
                  <c:v>57.377260711554555</c:v>
                </c:pt>
                <c:pt idx="602" formatCode="0.00">
                  <c:v>57.151881920877656</c:v>
                </c:pt>
                <c:pt idx="603" formatCode="0.00">
                  <c:v>56.925618285348108</c:v>
                </c:pt>
                <c:pt idx="604" formatCode="0.00">
                  <c:v>56.698474577462704</c:v>
                </c:pt>
                <c:pt idx="605" formatCode="0.00">
                  <c:v>56.470455517293438</c:v>
                </c:pt>
                <c:pt idx="606" formatCode="0.00">
                  <c:v>56.241565772960278</c:v>
                </c:pt>
                <c:pt idx="607" formatCode="0.00">
                  <c:v>56.01180996111205</c:v>
                </c:pt>
                <c:pt idx="608" formatCode="0.00">
                  <c:v>55.781192647411402</c:v>
                </c:pt>
                <c:pt idx="609" formatCode="0.00">
                  <c:v>55.549718347026634</c:v>
                </c:pt>
                <c:pt idx="610" formatCode="0.00">
                  <c:v>55.317391525126141</c:v>
                </c:pt>
                <c:pt idx="611" formatCode="0.00">
                  <c:v>55.084216597378536</c:v>
                </c:pt>
                <c:pt idx="612" formatCode="0.00">
                  <c:v>54.850197930454229</c:v>
                </c:pt>
                <c:pt idx="613" formatCode="0.00">
                  <c:v>54.615339842531576</c:v>
                </c:pt>
                <c:pt idx="614" formatCode="0.00">
                  <c:v>54.379646603803444</c:v>
                </c:pt>
                <c:pt idx="615" formatCode="0.00">
                  <c:v>54.143122436987284</c:v>
                </c:pt>
                <c:pt idx="616" formatCode="0.00">
                  <c:v>53.905771517834701</c:v>
                </c:pt>
                <c:pt idx="617" formatCode="0.00">
                  <c:v>53.667597975643766</c:v>
                </c:pt>
                <c:pt idx="618" formatCode="0.00">
                  <c:v>53.428605893769713</c:v>
                </c:pt>
                <c:pt idx="619" formatCode="0.00">
                  <c:v>53.18879931013776</c:v>
                </c:pt>
                <c:pt idx="620" formatCode="0.00">
                  <c:v>52.94818221775364</c:v>
                </c:pt>
                <c:pt idx="621" formatCode="0.00">
                  <c:v>52.706758565215345</c:v>
                </c:pt>
                <c:pt idx="622" formatCode="0.00">
                  <c:v>52.464532257222004</c:v>
                </c:pt>
                <c:pt idx="623" formatCode="0.00">
                  <c:v>52.221507155083373</c:v>
                </c:pt>
                <c:pt idx="624" formatCode="0.00">
                  <c:v>51.977687077225831</c:v>
                </c:pt>
                <c:pt idx="625" formatCode="0.00">
                  <c:v>51.733075799698462</c:v>
                </c:pt>
                <c:pt idx="626" formatCode="0.00">
                  <c:v>51.487677056675068</c:v>
                </c:pt>
                <c:pt idx="627" formatCode="0.00">
                  <c:v>51.241494540955792</c:v>
                </c:pt>
                <c:pt idx="628" formatCode="0.00">
                  <c:v>50.994531904464353</c:v>
                </c:pt>
                <c:pt idx="629" formatCode="0.00">
                  <c:v>50.746792758744249</c:v>
                </c:pt>
                <c:pt idx="630" formatCode="0.00">
                  <c:v>50.498280675450268</c:v>
                </c:pt>
                <c:pt idx="631" formatCode="0.00">
                  <c:v>50.248999186838667</c:v>
                </c:pt>
                <c:pt idx="632" formatCode="0.00">
                  <c:v>49.998951786252235</c:v>
                </c:pt>
                <c:pt idx="633" formatCode="0.00">
                  <c:v>49.990568809036532</c:v>
                </c:pt>
              </c:numCache>
            </c:numRef>
          </c:val>
          <c:smooth val="0"/>
          <c:extLst>
            <c:ext xmlns:c16="http://schemas.microsoft.com/office/drawing/2014/chart" uri="{C3380CC4-5D6E-409C-BE32-E72D297353CC}">
              <c16:uniqueId val="{00000002-C6B6-403F-BA8D-3869BDAAE864}"/>
            </c:ext>
          </c:extLst>
        </c:ser>
        <c:ser>
          <c:idx val="3"/>
          <c:order val="3"/>
          <c:tx>
            <c:strRef>
              <c:f>'Demand Forecasting Sheet'!$E$1</c:f>
              <c:strCache>
                <c:ptCount val="1"/>
                <c:pt idx="0">
                  <c:v>Upper Confidence Bound(Units_Sold)</c:v>
                </c:pt>
              </c:strCache>
            </c:strRef>
          </c:tx>
          <c:spPr>
            <a:ln w="12700" cap="rnd">
              <a:solidFill>
                <a:srgbClr val="ED7D31"/>
              </a:solidFill>
              <a:prstDash val="solid"/>
              <a:round/>
            </a:ln>
            <a:effectLst/>
          </c:spPr>
          <c:marker>
            <c:symbol val="none"/>
          </c:marker>
          <c:cat>
            <c:numRef>
              <c:f>'Demand Forecasting Sheet'!$A$2:$A$635</c:f>
              <c:numCache>
                <c:formatCode>m/d/yyyy</c:formatCode>
                <c:ptCount val="634"/>
                <c:pt idx="0">
                  <c:v>42005</c:v>
                </c:pt>
                <c:pt idx="1">
                  <c:v>42035</c:v>
                </c:pt>
                <c:pt idx="2">
                  <c:v>42065</c:v>
                </c:pt>
                <c:pt idx="3">
                  <c:v>42095</c:v>
                </c:pt>
                <c:pt idx="4">
                  <c:v>42125</c:v>
                </c:pt>
                <c:pt idx="5">
                  <c:v>42155</c:v>
                </c:pt>
                <c:pt idx="6">
                  <c:v>42185</c:v>
                </c:pt>
                <c:pt idx="7">
                  <c:v>42215</c:v>
                </c:pt>
                <c:pt idx="8">
                  <c:v>42245</c:v>
                </c:pt>
                <c:pt idx="9">
                  <c:v>42275</c:v>
                </c:pt>
                <c:pt idx="10">
                  <c:v>42305</c:v>
                </c:pt>
                <c:pt idx="11">
                  <c:v>42335</c:v>
                </c:pt>
                <c:pt idx="12">
                  <c:v>42365</c:v>
                </c:pt>
                <c:pt idx="13">
                  <c:v>42395</c:v>
                </c:pt>
                <c:pt idx="14">
                  <c:v>42425</c:v>
                </c:pt>
                <c:pt idx="15">
                  <c:v>42455</c:v>
                </c:pt>
                <c:pt idx="16">
                  <c:v>42485</c:v>
                </c:pt>
                <c:pt idx="17">
                  <c:v>42515</c:v>
                </c:pt>
                <c:pt idx="18">
                  <c:v>42545</c:v>
                </c:pt>
                <c:pt idx="19">
                  <c:v>42575</c:v>
                </c:pt>
                <c:pt idx="20">
                  <c:v>42605</c:v>
                </c:pt>
                <c:pt idx="21">
                  <c:v>42635</c:v>
                </c:pt>
                <c:pt idx="22">
                  <c:v>42665</c:v>
                </c:pt>
                <c:pt idx="23">
                  <c:v>42695</c:v>
                </c:pt>
                <c:pt idx="24">
                  <c:v>42725</c:v>
                </c:pt>
                <c:pt idx="25">
                  <c:v>42755</c:v>
                </c:pt>
                <c:pt idx="26">
                  <c:v>42785</c:v>
                </c:pt>
                <c:pt idx="27">
                  <c:v>42815</c:v>
                </c:pt>
                <c:pt idx="28">
                  <c:v>42845</c:v>
                </c:pt>
                <c:pt idx="29">
                  <c:v>42875</c:v>
                </c:pt>
                <c:pt idx="30">
                  <c:v>42905</c:v>
                </c:pt>
                <c:pt idx="31">
                  <c:v>42935</c:v>
                </c:pt>
                <c:pt idx="32">
                  <c:v>42965</c:v>
                </c:pt>
                <c:pt idx="33">
                  <c:v>42995</c:v>
                </c:pt>
                <c:pt idx="34">
                  <c:v>43025</c:v>
                </c:pt>
                <c:pt idx="35">
                  <c:v>43055</c:v>
                </c:pt>
                <c:pt idx="36">
                  <c:v>43085</c:v>
                </c:pt>
                <c:pt idx="37">
                  <c:v>43115</c:v>
                </c:pt>
                <c:pt idx="38">
                  <c:v>43145</c:v>
                </c:pt>
                <c:pt idx="39">
                  <c:v>43175</c:v>
                </c:pt>
                <c:pt idx="40">
                  <c:v>43205</c:v>
                </c:pt>
                <c:pt idx="41">
                  <c:v>43235</c:v>
                </c:pt>
                <c:pt idx="42">
                  <c:v>43265</c:v>
                </c:pt>
                <c:pt idx="43">
                  <c:v>43295</c:v>
                </c:pt>
                <c:pt idx="44">
                  <c:v>43325</c:v>
                </c:pt>
                <c:pt idx="45">
                  <c:v>43355</c:v>
                </c:pt>
                <c:pt idx="46">
                  <c:v>43385</c:v>
                </c:pt>
                <c:pt idx="47">
                  <c:v>43415</c:v>
                </c:pt>
                <c:pt idx="48">
                  <c:v>43445</c:v>
                </c:pt>
                <c:pt idx="49">
                  <c:v>43475</c:v>
                </c:pt>
                <c:pt idx="50">
                  <c:v>43505</c:v>
                </c:pt>
                <c:pt idx="51">
                  <c:v>43535</c:v>
                </c:pt>
                <c:pt idx="52">
                  <c:v>43565</c:v>
                </c:pt>
                <c:pt idx="53">
                  <c:v>43595</c:v>
                </c:pt>
                <c:pt idx="54">
                  <c:v>43625</c:v>
                </c:pt>
                <c:pt idx="55">
                  <c:v>43655</c:v>
                </c:pt>
                <c:pt idx="56">
                  <c:v>43685</c:v>
                </c:pt>
                <c:pt idx="57">
                  <c:v>43715</c:v>
                </c:pt>
                <c:pt idx="58">
                  <c:v>43745</c:v>
                </c:pt>
                <c:pt idx="59">
                  <c:v>43775</c:v>
                </c:pt>
                <c:pt idx="60">
                  <c:v>43805</c:v>
                </c:pt>
                <c:pt idx="61">
                  <c:v>43835</c:v>
                </c:pt>
                <c:pt idx="62">
                  <c:v>43865</c:v>
                </c:pt>
                <c:pt idx="63">
                  <c:v>43895</c:v>
                </c:pt>
                <c:pt idx="64">
                  <c:v>43925</c:v>
                </c:pt>
                <c:pt idx="65">
                  <c:v>43955</c:v>
                </c:pt>
                <c:pt idx="66">
                  <c:v>43985</c:v>
                </c:pt>
                <c:pt idx="67">
                  <c:v>44015</c:v>
                </c:pt>
                <c:pt idx="68">
                  <c:v>44045</c:v>
                </c:pt>
                <c:pt idx="69">
                  <c:v>44075</c:v>
                </c:pt>
                <c:pt idx="70">
                  <c:v>44105</c:v>
                </c:pt>
                <c:pt idx="71">
                  <c:v>44135</c:v>
                </c:pt>
                <c:pt idx="72">
                  <c:v>44165</c:v>
                </c:pt>
                <c:pt idx="73">
                  <c:v>44195</c:v>
                </c:pt>
                <c:pt idx="74">
                  <c:v>44225</c:v>
                </c:pt>
                <c:pt idx="75">
                  <c:v>44255</c:v>
                </c:pt>
                <c:pt idx="76">
                  <c:v>44285</c:v>
                </c:pt>
                <c:pt idx="77">
                  <c:v>44315</c:v>
                </c:pt>
                <c:pt idx="78">
                  <c:v>44345</c:v>
                </c:pt>
                <c:pt idx="79">
                  <c:v>44375</c:v>
                </c:pt>
                <c:pt idx="80">
                  <c:v>44405</c:v>
                </c:pt>
                <c:pt idx="81">
                  <c:v>44435</c:v>
                </c:pt>
                <c:pt idx="82">
                  <c:v>44465</c:v>
                </c:pt>
                <c:pt idx="83">
                  <c:v>44495</c:v>
                </c:pt>
                <c:pt idx="84">
                  <c:v>44525</c:v>
                </c:pt>
                <c:pt idx="85">
                  <c:v>44555</c:v>
                </c:pt>
                <c:pt idx="86">
                  <c:v>44585</c:v>
                </c:pt>
                <c:pt idx="87">
                  <c:v>44615</c:v>
                </c:pt>
                <c:pt idx="88">
                  <c:v>44645</c:v>
                </c:pt>
                <c:pt idx="89">
                  <c:v>44675</c:v>
                </c:pt>
                <c:pt idx="90">
                  <c:v>44705</c:v>
                </c:pt>
                <c:pt idx="91">
                  <c:v>44735</c:v>
                </c:pt>
                <c:pt idx="92">
                  <c:v>44765</c:v>
                </c:pt>
                <c:pt idx="93">
                  <c:v>44795</c:v>
                </c:pt>
                <c:pt idx="94">
                  <c:v>44825</c:v>
                </c:pt>
                <c:pt idx="95">
                  <c:v>44855</c:v>
                </c:pt>
                <c:pt idx="96">
                  <c:v>44885</c:v>
                </c:pt>
                <c:pt idx="97">
                  <c:v>44915</c:v>
                </c:pt>
                <c:pt idx="98">
                  <c:v>44945</c:v>
                </c:pt>
                <c:pt idx="99">
                  <c:v>44975</c:v>
                </c:pt>
                <c:pt idx="100">
                  <c:v>45005</c:v>
                </c:pt>
                <c:pt idx="101">
                  <c:v>45035</c:v>
                </c:pt>
                <c:pt idx="102">
                  <c:v>45065</c:v>
                </c:pt>
                <c:pt idx="103">
                  <c:v>45095</c:v>
                </c:pt>
                <c:pt idx="104">
                  <c:v>45125</c:v>
                </c:pt>
                <c:pt idx="105">
                  <c:v>45155</c:v>
                </c:pt>
                <c:pt idx="106">
                  <c:v>45185</c:v>
                </c:pt>
                <c:pt idx="107">
                  <c:v>45215</c:v>
                </c:pt>
                <c:pt idx="108">
                  <c:v>45245</c:v>
                </c:pt>
                <c:pt idx="109">
                  <c:v>45275</c:v>
                </c:pt>
                <c:pt idx="110">
                  <c:v>45305</c:v>
                </c:pt>
                <c:pt idx="111">
                  <c:v>45335</c:v>
                </c:pt>
                <c:pt idx="112">
                  <c:v>45365</c:v>
                </c:pt>
                <c:pt idx="113">
                  <c:v>45395</c:v>
                </c:pt>
                <c:pt idx="114">
                  <c:v>45425</c:v>
                </c:pt>
                <c:pt idx="115">
                  <c:v>45455</c:v>
                </c:pt>
                <c:pt idx="116">
                  <c:v>45485</c:v>
                </c:pt>
                <c:pt idx="117">
                  <c:v>45515</c:v>
                </c:pt>
                <c:pt idx="118">
                  <c:v>45545</c:v>
                </c:pt>
                <c:pt idx="119">
                  <c:v>45575</c:v>
                </c:pt>
                <c:pt idx="120">
                  <c:v>45605</c:v>
                </c:pt>
                <c:pt idx="121">
                  <c:v>45635</c:v>
                </c:pt>
                <c:pt idx="122">
                  <c:v>45665</c:v>
                </c:pt>
                <c:pt idx="123">
                  <c:v>45695</c:v>
                </c:pt>
                <c:pt idx="124">
                  <c:v>45725</c:v>
                </c:pt>
                <c:pt idx="125">
                  <c:v>45755</c:v>
                </c:pt>
                <c:pt idx="126">
                  <c:v>45785</c:v>
                </c:pt>
                <c:pt idx="127">
                  <c:v>45815</c:v>
                </c:pt>
                <c:pt idx="128">
                  <c:v>45845</c:v>
                </c:pt>
                <c:pt idx="129">
                  <c:v>45875</c:v>
                </c:pt>
                <c:pt idx="130">
                  <c:v>45905</c:v>
                </c:pt>
                <c:pt idx="131">
                  <c:v>45935</c:v>
                </c:pt>
                <c:pt idx="132">
                  <c:v>45965</c:v>
                </c:pt>
                <c:pt idx="133">
                  <c:v>45995</c:v>
                </c:pt>
                <c:pt idx="134">
                  <c:v>46025</c:v>
                </c:pt>
                <c:pt idx="135">
                  <c:v>46055</c:v>
                </c:pt>
                <c:pt idx="136">
                  <c:v>46085</c:v>
                </c:pt>
                <c:pt idx="137">
                  <c:v>46115</c:v>
                </c:pt>
                <c:pt idx="138">
                  <c:v>46145</c:v>
                </c:pt>
                <c:pt idx="139">
                  <c:v>46175</c:v>
                </c:pt>
                <c:pt idx="140">
                  <c:v>46205</c:v>
                </c:pt>
                <c:pt idx="141">
                  <c:v>46235</c:v>
                </c:pt>
                <c:pt idx="142">
                  <c:v>46265</c:v>
                </c:pt>
                <c:pt idx="143">
                  <c:v>46295</c:v>
                </c:pt>
                <c:pt idx="144">
                  <c:v>46325</c:v>
                </c:pt>
                <c:pt idx="145">
                  <c:v>46355</c:v>
                </c:pt>
                <c:pt idx="146">
                  <c:v>46385</c:v>
                </c:pt>
                <c:pt idx="147">
                  <c:v>46415</c:v>
                </c:pt>
                <c:pt idx="148">
                  <c:v>46445</c:v>
                </c:pt>
                <c:pt idx="149">
                  <c:v>46475</c:v>
                </c:pt>
                <c:pt idx="150">
                  <c:v>46505</c:v>
                </c:pt>
                <c:pt idx="151">
                  <c:v>46535</c:v>
                </c:pt>
                <c:pt idx="152">
                  <c:v>46565</c:v>
                </c:pt>
                <c:pt idx="153">
                  <c:v>46595</c:v>
                </c:pt>
                <c:pt idx="154">
                  <c:v>46625</c:v>
                </c:pt>
                <c:pt idx="155">
                  <c:v>46655</c:v>
                </c:pt>
                <c:pt idx="156">
                  <c:v>46685</c:v>
                </c:pt>
                <c:pt idx="157">
                  <c:v>46715</c:v>
                </c:pt>
                <c:pt idx="158">
                  <c:v>46745</c:v>
                </c:pt>
                <c:pt idx="159">
                  <c:v>46775</c:v>
                </c:pt>
                <c:pt idx="160">
                  <c:v>46805</c:v>
                </c:pt>
                <c:pt idx="161">
                  <c:v>46835</c:v>
                </c:pt>
                <c:pt idx="162">
                  <c:v>46865</c:v>
                </c:pt>
                <c:pt idx="163">
                  <c:v>46895</c:v>
                </c:pt>
                <c:pt idx="164">
                  <c:v>46925</c:v>
                </c:pt>
                <c:pt idx="165">
                  <c:v>46955</c:v>
                </c:pt>
                <c:pt idx="166">
                  <c:v>46985</c:v>
                </c:pt>
                <c:pt idx="167">
                  <c:v>47015</c:v>
                </c:pt>
                <c:pt idx="168">
                  <c:v>47045</c:v>
                </c:pt>
                <c:pt idx="169">
                  <c:v>47075</c:v>
                </c:pt>
                <c:pt idx="170">
                  <c:v>47105</c:v>
                </c:pt>
                <c:pt idx="171">
                  <c:v>47135</c:v>
                </c:pt>
                <c:pt idx="172">
                  <c:v>47165</c:v>
                </c:pt>
                <c:pt idx="173">
                  <c:v>47195</c:v>
                </c:pt>
                <c:pt idx="174">
                  <c:v>47225</c:v>
                </c:pt>
                <c:pt idx="175">
                  <c:v>47255</c:v>
                </c:pt>
                <c:pt idx="176">
                  <c:v>47285</c:v>
                </c:pt>
                <c:pt idx="177">
                  <c:v>47315</c:v>
                </c:pt>
                <c:pt idx="178">
                  <c:v>47345</c:v>
                </c:pt>
                <c:pt idx="179">
                  <c:v>47375</c:v>
                </c:pt>
                <c:pt idx="180">
                  <c:v>47405</c:v>
                </c:pt>
                <c:pt idx="181">
                  <c:v>47435</c:v>
                </c:pt>
                <c:pt idx="182">
                  <c:v>47465</c:v>
                </c:pt>
                <c:pt idx="183">
                  <c:v>47495</c:v>
                </c:pt>
                <c:pt idx="184">
                  <c:v>47525</c:v>
                </c:pt>
                <c:pt idx="185">
                  <c:v>47555</c:v>
                </c:pt>
                <c:pt idx="186">
                  <c:v>47585</c:v>
                </c:pt>
                <c:pt idx="187">
                  <c:v>47615</c:v>
                </c:pt>
                <c:pt idx="188">
                  <c:v>47645</c:v>
                </c:pt>
                <c:pt idx="189">
                  <c:v>47675</c:v>
                </c:pt>
                <c:pt idx="190">
                  <c:v>47705</c:v>
                </c:pt>
                <c:pt idx="191">
                  <c:v>47735</c:v>
                </c:pt>
                <c:pt idx="192">
                  <c:v>47765</c:v>
                </c:pt>
                <c:pt idx="193">
                  <c:v>47795</c:v>
                </c:pt>
                <c:pt idx="194">
                  <c:v>47825</c:v>
                </c:pt>
                <c:pt idx="195">
                  <c:v>47855</c:v>
                </c:pt>
                <c:pt idx="196">
                  <c:v>47885</c:v>
                </c:pt>
                <c:pt idx="197">
                  <c:v>47915</c:v>
                </c:pt>
                <c:pt idx="198">
                  <c:v>47945</c:v>
                </c:pt>
                <c:pt idx="199">
                  <c:v>47975</c:v>
                </c:pt>
                <c:pt idx="200">
                  <c:v>48005</c:v>
                </c:pt>
                <c:pt idx="201">
                  <c:v>48035</c:v>
                </c:pt>
                <c:pt idx="202">
                  <c:v>48065</c:v>
                </c:pt>
                <c:pt idx="203">
                  <c:v>48095</c:v>
                </c:pt>
                <c:pt idx="204">
                  <c:v>48125</c:v>
                </c:pt>
                <c:pt idx="205">
                  <c:v>48155</c:v>
                </c:pt>
                <c:pt idx="206">
                  <c:v>48185</c:v>
                </c:pt>
                <c:pt idx="207">
                  <c:v>48215</c:v>
                </c:pt>
                <c:pt idx="208">
                  <c:v>48245</c:v>
                </c:pt>
                <c:pt idx="209">
                  <c:v>48275</c:v>
                </c:pt>
                <c:pt idx="210">
                  <c:v>48305</c:v>
                </c:pt>
                <c:pt idx="211">
                  <c:v>48335</c:v>
                </c:pt>
                <c:pt idx="212">
                  <c:v>48365</c:v>
                </c:pt>
                <c:pt idx="213">
                  <c:v>48395</c:v>
                </c:pt>
                <c:pt idx="214">
                  <c:v>48425</c:v>
                </c:pt>
                <c:pt idx="215">
                  <c:v>48455</c:v>
                </c:pt>
                <c:pt idx="216">
                  <c:v>48485</c:v>
                </c:pt>
                <c:pt idx="217">
                  <c:v>48515</c:v>
                </c:pt>
                <c:pt idx="218">
                  <c:v>48545</c:v>
                </c:pt>
                <c:pt idx="219">
                  <c:v>48575</c:v>
                </c:pt>
                <c:pt idx="220">
                  <c:v>48605</c:v>
                </c:pt>
                <c:pt idx="221">
                  <c:v>48635</c:v>
                </c:pt>
                <c:pt idx="222">
                  <c:v>48665</c:v>
                </c:pt>
                <c:pt idx="223">
                  <c:v>48695</c:v>
                </c:pt>
                <c:pt idx="224">
                  <c:v>48725</c:v>
                </c:pt>
                <c:pt idx="225">
                  <c:v>48755</c:v>
                </c:pt>
                <c:pt idx="226">
                  <c:v>48785</c:v>
                </c:pt>
                <c:pt idx="227">
                  <c:v>48815</c:v>
                </c:pt>
                <c:pt idx="228">
                  <c:v>48845</c:v>
                </c:pt>
                <c:pt idx="229">
                  <c:v>48875</c:v>
                </c:pt>
                <c:pt idx="230">
                  <c:v>48905</c:v>
                </c:pt>
                <c:pt idx="231">
                  <c:v>48935</c:v>
                </c:pt>
                <c:pt idx="232">
                  <c:v>48965</c:v>
                </c:pt>
                <c:pt idx="233">
                  <c:v>48995</c:v>
                </c:pt>
                <c:pt idx="234">
                  <c:v>49025</c:v>
                </c:pt>
                <c:pt idx="235">
                  <c:v>49055</c:v>
                </c:pt>
                <c:pt idx="236">
                  <c:v>49085</c:v>
                </c:pt>
                <c:pt idx="237">
                  <c:v>49115</c:v>
                </c:pt>
                <c:pt idx="238">
                  <c:v>49145</c:v>
                </c:pt>
                <c:pt idx="239">
                  <c:v>49175</c:v>
                </c:pt>
                <c:pt idx="240">
                  <c:v>49205</c:v>
                </c:pt>
                <c:pt idx="241">
                  <c:v>49235</c:v>
                </c:pt>
                <c:pt idx="242">
                  <c:v>49265</c:v>
                </c:pt>
                <c:pt idx="243">
                  <c:v>49295</c:v>
                </c:pt>
                <c:pt idx="244">
                  <c:v>49325</c:v>
                </c:pt>
                <c:pt idx="245">
                  <c:v>49355</c:v>
                </c:pt>
                <c:pt idx="246">
                  <c:v>49385</c:v>
                </c:pt>
                <c:pt idx="247">
                  <c:v>49415</c:v>
                </c:pt>
                <c:pt idx="248">
                  <c:v>49445</c:v>
                </c:pt>
                <c:pt idx="249">
                  <c:v>49475</c:v>
                </c:pt>
                <c:pt idx="250">
                  <c:v>49505</c:v>
                </c:pt>
                <c:pt idx="251">
                  <c:v>49535</c:v>
                </c:pt>
                <c:pt idx="252">
                  <c:v>49565</c:v>
                </c:pt>
                <c:pt idx="253">
                  <c:v>49595</c:v>
                </c:pt>
                <c:pt idx="254">
                  <c:v>49625</c:v>
                </c:pt>
                <c:pt idx="255">
                  <c:v>49655</c:v>
                </c:pt>
                <c:pt idx="256">
                  <c:v>49685</c:v>
                </c:pt>
                <c:pt idx="257">
                  <c:v>49715</c:v>
                </c:pt>
                <c:pt idx="258">
                  <c:v>49745</c:v>
                </c:pt>
                <c:pt idx="259">
                  <c:v>49775</c:v>
                </c:pt>
                <c:pt idx="260">
                  <c:v>49805</c:v>
                </c:pt>
                <c:pt idx="261">
                  <c:v>49835</c:v>
                </c:pt>
                <c:pt idx="262">
                  <c:v>49865</c:v>
                </c:pt>
                <c:pt idx="263">
                  <c:v>49895</c:v>
                </c:pt>
                <c:pt idx="264">
                  <c:v>49925</c:v>
                </c:pt>
                <c:pt idx="265">
                  <c:v>49955</c:v>
                </c:pt>
                <c:pt idx="266">
                  <c:v>49985</c:v>
                </c:pt>
                <c:pt idx="267">
                  <c:v>50015</c:v>
                </c:pt>
                <c:pt idx="268">
                  <c:v>50045</c:v>
                </c:pt>
                <c:pt idx="269">
                  <c:v>50075</c:v>
                </c:pt>
                <c:pt idx="270">
                  <c:v>50105</c:v>
                </c:pt>
                <c:pt idx="271">
                  <c:v>50135</c:v>
                </c:pt>
                <c:pt idx="272">
                  <c:v>50165</c:v>
                </c:pt>
                <c:pt idx="273">
                  <c:v>50195</c:v>
                </c:pt>
                <c:pt idx="274">
                  <c:v>50225</c:v>
                </c:pt>
                <c:pt idx="275">
                  <c:v>50255</c:v>
                </c:pt>
                <c:pt idx="276">
                  <c:v>50285</c:v>
                </c:pt>
                <c:pt idx="277">
                  <c:v>50315</c:v>
                </c:pt>
                <c:pt idx="278">
                  <c:v>50345</c:v>
                </c:pt>
                <c:pt idx="279">
                  <c:v>50375</c:v>
                </c:pt>
                <c:pt idx="280">
                  <c:v>50405</c:v>
                </c:pt>
                <c:pt idx="281">
                  <c:v>50435</c:v>
                </c:pt>
                <c:pt idx="282">
                  <c:v>50465</c:v>
                </c:pt>
                <c:pt idx="283">
                  <c:v>50495</c:v>
                </c:pt>
                <c:pt idx="284">
                  <c:v>50525</c:v>
                </c:pt>
                <c:pt idx="285">
                  <c:v>50555</c:v>
                </c:pt>
                <c:pt idx="286">
                  <c:v>50585</c:v>
                </c:pt>
                <c:pt idx="287">
                  <c:v>50615</c:v>
                </c:pt>
                <c:pt idx="288">
                  <c:v>50645</c:v>
                </c:pt>
                <c:pt idx="289">
                  <c:v>50675</c:v>
                </c:pt>
                <c:pt idx="290">
                  <c:v>50705</c:v>
                </c:pt>
                <c:pt idx="291">
                  <c:v>50735</c:v>
                </c:pt>
                <c:pt idx="292">
                  <c:v>50765</c:v>
                </c:pt>
                <c:pt idx="293">
                  <c:v>50795</c:v>
                </c:pt>
                <c:pt idx="294">
                  <c:v>50825</c:v>
                </c:pt>
                <c:pt idx="295">
                  <c:v>50855</c:v>
                </c:pt>
                <c:pt idx="296">
                  <c:v>50885</c:v>
                </c:pt>
                <c:pt idx="297">
                  <c:v>50915</c:v>
                </c:pt>
                <c:pt idx="298">
                  <c:v>50945</c:v>
                </c:pt>
                <c:pt idx="299">
                  <c:v>50975</c:v>
                </c:pt>
                <c:pt idx="300">
                  <c:v>51005</c:v>
                </c:pt>
                <c:pt idx="301">
                  <c:v>51035</c:v>
                </c:pt>
                <c:pt idx="302">
                  <c:v>51065</c:v>
                </c:pt>
                <c:pt idx="303">
                  <c:v>51095</c:v>
                </c:pt>
                <c:pt idx="304">
                  <c:v>51125</c:v>
                </c:pt>
                <c:pt idx="305">
                  <c:v>51155</c:v>
                </c:pt>
                <c:pt idx="306">
                  <c:v>51185</c:v>
                </c:pt>
                <c:pt idx="307">
                  <c:v>51215</c:v>
                </c:pt>
                <c:pt idx="308">
                  <c:v>51245</c:v>
                </c:pt>
                <c:pt idx="309">
                  <c:v>51275</c:v>
                </c:pt>
                <c:pt idx="310">
                  <c:v>51305</c:v>
                </c:pt>
                <c:pt idx="311">
                  <c:v>51335</c:v>
                </c:pt>
                <c:pt idx="312">
                  <c:v>51365</c:v>
                </c:pt>
                <c:pt idx="313">
                  <c:v>51395</c:v>
                </c:pt>
                <c:pt idx="314">
                  <c:v>51425</c:v>
                </c:pt>
                <c:pt idx="315">
                  <c:v>51455</c:v>
                </c:pt>
                <c:pt idx="316">
                  <c:v>51485</c:v>
                </c:pt>
                <c:pt idx="317">
                  <c:v>51515</c:v>
                </c:pt>
                <c:pt idx="318">
                  <c:v>51545</c:v>
                </c:pt>
                <c:pt idx="319">
                  <c:v>51575</c:v>
                </c:pt>
                <c:pt idx="320">
                  <c:v>51605</c:v>
                </c:pt>
                <c:pt idx="321">
                  <c:v>51635</c:v>
                </c:pt>
                <c:pt idx="322">
                  <c:v>51665</c:v>
                </c:pt>
                <c:pt idx="323">
                  <c:v>51695</c:v>
                </c:pt>
                <c:pt idx="324">
                  <c:v>51725</c:v>
                </c:pt>
                <c:pt idx="325">
                  <c:v>51755</c:v>
                </c:pt>
                <c:pt idx="326">
                  <c:v>51785</c:v>
                </c:pt>
                <c:pt idx="327">
                  <c:v>51815</c:v>
                </c:pt>
                <c:pt idx="328">
                  <c:v>51845</c:v>
                </c:pt>
                <c:pt idx="329">
                  <c:v>51875</c:v>
                </c:pt>
                <c:pt idx="330">
                  <c:v>51905</c:v>
                </c:pt>
                <c:pt idx="331">
                  <c:v>51935</c:v>
                </c:pt>
                <c:pt idx="332">
                  <c:v>51965</c:v>
                </c:pt>
                <c:pt idx="333">
                  <c:v>51995</c:v>
                </c:pt>
                <c:pt idx="334">
                  <c:v>52025</c:v>
                </c:pt>
                <c:pt idx="335">
                  <c:v>52055</c:v>
                </c:pt>
                <c:pt idx="336">
                  <c:v>52085</c:v>
                </c:pt>
                <c:pt idx="337">
                  <c:v>52115</c:v>
                </c:pt>
                <c:pt idx="338">
                  <c:v>52145</c:v>
                </c:pt>
                <c:pt idx="339">
                  <c:v>52175</c:v>
                </c:pt>
                <c:pt idx="340">
                  <c:v>52205</c:v>
                </c:pt>
                <c:pt idx="341">
                  <c:v>52235</c:v>
                </c:pt>
                <c:pt idx="342">
                  <c:v>52265</c:v>
                </c:pt>
                <c:pt idx="343">
                  <c:v>52295</c:v>
                </c:pt>
                <c:pt idx="344">
                  <c:v>52325</c:v>
                </c:pt>
                <c:pt idx="345">
                  <c:v>52355</c:v>
                </c:pt>
                <c:pt idx="346">
                  <c:v>52385</c:v>
                </c:pt>
                <c:pt idx="347">
                  <c:v>52415</c:v>
                </c:pt>
                <c:pt idx="348">
                  <c:v>52445</c:v>
                </c:pt>
                <c:pt idx="349">
                  <c:v>52475</c:v>
                </c:pt>
                <c:pt idx="350">
                  <c:v>52505</c:v>
                </c:pt>
                <c:pt idx="351">
                  <c:v>52535</c:v>
                </c:pt>
                <c:pt idx="352">
                  <c:v>52565</c:v>
                </c:pt>
                <c:pt idx="353">
                  <c:v>52595</c:v>
                </c:pt>
                <c:pt idx="354">
                  <c:v>52625</c:v>
                </c:pt>
                <c:pt idx="355">
                  <c:v>52655</c:v>
                </c:pt>
                <c:pt idx="356">
                  <c:v>52685</c:v>
                </c:pt>
                <c:pt idx="357">
                  <c:v>52715</c:v>
                </c:pt>
                <c:pt idx="358">
                  <c:v>52745</c:v>
                </c:pt>
                <c:pt idx="359">
                  <c:v>52775</c:v>
                </c:pt>
                <c:pt idx="360">
                  <c:v>52805</c:v>
                </c:pt>
                <c:pt idx="361">
                  <c:v>52835</c:v>
                </c:pt>
                <c:pt idx="362">
                  <c:v>52865</c:v>
                </c:pt>
                <c:pt idx="363">
                  <c:v>52895</c:v>
                </c:pt>
                <c:pt idx="364">
                  <c:v>52925</c:v>
                </c:pt>
                <c:pt idx="365">
                  <c:v>52955</c:v>
                </c:pt>
                <c:pt idx="366">
                  <c:v>52985</c:v>
                </c:pt>
                <c:pt idx="367">
                  <c:v>53015</c:v>
                </c:pt>
                <c:pt idx="368">
                  <c:v>53045</c:v>
                </c:pt>
                <c:pt idx="369">
                  <c:v>53075</c:v>
                </c:pt>
                <c:pt idx="370">
                  <c:v>53105</c:v>
                </c:pt>
                <c:pt idx="371">
                  <c:v>53135</c:v>
                </c:pt>
                <c:pt idx="372">
                  <c:v>53165</c:v>
                </c:pt>
                <c:pt idx="373">
                  <c:v>53195</c:v>
                </c:pt>
                <c:pt idx="374">
                  <c:v>53225</c:v>
                </c:pt>
                <c:pt idx="375">
                  <c:v>53255</c:v>
                </c:pt>
                <c:pt idx="376">
                  <c:v>53285</c:v>
                </c:pt>
                <c:pt idx="377">
                  <c:v>53315</c:v>
                </c:pt>
                <c:pt idx="378">
                  <c:v>53345</c:v>
                </c:pt>
                <c:pt idx="379">
                  <c:v>53375</c:v>
                </c:pt>
                <c:pt idx="380">
                  <c:v>53405</c:v>
                </c:pt>
                <c:pt idx="381">
                  <c:v>53435</c:v>
                </c:pt>
                <c:pt idx="382">
                  <c:v>53465</c:v>
                </c:pt>
                <c:pt idx="383">
                  <c:v>53495</c:v>
                </c:pt>
                <c:pt idx="384">
                  <c:v>53525</c:v>
                </c:pt>
                <c:pt idx="385">
                  <c:v>53555</c:v>
                </c:pt>
                <c:pt idx="386">
                  <c:v>53585</c:v>
                </c:pt>
                <c:pt idx="387">
                  <c:v>53615</c:v>
                </c:pt>
                <c:pt idx="388">
                  <c:v>53645</c:v>
                </c:pt>
                <c:pt idx="389">
                  <c:v>53675</c:v>
                </c:pt>
                <c:pt idx="390">
                  <c:v>53705</c:v>
                </c:pt>
                <c:pt idx="391">
                  <c:v>53735</c:v>
                </c:pt>
                <c:pt idx="392">
                  <c:v>53765</c:v>
                </c:pt>
                <c:pt idx="393">
                  <c:v>53795</c:v>
                </c:pt>
                <c:pt idx="394">
                  <c:v>53825</c:v>
                </c:pt>
                <c:pt idx="395">
                  <c:v>53855</c:v>
                </c:pt>
                <c:pt idx="396">
                  <c:v>53885</c:v>
                </c:pt>
                <c:pt idx="397">
                  <c:v>53915</c:v>
                </c:pt>
                <c:pt idx="398">
                  <c:v>53945</c:v>
                </c:pt>
                <c:pt idx="399">
                  <c:v>53975</c:v>
                </c:pt>
                <c:pt idx="400">
                  <c:v>54005</c:v>
                </c:pt>
                <c:pt idx="401">
                  <c:v>54035</c:v>
                </c:pt>
                <c:pt idx="402">
                  <c:v>54065</c:v>
                </c:pt>
                <c:pt idx="403">
                  <c:v>54095</c:v>
                </c:pt>
                <c:pt idx="404">
                  <c:v>54125</c:v>
                </c:pt>
                <c:pt idx="405">
                  <c:v>54155</c:v>
                </c:pt>
                <c:pt idx="406">
                  <c:v>54185</c:v>
                </c:pt>
                <c:pt idx="407">
                  <c:v>54215</c:v>
                </c:pt>
                <c:pt idx="408">
                  <c:v>54245</c:v>
                </c:pt>
                <c:pt idx="409">
                  <c:v>54275</c:v>
                </c:pt>
                <c:pt idx="410">
                  <c:v>54305</c:v>
                </c:pt>
                <c:pt idx="411">
                  <c:v>54335</c:v>
                </c:pt>
                <c:pt idx="412">
                  <c:v>54365</c:v>
                </c:pt>
                <c:pt idx="413">
                  <c:v>54395</c:v>
                </c:pt>
                <c:pt idx="414">
                  <c:v>54425</c:v>
                </c:pt>
                <c:pt idx="415">
                  <c:v>54455</c:v>
                </c:pt>
                <c:pt idx="416">
                  <c:v>54485</c:v>
                </c:pt>
                <c:pt idx="417">
                  <c:v>54515</c:v>
                </c:pt>
                <c:pt idx="418">
                  <c:v>54545</c:v>
                </c:pt>
                <c:pt idx="419">
                  <c:v>54575</c:v>
                </c:pt>
                <c:pt idx="420">
                  <c:v>54605</c:v>
                </c:pt>
                <c:pt idx="421">
                  <c:v>54635</c:v>
                </c:pt>
                <c:pt idx="422">
                  <c:v>54665</c:v>
                </c:pt>
                <c:pt idx="423">
                  <c:v>54695</c:v>
                </c:pt>
                <c:pt idx="424">
                  <c:v>54725</c:v>
                </c:pt>
                <c:pt idx="425">
                  <c:v>54755</c:v>
                </c:pt>
                <c:pt idx="426">
                  <c:v>54785</c:v>
                </c:pt>
                <c:pt idx="427">
                  <c:v>54815</c:v>
                </c:pt>
                <c:pt idx="428">
                  <c:v>54845</c:v>
                </c:pt>
                <c:pt idx="429">
                  <c:v>54875</c:v>
                </c:pt>
                <c:pt idx="430">
                  <c:v>54905</c:v>
                </c:pt>
                <c:pt idx="431">
                  <c:v>54935</c:v>
                </c:pt>
                <c:pt idx="432">
                  <c:v>54965</c:v>
                </c:pt>
                <c:pt idx="433">
                  <c:v>54995</c:v>
                </c:pt>
                <c:pt idx="434">
                  <c:v>55025</c:v>
                </c:pt>
                <c:pt idx="435">
                  <c:v>55055</c:v>
                </c:pt>
                <c:pt idx="436">
                  <c:v>55085</c:v>
                </c:pt>
                <c:pt idx="437">
                  <c:v>55115</c:v>
                </c:pt>
                <c:pt idx="438">
                  <c:v>55145</c:v>
                </c:pt>
                <c:pt idx="439">
                  <c:v>55175</c:v>
                </c:pt>
                <c:pt idx="440">
                  <c:v>55205</c:v>
                </c:pt>
                <c:pt idx="441">
                  <c:v>55235</c:v>
                </c:pt>
                <c:pt idx="442">
                  <c:v>55265</c:v>
                </c:pt>
                <c:pt idx="443">
                  <c:v>55295</c:v>
                </c:pt>
                <c:pt idx="444">
                  <c:v>55325</c:v>
                </c:pt>
                <c:pt idx="445">
                  <c:v>55355</c:v>
                </c:pt>
                <c:pt idx="446">
                  <c:v>55385</c:v>
                </c:pt>
                <c:pt idx="447">
                  <c:v>55415</c:v>
                </c:pt>
                <c:pt idx="448">
                  <c:v>55445</c:v>
                </c:pt>
                <c:pt idx="449">
                  <c:v>55475</c:v>
                </c:pt>
                <c:pt idx="450">
                  <c:v>55505</c:v>
                </c:pt>
                <c:pt idx="451">
                  <c:v>55535</c:v>
                </c:pt>
                <c:pt idx="452">
                  <c:v>55565</c:v>
                </c:pt>
                <c:pt idx="453">
                  <c:v>55595</c:v>
                </c:pt>
                <c:pt idx="454">
                  <c:v>55625</c:v>
                </c:pt>
                <c:pt idx="455">
                  <c:v>55655</c:v>
                </c:pt>
                <c:pt idx="456">
                  <c:v>55685</c:v>
                </c:pt>
                <c:pt idx="457">
                  <c:v>55715</c:v>
                </c:pt>
                <c:pt idx="458">
                  <c:v>55745</c:v>
                </c:pt>
                <c:pt idx="459">
                  <c:v>55775</c:v>
                </c:pt>
                <c:pt idx="460">
                  <c:v>55805</c:v>
                </c:pt>
                <c:pt idx="461">
                  <c:v>55835</c:v>
                </c:pt>
                <c:pt idx="462">
                  <c:v>55865</c:v>
                </c:pt>
                <c:pt idx="463">
                  <c:v>55895</c:v>
                </c:pt>
                <c:pt idx="464">
                  <c:v>55925</c:v>
                </c:pt>
                <c:pt idx="465">
                  <c:v>55955</c:v>
                </c:pt>
                <c:pt idx="466">
                  <c:v>55985</c:v>
                </c:pt>
                <c:pt idx="467">
                  <c:v>56015</c:v>
                </c:pt>
                <c:pt idx="468">
                  <c:v>56045</c:v>
                </c:pt>
                <c:pt idx="469">
                  <c:v>56075</c:v>
                </c:pt>
                <c:pt idx="470">
                  <c:v>56105</c:v>
                </c:pt>
                <c:pt idx="471">
                  <c:v>56135</c:v>
                </c:pt>
                <c:pt idx="472">
                  <c:v>56165</c:v>
                </c:pt>
                <c:pt idx="473">
                  <c:v>56195</c:v>
                </c:pt>
                <c:pt idx="474">
                  <c:v>56225</c:v>
                </c:pt>
                <c:pt idx="475">
                  <c:v>56255</c:v>
                </c:pt>
                <c:pt idx="476">
                  <c:v>56285</c:v>
                </c:pt>
                <c:pt idx="477">
                  <c:v>56315</c:v>
                </c:pt>
                <c:pt idx="478">
                  <c:v>56345</c:v>
                </c:pt>
                <c:pt idx="479">
                  <c:v>56375</c:v>
                </c:pt>
                <c:pt idx="480">
                  <c:v>56405</c:v>
                </c:pt>
                <c:pt idx="481">
                  <c:v>56435</c:v>
                </c:pt>
                <c:pt idx="482">
                  <c:v>56465</c:v>
                </c:pt>
                <c:pt idx="483">
                  <c:v>56495</c:v>
                </c:pt>
                <c:pt idx="484">
                  <c:v>56525</c:v>
                </c:pt>
                <c:pt idx="485">
                  <c:v>56555</c:v>
                </c:pt>
                <c:pt idx="486">
                  <c:v>56585</c:v>
                </c:pt>
                <c:pt idx="487">
                  <c:v>56615</c:v>
                </c:pt>
                <c:pt idx="488">
                  <c:v>56645</c:v>
                </c:pt>
                <c:pt idx="489">
                  <c:v>56675</c:v>
                </c:pt>
                <c:pt idx="490">
                  <c:v>56705</c:v>
                </c:pt>
                <c:pt idx="491">
                  <c:v>56735</c:v>
                </c:pt>
                <c:pt idx="492">
                  <c:v>56765</c:v>
                </c:pt>
                <c:pt idx="493">
                  <c:v>56795</c:v>
                </c:pt>
                <c:pt idx="494">
                  <c:v>56825</c:v>
                </c:pt>
                <c:pt idx="495">
                  <c:v>56855</c:v>
                </c:pt>
                <c:pt idx="496">
                  <c:v>56885</c:v>
                </c:pt>
                <c:pt idx="497">
                  <c:v>56915</c:v>
                </c:pt>
                <c:pt idx="498">
                  <c:v>56945</c:v>
                </c:pt>
                <c:pt idx="499">
                  <c:v>56975</c:v>
                </c:pt>
                <c:pt idx="500">
                  <c:v>57005</c:v>
                </c:pt>
                <c:pt idx="501">
                  <c:v>57035</c:v>
                </c:pt>
                <c:pt idx="502">
                  <c:v>57065</c:v>
                </c:pt>
                <c:pt idx="503">
                  <c:v>57095</c:v>
                </c:pt>
                <c:pt idx="504">
                  <c:v>57125</c:v>
                </c:pt>
                <c:pt idx="505">
                  <c:v>57155</c:v>
                </c:pt>
                <c:pt idx="506">
                  <c:v>57185</c:v>
                </c:pt>
                <c:pt idx="507">
                  <c:v>57215</c:v>
                </c:pt>
                <c:pt idx="508">
                  <c:v>57245</c:v>
                </c:pt>
                <c:pt idx="509">
                  <c:v>57275</c:v>
                </c:pt>
                <c:pt idx="510">
                  <c:v>57305</c:v>
                </c:pt>
                <c:pt idx="511">
                  <c:v>57335</c:v>
                </c:pt>
                <c:pt idx="512">
                  <c:v>57365</c:v>
                </c:pt>
                <c:pt idx="513">
                  <c:v>57395</c:v>
                </c:pt>
                <c:pt idx="514">
                  <c:v>57425</c:v>
                </c:pt>
                <c:pt idx="515">
                  <c:v>57455</c:v>
                </c:pt>
                <c:pt idx="516">
                  <c:v>57485</c:v>
                </c:pt>
                <c:pt idx="517">
                  <c:v>57515</c:v>
                </c:pt>
                <c:pt idx="518">
                  <c:v>57545</c:v>
                </c:pt>
                <c:pt idx="519">
                  <c:v>57575</c:v>
                </c:pt>
                <c:pt idx="520">
                  <c:v>57605</c:v>
                </c:pt>
                <c:pt idx="521">
                  <c:v>57635</c:v>
                </c:pt>
                <c:pt idx="522">
                  <c:v>57665</c:v>
                </c:pt>
                <c:pt idx="523">
                  <c:v>57695</c:v>
                </c:pt>
                <c:pt idx="524">
                  <c:v>57725</c:v>
                </c:pt>
                <c:pt idx="525">
                  <c:v>57755</c:v>
                </c:pt>
                <c:pt idx="526">
                  <c:v>57785</c:v>
                </c:pt>
                <c:pt idx="527">
                  <c:v>57815</c:v>
                </c:pt>
                <c:pt idx="528">
                  <c:v>57845</c:v>
                </c:pt>
                <c:pt idx="529">
                  <c:v>57875</c:v>
                </c:pt>
                <c:pt idx="530">
                  <c:v>57905</c:v>
                </c:pt>
                <c:pt idx="531">
                  <c:v>57935</c:v>
                </c:pt>
                <c:pt idx="532">
                  <c:v>57965</c:v>
                </c:pt>
                <c:pt idx="533">
                  <c:v>57995</c:v>
                </c:pt>
                <c:pt idx="534">
                  <c:v>58025</c:v>
                </c:pt>
                <c:pt idx="535">
                  <c:v>58055</c:v>
                </c:pt>
                <c:pt idx="536">
                  <c:v>58085</c:v>
                </c:pt>
                <c:pt idx="537">
                  <c:v>58115</c:v>
                </c:pt>
                <c:pt idx="538">
                  <c:v>58145</c:v>
                </c:pt>
                <c:pt idx="539">
                  <c:v>58175</c:v>
                </c:pt>
                <c:pt idx="540">
                  <c:v>58205</c:v>
                </c:pt>
                <c:pt idx="541">
                  <c:v>58235</c:v>
                </c:pt>
                <c:pt idx="542">
                  <c:v>58265</c:v>
                </c:pt>
                <c:pt idx="543">
                  <c:v>58295</c:v>
                </c:pt>
                <c:pt idx="544">
                  <c:v>58325</c:v>
                </c:pt>
                <c:pt idx="545">
                  <c:v>58355</c:v>
                </c:pt>
                <c:pt idx="546">
                  <c:v>58385</c:v>
                </c:pt>
                <c:pt idx="547">
                  <c:v>58415</c:v>
                </c:pt>
                <c:pt idx="548">
                  <c:v>58445</c:v>
                </c:pt>
                <c:pt idx="549">
                  <c:v>58475</c:v>
                </c:pt>
                <c:pt idx="550">
                  <c:v>58505</c:v>
                </c:pt>
                <c:pt idx="551">
                  <c:v>58535</c:v>
                </c:pt>
                <c:pt idx="552">
                  <c:v>58565</c:v>
                </c:pt>
                <c:pt idx="553">
                  <c:v>58595</c:v>
                </c:pt>
                <c:pt idx="554">
                  <c:v>58625</c:v>
                </c:pt>
                <c:pt idx="555">
                  <c:v>58655</c:v>
                </c:pt>
                <c:pt idx="556">
                  <c:v>58685</c:v>
                </c:pt>
                <c:pt idx="557">
                  <c:v>58715</c:v>
                </c:pt>
                <c:pt idx="558">
                  <c:v>58745</c:v>
                </c:pt>
                <c:pt idx="559">
                  <c:v>58775</c:v>
                </c:pt>
                <c:pt idx="560">
                  <c:v>58805</c:v>
                </c:pt>
                <c:pt idx="561">
                  <c:v>58835</c:v>
                </c:pt>
                <c:pt idx="562">
                  <c:v>58865</c:v>
                </c:pt>
                <c:pt idx="563">
                  <c:v>58895</c:v>
                </c:pt>
                <c:pt idx="564">
                  <c:v>58925</c:v>
                </c:pt>
                <c:pt idx="565">
                  <c:v>58955</c:v>
                </c:pt>
                <c:pt idx="566">
                  <c:v>58985</c:v>
                </c:pt>
                <c:pt idx="567">
                  <c:v>59015</c:v>
                </c:pt>
                <c:pt idx="568">
                  <c:v>59045</c:v>
                </c:pt>
                <c:pt idx="569">
                  <c:v>59075</c:v>
                </c:pt>
                <c:pt idx="570">
                  <c:v>59105</c:v>
                </c:pt>
                <c:pt idx="571">
                  <c:v>59135</c:v>
                </c:pt>
                <c:pt idx="572">
                  <c:v>59165</c:v>
                </c:pt>
                <c:pt idx="573">
                  <c:v>59195</c:v>
                </c:pt>
                <c:pt idx="574">
                  <c:v>59225</c:v>
                </c:pt>
                <c:pt idx="575">
                  <c:v>59255</c:v>
                </c:pt>
                <c:pt idx="576">
                  <c:v>59285</c:v>
                </c:pt>
                <c:pt idx="577">
                  <c:v>59315</c:v>
                </c:pt>
                <c:pt idx="578">
                  <c:v>59345</c:v>
                </c:pt>
                <c:pt idx="579">
                  <c:v>59375</c:v>
                </c:pt>
                <c:pt idx="580">
                  <c:v>59405</c:v>
                </c:pt>
                <c:pt idx="581">
                  <c:v>59435</c:v>
                </c:pt>
                <c:pt idx="582">
                  <c:v>59465</c:v>
                </c:pt>
                <c:pt idx="583">
                  <c:v>59495</c:v>
                </c:pt>
                <c:pt idx="584">
                  <c:v>59525</c:v>
                </c:pt>
                <c:pt idx="585">
                  <c:v>59555</c:v>
                </c:pt>
                <c:pt idx="586">
                  <c:v>59585</c:v>
                </c:pt>
                <c:pt idx="587">
                  <c:v>59615</c:v>
                </c:pt>
                <c:pt idx="588">
                  <c:v>59645</c:v>
                </c:pt>
                <c:pt idx="589">
                  <c:v>59675</c:v>
                </c:pt>
                <c:pt idx="590">
                  <c:v>59705</c:v>
                </c:pt>
                <c:pt idx="591">
                  <c:v>59735</c:v>
                </c:pt>
                <c:pt idx="592">
                  <c:v>59765</c:v>
                </c:pt>
                <c:pt idx="593">
                  <c:v>59795</c:v>
                </c:pt>
                <c:pt idx="594">
                  <c:v>59825</c:v>
                </c:pt>
                <c:pt idx="595">
                  <c:v>59855</c:v>
                </c:pt>
                <c:pt idx="596">
                  <c:v>59885</c:v>
                </c:pt>
                <c:pt idx="597">
                  <c:v>59915</c:v>
                </c:pt>
                <c:pt idx="598">
                  <c:v>59945</c:v>
                </c:pt>
                <c:pt idx="599">
                  <c:v>59975</c:v>
                </c:pt>
                <c:pt idx="600">
                  <c:v>60005</c:v>
                </c:pt>
                <c:pt idx="601">
                  <c:v>60035</c:v>
                </c:pt>
                <c:pt idx="602">
                  <c:v>60065</c:v>
                </c:pt>
                <c:pt idx="603">
                  <c:v>60095</c:v>
                </c:pt>
                <c:pt idx="604">
                  <c:v>60125</c:v>
                </c:pt>
                <c:pt idx="605">
                  <c:v>60155</c:v>
                </c:pt>
                <c:pt idx="606">
                  <c:v>60185</c:v>
                </c:pt>
                <c:pt idx="607">
                  <c:v>60215</c:v>
                </c:pt>
                <c:pt idx="608">
                  <c:v>60245</c:v>
                </c:pt>
                <c:pt idx="609">
                  <c:v>60275</c:v>
                </c:pt>
                <c:pt idx="610">
                  <c:v>60305</c:v>
                </c:pt>
                <c:pt idx="611">
                  <c:v>60335</c:v>
                </c:pt>
                <c:pt idx="612">
                  <c:v>60365</c:v>
                </c:pt>
                <c:pt idx="613">
                  <c:v>60395</c:v>
                </c:pt>
                <c:pt idx="614">
                  <c:v>60425</c:v>
                </c:pt>
                <c:pt idx="615">
                  <c:v>60455</c:v>
                </c:pt>
                <c:pt idx="616">
                  <c:v>60485</c:v>
                </c:pt>
                <c:pt idx="617">
                  <c:v>60515</c:v>
                </c:pt>
                <c:pt idx="618">
                  <c:v>60545</c:v>
                </c:pt>
                <c:pt idx="619">
                  <c:v>60575</c:v>
                </c:pt>
                <c:pt idx="620">
                  <c:v>60605</c:v>
                </c:pt>
                <c:pt idx="621">
                  <c:v>60635</c:v>
                </c:pt>
                <c:pt idx="622">
                  <c:v>60665</c:v>
                </c:pt>
                <c:pt idx="623">
                  <c:v>60695</c:v>
                </c:pt>
                <c:pt idx="624">
                  <c:v>60725</c:v>
                </c:pt>
                <c:pt idx="625">
                  <c:v>60755</c:v>
                </c:pt>
                <c:pt idx="626">
                  <c:v>60785</c:v>
                </c:pt>
                <c:pt idx="627">
                  <c:v>60815</c:v>
                </c:pt>
                <c:pt idx="628">
                  <c:v>60845</c:v>
                </c:pt>
                <c:pt idx="629">
                  <c:v>60875</c:v>
                </c:pt>
                <c:pt idx="630">
                  <c:v>60905</c:v>
                </c:pt>
                <c:pt idx="631">
                  <c:v>60935</c:v>
                </c:pt>
                <c:pt idx="632">
                  <c:v>60965</c:v>
                </c:pt>
                <c:pt idx="633">
                  <c:v>60966</c:v>
                </c:pt>
              </c:numCache>
            </c:numRef>
          </c:cat>
          <c:val>
            <c:numRef>
              <c:f>'Demand Forecasting Sheet'!$E$2:$E$635</c:f>
              <c:numCache>
                <c:formatCode>General</c:formatCode>
                <c:ptCount val="634"/>
                <c:pt idx="499" formatCode="0.00">
                  <c:v>95</c:v>
                </c:pt>
                <c:pt idx="500" formatCode="0.00">
                  <c:v>115.50330358432817</c:v>
                </c:pt>
                <c:pt idx="501" formatCode="0.00">
                  <c:v>115.60877361192995</c:v>
                </c:pt>
                <c:pt idx="502" formatCode="0.00">
                  <c:v>115.71577827217398</c:v>
                </c:pt>
                <c:pt idx="503" formatCode="0.00">
                  <c:v>115.82431434978348</c:v>
                </c:pt>
                <c:pt idx="504" formatCode="0.00">
                  <c:v>115.93437835881495</c:v>
                </c:pt>
                <c:pt idx="505" formatCode="0.00">
                  <c:v>116.0459665521001</c:v>
                </c:pt>
                <c:pt idx="506" formatCode="0.00">
                  <c:v>116.15907493067313</c:v>
                </c:pt>
                <c:pt idx="507" formatCode="0.00">
                  <c:v>116.2736992531718</c:v>
                </c:pt>
                <c:pt idx="508" formatCode="0.00">
                  <c:v>116.38983504519403</c:v>
                </c:pt>
                <c:pt idx="509" formatCode="0.00">
                  <c:v>116.5074776085995</c:v>
                </c:pt>
                <c:pt idx="510" formatCode="0.00">
                  <c:v>116.62662203073958</c:v>
                </c:pt>
                <c:pt idx="511" formatCode="0.00">
                  <c:v>116.74726319360664</c:v>
                </c:pt>
                <c:pt idx="512" formatCode="0.00">
                  <c:v>116.86939578288718</c:v>
                </c:pt>
                <c:pt idx="513" formatCode="0.00">
                  <c:v>116.99301429691158</c:v>
                </c:pt>
                <c:pt idx="514" formatCode="0.00">
                  <c:v>117.11811305548632</c:v>
                </c:pt>
                <c:pt idx="515" formatCode="0.00">
                  <c:v>117.24468620860272</c:v>
                </c:pt>
                <c:pt idx="516" formatCode="0.00">
                  <c:v>117.3727277450098</c:v>
                </c:pt>
                <c:pt idx="517" formatCode="0.00">
                  <c:v>117.50223150064676</c:v>
                </c:pt>
                <c:pt idx="518" formatCode="0.00">
                  <c:v>117.63319116692357</c:v>
                </c:pt>
                <c:pt idx="519" formatCode="0.00">
                  <c:v>117.7656002988472</c:v>
                </c:pt>
                <c:pt idx="520" formatCode="0.00">
                  <c:v>117.89945232298328</c:v>
                </c:pt>
                <c:pt idx="521" formatCode="0.00">
                  <c:v>118.03474054525151</c:v>
                </c:pt>
                <c:pt idx="522" formatCode="0.00">
                  <c:v>118.17145815854647</c:v>
                </c:pt>
                <c:pt idx="523" formatCode="0.00">
                  <c:v>118.30959825018323</c:v>
                </c:pt>
                <c:pt idx="524" formatCode="0.00">
                  <c:v>118.44915380916046</c:v>
                </c:pt>
                <c:pt idx="525" formatCode="0.00">
                  <c:v>118.59011773324195</c:v>
                </c:pt>
                <c:pt idx="526" formatCode="0.00">
                  <c:v>118.73248283585005</c:v>
                </c:pt>
                <c:pt idx="527" formatCode="0.00">
                  <c:v>118.87624185277298</c:v>
                </c:pt>
                <c:pt idx="528" formatCode="0.00">
                  <c:v>119.02138744868112</c:v>
                </c:pt>
                <c:pt idx="529" formatCode="0.00">
                  <c:v>119.16791222345446</c:v>
                </c:pt>
                <c:pt idx="530" formatCode="0.00">
                  <c:v>119.31580871831753</c:v>
                </c:pt>
                <c:pt idx="531" formatCode="0.00">
                  <c:v>119.46506942178515</c:v>
                </c:pt>
                <c:pt idx="532" formatCode="0.00">
                  <c:v>119.61568677541587</c:v>
                </c:pt>
                <c:pt idx="533" formatCode="0.00">
                  <c:v>119.76765317937708</c:v>
                </c:pt>
                <c:pt idx="534" formatCode="0.00">
                  <c:v>119.92096099781975</c:v>
                </c:pt>
                <c:pt idx="535" formatCode="0.00">
                  <c:v>120.07560256406722</c:v>
                </c:pt>
                <c:pt idx="536" formatCode="0.00">
                  <c:v>120.23157018561655</c:v>
                </c:pt>
                <c:pt idx="537" formatCode="0.00">
                  <c:v>120.38885614895781</c:v>
                </c:pt>
                <c:pt idx="538" formatCode="0.00">
                  <c:v>120.54745272420999</c:v>
                </c:pt>
                <c:pt idx="539" formatCode="0.00">
                  <c:v>120.70735216957945</c:v>
                </c:pt>
                <c:pt idx="540" formatCode="0.00">
                  <c:v>120.86854673564019</c:v>
                </c:pt>
                <c:pt idx="541" formatCode="0.00">
                  <c:v>121.03102866944225</c:v>
                </c:pt>
                <c:pt idx="542" formatCode="0.00">
                  <c:v>121.19479021844768</c:v>
                </c:pt>
                <c:pt idx="543" formatCode="0.00">
                  <c:v>121.35982363430104</c:v>
                </c:pt>
                <c:pt idx="544" formatCode="0.00">
                  <c:v>121.5261211764338</c:v>
                </c:pt>
                <c:pt idx="545" formatCode="0.00">
                  <c:v>121.69367511551019</c:v>
                </c:pt>
                <c:pt idx="546" formatCode="0.00">
                  <c:v>121.86247773671386</c:v>
                </c:pt>
                <c:pt idx="547" formatCode="0.00">
                  <c:v>122.03252134288314</c:v>
                </c:pt>
                <c:pt idx="548" formatCode="0.00">
                  <c:v>122.20379825749463</c:v>
                </c:pt>
                <c:pt idx="549" formatCode="0.00">
                  <c:v>122.37630082750263</c:v>
                </c:pt>
                <c:pt idx="550" formatCode="0.00">
                  <c:v>122.55002142603463</c:v>
                </c:pt>
                <c:pt idx="551" formatCode="0.00">
                  <c:v>122.72495245495021</c:v>
                </c:pt>
                <c:pt idx="552" formatCode="0.00">
                  <c:v>122.90108634726371</c:v>
                </c:pt>
                <c:pt idx="553" formatCode="0.00">
                  <c:v>123.07841556943819</c:v>
                </c:pt>
                <c:pt idx="554" formatCode="0.00">
                  <c:v>123.25693262355068</c:v>
                </c:pt>
                <c:pt idx="555" formatCode="0.00">
                  <c:v>123.43663004933664</c:v>
                </c:pt>
                <c:pt idx="556" formatCode="0.00">
                  <c:v>123.61750042611338</c:v>
                </c:pt>
                <c:pt idx="557" formatCode="0.00">
                  <c:v>123.79953637459033</c:v>
                </c:pt>
                <c:pt idx="558" formatCode="0.00">
                  <c:v>123.98273055856595</c:v>
                </c:pt>
                <c:pt idx="559" formatCode="0.00">
                  <c:v>124.16707568651898</c:v>
                </c:pt>
                <c:pt idx="560" formatCode="0.00">
                  <c:v>124.3525645130939</c:v>
                </c:pt>
                <c:pt idx="561" formatCode="0.00">
                  <c:v>124.53918984048788</c:v>
                </c:pt>
                <c:pt idx="562" formatCode="0.00">
                  <c:v>124.72694451973959</c:v>
                </c:pt>
                <c:pt idx="563" formatCode="0.00">
                  <c:v>124.91582145192631</c:v>
                </c:pt>
                <c:pt idx="564" formatCode="0.00">
                  <c:v>125.10581358926996</c:v>
                </c:pt>
                <c:pt idx="565" formatCode="0.00">
                  <c:v>125.29691393615872</c:v>
                </c:pt>
                <c:pt idx="566" formatCode="0.00">
                  <c:v>125.4891155500838</c:v>
                </c:pt>
                <c:pt idx="567" formatCode="0.00">
                  <c:v>125.68241154249884</c:v>
                </c:pt>
                <c:pt idx="568" formatCode="0.00">
                  <c:v>125.87679507960087</c:v>
                </c:pt>
                <c:pt idx="569" formatCode="0.00">
                  <c:v>126.07225938304001</c:v>
                </c:pt>
                <c:pt idx="570" formatCode="0.00">
                  <c:v>126.26879773055724</c:v>
                </c:pt>
                <c:pt idx="571" formatCode="0.00">
                  <c:v>126.46640345655683</c:v>
                </c:pt>
                <c:pt idx="572" formatCode="0.00">
                  <c:v>126.66506995261263</c:v>
                </c:pt>
                <c:pt idx="573" formatCode="0.00">
                  <c:v>126.8647906679148</c:v>
                </c:pt>
                <c:pt idx="574" formatCode="0.00">
                  <c:v>127.06555910965614</c:v>
                </c:pt>
                <c:pt idx="575" formatCode="0.00">
                  <c:v>127.26736884336391</c:v>
                </c:pt>
                <c:pt idx="576" formatCode="0.00">
                  <c:v>127.47021349317689</c:v>
                </c:pt>
                <c:pt idx="577" formatCode="0.00">
                  <c:v>127.6740867420728</c:v>
                </c:pt>
                <c:pt idx="578" formatCode="0.00">
                  <c:v>127.87898233204585</c:v>
                </c:pt>
                <c:pt idx="579" formatCode="0.00">
                  <c:v>128.08489406423971</c:v>
                </c:pt>
                <c:pt idx="580" formatCode="0.00">
                  <c:v>128.29181579903488</c:v>
                </c:pt>
                <c:pt idx="581" formatCode="0.00">
                  <c:v>128.49974145609622</c:v>
                </c:pt>
                <c:pt idx="582" formatCode="0.00">
                  <c:v>128.70866501437916</c:v>
                </c:pt>
                <c:pt idx="583" formatCode="0.00">
                  <c:v>128.91858051210014</c:v>
                </c:pt>
                <c:pt idx="584" formatCode="0.00">
                  <c:v>129.12948204666984</c:v>
                </c:pt>
                <c:pt idx="585" formatCode="0.00">
                  <c:v>129.34136377459458</c:v>
                </c:pt>
                <c:pt idx="586" formatCode="0.00">
                  <c:v>129.55421991134409</c:v>
                </c:pt>
                <c:pt idx="587" formatCode="0.00">
                  <c:v>129.76804473119122</c:v>
                </c:pt>
                <c:pt idx="588" formatCode="0.00">
                  <c:v>129.9828325670216</c:v>
                </c:pt>
                <c:pt idx="589" formatCode="0.00">
                  <c:v>130.19857781011817</c:v>
                </c:pt>
                <c:pt idx="590" formatCode="0.00">
                  <c:v>130.41527490991922</c:v>
                </c:pt>
                <c:pt idx="591" formatCode="0.00">
                  <c:v>130.63291837375445</c:v>
                </c:pt>
                <c:pt idx="592" formatCode="0.00">
                  <c:v>130.85150276655719</c:v>
                </c:pt>
                <c:pt idx="593" formatCode="0.00">
                  <c:v>131.07102271055771</c:v>
                </c:pt>
                <c:pt idx="594" formatCode="0.00">
                  <c:v>131.2914728849554</c:v>
                </c:pt>
                <c:pt idx="595" formatCode="0.00">
                  <c:v>131.51284802557467</c:v>
                </c:pt>
                <c:pt idx="596" formatCode="0.00">
                  <c:v>131.73514292450207</c:v>
                </c:pt>
                <c:pt idx="597" formatCode="0.00">
                  <c:v>131.95835242970975</c:v>
                </c:pt>
                <c:pt idx="598" formatCode="0.00">
                  <c:v>132.1824714446623</c:v>
                </c:pt>
                <c:pt idx="599" formatCode="0.00">
                  <c:v>132.40749492791224</c:v>
                </c:pt>
                <c:pt idx="600" formatCode="0.00">
                  <c:v>132.63341789268088</c:v>
                </c:pt>
                <c:pt idx="601" formatCode="0.00">
                  <c:v>132.86023540642989</c:v>
                </c:pt>
                <c:pt idx="602" formatCode="0.00">
                  <c:v>133.08794259042025</c:v>
                </c:pt>
                <c:pt idx="603" formatCode="0.00">
                  <c:v>133.31653461926351</c:v>
                </c:pt>
                <c:pt idx="604" formatCode="0.00">
                  <c:v>133.54600672046234</c:v>
                </c:pt>
                <c:pt idx="605" formatCode="0.00">
                  <c:v>133.77635417394529</c:v>
                </c:pt>
                <c:pt idx="606" formatCode="0.00">
                  <c:v>134.0075723115919</c:v>
                </c:pt>
                <c:pt idx="607" formatCode="0.00">
                  <c:v>134.23965651675383</c:v>
                </c:pt>
                <c:pt idx="608" formatCode="0.00">
                  <c:v>134.47260222376792</c:v>
                </c:pt>
                <c:pt idx="609" formatCode="0.00">
                  <c:v>134.70640491746639</c:v>
                </c:pt>
                <c:pt idx="610" formatCode="0.00">
                  <c:v>134.94106013268035</c:v>
                </c:pt>
                <c:pt idx="611" formatCode="0.00">
                  <c:v>135.17656345374164</c:v>
                </c:pt>
                <c:pt idx="612" formatCode="0.00">
                  <c:v>135.4129105139794</c:v>
                </c:pt>
                <c:pt idx="613" formatCode="0.00">
                  <c:v>135.65009699521576</c:v>
                </c:pt>
                <c:pt idx="614" formatCode="0.00">
                  <c:v>135.88811862725734</c:v>
                </c:pt>
                <c:pt idx="615" formatCode="0.00">
                  <c:v>136.1269711873872</c:v>
                </c:pt>
                <c:pt idx="616" formatCode="0.00">
                  <c:v>136.36665049985322</c:v>
                </c:pt>
                <c:pt idx="617" formatCode="0.00">
                  <c:v>136.60715243535785</c:v>
                </c:pt>
                <c:pt idx="618" formatCode="0.00">
                  <c:v>136.84847291054535</c:v>
                </c:pt>
                <c:pt idx="619" formatCode="0.00">
                  <c:v>137.09060788749099</c:v>
                </c:pt>
                <c:pt idx="620" formatCode="0.00">
                  <c:v>137.33355337318858</c:v>
                </c:pt>
                <c:pt idx="621" formatCode="0.00">
                  <c:v>137.57730541904056</c:v>
                </c:pt>
                <c:pt idx="622" formatCode="0.00">
                  <c:v>137.82186012034737</c:v>
                </c:pt>
                <c:pt idx="623" formatCode="0.00">
                  <c:v>138.06721361579969</c:v>
                </c:pt>
                <c:pt idx="624" formatCode="0.00">
                  <c:v>138.3133620869707</c:v>
                </c:pt>
                <c:pt idx="625" formatCode="0.00">
                  <c:v>138.56030175781174</c:v>
                </c:pt>
                <c:pt idx="626" formatCode="0.00">
                  <c:v>138.80802889414861</c:v>
                </c:pt>
                <c:pt idx="627" formatCode="0.00">
                  <c:v>139.05653980318155</c:v>
                </c:pt>
                <c:pt idx="628" formatCode="0.00">
                  <c:v>139.30583083298643</c:v>
                </c:pt>
                <c:pt idx="629" formatCode="0.00">
                  <c:v>139.55589837202024</c:v>
                </c:pt>
                <c:pt idx="630" formatCode="0.00">
                  <c:v>139.80673884862767</c:v>
                </c:pt>
                <c:pt idx="631" formatCode="0.00">
                  <c:v>140.05834873055298</c:v>
                </c:pt>
                <c:pt idx="632" formatCode="0.00">
                  <c:v>140.31072452445287</c:v>
                </c:pt>
                <c:pt idx="633" formatCode="0.00">
                  <c:v>140.31918511477903</c:v>
                </c:pt>
              </c:numCache>
            </c:numRef>
          </c:val>
          <c:smooth val="0"/>
          <c:extLst>
            <c:ext xmlns:c16="http://schemas.microsoft.com/office/drawing/2014/chart" uri="{C3380CC4-5D6E-409C-BE32-E72D297353CC}">
              <c16:uniqueId val="{00000003-C6B6-403F-BA8D-3869BDAAE864}"/>
            </c:ext>
          </c:extLst>
        </c:ser>
        <c:dLbls>
          <c:showLegendKey val="0"/>
          <c:showVal val="0"/>
          <c:showCatName val="0"/>
          <c:showSerName val="0"/>
          <c:showPercent val="0"/>
          <c:showBubbleSize val="0"/>
        </c:dLbls>
        <c:smooth val="0"/>
        <c:axId val="1995160367"/>
        <c:axId val="1995160847"/>
      </c:lineChart>
      <c:catAx>
        <c:axId val="199516036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160847"/>
        <c:crosses val="autoZero"/>
        <c:auto val="1"/>
        <c:lblAlgn val="ctr"/>
        <c:lblOffset val="100"/>
        <c:noMultiLvlLbl val="0"/>
      </c:catAx>
      <c:valAx>
        <c:axId val="199516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1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[Automotive_market_Demand_Forecasting_Dataset_Analysis.xlsx]Pivot-Unit_Sold by time!PivotTable1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Unit_Sold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'Pivot-Unit_Sold by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'Pivot-Unit_Sold by time'!$A$4:$A$505</c:f>
              <c:multiLvlStrCache>
                <c:ptCount val="489"/>
                <c:lvl>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2016</c:v>
                  </c:pt>
                  <c:pt idx="42">
                    <c:v>2017</c:v>
                  </c:pt>
                  <c:pt idx="43">
                    <c:v>2018</c:v>
                  </c:pt>
                  <c:pt idx="44">
                    <c:v>2019</c:v>
                  </c:pt>
                  <c:pt idx="45">
                    <c:v>2020</c:v>
                  </c:pt>
                  <c:pt idx="46">
                    <c:v>2021</c:v>
                  </c:pt>
                  <c:pt idx="47">
                    <c:v>2022</c:v>
                  </c:pt>
                  <c:pt idx="48">
                    <c:v>2023</c:v>
                  </c:pt>
                  <c:pt idx="49">
                    <c:v>2024</c:v>
                  </c:pt>
                  <c:pt idx="50">
                    <c:v>2025</c:v>
                  </c:pt>
                  <c:pt idx="51">
                    <c:v>2026</c:v>
                  </c:pt>
                  <c:pt idx="52">
                    <c:v>2027</c:v>
                  </c:pt>
                  <c:pt idx="53">
                    <c:v>2028</c:v>
                  </c:pt>
                  <c:pt idx="54">
                    <c:v>2029</c:v>
                  </c:pt>
                  <c:pt idx="55">
                    <c:v>2030</c:v>
                  </c:pt>
                  <c:pt idx="56">
                    <c:v>2031</c:v>
                  </c:pt>
                  <c:pt idx="57">
                    <c:v>2032</c:v>
                  </c:pt>
                  <c:pt idx="58">
                    <c:v>2033</c:v>
                  </c:pt>
                  <c:pt idx="59">
                    <c:v>2034</c:v>
                  </c:pt>
                  <c:pt idx="60">
                    <c:v>2035</c:v>
                  </c:pt>
                  <c:pt idx="61">
                    <c:v>2036</c:v>
                  </c:pt>
                  <c:pt idx="62">
                    <c:v>2037</c:v>
                  </c:pt>
                  <c:pt idx="63">
                    <c:v>2039</c:v>
                  </c:pt>
                  <c:pt idx="64">
                    <c:v>2040</c:v>
                  </c:pt>
                  <c:pt idx="65">
                    <c:v>2041</c:v>
                  </c:pt>
                  <c:pt idx="66">
                    <c:v>2042</c:v>
                  </c:pt>
                  <c:pt idx="67">
                    <c:v>2043</c:v>
                  </c:pt>
                  <c:pt idx="68">
                    <c:v>2044</c:v>
                  </c:pt>
                  <c:pt idx="69">
                    <c:v>2045</c:v>
                  </c:pt>
                  <c:pt idx="70">
                    <c:v>2046</c:v>
                  </c:pt>
                  <c:pt idx="71">
                    <c:v>2047</c:v>
                  </c:pt>
                  <c:pt idx="72">
                    <c:v>2048</c:v>
                  </c:pt>
                  <c:pt idx="73">
                    <c:v>2049</c:v>
                  </c:pt>
                  <c:pt idx="74">
                    <c:v>2050</c:v>
                  </c:pt>
                  <c:pt idx="75">
                    <c:v>2051</c:v>
                  </c:pt>
                  <c:pt idx="76">
                    <c:v>2052</c:v>
                  </c:pt>
                  <c:pt idx="77">
                    <c:v>2053</c:v>
                  </c:pt>
                  <c:pt idx="78">
                    <c:v>2054</c:v>
                  </c:pt>
                  <c:pt idx="79">
                    <c:v>2015</c:v>
                  </c:pt>
                  <c:pt idx="80">
                    <c:v>2016</c:v>
                  </c:pt>
                  <c:pt idx="81">
                    <c:v>2017</c:v>
                  </c:pt>
                  <c:pt idx="82">
                    <c:v>2018</c:v>
                  </c:pt>
                  <c:pt idx="83">
                    <c:v>2019</c:v>
                  </c:pt>
                  <c:pt idx="84">
                    <c:v>2020</c:v>
                  </c:pt>
                  <c:pt idx="85">
                    <c:v>2021</c:v>
                  </c:pt>
                  <c:pt idx="86">
                    <c:v>2022</c:v>
                  </c:pt>
                  <c:pt idx="87">
                    <c:v>2023</c:v>
                  </c:pt>
                  <c:pt idx="88">
                    <c:v>2024</c:v>
                  </c:pt>
                  <c:pt idx="89">
                    <c:v>2025</c:v>
                  </c:pt>
                  <c:pt idx="90">
                    <c:v>2026</c:v>
                  </c:pt>
                  <c:pt idx="91">
                    <c:v>2027</c:v>
                  </c:pt>
                  <c:pt idx="92">
                    <c:v>2028</c:v>
                  </c:pt>
                  <c:pt idx="93">
                    <c:v>2029</c:v>
                  </c:pt>
                  <c:pt idx="94">
                    <c:v>2030</c:v>
                  </c:pt>
                  <c:pt idx="95">
                    <c:v>2031</c:v>
                  </c:pt>
                  <c:pt idx="96">
                    <c:v>2032</c:v>
                  </c:pt>
                  <c:pt idx="97">
                    <c:v>2033</c:v>
                  </c:pt>
                  <c:pt idx="98">
                    <c:v>2034</c:v>
                  </c:pt>
                  <c:pt idx="99">
                    <c:v>2035</c:v>
                  </c:pt>
                  <c:pt idx="100">
                    <c:v>2036</c:v>
                  </c:pt>
                  <c:pt idx="101">
                    <c:v>2037</c:v>
                  </c:pt>
                  <c:pt idx="102">
                    <c:v>2038</c:v>
                  </c:pt>
                  <c:pt idx="103">
                    <c:v>2039</c:v>
                  </c:pt>
                  <c:pt idx="104">
                    <c:v>2040</c:v>
                  </c:pt>
                  <c:pt idx="105">
                    <c:v>2041</c:v>
                  </c:pt>
                  <c:pt idx="106">
                    <c:v>2042</c:v>
                  </c:pt>
                  <c:pt idx="107">
                    <c:v>2043</c:v>
                  </c:pt>
                  <c:pt idx="108">
                    <c:v>2044</c:v>
                  </c:pt>
                  <c:pt idx="109">
                    <c:v>2045</c:v>
                  </c:pt>
                  <c:pt idx="110">
                    <c:v>2046</c:v>
                  </c:pt>
                  <c:pt idx="111">
                    <c:v>2047</c:v>
                  </c:pt>
                  <c:pt idx="112">
                    <c:v>2048</c:v>
                  </c:pt>
                  <c:pt idx="113">
                    <c:v>2049</c:v>
                  </c:pt>
                  <c:pt idx="114">
                    <c:v>2050</c:v>
                  </c:pt>
                  <c:pt idx="115">
                    <c:v>2051</c:v>
                  </c:pt>
                  <c:pt idx="116">
                    <c:v>2052</c:v>
                  </c:pt>
                  <c:pt idx="117">
                    <c:v>2053</c:v>
                  </c:pt>
                  <c:pt idx="118">
                    <c:v>2054</c:v>
                  </c:pt>
                  <c:pt idx="119">
                    <c:v>2055</c:v>
                  </c:pt>
                  <c:pt idx="120">
                    <c:v>2015</c:v>
                  </c:pt>
                  <c:pt idx="121">
                    <c:v>2016</c:v>
                  </c:pt>
                  <c:pt idx="122">
                    <c:v>2017</c:v>
                  </c:pt>
                  <c:pt idx="123">
                    <c:v>2018</c:v>
                  </c:pt>
                  <c:pt idx="124">
                    <c:v>2019</c:v>
                  </c:pt>
                  <c:pt idx="125">
                    <c:v>2020</c:v>
                  </c:pt>
                  <c:pt idx="126">
                    <c:v>2021</c:v>
                  </c:pt>
                  <c:pt idx="127">
                    <c:v>2022</c:v>
                  </c:pt>
                  <c:pt idx="128">
                    <c:v>2023</c:v>
                  </c:pt>
                  <c:pt idx="129">
                    <c:v>2024</c:v>
                  </c:pt>
                  <c:pt idx="130">
                    <c:v>2025</c:v>
                  </c:pt>
                  <c:pt idx="131">
                    <c:v>2026</c:v>
                  </c:pt>
                  <c:pt idx="132">
                    <c:v>2027</c:v>
                  </c:pt>
                  <c:pt idx="133">
                    <c:v>2028</c:v>
                  </c:pt>
                  <c:pt idx="134">
                    <c:v>2029</c:v>
                  </c:pt>
                  <c:pt idx="135">
                    <c:v>2030</c:v>
                  </c:pt>
                  <c:pt idx="136">
                    <c:v>2031</c:v>
                  </c:pt>
                  <c:pt idx="137">
                    <c:v>2032</c:v>
                  </c:pt>
                  <c:pt idx="138">
                    <c:v>2033</c:v>
                  </c:pt>
                  <c:pt idx="139">
                    <c:v>2034</c:v>
                  </c:pt>
                  <c:pt idx="140">
                    <c:v>2035</c:v>
                  </c:pt>
                  <c:pt idx="141">
                    <c:v>2036</c:v>
                  </c:pt>
                  <c:pt idx="142">
                    <c:v>2037</c:v>
                  </c:pt>
                  <c:pt idx="143">
                    <c:v>2038</c:v>
                  </c:pt>
                  <c:pt idx="144">
                    <c:v>2039</c:v>
                  </c:pt>
                  <c:pt idx="145">
                    <c:v>2040</c:v>
                  </c:pt>
                  <c:pt idx="146">
                    <c:v>2041</c:v>
                  </c:pt>
                  <c:pt idx="147">
                    <c:v>2042</c:v>
                  </c:pt>
                  <c:pt idx="148">
                    <c:v>2043</c:v>
                  </c:pt>
                  <c:pt idx="149">
                    <c:v>2044</c:v>
                  </c:pt>
                  <c:pt idx="150">
                    <c:v>2045</c:v>
                  </c:pt>
                  <c:pt idx="151">
                    <c:v>2046</c:v>
                  </c:pt>
                  <c:pt idx="152">
                    <c:v>2047</c:v>
                  </c:pt>
                  <c:pt idx="153">
                    <c:v>2048</c:v>
                  </c:pt>
                  <c:pt idx="154">
                    <c:v>2049</c:v>
                  </c:pt>
                  <c:pt idx="155">
                    <c:v>2050</c:v>
                  </c:pt>
                  <c:pt idx="156">
                    <c:v>2051</c:v>
                  </c:pt>
                  <c:pt idx="157">
                    <c:v>2052</c:v>
                  </c:pt>
                  <c:pt idx="158">
                    <c:v>2053</c:v>
                  </c:pt>
                  <c:pt idx="159">
                    <c:v>2054</c:v>
                  </c:pt>
                  <c:pt idx="160">
                    <c:v>2055</c:v>
                  </c:pt>
                  <c:pt idx="161">
                    <c:v>2015</c:v>
                  </c:pt>
                  <c:pt idx="162">
                    <c:v>2016</c:v>
                  </c:pt>
                  <c:pt idx="163">
                    <c:v>2017</c:v>
                  </c:pt>
                  <c:pt idx="164">
                    <c:v>2018</c:v>
                  </c:pt>
                  <c:pt idx="165">
                    <c:v>2019</c:v>
                  </c:pt>
                  <c:pt idx="166">
                    <c:v>2020</c:v>
                  </c:pt>
                  <c:pt idx="167">
                    <c:v>2021</c:v>
                  </c:pt>
                  <c:pt idx="168">
                    <c:v>2022</c:v>
                  </c:pt>
                  <c:pt idx="169">
                    <c:v>2023</c:v>
                  </c:pt>
                  <c:pt idx="170">
                    <c:v>2024</c:v>
                  </c:pt>
                  <c:pt idx="171">
                    <c:v>2025</c:v>
                  </c:pt>
                  <c:pt idx="172">
                    <c:v>2026</c:v>
                  </c:pt>
                  <c:pt idx="173">
                    <c:v>2027</c:v>
                  </c:pt>
                  <c:pt idx="174">
                    <c:v>2028</c:v>
                  </c:pt>
                  <c:pt idx="175">
                    <c:v>2029</c:v>
                  </c:pt>
                  <c:pt idx="176">
                    <c:v>2030</c:v>
                  </c:pt>
                  <c:pt idx="177">
                    <c:v>2031</c:v>
                  </c:pt>
                  <c:pt idx="178">
                    <c:v>2032</c:v>
                  </c:pt>
                  <c:pt idx="179">
                    <c:v>2033</c:v>
                  </c:pt>
                  <c:pt idx="180">
                    <c:v>2034</c:v>
                  </c:pt>
                  <c:pt idx="181">
                    <c:v>2035</c:v>
                  </c:pt>
                  <c:pt idx="182">
                    <c:v>2036</c:v>
                  </c:pt>
                  <c:pt idx="183">
                    <c:v>2037</c:v>
                  </c:pt>
                  <c:pt idx="184">
                    <c:v>2038</c:v>
                  </c:pt>
                  <c:pt idx="185">
                    <c:v>2039</c:v>
                  </c:pt>
                  <c:pt idx="186">
                    <c:v>2040</c:v>
                  </c:pt>
                  <c:pt idx="187">
                    <c:v>2041</c:v>
                  </c:pt>
                  <c:pt idx="188">
                    <c:v>2042</c:v>
                  </c:pt>
                  <c:pt idx="189">
                    <c:v>2043</c:v>
                  </c:pt>
                  <c:pt idx="190">
                    <c:v>2044</c:v>
                  </c:pt>
                  <c:pt idx="191">
                    <c:v>2045</c:v>
                  </c:pt>
                  <c:pt idx="192">
                    <c:v>2046</c:v>
                  </c:pt>
                  <c:pt idx="193">
                    <c:v>2047</c:v>
                  </c:pt>
                  <c:pt idx="194">
                    <c:v>2048</c:v>
                  </c:pt>
                  <c:pt idx="195">
                    <c:v>2049</c:v>
                  </c:pt>
                  <c:pt idx="196">
                    <c:v>2050</c:v>
                  </c:pt>
                  <c:pt idx="197">
                    <c:v>2051</c:v>
                  </c:pt>
                  <c:pt idx="198">
                    <c:v>2052</c:v>
                  </c:pt>
                  <c:pt idx="199">
                    <c:v>2053</c:v>
                  </c:pt>
                  <c:pt idx="200">
                    <c:v>2054</c:v>
                  </c:pt>
                  <c:pt idx="201">
                    <c:v>2055</c:v>
                  </c:pt>
                  <c:pt idx="202">
                    <c:v>2015</c:v>
                  </c:pt>
                  <c:pt idx="203">
                    <c:v>2016</c:v>
                  </c:pt>
                  <c:pt idx="204">
                    <c:v>2017</c:v>
                  </c:pt>
                  <c:pt idx="205">
                    <c:v>2018</c:v>
                  </c:pt>
                  <c:pt idx="206">
                    <c:v>2019</c:v>
                  </c:pt>
                  <c:pt idx="207">
                    <c:v>2020</c:v>
                  </c:pt>
                  <c:pt idx="208">
                    <c:v>2021</c:v>
                  </c:pt>
                  <c:pt idx="209">
                    <c:v>2022</c:v>
                  </c:pt>
                  <c:pt idx="210">
                    <c:v>2023</c:v>
                  </c:pt>
                  <c:pt idx="211">
                    <c:v>2024</c:v>
                  </c:pt>
                  <c:pt idx="212">
                    <c:v>2025</c:v>
                  </c:pt>
                  <c:pt idx="213">
                    <c:v>2026</c:v>
                  </c:pt>
                  <c:pt idx="214">
                    <c:v>2027</c:v>
                  </c:pt>
                  <c:pt idx="215">
                    <c:v>2028</c:v>
                  </c:pt>
                  <c:pt idx="216">
                    <c:v>2029</c:v>
                  </c:pt>
                  <c:pt idx="217">
                    <c:v>2030</c:v>
                  </c:pt>
                  <c:pt idx="218">
                    <c:v>2031</c:v>
                  </c:pt>
                  <c:pt idx="219">
                    <c:v>2032</c:v>
                  </c:pt>
                  <c:pt idx="220">
                    <c:v>2033</c:v>
                  </c:pt>
                  <c:pt idx="221">
                    <c:v>2034</c:v>
                  </c:pt>
                  <c:pt idx="222">
                    <c:v>2035</c:v>
                  </c:pt>
                  <c:pt idx="223">
                    <c:v>2036</c:v>
                  </c:pt>
                  <c:pt idx="224">
                    <c:v>2037</c:v>
                  </c:pt>
                  <c:pt idx="225">
                    <c:v>2038</c:v>
                  </c:pt>
                  <c:pt idx="226">
                    <c:v>2039</c:v>
                  </c:pt>
                  <c:pt idx="227">
                    <c:v>2040</c:v>
                  </c:pt>
                  <c:pt idx="228">
                    <c:v>2041</c:v>
                  </c:pt>
                  <c:pt idx="229">
                    <c:v>2042</c:v>
                  </c:pt>
                  <c:pt idx="230">
                    <c:v>2043</c:v>
                  </c:pt>
                  <c:pt idx="231">
                    <c:v>2044</c:v>
                  </c:pt>
                  <c:pt idx="232">
                    <c:v>2045</c:v>
                  </c:pt>
                  <c:pt idx="233">
                    <c:v>2046</c:v>
                  </c:pt>
                  <c:pt idx="234">
                    <c:v>2047</c:v>
                  </c:pt>
                  <c:pt idx="235">
                    <c:v>2048</c:v>
                  </c:pt>
                  <c:pt idx="236">
                    <c:v>2049</c:v>
                  </c:pt>
                  <c:pt idx="237">
                    <c:v>2050</c:v>
                  </c:pt>
                  <c:pt idx="238">
                    <c:v>2051</c:v>
                  </c:pt>
                  <c:pt idx="239">
                    <c:v>2052</c:v>
                  </c:pt>
                  <c:pt idx="240">
                    <c:v>2053</c:v>
                  </c:pt>
                  <c:pt idx="241">
                    <c:v>2054</c:v>
                  </c:pt>
                  <c:pt idx="242">
                    <c:v>2055</c:v>
                  </c:pt>
                  <c:pt idx="243">
                    <c:v>2015</c:v>
                  </c:pt>
                  <c:pt idx="244">
                    <c:v>2016</c:v>
                  </c:pt>
                  <c:pt idx="245">
                    <c:v>2017</c:v>
                  </c:pt>
                  <c:pt idx="246">
                    <c:v>2018</c:v>
                  </c:pt>
                  <c:pt idx="247">
                    <c:v>2019</c:v>
                  </c:pt>
                  <c:pt idx="248">
                    <c:v>2020</c:v>
                  </c:pt>
                  <c:pt idx="249">
                    <c:v>2021</c:v>
                  </c:pt>
                  <c:pt idx="250">
                    <c:v>2022</c:v>
                  </c:pt>
                  <c:pt idx="251">
                    <c:v>2023</c:v>
                  </c:pt>
                  <c:pt idx="252">
                    <c:v>2024</c:v>
                  </c:pt>
                  <c:pt idx="253">
                    <c:v>2025</c:v>
                  </c:pt>
                  <c:pt idx="254">
                    <c:v>2026</c:v>
                  </c:pt>
                  <c:pt idx="255">
                    <c:v>2027</c:v>
                  </c:pt>
                  <c:pt idx="256">
                    <c:v>2028</c:v>
                  </c:pt>
                  <c:pt idx="257">
                    <c:v>2029</c:v>
                  </c:pt>
                  <c:pt idx="258">
                    <c:v>2030</c:v>
                  </c:pt>
                  <c:pt idx="259">
                    <c:v>2031</c:v>
                  </c:pt>
                  <c:pt idx="260">
                    <c:v>2032</c:v>
                  </c:pt>
                  <c:pt idx="261">
                    <c:v>2033</c:v>
                  </c:pt>
                  <c:pt idx="262">
                    <c:v>2034</c:v>
                  </c:pt>
                  <c:pt idx="263">
                    <c:v>2035</c:v>
                  </c:pt>
                  <c:pt idx="264">
                    <c:v>2036</c:v>
                  </c:pt>
                  <c:pt idx="265">
                    <c:v>2037</c:v>
                  </c:pt>
                  <c:pt idx="266">
                    <c:v>2038</c:v>
                  </c:pt>
                  <c:pt idx="267">
                    <c:v>2039</c:v>
                  </c:pt>
                  <c:pt idx="268">
                    <c:v>2040</c:v>
                  </c:pt>
                  <c:pt idx="269">
                    <c:v>2041</c:v>
                  </c:pt>
                  <c:pt idx="270">
                    <c:v>2042</c:v>
                  </c:pt>
                  <c:pt idx="271">
                    <c:v>2043</c:v>
                  </c:pt>
                  <c:pt idx="272">
                    <c:v>2044</c:v>
                  </c:pt>
                  <c:pt idx="273">
                    <c:v>2045</c:v>
                  </c:pt>
                  <c:pt idx="274">
                    <c:v>2046</c:v>
                  </c:pt>
                  <c:pt idx="275">
                    <c:v>2047</c:v>
                  </c:pt>
                  <c:pt idx="276">
                    <c:v>2048</c:v>
                  </c:pt>
                  <c:pt idx="277">
                    <c:v>2049</c:v>
                  </c:pt>
                  <c:pt idx="278">
                    <c:v>2050</c:v>
                  </c:pt>
                  <c:pt idx="279">
                    <c:v>2051</c:v>
                  </c:pt>
                  <c:pt idx="280">
                    <c:v>2052</c:v>
                  </c:pt>
                  <c:pt idx="281">
                    <c:v>2053</c:v>
                  </c:pt>
                  <c:pt idx="282">
                    <c:v>2054</c:v>
                  </c:pt>
                  <c:pt idx="283">
                    <c:v>2055</c:v>
                  </c:pt>
                  <c:pt idx="284">
                    <c:v>2015</c:v>
                  </c:pt>
                  <c:pt idx="285">
                    <c:v>2016</c:v>
                  </c:pt>
                  <c:pt idx="286">
                    <c:v>2017</c:v>
                  </c:pt>
                  <c:pt idx="287">
                    <c:v>2018</c:v>
                  </c:pt>
                  <c:pt idx="288">
                    <c:v>2019</c:v>
                  </c:pt>
                  <c:pt idx="289">
                    <c:v>2020</c:v>
                  </c:pt>
                  <c:pt idx="290">
                    <c:v>2021</c:v>
                  </c:pt>
                  <c:pt idx="291">
                    <c:v>2022</c:v>
                  </c:pt>
                  <c:pt idx="292">
                    <c:v>2023</c:v>
                  </c:pt>
                  <c:pt idx="293">
                    <c:v>2024</c:v>
                  </c:pt>
                  <c:pt idx="294">
                    <c:v>2025</c:v>
                  </c:pt>
                  <c:pt idx="295">
                    <c:v>2026</c:v>
                  </c:pt>
                  <c:pt idx="296">
                    <c:v>2027</c:v>
                  </c:pt>
                  <c:pt idx="297">
                    <c:v>2028</c:v>
                  </c:pt>
                  <c:pt idx="298">
                    <c:v>2029</c:v>
                  </c:pt>
                  <c:pt idx="299">
                    <c:v>2030</c:v>
                  </c:pt>
                  <c:pt idx="300">
                    <c:v>2031</c:v>
                  </c:pt>
                  <c:pt idx="301">
                    <c:v>2032</c:v>
                  </c:pt>
                  <c:pt idx="302">
                    <c:v>2033</c:v>
                  </c:pt>
                  <c:pt idx="303">
                    <c:v>2034</c:v>
                  </c:pt>
                  <c:pt idx="304">
                    <c:v>2035</c:v>
                  </c:pt>
                  <c:pt idx="305">
                    <c:v>2036</c:v>
                  </c:pt>
                  <c:pt idx="306">
                    <c:v>2037</c:v>
                  </c:pt>
                  <c:pt idx="307">
                    <c:v>2038</c:v>
                  </c:pt>
                  <c:pt idx="308">
                    <c:v>2039</c:v>
                  </c:pt>
                  <c:pt idx="309">
                    <c:v>2040</c:v>
                  </c:pt>
                  <c:pt idx="310">
                    <c:v>2041</c:v>
                  </c:pt>
                  <c:pt idx="311">
                    <c:v>2042</c:v>
                  </c:pt>
                  <c:pt idx="312">
                    <c:v>2043</c:v>
                  </c:pt>
                  <c:pt idx="313">
                    <c:v>2044</c:v>
                  </c:pt>
                  <c:pt idx="314">
                    <c:v>2045</c:v>
                  </c:pt>
                  <c:pt idx="315">
                    <c:v>2046</c:v>
                  </c:pt>
                  <c:pt idx="316">
                    <c:v>2047</c:v>
                  </c:pt>
                  <c:pt idx="317">
                    <c:v>2048</c:v>
                  </c:pt>
                  <c:pt idx="318">
                    <c:v>2049</c:v>
                  </c:pt>
                  <c:pt idx="319">
                    <c:v>2050</c:v>
                  </c:pt>
                  <c:pt idx="320">
                    <c:v>2051</c:v>
                  </c:pt>
                  <c:pt idx="321">
                    <c:v>2052</c:v>
                  </c:pt>
                  <c:pt idx="322">
                    <c:v>2053</c:v>
                  </c:pt>
                  <c:pt idx="323">
                    <c:v>2054</c:v>
                  </c:pt>
                  <c:pt idx="324">
                    <c:v>2055</c:v>
                  </c:pt>
                  <c:pt idx="325">
                    <c:v>2015</c:v>
                  </c:pt>
                  <c:pt idx="326">
                    <c:v>2016</c:v>
                  </c:pt>
                  <c:pt idx="327">
                    <c:v>2017</c:v>
                  </c:pt>
                  <c:pt idx="328">
                    <c:v>2018</c:v>
                  </c:pt>
                  <c:pt idx="329">
                    <c:v>2019</c:v>
                  </c:pt>
                  <c:pt idx="330">
                    <c:v>2020</c:v>
                  </c:pt>
                  <c:pt idx="331">
                    <c:v>2021</c:v>
                  </c:pt>
                  <c:pt idx="332">
                    <c:v>2022</c:v>
                  </c:pt>
                  <c:pt idx="333">
                    <c:v>2023</c:v>
                  </c:pt>
                  <c:pt idx="334">
                    <c:v>2024</c:v>
                  </c:pt>
                  <c:pt idx="335">
                    <c:v>2025</c:v>
                  </c:pt>
                  <c:pt idx="336">
                    <c:v>2026</c:v>
                  </c:pt>
                  <c:pt idx="337">
                    <c:v>2027</c:v>
                  </c:pt>
                  <c:pt idx="338">
                    <c:v>2028</c:v>
                  </c:pt>
                  <c:pt idx="339">
                    <c:v>2029</c:v>
                  </c:pt>
                  <c:pt idx="340">
                    <c:v>2030</c:v>
                  </c:pt>
                  <c:pt idx="341">
                    <c:v>2031</c:v>
                  </c:pt>
                  <c:pt idx="342">
                    <c:v>2032</c:v>
                  </c:pt>
                  <c:pt idx="343">
                    <c:v>2033</c:v>
                  </c:pt>
                  <c:pt idx="344">
                    <c:v>2034</c:v>
                  </c:pt>
                  <c:pt idx="345">
                    <c:v>2035</c:v>
                  </c:pt>
                  <c:pt idx="346">
                    <c:v>2036</c:v>
                  </c:pt>
                  <c:pt idx="347">
                    <c:v>2037</c:v>
                  </c:pt>
                  <c:pt idx="348">
                    <c:v>2038</c:v>
                  </c:pt>
                  <c:pt idx="349">
                    <c:v>2039</c:v>
                  </c:pt>
                  <c:pt idx="350">
                    <c:v>2040</c:v>
                  </c:pt>
                  <c:pt idx="351">
                    <c:v>2041</c:v>
                  </c:pt>
                  <c:pt idx="352">
                    <c:v>2042</c:v>
                  </c:pt>
                  <c:pt idx="353">
                    <c:v>2043</c:v>
                  </c:pt>
                  <c:pt idx="354">
                    <c:v>2044</c:v>
                  </c:pt>
                  <c:pt idx="355">
                    <c:v>2045</c:v>
                  </c:pt>
                  <c:pt idx="356">
                    <c:v>2046</c:v>
                  </c:pt>
                  <c:pt idx="357">
                    <c:v>2047</c:v>
                  </c:pt>
                  <c:pt idx="358">
                    <c:v>2048</c:v>
                  </c:pt>
                  <c:pt idx="359">
                    <c:v>2049</c:v>
                  </c:pt>
                  <c:pt idx="360">
                    <c:v>2050</c:v>
                  </c:pt>
                  <c:pt idx="361">
                    <c:v>2051</c:v>
                  </c:pt>
                  <c:pt idx="362">
                    <c:v>2052</c:v>
                  </c:pt>
                  <c:pt idx="363">
                    <c:v>2053</c:v>
                  </c:pt>
                  <c:pt idx="364">
                    <c:v>2054</c:v>
                  </c:pt>
                  <c:pt idx="365">
                    <c:v>2055</c:v>
                  </c:pt>
                  <c:pt idx="366">
                    <c:v>2015</c:v>
                  </c:pt>
                  <c:pt idx="367">
                    <c:v>2016</c:v>
                  </c:pt>
                  <c:pt idx="368">
                    <c:v>2017</c:v>
                  </c:pt>
                  <c:pt idx="369">
                    <c:v>2018</c:v>
                  </c:pt>
                  <c:pt idx="370">
                    <c:v>2019</c:v>
                  </c:pt>
                  <c:pt idx="371">
                    <c:v>2020</c:v>
                  </c:pt>
                  <c:pt idx="372">
                    <c:v>2021</c:v>
                  </c:pt>
                  <c:pt idx="373">
                    <c:v>2022</c:v>
                  </c:pt>
                  <c:pt idx="374">
                    <c:v>2023</c:v>
                  </c:pt>
                  <c:pt idx="375">
                    <c:v>2024</c:v>
                  </c:pt>
                  <c:pt idx="376">
                    <c:v>2025</c:v>
                  </c:pt>
                  <c:pt idx="377">
                    <c:v>2026</c:v>
                  </c:pt>
                  <c:pt idx="378">
                    <c:v>2027</c:v>
                  </c:pt>
                  <c:pt idx="379">
                    <c:v>2028</c:v>
                  </c:pt>
                  <c:pt idx="380">
                    <c:v>2029</c:v>
                  </c:pt>
                  <c:pt idx="381">
                    <c:v>2030</c:v>
                  </c:pt>
                  <c:pt idx="382">
                    <c:v>2031</c:v>
                  </c:pt>
                  <c:pt idx="383">
                    <c:v>2032</c:v>
                  </c:pt>
                  <c:pt idx="384">
                    <c:v>2033</c:v>
                  </c:pt>
                  <c:pt idx="385">
                    <c:v>2034</c:v>
                  </c:pt>
                  <c:pt idx="386">
                    <c:v>2035</c:v>
                  </c:pt>
                  <c:pt idx="387">
                    <c:v>2036</c:v>
                  </c:pt>
                  <c:pt idx="388">
                    <c:v>2037</c:v>
                  </c:pt>
                  <c:pt idx="389">
                    <c:v>2038</c:v>
                  </c:pt>
                  <c:pt idx="390">
                    <c:v>2039</c:v>
                  </c:pt>
                  <c:pt idx="391">
                    <c:v>2040</c:v>
                  </c:pt>
                  <c:pt idx="392">
                    <c:v>2041</c:v>
                  </c:pt>
                  <c:pt idx="393">
                    <c:v>2042</c:v>
                  </c:pt>
                  <c:pt idx="394">
                    <c:v>2043</c:v>
                  </c:pt>
                  <c:pt idx="395">
                    <c:v>2044</c:v>
                  </c:pt>
                  <c:pt idx="396">
                    <c:v>2045</c:v>
                  </c:pt>
                  <c:pt idx="397">
                    <c:v>2046</c:v>
                  </c:pt>
                  <c:pt idx="398">
                    <c:v>2047</c:v>
                  </c:pt>
                  <c:pt idx="399">
                    <c:v>2048</c:v>
                  </c:pt>
                  <c:pt idx="400">
                    <c:v>2049</c:v>
                  </c:pt>
                  <c:pt idx="401">
                    <c:v>2050</c:v>
                  </c:pt>
                  <c:pt idx="402">
                    <c:v>2051</c:v>
                  </c:pt>
                  <c:pt idx="403">
                    <c:v>2052</c:v>
                  </c:pt>
                  <c:pt idx="404">
                    <c:v>2053</c:v>
                  </c:pt>
                  <c:pt idx="405">
                    <c:v>2054</c:v>
                  </c:pt>
                  <c:pt idx="406">
                    <c:v>2055</c:v>
                  </c:pt>
                  <c:pt idx="407">
                    <c:v>2015</c:v>
                  </c:pt>
                  <c:pt idx="408">
                    <c:v>2016</c:v>
                  </c:pt>
                  <c:pt idx="409">
                    <c:v>2017</c:v>
                  </c:pt>
                  <c:pt idx="410">
                    <c:v>2018</c:v>
                  </c:pt>
                  <c:pt idx="411">
                    <c:v>2019</c:v>
                  </c:pt>
                  <c:pt idx="412">
                    <c:v>2020</c:v>
                  </c:pt>
                  <c:pt idx="413">
                    <c:v>2021</c:v>
                  </c:pt>
                  <c:pt idx="414">
                    <c:v>2022</c:v>
                  </c:pt>
                  <c:pt idx="415">
                    <c:v>2023</c:v>
                  </c:pt>
                  <c:pt idx="416">
                    <c:v>2024</c:v>
                  </c:pt>
                  <c:pt idx="417">
                    <c:v>2025</c:v>
                  </c:pt>
                  <c:pt idx="418">
                    <c:v>2026</c:v>
                  </c:pt>
                  <c:pt idx="419">
                    <c:v>2027</c:v>
                  </c:pt>
                  <c:pt idx="420">
                    <c:v>2028</c:v>
                  </c:pt>
                  <c:pt idx="421">
                    <c:v>2029</c:v>
                  </c:pt>
                  <c:pt idx="422">
                    <c:v>2030</c:v>
                  </c:pt>
                  <c:pt idx="423">
                    <c:v>2031</c:v>
                  </c:pt>
                  <c:pt idx="424">
                    <c:v>2032</c:v>
                  </c:pt>
                  <c:pt idx="425">
                    <c:v>2033</c:v>
                  </c:pt>
                  <c:pt idx="426">
                    <c:v>2034</c:v>
                  </c:pt>
                  <c:pt idx="427">
                    <c:v>2035</c:v>
                  </c:pt>
                  <c:pt idx="428">
                    <c:v>2036</c:v>
                  </c:pt>
                  <c:pt idx="429">
                    <c:v>2037</c:v>
                  </c:pt>
                  <c:pt idx="430">
                    <c:v>2038</c:v>
                  </c:pt>
                  <c:pt idx="431">
                    <c:v>2039</c:v>
                  </c:pt>
                  <c:pt idx="432">
                    <c:v>2040</c:v>
                  </c:pt>
                  <c:pt idx="433">
                    <c:v>2041</c:v>
                  </c:pt>
                  <c:pt idx="434">
                    <c:v>2042</c:v>
                  </c:pt>
                  <c:pt idx="435">
                    <c:v>2043</c:v>
                  </c:pt>
                  <c:pt idx="436">
                    <c:v>2044</c:v>
                  </c:pt>
                  <c:pt idx="437">
                    <c:v>2045</c:v>
                  </c:pt>
                  <c:pt idx="438">
                    <c:v>2046</c:v>
                  </c:pt>
                  <c:pt idx="439">
                    <c:v>2047</c:v>
                  </c:pt>
                  <c:pt idx="440">
                    <c:v>2048</c:v>
                  </c:pt>
                  <c:pt idx="441">
                    <c:v>2049</c:v>
                  </c:pt>
                  <c:pt idx="442">
                    <c:v>2050</c:v>
                  </c:pt>
                  <c:pt idx="443">
                    <c:v>2051</c:v>
                  </c:pt>
                  <c:pt idx="444">
                    <c:v>2052</c:v>
                  </c:pt>
                  <c:pt idx="445">
                    <c:v>2053</c:v>
                  </c:pt>
                  <c:pt idx="446">
                    <c:v>2054</c:v>
                  </c:pt>
                  <c:pt idx="447">
                    <c:v>2055</c:v>
                  </c:pt>
                  <c:pt idx="448">
                    <c:v>2015</c:v>
                  </c:pt>
                  <c:pt idx="449">
                    <c:v>2016</c:v>
                  </c:pt>
                  <c:pt idx="450">
                    <c:v>2017</c:v>
                  </c:pt>
                  <c:pt idx="451">
                    <c:v>2018</c:v>
                  </c:pt>
                  <c:pt idx="452">
                    <c:v>2019</c:v>
                  </c:pt>
                  <c:pt idx="453">
                    <c:v>2020</c:v>
                  </c:pt>
                  <c:pt idx="454">
                    <c:v>2021</c:v>
                  </c:pt>
                  <c:pt idx="455">
                    <c:v>2022</c:v>
                  </c:pt>
                  <c:pt idx="456">
                    <c:v>2023</c:v>
                  </c:pt>
                  <c:pt idx="457">
                    <c:v>2024</c:v>
                  </c:pt>
                  <c:pt idx="458">
                    <c:v>2025</c:v>
                  </c:pt>
                  <c:pt idx="459">
                    <c:v>2026</c:v>
                  </c:pt>
                  <c:pt idx="460">
                    <c:v>2027</c:v>
                  </c:pt>
                  <c:pt idx="461">
                    <c:v>2028</c:v>
                  </c:pt>
                  <c:pt idx="462">
                    <c:v>2029</c:v>
                  </c:pt>
                  <c:pt idx="463">
                    <c:v>2030</c:v>
                  </c:pt>
                  <c:pt idx="464">
                    <c:v>2031</c:v>
                  </c:pt>
                  <c:pt idx="465">
                    <c:v>2032</c:v>
                  </c:pt>
                  <c:pt idx="466">
                    <c:v>2033</c:v>
                  </c:pt>
                  <c:pt idx="467">
                    <c:v>2034</c:v>
                  </c:pt>
                  <c:pt idx="468">
                    <c:v>2035</c:v>
                  </c:pt>
                  <c:pt idx="469">
                    <c:v>2036</c:v>
                  </c:pt>
                  <c:pt idx="470">
                    <c:v>2037</c:v>
                  </c:pt>
                  <c:pt idx="471">
                    <c:v>2038</c:v>
                  </c:pt>
                  <c:pt idx="472">
                    <c:v>2039</c:v>
                  </c:pt>
                  <c:pt idx="473">
                    <c:v>2040</c:v>
                  </c:pt>
                  <c:pt idx="474">
                    <c:v>2041</c:v>
                  </c:pt>
                  <c:pt idx="475">
                    <c:v>2042</c:v>
                  </c:pt>
                  <c:pt idx="476">
                    <c:v>2043</c:v>
                  </c:pt>
                  <c:pt idx="477">
                    <c:v>2044</c:v>
                  </c:pt>
                  <c:pt idx="478">
                    <c:v>2045</c:v>
                  </c:pt>
                  <c:pt idx="479">
                    <c:v>2046</c:v>
                  </c:pt>
                  <c:pt idx="480">
                    <c:v>2047</c:v>
                  </c:pt>
                  <c:pt idx="481">
                    <c:v>2048</c:v>
                  </c:pt>
                  <c:pt idx="482">
                    <c:v>2049</c:v>
                  </c:pt>
                  <c:pt idx="483">
                    <c:v>2050</c:v>
                  </c:pt>
                  <c:pt idx="484">
                    <c:v>2051</c:v>
                  </c:pt>
                  <c:pt idx="485">
                    <c:v>2052</c:v>
                  </c:pt>
                  <c:pt idx="486">
                    <c:v>2053</c:v>
                  </c:pt>
                  <c:pt idx="487">
                    <c:v>2054</c:v>
                  </c:pt>
                  <c:pt idx="488">
                    <c:v>2055</c:v>
                  </c:pt>
                </c:lvl>
                <c:lvl>
                  <c:pt idx="0">
                    <c:v>Jan</c:v>
                  </c:pt>
                  <c:pt idx="41">
                    <c:v>Feb</c:v>
                  </c:pt>
                  <c:pt idx="79">
                    <c:v>Mar</c:v>
                  </c:pt>
                  <c:pt idx="120">
                    <c:v>Apr</c:v>
                  </c:pt>
                  <c:pt idx="161">
                    <c:v>May</c:v>
                  </c:pt>
                  <c:pt idx="202">
                    <c:v>Jun</c:v>
                  </c:pt>
                  <c:pt idx="243">
                    <c:v>Jul</c:v>
                  </c:pt>
                  <c:pt idx="284">
                    <c:v>Aug</c:v>
                  </c:pt>
                  <c:pt idx="325">
                    <c:v>Sep</c:v>
                  </c:pt>
                  <c:pt idx="366">
                    <c:v>Oct</c:v>
                  </c:pt>
                  <c:pt idx="407">
                    <c:v>Nov</c:v>
                  </c:pt>
                  <c:pt idx="448">
                    <c:v>Dec</c:v>
                  </c:pt>
                </c:lvl>
              </c:multiLvlStrCache>
            </c:multiLvlStrRef>
          </c:cat>
          <c:val>
            <c:numRef>
              <c:f>'Pivot-Unit_Sold by time'!$B$4:$B$505</c:f>
              <c:numCache>
                <c:formatCode>General</c:formatCode>
                <c:ptCount val="489"/>
                <c:pt idx="0">
                  <c:v>203</c:v>
                </c:pt>
                <c:pt idx="1">
                  <c:v>103</c:v>
                </c:pt>
                <c:pt idx="2">
                  <c:v>93</c:v>
                </c:pt>
                <c:pt idx="3">
                  <c:v>1080</c:v>
                </c:pt>
                <c:pt idx="4">
                  <c:v>94</c:v>
                </c:pt>
                <c:pt idx="5">
                  <c:v>78</c:v>
                </c:pt>
                <c:pt idx="6">
                  <c:v>120</c:v>
                </c:pt>
                <c:pt idx="8">
                  <c:v>102</c:v>
                </c:pt>
                <c:pt idx="9">
                  <c:v>113</c:v>
                </c:pt>
                <c:pt idx="10">
                  <c:v>69</c:v>
                </c:pt>
                <c:pt idx="11">
                  <c:v>88</c:v>
                </c:pt>
                <c:pt idx="12">
                  <c:v>96</c:v>
                </c:pt>
                <c:pt idx="13">
                  <c:v>112</c:v>
                </c:pt>
                <c:pt idx="15">
                  <c:v>98</c:v>
                </c:pt>
                <c:pt idx="16">
                  <c:v>79</c:v>
                </c:pt>
                <c:pt idx="17">
                  <c:v>99</c:v>
                </c:pt>
                <c:pt idx="18">
                  <c:v>97</c:v>
                </c:pt>
                <c:pt idx="19">
                  <c:v>108</c:v>
                </c:pt>
                <c:pt idx="20">
                  <c:v>82</c:v>
                </c:pt>
                <c:pt idx="21">
                  <c:v>104</c:v>
                </c:pt>
                <c:pt idx="22">
                  <c:v>93</c:v>
                </c:pt>
                <c:pt idx="23">
                  <c:v>90</c:v>
                </c:pt>
                <c:pt idx="24">
                  <c:v>88</c:v>
                </c:pt>
                <c:pt idx="25">
                  <c:v>87</c:v>
                </c:pt>
                <c:pt idx="27">
                  <c:v>107</c:v>
                </c:pt>
                <c:pt idx="28">
                  <c:v>119</c:v>
                </c:pt>
                <c:pt idx="29">
                  <c:v>100</c:v>
                </c:pt>
                <c:pt idx="30">
                  <c:v>88</c:v>
                </c:pt>
                <c:pt idx="31">
                  <c:v>91</c:v>
                </c:pt>
                <c:pt idx="32">
                  <c:v>98</c:v>
                </c:pt>
                <c:pt idx="33">
                  <c:v>100</c:v>
                </c:pt>
                <c:pt idx="34">
                  <c:v>107</c:v>
                </c:pt>
                <c:pt idx="35">
                  <c:v>121</c:v>
                </c:pt>
                <c:pt idx="36">
                  <c:v>114</c:v>
                </c:pt>
                <c:pt idx="37">
                  <c:v>75</c:v>
                </c:pt>
                <c:pt idx="38">
                  <c:v>106</c:v>
                </c:pt>
                <c:pt idx="39">
                  <c:v>105</c:v>
                </c:pt>
                <c:pt idx="40">
                  <c:v>89</c:v>
                </c:pt>
                <c:pt idx="41">
                  <c:v>94</c:v>
                </c:pt>
                <c:pt idx="42">
                  <c:v>87</c:v>
                </c:pt>
                <c:pt idx="43">
                  <c:v>108</c:v>
                </c:pt>
                <c:pt idx="44">
                  <c:v>91</c:v>
                </c:pt>
                <c:pt idx="45">
                  <c:v>116</c:v>
                </c:pt>
                <c:pt idx="47">
                  <c:v>85</c:v>
                </c:pt>
                <c:pt idx="48">
                  <c:v>900</c:v>
                </c:pt>
                <c:pt idx="49">
                  <c:v>106</c:v>
                </c:pt>
                <c:pt idx="50">
                  <c:v>111</c:v>
                </c:pt>
                <c:pt idx="51">
                  <c:v>101</c:v>
                </c:pt>
                <c:pt idx="52">
                  <c:v>100</c:v>
                </c:pt>
                <c:pt idx="53">
                  <c:v>110</c:v>
                </c:pt>
                <c:pt idx="54">
                  <c:v>95</c:v>
                </c:pt>
                <c:pt idx="55">
                  <c:v>96</c:v>
                </c:pt>
                <c:pt idx="56">
                  <c:v>86</c:v>
                </c:pt>
                <c:pt idx="57">
                  <c:v>102</c:v>
                </c:pt>
                <c:pt idx="58">
                  <c:v>112</c:v>
                </c:pt>
                <c:pt idx="59">
                  <c:v>1060</c:v>
                </c:pt>
                <c:pt idx="60">
                  <c:v>87</c:v>
                </c:pt>
                <c:pt idx="61">
                  <c:v>80</c:v>
                </c:pt>
                <c:pt idx="62">
                  <c:v>91</c:v>
                </c:pt>
                <c:pt idx="63">
                  <c:v>1010</c:v>
                </c:pt>
                <c:pt idx="64">
                  <c:v>90</c:v>
                </c:pt>
                <c:pt idx="65">
                  <c:v>87</c:v>
                </c:pt>
                <c:pt idx="66">
                  <c:v>106</c:v>
                </c:pt>
                <c:pt idx="67">
                  <c:v>99</c:v>
                </c:pt>
                <c:pt idx="68">
                  <c:v>117</c:v>
                </c:pt>
                <c:pt idx="69">
                  <c:v>960</c:v>
                </c:pt>
                <c:pt idx="70">
                  <c:v>89</c:v>
                </c:pt>
                <c:pt idx="71">
                  <c:v>93</c:v>
                </c:pt>
                <c:pt idx="72">
                  <c:v>89</c:v>
                </c:pt>
                <c:pt idx="73">
                  <c:v>106</c:v>
                </c:pt>
                <c:pt idx="74">
                  <c:v>89</c:v>
                </c:pt>
                <c:pt idx="75">
                  <c:v>92</c:v>
                </c:pt>
                <c:pt idx="76">
                  <c:v>97</c:v>
                </c:pt>
                <c:pt idx="77">
                  <c:v>110</c:v>
                </c:pt>
                <c:pt idx="78">
                  <c:v>112</c:v>
                </c:pt>
                <c:pt idx="79">
                  <c:v>88</c:v>
                </c:pt>
                <c:pt idx="80">
                  <c:v>105</c:v>
                </c:pt>
                <c:pt idx="81">
                  <c:v>108</c:v>
                </c:pt>
                <c:pt idx="82">
                  <c:v>101</c:v>
                </c:pt>
                <c:pt idx="83">
                  <c:v>110</c:v>
                </c:pt>
                <c:pt idx="84">
                  <c:v>88</c:v>
                </c:pt>
                <c:pt idx="85">
                  <c:v>118</c:v>
                </c:pt>
                <c:pt idx="86">
                  <c:v>101</c:v>
                </c:pt>
                <c:pt idx="87">
                  <c:v>93</c:v>
                </c:pt>
                <c:pt idx="88">
                  <c:v>96</c:v>
                </c:pt>
                <c:pt idx="89">
                  <c:v>87</c:v>
                </c:pt>
                <c:pt idx="90">
                  <c:v>105</c:v>
                </c:pt>
                <c:pt idx="91">
                  <c:v>105</c:v>
                </c:pt>
                <c:pt idx="92">
                  <c:v>86</c:v>
                </c:pt>
                <c:pt idx="93">
                  <c:v>97</c:v>
                </c:pt>
                <c:pt idx="94">
                  <c:v>88</c:v>
                </c:pt>
                <c:pt idx="95">
                  <c:v>108</c:v>
                </c:pt>
                <c:pt idx="96">
                  <c:v>106</c:v>
                </c:pt>
                <c:pt idx="97">
                  <c:v>99</c:v>
                </c:pt>
                <c:pt idx="98">
                  <c:v>87</c:v>
                </c:pt>
                <c:pt idx="99">
                  <c:v>87</c:v>
                </c:pt>
                <c:pt idx="100">
                  <c:v>110</c:v>
                </c:pt>
                <c:pt idx="101">
                  <c:v>103</c:v>
                </c:pt>
                <c:pt idx="102">
                  <c:v>169</c:v>
                </c:pt>
                <c:pt idx="103">
                  <c:v>95</c:v>
                </c:pt>
                <c:pt idx="104">
                  <c:v>89</c:v>
                </c:pt>
                <c:pt idx="105">
                  <c:v>103</c:v>
                </c:pt>
                <c:pt idx="106">
                  <c:v>92</c:v>
                </c:pt>
                <c:pt idx="107">
                  <c:v>87</c:v>
                </c:pt>
                <c:pt idx="108">
                  <c:v>102</c:v>
                </c:pt>
                <c:pt idx="109">
                  <c:v>104</c:v>
                </c:pt>
                <c:pt idx="110">
                  <c:v>98</c:v>
                </c:pt>
                <c:pt idx="111">
                  <c:v>104</c:v>
                </c:pt>
                <c:pt idx="112">
                  <c:v>83</c:v>
                </c:pt>
                <c:pt idx="113">
                  <c:v>92</c:v>
                </c:pt>
                <c:pt idx="114">
                  <c:v>117</c:v>
                </c:pt>
                <c:pt idx="115">
                  <c:v>113</c:v>
                </c:pt>
                <c:pt idx="116">
                  <c:v>1090</c:v>
                </c:pt>
                <c:pt idx="117">
                  <c:v>91</c:v>
                </c:pt>
                <c:pt idx="118">
                  <c:v>99</c:v>
                </c:pt>
                <c:pt idx="119">
                  <c:v>111</c:v>
                </c:pt>
                <c:pt idx="120">
                  <c:v>103</c:v>
                </c:pt>
                <c:pt idx="121">
                  <c:v>86</c:v>
                </c:pt>
                <c:pt idx="122">
                  <c:v>106</c:v>
                </c:pt>
                <c:pt idx="123">
                  <c:v>94</c:v>
                </c:pt>
                <c:pt idx="124">
                  <c:v>98</c:v>
                </c:pt>
                <c:pt idx="125">
                  <c:v>105</c:v>
                </c:pt>
                <c:pt idx="126">
                  <c:v>92</c:v>
                </c:pt>
                <c:pt idx="127">
                  <c:v>104</c:v>
                </c:pt>
                <c:pt idx="129">
                  <c:v>110</c:v>
                </c:pt>
                <c:pt idx="130">
                  <c:v>1080</c:v>
                </c:pt>
                <c:pt idx="131">
                  <c:v>102</c:v>
                </c:pt>
                <c:pt idx="132">
                  <c:v>81</c:v>
                </c:pt>
                <c:pt idx="133">
                  <c:v>104</c:v>
                </c:pt>
                <c:pt idx="134">
                  <c:v>116</c:v>
                </c:pt>
                <c:pt idx="135">
                  <c:v>103</c:v>
                </c:pt>
                <c:pt idx="136">
                  <c:v>127</c:v>
                </c:pt>
                <c:pt idx="137">
                  <c:v>94</c:v>
                </c:pt>
                <c:pt idx="138">
                  <c:v>124</c:v>
                </c:pt>
                <c:pt idx="139">
                  <c:v>96</c:v>
                </c:pt>
                <c:pt idx="140">
                  <c:v>90</c:v>
                </c:pt>
                <c:pt idx="141">
                  <c:v>90</c:v>
                </c:pt>
                <c:pt idx="142">
                  <c:v>109</c:v>
                </c:pt>
                <c:pt idx="143">
                  <c:v>110</c:v>
                </c:pt>
                <c:pt idx="144">
                  <c:v>95</c:v>
                </c:pt>
                <c:pt idx="145">
                  <c:v>105</c:v>
                </c:pt>
                <c:pt idx="146">
                  <c:v>115</c:v>
                </c:pt>
                <c:pt idx="147">
                  <c:v>90</c:v>
                </c:pt>
                <c:pt idx="149">
                  <c:v>88</c:v>
                </c:pt>
                <c:pt idx="150">
                  <c:v>106</c:v>
                </c:pt>
                <c:pt idx="151">
                  <c:v>110</c:v>
                </c:pt>
                <c:pt idx="152">
                  <c:v>870</c:v>
                </c:pt>
                <c:pt idx="153">
                  <c:v>92</c:v>
                </c:pt>
                <c:pt idx="154">
                  <c:v>110</c:v>
                </c:pt>
                <c:pt idx="155">
                  <c:v>106</c:v>
                </c:pt>
                <c:pt idx="156">
                  <c:v>113</c:v>
                </c:pt>
                <c:pt idx="157">
                  <c:v>98</c:v>
                </c:pt>
                <c:pt idx="158">
                  <c:v>103</c:v>
                </c:pt>
                <c:pt idx="159">
                  <c:v>111</c:v>
                </c:pt>
                <c:pt idx="160">
                  <c:v>104</c:v>
                </c:pt>
                <c:pt idx="161">
                  <c:v>201</c:v>
                </c:pt>
                <c:pt idx="162">
                  <c:v>92</c:v>
                </c:pt>
                <c:pt idx="163">
                  <c:v>108</c:v>
                </c:pt>
                <c:pt idx="164">
                  <c:v>116</c:v>
                </c:pt>
                <c:pt idx="165">
                  <c:v>86</c:v>
                </c:pt>
                <c:pt idx="166">
                  <c:v>92</c:v>
                </c:pt>
                <c:pt idx="167">
                  <c:v>110</c:v>
                </c:pt>
                <c:pt idx="168">
                  <c:v>106</c:v>
                </c:pt>
                <c:pt idx="169">
                  <c:v>117</c:v>
                </c:pt>
                <c:pt idx="170">
                  <c:v>100</c:v>
                </c:pt>
                <c:pt idx="171">
                  <c:v>104</c:v>
                </c:pt>
                <c:pt idx="172">
                  <c:v>98</c:v>
                </c:pt>
                <c:pt idx="173">
                  <c:v>120</c:v>
                </c:pt>
                <c:pt idx="174">
                  <c:v>107</c:v>
                </c:pt>
                <c:pt idx="175">
                  <c:v>95</c:v>
                </c:pt>
                <c:pt idx="176">
                  <c:v>83</c:v>
                </c:pt>
                <c:pt idx="177">
                  <c:v>93</c:v>
                </c:pt>
                <c:pt idx="178">
                  <c:v>1265</c:v>
                </c:pt>
                <c:pt idx="179">
                  <c:v>91</c:v>
                </c:pt>
                <c:pt idx="180">
                  <c:v>97</c:v>
                </c:pt>
                <c:pt idx="181">
                  <c:v>115</c:v>
                </c:pt>
                <c:pt idx="182">
                  <c:v>96</c:v>
                </c:pt>
                <c:pt idx="183">
                  <c:v>83</c:v>
                </c:pt>
                <c:pt idx="184">
                  <c:v>89</c:v>
                </c:pt>
                <c:pt idx="185">
                  <c:v>92</c:v>
                </c:pt>
                <c:pt idx="186">
                  <c:v>96</c:v>
                </c:pt>
                <c:pt idx="187">
                  <c:v>88</c:v>
                </c:pt>
                <c:pt idx="188">
                  <c:v>102</c:v>
                </c:pt>
                <c:pt idx="189">
                  <c:v>103</c:v>
                </c:pt>
                <c:pt idx="190">
                  <c:v>100</c:v>
                </c:pt>
                <c:pt idx="191">
                  <c:v>91</c:v>
                </c:pt>
                <c:pt idx="192">
                  <c:v>93</c:v>
                </c:pt>
                <c:pt idx="193">
                  <c:v>89</c:v>
                </c:pt>
                <c:pt idx="195">
                  <c:v>93</c:v>
                </c:pt>
                <c:pt idx="196">
                  <c:v>121</c:v>
                </c:pt>
                <c:pt idx="197">
                  <c:v>120</c:v>
                </c:pt>
                <c:pt idx="198">
                  <c:v>121</c:v>
                </c:pt>
                <c:pt idx="199">
                  <c:v>84</c:v>
                </c:pt>
                <c:pt idx="200">
                  <c:v>105</c:v>
                </c:pt>
                <c:pt idx="201">
                  <c:v>109</c:v>
                </c:pt>
                <c:pt idx="202">
                  <c:v>94</c:v>
                </c:pt>
                <c:pt idx="203">
                  <c:v>94</c:v>
                </c:pt>
                <c:pt idx="204">
                  <c:v>96</c:v>
                </c:pt>
                <c:pt idx="205">
                  <c:v>97</c:v>
                </c:pt>
                <c:pt idx="206">
                  <c:v>121</c:v>
                </c:pt>
                <c:pt idx="207">
                  <c:v>96</c:v>
                </c:pt>
                <c:pt idx="208">
                  <c:v>101</c:v>
                </c:pt>
                <c:pt idx="209">
                  <c:v>95</c:v>
                </c:pt>
                <c:pt idx="210">
                  <c:v>98</c:v>
                </c:pt>
                <c:pt idx="212">
                  <c:v>78</c:v>
                </c:pt>
                <c:pt idx="213">
                  <c:v>96</c:v>
                </c:pt>
                <c:pt idx="214">
                  <c:v>97</c:v>
                </c:pt>
                <c:pt idx="215">
                  <c:v>93</c:v>
                </c:pt>
                <c:pt idx="216">
                  <c:v>123</c:v>
                </c:pt>
                <c:pt idx="217">
                  <c:v>82</c:v>
                </c:pt>
                <c:pt idx="218">
                  <c:v>82</c:v>
                </c:pt>
                <c:pt idx="219">
                  <c:v>122</c:v>
                </c:pt>
                <c:pt idx="220">
                  <c:v>103</c:v>
                </c:pt>
                <c:pt idx="221">
                  <c:v>116</c:v>
                </c:pt>
                <c:pt idx="222">
                  <c:v>105</c:v>
                </c:pt>
                <c:pt idx="223">
                  <c:v>103</c:v>
                </c:pt>
                <c:pt idx="224">
                  <c:v>102</c:v>
                </c:pt>
                <c:pt idx="225">
                  <c:v>118</c:v>
                </c:pt>
                <c:pt idx="226">
                  <c:v>108</c:v>
                </c:pt>
                <c:pt idx="227">
                  <c:v>97</c:v>
                </c:pt>
                <c:pt idx="228">
                  <c:v>920</c:v>
                </c:pt>
                <c:pt idx="229">
                  <c:v>99</c:v>
                </c:pt>
                <c:pt idx="230">
                  <c:v>79</c:v>
                </c:pt>
                <c:pt idx="231">
                  <c:v>81</c:v>
                </c:pt>
                <c:pt idx="232">
                  <c:v>110</c:v>
                </c:pt>
                <c:pt idx="233">
                  <c:v>103</c:v>
                </c:pt>
                <c:pt idx="234">
                  <c:v>86</c:v>
                </c:pt>
                <c:pt idx="237">
                  <c:v>95</c:v>
                </c:pt>
                <c:pt idx="238">
                  <c:v>108</c:v>
                </c:pt>
                <c:pt idx="239">
                  <c:v>103</c:v>
                </c:pt>
                <c:pt idx="240">
                  <c:v>93</c:v>
                </c:pt>
                <c:pt idx="241">
                  <c:v>93</c:v>
                </c:pt>
                <c:pt idx="242">
                  <c:v>108</c:v>
                </c:pt>
                <c:pt idx="243">
                  <c:v>98</c:v>
                </c:pt>
                <c:pt idx="244">
                  <c:v>101</c:v>
                </c:pt>
                <c:pt idx="245">
                  <c:v>113</c:v>
                </c:pt>
                <c:pt idx="247">
                  <c:v>100</c:v>
                </c:pt>
                <c:pt idx="248">
                  <c:v>104</c:v>
                </c:pt>
                <c:pt idx="249">
                  <c:v>84</c:v>
                </c:pt>
                <c:pt idx="250">
                  <c:v>104</c:v>
                </c:pt>
                <c:pt idx="251">
                  <c:v>94</c:v>
                </c:pt>
                <c:pt idx="252">
                  <c:v>106</c:v>
                </c:pt>
                <c:pt idx="253">
                  <c:v>101</c:v>
                </c:pt>
                <c:pt idx="254">
                  <c:v>76</c:v>
                </c:pt>
                <c:pt idx="255">
                  <c:v>99</c:v>
                </c:pt>
                <c:pt idx="256">
                  <c:v>108</c:v>
                </c:pt>
                <c:pt idx="257">
                  <c:v>104</c:v>
                </c:pt>
                <c:pt idx="258">
                  <c:v>106</c:v>
                </c:pt>
                <c:pt idx="259">
                  <c:v>104</c:v>
                </c:pt>
                <c:pt idx="260">
                  <c:v>103</c:v>
                </c:pt>
                <c:pt idx="261">
                  <c:v>86</c:v>
                </c:pt>
                <c:pt idx="262">
                  <c:v>100</c:v>
                </c:pt>
                <c:pt idx="263">
                  <c:v>90</c:v>
                </c:pt>
                <c:pt idx="264">
                  <c:v>99</c:v>
                </c:pt>
                <c:pt idx="265">
                  <c:v>98</c:v>
                </c:pt>
                <c:pt idx="266">
                  <c:v>102</c:v>
                </c:pt>
                <c:pt idx="267">
                  <c:v>99</c:v>
                </c:pt>
                <c:pt idx="268">
                  <c:v>98</c:v>
                </c:pt>
                <c:pt idx="269">
                  <c:v>108</c:v>
                </c:pt>
                <c:pt idx="270">
                  <c:v>88</c:v>
                </c:pt>
                <c:pt idx="271">
                  <c:v>110</c:v>
                </c:pt>
                <c:pt idx="272">
                  <c:v>91</c:v>
                </c:pt>
                <c:pt idx="273">
                  <c:v>104</c:v>
                </c:pt>
                <c:pt idx="275">
                  <c:v>93</c:v>
                </c:pt>
                <c:pt idx="276">
                  <c:v>102</c:v>
                </c:pt>
                <c:pt idx="277">
                  <c:v>239</c:v>
                </c:pt>
                <c:pt idx="278">
                  <c:v>91</c:v>
                </c:pt>
                <c:pt idx="279">
                  <c:v>99</c:v>
                </c:pt>
                <c:pt idx="280">
                  <c:v>121</c:v>
                </c:pt>
                <c:pt idx="281">
                  <c:v>113</c:v>
                </c:pt>
                <c:pt idx="282">
                  <c:v>109</c:v>
                </c:pt>
                <c:pt idx="283">
                  <c:v>127</c:v>
                </c:pt>
                <c:pt idx="284">
                  <c:v>103</c:v>
                </c:pt>
                <c:pt idx="285">
                  <c:v>103</c:v>
                </c:pt>
                <c:pt idx="286">
                  <c:v>95</c:v>
                </c:pt>
                <c:pt idx="287">
                  <c:v>94</c:v>
                </c:pt>
                <c:pt idx="288">
                  <c:v>96</c:v>
                </c:pt>
                <c:pt idx="289">
                  <c:v>84</c:v>
                </c:pt>
                <c:pt idx="290">
                  <c:v>115</c:v>
                </c:pt>
                <c:pt idx="291">
                  <c:v>105</c:v>
                </c:pt>
                <c:pt idx="292">
                  <c:v>112</c:v>
                </c:pt>
                <c:pt idx="293">
                  <c:v>114</c:v>
                </c:pt>
                <c:pt idx="294">
                  <c:v>100</c:v>
                </c:pt>
                <c:pt idx="295">
                  <c:v>211</c:v>
                </c:pt>
                <c:pt idx="296">
                  <c:v>120</c:v>
                </c:pt>
                <c:pt idx="297">
                  <c:v>96</c:v>
                </c:pt>
                <c:pt idx="298">
                  <c:v>94</c:v>
                </c:pt>
                <c:pt idx="299">
                  <c:v>96</c:v>
                </c:pt>
                <c:pt idx="300">
                  <c:v>99</c:v>
                </c:pt>
                <c:pt idx="301">
                  <c:v>119</c:v>
                </c:pt>
                <c:pt idx="302">
                  <c:v>101</c:v>
                </c:pt>
                <c:pt idx="303">
                  <c:v>97</c:v>
                </c:pt>
                <c:pt idx="304">
                  <c:v>89</c:v>
                </c:pt>
                <c:pt idx="306">
                  <c:v>93</c:v>
                </c:pt>
                <c:pt idx="307">
                  <c:v>108</c:v>
                </c:pt>
                <c:pt idx="308">
                  <c:v>95</c:v>
                </c:pt>
                <c:pt idx="309">
                  <c:v>990</c:v>
                </c:pt>
                <c:pt idx="311">
                  <c:v>100</c:v>
                </c:pt>
                <c:pt idx="312">
                  <c:v>95</c:v>
                </c:pt>
                <c:pt idx="313">
                  <c:v>90</c:v>
                </c:pt>
                <c:pt idx="314">
                  <c:v>85</c:v>
                </c:pt>
                <c:pt idx="315">
                  <c:v>101</c:v>
                </c:pt>
                <c:pt idx="316">
                  <c:v>104</c:v>
                </c:pt>
                <c:pt idx="317">
                  <c:v>107</c:v>
                </c:pt>
                <c:pt idx="318">
                  <c:v>90</c:v>
                </c:pt>
                <c:pt idx="319">
                  <c:v>82</c:v>
                </c:pt>
                <c:pt idx="320">
                  <c:v>108</c:v>
                </c:pt>
                <c:pt idx="321">
                  <c:v>103</c:v>
                </c:pt>
                <c:pt idx="322">
                  <c:v>105</c:v>
                </c:pt>
                <c:pt idx="323">
                  <c:v>106</c:v>
                </c:pt>
                <c:pt idx="324">
                  <c:v>104</c:v>
                </c:pt>
                <c:pt idx="325">
                  <c:v>94</c:v>
                </c:pt>
                <c:pt idx="326">
                  <c:v>84</c:v>
                </c:pt>
                <c:pt idx="327">
                  <c:v>94</c:v>
                </c:pt>
                <c:pt idx="328">
                  <c:v>118</c:v>
                </c:pt>
                <c:pt idx="329">
                  <c:v>127</c:v>
                </c:pt>
                <c:pt idx="330">
                  <c:v>95</c:v>
                </c:pt>
                <c:pt idx="331">
                  <c:v>95</c:v>
                </c:pt>
                <c:pt idx="332">
                  <c:v>84</c:v>
                </c:pt>
                <c:pt idx="333">
                  <c:v>89</c:v>
                </c:pt>
                <c:pt idx="334">
                  <c:v>96</c:v>
                </c:pt>
                <c:pt idx="335">
                  <c:v>109</c:v>
                </c:pt>
                <c:pt idx="336">
                  <c:v>100</c:v>
                </c:pt>
                <c:pt idx="337">
                  <c:v>90</c:v>
                </c:pt>
                <c:pt idx="338">
                  <c:v>95</c:v>
                </c:pt>
                <c:pt idx="339">
                  <c:v>105</c:v>
                </c:pt>
                <c:pt idx="340">
                  <c:v>96</c:v>
                </c:pt>
                <c:pt idx="341">
                  <c:v>102</c:v>
                </c:pt>
                <c:pt idx="342">
                  <c:v>76</c:v>
                </c:pt>
                <c:pt idx="343">
                  <c:v>101</c:v>
                </c:pt>
                <c:pt idx="344">
                  <c:v>100</c:v>
                </c:pt>
                <c:pt idx="345">
                  <c:v>89</c:v>
                </c:pt>
                <c:pt idx="346">
                  <c:v>106</c:v>
                </c:pt>
                <c:pt idx="347">
                  <c:v>104</c:v>
                </c:pt>
                <c:pt idx="348">
                  <c:v>95</c:v>
                </c:pt>
                <c:pt idx="349">
                  <c:v>86</c:v>
                </c:pt>
                <c:pt idx="350">
                  <c:v>108</c:v>
                </c:pt>
                <c:pt idx="351">
                  <c:v>86</c:v>
                </c:pt>
                <c:pt idx="353">
                  <c:v>101</c:v>
                </c:pt>
                <c:pt idx="354">
                  <c:v>102</c:v>
                </c:pt>
                <c:pt idx="355">
                  <c:v>107</c:v>
                </c:pt>
                <c:pt idx="356">
                  <c:v>94</c:v>
                </c:pt>
                <c:pt idx="357">
                  <c:v>91</c:v>
                </c:pt>
                <c:pt idx="358">
                  <c:v>103</c:v>
                </c:pt>
                <c:pt idx="359">
                  <c:v>113</c:v>
                </c:pt>
                <c:pt idx="360">
                  <c:v>950</c:v>
                </c:pt>
                <c:pt idx="361">
                  <c:v>98</c:v>
                </c:pt>
                <c:pt idx="362">
                  <c:v>91</c:v>
                </c:pt>
                <c:pt idx="363">
                  <c:v>83</c:v>
                </c:pt>
                <c:pt idx="364">
                  <c:v>106</c:v>
                </c:pt>
                <c:pt idx="365">
                  <c:v>106</c:v>
                </c:pt>
                <c:pt idx="366">
                  <c:v>99</c:v>
                </c:pt>
                <c:pt idx="367">
                  <c:v>76</c:v>
                </c:pt>
                <c:pt idx="368">
                  <c:v>107</c:v>
                </c:pt>
                <c:pt idx="369">
                  <c:v>104</c:v>
                </c:pt>
                <c:pt idx="370">
                  <c:v>100</c:v>
                </c:pt>
                <c:pt idx="371">
                  <c:v>205</c:v>
                </c:pt>
                <c:pt idx="372">
                  <c:v>114</c:v>
                </c:pt>
                <c:pt idx="373">
                  <c:v>93</c:v>
                </c:pt>
                <c:pt idx="374">
                  <c:v>119</c:v>
                </c:pt>
                <c:pt idx="375">
                  <c:v>102</c:v>
                </c:pt>
                <c:pt idx="376">
                  <c:v>98</c:v>
                </c:pt>
                <c:pt idx="377">
                  <c:v>89</c:v>
                </c:pt>
                <c:pt idx="378">
                  <c:v>85</c:v>
                </c:pt>
                <c:pt idx="379">
                  <c:v>112</c:v>
                </c:pt>
                <c:pt idx="380">
                  <c:v>109</c:v>
                </c:pt>
                <c:pt idx="381">
                  <c:v>109</c:v>
                </c:pt>
                <c:pt idx="382">
                  <c:v>76</c:v>
                </c:pt>
                <c:pt idx="383">
                  <c:v>96</c:v>
                </c:pt>
                <c:pt idx="384">
                  <c:v>101</c:v>
                </c:pt>
                <c:pt idx="385">
                  <c:v>99</c:v>
                </c:pt>
                <c:pt idx="386">
                  <c:v>86</c:v>
                </c:pt>
                <c:pt idx="387">
                  <c:v>100</c:v>
                </c:pt>
                <c:pt idx="388">
                  <c:v>96</c:v>
                </c:pt>
                <c:pt idx="389">
                  <c:v>100</c:v>
                </c:pt>
                <c:pt idx="390">
                  <c:v>120</c:v>
                </c:pt>
                <c:pt idx="391">
                  <c:v>92</c:v>
                </c:pt>
                <c:pt idx="392">
                  <c:v>87</c:v>
                </c:pt>
                <c:pt idx="393">
                  <c:v>106</c:v>
                </c:pt>
                <c:pt idx="394">
                  <c:v>202</c:v>
                </c:pt>
                <c:pt idx="395">
                  <c:v>109</c:v>
                </c:pt>
                <c:pt idx="396">
                  <c:v>111</c:v>
                </c:pt>
                <c:pt idx="397">
                  <c:v>108</c:v>
                </c:pt>
                <c:pt idx="398">
                  <c:v>113</c:v>
                </c:pt>
                <c:pt idx="399">
                  <c:v>100</c:v>
                </c:pt>
                <c:pt idx="400">
                  <c:v>110</c:v>
                </c:pt>
                <c:pt idx="401">
                  <c:v>81</c:v>
                </c:pt>
                <c:pt idx="402">
                  <c:v>92</c:v>
                </c:pt>
                <c:pt idx="403">
                  <c:v>91</c:v>
                </c:pt>
                <c:pt idx="404">
                  <c:v>96</c:v>
                </c:pt>
                <c:pt idx="405">
                  <c:v>103</c:v>
                </c:pt>
                <c:pt idx="406">
                  <c:v>94</c:v>
                </c:pt>
                <c:pt idx="407">
                  <c:v>90</c:v>
                </c:pt>
                <c:pt idx="408">
                  <c:v>970</c:v>
                </c:pt>
                <c:pt idx="409">
                  <c:v>114</c:v>
                </c:pt>
                <c:pt idx="411">
                  <c:v>93</c:v>
                </c:pt>
                <c:pt idx="412">
                  <c:v>104</c:v>
                </c:pt>
                <c:pt idx="413">
                  <c:v>104</c:v>
                </c:pt>
                <c:pt idx="414">
                  <c:v>115</c:v>
                </c:pt>
                <c:pt idx="415">
                  <c:v>102</c:v>
                </c:pt>
                <c:pt idx="417">
                  <c:v>111</c:v>
                </c:pt>
                <c:pt idx="419">
                  <c:v>84</c:v>
                </c:pt>
                <c:pt idx="420">
                  <c:v>108</c:v>
                </c:pt>
                <c:pt idx="421">
                  <c:v>84</c:v>
                </c:pt>
                <c:pt idx="422">
                  <c:v>98</c:v>
                </c:pt>
                <c:pt idx="423">
                  <c:v>99</c:v>
                </c:pt>
                <c:pt idx="424">
                  <c:v>103</c:v>
                </c:pt>
                <c:pt idx="425">
                  <c:v>113</c:v>
                </c:pt>
                <c:pt idx="426">
                  <c:v>100</c:v>
                </c:pt>
                <c:pt idx="427">
                  <c:v>91</c:v>
                </c:pt>
                <c:pt idx="428">
                  <c:v>85</c:v>
                </c:pt>
                <c:pt idx="429">
                  <c:v>103</c:v>
                </c:pt>
                <c:pt idx="430">
                  <c:v>86</c:v>
                </c:pt>
                <c:pt idx="431">
                  <c:v>81</c:v>
                </c:pt>
                <c:pt idx="432">
                  <c:v>97</c:v>
                </c:pt>
                <c:pt idx="433">
                  <c:v>109</c:v>
                </c:pt>
                <c:pt idx="435">
                  <c:v>91</c:v>
                </c:pt>
                <c:pt idx="436">
                  <c:v>101</c:v>
                </c:pt>
                <c:pt idx="438">
                  <c:v>113</c:v>
                </c:pt>
                <c:pt idx="439">
                  <c:v>103</c:v>
                </c:pt>
                <c:pt idx="441">
                  <c:v>106</c:v>
                </c:pt>
                <c:pt idx="442">
                  <c:v>101</c:v>
                </c:pt>
                <c:pt idx="443">
                  <c:v>96</c:v>
                </c:pt>
                <c:pt idx="445">
                  <c:v>107</c:v>
                </c:pt>
                <c:pt idx="446">
                  <c:v>113</c:v>
                </c:pt>
                <c:pt idx="447">
                  <c:v>81</c:v>
                </c:pt>
                <c:pt idx="448">
                  <c:v>1030</c:v>
                </c:pt>
                <c:pt idx="449">
                  <c:v>111</c:v>
                </c:pt>
                <c:pt idx="450">
                  <c:v>86</c:v>
                </c:pt>
                <c:pt idx="451">
                  <c:v>115</c:v>
                </c:pt>
                <c:pt idx="452">
                  <c:v>103</c:v>
                </c:pt>
                <c:pt idx="453">
                  <c:v>106</c:v>
                </c:pt>
                <c:pt idx="454">
                  <c:v>89</c:v>
                </c:pt>
                <c:pt idx="455">
                  <c:v>109</c:v>
                </c:pt>
                <c:pt idx="456">
                  <c:v>87</c:v>
                </c:pt>
                <c:pt idx="457">
                  <c:v>93</c:v>
                </c:pt>
                <c:pt idx="458">
                  <c:v>97</c:v>
                </c:pt>
                <c:pt idx="459">
                  <c:v>104</c:v>
                </c:pt>
                <c:pt idx="461">
                  <c:v>85</c:v>
                </c:pt>
                <c:pt idx="462">
                  <c:v>79</c:v>
                </c:pt>
                <c:pt idx="463">
                  <c:v>86</c:v>
                </c:pt>
                <c:pt idx="464">
                  <c:v>93</c:v>
                </c:pt>
                <c:pt idx="465">
                  <c:v>111</c:v>
                </c:pt>
                <c:pt idx="466">
                  <c:v>87</c:v>
                </c:pt>
                <c:pt idx="467">
                  <c:v>1040</c:v>
                </c:pt>
                <c:pt idx="468">
                  <c:v>100</c:v>
                </c:pt>
                <c:pt idx="469">
                  <c:v>101</c:v>
                </c:pt>
                <c:pt idx="470">
                  <c:v>177</c:v>
                </c:pt>
                <c:pt idx="471">
                  <c:v>94</c:v>
                </c:pt>
                <c:pt idx="472">
                  <c:v>102</c:v>
                </c:pt>
                <c:pt idx="473">
                  <c:v>116</c:v>
                </c:pt>
                <c:pt idx="474">
                  <c:v>91</c:v>
                </c:pt>
                <c:pt idx="475">
                  <c:v>98</c:v>
                </c:pt>
                <c:pt idx="476">
                  <c:v>87</c:v>
                </c:pt>
                <c:pt idx="477">
                  <c:v>97</c:v>
                </c:pt>
                <c:pt idx="478">
                  <c:v>94</c:v>
                </c:pt>
                <c:pt idx="479">
                  <c:v>115</c:v>
                </c:pt>
                <c:pt idx="480">
                  <c:v>98</c:v>
                </c:pt>
                <c:pt idx="481">
                  <c:v>85</c:v>
                </c:pt>
                <c:pt idx="482">
                  <c:v>92</c:v>
                </c:pt>
                <c:pt idx="483">
                  <c:v>95</c:v>
                </c:pt>
                <c:pt idx="484">
                  <c:v>94</c:v>
                </c:pt>
                <c:pt idx="485">
                  <c:v>97</c:v>
                </c:pt>
                <c:pt idx="486">
                  <c:v>83</c:v>
                </c:pt>
                <c:pt idx="487">
                  <c:v>111</c:v>
                </c:pt>
                <c:pt idx="488">
                  <c:v>95</c:v>
                </c:pt>
              </c:numCache>
            </c:numRef>
          </c:val>
          <c:smooth val="0"/>
          <c:extLst>
            <c:ext xmlns:c16="http://schemas.microsoft.com/office/drawing/2014/chart" uri="{C3380CC4-5D6E-409C-BE32-E72D297353CC}">
              <c16:uniqueId val="{00000000-1FAB-466C-8396-37762686F2D5}"/>
            </c:ext>
          </c:extLst>
        </c:ser>
        <c:dLbls>
          <c:showLegendKey val="0"/>
          <c:showVal val="0"/>
          <c:showCatName val="0"/>
          <c:showSerName val="0"/>
          <c:showPercent val="0"/>
          <c:showBubbleSize val="0"/>
        </c:dLbls>
        <c:marker val="1"/>
        <c:smooth val="0"/>
        <c:axId val="659003088"/>
        <c:axId val="659007408"/>
      </c:lineChart>
      <c:catAx>
        <c:axId val="65900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07408"/>
        <c:crosses val="autoZero"/>
        <c:auto val="1"/>
        <c:lblAlgn val="ctr"/>
        <c:lblOffset val="100"/>
        <c:noMultiLvlLbl val="0"/>
      </c:catAx>
      <c:valAx>
        <c:axId val="65900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0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[Automotive_market_Demand_Forecasting_Dataset_Analysis.xlsx]Pivot-AveragePrice Vs Time!PivotTable2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'Pivot-AveragePrice Vs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'Pivot-AveragePrice Vs Time'!$A$4:$A$505</c:f>
              <c:multiLvlStrCache>
                <c:ptCount val="489"/>
                <c:lvl>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2016</c:v>
                  </c:pt>
                  <c:pt idx="42">
                    <c:v>2017</c:v>
                  </c:pt>
                  <c:pt idx="43">
                    <c:v>2018</c:v>
                  </c:pt>
                  <c:pt idx="44">
                    <c:v>2019</c:v>
                  </c:pt>
                  <c:pt idx="45">
                    <c:v>2020</c:v>
                  </c:pt>
                  <c:pt idx="46">
                    <c:v>2021</c:v>
                  </c:pt>
                  <c:pt idx="47">
                    <c:v>2022</c:v>
                  </c:pt>
                  <c:pt idx="48">
                    <c:v>2023</c:v>
                  </c:pt>
                  <c:pt idx="49">
                    <c:v>2024</c:v>
                  </c:pt>
                  <c:pt idx="50">
                    <c:v>2025</c:v>
                  </c:pt>
                  <c:pt idx="51">
                    <c:v>2026</c:v>
                  </c:pt>
                  <c:pt idx="52">
                    <c:v>2027</c:v>
                  </c:pt>
                  <c:pt idx="53">
                    <c:v>2028</c:v>
                  </c:pt>
                  <c:pt idx="54">
                    <c:v>2029</c:v>
                  </c:pt>
                  <c:pt idx="55">
                    <c:v>2030</c:v>
                  </c:pt>
                  <c:pt idx="56">
                    <c:v>2031</c:v>
                  </c:pt>
                  <c:pt idx="57">
                    <c:v>2032</c:v>
                  </c:pt>
                  <c:pt idx="58">
                    <c:v>2033</c:v>
                  </c:pt>
                  <c:pt idx="59">
                    <c:v>2034</c:v>
                  </c:pt>
                  <c:pt idx="60">
                    <c:v>2035</c:v>
                  </c:pt>
                  <c:pt idx="61">
                    <c:v>2036</c:v>
                  </c:pt>
                  <c:pt idx="62">
                    <c:v>2037</c:v>
                  </c:pt>
                  <c:pt idx="63">
                    <c:v>2039</c:v>
                  </c:pt>
                  <c:pt idx="64">
                    <c:v>2040</c:v>
                  </c:pt>
                  <c:pt idx="65">
                    <c:v>2041</c:v>
                  </c:pt>
                  <c:pt idx="66">
                    <c:v>2042</c:v>
                  </c:pt>
                  <c:pt idx="67">
                    <c:v>2043</c:v>
                  </c:pt>
                  <c:pt idx="68">
                    <c:v>2044</c:v>
                  </c:pt>
                  <c:pt idx="69">
                    <c:v>2045</c:v>
                  </c:pt>
                  <c:pt idx="70">
                    <c:v>2046</c:v>
                  </c:pt>
                  <c:pt idx="71">
                    <c:v>2047</c:v>
                  </c:pt>
                  <c:pt idx="72">
                    <c:v>2048</c:v>
                  </c:pt>
                  <c:pt idx="73">
                    <c:v>2049</c:v>
                  </c:pt>
                  <c:pt idx="74">
                    <c:v>2050</c:v>
                  </c:pt>
                  <c:pt idx="75">
                    <c:v>2051</c:v>
                  </c:pt>
                  <c:pt idx="76">
                    <c:v>2052</c:v>
                  </c:pt>
                  <c:pt idx="77">
                    <c:v>2053</c:v>
                  </c:pt>
                  <c:pt idx="78">
                    <c:v>2054</c:v>
                  </c:pt>
                  <c:pt idx="79">
                    <c:v>2015</c:v>
                  </c:pt>
                  <c:pt idx="80">
                    <c:v>2016</c:v>
                  </c:pt>
                  <c:pt idx="81">
                    <c:v>2017</c:v>
                  </c:pt>
                  <c:pt idx="82">
                    <c:v>2018</c:v>
                  </c:pt>
                  <c:pt idx="83">
                    <c:v>2019</c:v>
                  </c:pt>
                  <c:pt idx="84">
                    <c:v>2020</c:v>
                  </c:pt>
                  <c:pt idx="85">
                    <c:v>2021</c:v>
                  </c:pt>
                  <c:pt idx="86">
                    <c:v>2022</c:v>
                  </c:pt>
                  <c:pt idx="87">
                    <c:v>2023</c:v>
                  </c:pt>
                  <c:pt idx="88">
                    <c:v>2024</c:v>
                  </c:pt>
                  <c:pt idx="89">
                    <c:v>2025</c:v>
                  </c:pt>
                  <c:pt idx="90">
                    <c:v>2026</c:v>
                  </c:pt>
                  <c:pt idx="91">
                    <c:v>2027</c:v>
                  </c:pt>
                  <c:pt idx="92">
                    <c:v>2028</c:v>
                  </c:pt>
                  <c:pt idx="93">
                    <c:v>2029</c:v>
                  </c:pt>
                  <c:pt idx="94">
                    <c:v>2030</c:v>
                  </c:pt>
                  <c:pt idx="95">
                    <c:v>2031</c:v>
                  </c:pt>
                  <c:pt idx="96">
                    <c:v>2032</c:v>
                  </c:pt>
                  <c:pt idx="97">
                    <c:v>2033</c:v>
                  </c:pt>
                  <c:pt idx="98">
                    <c:v>2034</c:v>
                  </c:pt>
                  <c:pt idx="99">
                    <c:v>2035</c:v>
                  </c:pt>
                  <c:pt idx="100">
                    <c:v>2036</c:v>
                  </c:pt>
                  <c:pt idx="101">
                    <c:v>2037</c:v>
                  </c:pt>
                  <c:pt idx="102">
                    <c:v>2038</c:v>
                  </c:pt>
                  <c:pt idx="103">
                    <c:v>2039</c:v>
                  </c:pt>
                  <c:pt idx="104">
                    <c:v>2040</c:v>
                  </c:pt>
                  <c:pt idx="105">
                    <c:v>2041</c:v>
                  </c:pt>
                  <c:pt idx="106">
                    <c:v>2042</c:v>
                  </c:pt>
                  <c:pt idx="107">
                    <c:v>2043</c:v>
                  </c:pt>
                  <c:pt idx="108">
                    <c:v>2044</c:v>
                  </c:pt>
                  <c:pt idx="109">
                    <c:v>2045</c:v>
                  </c:pt>
                  <c:pt idx="110">
                    <c:v>2046</c:v>
                  </c:pt>
                  <c:pt idx="111">
                    <c:v>2047</c:v>
                  </c:pt>
                  <c:pt idx="112">
                    <c:v>2048</c:v>
                  </c:pt>
                  <c:pt idx="113">
                    <c:v>2049</c:v>
                  </c:pt>
                  <c:pt idx="114">
                    <c:v>2050</c:v>
                  </c:pt>
                  <c:pt idx="115">
                    <c:v>2051</c:v>
                  </c:pt>
                  <c:pt idx="116">
                    <c:v>2052</c:v>
                  </c:pt>
                  <c:pt idx="117">
                    <c:v>2053</c:v>
                  </c:pt>
                  <c:pt idx="118">
                    <c:v>2054</c:v>
                  </c:pt>
                  <c:pt idx="119">
                    <c:v>2055</c:v>
                  </c:pt>
                  <c:pt idx="120">
                    <c:v>2015</c:v>
                  </c:pt>
                  <c:pt idx="121">
                    <c:v>2016</c:v>
                  </c:pt>
                  <c:pt idx="122">
                    <c:v>2017</c:v>
                  </c:pt>
                  <c:pt idx="123">
                    <c:v>2018</c:v>
                  </c:pt>
                  <c:pt idx="124">
                    <c:v>2019</c:v>
                  </c:pt>
                  <c:pt idx="125">
                    <c:v>2020</c:v>
                  </c:pt>
                  <c:pt idx="126">
                    <c:v>2021</c:v>
                  </c:pt>
                  <c:pt idx="127">
                    <c:v>2022</c:v>
                  </c:pt>
                  <c:pt idx="128">
                    <c:v>2023</c:v>
                  </c:pt>
                  <c:pt idx="129">
                    <c:v>2024</c:v>
                  </c:pt>
                  <c:pt idx="130">
                    <c:v>2025</c:v>
                  </c:pt>
                  <c:pt idx="131">
                    <c:v>2026</c:v>
                  </c:pt>
                  <c:pt idx="132">
                    <c:v>2027</c:v>
                  </c:pt>
                  <c:pt idx="133">
                    <c:v>2028</c:v>
                  </c:pt>
                  <c:pt idx="134">
                    <c:v>2029</c:v>
                  </c:pt>
                  <c:pt idx="135">
                    <c:v>2030</c:v>
                  </c:pt>
                  <c:pt idx="136">
                    <c:v>2031</c:v>
                  </c:pt>
                  <c:pt idx="137">
                    <c:v>2032</c:v>
                  </c:pt>
                  <c:pt idx="138">
                    <c:v>2033</c:v>
                  </c:pt>
                  <c:pt idx="139">
                    <c:v>2034</c:v>
                  </c:pt>
                  <c:pt idx="140">
                    <c:v>2035</c:v>
                  </c:pt>
                  <c:pt idx="141">
                    <c:v>2036</c:v>
                  </c:pt>
                  <c:pt idx="142">
                    <c:v>2037</c:v>
                  </c:pt>
                  <c:pt idx="143">
                    <c:v>2038</c:v>
                  </c:pt>
                  <c:pt idx="144">
                    <c:v>2039</c:v>
                  </c:pt>
                  <c:pt idx="145">
                    <c:v>2040</c:v>
                  </c:pt>
                  <c:pt idx="146">
                    <c:v>2041</c:v>
                  </c:pt>
                  <c:pt idx="147">
                    <c:v>2042</c:v>
                  </c:pt>
                  <c:pt idx="148">
                    <c:v>2043</c:v>
                  </c:pt>
                  <c:pt idx="149">
                    <c:v>2044</c:v>
                  </c:pt>
                  <c:pt idx="150">
                    <c:v>2045</c:v>
                  </c:pt>
                  <c:pt idx="151">
                    <c:v>2046</c:v>
                  </c:pt>
                  <c:pt idx="152">
                    <c:v>2047</c:v>
                  </c:pt>
                  <c:pt idx="153">
                    <c:v>2048</c:v>
                  </c:pt>
                  <c:pt idx="154">
                    <c:v>2049</c:v>
                  </c:pt>
                  <c:pt idx="155">
                    <c:v>2050</c:v>
                  </c:pt>
                  <c:pt idx="156">
                    <c:v>2051</c:v>
                  </c:pt>
                  <c:pt idx="157">
                    <c:v>2052</c:v>
                  </c:pt>
                  <c:pt idx="158">
                    <c:v>2053</c:v>
                  </c:pt>
                  <c:pt idx="159">
                    <c:v>2054</c:v>
                  </c:pt>
                  <c:pt idx="160">
                    <c:v>2055</c:v>
                  </c:pt>
                  <c:pt idx="161">
                    <c:v>2015</c:v>
                  </c:pt>
                  <c:pt idx="162">
                    <c:v>2016</c:v>
                  </c:pt>
                  <c:pt idx="163">
                    <c:v>2017</c:v>
                  </c:pt>
                  <c:pt idx="164">
                    <c:v>2018</c:v>
                  </c:pt>
                  <c:pt idx="165">
                    <c:v>2019</c:v>
                  </c:pt>
                  <c:pt idx="166">
                    <c:v>2020</c:v>
                  </c:pt>
                  <c:pt idx="167">
                    <c:v>2021</c:v>
                  </c:pt>
                  <c:pt idx="168">
                    <c:v>2022</c:v>
                  </c:pt>
                  <c:pt idx="169">
                    <c:v>2023</c:v>
                  </c:pt>
                  <c:pt idx="170">
                    <c:v>2024</c:v>
                  </c:pt>
                  <c:pt idx="171">
                    <c:v>2025</c:v>
                  </c:pt>
                  <c:pt idx="172">
                    <c:v>2026</c:v>
                  </c:pt>
                  <c:pt idx="173">
                    <c:v>2027</c:v>
                  </c:pt>
                  <c:pt idx="174">
                    <c:v>2028</c:v>
                  </c:pt>
                  <c:pt idx="175">
                    <c:v>2029</c:v>
                  </c:pt>
                  <c:pt idx="176">
                    <c:v>2030</c:v>
                  </c:pt>
                  <c:pt idx="177">
                    <c:v>2031</c:v>
                  </c:pt>
                  <c:pt idx="178">
                    <c:v>2032</c:v>
                  </c:pt>
                  <c:pt idx="179">
                    <c:v>2033</c:v>
                  </c:pt>
                  <c:pt idx="180">
                    <c:v>2034</c:v>
                  </c:pt>
                  <c:pt idx="181">
                    <c:v>2035</c:v>
                  </c:pt>
                  <c:pt idx="182">
                    <c:v>2036</c:v>
                  </c:pt>
                  <c:pt idx="183">
                    <c:v>2037</c:v>
                  </c:pt>
                  <c:pt idx="184">
                    <c:v>2038</c:v>
                  </c:pt>
                  <c:pt idx="185">
                    <c:v>2039</c:v>
                  </c:pt>
                  <c:pt idx="186">
                    <c:v>2040</c:v>
                  </c:pt>
                  <c:pt idx="187">
                    <c:v>2041</c:v>
                  </c:pt>
                  <c:pt idx="188">
                    <c:v>2042</c:v>
                  </c:pt>
                  <c:pt idx="189">
                    <c:v>2043</c:v>
                  </c:pt>
                  <c:pt idx="190">
                    <c:v>2044</c:v>
                  </c:pt>
                  <c:pt idx="191">
                    <c:v>2045</c:v>
                  </c:pt>
                  <c:pt idx="192">
                    <c:v>2046</c:v>
                  </c:pt>
                  <c:pt idx="193">
                    <c:v>2047</c:v>
                  </c:pt>
                  <c:pt idx="194">
                    <c:v>2048</c:v>
                  </c:pt>
                  <c:pt idx="195">
                    <c:v>2049</c:v>
                  </c:pt>
                  <c:pt idx="196">
                    <c:v>2050</c:v>
                  </c:pt>
                  <c:pt idx="197">
                    <c:v>2051</c:v>
                  </c:pt>
                  <c:pt idx="198">
                    <c:v>2052</c:v>
                  </c:pt>
                  <c:pt idx="199">
                    <c:v>2053</c:v>
                  </c:pt>
                  <c:pt idx="200">
                    <c:v>2054</c:v>
                  </c:pt>
                  <c:pt idx="201">
                    <c:v>2055</c:v>
                  </c:pt>
                  <c:pt idx="202">
                    <c:v>2015</c:v>
                  </c:pt>
                  <c:pt idx="203">
                    <c:v>2016</c:v>
                  </c:pt>
                  <c:pt idx="204">
                    <c:v>2017</c:v>
                  </c:pt>
                  <c:pt idx="205">
                    <c:v>2018</c:v>
                  </c:pt>
                  <c:pt idx="206">
                    <c:v>2019</c:v>
                  </c:pt>
                  <c:pt idx="207">
                    <c:v>2020</c:v>
                  </c:pt>
                  <c:pt idx="208">
                    <c:v>2021</c:v>
                  </c:pt>
                  <c:pt idx="209">
                    <c:v>2022</c:v>
                  </c:pt>
                  <c:pt idx="210">
                    <c:v>2023</c:v>
                  </c:pt>
                  <c:pt idx="211">
                    <c:v>2024</c:v>
                  </c:pt>
                  <c:pt idx="212">
                    <c:v>2025</c:v>
                  </c:pt>
                  <c:pt idx="213">
                    <c:v>2026</c:v>
                  </c:pt>
                  <c:pt idx="214">
                    <c:v>2027</c:v>
                  </c:pt>
                  <c:pt idx="215">
                    <c:v>2028</c:v>
                  </c:pt>
                  <c:pt idx="216">
                    <c:v>2029</c:v>
                  </c:pt>
                  <c:pt idx="217">
                    <c:v>2030</c:v>
                  </c:pt>
                  <c:pt idx="218">
                    <c:v>2031</c:v>
                  </c:pt>
                  <c:pt idx="219">
                    <c:v>2032</c:v>
                  </c:pt>
                  <c:pt idx="220">
                    <c:v>2033</c:v>
                  </c:pt>
                  <c:pt idx="221">
                    <c:v>2034</c:v>
                  </c:pt>
                  <c:pt idx="222">
                    <c:v>2035</c:v>
                  </c:pt>
                  <c:pt idx="223">
                    <c:v>2036</c:v>
                  </c:pt>
                  <c:pt idx="224">
                    <c:v>2037</c:v>
                  </c:pt>
                  <c:pt idx="225">
                    <c:v>2038</c:v>
                  </c:pt>
                  <c:pt idx="226">
                    <c:v>2039</c:v>
                  </c:pt>
                  <c:pt idx="227">
                    <c:v>2040</c:v>
                  </c:pt>
                  <c:pt idx="228">
                    <c:v>2041</c:v>
                  </c:pt>
                  <c:pt idx="229">
                    <c:v>2042</c:v>
                  </c:pt>
                  <c:pt idx="230">
                    <c:v>2043</c:v>
                  </c:pt>
                  <c:pt idx="231">
                    <c:v>2044</c:v>
                  </c:pt>
                  <c:pt idx="232">
                    <c:v>2045</c:v>
                  </c:pt>
                  <c:pt idx="233">
                    <c:v>2046</c:v>
                  </c:pt>
                  <c:pt idx="234">
                    <c:v>2047</c:v>
                  </c:pt>
                  <c:pt idx="235">
                    <c:v>2048</c:v>
                  </c:pt>
                  <c:pt idx="236">
                    <c:v>2049</c:v>
                  </c:pt>
                  <c:pt idx="237">
                    <c:v>2050</c:v>
                  </c:pt>
                  <c:pt idx="238">
                    <c:v>2051</c:v>
                  </c:pt>
                  <c:pt idx="239">
                    <c:v>2052</c:v>
                  </c:pt>
                  <c:pt idx="240">
                    <c:v>2053</c:v>
                  </c:pt>
                  <c:pt idx="241">
                    <c:v>2054</c:v>
                  </c:pt>
                  <c:pt idx="242">
                    <c:v>2055</c:v>
                  </c:pt>
                  <c:pt idx="243">
                    <c:v>2015</c:v>
                  </c:pt>
                  <c:pt idx="244">
                    <c:v>2016</c:v>
                  </c:pt>
                  <c:pt idx="245">
                    <c:v>2017</c:v>
                  </c:pt>
                  <c:pt idx="246">
                    <c:v>2018</c:v>
                  </c:pt>
                  <c:pt idx="247">
                    <c:v>2019</c:v>
                  </c:pt>
                  <c:pt idx="248">
                    <c:v>2020</c:v>
                  </c:pt>
                  <c:pt idx="249">
                    <c:v>2021</c:v>
                  </c:pt>
                  <c:pt idx="250">
                    <c:v>2022</c:v>
                  </c:pt>
                  <c:pt idx="251">
                    <c:v>2023</c:v>
                  </c:pt>
                  <c:pt idx="252">
                    <c:v>2024</c:v>
                  </c:pt>
                  <c:pt idx="253">
                    <c:v>2025</c:v>
                  </c:pt>
                  <c:pt idx="254">
                    <c:v>2026</c:v>
                  </c:pt>
                  <c:pt idx="255">
                    <c:v>2027</c:v>
                  </c:pt>
                  <c:pt idx="256">
                    <c:v>2028</c:v>
                  </c:pt>
                  <c:pt idx="257">
                    <c:v>2029</c:v>
                  </c:pt>
                  <c:pt idx="258">
                    <c:v>2030</c:v>
                  </c:pt>
                  <c:pt idx="259">
                    <c:v>2031</c:v>
                  </c:pt>
                  <c:pt idx="260">
                    <c:v>2032</c:v>
                  </c:pt>
                  <c:pt idx="261">
                    <c:v>2033</c:v>
                  </c:pt>
                  <c:pt idx="262">
                    <c:v>2034</c:v>
                  </c:pt>
                  <c:pt idx="263">
                    <c:v>2035</c:v>
                  </c:pt>
                  <c:pt idx="264">
                    <c:v>2036</c:v>
                  </c:pt>
                  <c:pt idx="265">
                    <c:v>2037</c:v>
                  </c:pt>
                  <c:pt idx="266">
                    <c:v>2038</c:v>
                  </c:pt>
                  <c:pt idx="267">
                    <c:v>2039</c:v>
                  </c:pt>
                  <c:pt idx="268">
                    <c:v>2040</c:v>
                  </c:pt>
                  <c:pt idx="269">
                    <c:v>2041</c:v>
                  </c:pt>
                  <c:pt idx="270">
                    <c:v>2042</c:v>
                  </c:pt>
                  <c:pt idx="271">
                    <c:v>2043</c:v>
                  </c:pt>
                  <c:pt idx="272">
                    <c:v>2044</c:v>
                  </c:pt>
                  <c:pt idx="273">
                    <c:v>2045</c:v>
                  </c:pt>
                  <c:pt idx="274">
                    <c:v>2046</c:v>
                  </c:pt>
                  <c:pt idx="275">
                    <c:v>2047</c:v>
                  </c:pt>
                  <c:pt idx="276">
                    <c:v>2048</c:v>
                  </c:pt>
                  <c:pt idx="277">
                    <c:v>2049</c:v>
                  </c:pt>
                  <c:pt idx="278">
                    <c:v>2050</c:v>
                  </c:pt>
                  <c:pt idx="279">
                    <c:v>2051</c:v>
                  </c:pt>
                  <c:pt idx="280">
                    <c:v>2052</c:v>
                  </c:pt>
                  <c:pt idx="281">
                    <c:v>2053</c:v>
                  </c:pt>
                  <c:pt idx="282">
                    <c:v>2054</c:v>
                  </c:pt>
                  <c:pt idx="283">
                    <c:v>2055</c:v>
                  </c:pt>
                  <c:pt idx="284">
                    <c:v>2015</c:v>
                  </c:pt>
                  <c:pt idx="285">
                    <c:v>2016</c:v>
                  </c:pt>
                  <c:pt idx="286">
                    <c:v>2017</c:v>
                  </c:pt>
                  <c:pt idx="287">
                    <c:v>2018</c:v>
                  </c:pt>
                  <c:pt idx="288">
                    <c:v>2019</c:v>
                  </c:pt>
                  <c:pt idx="289">
                    <c:v>2020</c:v>
                  </c:pt>
                  <c:pt idx="290">
                    <c:v>2021</c:v>
                  </c:pt>
                  <c:pt idx="291">
                    <c:v>2022</c:v>
                  </c:pt>
                  <c:pt idx="292">
                    <c:v>2023</c:v>
                  </c:pt>
                  <c:pt idx="293">
                    <c:v>2024</c:v>
                  </c:pt>
                  <c:pt idx="294">
                    <c:v>2025</c:v>
                  </c:pt>
                  <c:pt idx="295">
                    <c:v>2026</c:v>
                  </c:pt>
                  <c:pt idx="296">
                    <c:v>2027</c:v>
                  </c:pt>
                  <c:pt idx="297">
                    <c:v>2028</c:v>
                  </c:pt>
                  <c:pt idx="298">
                    <c:v>2029</c:v>
                  </c:pt>
                  <c:pt idx="299">
                    <c:v>2030</c:v>
                  </c:pt>
                  <c:pt idx="300">
                    <c:v>2031</c:v>
                  </c:pt>
                  <c:pt idx="301">
                    <c:v>2032</c:v>
                  </c:pt>
                  <c:pt idx="302">
                    <c:v>2033</c:v>
                  </c:pt>
                  <c:pt idx="303">
                    <c:v>2034</c:v>
                  </c:pt>
                  <c:pt idx="304">
                    <c:v>2035</c:v>
                  </c:pt>
                  <c:pt idx="305">
                    <c:v>2036</c:v>
                  </c:pt>
                  <c:pt idx="306">
                    <c:v>2037</c:v>
                  </c:pt>
                  <c:pt idx="307">
                    <c:v>2038</c:v>
                  </c:pt>
                  <c:pt idx="308">
                    <c:v>2039</c:v>
                  </c:pt>
                  <c:pt idx="309">
                    <c:v>2040</c:v>
                  </c:pt>
                  <c:pt idx="310">
                    <c:v>2041</c:v>
                  </c:pt>
                  <c:pt idx="311">
                    <c:v>2042</c:v>
                  </c:pt>
                  <c:pt idx="312">
                    <c:v>2043</c:v>
                  </c:pt>
                  <c:pt idx="313">
                    <c:v>2044</c:v>
                  </c:pt>
                  <c:pt idx="314">
                    <c:v>2045</c:v>
                  </c:pt>
                  <c:pt idx="315">
                    <c:v>2046</c:v>
                  </c:pt>
                  <c:pt idx="316">
                    <c:v>2047</c:v>
                  </c:pt>
                  <c:pt idx="317">
                    <c:v>2048</c:v>
                  </c:pt>
                  <c:pt idx="318">
                    <c:v>2049</c:v>
                  </c:pt>
                  <c:pt idx="319">
                    <c:v>2050</c:v>
                  </c:pt>
                  <c:pt idx="320">
                    <c:v>2051</c:v>
                  </c:pt>
                  <c:pt idx="321">
                    <c:v>2052</c:v>
                  </c:pt>
                  <c:pt idx="322">
                    <c:v>2053</c:v>
                  </c:pt>
                  <c:pt idx="323">
                    <c:v>2054</c:v>
                  </c:pt>
                  <c:pt idx="324">
                    <c:v>2055</c:v>
                  </c:pt>
                  <c:pt idx="325">
                    <c:v>2015</c:v>
                  </c:pt>
                  <c:pt idx="326">
                    <c:v>2016</c:v>
                  </c:pt>
                  <c:pt idx="327">
                    <c:v>2017</c:v>
                  </c:pt>
                  <c:pt idx="328">
                    <c:v>2018</c:v>
                  </c:pt>
                  <c:pt idx="329">
                    <c:v>2019</c:v>
                  </c:pt>
                  <c:pt idx="330">
                    <c:v>2020</c:v>
                  </c:pt>
                  <c:pt idx="331">
                    <c:v>2021</c:v>
                  </c:pt>
                  <c:pt idx="332">
                    <c:v>2022</c:v>
                  </c:pt>
                  <c:pt idx="333">
                    <c:v>2023</c:v>
                  </c:pt>
                  <c:pt idx="334">
                    <c:v>2024</c:v>
                  </c:pt>
                  <c:pt idx="335">
                    <c:v>2025</c:v>
                  </c:pt>
                  <c:pt idx="336">
                    <c:v>2026</c:v>
                  </c:pt>
                  <c:pt idx="337">
                    <c:v>2027</c:v>
                  </c:pt>
                  <c:pt idx="338">
                    <c:v>2028</c:v>
                  </c:pt>
                  <c:pt idx="339">
                    <c:v>2029</c:v>
                  </c:pt>
                  <c:pt idx="340">
                    <c:v>2030</c:v>
                  </c:pt>
                  <c:pt idx="341">
                    <c:v>2031</c:v>
                  </c:pt>
                  <c:pt idx="342">
                    <c:v>2032</c:v>
                  </c:pt>
                  <c:pt idx="343">
                    <c:v>2033</c:v>
                  </c:pt>
                  <c:pt idx="344">
                    <c:v>2034</c:v>
                  </c:pt>
                  <c:pt idx="345">
                    <c:v>2035</c:v>
                  </c:pt>
                  <c:pt idx="346">
                    <c:v>2036</c:v>
                  </c:pt>
                  <c:pt idx="347">
                    <c:v>2037</c:v>
                  </c:pt>
                  <c:pt idx="348">
                    <c:v>2038</c:v>
                  </c:pt>
                  <c:pt idx="349">
                    <c:v>2039</c:v>
                  </c:pt>
                  <c:pt idx="350">
                    <c:v>2040</c:v>
                  </c:pt>
                  <c:pt idx="351">
                    <c:v>2041</c:v>
                  </c:pt>
                  <c:pt idx="352">
                    <c:v>2042</c:v>
                  </c:pt>
                  <c:pt idx="353">
                    <c:v>2043</c:v>
                  </c:pt>
                  <c:pt idx="354">
                    <c:v>2044</c:v>
                  </c:pt>
                  <c:pt idx="355">
                    <c:v>2045</c:v>
                  </c:pt>
                  <c:pt idx="356">
                    <c:v>2046</c:v>
                  </c:pt>
                  <c:pt idx="357">
                    <c:v>2047</c:v>
                  </c:pt>
                  <c:pt idx="358">
                    <c:v>2048</c:v>
                  </c:pt>
                  <c:pt idx="359">
                    <c:v>2049</c:v>
                  </c:pt>
                  <c:pt idx="360">
                    <c:v>2050</c:v>
                  </c:pt>
                  <c:pt idx="361">
                    <c:v>2051</c:v>
                  </c:pt>
                  <c:pt idx="362">
                    <c:v>2052</c:v>
                  </c:pt>
                  <c:pt idx="363">
                    <c:v>2053</c:v>
                  </c:pt>
                  <c:pt idx="364">
                    <c:v>2054</c:v>
                  </c:pt>
                  <c:pt idx="365">
                    <c:v>2055</c:v>
                  </c:pt>
                  <c:pt idx="366">
                    <c:v>2015</c:v>
                  </c:pt>
                  <c:pt idx="367">
                    <c:v>2016</c:v>
                  </c:pt>
                  <c:pt idx="368">
                    <c:v>2017</c:v>
                  </c:pt>
                  <c:pt idx="369">
                    <c:v>2018</c:v>
                  </c:pt>
                  <c:pt idx="370">
                    <c:v>2019</c:v>
                  </c:pt>
                  <c:pt idx="371">
                    <c:v>2020</c:v>
                  </c:pt>
                  <c:pt idx="372">
                    <c:v>2021</c:v>
                  </c:pt>
                  <c:pt idx="373">
                    <c:v>2022</c:v>
                  </c:pt>
                  <c:pt idx="374">
                    <c:v>2023</c:v>
                  </c:pt>
                  <c:pt idx="375">
                    <c:v>2024</c:v>
                  </c:pt>
                  <c:pt idx="376">
                    <c:v>2025</c:v>
                  </c:pt>
                  <c:pt idx="377">
                    <c:v>2026</c:v>
                  </c:pt>
                  <c:pt idx="378">
                    <c:v>2027</c:v>
                  </c:pt>
                  <c:pt idx="379">
                    <c:v>2028</c:v>
                  </c:pt>
                  <c:pt idx="380">
                    <c:v>2029</c:v>
                  </c:pt>
                  <c:pt idx="381">
                    <c:v>2030</c:v>
                  </c:pt>
                  <c:pt idx="382">
                    <c:v>2031</c:v>
                  </c:pt>
                  <c:pt idx="383">
                    <c:v>2032</c:v>
                  </c:pt>
                  <c:pt idx="384">
                    <c:v>2033</c:v>
                  </c:pt>
                  <c:pt idx="385">
                    <c:v>2034</c:v>
                  </c:pt>
                  <c:pt idx="386">
                    <c:v>2035</c:v>
                  </c:pt>
                  <c:pt idx="387">
                    <c:v>2036</c:v>
                  </c:pt>
                  <c:pt idx="388">
                    <c:v>2037</c:v>
                  </c:pt>
                  <c:pt idx="389">
                    <c:v>2038</c:v>
                  </c:pt>
                  <c:pt idx="390">
                    <c:v>2039</c:v>
                  </c:pt>
                  <c:pt idx="391">
                    <c:v>2040</c:v>
                  </c:pt>
                  <c:pt idx="392">
                    <c:v>2041</c:v>
                  </c:pt>
                  <c:pt idx="393">
                    <c:v>2042</c:v>
                  </c:pt>
                  <c:pt idx="394">
                    <c:v>2043</c:v>
                  </c:pt>
                  <c:pt idx="395">
                    <c:v>2044</c:v>
                  </c:pt>
                  <c:pt idx="396">
                    <c:v>2045</c:v>
                  </c:pt>
                  <c:pt idx="397">
                    <c:v>2046</c:v>
                  </c:pt>
                  <c:pt idx="398">
                    <c:v>2047</c:v>
                  </c:pt>
                  <c:pt idx="399">
                    <c:v>2048</c:v>
                  </c:pt>
                  <c:pt idx="400">
                    <c:v>2049</c:v>
                  </c:pt>
                  <c:pt idx="401">
                    <c:v>2050</c:v>
                  </c:pt>
                  <c:pt idx="402">
                    <c:v>2051</c:v>
                  </c:pt>
                  <c:pt idx="403">
                    <c:v>2052</c:v>
                  </c:pt>
                  <c:pt idx="404">
                    <c:v>2053</c:v>
                  </c:pt>
                  <c:pt idx="405">
                    <c:v>2054</c:v>
                  </c:pt>
                  <c:pt idx="406">
                    <c:v>2055</c:v>
                  </c:pt>
                  <c:pt idx="407">
                    <c:v>2015</c:v>
                  </c:pt>
                  <c:pt idx="408">
                    <c:v>2016</c:v>
                  </c:pt>
                  <c:pt idx="409">
                    <c:v>2017</c:v>
                  </c:pt>
                  <c:pt idx="410">
                    <c:v>2018</c:v>
                  </c:pt>
                  <c:pt idx="411">
                    <c:v>2019</c:v>
                  </c:pt>
                  <c:pt idx="412">
                    <c:v>2020</c:v>
                  </c:pt>
                  <c:pt idx="413">
                    <c:v>2021</c:v>
                  </c:pt>
                  <c:pt idx="414">
                    <c:v>2022</c:v>
                  </c:pt>
                  <c:pt idx="415">
                    <c:v>2023</c:v>
                  </c:pt>
                  <c:pt idx="416">
                    <c:v>2024</c:v>
                  </c:pt>
                  <c:pt idx="417">
                    <c:v>2025</c:v>
                  </c:pt>
                  <c:pt idx="418">
                    <c:v>2026</c:v>
                  </c:pt>
                  <c:pt idx="419">
                    <c:v>2027</c:v>
                  </c:pt>
                  <c:pt idx="420">
                    <c:v>2028</c:v>
                  </c:pt>
                  <c:pt idx="421">
                    <c:v>2029</c:v>
                  </c:pt>
                  <c:pt idx="422">
                    <c:v>2030</c:v>
                  </c:pt>
                  <c:pt idx="423">
                    <c:v>2031</c:v>
                  </c:pt>
                  <c:pt idx="424">
                    <c:v>2032</c:v>
                  </c:pt>
                  <c:pt idx="425">
                    <c:v>2033</c:v>
                  </c:pt>
                  <c:pt idx="426">
                    <c:v>2034</c:v>
                  </c:pt>
                  <c:pt idx="427">
                    <c:v>2035</c:v>
                  </c:pt>
                  <c:pt idx="428">
                    <c:v>2036</c:v>
                  </c:pt>
                  <c:pt idx="429">
                    <c:v>2037</c:v>
                  </c:pt>
                  <c:pt idx="430">
                    <c:v>2038</c:v>
                  </c:pt>
                  <c:pt idx="431">
                    <c:v>2039</c:v>
                  </c:pt>
                  <c:pt idx="432">
                    <c:v>2040</c:v>
                  </c:pt>
                  <c:pt idx="433">
                    <c:v>2041</c:v>
                  </c:pt>
                  <c:pt idx="434">
                    <c:v>2042</c:v>
                  </c:pt>
                  <c:pt idx="435">
                    <c:v>2043</c:v>
                  </c:pt>
                  <c:pt idx="436">
                    <c:v>2044</c:v>
                  </c:pt>
                  <c:pt idx="437">
                    <c:v>2045</c:v>
                  </c:pt>
                  <c:pt idx="438">
                    <c:v>2046</c:v>
                  </c:pt>
                  <c:pt idx="439">
                    <c:v>2047</c:v>
                  </c:pt>
                  <c:pt idx="440">
                    <c:v>2048</c:v>
                  </c:pt>
                  <c:pt idx="441">
                    <c:v>2049</c:v>
                  </c:pt>
                  <c:pt idx="442">
                    <c:v>2050</c:v>
                  </c:pt>
                  <c:pt idx="443">
                    <c:v>2051</c:v>
                  </c:pt>
                  <c:pt idx="444">
                    <c:v>2052</c:v>
                  </c:pt>
                  <c:pt idx="445">
                    <c:v>2053</c:v>
                  </c:pt>
                  <c:pt idx="446">
                    <c:v>2054</c:v>
                  </c:pt>
                  <c:pt idx="447">
                    <c:v>2055</c:v>
                  </c:pt>
                  <c:pt idx="448">
                    <c:v>2015</c:v>
                  </c:pt>
                  <c:pt idx="449">
                    <c:v>2016</c:v>
                  </c:pt>
                  <c:pt idx="450">
                    <c:v>2017</c:v>
                  </c:pt>
                  <c:pt idx="451">
                    <c:v>2018</c:v>
                  </c:pt>
                  <c:pt idx="452">
                    <c:v>2019</c:v>
                  </c:pt>
                  <c:pt idx="453">
                    <c:v>2020</c:v>
                  </c:pt>
                  <c:pt idx="454">
                    <c:v>2021</c:v>
                  </c:pt>
                  <c:pt idx="455">
                    <c:v>2022</c:v>
                  </c:pt>
                  <c:pt idx="456">
                    <c:v>2023</c:v>
                  </c:pt>
                  <c:pt idx="457">
                    <c:v>2024</c:v>
                  </c:pt>
                  <c:pt idx="458">
                    <c:v>2025</c:v>
                  </c:pt>
                  <c:pt idx="459">
                    <c:v>2026</c:v>
                  </c:pt>
                  <c:pt idx="460">
                    <c:v>2027</c:v>
                  </c:pt>
                  <c:pt idx="461">
                    <c:v>2028</c:v>
                  </c:pt>
                  <c:pt idx="462">
                    <c:v>2029</c:v>
                  </c:pt>
                  <c:pt idx="463">
                    <c:v>2030</c:v>
                  </c:pt>
                  <c:pt idx="464">
                    <c:v>2031</c:v>
                  </c:pt>
                  <c:pt idx="465">
                    <c:v>2032</c:v>
                  </c:pt>
                  <c:pt idx="466">
                    <c:v>2033</c:v>
                  </c:pt>
                  <c:pt idx="467">
                    <c:v>2034</c:v>
                  </c:pt>
                  <c:pt idx="468">
                    <c:v>2035</c:v>
                  </c:pt>
                  <c:pt idx="469">
                    <c:v>2036</c:v>
                  </c:pt>
                  <c:pt idx="470">
                    <c:v>2037</c:v>
                  </c:pt>
                  <c:pt idx="471">
                    <c:v>2038</c:v>
                  </c:pt>
                  <c:pt idx="472">
                    <c:v>2039</c:v>
                  </c:pt>
                  <c:pt idx="473">
                    <c:v>2040</c:v>
                  </c:pt>
                  <c:pt idx="474">
                    <c:v>2041</c:v>
                  </c:pt>
                  <c:pt idx="475">
                    <c:v>2042</c:v>
                  </c:pt>
                  <c:pt idx="476">
                    <c:v>2043</c:v>
                  </c:pt>
                  <c:pt idx="477">
                    <c:v>2044</c:v>
                  </c:pt>
                  <c:pt idx="478">
                    <c:v>2045</c:v>
                  </c:pt>
                  <c:pt idx="479">
                    <c:v>2046</c:v>
                  </c:pt>
                  <c:pt idx="480">
                    <c:v>2047</c:v>
                  </c:pt>
                  <c:pt idx="481">
                    <c:v>2048</c:v>
                  </c:pt>
                  <c:pt idx="482">
                    <c:v>2049</c:v>
                  </c:pt>
                  <c:pt idx="483">
                    <c:v>2050</c:v>
                  </c:pt>
                  <c:pt idx="484">
                    <c:v>2051</c:v>
                  </c:pt>
                  <c:pt idx="485">
                    <c:v>2052</c:v>
                  </c:pt>
                  <c:pt idx="486">
                    <c:v>2053</c:v>
                  </c:pt>
                  <c:pt idx="487">
                    <c:v>2054</c:v>
                  </c:pt>
                  <c:pt idx="488">
                    <c:v>2055</c:v>
                  </c:pt>
                </c:lvl>
                <c:lvl>
                  <c:pt idx="0">
                    <c:v>Jan</c:v>
                  </c:pt>
                  <c:pt idx="41">
                    <c:v>Feb</c:v>
                  </c:pt>
                  <c:pt idx="79">
                    <c:v>Mar</c:v>
                  </c:pt>
                  <c:pt idx="120">
                    <c:v>Apr</c:v>
                  </c:pt>
                  <c:pt idx="161">
                    <c:v>May</c:v>
                  </c:pt>
                  <c:pt idx="202">
                    <c:v>Jun</c:v>
                  </c:pt>
                  <c:pt idx="243">
                    <c:v>Jul</c:v>
                  </c:pt>
                  <c:pt idx="284">
                    <c:v>Aug</c:v>
                  </c:pt>
                  <c:pt idx="325">
                    <c:v>Sep</c:v>
                  </c:pt>
                  <c:pt idx="366">
                    <c:v>Oct</c:v>
                  </c:pt>
                  <c:pt idx="407">
                    <c:v>Nov</c:v>
                  </c:pt>
                  <c:pt idx="448">
                    <c:v>Dec</c:v>
                  </c:pt>
                </c:lvl>
              </c:multiLvlStrCache>
            </c:multiLvlStrRef>
          </c:cat>
          <c:val>
            <c:numRef>
              <c:f>'Pivot-AveragePrice Vs Time'!$B$4:$B$505</c:f>
              <c:numCache>
                <c:formatCode>General</c:formatCode>
                <c:ptCount val="489"/>
                <c:pt idx="0">
                  <c:v>59091.450138964661</c:v>
                </c:pt>
                <c:pt idx="1">
                  <c:v>27179.606846316357</c:v>
                </c:pt>
                <c:pt idx="3">
                  <c:v>33545.018787942565</c:v>
                </c:pt>
                <c:pt idx="4">
                  <c:v>20552.296345272345</c:v>
                </c:pt>
                <c:pt idx="5">
                  <c:v>34386.811452878355</c:v>
                </c:pt>
                <c:pt idx="6">
                  <c:v>36996.777182930011</c:v>
                </c:pt>
                <c:pt idx="7">
                  <c:v>40376.304363126328</c:v>
                </c:pt>
                <c:pt idx="8">
                  <c:v>38637.715850503555</c:v>
                </c:pt>
                <c:pt idx="9">
                  <c:v>23871.171684988294</c:v>
                </c:pt>
                <c:pt idx="10">
                  <c:v>37382.701748629479</c:v>
                </c:pt>
                <c:pt idx="11">
                  <c:v>33858.493553241722</c:v>
                </c:pt>
                <c:pt idx="12">
                  <c:v>23585.038879057152</c:v>
                </c:pt>
                <c:pt idx="13">
                  <c:v>32150.20823595535</c:v>
                </c:pt>
                <c:pt idx="14">
                  <c:v>20008.996577339462</c:v>
                </c:pt>
                <c:pt idx="15">
                  <c:v>39570.156769333931</c:v>
                </c:pt>
                <c:pt idx="16">
                  <c:v>35935.1515278019</c:v>
                </c:pt>
                <c:pt idx="17">
                  <c:v>32267.671507569899</c:v>
                </c:pt>
                <c:pt idx="18">
                  <c:v>24518.624565523991</c:v>
                </c:pt>
                <c:pt idx="19">
                  <c:v>34908.827434957973</c:v>
                </c:pt>
                <c:pt idx="20">
                  <c:v>33794.642948933826</c:v>
                </c:pt>
                <c:pt idx="21">
                  <c:v>34591.583030011563</c:v>
                </c:pt>
                <c:pt idx="22">
                  <c:v>22035.031332341656</c:v>
                </c:pt>
                <c:pt idx="23">
                  <c:v>26685.495412245258</c:v>
                </c:pt>
                <c:pt idx="24">
                  <c:v>40725.745638866938</c:v>
                </c:pt>
                <c:pt idx="25">
                  <c:v>23150.985102104612</c:v>
                </c:pt>
                <c:pt idx="26">
                  <c:v>24926.216346535664</c:v>
                </c:pt>
                <c:pt idx="27">
                  <c:v>23951.794906543972</c:v>
                </c:pt>
                <c:pt idx="28">
                  <c:v>254804.61792676052</c:v>
                </c:pt>
                <c:pt idx="29">
                  <c:v>30667.704523911412</c:v>
                </c:pt>
                <c:pt idx="30">
                  <c:v>29969.645442300534</c:v>
                </c:pt>
                <c:pt idx="31">
                  <c:v>32682.549217852018</c:v>
                </c:pt>
                <c:pt idx="32">
                  <c:v>24674.431684623138</c:v>
                </c:pt>
                <c:pt idx="33">
                  <c:v>23951.526285794462</c:v>
                </c:pt>
                <c:pt idx="34">
                  <c:v>30802.869905249325</c:v>
                </c:pt>
                <c:pt idx="35">
                  <c:v>33795.775801513235</c:v>
                </c:pt>
                <c:pt idx="36">
                  <c:v>29207.352134865148</c:v>
                </c:pt>
                <c:pt idx="37">
                  <c:v>35199.52343698038</c:v>
                </c:pt>
                <c:pt idx="38">
                  <c:v>26232.910648269084</c:v>
                </c:pt>
                <c:pt idx="39">
                  <c:v>32683.26376263643</c:v>
                </c:pt>
                <c:pt idx="40">
                  <c:v>67607.420572604708</c:v>
                </c:pt>
                <c:pt idx="41">
                  <c:v>23598.478006645528</c:v>
                </c:pt>
                <c:pt idx="42">
                  <c:v>23742.30287904778</c:v>
                </c:pt>
                <c:pt idx="43">
                  <c:v>29551.321528563865</c:v>
                </c:pt>
                <c:pt idx="44">
                  <c:v>27738.468403754618</c:v>
                </c:pt>
                <c:pt idx="45">
                  <c:v>288951.79130851681</c:v>
                </c:pt>
                <c:pt idx="47">
                  <c:v>26554.060909552161</c:v>
                </c:pt>
                <c:pt idx="48">
                  <c:v>32181.618348370161</c:v>
                </c:pt>
                <c:pt idx="49">
                  <c:v>22678.125598950901</c:v>
                </c:pt>
                <c:pt idx="50">
                  <c:v>36900.456770737255</c:v>
                </c:pt>
                <c:pt idx="51">
                  <c:v>15757.286896849622</c:v>
                </c:pt>
                <c:pt idx="52">
                  <c:v>34981.334097235696</c:v>
                </c:pt>
                <c:pt idx="53">
                  <c:v>35151.417270159211</c:v>
                </c:pt>
                <c:pt idx="54">
                  <c:v>34581.638373512411</c:v>
                </c:pt>
                <c:pt idx="55">
                  <c:v>29046.587996183269</c:v>
                </c:pt>
                <c:pt idx="57">
                  <c:v>28779.216823546758</c:v>
                </c:pt>
                <c:pt idx="58">
                  <c:v>22799.745587028527</c:v>
                </c:pt>
                <c:pt idx="59">
                  <c:v>283758.43082456884</c:v>
                </c:pt>
                <c:pt idx="60">
                  <c:v>31405.95711984688</c:v>
                </c:pt>
                <c:pt idx="61">
                  <c:v>22147.496981884113</c:v>
                </c:pt>
                <c:pt idx="62">
                  <c:v>32202.373689801996</c:v>
                </c:pt>
                <c:pt idx="63">
                  <c:v>24062.007904852435</c:v>
                </c:pt>
                <c:pt idx="64">
                  <c:v>29558.589758243725</c:v>
                </c:pt>
                <c:pt idx="65">
                  <c:v>26753.612274669966</c:v>
                </c:pt>
                <c:pt idx="66">
                  <c:v>38362.861934188521</c:v>
                </c:pt>
                <c:pt idx="67">
                  <c:v>26322.350287051166</c:v>
                </c:pt>
                <c:pt idx="68">
                  <c:v>29237.650818097281</c:v>
                </c:pt>
                <c:pt idx="69">
                  <c:v>34192.453872258207</c:v>
                </c:pt>
                <c:pt idx="70">
                  <c:v>25507.660091044814</c:v>
                </c:pt>
                <c:pt idx="71">
                  <c:v>28473.876478226663</c:v>
                </c:pt>
                <c:pt idx="72">
                  <c:v>32999.643649981022</c:v>
                </c:pt>
                <c:pt idx="73">
                  <c:v>30015.230100767072</c:v>
                </c:pt>
                <c:pt idx="74">
                  <c:v>27117.447996366402</c:v>
                </c:pt>
                <c:pt idx="76">
                  <c:v>26971.922301315681</c:v>
                </c:pt>
                <c:pt idx="77">
                  <c:v>32299.860714695584</c:v>
                </c:pt>
                <c:pt idx="78">
                  <c:v>35928.520773314987</c:v>
                </c:pt>
                <c:pt idx="80">
                  <c:v>34362.286641400722</c:v>
                </c:pt>
                <c:pt idx="81">
                  <c:v>37218.823020366297</c:v>
                </c:pt>
                <c:pt idx="82">
                  <c:v>37200.586077247368</c:v>
                </c:pt>
                <c:pt idx="83">
                  <c:v>17880.603366855219</c:v>
                </c:pt>
                <c:pt idx="84">
                  <c:v>30134.429194972654</c:v>
                </c:pt>
                <c:pt idx="85">
                  <c:v>30298.151849600872</c:v>
                </c:pt>
                <c:pt idx="86">
                  <c:v>38679.819015826244</c:v>
                </c:pt>
                <c:pt idx="87">
                  <c:v>30190.017390841</c:v>
                </c:pt>
                <c:pt idx="90">
                  <c:v>35743.828501860517</c:v>
                </c:pt>
                <c:pt idx="91">
                  <c:v>27531.217084193438</c:v>
                </c:pt>
                <c:pt idx="92">
                  <c:v>31193.945795132568</c:v>
                </c:pt>
                <c:pt idx="93">
                  <c:v>31732.442379489963</c:v>
                </c:pt>
                <c:pt idx="94">
                  <c:v>31087.164365898614</c:v>
                </c:pt>
                <c:pt idx="95">
                  <c:v>24284.97543634758</c:v>
                </c:pt>
                <c:pt idx="96">
                  <c:v>34820.435841441787</c:v>
                </c:pt>
                <c:pt idx="97">
                  <c:v>37972.525316124862</c:v>
                </c:pt>
                <c:pt idx="98">
                  <c:v>17502.971425632135</c:v>
                </c:pt>
                <c:pt idx="99">
                  <c:v>30521.005519759379</c:v>
                </c:pt>
                <c:pt idx="100">
                  <c:v>25051.859317148312</c:v>
                </c:pt>
                <c:pt idx="101">
                  <c:v>29901.811005366595</c:v>
                </c:pt>
                <c:pt idx="102">
                  <c:v>61734.857356936227</c:v>
                </c:pt>
                <c:pt idx="103">
                  <c:v>31549.103551135137</c:v>
                </c:pt>
                <c:pt idx="104">
                  <c:v>42898.546688271592</c:v>
                </c:pt>
                <c:pt idx="105">
                  <c:v>23880.298666188719</c:v>
                </c:pt>
                <c:pt idx="106">
                  <c:v>32095.095046830225</c:v>
                </c:pt>
                <c:pt idx="107">
                  <c:v>36180.465876052185</c:v>
                </c:pt>
                <c:pt idx="109">
                  <c:v>30409.146792737825</c:v>
                </c:pt>
                <c:pt idx="110">
                  <c:v>30140.90578684564</c:v>
                </c:pt>
                <c:pt idx="111">
                  <c:v>26952.438989203583</c:v>
                </c:pt>
                <c:pt idx="112">
                  <c:v>37653.754161718491</c:v>
                </c:pt>
                <c:pt idx="113">
                  <c:v>32184.690848731749</c:v>
                </c:pt>
                <c:pt idx="114">
                  <c:v>17044.788539275451</c:v>
                </c:pt>
                <c:pt idx="115">
                  <c:v>25333.660204634019</c:v>
                </c:pt>
                <c:pt idx="117">
                  <c:v>26611.423151239469</c:v>
                </c:pt>
                <c:pt idx="118">
                  <c:v>33594.766553325331</c:v>
                </c:pt>
                <c:pt idx="119">
                  <c:v>34639.200640406183</c:v>
                </c:pt>
                <c:pt idx="120">
                  <c:v>29671.248694635062</c:v>
                </c:pt>
                <c:pt idx="121">
                  <c:v>33251.005889793305</c:v>
                </c:pt>
                <c:pt idx="122">
                  <c:v>29589.244108037157</c:v>
                </c:pt>
                <c:pt idx="123">
                  <c:v>26618.038489703653</c:v>
                </c:pt>
                <c:pt idx="124">
                  <c:v>22080.485882571382</c:v>
                </c:pt>
                <c:pt idx="125">
                  <c:v>31041.914039737763</c:v>
                </c:pt>
                <c:pt idx="126">
                  <c:v>26765.31611147213</c:v>
                </c:pt>
                <c:pt idx="127">
                  <c:v>30989.553917313238</c:v>
                </c:pt>
                <c:pt idx="128">
                  <c:v>30600.156633591305</c:v>
                </c:pt>
                <c:pt idx="129">
                  <c:v>35235.49151306077</c:v>
                </c:pt>
                <c:pt idx="130">
                  <c:v>31979.017667187047</c:v>
                </c:pt>
                <c:pt idx="131">
                  <c:v>21301.4311061095</c:v>
                </c:pt>
                <c:pt idx="132">
                  <c:v>22217.090506701243</c:v>
                </c:pt>
                <c:pt idx="133">
                  <c:v>287047.89270896482</c:v>
                </c:pt>
                <c:pt idx="134">
                  <c:v>34990.050549298263</c:v>
                </c:pt>
                <c:pt idx="135">
                  <c:v>34350.338653443774</c:v>
                </c:pt>
                <c:pt idx="136">
                  <c:v>38167.15766150548</c:v>
                </c:pt>
                <c:pt idx="137">
                  <c:v>35947.352444623204</c:v>
                </c:pt>
                <c:pt idx="138">
                  <c:v>25765.193258408362</c:v>
                </c:pt>
                <c:pt idx="139">
                  <c:v>41454.712862953711</c:v>
                </c:pt>
                <c:pt idx="140">
                  <c:v>29687.034360502388</c:v>
                </c:pt>
                <c:pt idx="141">
                  <c:v>34703.855939941081</c:v>
                </c:pt>
                <c:pt idx="142">
                  <c:v>327624.49772085738</c:v>
                </c:pt>
                <c:pt idx="143">
                  <c:v>23780.683823043575</c:v>
                </c:pt>
                <c:pt idx="144">
                  <c:v>33168.884404660494</c:v>
                </c:pt>
                <c:pt idx="145">
                  <c:v>25981.627160151347</c:v>
                </c:pt>
                <c:pt idx="146">
                  <c:v>30170.417341296132</c:v>
                </c:pt>
                <c:pt idx="147">
                  <c:v>26474.940721207957</c:v>
                </c:pt>
                <c:pt idx="148">
                  <c:v>35456.550602971343</c:v>
                </c:pt>
                <c:pt idx="149">
                  <c:v>34783.511583972919</c:v>
                </c:pt>
                <c:pt idx="150">
                  <c:v>29505.551734044286</c:v>
                </c:pt>
                <c:pt idx="151">
                  <c:v>29954.405016778983</c:v>
                </c:pt>
                <c:pt idx="152">
                  <c:v>29065.143485072771</c:v>
                </c:pt>
                <c:pt idx="153">
                  <c:v>36093.809258486581</c:v>
                </c:pt>
                <c:pt idx="154">
                  <c:v>35953.231373931703</c:v>
                </c:pt>
                <c:pt idx="155">
                  <c:v>27268.777758737586</c:v>
                </c:pt>
                <c:pt idx="156">
                  <c:v>27783.588744042449</c:v>
                </c:pt>
                <c:pt idx="157">
                  <c:v>33389.629356696343</c:v>
                </c:pt>
                <c:pt idx="158">
                  <c:v>40066.936237633112</c:v>
                </c:pt>
                <c:pt idx="159">
                  <c:v>34980.238429029079</c:v>
                </c:pt>
                <c:pt idx="161">
                  <c:v>66629.787713736965</c:v>
                </c:pt>
                <c:pt idx="162">
                  <c:v>29504.120681103086</c:v>
                </c:pt>
                <c:pt idx="163">
                  <c:v>35586.479157940637</c:v>
                </c:pt>
                <c:pt idx="164">
                  <c:v>39004.702164554081</c:v>
                </c:pt>
                <c:pt idx="165">
                  <c:v>33802.073280721488</c:v>
                </c:pt>
                <c:pt idx="166">
                  <c:v>19791.325657878548</c:v>
                </c:pt>
                <c:pt idx="167">
                  <c:v>33491.116568067948</c:v>
                </c:pt>
                <c:pt idx="169">
                  <c:v>33067.589863652087</c:v>
                </c:pt>
                <c:pt idx="170">
                  <c:v>38419.638457289344</c:v>
                </c:pt>
                <c:pt idx="171">
                  <c:v>32470.150931413693</c:v>
                </c:pt>
                <c:pt idx="172">
                  <c:v>28187.795292984338</c:v>
                </c:pt>
                <c:pt idx="173">
                  <c:v>27859.424195170439</c:v>
                </c:pt>
                <c:pt idx="174">
                  <c:v>29018.250754575107</c:v>
                </c:pt>
                <c:pt idx="175">
                  <c:v>15518.723109031554</c:v>
                </c:pt>
                <c:pt idx="176">
                  <c:v>32478.409439863022</c:v>
                </c:pt>
                <c:pt idx="177">
                  <c:v>24268.27303490656</c:v>
                </c:pt>
                <c:pt idx="178">
                  <c:v>56848.961273564331</c:v>
                </c:pt>
                <c:pt idx="179">
                  <c:v>25043.038252718463</c:v>
                </c:pt>
                <c:pt idx="180">
                  <c:v>23052.137666182018</c:v>
                </c:pt>
                <c:pt idx="181">
                  <c:v>26230.17705566662</c:v>
                </c:pt>
                <c:pt idx="182">
                  <c:v>25087.563032308452</c:v>
                </c:pt>
                <c:pt idx="183">
                  <c:v>31119.570670323308</c:v>
                </c:pt>
                <c:pt idx="185">
                  <c:v>32068.995487257493</c:v>
                </c:pt>
                <c:pt idx="186">
                  <c:v>38195.584027220335</c:v>
                </c:pt>
                <c:pt idx="187">
                  <c:v>26150.13384470679</c:v>
                </c:pt>
                <c:pt idx="188">
                  <c:v>29721.15461171147</c:v>
                </c:pt>
                <c:pt idx="189">
                  <c:v>33045.690604535885</c:v>
                </c:pt>
                <c:pt idx="190">
                  <c:v>26070.052697460254</c:v>
                </c:pt>
                <c:pt idx="191">
                  <c:v>34595.382414938846</c:v>
                </c:pt>
                <c:pt idx="192">
                  <c:v>35429.477829157891</c:v>
                </c:pt>
                <c:pt idx="194">
                  <c:v>28932.785645348958</c:v>
                </c:pt>
                <c:pt idx="195">
                  <c:v>34747.770677206616</c:v>
                </c:pt>
                <c:pt idx="196">
                  <c:v>31959.020027012732</c:v>
                </c:pt>
                <c:pt idx="197">
                  <c:v>25575.986429865494</c:v>
                </c:pt>
                <c:pt idx="198">
                  <c:v>27560.442959271488</c:v>
                </c:pt>
                <c:pt idx="199">
                  <c:v>30682.676655413688</c:v>
                </c:pt>
                <c:pt idx="200">
                  <c:v>26216.024557152698</c:v>
                </c:pt>
                <c:pt idx="201">
                  <c:v>68985.303526378935</c:v>
                </c:pt>
                <c:pt idx="202">
                  <c:v>22759.93049791878</c:v>
                </c:pt>
                <c:pt idx="203">
                  <c:v>39233.184980238329</c:v>
                </c:pt>
                <c:pt idx="204">
                  <c:v>31713.626731888522</c:v>
                </c:pt>
                <c:pt idx="205">
                  <c:v>29799.210246778282</c:v>
                </c:pt>
                <c:pt idx="207">
                  <c:v>28764.113087397014</c:v>
                </c:pt>
                <c:pt idx="208">
                  <c:v>31967.426927108747</c:v>
                </c:pt>
                <c:pt idx="209">
                  <c:v>27580.570829728393</c:v>
                </c:pt>
                <c:pt idx="210">
                  <c:v>24886.037174007972</c:v>
                </c:pt>
                <c:pt idx="211">
                  <c:v>27705.578685655299</c:v>
                </c:pt>
                <c:pt idx="212">
                  <c:v>313033.68829119537</c:v>
                </c:pt>
                <c:pt idx="213">
                  <c:v>24401.650526869282</c:v>
                </c:pt>
                <c:pt idx="214">
                  <c:v>37503.798953171558</c:v>
                </c:pt>
                <c:pt idx="215">
                  <c:v>29641.993702929682</c:v>
                </c:pt>
                <c:pt idx="216">
                  <c:v>40441.87352390364</c:v>
                </c:pt>
                <c:pt idx="217">
                  <c:v>30752.094525717883</c:v>
                </c:pt>
                <c:pt idx="218">
                  <c:v>31513.177326195168</c:v>
                </c:pt>
                <c:pt idx="219">
                  <c:v>33505.863711554492</c:v>
                </c:pt>
                <c:pt idx="220">
                  <c:v>19233.049431981424</c:v>
                </c:pt>
                <c:pt idx="222">
                  <c:v>28596.624615666129</c:v>
                </c:pt>
                <c:pt idx="223">
                  <c:v>28876.834250014876</c:v>
                </c:pt>
                <c:pt idx="224">
                  <c:v>36820.702149869219</c:v>
                </c:pt>
                <c:pt idx="225">
                  <c:v>264079.63672154013</c:v>
                </c:pt>
                <c:pt idx="226">
                  <c:v>29073.561705611457</c:v>
                </c:pt>
                <c:pt idx="227">
                  <c:v>38388.504070382201</c:v>
                </c:pt>
                <c:pt idx="228">
                  <c:v>31168.92955895374</c:v>
                </c:pt>
                <c:pt idx="229">
                  <c:v>32791.634562608611</c:v>
                </c:pt>
                <c:pt idx="230">
                  <c:v>24538.436176637104</c:v>
                </c:pt>
                <c:pt idx="231">
                  <c:v>23343.83523221111</c:v>
                </c:pt>
                <c:pt idx="232">
                  <c:v>28548.627279056742</c:v>
                </c:pt>
                <c:pt idx="233">
                  <c:v>32373.491164399762</c:v>
                </c:pt>
                <c:pt idx="234">
                  <c:v>32648.463771783652</c:v>
                </c:pt>
                <c:pt idx="235">
                  <c:v>37453.630684249758</c:v>
                </c:pt>
                <c:pt idx="236">
                  <c:v>22575.510157750483</c:v>
                </c:pt>
                <c:pt idx="237">
                  <c:v>22605.442156129357</c:v>
                </c:pt>
                <c:pt idx="238">
                  <c:v>29135.269700382883</c:v>
                </c:pt>
                <c:pt idx="239">
                  <c:v>40786.541066327518</c:v>
                </c:pt>
                <c:pt idx="240">
                  <c:v>28173.392243439455</c:v>
                </c:pt>
                <c:pt idx="241">
                  <c:v>22890.94666629078</c:v>
                </c:pt>
                <c:pt idx="242">
                  <c:v>32539.178781448118</c:v>
                </c:pt>
                <c:pt idx="243">
                  <c:v>19005.97021689959</c:v>
                </c:pt>
                <c:pt idx="244">
                  <c:v>24649.576168369236</c:v>
                </c:pt>
                <c:pt idx="245">
                  <c:v>32283.766095768919</c:v>
                </c:pt>
                <c:pt idx="246">
                  <c:v>22846.124489409758</c:v>
                </c:pt>
                <c:pt idx="247">
                  <c:v>32127.287808924822</c:v>
                </c:pt>
                <c:pt idx="248">
                  <c:v>26590.078760011005</c:v>
                </c:pt>
                <c:pt idx="249">
                  <c:v>34475.966100138663</c:v>
                </c:pt>
                <c:pt idx="250">
                  <c:v>28398.2634590284</c:v>
                </c:pt>
                <c:pt idx="251">
                  <c:v>28713.117312883274</c:v>
                </c:pt>
                <c:pt idx="252">
                  <c:v>35393.404167156477</c:v>
                </c:pt>
                <c:pt idx="253">
                  <c:v>27248.474230772899</c:v>
                </c:pt>
                <c:pt idx="254">
                  <c:v>23526.59262139547</c:v>
                </c:pt>
                <c:pt idx="255">
                  <c:v>34251.108710567467</c:v>
                </c:pt>
                <c:pt idx="256">
                  <c:v>29813.888817450792</c:v>
                </c:pt>
                <c:pt idx="257">
                  <c:v>29302.051859224131</c:v>
                </c:pt>
                <c:pt idx="258">
                  <c:v>31824.805012331126</c:v>
                </c:pt>
                <c:pt idx="259">
                  <c:v>26228.62074990321</c:v>
                </c:pt>
                <c:pt idx="260">
                  <c:v>28512.182483200042</c:v>
                </c:pt>
                <c:pt idx="261">
                  <c:v>26805.191261552489</c:v>
                </c:pt>
                <c:pt idx="262">
                  <c:v>35112.852160048198</c:v>
                </c:pt>
                <c:pt idx="263">
                  <c:v>21535.21592902307</c:v>
                </c:pt>
                <c:pt idx="264">
                  <c:v>32750.260495122759</c:v>
                </c:pt>
                <c:pt idx="265">
                  <c:v>30626.122513239538</c:v>
                </c:pt>
                <c:pt idx="266">
                  <c:v>34474.621884722204</c:v>
                </c:pt>
                <c:pt idx="267">
                  <c:v>29350.896501332871</c:v>
                </c:pt>
                <c:pt idx="268">
                  <c:v>27232.058791460026</c:v>
                </c:pt>
                <c:pt idx="269">
                  <c:v>22220.521768981864</c:v>
                </c:pt>
                <c:pt idx="271">
                  <c:v>28417.957751525992</c:v>
                </c:pt>
                <c:pt idx="272">
                  <c:v>20818.973134483516</c:v>
                </c:pt>
                <c:pt idx="273">
                  <c:v>31336.961570359515</c:v>
                </c:pt>
                <c:pt idx="275">
                  <c:v>29647.506109704544</c:v>
                </c:pt>
                <c:pt idx="276">
                  <c:v>30743.337286010559</c:v>
                </c:pt>
                <c:pt idx="277">
                  <c:v>51901.993881686591</c:v>
                </c:pt>
                <c:pt idx="278">
                  <c:v>30916.799598895777</c:v>
                </c:pt>
                <c:pt idx="279">
                  <c:v>38558.542400711718</c:v>
                </c:pt>
                <c:pt idx="281">
                  <c:v>309234.01529324544</c:v>
                </c:pt>
                <c:pt idx="282">
                  <c:v>37506.668259777434</c:v>
                </c:pt>
                <c:pt idx="283">
                  <c:v>32691.480395248163</c:v>
                </c:pt>
                <c:pt idx="284">
                  <c:v>32200.072250266661</c:v>
                </c:pt>
                <c:pt idx="285">
                  <c:v>22372.374145376307</c:v>
                </c:pt>
                <c:pt idx="286">
                  <c:v>32848.836401161017</c:v>
                </c:pt>
                <c:pt idx="287">
                  <c:v>30640.522074553948</c:v>
                </c:pt>
                <c:pt idx="288">
                  <c:v>25165.119284353936</c:v>
                </c:pt>
                <c:pt idx="289">
                  <c:v>249918.99950525421</c:v>
                </c:pt>
                <c:pt idx="290">
                  <c:v>33175.859008409847</c:v>
                </c:pt>
                <c:pt idx="291">
                  <c:v>32120.829732009581</c:v>
                </c:pt>
                <c:pt idx="292">
                  <c:v>21657.079630612054</c:v>
                </c:pt>
                <c:pt idx="293">
                  <c:v>29807.457652496465</c:v>
                </c:pt>
                <c:pt idx="294">
                  <c:v>26641.883160309742</c:v>
                </c:pt>
                <c:pt idx="295">
                  <c:v>63465.627930333139</c:v>
                </c:pt>
                <c:pt idx="296">
                  <c:v>28256.739327960706</c:v>
                </c:pt>
                <c:pt idx="297">
                  <c:v>33638.147718184897</c:v>
                </c:pt>
                <c:pt idx="298">
                  <c:v>35540.914083687581</c:v>
                </c:pt>
                <c:pt idx="299">
                  <c:v>42017.077926191378</c:v>
                </c:pt>
                <c:pt idx="300">
                  <c:v>29679.308267035038</c:v>
                </c:pt>
                <c:pt idx="301">
                  <c:v>36878.534066558095</c:v>
                </c:pt>
                <c:pt idx="302">
                  <c:v>23384.55103296251</c:v>
                </c:pt>
                <c:pt idx="303">
                  <c:v>42198.762031696366</c:v>
                </c:pt>
                <c:pt idx="304">
                  <c:v>29508.30186602625</c:v>
                </c:pt>
                <c:pt idx="305">
                  <c:v>25158.277725681823</c:v>
                </c:pt>
                <c:pt idx="306">
                  <c:v>27852.972294373736</c:v>
                </c:pt>
                <c:pt idx="307">
                  <c:v>28525.25160853986</c:v>
                </c:pt>
                <c:pt idx="308">
                  <c:v>30219.057359895549</c:v>
                </c:pt>
                <c:pt idx="309">
                  <c:v>32844.915395926379</c:v>
                </c:pt>
                <c:pt idx="310">
                  <c:v>31654.401161072285</c:v>
                </c:pt>
                <c:pt idx="311">
                  <c:v>32693.779962231845</c:v>
                </c:pt>
                <c:pt idx="312">
                  <c:v>36065.488499895917</c:v>
                </c:pt>
                <c:pt idx="313">
                  <c:v>32539.956634562717</c:v>
                </c:pt>
                <c:pt idx="314">
                  <c:v>31608.489030980068</c:v>
                </c:pt>
                <c:pt idx="315">
                  <c:v>34088.831496001432</c:v>
                </c:pt>
                <c:pt idx="316">
                  <c:v>32432.50821913101</c:v>
                </c:pt>
                <c:pt idx="317">
                  <c:v>28314.570144409805</c:v>
                </c:pt>
                <c:pt idx="318">
                  <c:v>23165.606507922894</c:v>
                </c:pt>
                <c:pt idx="319">
                  <c:v>299234.50754135021</c:v>
                </c:pt>
                <c:pt idx="320">
                  <c:v>23140.494285343219</c:v>
                </c:pt>
                <c:pt idx="321">
                  <c:v>33710.476860046532</c:v>
                </c:pt>
                <c:pt idx="322">
                  <c:v>23264.368552351516</c:v>
                </c:pt>
                <c:pt idx="323">
                  <c:v>28386.60080578932</c:v>
                </c:pt>
                <c:pt idx="324">
                  <c:v>35362.536686549014</c:v>
                </c:pt>
                <c:pt idx="325">
                  <c:v>27489.728878236943</c:v>
                </c:pt>
                <c:pt idx="326">
                  <c:v>26540.459650593777</c:v>
                </c:pt>
                <c:pt idx="327">
                  <c:v>32238.542800086576</c:v>
                </c:pt>
                <c:pt idx="328">
                  <c:v>26594.741712625597</c:v>
                </c:pt>
                <c:pt idx="329">
                  <c:v>29761.4432192901</c:v>
                </c:pt>
                <c:pt idx="330">
                  <c:v>28594.498535570227</c:v>
                </c:pt>
                <c:pt idx="331">
                  <c:v>35247.763576596677</c:v>
                </c:pt>
                <c:pt idx="332">
                  <c:v>32614.177440177496</c:v>
                </c:pt>
                <c:pt idx="333">
                  <c:v>31996.115613026395</c:v>
                </c:pt>
                <c:pt idx="334">
                  <c:v>29136.863500295902</c:v>
                </c:pt>
                <c:pt idx="335">
                  <c:v>29872.229645042775</c:v>
                </c:pt>
                <c:pt idx="336">
                  <c:v>31732.519408653578</c:v>
                </c:pt>
                <c:pt idx="337">
                  <c:v>28253.711478407855</c:v>
                </c:pt>
                <c:pt idx="338">
                  <c:v>30259.729429036499</c:v>
                </c:pt>
                <c:pt idx="339">
                  <c:v>24800.470364372348</c:v>
                </c:pt>
                <c:pt idx="340">
                  <c:v>29711.906014832071</c:v>
                </c:pt>
                <c:pt idx="341">
                  <c:v>31643.812051517401</c:v>
                </c:pt>
                <c:pt idx="342">
                  <c:v>29249.722064837366</c:v>
                </c:pt>
                <c:pt idx="343">
                  <c:v>38210.075800681843</c:v>
                </c:pt>
                <c:pt idx="344">
                  <c:v>36921.364092552591</c:v>
                </c:pt>
                <c:pt idx="345">
                  <c:v>25057.044464245413</c:v>
                </c:pt>
                <c:pt idx="346">
                  <c:v>30526.877530729798</c:v>
                </c:pt>
                <c:pt idx="347">
                  <c:v>30611.487515161418</c:v>
                </c:pt>
                <c:pt idx="348">
                  <c:v>36238.710363368671</c:v>
                </c:pt>
                <c:pt idx="349">
                  <c:v>29264.989991857557</c:v>
                </c:pt>
                <c:pt idx="350">
                  <c:v>38141.983115642688</c:v>
                </c:pt>
                <c:pt idx="351">
                  <c:v>34167.644808044621</c:v>
                </c:pt>
                <c:pt idx="352">
                  <c:v>25396.632034603168</c:v>
                </c:pt>
                <c:pt idx="353">
                  <c:v>30708.584568199523</c:v>
                </c:pt>
                <c:pt idx="354">
                  <c:v>24483.166969130631</c:v>
                </c:pt>
                <c:pt idx="355">
                  <c:v>26659.547731784754</c:v>
                </c:pt>
                <c:pt idx="356">
                  <c:v>369510.37745086564</c:v>
                </c:pt>
                <c:pt idx="358">
                  <c:v>269329.86682295299</c:v>
                </c:pt>
                <c:pt idx="359">
                  <c:v>28876.172990536583</c:v>
                </c:pt>
                <c:pt idx="360">
                  <c:v>32896.457498005439</c:v>
                </c:pt>
                <c:pt idx="361">
                  <c:v>21932.193010616294</c:v>
                </c:pt>
                <c:pt idx="362">
                  <c:v>31496.462902032461</c:v>
                </c:pt>
                <c:pt idx="363">
                  <c:v>25141.929807446744</c:v>
                </c:pt>
                <c:pt idx="364">
                  <c:v>28745.834917724762</c:v>
                </c:pt>
                <c:pt idx="365">
                  <c:v>28175.236352285574</c:v>
                </c:pt>
                <c:pt idx="366">
                  <c:v>24893.835914346433</c:v>
                </c:pt>
                <c:pt idx="367">
                  <c:v>29772.069918222511</c:v>
                </c:pt>
                <c:pt idx="368">
                  <c:v>33213.61379933772</c:v>
                </c:pt>
                <c:pt idx="369">
                  <c:v>34203.21774494362</c:v>
                </c:pt>
                <c:pt idx="370">
                  <c:v>29981.987304547158</c:v>
                </c:pt>
                <c:pt idx="371">
                  <c:v>72192.646940582665</c:v>
                </c:pt>
                <c:pt idx="372">
                  <c:v>27323.823942197159</c:v>
                </c:pt>
                <c:pt idx="373">
                  <c:v>27131.499980307104</c:v>
                </c:pt>
                <c:pt idx="374">
                  <c:v>33235.979698513707</c:v>
                </c:pt>
                <c:pt idx="375">
                  <c:v>34418.299687433362</c:v>
                </c:pt>
                <c:pt idx="376">
                  <c:v>35863.645096296823</c:v>
                </c:pt>
                <c:pt idx="377">
                  <c:v>29765.397105604079</c:v>
                </c:pt>
                <c:pt idx="378">
                  <c:v>28391.824743913086</c:v>
                </c:pt>
                <c:pt idx="379">
                  <c:v>33663.200386077893</c:v>
                </c:pt>
                <c:pt idx="380">
                  <c:v>33063.869525312846</c:v>
                </c:pt>
                <c:pt idx="381">
                  <c:v>31005.495233574838</c:v>
                </c:pt>
                <c:pt idx="384">
                  <c:v>35049.085446713172</c:v>
                </c:pt>
                <c:pt idx="385">
                  <c:v>32819.545600261801</c:v>
                </c:pt>
                <c:pt idx="388">
                  <c:v>32716.490145181939</c:v>
                </c:pt>
                <c:pt idx="389">
                  <c:v>26632.546878780657</c:v>
                </c:pt>
                <c:pt idx="390">
                  <c:v>34819.395583974547</c:v>
                </c:pt>
                <c:pt idx="391">
                  <c:v>28104.361295062565</c:v>
                </c:pt>
                <c:pt idx="392">
                  <c:v>20031.321787142722</c:v>
                </c:pt>
                <c:pt idx="393">
                  <c:v>30846.80412018039</c:v>
                </c:pt>
                <c:pt idx="394">
                  <c:v>73563.23689688032</c:v>
                </c:pt>
                <c:pt idx="395">
                  <c:v>19235.547035237585</c:v>
                </c:pt>
                <c:pt idx="396">
                  <c:v>34960.211747682617</c:v>
                </c:pt>
                <c:pt idx="397">
                  <c:v>32789.051531759309</c:v>
                </c:pt>
                <c:pt idx="398">
                  <c:v>20122.667168230644</c:v>
                </c:pt>
                <c:pt idx="400">
                  <c:v>24149.434869703204</c:v>
                </c:pt>
                <c:pt idx="401">
                  <c:v>30597.901842070765</c:v>
                </c:pt>
                <c:pt idx="402">
                  <c:v>37355.85163746804</c:v>
                </c:pt>
                <c:pt idx="403">
                  <c:v>36508.706446993994</c:v>
                </c:pt>
                <c:pt idx="404">
                  <c:v>36002.069539722128</c:v>
                </c:pt>
                <c:pt idx="405">
                  <c:v>36640.970709245288</c:v>
                </c:pt>
                <c:pt idx="406">
                  <c:v>25803.951663304968</c:v>
                </c:pt>
                <c:pt idx="407">
                  <c:v>33541.782236496765</c:v>
                </c:pt>
                <c:pt idx="408">
                  <c:v>31216.697246613458</c:v>
                </c:pt>
                <c:pt idx="409">
                  <c:v>36645.76265066216</c:v>
                </c:pt>
                <c:pt idx="410">
                  <c:v>26736.880103488045</c:v>
                </c:pt>
                <c:pt idx="411">
                  <c:v>24208.176554037287</c:v>
                </c:pt>
                <c:pt idx="412">
                  <c:v>27144.105051086015</c:v>
                </c:pt>
                <c:pt idx="413">
                  <c:v>36586.970328171628</c:v>
                </c:pt>
                <c:pt idx="414">
                  <c:v>29878.227038695084</c:v>
                </c:pt>
                <c:pt idx="415">
                  <c:v>27584.067688503128</c:v>
                </c:pt>
                <c:pt idx="416">
                  <c:v>33261.614392067095</c:v>
                </c:pt>
                <c:pt idx="417">
                  <c:v>32718.000772972162</c:v>
                </c:pt>
                <c:pt idx="418">
                  <c:v>32385.204136115608</c:v>
                </c:pt>
                <c:pt idx="419">
                  <c:v>40383.739917804203</c:v>
                </c:pt>
                <c:pt idx="420">
                  <c:v>29596.417099457089</c:v>
                </c:pt>
                <c:pt idx="421">
                  <c:v>24732.922184131719</c:v>
                </c:pt>
                <c:pt idx="422">
                  <c:v>35253.271980038058</c:v>
                </c:pt>
                <c:pt idx="423">
                  <c:v>32109.603771176422</c:v>
                </c:pt>
                <c:pt idx="424">
                  <c:v>29134.640878580652</c:v>
                </c:pt>
                <c:pt idx="425">
                  <c:v>26559.248274111382</c:v>
                </c:pt>
                <c:pt idx="426">
                  <c:v>32973.771708326429</c:v>
                </c:pt>
                <c:pt idx="427">
                  <c:v>30899.470755767394</c:v>
                </c:pt>
                <c:pt idx="428">
                  <c:v>26993.161780243932</c:v>
                </c:pt>
                <c:pt idx="429">
                  <c:v>30244.300351628521</c:v>
                </c:pt>
                <c:pt idx="430">
                  <c:v>31394.970811119008</c:v>
                </c:pt>
                <c:pt idx="431">
                  <c:v>41052.61500795676</c:v>
                </c:pt>
                <c:pt idx="432">
                  <c:v>28982.098199488191</c:v>
                </c:pt>
                <c:pt idx="433">
                  <c:v>31870.282849237861</c:v>
                </c:pt>
                <c:pt idx="434">
                  <c:v>22931.427515475101</c:v>
                </c:pt>
                <c:pt idx="436">
                  <c:v>31942.893022654822</c:v>
                </c:pt>
                <c:pt idx="437">
                  <c:v>29125.201216522957</c:v>
                </c:pt>
                <c:pt idx="438">
                  <c:v>30051.763099216903</c:v>
                </c:pt>
                <c:pt idx="439">
                  <c:v>25303.323030906227</c:v>
                </c:pt>
                <c:pt idx="440">
                  <c:v>28059.115907293857</c:v>
                </c:pt>
                <c:pt idx="441">
                  <c:v>20990.097812099899</c:v>
                </c:pt>
                <c:pt idx="442">
                  <c:v>25134.655295592223</c:v>
                </c:pt>
                <c:pt idx="443">
                  <c:v>28953.381614240669</c:v>
                </c:pt>
                <c:pt idx="444">
                  <c:v>37807.555983634265</c:v>
                </c:pt>
                <c:pt idx="445">
                  <c:v>26715.528605143023</c:v>
                </c:pt>
                <c:pt idx="446">
                  <c:v>32781.150047003299</c:v>
                </c:pt>
                <c:pt idx="447">
                  <c:v>24775.954029894834</c:v>
                </c:pt>
                <c:pt idx="448">
                  <c:v>31219.003568855995</c:v>
                </c:pt>
                <c:pt idx="449">
                  <c:v>28793.819710718351</c:v>
                </c:pt>
                <c:pt idx="450">
                  <c:v>30982.605848507352</c:v>
                </c:pt>
                <c:pt idx="451">
                  <c:v>27769.082833926102</c:v>
                </c:pt>
                <c:pt idx="452">
                  <c:v>37516.991508835752</c:v>
                </c:pt>
                <c:pt idx="453">
                  <c:v>32862.913906780792</c:v>
                </c:pt>
                <c:pt idx="454">
                  <c:v>30987.998023461998</c:v>
                </c:pt>
                <c:pt idx="455">
                  <c:v>40711.351793059323</c:v>
                </c:pt>
                <c:pt idx="456">
                  <c:v>37869.933816450168</c:v>
                </c:pt>
                <c:pt idx="457">
                  <c:v>22118.039215078752</c:v>
                </c:pt>
                <c:pt idx="458">
                  <c:v>28146.928339569469</c:v>
                </c:pt>
                <c:pt idx="459">
                  <c:v>30384.109455301277</c:v>
                </c:pt>
                <c:pt idx="460">
                  <c:v>31909.677261157765</c:v>
                </c:pt>
                <c:pt idx="461">
                  <c:v>30393.175951580452</c:v>
                </c:pt>
                <c:pt idx="462">
                  <c:v>26881.155196520973</c:v>
                </c:pt>
                <c:pt idx="463">
                  <c:v>35527.629664789922</c:v>
                </c:pt>
                <c:pt idx="464">
                  <c:v>38068.556345293233</c:v>
                </c:pt>
                <c:pt idx="465">
                  <c:v>30077.895237907338</c:v>
                </c:pt>
                <c:pt idx="466">
                  <c:v>41262.17902672154</c:v>
                </c:pt>
                <c:pt idx="467">
                  <c:v>34267.077793901539</c:v>
                </c:pt>
                <c:pt idx="468">
                  <c:v>36960.011431722996</c:v>
                </c:pt>
                <c:pt idx="469">
                  <c:v>31598.909670712685</c:v>
                </c:pt>
                <c:pt idx="470">
                  <c:v>56693.000016985636</c:v>
                </c:pt>
                <c:pt idx="471">
                  <c:v>25823.264733701213</c:v>
                </c:pt>
                <c:pt idx="472">
                  <c:v>272125.4107496083</c:v>
                </c:pt>
                <c:pt idx="473">
                  <c:v>27091.595430256781</c:v>
                </c:pt>
                <c:pt idx="474">
                  <c:v>36138.344962366464</c:v>
                </c:pt>
                <c:pt idx="475">
                  <c:v>29443.8696932565</c:v>
                </c:pt>
                <c:pt idx="476">
                  <c:v>28454.417678987495</c:v>
                </c:pt>
                <c:pt idx="477">
                  <c:v>42464.997587163954</c:v>
                </c:pt>
                <c:pt idx="478">
                  <c:v>26221.274202535777</c:v>
                </c:pt>
                <c:pt idx="479">
                  <c:v>23440.818838249201</c:v>
                </c:pt>
                <c:pt idx="480">
                  <c:v>29279.562221391923</c:v>
                </c:pt>
                <c:pt idx="481">
                  <c:v>30852.08111187744</c:v>
                </c:pt>
                <c:pt idx="482">
                  <c:v>32707.313641023939</c:v>
                </c:pt>
                <c:pt idx="483">
                  <c:v>35982.857508322457</c:v>
                </c:pt>
                <c:pt idx="484">
                  <c:v>26654.636306700417</c:v>
                </c:pt>
                <c:pt idx="485">
                  <c:v>30160.020745328835</c:v>
                </c:pt>
                <c:pt idx="486">
                  <c:v>24765.445086590302</c:v>
                </c:pt>
                <c:pt idx="487">
                  <c:v>322794.38860408036</c:v>
                </c:pt>
                <c:pt idx="488">
                  <c:v>20168.217053119992</c:v>
                </c:pt>
              </c:numCache>
            </c:numRef>
          </c:val>
          <c:smooth val="0"/>
          <c:extLst>
            <c:ext xmlns:c16="http://schemas.microsoft.com/office/drawing/2014/chart" uri="{C3380CC4-5D6E-409C-BE32-E72D297353CC}">
              <c16:uniqueId val="{00000000-22C5-40A5-9C82-4584D6D73392}"/>
            </c:ext>
          </c:extLst>
        </c:ser>
        <c:dLbls>
          <c:showLegendKey val="0"/>
          <c:showVal val="0"/>
          <c:showCatName val="0"/>
          <c:showSerName val="0"/>
          <c:showPercent val="0"/>
          <c:showBubbleSize val="0"/>
        </c:dLbls>
        <c:marker val="1"/>
        <c:smooth val="0"/>
        <c:axId val="659014608"/>
        <c:axId val="659027088"/>
      </c:lineChart>
      <c:catAx>
        <c:axId val="65901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27088"/>
        <c:crosses val="autoZero"/>
        <c:auto val="1"/>
        <c:lblAlgn val="ctr"/>
        <c:lblOffset val="100"/>
        <c:noMultiLvlLbl val="0"/>
      </c:catAx>
      <c:valAx>
        <c:axId val="65902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14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[Automotive_market_Demand_Forecasting_Dataset_Analysis.xlsx]Online_Interest_Index VS Market!PivotTable4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Online_Interest_Index VS Marketing_Spend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'Online_Interest_Index VS Market'!$B$3</c:f>
              <c:strCache>
                <c:ptCount val="1"/>
                <c:pt idx="0">
                  <c:v>Sum of Marketing_Spend</c:v>
                </c:pt>
              </c:strCache>
            </c:strRef>
          </c:tx>
          <c:spPr>
            <a:solidFill>
              <a:schemeClr val="accent1"/>
            </a:solidFill>
            <a:ln>
              <a:noFill/>
            </a:ln>
            <a:effectLst/>
          </c:spPr>
          <c:invertIfNegative val="0"/>
          <c:cat>
            <c:multiLvlStrRef>
              <c:f>'Online_Interest_Index VS Market'!$A$4:$A$505</c:f>
              <c:multiLvlStrCache>
                <c:ptCount val="489"/>
                <c:lvl>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2016</c:v>
                  </c:pt>
                  <c:pt idx="42">
                    <c:v>2017</c:v>
                  </c:pt>
                  <c:pt idx="43">
                    <c:v>2018</c:v>
                  </c:pt>
                  <c:pt idx="44">
                    <c:v>2019</c:v>
                  </c:pt>
                  <c:pt idx="45">
                    <c:v>2020</c:v>
                  </c:pt>
                  <c:pt idx="46">
                    <c:v>2021</c:v>
                  </c:pt>
                  <c:pt idx="47">
                    <c:v>2022</c:v>
                  </c:pt>
                  <c:pt idx="48">
                    <c:v>2023</c:v>
                  </c:pt>
                  <c:pt idx="49">
                    <c:v>2024</c:v>
                  </c:pt>
                  <c:pt idx="50">
                    <c:v>2025</c:v>
                  </c:pt>
                  <c:pt idx="51">
                    <c:v>2026</c:v>
                  </c:pt>
                  <c:pt idx="52">
                    <c:v>2027</c:v>
                  </c:pt>
                  <c:pt idx="53">
                    <c:v>2028</c:v>
                  </c:pt>
                  <c:pt idx="54">
                    <c:v>2029</c:v>
                  </c:pt>
                  <c:pt idx="55">
                    <c:v>2030</c:v>
                  </c:pt>
                  <c:pt idx="56">
                    <c:v>2031</c:v>
                  </c:pt>
                  <c:pt idx="57">
                    <c:v>2032</c:v>
                  </c:pt>
                  <c:pt idx="58">
                    <c:v>2033</c:v>
                  </c:pt>
                  <c:pt idx="59">
                    <c:v>2034</c:v>
                  </c:pt>
                  <c:pt idx="60">
                    <c:v>2035</c:v>
                  </c:pt>
                  <c:pt idx="61">
                    <c:v>2036</c:v>
                  </c:pt>
                  <c:pt idx="62">
                    <c:v>2037</c:v>
                  </c:pt>
                  <c:pt idx="63">
                    <c:v>2039</c:v>
                  </c:pt>
                  <c:pt idx="64">
                    <c:v>2040</c:v>
                  </c:pt>
                  <c:pt idx="65">
                    <c:v>2041</c:v>
                  </c:pt>
                  <c:pt idx="66">
                    <c:v>2042</c:v>
                  </c:pt>
                  <c:pt idx="67">
                    <c:v>2043</c:v>
                  </c:pt>
                  <c:pt idx="68">
                    <c:v>2044</c:v>
                  </c:pt>
                  <c:pt idx="69">
                    <c:v>2045</c:v>
                  </c:pt>
                  <c:pt idx="70">
                    <c:v>2046</c:v>
                  </c:pt>
                  <c:pt idx="71">
                    <c:v>2047</c:v>
                  </c:pt>
                  <c:pt idx="72">
                    <c:v>2048</c:v>
                  </c:pt>
                  <c:pt idx="73">
                    <c:v>2049</c:v>
                  </c:pt>
                  <c:pt idx="74">
                    <c:v>2050</c:v>
                  </c:pt>
                  <c:pt idx="75">
                    <c:v>2051</c:v>
                  </c:pt>
                  <c:pt idx="76">
                    <c:v>2052</c:v>
                  </c:pt>
                  <c:pt idx="77">
                    <c:v>2053</c:v>
                  </c:pt>
                  <c:pt idx="78">
                    <c:v>2054</c:v>
                  </c:pt>
                  <c:pt idx="79">
                    <c:v>2015</c:v>
                  </c:pt>
                  <c:pt idx="80">
                    <c:v>2016</c:v>
                  </c:pt>
                  <c:pt idx="81">
                    <c:v>2017</c:v>
                  </c:pt>
                  <c:pt idx="82">
                    <c:v>2018</c:v>
                  </c:pt>
                  <c:pt idx="83">
                    <c:v>2019</c:v>
                  </c:pt>
                  <c:pt idx="84">
                    <c:v>2020</c:v>
                  </c:pt>
                  <c:pt idx="85">
                    <c:v>2021</c:v>
                  </c:pt>
                  <c:pt idx="86">
                    <c:v>2022</c:v>
                  </c:pt>
                  <c:pt idx="87">
                    <c:v>2023</c:v>
                  </c:pt>
                  <c:pt idx="88">
                    <c:v>2024</c:v>
                  </c:pt>
                  <c:pt idx="89">
                    <c:v>2025</c:v>
                  </c:pt>
                  <c:pt idx="90">
                    <c:v>2026</c:v>
                  </c:pt>
                  <c:pt idx="91">
                    <c:v>2027</c:v>
                  </c:pt>
                  <c:pt idx="92">
                    <c:v>2028</c:v>
                  </c:pt>
                  <c:pt idx="93">
                    <c:v>2029</c:v>
                  </c:pt>
                  <c:pt idx="94">
                    <c:v>2030</c:v>
                  </c:pt>
                  <c:pt idx="95">
                    <c:v>2031</c:v>
                  </c:pt>
                  <c:pt idx="96">
                    <c:v>2032</c:v>
                  </c:pt>
                  <c:pt idx="97">
                    <c:v>2033</c:v>
                  </c:pt>
                  <c:pt idx="98">
                    <c:v>2034</c:v>
                  </c:pt>
                  <c:pt idx="99">
                    <c:v>2035</c:v>
                  </c:pt>
                  <c:pt idx="100">
                    <c:v>2036</c:v>
                  </c:pt>
                  <c:pt idx="101">
                    <c:v>2037</c:v>
                  </c:pt>
                  <c:pt idx="102">
                    <c:v>2038</c:v>
                  </c:pt>
                  <c:pt idx="103">
                    <c:v>2039</c:v>
                  </c:pt>
                  <c:pt idx="104">
                    <c:v>2040</c:v>
                  </c:pt>
                  <c:pt idx="105">
                    <c:v>2041</c:v>
                  </c:pt>
                  <c:pt idx="106">
                    <c:v>2042</c:v>
                  </c:pt>
                  <c:pt idx="107">
                    <c:v>2043</c:v>
                  </c:pt>
                  <c:pt idx="108">
                    <c:v>2044</c:v>
                  </c:pt>
                  <c:pt idx="109">
                    <c:v>2045</c:v>
                  </c:pt>
                  <c:pt idx="110">
                    <c:v>2046</c:v>
                  </c:pt>
                  <c:pt idx="111">
                    <c:v>2047</c:v>
                  </c:pt>
                  <c:pt idx="112">
                    <c:v>2048</c:v>
                  </c:pt>
                  <c:pt idx="113">
                    <c:v>2049</c:v>
                  </c:pt>
                  <c:pt idx="114">
                    <c:v>2050</c:v>
                  </c:pt>
                  <c:pt idx="115">
                    <c:v>2051</c:v>
                  </c:pt>
                  <c:pt idx="116">
                    <c:v>2052</c:v>
                  </c:pt>
                  <c:pt idx="117">
                    <c:v>2053</c:v>
                  </c:pt>
                  <c:pt idx="118">
                    <c:v>2054</c:v>
                  </c:pt>
                  <c:pt idx="119">
                    <c:v>2055</c:v>
                  </c:pt>
                  <c:pt idx="120">
                    <c:v>2015</c:v>
                  </c:pt>
                  <c:pt idx="121">
                    <c:v>2016</c:v>
                  </c:pt>
                  <c:pt idx="122">
                    <c:v>2017</c:v>
                  </c:pt>
                  <c:pt idx="123">
                    <c:v>2018</c:v>
                  </c:pt>
                  <c:pt idx="124">
                    <c:v>2019</c:v>
                  </c:pt>
                  <c:pt idx="125">
                    <c:v>2020</c:v>
                  </c:pt>
                  <c:pt idx="126">
                    <c:v>2021</c:v>
                  </c:pt>
                  <c:pt idx="127">
                    <c:v>2022</c:v>
                  </c:pt>
                  <c:pt idx="128">
                    <c:v>2023</c:v>
                  </c:pt>
                  <c:pt idx="129">
                    <c:v>2024</c:v>
                  </c:pt>
                  <c:pt idx="130">
                    <c:v>2025</c:v>
                  </c:pt>
                  <c:pt idx="131">
                    <c:v>2026</c:v>
                  </c:pt>
                  <c:pt idx="132">
                    <c:v>2027</c:v>
                  </c:pt>
                  <c:pt idx="133">
                    <c:v>2028</c:v>
                  </c:pt>
                  <c:pt idx="134">
                    <c:v>2029</c:v>
                  </c:pt>
                  <c:pt idx="135">
                    <c:v>2030</c:v>
                  </c:pt>
                  <c:pt idx="136">
                    <c:v>2031</c:v>
                  </c:pt>
                  <c:pt idx="137">
                    <c:v>2032</c:v>
                  </c:pt>
                  <c:pt idx="138">
                    <c:v>2033</c:v>
                  </c:pt>
                  <c:pt idx="139">
                    <c:v>2034</c:v>
                  </c:pt>
                  <c:pt idx="140">
                    <c:v>2035</c:v>
                  </c:pt>
                  <c:pt idx="141">
                    <c:v>2036</c:v>
                  </c:pt>
                  <c:pt idx="142">
                    <c:v>2037</c:v>
                  </c:pt>
                  <c:pt idx="143">
                    <c:v>2038</c:v>
                  </c:pt>
                  <c:pt idx="144">
                    <c:v>2039</c:v>
                  </c:pt>
                  <c:pt idx="145">
                    <c:v>2040</c:v>
                  </c:pt>
                  <c:pt idx="146">
                    <c:v>2041</c:v>
                  </c:pt>
                  <c:pt idx="147">
                    <c:v>2042</c:v>
                  </c:pt>
                  <c:pt idx="148">
                    <c:v>2043</c:v>
                  </c:pt>
                  <c:pt idx="149">
                    <c:v>2044</c:v>
                  </c:pt>
                  <c:pt idx="150">
                    <c:v>2045</c:v>
                  </c:pt>
                  <c:pt idx="151">
                    <c:v>2046</c:v>
                  </c:pt>
                  <c:pt idx="152">
                    <c:v>2047</c:v>
                  </c:pt>
                  <c:pt idx="153">
                    <c:v>2048</c:v>
                  </c:pt>
                  <c:pt idx="154">
                    <c:v>2049</c:v>
                  </c:pt>
                  <c:pt idx="155">
                    <c:v>2050</c:v>
                  </c:pt>
                  <c:pt idx="156">
                    <c:v>2051</c:v>
                  </c:pt>
                  <c:pt idx="157">
                    <c:v>2052</c:v>
                  </c:pt>
                  <c:pt idx="158">
                    <c:v>2053</c:v>
                  </c:pt>
                  <c:pt idx="159">
                    <c:v>2054</c:v>
                  </c:pt>
                  <c:pt idx="160">
                    <c:v>2055</c:v>
                  </c:pt>
                  <c:pt idx="161">
                    <c:v>2015</c:v>
                  </c:pt>
                  <c:pt idx="162">
                    <c:v>2016</c:v>
                  </c:pt>
                  <c:pt idx="163">
                    <c:v>2017</c:v>
                  </c:pt>
                  <c:pt idx="164">
                    <c:v>2018</c:v>
                  </c:pt>
                  <c:pt idx="165">
                    <c:v>2019</c:v>
                  </c:pt>
                  <c:pt idx="166">
                    <c:v>2020</c:v>
                  </c:pt>
                  <c:pt idx="167">
                    <c:v>2021</c:v>
                  </c:pt>
                  <c:pt idx="168">
                    <c:v>2022</c:v>
                  </c:pt>
                  <c:pt idx="169">
                    <c:v>2023</c:v>
                  </c:pt>
                  <c:pt idx="170">
                    <c:v>2024</c:v>
                  </c:pt>
                  <c:pt idx="171">
                    <c:v>2025</c:v>
                  </c:pt>
                  <c:pt idx="172">
                    <c:v>2026</c:v>
                  </c:pt>
                  <c:pt idx="173">
                    <c:v>2027</c:v>
                  </c:pt>
                  <c:pt idx="174">
                    <c:v>2028</c:v>
                  </c:pt>
                  <c:pt idx="175">
                    <c:v>2029</c:v>
                  </c:pt>
                  <c:pt idx="176">
                    <c:v>2030</c:v>
                  </c:pt>
                  <c:pt idx="177">
                    <c:v>2031</c:v>
                  </c:pt>
                  <c:pt idx="178">
                    <c:v>2032</c:v>
                  </c:pt>
                  <c:pt idx="179">
                    <c:v>2033</c:v>
                  </c:pt>
                  <c:pt idx="180">
                    <c:v>2034</c:v>
                  </c:pt>
                  <c:pt idx="181">
                    <c:v>2035</c:v>
                  </c:pt>
                  <c:pt idx="182">
                    <c:v>2036</c:v>
                  </c:pt>
                  <c:pt idx="183">
                    <c:v>2037</c:v>
                  </c:pt>
                  <c:pt idx="184">
                    <c:v>2038</c:v>
                  </c:pt>
                  <c:pt idx="185">
                    <c:v>2039</c:v>
                  </c:pt>
                  <c:pt idx="186">
                    <c:v>2040</c:v>
                  </c:pt>
                  <c:pt idx="187">
                    <c:v>2041</c:v>
                  </c:pt>
                  <c:pt idx="188">
                    <c:v>2042</c:v>
                  </c:pt>
                  <c:pt idx="189">
                    <c:v>2043</c:v>
                  </c:pt>
                  <c:pt idx="190">
                    <c:v>2044</c:v>
                  </c:pt>
                  <c:pt idx="191">
                    <c:v>2045</c:v>
                  </c:pt>
                  <c:pt idx="192">
                    <c:v>2046</c:v>
                  </c:pt>
                  <c:pt idx="193">
                    <c:v>2047</c:v>
                  </c:pt>
                  <c:pt idx="194">
                    <c:v>2048</c:v>
                  </c:pt>
                  <c:pt idx="195">
                    <c:v>2049</c:v>
                  </c:pt>
                  <c:pt idx="196">
                    <c:v>2050</c:v>
                  </c:pt>
                  <c:pt idx="197">
                    <c:v>2051</c:v>
                  </c:pt>
                  <c:pt idx="198">
                    <c:v>2052</c:v>
                  </c:pt>
                  <c:pt idx="199">
                    <c:v>2053</c:v>
                  </c:pt>
                  <c:pt idx="200">
                    <c:v>2054</c:v>
                  </c:pt>
                  <c:pt idx="201">
                    <c:v>2055</c:v>
                  </c:pt>
                  <c:pt idx="202">
                    <c:v>2015</c:v>
                  </c:pt>
                  <c:pt idx="203">
                    <c:v>2016</c:v>
                  </c:pt>
                  <c:pt idx="204">
                    <c:v>2017</c:v>
                  </c:pt>
                  <c:pt idx="205">
                    <c:v>2018</c:v>
                  </c:pt>
                  <c:pt idx="206">
                    <c:v>2019</c:v>
                  </c:pt>
                  <c:pt idx="207">
                    <c:v>2020</c:v>
                  </c:pt>
                  <c:pt idx="208">
                    <c:v>2021</c:v>
                  </c:pt>
                  <c:pt idx="209">
                    <c:v>2022</c:v>
                  </c:pt>
                  <c:pt idx="210">
                    <c:v>2023</c:v>
                  </c:pt>
                  <c:pt idx="211">
                    <c:v>2024</c:v>
                  </c:pt>
                  <c:pt idx="212">
                    <c:v>2025</c:v>
                  </c:pt>
                  <c:pt idx="213">
                    <c:v>2026</c:v>
                  </c:pt>
                  <c:pt idx="214">
                    <c:v>2027</c:v>
                  </c:pt>
                  <c:pt idx="215">
                    <c:v>2028</c:v>
                  </c:pt>
                  <c:pt idx="216">
                    <c:v>2029</c:v>
                  </c:pt>
                  <c:pt idx="217">
                    <c:v>2030</c:v>
                  </c:pt>
                  <c:pt idx="218">
                    <c:v>2031</c:v>
                  </c:pt>
                  <c:pt idx="219">
                    <c:v>2032</c:v>
                  </c:pt>
                  <c:pt idx="220">
                    <c:v>2033</c:v>
                  </c:pt>
                  <c:pt idx="221">
                    <c:v>2034</c:v>
                  </c:pt>
                  <c:pt idx="222">
                    <c:v>2035</c:v>
                  </c:pt>
                  <c:pt idx="223">
                    <c:v>2036</c:v>
                  </c:pt>
                  <c:pt idx="224">
                    <c:v>2037</c:v>
                  </c:pt>
                  <c:pt idx="225">
                    <c:v>2038</c:v>
                  </c:pt>
                  <c:pt idx="226">
                    <c:v>2039</c:v>
                  </c:pt>
                  <c:pt idx="227">
                    <c:v>2040</c:v>
                  </c:pt>
                  <c:pt idx="228">
                    <c:v>2041</c:v>
                  </c:pt>
                  <c:pt idx="229">
                    <c:v>2042</c:v>
                  </c:pt>
                  <c:pt idx="230">
                    <c:v>2043</c:v>
                  </c:pt>
                  <c:pt idx="231">
                    <c:v>2044</c:v>
                  </c:pt>
                  <c:pt idx="232">
                    <c:v>2045</c:v>
                  </c:pt>
                  <c:pt idx="233">
                    <c:v>2046</c:v>
                  </c:pt>
                  <c:pt idx="234">
                    <c:v>2047</c:v>
                  </c:pt>
                  <c:pt idx="235">
                    <c:v>2048</c:v>
                  </c:pt>
                  <c:pt idx="236">
                    <c:v>2049</c:v>
                  </c:pt>
                  <c:pt idx="237">
                    <c:v>2050</c:v>
                  </c:pt>
                  <c:pt idx="238">
                    <c:v>2051</c:v>
                  </c:pt>
                  <c:pt idx="239">
                    <c:v>2052</c:v>
                  </c:pt>
                  <c:pt idx="240">
                    <c:v>2053</c:v>
                  </c:pt>
                  <c:pt idx="241">
                    <c:v>2054</c:v>
                  </c:pt>
                  <c:pt idx="242">
                    <c:v>2055</c:v>
                  </c:pt>
                  <c:pt idx="243">
                    <c:v>2015</c:v>
                  </c:pt>
                  <c:pt idx="244">
                    <c:v>2016</c:v>
                  </c:pt>
                  <c:pt idx="245">
                    <c:v>2017</c:v>
                  </c:pt>
                  <c:pt idx="246">
                    <c:v>2018</c:v>
                  </c:pt>
                  <c:pt idx="247">
                    <c:v>2019</c:v>
                  </c:pt>
                  <c:pt idx="248">
                    <c:v>2020</c:v>
                  </c:pt>
                  <c:pt idx="249">
                    <c:v>2021</c:v>
                  </c:pt>
                  <c:pt idx="250">
                    <c:v>2022</c:v>
                  </c:pt>
                  <c:pt idx="251">
                    <c:v>2023</c:v>
                  </c:pt>
                  <c:pt idx="252">
                    <c:v>2024</c:v>
                  </c:pt>
                  <c:pt idx="253">
                    <c:v>2025</c:v>
                  </c:pt>
                  <c:pt idx="254">
                    <c:v>2026</c:v>
                  </c:pt>
                  <c:pt idx="255">
                    <c:v>2027</c:v>
                  </c:pt>
                  <c:pt idx="256">
                    <c:v>2028</c:v>
                  </c:pt>
                  <c:pt idx="257">
                    <c:v>2029</c:v>
                  </c:pt>
                  <c:pt idx="258">
                    <c:v>2030</c:v>
                  </c:pt>
                  <c:pt idx="259">
                    <c:v>2031</c:v>
                  </c:pt>
                  <c:pt idx="260">
                    <c:v>2032</c:v>
                  </c:pt>
                  <c:pt idx="261">
                    <c:v>2033</c:v>
                  </c:pt>
                  <c:pt idx="262">
                    <c:v>2034</c:v>
                  </c:pt>
                  <c:pt idx="263">
                    <c:v>2035</c:v>
                  </c:pt>
                  <c:pt idx="264">
                    <c:v>2036</c:v>
                  </c:pt>
                  <c:pt idx="265">
                    <c:v>2037</c:v>
                  </c:pt>
                  <c:pt idx="266">
                    <c:v>2038</c:v>
                  </c:pt>
                  <c:pt idx="267">
                    <c:v>2039</c:v>
                  </c:pt>
                  <c:pt idx="268">
                    <c:v>2040</c:v>
                  </c:pt>
                  <c:pt idx="269">
                    <c:v>2041</c:v>
                  </c:pt>
                  <c:pt idx="270">
                    <c:v>2042</c:v>
                  </c:pt>
                  <c:pt idx="271">
                    <c:v>2043</c:v>
                  </c:pt>
                  <c:pt idx="272">
                    <c:v>2044</c:v>
                  </c:pt>
                  <c:pt idx="273">
                    <c:v>2045</c:v>
                  </c:pt>
                  <c:pt idx="274">
                    <c:v>2046</c:v>
                  </c:pt>
                  <c:pt idx="275">
                    <c:v>2047</c:v>
                  </c:pt>
                  <c:pt idx="276">
                    <c:v>2048</c:v>
                  </c:pt>
                  <c:pt idx="277">
                    <c:v>2049</c:v>
                  </c:pt>
                  <c:pt idx="278">
                    <c:v>2050</c:v>
                  </c:pt>
                  <c:pt idx="279">
                    <c:v>2051</c:v>
                  </c:pt>
                  <c:pt idx="280">
                    <c:v>2052</c:v>
                  </c:pt>
                  <c:pt idx="281">
                    <c:v>2053</c:v>
                  </c:pt>
                  <c:pt idx="282">
                    <c:v>2054</c:v>
                  </c:pt>
                  <c:pt idx="283">
                    <c:v>2055</c:v>
                  </c:pt>
                  <c:pt idx="284">
                    <c:v>2015</c:v>
                  </c:pt>
                  <c:pt idx="285">
                    <c:v>2016</c:v>
                  </c:pt>
                  <c:pt idx="286">
                    <c:v>2017</c:v>
                  </c:pt>
                  <c:pt idx="287">
                    <c:v>2018</c:v>
                  </c:pt>
                  <c:pt idx="288">
                    <c:v>2019</c:v>
                  </c:pt>
                  <c:pt idx="289">
                    <c:v>2020</c:v>
                  </c:pt>
                  <c:pt idx="290">
                    <c:v>2021</c:v>
                  </c:pt>
                  <c:pt idx="291">
                    <c:v>2022</c:v>
                  </c:pt>
                  <c:pt idx="292">
                    <c:v>2023</c:v>
                  </c:pt>
                  <c:pt idx="293">
                    <c:v>2024</c:v>
                  </c:pt>
                  <c:pt idx="294">
                    <c:v>2025</c:v>
                  </c:pt>
                  <c:pt idx="295">
                    <c:v>2026</c:v>
                  </c:pt>
                  <c:pt idx="296">
                    <c:v>2027</c:v>
                  </c:pt>
                  <c:pt idx="297">
                    <c:v>2028</c:v>
                  </c:pt>
                  <c:pt idx="298">
                    <c:v>2029</c:v>
                  </c:pt>
                  <c:pt idx="299">
                    <c:v>2030</c:v>
                  </c:pt>
                  <c:pt idx="300">
                    <c:v>2031</c:v>
                  </c:pt>
                  <c:pt idx="301">
                    <c:v>2032</c:v>
                  </c:pt>
                  <c:pt idx="302">
                    <c:v>2033</c:v>
                  </c:pt>
                  <c:pt idx="303">
                    <c:v>2034</c:v>
                  </c:pt>
                  <c:pt idx="304">
                    <c:v>2035</c:v>
                  </c:pt>
                  <c:pt idx="305">
                    <c:v>2036</c:v>
                  </c:pt>
                  <c:pt idx="306">
                    <c:v>2037</c:v>
                  </c:pt>
                  <c:pt idx="307">
                    <c:v>2038</c:v>
                  </c:pt>
                  <c:pt idx="308">
                    <c:v>2039</c:v>
                  </c:pt>
                  <c:pt idx="309">
                    <c:v>2040</c:v>
                  </c:pt>
                  <c:pt idx="310">
                    <c:v>2041</c:v>
                  </c:pt>
                  <c:pt idx="311">
                    <c:v>2042</c:v>
                  </c:pt>
                  <c:pt idx="312">
                    <c:v>2043</c:v>
                  </c:pt>
                  <c:pt idx="313">
                    <c:v>2044</c:v>
                  </c:pt>
                  <c:pt idx="314">
                    <c:v>2045</c:v>
                  </c:pt>
                  <c:pt idx="315">
                    <c:v>2046</c:v>
                  </c:pt>
                  <c:pt idx="316">
                    <c:v>2047</c:v>
                  </c:pt>
                  <c:pt idx="317">
                    <c:v>2048</c:v>
                  </c:pt>
                  <c:pt idx="318">
                    <c:v>2049</c:v>
                  </c:pt>
                  <c:pt idx="319">
                    <c:v>2050</c:v>
                  </c:pt>
                  <c:pt idx="320">
                    <c:v>2051</c:v>
                  </c:pt>
                  <c:pt idx="321">
                    <c:v>2052</c:v>
                  </c:pt>
                  <c:pt idx="322">
                    <c:v>2053</c:v>
                  </c:pt>
                  <c:pt idx="323">
                    <c:v>2054</c:v>
                  </c:pt>
                  <c:pt idx="324">
                    <c:v>2055</c:v>
                  </c:pt>
                  <c:pt idx="325">
                    <c:v>2015</c:v>
                  </c:pt>
                  <c:pt idx="326">
                    <c:v>2016</c:v>
                  </c:pt>
                  <c:pt idx="327">
                    <c:v>2017</c:v>
                  </c:pt>
                  <c:pt idx="328">
                    <c:v>2018</c:v>
                  </c:pt>
                  <c:pt idx="329">
                    <c:v>2019</c:v>
                  </c:pt>
                  <c:pt idx="330">
                    <c:v>2020</c:v>
                  </c:pt>
                  <c:pt idx="331">
                    <c:v>2021</c:v>
                  </c:pt>
                  <c:pt idx="332">
                    <c:v>2022</c:v>
                  </c:pt>
                  <c:pt idx="333">
                    <c:v>2023</c:v>
                  </c:pt>
                  <c:pt idx="334">
                    <c:v>2024</c:v>
                  </c:pt>
                  <c:pt idx="335">
                    <c:v>2025</c:v>
                  </c:pt>
                  <c:pt idx="336">
                    <c:v>2026</c:v>
                  </c:pt>
                  <c:pt idx="337">
                    <c:v>2027</c:v>
                  </c:pt>
                  <c:pt idx="338">
                    <c:v>2028</c:v>
                  </c:pt>
                  <c:pt idx="339">
                    <c:v>2029</c:v>
                  </c:pt>
                  <c:pt idx="340">
                    <c:v>2030</c:v>
                  </c:pt>
                  <c:pt idx="341">
                    <c:v>2031</c:v>
                  </c:pt>
                  <c:pt idx="342">
                    <c:v>2032</c:v>
                  </c:pt>
                  <c:pt idx="343">
                    <c:v>2033</c:v>
                  </c:pt>
                  <c:pt idx="344">
                    <c:v>2034</c:v>
                  </c:pt>
                  <c:pt idx="345">
                    <c:v>2035</c:v>
                  </c:pt>
                  <c:pt idx="346">
                    <c:v>2036</c:v>
                  </c:pt>
                  <c:pt idx="347">
                    <c:v>2037</c:v>
                  </c:pt>
                  <c:pt idx="348">
                    <c:v>2038</c:v>
                  </c:pt>
                  <c:pt idx="349">
                    <c:v>2039</c:v>
                  </c:pt>
                  <c:pt idx="350">
                    <c:v>2040</c:v>
                  </c:pt>
                  <c:pt idx="351">
                    <c:v>2041</c:v>
                  </c:pt>
                  <c:pt idx="352">
                    <c:v>2042</c:v>
                  </c:pt>
                  <c:pt idx="353">
                    <c:v>2043</c:v>
                  </c:pt>
                  <c:pt idx="354">
                    <c:v>2044</c:v>
                  </c:pt>
                  <c:pt idx="355">
                    <c:v>2045</c:v>
                  </c:pt>
                  <c:pt idx="356">
                    <c:v>2046</c:v>
                  </c:pt>
                  <c:pt idx="357">
                    <c:v>2047</c:v>
                  </c:pt>
                  <c:pt idx="358">
                    <c:v>2048</c:v>
                  </c:pt>
                  <c:pt idx="359">
                    <c:v>2049</c:v>
                  </c:pt>
                  <c:pt idx="360">
                    <c:v>2050</c:v>
                  </c:pt>
                  <c:pt idx="361">
                    <c:v>2051</c:v>
                  </c:pt>
                  <c:pt idx="362">
                    <c:v>2052</c:v>
                  </c:pt>
                  <c:pt idx="363">
                    <c:v>2053</c:v>
                  </c:pt>
                  <c:pt idx="364">
                    <c:v>2054</c:v>
                  </c:pt>
                  <c:pt idx="365">
                    <c:v>2055</c:v>
                  </c:pt>
                  <c:pt idx="366">
                    <c:v>2015</c:v>
                  </c:pt>
                  <c:pt idx="367">
                    <c:v>2016</c:v>
                  </c:pt>
                  <c:pt idx="368">
                    <c:v>2017</c:v>
                  </c:pt>
                  <c:pt idx="369">
                    <c:v>2018</c:v>
                  </c:pt>
                  <c:pt idx="370">
                    <c:v>2019</c:v>
                  </c:pt>
                  <c:pt idx="371">
                    <c:v>2020</c:v>
                  </c:pt>
                  <c:pt idx="372">
                    <c:v>2021</c:v>
                  </c:pt>
                  <c:pt idx="373">
                    <c:v>2022</c:v>
                  </c:pt>
                  <c:pt idx="374">
                    <c:v>2023</c:v>
                  </c:pt>
                  <c:pt idx="375">
                    <c:v>2024</c:v>
                  </c:pt>
                  <c:pt idx="376">
                    <c:v>2025</c:v>
                  </c:pt>
                  <c:pt idx="377">
                    <c:v>2026</c:v>
                  </c:pt>
                  <c:pt idx="378">
                    <c:v>2027</c:v>
                  </c:pt>
                  <c:pt idx="379">
                    <c:v>2028</c:v>
                  </c:pt>
                  <c:pt idx="380">
                    <c:v>2029</c:v>
                  </c:pt>
                  <c:pt idx="381">
                    <c:v>2030</c:v>
                  </c:pt>
                  <c:pt idx="382">
                    <c:v>2031</c:v>
                  </c:pt>
                  <c:pt idx="383">
                    <c:v>2032</c:v>
                  </c:pt>
                  <c:pt idx="384">
                    <c:v>2033</c:v>
                  </c:pt>
                  <c:pt idx="385">
                    <c:v>2034</c:v>
                  </c:pt>
                  <c:pt idx="386">
                    <c:v>2035</c:v>
                  </c:pt>
                  <c:pt idx="387">
                    <c:v>2036</c:v>
                  </c:pt>
                  <c:pt idx="388">
                    <c:v>2037</c:v>
                  </c:pt>
                  <c:pt idx="389">
                    <c:v>2038</c:v>
                  </c:pt>
                  <c:pt idx="390">
                    <c:v>2039</c:v>
                  </c:pt>
                  <c:pt idx="391">
                    <c:v>2040</c:v>
                  </c:pt>
                  <c:pt idx="392">
                    <c:v>2041</c:v>
                  </c:pt>
                  <c:pt idx="393">
                    <c:v>2042</c:v>
                  </c:pt>
                  <c:pt idx="394">
                    <c:v>2043</c:v>
                  </c:pt>
                  <c:pt idx="395">
                    <c:v>2044</c:v>
                  </c:pt>
                  <c:pt idx="396">
                    <c:v>2045</c:v>
                  </c:pt>
                  <c:pt idx="397">
                    <c:v>2046</c:v>
                  </c:pt>
                  <c:pt idx="398">
                    <c:v>2047</c:v>
                  </c:pt>
                  <c:pt idx="399">
                    <c:v>2048</c:v>
                  </c:pt>
                  <c:pt idx="400">
                    <c:v>2049</c:v>
                  </c:pt>
                  <c:pt idx="401">
                    <c:v>2050</c:v>
                  </c:pt>
                  <c:pt idx="402">
                    <c:v>2051</c:v>
                  </c:pt>
                  <c:pt idx="403">
                    <c:v>2052</c:v>
                  </c:pt>
                  <c:pt idx="404">
                    <c:v>2053</c:v>
                  </c:pt>
                  <c:pt idx="405">
                    <c:v>2054</c:v>
                  </c:pt>
                  <c:pt idx="406">
                    <c:v>2055</c:v>
                  </c:pt>
                  <c:pt idx="407">
                    <c:v>2015</c:v>
                  </c:pt>
                  <c:pt idx="408">
                    <c:v>2016</c:v>
                  </c:pt>
                  <c:pt idx="409">
                    <c:v>2017</c:v>
                  </c:pt>
                  <c:pt idx="410">
                    <c:v>2018</c:v>
                  </c:pt>
                  <c:pt idx="411">
                    <c:v>2019</c:v>
                  </c:pt>
                  <c:pt idx="412">
                    <c:v>2020</c:v>
                  </c:pt>
                  <c:pt idx="413">
                    <c:v>2021</c:v>
                  </c:pt>
                  <c:pt idx="414">
                    <c:v>2022</c:v>
                  </c:pt>
                  <c:pt idx="415">
                    <c:v>2023</c:v>
                  </c:pt>
                  <c:pt idx="416">
                    <c:v>2024</c:v>
                  </c:pt>
                  <c:pt idx="417">
                    <c:v>2025</c:v>
                  </c:pt>
                  <c:pt idx="418">
                    <c:v>2026</c:v>
                  </c:pt>
                  <c:pt idx="419">
                    <c:v>2027</c:v>
                  </c:pt>
                  <c:pt idx="420">
                    <c:v>2028</c:v>
                  </c:pt>
                  <c:pt idx="421">
                    <c:v>2029</c:v>
                  </c:pt>
                  <c:pt idx="422">
                    <c:v>2030</c:v>
                  </c:pt>
                  <c:pt idx="423">
                    <c:v>2031</c:v>
                  </c:pt>
                  <c:pt idx="424">
                    <c:v>2032</c:v>
                  </c:pt>
                  <c:pt idx="425">
                    <c:v>2033</c:v>
                  </c:pt>
                  <c:pt idx="426">
                    <c:v>2034</c:v>
                  </c:pt>
                  <c:pt idx="427">
                    <c:v>2035</c:v>
                  </c:pt>
                  <c:pt idx="428">
                    <c:v>2036</c:v>
                  </c:pt>
                  <c:pt idx="429">
                    <c:v>2037</c:v>
                  </c:pt>
                  <c:pt idx="430">
                    <c:v>2038</c:v>
                  </c:pt>
                  <c:pt idx="431">
                    <c:v>2039</c:v>
                  </c:pt>
                  <c:pt idx="432">
                    <c:v>2040</c:v>
                  </c:pt>
                  <c:pt idx="433">
                    <c:v>2041</c:v>
                  </c:pt>
                  <c:pt idx="434">
                    <c:v>2042</c:v>
                  </c:pt>
                  <c:pt idx="435">
                    <c:v>2043</c:v>
                  </c:pt>
                  <c:pt idx="436">
                    <c:v>2044</c:v>
                  </c:pt>
                  <c:pt idx="437">
                    <c:v>2045</c:v>
                  </c:pt>
                  <c:pt idx="438">
                    <c:v>2046</c:v>
                  </c:pt>
                  <c:pt idx="439">
                    <c:v>2047</c:v>
                  </c:pt>
                  <c:pt idx="440">
                    <c:v>2048</c:v>
                  </c:pt>
                  <c:pt idx="441">
                    <c:v>2049</c:v>
                  </c:pt>
                  <c:pt idx="442">
                    <c:v>2050</c:v>
                  </c:pt>
                  <c:pt idx="443">
                    <c:v>2051</c:v>
                  </c:pt>
                  <c:pt idx="444">
                    <c:v>2052</c:v>
                  </c:pt>
                  <c:pt idx="445">
                    <c:v>2053</c:v>
                  </c:pt>
                  <c:pt idx="446">
                    <c:v>2054</c:v>
                  </c:pt>
                  <c:pt idx="447">
                    <c:v>2055</c:v>
                  </c:pt>
                  <c:pt idx="448">
                    <c:v>2015</c:v>
                  </c:pt>
                  <c:pt idx="449">
                    <c:v>2016</c:v>
                  </c:pt>
                  <c:pt idx="450">
                    <c:v>2017</c:v>
                  </c:pt>
                  <c:pt idx="451">
                    <c:v>2018</c:v>
                  </c:pt>
                  <c:pt idx="452">
                    <c:v>2019</c:v>
                  </c:pt>
                  <c:pt idx="453">
                    <c:v>2020</c:v>
                  </c:pt>
                  <c:pt idx="454">
                    <c:v>2021</c:v>
                  </c:pt>
                  <c:pt idx="455">
                    <c:v>2022</c:v>
                  </c:pt>
                  <c:pt idx="456">
                    <c:v>2023</c:v>
                  </c:pt>
                  <c:pt idx="457">
                    <c:v>2024</c:v>
                  </c:pt>
                  <c:pt idx="458">
                    <c:v>2025</c:v>
                  </c:pt>
                  <c:pt idx="459">
                    <c:v>2026</c:v>
                  </c:pt>
                  <c:pt idx="460">
                    <c:v>2027</c:v>
                  </c:pt>
                  <c:pt idx="461">
                    <c:v>2028</c:v>
                  </c:pt>
                  <c:pt idx="462">
                    <c:v>2029</c:v>
                  </c:pt>
                  <c:pt idx="463">
                    <c:v>2030</c:v>
                  </c:pt>
                  <c:pt idx="464">
                    <c:v>2031</c:v>
                  </c:pt>
                  <c:pt idx="465">
                    <c:v>2032</c:v>
                  </c:pt>
                  <c:pt idx="466">
                    <c:v>2033</c:v>
                  </c:pt>
                  <c:pt idx="467">
                    <c:v>2034</c:v>
                  </c:pt>
                  <c:pt idx="468">
                    <c:v>2035</c:v>
                  </c:pt>
                  <c:pt idx="469">
                    <c:v>2036</c:v>
                  </c:pt>
                  <c:pt idx="470">
                    <c:v>2037</c:v>
                  </c:pt>
                  <c:pt idx="471">
                    <c:v>2038</c:v>
                  </c:pt>
                  <c:pt idx="472">
                    <c:v>2039</c:v>
                  </c:pt>
                  <c:pt idx="473">
                    <c:v>2040</c:v>
                  </c:pt>
                  <c:pt idx="474">
                    <c:v>2041</c:v>
                  </c:pt>
                  <c:pt idx="475">
                    <c:v>2042</c:v>
                  </c:pt>
                  <c:pt idx="476">
                    <c:v>2043</c:v>
                  </c:pt>
                  <c:pt idx="477">
                    <c:v>2044</c:v>
                  </c:pt>
                  <c:pt idx="478">
                    <c:v>2045</c:v>
                  </c:pt>
                  <c:pt idx="479">
                    <c:v>2046</c:v>
                  </c:pt>
                  <c:pt idx="480">
                    <c:v>2047</c:v>
                  </c:pt>
                  <c:pt idx="481">
                    <c:v>2048</c:v>
                  </c:pt>
                  <c:pt idx="482">
                    <c:v>2049</c:v>
                  </c:pt>
                  <c:pt idx="483">
                    <c:v>2050</c:v>
                  </c:pt>
                  <c:pt idx="484">
                    <c:v>2051</c:v>
                  </c:pt>
                  <c:pt idx="485">
                    <c:v>2052</c:v>
                  </c:pt>
                  <c:pt idx="486">
                    <c:v>2053</c:v>
                  </c:pt>
                  <c:pt idx="487">
                    <c:v>2054</c:v>
                  </c:pt>
                  <c:pt idx="488">
                    <c:v>2055</c:v>
                  </c:pt>
                </c:lvl>
                <c:lvl>
                  <c:pt idx="0">
                    <c:v>Jan</c:v>
                  </c:pt>
                  <c:pt idx="41">
                    <c:v>Feb</c:v>
                  </c:pt>
                  <c:pt idx="79">
                    <c:v>Mar</c:v>
                  </c:pt>
                  <c:pt idx="120">
                    <c:v>Apr</c:v>
                  </c:pt>
                  <c:pt idx="161">
                    <c:v>May</c:v>
                  </c:pt>
                  <c:pt idx="202">
                    <c:v>Jun</c:v>
                  </c:pt>
                  <c:pt idx="243">
                    <c:v>Jul</c:v>
                  </c:pt>
                  <c:pt idx="284">
                    <c:v>Aug</c:v>
                  </c:pt>
                  <c:pt idx="325">
                    <c:v>Sep</c:v>
                  </c:pt>
                  <c:pt idx="366">
                    <c:v>Oct</c:v>
                  </c:pt>
                  <c:pt idx="407">
                    <c:v>Nov</c:v>
                  </c:pt>
                  <c:pt idx="448">
                    <c:v>Dec</c:v>
                  </c:pt>
                </c:lvl>
              </c:multiLvlStrCache>
            </c:multiLvlStrRef>
          </c:cat>
          <c:val>
            <c:numRef>
              <c:f>'Online_Interest_Index VS Market'!$B$4:$B$505</c:f>
              <c:numCache>
                <c:formatCode>General</c:formatCode>
                <c:ptCount val="489"/>
                <c:pt idx="0">
                  <c:v>201969.68280097138</c:v>
                </c:pt>
                <c:pt idx="1">
                  <c:v>92150.57787878254</c:v>
                </c:pt>
                <c:pt idx="3">
                  <c:v>78868.847144794941</c:v>
                </c:pt>
                <c:pt idx="4">
                  <c:v>102115.07582542961</c:v>
                </c:pt>
                <c:pt idx="5">
                  <c:v>101867.44748553302</c:v>
                </c:pt>
                <c:pt idx="6">
                  <c:v>61843.848842452178</c:v>
                </c:pt>
                <c:pt idx="7">
                  <c:v>74256.728628315002</c:v>
                </c:pt>
                <c:pt idx="8">
                  <c:v>62605.166006091589</c:v>
                </c:pt>
                <c:pt idx="9">
                  <c:v>93149.015982844707</c:v>
                </c:pt>
                <c:pt idx="10">
                  <c:v>108509.79866480461</c:v>
                </c:pt>
                <c:pt idx="11">
                  <c:v>106349.06522500351</c:v>
                </c:pt>
                <c:pt idx="12">
                  <c:v>132637.13798178217</c:v>
                </c:pt>
                <c:pt idx="13">
                  <c:v>106199.9796633111</c:v>
                </c:pt>
                <c:pt idx="14">
                  <c:v>111670.88606023775</c:v>
                </c:pt>
                <c:pt idx="15">
                  <c:v>62603.673209356719</c:v>
                </c:pt>
                <c:pt idx="16">
                  <c:v>87756.661656903583</c:v>
                </c:pt>
                <c:pt idx="17">
                  <c:v>129898.76454906471</c:v>
                </c:pt>
                <c:pt idx="18">
                  <c:v>85847.48210355948</c:v>
                </c:pt>
                <c:pt idx="20">
                  <c:v>81085.078786064376</c:v>
                </c:pt>
                <c:pt idx="21">
                  <c:v>77926.60342939262</c:v>
                </c:pt>
                <c:pt idx="22">
                  <c:v>69299.195049352798</c:v>
                </c:pt>
                <c:pt idx="23">
                  <c:v>116603.8362372522</c:v>
                </c:pt>
                <c:pt idx="24">
                  <c:v>114429.58647514686</c:v>
                </c:pt>
                <c:pt idx="25">
                  <c:v>59483.842537772463</c:v>
                </c:pt>
                <c:pt idx="26">
                  <c:v>121174.57059767758</c:v>
                </c:pt>
                <c:pt idx="27">
                  <c:v>102961.78839596553</c:v>
                </c:pt>
                <c:pt idx="28">
                  <c:v>92439.84201963566</c:v>
                </c:pt>
                <c:pt idx="29">
                  <c:v>82765.938594874839</c:v>
                </c:pt>
                <c:pt idx="30">
                  <c:v>125539.30772176376</c:v>
                </c:pt>
                <c:pt idx="31">
                  <c:v>122016.4279684521</c:v>
                </c:pt>
                <c:pt idx="32">
                  <c:v>98921.903019885212</c:v>
                </c:pt>
                <c:pt idx="33">
                  <c:v>78156.72734563821</c:v>
                </c:pt>
                <c:pt idx="34">
                  <c:v>114121.57827630264</c:v>
                </c:pt>
                <c:pt idx="36">
                  <c:v>139065.18275053136</c:v>
                </c:pt>
                <c:pt idx="37">
                  <c:v>80709.244101796168</c:v>
                </c:pt>
                <c:pt idx="38">
                  <c:v>102781.20797306835</c:v>
                </c:pt>
                <c:pt idx="39">
                  <c:v>111395.20714397293</c:v>
                </c:pt>
                <c:pt idx="40">
                  <c:v>88997.69434126922</c:v>
                </c:pt>
                <c:pt idx="41">
                  <c:v>119931.41021158894</c:v>
                </c:pt>
                <c:pt idx="43">
                  <c:v>124461.6613419065</c:v>
                </c:pt>
                <c:pt idx="44">
                  <c:v>125274.13355309337</c:v>
                </c:pt>
                <c:pt idx="45">
                  <c:v>77395.925506521526</c:v>
                </c:pt>
                <c:pt idx="46">
                  <c:v>82792.299784409959</c:v>
                </c:pt>
                <c:pt idx="47">
                  <c:v>72057.636297740173</c:v>
                </c:pt>
                <c:pt idx="48">
                  <c:v>92229.584496339812</c:v>
                </c:pt>
                <c:pt idx="49">
                  <c:v>103409.27541993142</c:v>
                </c:pt>
                <c:pt idx="50">
                  <c:v>123944.93847290456</c:v>
                </c:pt>
                <c:pt idx="51">
                  <c:v>93342.79191234977</c:v>
                </c:pt>
                <c:pt idx="52">
                  <c:v>85339.340089520207</c:v>
                </c:pt>
                <c:pt idx="53">
                  <c:v>98868.230222002079</c:v>
                </c:pt>
                <c:pt idx="55">
                  <c:v>76764.323121752721</c:v>
                </c:pt>
                <c:pt idx="56">
                  <c:v>109824.15330823993</c:v>
                </c:pt>
                <c:pt idx="57">
                  <c:v>100826.51264541237</c:v>
                </c:pt>
                <c:pt idx="58">
                  <c:v>85756.522716479129</c:v>
                </c:pt>
                <c:pt idx="59">
                  <c:v>106263.6894772996</c:v>
                </c:pt>
                <c:pt idx="60">
                  <c:v>112164.92383369937</c:v>
                </c:pt>
                <c:pt idx="61">
                  <c:v>93384.215513448857</c:v>
                </c:pt>
                <c:pt idx="62">
                  <c:v>62399.79932184473</c:v>
                </c:pt>
                <c:pt idx="63">
                  <c:v>78997.185207957082</c:v>
                </c:pt>
                <c:pt idx="64">
                  <c:v>78582.951626311231</c:v>
                </c:pt>
                <c:pt idx="65">
                  <c:v>96543.965252070717</c:v>
                </c:pt>
                <c:pt idx="66">
                  <c:v>82378.633266774152</c:v>
                </c:pt>
                <c:pt idx="67">
                  <c:v>104628.91845051144</c:v>
                </c:pt>
                <c:pt idx="68">
                  <c:v>100600.62958328164</c:v>
                </c:pt>
                <c:pt idx="69">
                  <c:v>106760.46962203416</c:v>
                </c:pt>
                <c:pt idx="70">
                  <c:v>121227.41929746268</c:v>
                </c:pt>
                <c:pt idx="71">
                  <c:v>80353.928392453701</c:v>
                </c:pt>
                <c:pt idx="72">
                  <c:v>116695.02652649765</c:v>
                </c:pt>
                <c:pt idx="73">
                  <c:v>95146.374463759334</c:v>
                </c:pt>
                <c:pt idx="74">
                  <c:v>88123.771838625893</c:v>
                </c:pt>
                <c:pt idx="75">
                  <c:v>89482.406482095917</c:v>
                </c:pt>
                <c:pt idx="76">
                  <c:v>110119.31106911731</c:v>
                </c:pt>
                <c:pt idx="77">
                  <c:v>68460.070356180047</c:v>
                </c:pt>
                <c:pt idx="78">
                  <c:v>103909.63463106581</c:v>
                </c:pt>
                <c:pt idx="79">
                  <c:v>131562.36115124368</c:v>
                </c:pt>
                <c:pt idx="80">
                  <c:v>906700.92415436043</c:v>
                </c:pt>
                <c:pt idx="81">
                  <c:v>130420.1245431876</c:v>
                </c:pt>
                <c:pt idx="82">
                  <c:v>94822.91199260336</c:v>
                </c:pt>
                <c:pt idx="83">
                  <c:v>83073.680450685279</c:v>
                </c:pt>
                <c:pt idx="84">
                  <c:v>148233.53351156841</c:v>
                </c:pt>
                <c:pt idx="85">
                  <c:v>91727.889331567116</c:v>
                </c:pt>
                <c:pt idx="86">
                  <c:v>88328.013473079904</c:v>
                </c:pt>
                <c:pt idx="87">
                  <c:v>103808.47779850116</c:v>
                </c:pt>
                <c:pt idx="88">
                  <c:v>80745.348694307759</c:v>
                </c:pt>
                <c:pt idx="89">
                  <c:v>72566.526055390685</c:v>
                </c:pt>
                <c:pt idx="90">
                  <c:v>98132.262822001037</c:v>
                </c:pt>
                <c:pt idx="91">
                  <c:v>136361.2384511565</c:v>
                </c:pt>
                <c:pt idx="92">
                  <c:v>124379.41579587327</c:v>
                </c:pt>
                <c:pt idx="93">
                  <c:v>111597.14570590264</c:v>
                </c:pt>
                <c:pt idx="94">
                  <c:v>94337.222065124661</c:v>
                </c:pt>
                <c:pt idx="95">
                  <c:v>92839.41240506027</c:v>
                </c:pt>
                <c:pt idx="96">
                  <c:v>108860.04260894751</c:v>
                </c:pt>
                <c:pt idx="97">
                  <c:v>97786.692628853416</c:v>
                </c:pt>
                <c:pt idx="98">
                  <c:v>87869.932235685206</c:v>
                </c:pt>
                <c:pt idx="99">
                  <c:v>73657.361601068304</c:v>
                </c:pt>
                <c:pt idx="100">
                  <c:v>84396.017417650743</c:v>
                </c:pt>
                <c:pt idx="101">
                  <c:v>114254.24057722662</c:v>
                </c:pt>
                <c:pt idx="102">
                  <c:v>227032.47815427143</c:v>
                </c:pt>
                <c:pt idx="103">
                  <c:v>115149.90298674972</c:v>
                </c:pt>
                <c:pt idx="104">
                  <c:v>138228.38174279447</c:v>
                </c:pt>
                <c:pt idx="105">
                  <c:v>115438.4030967335</c:v>
                </c:pt>
                <c:pt idx="106">
                  <c:v>85755.584727018984</c:v>
                </c:pt>
                <c:pt idx="107">
                  <c:v>112929.79075451542</c:v>
                </c:pt>
                <c:pt idx="108">
                  <c:v>56952.329107816389</c:v>
                </c:pt>
                <c:pt idx="109">
                  <c:v>75859.567042855691</c:v>
                </c:pt>
                <c:pt idx="110">
                  <c:v>110640.12397643886</c:v>
                </c:pt>
                <c:pt idx="111">
                  <c:v>122437.15712460942</c:v>
                </c:pt>
                <c:pt idx="112">
                  <c:v>118275.43242771171</c:v>
                </c:pt>
                <c:pt idx="113">
                  <c:v>79472.615846682165</c:v>
                </c:pt>
                <c:pt idx="114">
                  <c:v>966873.71793647355</c:v>
                </c:pt>
                <c:pt idx="115">
                  <c:v>103555.00212536062</c:v>
                </c:pt>
                <c:pt idx="116">
                  <c:v>85434.555951867733</c:v>
                </c:pt>
                <c:pt idx="117">
                  <c:v>83943.511120983152</c:v>
                </c:pt>
                <c:pt idx="118">
                  <c:v>98023.095975213873</c:v>
                </c:pt>
                <c:pt idx="119">
                  <c:v>97059.491531382999</c:v>
                </c:pt>
                <c:pt idx="120">
                  <c:v>119708.99371230436</c:v>
                </c:pt>
                <c:pt idx="121">
                  <c:v>112809.59590401647</c:v>
                </c:pt>
                <c:pt idx="122">
                  <c:v>81021.669583503259</c:v>
                </c:pt>
                <c:pt idx="123">
                  <c:v>107050.09936713759</c:v>
                </c:pt>
                <c:pt idx="124">
                  <c:v>110869.58757340186</c:v>
                </c:pt>
                <c:pt idx="125">
                  <c:v>130327.88110507146</c:v>
                </c:pt>
                <c:pt idx="126">
                  <c:v>137753.75314680382</c:v>
                </c:pt>
                <c:pt idx="127">
                  <c:v>120767.57702038634</c:v>
                </c:pt>
                <c:pt idx="128">
                  <c:v>108984.37442570069</c:v>
                </c:pt>
                <c:pt idx="129">
                  <c:v>95867.774406079072</c:v>
                </c:pt>
                <c:pt idx="130">
                  <c:v>85811.17995144907</c:v>
                </c:pt>
                <c:pt idx="131">
                  <c:v>89413.357751032585</c:v>
                </c:pt>
                <c:pt idx="132">
                  <c:v>115503.10988069566</c:v>
                </c:pt>
                <c:pt idx="133">
                  <c:v>60977.9627192275</c:v>
                </c:pt>
                <c:pt idx="134">
                  <c:v>85862.148640253028</c:v>
                </c:pt>
                <c:pt idx="135">
                  <c:v>93982.805057183476</c:v>
                </c:pt>
                <c:pt idx="136">
                  <c:v>97212.055986735315</c:v>
                </c:pt>
                <c:pt idx="137">
                  <c:v>119030.99541148086</c:v>
                </c:pt>
                <c:pt idx="138">
                  <c:v>82067.155453695828</c:v>
                </c:pt>
                <c:pt idx="139">
                  <c:v>109118.08390341405</c:v>
                </c:pt>
                <c:pt idx="140">
                  <c:v>115520.5582768695</c:v>
                </c:pt>
                <c:pt idx="141">
                  <c:v>126611.4980807808</c:v>
                </c:pt>
                <c:pt idx="142">
                  <c:v>62336.995838828327</c:v>
                </c:pt>
                <c:pt idx="143">
                  <c:v>123669.87333779855</c:v>
                </c:pt>
                <c:pt idx="144">
                  <c:v>127410.72287993427</c:v>
                </c:pt>
                <c:pt idx="145">
                  <c:v>74390.888579950668</c:v>
                </c:pt>
                <c:pt idx="146">
                  <c:v>108826.14303398492</c:v>
                </c:pt>
                <c:pt idx="147">
                  <c:v>1237346.9240354663</c:v>
                </c:pt>
                <c:pt idx="148">
                  <c:v>95686.647249047353</c:v>
                </c:pt>
                <c:pt idx="149">
                  <c:v>117529.11291005871</c:v>
                </c:pt>
                <c:pt idx="150">
                  <c:v>78493.75213901524</c:v>
                </c:pt>
                <c:pt idx="151">
                  <c:v>107233.22122494034</c:v>
                </c:pt>
                <c:pt idx="152">
                  <c:v>146400.81444034519</c:v>
                </c:pt>
                <c:pt idx="153">
                  <c:v>69085.404266185331</c:v>
                </c:pt>
                <c:pt idx="154">
                  <c:v>124600.011454383</c:v>
                </c:pt>
                <c:pt idx="155">
                  <c:v>101571.540594383</c:v>
                </c:pt>
                <c:pt idx="156">
                  <c:v>108009.62773012658</c:v>
                </c:pt>
                <c:pt idx="157">
                  <c:v>143301.12135613203</c:v>
                </c:pt>
                <c:pt idx="158">
                  <c:v>98520.542728112443</c:v>
                </c:pt>
                <c:pt idx="159">
                  <c:v>108719.50779000092</c:v>
                </c:pt>
                <c:pt idx="160">
                  <c:v>1168146.8964259098</c:v>
                </c:pt>
                <c:pt idx="161">
                  <c:v>208272.30132946052</c:v>
                </c:pt>
                <c:pt idx="162">
                  <c:v>96189.93788004377</c:v>
                </c:pt>
                <c:pt idx="163">
                  <c:v>134947.26395831117</c:v>
                </c:pt>
                <c:pt idx="165">
                  <c:v>103996.20867437427</c:v>
                </c:pt>
                <c:pt idx="166">
                  <c:v>112042.36640784967</c:v>
                </c:pt>
                <c:pt idx="167">
                  <c:v>111131.06249067516</c:v>
                </c:pt>
                <c:pt idx="168">
                  <c:v>69613.078490463144</c:v>
                </c:pt>
                <c:pt idx="169">
                  <c:v>898038.66136182344</c:v>
                </c:pt>
                <c:pt idx="170">
                  <c:v>1122043.2339178445</c:v>
                </c:pt>
                <c:pt idx="171">
                  <c:v>942290.26082485903</c:v>
                </c:pt>
                <c:pt idx="172">
                  <c:v>69710.593816384659</c:v>
                </c:pt>
                <c:pt idx="173">
                  <c:v>111060.80171704717</c:v>
                </c:pt>
                <c:pt idx="174">
                  <c:v>102871.7587301032</c:v>
                </c:pt>
                <c:pt idx="175">
                  <c:v>117111.11318041425</c:v>
                </c:pt>
                <c:pt idx="176">
                  <c:v>75810.461291623898</c:v>
                </c:pt>
                <c:pt idx="177">
                  <c:v>114793.06303449343</c:v>
                </c:pt>
                <c:pt idx="178">
                  <c:v>189046.18882949854</c:v>
                </c:pt>
                <c:pt idx="179">
                  <c:v>116839.67390904254</c:v>
                </c:pt>
                <c:pt idx="181">
                  <c:v>79955.6596214655</c:v>
                </c:pt>
                <c:pt idx="182">
                  <c:v>76064.227071473768</c:v>
                </c:pt>
                <c:pt idx="183">
                  <c:v>92553.618941241541</c:v>
                </c:pt>
                <c:pt idx="184">
                  <c:v>76439.182652472387</c:v>
                </c:pt>
                <c:pt idx="185">
                  <c:v>113904.05800167998</c:v>
                </c:pt>
                <c:pt idx="186">
                  <c:v>103789.59642442162</c:v>
                </c:pt>
                <c:pt idx="187">
                  <c:v>85336.876057800066</c:v>
                </c:pt>
                <c:pt idx="188">
                  <c:v>1287267.0811411957</c:v>
                </c:pt>
                <c:pt idx="189">
                  <c:v>82540.778190925994</c:v>
                </c:pt>
                <c:pt idx="190">
                  <c:v>68770.135551162821</c:v>
                </c:pt>
                <c:pt idx="191">
                  <c:v>133527.86054416405</c:v>
                </c:pt>
                <c:pt idx="192">
                  <c:v>135223.76249734749</c:v>
                </c:pt>
                <c:pt idx="193">
                  <c:v>103922.62918047815</c:v>
                </c:pt>
                <c:pt idx="194">
                  <c:v>131796.77956361367</c:v>
                </c:pt>
                <c:pt idx="195">
                  <c:v>80705.89148498571</c:v>
                </c:pt>
                <c:pt idx="196">
                  <c:v>57425.31811170376</c:v>
                </c:pt>
                <c:pt idx="198">
                  <c:v>123810.97188687192</c:v>
                </c:pt>
                <c:pt idx="199">
                  <c:v>98486.687913483402</c:v>
                </c:pt>
                <c:pt idx="200">
                  <c:v>49355.07829560629</c:v>
                </c:pt>
                <c:pt idx="201">
                  <c:v>178303.543204021</c:v>
                </c:pt>
                <c:pt idx="202">
                  <c:v>82215.183435433515</c:v>
                </c:pt>
                <c:pt idx="203">
                  <c:v>106481.14056443122</c:v>
                </c:pt>
                <c:pt idx="204">
                  <c:v>118643.83128520769</c:v>
                </c:pt>
                <c:pt idx="205">
                  <c:v>63587.933989029654</c:v>
                </c:pt>
                <c:pt idx="206">
                  <c:v>105280.4016266734</c:v>
                </c:pt>
                <c:pt idx="207">
                  <c:v>101440.73722567489</c:v>
                </c:pt>
                <c:pt idx="208">
                  <c:v>73290.368618002176</c:v>
                </c:pt>
                <c:pt idx="209">
                  <c:v>43356.888037788623</c:v>
                </c:pt>
                <c:pt idx="210">
                  <c:v>100688.82023411682</c:v>
                </c:pt>
                <c:pt idx="211">
                  <c:v>103139.45921936868</c:v>
                </c:pt>
                <c:pt idx="212">
                  <c:v>84324.92957751143</c:v>
                </c:pt>
                <c:pt idx="213">
                  <c:v>106431.86422678478</c:v>
                </c:pt>
                <c:pt idx="214">
                  <c:v>104680.48908706296</c:v>
                </c:pt>
                <c:pt idx="215">
                  <c:v>63640.415492256907</c:v>
                </c:pt>
                <c:pt idx="216">
                  <c:v>132989.61788647843</c:v>
                </c:pt>
                <c:pt idx="217">
                  <c:v>107779.57458704368</c:v>
                </c:pt>
                <c:pt idx="218">
                  <c:v>61812.87824985414</c:v>
                </c:pt>
                <c:pt idx="219">
                  <c:v>94647.17818202413</c:v>
                </c:pt>
                <c:pt idx="220">
                  <c:v>92615.855991051081</c:v>
                </c:pt>
                <c:pt idx="221">
                  <c:v>86107.992616737116</c:v>
                </c:pt>
                <c:pt idx="222">
                  <c:v>84951.295252939308</c:v>
                </c:pt>
                <c:pt idx="223">
                  <c:v>117873.95378778221</c:v>
                </c:pt>
                <c:pt idx="224">
                  <c:v>108746.26374077922</c:v>
                </c:pt>
                <c:pt idx="225">
                  <c:v>133344.48223102273</c:v>
                </c:pt>
                <c:pt idx="226">
                  <c:v>105675.02047323002</c:v>
                </c:pt>
                <c:pt idx="227">
                  <c:v>120148.87946390397</c:v>
                </c:pt>
                <c:pt idx="228">
                  <c:v>104579.9278491868</c:v>
                </c:pt>
                <c:pt idx="229">
                  <c:v>95237.791273758921</c:v>
                </c:pt>
                <c:pt idx="230">
                  <c:v>117628.15057847142</c:v>
                </c:pt>
                <c:pt idx="231">
                  <c:v>130068.39656857998</c:v>
                </c:pt>
                <c:pt idx="232">
                  <c:v>81089.862401145379</c:v>
                </c:pt>
                <c:pt idx="234">
                  <c:v>81918.634205279988</c:v>
                </c:pt>
                <c:pt idx="235">
                  <c:v>111481.42441788003</c:v>
                </c:pt>
                <c:pt idx="236">
                  <c:v>132569.37109544643</c:v>
                </c:pt>
                <c:pt idx="237">
                  <c:v>109163.36229577397</c:v>
                </c:pt>
                <c:pt idx="238">
                  <c:v>98451.130785480127</c:v>
                </c:pt>
                <c:pt idx="239">
                  <c:v>104251.4806126443</c:v>
                </c:pt>
                <c:pt idx="240">
                  <c:v>139450.84353579616</c:v>
                </c:pt>
                <c:pt idx="241">
                  <c:v>113641.38980125263</c:v>
                </c:pt>
                <c:pt idx="242">
                  <c:v>89356.628737456209</c:v>
                </c:pt>
                <c:pt idx="243">
                  <c:v>119106.01116475507</c:v>
                </c:pt>
                <c:pt idx="244">
                  <c:v>77046.172203686656</c:v>
                </c:pt>
                <c:pt idx="245">
                  <c:v>95268.894255621082</c:v>
                </c:pt>
                <c:pt idx="246">
                  <c:v>105401.14716782844</c:v>
                </c:pt>
                <c:pt idx="247">
                  <c:v>125447.07000213536</c:v>
                </c:pt>
                <c:pt idx="248">
                  <c:v>95755.820601976971</c:v>
                </c:pt>
                <c:pt idx="249">
                  <c:v>109720.72578835273</c:v>
                </c:pt>
                <c:pt idx="250">
                  <c:v>90976.822831820027</c:v>
                </c:pt>
                <c:pt idx="251">
                  <c:v>50233.452931740212</c:v>
                </c:pt>
                <c:pt idx="252">
                  <c:v>88269.374608721293</c:v>
                </c:pt>
                <c:pt idx="253">
                  <c:v>134698.73151673615</c:v>
                </c:pt>
                <c:pt idx="254">
                  <c:v>135098.66143294482</c:v>
                </c:pt>
                <c:pt idx="255">
                  <c:v>95029.427638511013</c:v>
                </c:pt>
                <c:pt idx="256">
                  <c:v>115194.24590968336</c:v>
                </c:pt>
                <c:pt idx="257">
                  <c:v>121412.21119958372</c:v>
                </c:pt>
                <c:pt idx="258">
                  <c:v>105029.47217881025</c:v>
                </c:pt>
                <c:pt idx="259">
                  <c:v>126366.04649705338</c:v>
                </c:pt>
                <c:pt idx="260">
                  <c:v>116935.41550432987</c:v>
                </c:pt>
                <c:pt idx="261">
                  <c:v>41860.235613567173</c:v>
                </c:pt>
                <c:pt idx="262">
                  <c:v>76912.746635340314</c:v>
                </c:pt>
                <c:pt idx="263">
                  <c:v>70664.296187686457</c:v>
                </c:pt>
                <c:pt idx="264">
                  <c:v>117859.07740217539</c:v>
                </c:pt>
                <c:pt idx="265">
                  <c:v>103703.51073659828</c:v>
                </c:pt>
                <c:pt idx="266">
                  <c:v>130464.77243424517</c:v>
                </c:pt>
                <c:pt idx="267">
                  <c:v>80242.533181985025</c:v>
                </c:pt>
                <c:pt idx="268">
                  <c:v>74901.546639954147</c:v>
                </c:pt>
                <c:pt idx="269">
                  <c:v>62841.970972034258</c:v>
                </c:pt>
                <c:pt idx="270">
                  <c:v>100920.05494506548</c:v>
                </c:pt>
                <c:pt idx="271">
                  <c:v>114422.70725091163</c:v>
                </c:pt>
                <c:pt idx="272">
                  <c:v>93397.598120670998</c:v>
                </c:pt>
                <c:pt idx="273">
                  <c:v>76932.989788080813</c:v>
                </c:pt>
                <c:pt idx="274">
                  <c:v>76362.517491583974</c:v>
                </c:pt>
                <c:pt idx="275">
                  <c:v>69020.789498930506</c:v>
                </c:pt>
                <c:pt idx="276">
                  <c:v>127991.89290291586</c:v>
                </c:pt>
                <c:pt idx="277">
                  <c:v>226123.94846022682</c:v>
                </c:pt>
                <c:pt idx="278">
                  <c:v>80405.575505663859</c:v>
                </c:pt>
                <c:pt idx="279">
                  <c:v>76094.1247280151</c:v>
                </c:pt>
                <c:pt idx="280">
                  <c:v>120539.72526639464</c:v>
                </c:pt>
                <c:pt idx="281">
                  <c:v>72280.24115202004</c:v>
                </c:pt>
                <c:pt idx="282">
                  <c:v>102523.55807323934</c:v>
                </c:pt>
                <c:pt idx="283">
                  <c:v>87852.91133575578</c:v>
                </c:pt>
                <c:pt idx="284">
                  <c:v>117520.93585059588</c:v>
                </c:pt>
                <c:pt idx="285">
                  <c:v>1017041.8899267802</c:v>
                </c:pt>
                <c:pt idx="286">
                  <c:v>122712.40294365888</c:v>
                </c:pt>
                <c:pt idx="287">
                  <c:v>61754.900491604465</c:v>
                </c:pt>
                <c:pt idx="288">
                  <c:v>114649.84205559605</c:v>
                </c:pt>
                <c:pt idx="289">
                  <c:v>80961.630799555292</c:v>
                </c:pt>
                <c:pt idx="290">
                  <c:v>69053.920221232693</c:v>
                </c:pt>
                <c:pt idx="292">
                  <c:v>86835.031753323041</c:v>
                </c:pt>
                <c:pt idx="293">
                  <c:v>104484.32808581585</c:v>
                </c:pt>
                <c:pt idx="295">
                  <c:v>100368.03261566877</c:v>
                </c:pt>
                <c:pt idx="296">
                  <c:v>124010.63316947746</c:v>
                </c:pt>
                <c:pt idx="297">
                  <c:v>98110.825711159938</c:v>
                </c:pt>
                <c:pt idx="298">
                  <c:v>85407.950603851816</c:v>
                </c:pt>
                <c:pt idx="299">
                  <c:v>96114.61736042962</c:v>
                </c:pt>
                <c:pt idx="300">
                  <c:v>101453.61048658683</c:v>
                </c:pt>
                <c:pt idx="302">
                  <c:v>92503.558867563872</c:v>
                </c:pt>
                <c:pt idx="303">
                  <c:v>64963.423864965618</c:v>
                </c:pt>
                <c:pt idx="304">
                  <c:v>89971.957062287271</c:v>
                </c:pt>
                <c:pt idx="305">
                  <c:v>136592.40403432175</c:v>
                </c:pt>
                <c:pt idx="306">
                  <c:v>108508.89728368344</c:v>
                </c:pt>
                <c:pt idx="307">
                  <c:v>114712.43994491494</c:v>
                </c:pt>
                <c:pt idx="308">
                  <c:v>83062.980677492713</c:v>
                </c:pt>
                <c:pt idx="309">
                  <c:v>103694.20949562166</c:v>
                </c:pt>
                <c:pt idx="310">
                  <c:v>112064.95001142788</c:v>
                </c:pt>
                <c:pt idx="311">
                  <c:v>81907.712500124675</c:v>
                </c:pt>
                <c:pt idx="312">
                  <c:v>81674.517988725507</c:v>
                </c:pt>
                <c:pt idx="313">
                  <c:v>95766.66036137646</c:v>
                </c:pt>
                <c:pt idx="314">
                  <c:v>122746.29084729459</c:v>
                </c:pt>
                <c:pt idx="316">
                  <c:v>105159.51962442361</c:v>
                </c:pt>
                <c:pt idx="317">
                  <c:v>73157.445030297706</c:v>
                </c:pt>
                <c:pt idx="318">
                  <c:v>113578.62580118557</c:v>
                </c:pt>
                <c:pt idx="319">
                  <c:v>76933.351935885104</c:v>
                </c:pt>
                <c:pt idx="320">
                  <c:v>129018.55096558423</c:v>
                </c:pt>
                <c:pt idx="321">
                  <c:v>122118.00848714617</c:v>
                </c:pt>
                <c:pt idx="322">
                  <c:v>110111.78483671749</c:v>
                </c:pt>
                <c:pt idx="323">
                  <c:v>95550.502064434695</c:v>
                </c:pt>
                <c:pt idx="324">
                  <c:v>98455.579095539084</c:v>
                </c:pt>
                <c:pt idx="326">
                  <c:v>40177.280581985535</c:v>
                </c:pt>
                <c:pt idx="327">
                  <c:v>77874.129751767323</c:v>
                </c:pt>
                <c:pt idx="328">
                  <c:v>98627.319078290631</c:v>
                </c:pt>
                <c:pt idx="329">
                  <c:v>105774.47325650047</c:v>
                </c:pt>
                <c:pt idx="330">
                  <c:v>101549.61037037725</c:v>
                </c:pt>
                <c:pt idx="331">
                  <c:v>121653.82107774146</c:v>
                </c:pt>
                <c:pt idx="332">
                  <c:v>124005.23499477659</c:v>
                </c:pt>
                <c:pt idx="333">
                  <c:v>109070.17425108935</c:v>
                </c:pt>
                <c:pt idx="334">
                  <c:v>114292.19581273236</c:v>
                </c:pt>
                <c:pt idx="335">
                  <c:v>88889.064410262668</c:v>
                </c:pt>
                <c:pt idx="336">
                  <c:v>113854.45510233719</c:v>
                </c:pt>
                <c:pt idx="337">
                  <c:v>102807.19739696094</c:v>
                </c:pt>
                <c:pt idx="339">
                  <c:v>1072283.4634546204</c:v>
                </c:pt>
                <c:pt idx="340">
                  <c:v>84884.169996832745</c:v>
                </c:pt>
                <c:pt idx="341">
                  <c:v>91770.137108756389</c:v>
                </c:pt>
                <c:pt idx="342">
                  <c:v>98018.113995174615</c:v>
                </c:pt>
                <c:pt idx="343">
                  <c:v>79229.123583120556</c:v>
                </c:pt>
                <c:pt idx="345">
                  <c:v>119506.24916955958</c:v>
                </c:pt>
                <c:pt idx="346">
                  <c:v>91806.268147410054</c:v>
                </c:pt>
                <c:pt idx="348">
                  <c:v>135635.97817542119</c:v>
                </c:pt>
                <c:pt idx="349">
                  <c:v>124992.37810593334</c:v>
                </c:pt>
                <c:pt idx="350">
                  <c:v>118758.3107502131</c:v>
                </c:pt>
                <c:pt idx="351">
                  <c:v>105963.16931981052</c:v>
                </c:pt>
                <c:pt idx="352">
                  <c:v>123455.13690534889</c:v>
                </c:pt>
                <c:pt idx="353">
                  <c:v>127108.85602210992</c:v>
                </c:pt>
                <c:pt idx="354">
                  <c:v>87445.321878309886</c:v>
                </c:pt>
                <c:pt idx="355">
                  <c:v>106771.05752571828</c:v>
                </c:pt>
                <c:pt idx="356">
                  <c:v>1417209.4099074227</c:v>
                </c:pt>
                <c:pt idx="357">
                  <c:v>122077.54686632515</c:v>
                </c:pt>
                <c:pt idx="358">
                  <c:v>72683.516891691223</c:v>
                </c:pt>
                <c:pt idx="359">
                  <c:v>97260.090211150833</c:v>
                </c:pt>
                <c:pt idx="360">
                  <c:v>66253.113057785784</c:v>
                </c:pt>
                <c:pt idx="361">
                  <c:v>136143.93287275769</c:v>
                </c:pt>
                <c:pt idx="362">
                  <c:v>88721.050238835131</c:v>
                </c:pt>
                <c:pt idx="363">
                  <c:v>129782.26216656579</c:v>
                </c:pt>
                <c:pt idx="364">
                  <c:v>140937.24391439115</c:v>
                </c:pt>
                <c:pt idx="365">
                  <c:v>108516.87317259658</c:v>
                </c:pt>
                <c:pt idx="366">
                  <c:v>87920.387480615405</c:v>
                </c:pt>
                <c:pt idx="367">
                  <c:v>96262.076836760301</c:v>
                </c:pt>
                <c:pt idx="368">
                  <c:v>83509.716769446532</c:v>
                </c:pt>
                <c:pt idx="369">
                  <c:v>72633.699223343792</c:v>
                </c:pt>
                <c:pt idx="370">
                  <c:v>66902.251275434071</c:v>
                </c:pt>
                <c:pt idx="371">
                  <c:v>180319.83929322253</c:v>
                </c:pt>
                <c:pt idx="372">
                  <c:v>90577.50696364243</c:v>
                </c:pt>
                <c:pt idx="373">
                  <c:v>90736.77275829202</c:v>
                </c:pt>
                <c:pt idx="374">
                  <c:v>80354.119314906406</c:v>
                </c:pt>
                <c:pt idx="375">
                  <c:v>59001.174428450438</c:v>
                </c:pt>
                <c:pt idx="376">
                  <c:v>104087.78063205954</c:v>
                </c:pt>
                <c:pt idx="377">
                  <c:v>74613.390069066023</c:v>
                </c:pt>
                <c:pt idx="378">
                  <c:v>60658.605928256955</c:v>
                </c:pt>
                <c:pt idx="379">
                  <c:v>82722.340788204674</c:v>
                </c:pt>
                <c:pt idx="380">
                  <c:v>74137.169124827051</c:v>
                </c:pt>
                <c:pt idx="381">
                  <c:v>120974.14252833127</c:v>
                </c:pt>
                <c:pt idx="382">
                  <c:v>98215.31691557102</c:v>
                </c:pt>
                <c:pt idx="383">
                  <c:v>87943.586884320772</c:v>
                </c:pt>
                <c:pt idx="384">
                  <c:v>67374.483690781082</c:v>
                </c:pt>
                <c:pt idx="385">
                  <c:v>103161.06979840263</c:v>
                </c:pt>
                <c:pt idx="386">
                  <c:v>110312.56176887912</c:v>
                </c:pt>
                <c:pt idx="387">
                  <c:v>114246.44319160325</c:v>
                </c:pt>
                <c:pt idx="388">
                  <c:v>125577.31626626787</c:v>
                </c:pt>
                <c:pt idx="389">
                  <c:v>66867.535846444516</c:v>
                </c:pt>
                <c:pt idx="390">
                  <c:v>115586.98007810664</c:v>
                </c:pt>
                <c:pt idx="391">
                  <c:v>100249.986438145</c:v>
                </c:pt>
                <c:pt idx="392">
                  <c:v>112773.20337286204</c:v>
                </c:pt>
                <c:pt idx="393">
                  <c:v>113308.33647383557</c:v>
                </c:pt>
                <c:pt idx="394">
                  <c:v>226089.90412888792</c:v>
                </c:pt>
                <c:pt idx="395">
                  <c:v>94239.222521558477</c:v>
                </c:pt>
                <c:pt idx="396">
                  <c:v>81241.488469272022</c:v>
                </c:pt>
                <c:pt idx="397">
                  <c:v>79704.810136282962</c:v>
                </c:pt>
                <c:pt idx="398">
                  <c:v>1095033.5492990762</c:v>
                </c:pt>
                <c:pt idx="399">
                  <c:v>97020.613804654058</c:v>
                </c:pt>
                <c:pt idx="400">
                  <c:v>89612.072563477472</c:v>
                </c:pt>
                <c:pt idx="401">
                  <c:v>64122.150042642192</c:v>
                </c:pt>
                <c:pt idx="402">
                  <c:v>66346.826117546283</c:v>
                </c:pt>
                <c:pt idx="403">
                  <c:v>83675.655109160711</c:v>
                </c:pt>
                <c:pt idx="404">
                  <c:v>145428.99490845593</c:v>
                </c:pt>
                <c:pt idx="405">
                  <c:v>86501.319624188953</c:v>
                </c:pt>
                <c:pt idx="406">
                  <c:v>108364.11511775944</c:v>
                </c:pt>
                <c:pt idx="407">
                  <c:v>95409.026892793059</c:v>
                </c:pt>
                <c:pt idx="408">
                  <c:v>67390.535125697206</c:v>
                </c:pt>
                <c:pt idx="409">
                  <c:v>878282.05535206001</c:v>
                </c:pt>
                <c:pt idx="410">
                  <c:v>139745.51998461617</c:v>
                </c:pt>
                <c:pt idx="411">
                  <c:v>80799.074094410724</c:v>
                </c:pt>
                <c:pt idx="412">
                  <c:v>106683.52834489795</c:v>
                </c:pt>
                <c:pt idx="413">
                  <c:v>98127.276225216585</c:v>
                </c:pt>
                <c:pt idx="414">
                  <c:v>91771.467857679949</c:v>
                </c:pt>
                <c:pt idx="416">
                  <c:v>123181.48129911795</c:v>
                </c:pt>
                <c:pt idx="417">
                  <c:v>75957.009478478227</c:v>
                </c:pt>
                <c:pt idx="418">
                  <c:v>134050.2931625921</c:v>
                </c:pt>
                <c:pt idx="419">
                  <c:v>77656.270765859954</c:v>
                </c:pt>
                <c:pt idx="420">
                  <c:v>125589.29863315502</c:v>
                </c:pt>
                <c:pt idx="421">
                  <c:v>111447.80622351351</c:v>
                </c:pt>
                <c:pt idx="422">
                  <c:v>133108.1422617659</c:v>
                </c:pt>
                <c:pt idx="423">
                  <c:v>99248.587100410368</c:v>
                </c:pt>
                <c:pt idx="424">
                  <c:v>108645.25901268311</c:v>
                </c:pt>
                <c:pt idx="425">
                  <c:v>75251.467235548553</c:v>
                </c:pt>
                <c:pt idx="426">
                  <c:v>98067.526599702207</c:v>
                </c:pt>
                <c:pt idx="427">
                  <c:v>119568.4422405607</c:v>
                </c:pt>
                <c:pt idx="428">
                  <c:v>145633.03673077686</c:v>
                </c:pt>
                <c:pt idx="429">
                  <c:v>80953.672385224054</c:v>
                </c:pt>
                <c:pt idx="430">
                  <c:v>89511.037274746966</c:v>
                </c:pt>
                <c:pt idx="431">
                  <c:v>99219.609612449116</c:v>
                </c:pt>
                <c:pt idx="432">
                  <c:v>157368.06111333537</c:v>
                </c:pt>
                <c:pt idx="433">
                  <c:v>121162.366501743</c:v>
                </c:pt>
                <c:pt idx="434">
                  <c:v>138824.34872927499</c:v>
                </c:pt>
                <c:pt idx="435">
                  <c:v>101591.95724752072</c:v>
                </c:pt>
                <c:pt idx="436">
                  <c:v>128370.62690296074</c:v>
                </c:pt>
                <c:pt idx="437">
                  <c:v>104332.49950809238</c:v>
                </c:pt>
                <c:pt idx="438">
                  <c:v>92770.744666120285</c:v>
                </c:pt>
                <c:pt idx="439">
                  <c:v>99951.923181622929</c:v>
                </c:pt>
                <c:pt idx="440">
                  <c:v>110055.68853790389</c:v>
                </c:pt>
                <c:pt idx="442">
                  <c:v>72891.049937754215</c:v>
                </c:pt>
                <c:pt idx="443">
                  <c:v>79519.428182272415</c:v>
                </c:pt>
                <c:pt idx="444">
                  <c:v>101562.86125939294</c:v>
                </c:pt>
                <c:pt idx="445">
                  <c:v>91912.051536320767</c:v>
                </c:pt>
                <c:pt idx="446">
                  <c:v>91938.480218699391</c:v>
                </c:pt>
                <c:pt idx="447">
                  <c:v>64479.764919031957</c:v>
                </c:pt>
                <c:pt idx="448">
                  <c:v>67210.316749491321</c:v>
                </c:pt>
                <c:pt idx="449">
                  <c:v>124119.89033093632</c:v>
                </c:pt>
                <c:pt idx="450">
                  <c:v>89420.445838719694</c:v>
                </c:pt>
                <c:pt idx="451">
                  <c:v>118227.25444349443</c:v>
                </c:pt>
                <c:pt idx="452">
                  <c:v>97545.821328085513</c:v>
                </c:pt>
                <c:pt idx="453">
                  <c:v>96894.819023505028</c:v>
                </c:pt>
                <c:pt idx="454">
                  <c:v>126515.93295084379</c:v>
                </c:pt>
                <c:pt idx="455">
                  <c:v>123078.01468511495</c:v>
                </c:pt>
                <c:pt idx="456">
                  <c:v>108937.45001605396</c:v>
                </c:pt>
                <c:pt idx="457">
                  <c:v>93274.905226378556</c:v>
                </c:pt>
                <c:pt idx="459">
                  <c:v>104046.57592845603</c:v>
                </c:pt>
                <c:pt idx="460">
                  <c:v>96283.08495614506</c:v>
                </c:pt>
                <c:pt idx="461">
                  <c:v>120834.49328117703</c:v>
                </c:pt>
                <c:pt idx="462">
                  <c:v>109012.06825725078</c:v>
                </c:pt>
                <c:pt idx="464">
                  <c:v>65375.973931101493</c:v>
                </c:pt>
                <c:pt idx="465">
                  <c:v>109400.88374736405</c:v>
                </c:pt>
                <c:pt idx="466">
                  <c:v>102188.1694366594</c:v>
                </c:pt>
                <c:pt idx="467">
                  <c:v>91680.661441052827</c:v>
                </c:pt>
                <c:pt idx="468">
                  <c:v>110442.85091867871</c:v>
                </c:pt>
                <c:pt idx="469">
                  <c:v>87647.166461326065</c:v>
                </c:pt>
                <c:pt idx="470">
                  <c:v>171006.90832541289</c:v>
                </c:pt>
                <c:pt idx="471">
                  <c:v>85293.930786360957</c:v>
                </c:pt>
                <c:pt idx="472">
                  <c:v>91641.809084682187</c:v>
                </c:pt>
                <c:pt idx="473">
                  <c:v>66628.014822436089</c:v>
                </c:pt>
                <c:pt idx="474">
                  <c:v>107352.39680419421</c:v>
                </c:pt>
                <c:pt idx="475">
                  <c:v>82433.538456405222</c:v>
                </c:pt>
                <c:pt idx="476">
                  <c:v>111081.15542231814</c:v>
                </c:pt>
                <c:pt idx="477">
                  <c:v>50243.826869298413</c:v>
                </c:pt>
                <c:pt idx="478">
                  <c:v>79484.946327194455</c:v>
                </c:pt>
                <c:pt idx="480">
                  <c:v>88214.566964213882</c:v>
                </c:pt>
                <c:pt idx="481">
                  <c:v>135927.21645853927</c:v>
                </c:pt>
                <c:pt idx="482">
                  <c:v>108566.33384750475</c:v>
                </c:pt>
                <c:pt idx="483">
                  <c:v>85819.580847390185</c:v>
                </c:pt>
                <c:pt idx="485">
                  <c:v>117232.72248995888</c:v>
                </c:pt>
                <c:pt idx="486">
                  <c:v>109828.589054404</c:v>
                </c:pt>
                <c:pt idx="487">
                  <c:v>1398310.6604409469</c:v>
                </c:pt>
                <c:pt idx="488">
                  <c:v>121278.81975121712</c:v>
                </c:pt>
              </c:numCache>
            </c:numRef>
          </c:val>
          <c:extLst>
            <c:ext xmlns:c16="http://schemas.microsoft.com/office/drawing/2014/chart" uri="{C3380CC4-5D6E-409C-BE32-E72D297353CC}">
              <c16:uniqueId val="{00000000-64CB-4BD6-89B4-3F7ACCEE4B40}"/>
            </c:ext>
          </c:extLst>
        </c:ser>
        <c:dLbls>
          <c:showLegendKey val="0"/>
          <c:showVal val="0"/>
          <c:showCatName val="0"/>
          <c:showSerName val="0"/>
          <c:showPercent val="0"/>
          <c:showBubbleSize val="0"/>
        </c:dLbls>
        <c:gapWidth val="150"/>
        <c:axId val="656268320"/>
        <c:axId val="656274560"/>
      </c:barChart>
      <c:lineChart>
        <c:grouping val="standard"/>
        <c:varyColors val="0"/>
        <c:ser>
          <c:idx val="1"/>
          <c:order val="1"/>
          <c:tx>
            <c:strRef>
              <c:f>'Online_Interest_Index VS Market'!$C$3</c:f>
              <c:strCache>
                <c:ptCount val="1"/>
                <c:pt idx="0">
                  <c:v>Sum of Online_Interest_Index</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47633814523184603"/>
                  <c:y val="-0.4307648002333041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multiLvlStrRef>
              <c:f>'Online_Interest_Index VS Market'!$A$4:$A$505</c:f>
              <c:multiLvlStrCache>
                <c:ptCount val="489"/>
                <c:lvl>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2016</c:v>
                  </c:pt>
                  <c:pt idx="42">
                    <c:v>2017</c:v>
                  </c:pt>
                  <c:pt idx="43">
                    <c:v>2018</c:v>
                  </c:pt>
                  <c:pt idx="44">
                    <c:v>2019</c:v>
                  </c:pt>
                  <c:pt idx="45">
                    <c:v>2020</c:v>
                  </c:pt>
                  <c:pt idx="46">
                    <c:v>2021</c:v>
                  </c:pt>
                  <c:pt idx="47">
                    <c:v>2022</c:v>
                  </c:pt>
                  <c:pt idx="48">
                    <c:v>2023</c:v>
                  </c:pt>
                  <c:pt idx="49">
                    <c:v>2024</c:v>
                  </c:pt>
                  <c:pt idx="50">
                    <c:v>2025</c:v>
                  </c:pt>
                  <c:pt idx="51">
                    <c:v>2026</c:v>
                  </c:pt>
                  <c:pt idx="52">
                    <c:v>2027</c:v>
                  </c:pt>
                  <c:pt idx="53">
                    <c:v>2028</c:v>
                  </c:pt>
                  <c:pt idx="54">
                    <c:v>2029</c:v>
                  </c:pt>
                  <c:pt idx="55">
                    <c:v>2030</c:v>
                  </c:pt>
                  <c:pt idx="56">
                    <c:v>2031</c:v>
                  </c:pt>
                  <c:pt idx="57">
                    <c:v>2032</c:v>
                  </c:pt>
                  <c:pt idx="58">
                    <c:v>2033</c:v>
                  </c:pt>
                  <c:pt idx="59">
                    <c:v>2034</c:v>
                  </c:pt>
                  <c:pt idx="60">
                    <c:v>2035</c:v>
                  </c:pt>
                  <c:pt idx="61">
                    <c:v>2036</c:v>
                  </c:pt>
                  <c:pt idx="62">
                    <c:v>2037</c:v>
                  </c:pt>
                  <c:pt idx="63">
                    <c:v>2039</c:v>
                  </c:pt>
                  <c:pt idx="64">
                    <c:v>2040</c:v>
                  </c:pt>
                  <c:pt idx="65">
                    <c:v>2041</c:v>
                  </c:pt>
                  <c:pt idx="66">
                    <c:v>2042</c:v>
                  </c:pt>
                  <c:pt idx="67">
                    <c:v>2043</c:v>
                  </c:pt>
                  <c:pt idx="68">
                    <c:v>2044</c:v>
                  </c:pt>
                  <c:pt idx="69">
                    <c:v>2045</c:v>
                  </c:pt>
                  <c:pt idx="70">
                    <c:v>2046</c:v>
                  </c:pt>
                  <c:pt idx="71">
                    <c:v>2047</c:v>
                  </c:pt>
                  <c:pt idx="72">
                    <c:v>2048</c:v>
                  </c:pt>
                  <c:pt idx="73">
                    <c:v>2049</c:v>
                  </c:pt>
                  <c:pt idx="74">
                    <c:v>2050</c:v>
                  </c:pt>
                  <c:pt idx="75">
                    <c:v>2051</c:v>
                  </c:pt>
                  <c:pt idx="76">
                    <c:v>2052</c:v>
                  </c:pt>
                  <c:pt idx="77">
                    <c:v>2053</c:v>
                  </c:pt>
                  <c:pt idx="78">
                    <c:v>2054</c:v>
                  </c:pt>
                  <c:pt idx="79">
                    <c:v>2015</c:v>
                  </c:pt>
                  <c:pt idx="80">
                    <c:v>2016</c:v>
                  </c:pt>
                  <c:pt idx="81">
                    <c:v>2017</c:v>
                  </c:pt>
                  <c:pt idx="82">
                    <c:v>2018</c:v>
                  </c:pt>
                  <c:pt idx="83">
                    <c:v>2019</c:v>
                  </c:pt>
                  <c:pt idx="84">
                    <c:v>2020</c:v>
                  </c:pt>
                  <c:pt idx="85">
                    <c:v>2021</c:v>
                  </c:pt>
                  <c:pt idx="86">
                    <c:v>2022</c:v>
                  </c:pt>
                  <c:pt idx="87">
                    <c:v>2023</c:v>
                  </c:pt>
                  <c:pt idx="88">
                    <c:v>2024</c:v>
                  </c:pt>
                  <c:pt idx="89">
                    <c:v>2025</c:v>
                  </c:pt>
                  <c:pt idx="90">
                    <c:v>2026</c:v>
                  </c:pt>
                  <c:pt idx="91">
                    <c:v>2027</c:v>
                  </c:pt>
                  <c:pt idx="92">
                    <c:v>2028</c:v>
                  </c:pt>
                  <c:pt idx="93">
                    <c:v>2029</c:v>
                  </c:pt>
                  <c:pt idx="94">
                    <c:v>2030</c:v>
                  </c:pt>
                  <c:pt idx="95">
                    <c:v>2031</c:v>
                  </c:pt>
                  <c:pt idx="96">
                    <c:v>2032</c:v>
                  </c:pt>
                  <c:pt idx="97">
                    <c:v>2033</c:v>
                  </c:pt>
                  <c:pt idx="98">
                    <c:v>2034</c:v>
                  </c:pt>
                  <c:pt idx="99">
                    <c:v>2035</c:v>
                  </c:pt>
                  <c:pt idx="100">
                    <c:v>2036</c:v>
                  </c:pt>
                  <c:pt idx="101">
                    <c:v>2037</c:v>
                  </c:pt>
                  <c:pt idx="102">
                    <c:v>2038</c:v>
                  </c:pt>
                  <c:pt idx="103">
                    <c:v>2039</c:v>
                  </c:pt>
                  <c:pt idx="104">
                    <c:v>2040</c:v>
                  </c:pt>
                  <c:pt idx="105">
                    <c:v>2041</c:v>
                  </c:pt>
                  <c:pt idx="106">
                    <c:v>2042</c:v>
                  </c:pt>
                  <c:pt idx="107">
                    <c:v>2043</c:v>
                  </c:pt>
                  <c:pt idx="108">
                    <c:v>2044</c:v>
                  </c:pt>
                  <c:pt idx="109">
                    <c:v>2045</c:v>
                  </c:pt>
                  <c:pt idx="110">
                    <c:v>2046</c:v>
                  </c:pt>
                  <c:pt idx="111">
                    <c:v>2047</c:v>
                  </c:pt>
                  <c:pt idx="112">
                    <c:v>2048</c:v>
                  </c:pt>
                  <c:pt idx="113">
                    <c:v>2049</c:v>
                  </c:pt>
                  <c:pt idx="114">
                    <c:v>2050</c:v>
                  </c:pt>
                  <c:pt idx="115">
                    <c:v>2051</c:v>
                  </c:pt>
                  <c:pt idx="116">
                    <c:v>2052</c:v>
                  </c:pt>
                  <c:pt idx="117">
                    <c:v>2053</c:v>
                  </c:pt>
                  <c:pt idx="118">
                    <c:v>2054</c:v>
                  </c:pt>
                  <c:pt idx="119">
                    <c:v>2055</c:v>
                  </c:pt>
                  <c:pt idx="120">
                    <c:v>2015</c:v>
                  </c:pt>
                  <c:pt idx="121">
                    <c:v>2016</c:v>
                  </c:pt>
                  <c:pt idx="122">
                    <c:v>2017</c:v>
                  </c:pt>
                  <c:pt idx="123">
                    <c:v>2018</c:v>
                  </c:pt>
                  <c:pt idx="124">
                    <c:v>2019</c:v>
                  </c:pt>
                  <c:pt idx="125">
                    <c:v>2020</c:v>
                  </c:pt>
                  <c:pt idx="126">
                    <c:v>2021</c:v>
                  </c:pt>
                  <c:pt idx="127">
                    <c:v>2022</c:v>
                  </c:pt>
                  <c:pt idx="128">
                    <c:v>2023</c:v>
                  </c:pt>
                  <c:pt idx="129">
                    <c:v>2024</c:v>
                  </c:pt>
                  <c:pt idx="130">
                    <c:v>2025</c:v>
                  </c:pt>
                  <c:pt idx="131">
                    <c:v>2026</c:v>
                  </c:pt>
                  <c:pt idx="132">
                    <c:v>2027</c:v>
                  </c:pt>
                  <c:pt idx="133">
                    <c:v>2028</c:v>
                  </c:pt>
                  <c:pt idx="134">
                    <c:v>2029</c:v>
                  </c:pt>
                  <c:pt idx="135">
                    <c:v>2030</c:v>
                  </c:pt>
                  <c:pt idx="136">
                    <c:v>2031</c:v>
                  </c:pt>
                  <c:pt idx="137">
                    <c:v>2032</c:v>
                  </c:pt>
                  <c:pt idx="138">
                    <c:v>2033</c:v>
                  </c:pt>
                  <c:pt idx="139">
                    <c:v>2034</c:v>
                  </c:pt>
                  <c:pt idx="140">
                    <c:v>2035</c:v>
                  </c:pt>
                  <c:pt idx="141">
                    <c:v>2036</c:v>
                  </c:pt>
                  <c:pt idx="142">
                    <c:v>2037</c:v>
                  </c:pt>
                  <c:pt idx="143">
                    <c:v>2038</c:v>
                  </c:pt>
                  <c:pt idx="144">
                    <c:v>2039</c:v>
                  </c:pt>
                  <c:pt idx="145">
                    <c:v>2040</c:v>
                  </c:pt>
                  <c:pt idx="146">
                    <c:v>2041</c:v>
                  </c:pt>
                  <c:pt idx="147">
                    <c:v>2042</c:v>
                  </c:pt>
                  <c:pt idx="148">
                    <c:v>2043</c:v>
                  </c:pt>
                  <c:pt idx="149">
                    <c:v>2044</c:v>
                  </c:pt>
                  <c:pt idx="150">
                    <c:v>2045</c:v>
                  </c:pt>
                  <c:pt idx="151">
                    <c:v>2046</c:v>
                  </c:pt>
                  <c:pt idx="152">
                    <c:v>2047</c:v>
                  </c:pt>
                  <c:pt idx="153">
                    <c:v>2048</c:v>
                  </c:pt>
                  <c:pt idx="154">
                    <c:v>2049</c:v>
                  </c:pt>
                  <c:pt idx="155">
                    <c:v>2050</c:v>
                  </c:pt>
                  <c:pt idx="156">
                    <c:v>2051</c:v>
                  </c:pt>
                  <c:pt idx="157">
                    <c:v>2052</c:v>
                  </c:pt>
                  <c:pt idx="158">
                    <c:v>2053</c:v>
                  </c:pt>
                  <c:pt idx="159">
                    <c:v>2054</c:v>
                  </c:pt>
                  <c:pt idx="160">
                    <c:v>2055</c:v>
                  </c:pt>
                  <c:pt idx="161">
                    <c:v>2015</c:v>
                  </c:pt>
                  <c:pt idx="162">
                    <c:v>2016</c:v>
                  </c:pt>
                  <c:pt idx="163">
                    <c:v>2017</c:v>
                  </c:pt>
                  <c:pt idx="164">
                    <c:v>2018</c:v>
                  </c:pt>
                  <c:pt idx="165">
                    <c:v>2019</c:v>
                  </c:pt>
                  <c:pt idx="166">
                    <c:v>2020</c:v>
                  </c:pt>
                  <c:pt idx="167">
                    <c:v>2021</c:v>
                  </c:pt>
                  <c:pt idx="168">
                    <c:v>2022</c:v>
                  </c:pt>
                  <c:pt idx="169">
                    <c:v>2023</c:v>
                  </c:pt>
                  <c:pt idx="170">
                    <c:v>2024</c:v>
                  </c:pt>
                  <c:pt idx="171">
                    <c:v>2025</c:v>
                  </c:pt>
                  <c:pt idx="172">
                    <c:v>2026</c:v>
                  </c:pt>
                  <c:pt idx="173">
                    <c:v>2027</c:v>
                  </c:pt>
                  <c:pt idx="174">
                    <c:v>2028</c:v>
                  </c:pt>
                  <c:pt idx="175">
                    <c:v>2029</c:v>
                  </c:pt>
                  <c:pt idx="176">
                    <c:v>2030</c:v>
                  </c:pt>
                  <c:pt idx="177">
                    <c:v>2031</c:v>
                  </c:pt>
                  <c:pt idx="178">
                    <c:v>2032</c:v>
                  </c:pt>
                  <c:pt idx="179">
                    <c:v>2033</c:v>
                  </c:pt>
                  <c:pt idx="180">
                    <c:v>2034</c:v>
                  </c:pt>
                  <c:pt idx="181">
                    <c:v>2035</c:v>
                  </c:pt>
                  <c:pt idx="182">
                    <c:v>2036</c:v>
                  </c:pt>
                  <c:pt idx="183">
                    <c:v>2037</c:v>
                  </c:pt>
                  <c:pt idx="184">
                    <c:v>2038</c:v>
                  </c:pt>
                  <c:pt idx="185">
                    <c:v>2039</c:v>
                  </c:pt>
                  <c:pt idx="186">
                    <c:v>2040</c:v>
                  </c:pt>
                  <c:pt idx="187">
                    <c:v>2041</c:v>
                  </c:pt>
                  <c:pt idx="188">
                    <c:v>2042</c:v>
                  </c:pt>
                  <c:pt idx="189">
                    <c:v>2043</c:v>
                  </c:pt>
                  <c:pt idx="190">
                    <c:v>2044</c:v>
                  </c:pt>
                  <c:pt idx="191">
                    <c:v>2045</c:v>
                  </c:pt>
                  <c:pt idx="192">
                    <c:v>2046</c:v>
                  </c:pt>
                  <c:pt idx="193">
                    <c:v>2047</c:v>
                  </c:pt>
                  <c:pt idx="194">
                    <c:v>2048</c:v>
                  </c:pt>
                  <c:pt idx="195">
                    <c:v>2049</c:v>
                  </c:pt>
                  <c:pt idx="196">
                    <c:v>2050</c:v>
                  </c:pt>
                  <c:pt idx="197">
                    <c:v>2051</c:v>
                  </c:pt>
                  <c:pt idx="198">
                    <c:v>2052</c:v>
                  </c:pt>
                  <c:pt idx="199">
                    <c:v>2053</c:v>
                  </c:pt>
                  <c:pt idx="200">
                    <c:v>2054</c:v>
                  </c:pt>
                  <c:pt idx="201">
                    <c:v>2055</c:v>
                  </c:pt>
                  <c:pt idx="202">
                    <c:v>2015</c:v>
                  </c:pt>
                  <c:pt idx="203">
                    <c:v>2016</c:v>
                  </c:pt>
                  <c:pt idx="204">
                    <c:v>2017</c:v>
                  </c:pt>
                  <c:pt idx="205">
                    <c:v>2018</c:v>
                  </c:pt>
                  <c:pt idx="206">
                    <c:v>2019</c:v>
                  </c:pt>
                  <c:pt idx="207">
                    <c:v>2020</c:v>
                  </c:pt>
                  <c:pt idx="208">
                    <c:v>2021</c:v>
                  </c:pt>
                  <c:pt idx="209">
                    <c:v>2022</c:v>
                  </c:pt>
                  <c:pt idx="210">
                    <c:v>2023</c:v>
                  </c:pt>
                  <c:pt idx="211">
                    <c:v>2024</c:v>
                  </c:pt>
                  <c:pt idx="212">
                    <c:v>2025</c:v>
                  </c:pt>
                  <c:pt idx="213">
                    <c:v>2026</c:v>
                  </c:pt>
                  <c:pt idx="214">
                    <c:v>2027</c:v>
                  </c:pt>
                  <c:pt idx="215">
                    <c:v>2028</c:v>
                  </c:pt>
                  <c:pt idx="216">
                    <c:v>2029</c:v>
                  </c:pt>
                  <c:pt idx="217">
                    <c:v>2030</c:v>
                  </c:pt>
                  <c:pt idx="218">
                    <c:v>2031</c:v>
                  </c:pt>
                  <c:pt idx="219">
                    <c:v>2032</c:v>
                  </c:pt>
                  <c:pt idx="220">
                    <c:v>2033</c:v>
                  </c:pt>
                  <c:pt idx="221">
                    <c:v>2034</c:v>
                  </c:pt>
                  <c:pt idx="222">
                    <c:v>2035</c:v>
                  </c:pt>
                  <c:pt idx="223">
                    <c:v>2036</c:v>
                  </c:pt>
                  <c:pt idx="224">
                    <c:v>2037</c:v>
                  </c:pt>
                  <c:pt idx="225">
                    <c:v>2038</c:v>
                  </c:pt>
                  <c:pt idx="226">
                    <c:v>2039</c:v>
                  </c:pt>
                  <c:pt idx="227">
                    <c:v>2040</c:v>
                  </c:pt>
                  <c:pt idx="228">
                    <c:v>2041</c:v>
                  </c:pt>
                  <c:pt idx="229">
                    <c:v>2042</c:v>
                  </c:pt>
                  <c:pt idx="230">
                    <c:v>2043</c:v>
                  </c:pt>
                  <c:pt idx="231">
                    <c:v>2044</c:v>
                  </c:pt>
                  <c:pt idx="232">
                    <c:v>2045</c:v>
                  </c:pt>
                  <c:pt idx="233">
                    <c:v>2046</c:v>
                  </c:pt>
                  <c:pt idx="234">
                    <c:v>2047</c:v>
                  </c:pt>
                  <c:pt idx="235">
                    <c:v>2048</c:v>
                  </c:pt>
                  <c:pt idx="236">
                    <c:v>2049</c:v>
                  </c:pt>
                  <c:pt idx="237">
                    <c:v>2050</c:v>
                  </c:pt>
                  <c:pt idx="238">
                    <c:v>2051</c:v>
                  </c:pt>
                  <c:pt idx="239">
                    <c:v>2052</c:v>
                  </c:pt>
                  <c:pt idx="240">
                    <c:v>2053</c:v>
                  </c:pt>
                  <c:pt idx="241">
                    <c:v>2054</c:v>
                  </c:pt>
                  <c:pt idx="242">
                    <c:v>2055</c:v>
                  </c:pt>
                  <c:pt idx="243">
                    <c:v>2015</c:v>
                  </c:pt>
                  <c:pt idx="244">
                    <c:v>2016</c:v>
                  </c:pt>
                  <c:pt idx="245">
                    <c:v>2017</c:v>
                  </c:pt>
                  <c:pt idx="246">
                    <c:v>2018</c:v>
                  </c:pt>
                  <c:pt idx="247">
                    <c:v>2019</c:v>
                  </c:pt>
                  <c:pt idx="248">
                    <c:v>2020</c:v>
                  </c:pt>
                  <c:pt idx="249">
                    <c:v>2021</c:v>
                  </c:pt>
                  <c:pt idx="250">
                    <c:v>2022</c:v>
                  </c:pt>
                  <c:pt idx="251">
                    <c:v>2023</c:v>
                  </c:pt>
                  <c:pt idx="252">
                    <c:v>2024</c:v>
                  </c:pt>
                  <c:pt idx="253">
                    <c:v>2025</c:v>
                  </c:pt>
                  <c:pt idx="254">
                    <c:v>2026</c:v>
                  </c:pt>
                  <c:pt idx="255">
                    <c:v>2027</c:v>
                  </c:pt>
                  <c:pt idx="256">
                    <c:v>2028</c:v>
                  </c:pt>
                  <c:pt idx="257">
                    <c:v>2029</c:v>
                  </c:pt>
                  <c:pt idx="258">
                    <c:v>2030</c:v>
                  </c:pt>
                  <c:pt idx="259">
                    <c:v>2031</c:v>
                  </c:pt>
                  <c:pt idx="260">
                    <c:v>2032</c:v>
                  </c:pt>
                  <c:pt idx="261">
                    <c:v>2033</c:v>
                  </c:pt>
                  <c:pt idx="262">
                    <c:v>2034</c:v>
                  </c:pt>
                  <c:pt idx="263">
                    <c:v>2035</c:v>
                  </c:pt>
                  <c:pt idx="264">
                    <c:v>2036</c:v>
                  </c:pt>
                  <c:pt idx="265">
                    <c:v>2037</c:v>
                  </c:pt>
                  <c:pt idx="266">
                    <c:v>2038</c:v>
                  </c:pt>
                  <c:pt idx="267">
                    <c:v>2039</c:v>
                  </c:pt>
                  <c:pt idx="268">
                    <c:v>2040</c:v>
                  </c:pt>
                  <c:pt idx="269">
                    <c:v>2041</c:v>
                  </c:pt>
                  <c:pt idx="270">
                    <c:v>2042</c:v>
                  </c:pt>
                  <c:pt idx="271">
                    <c:v>2043</c:v>
                  </c:pt>
                  <c:pt idx="272">
                    <c:v>2044</c:v>
                  </c:pt>
                  <c:pt idx="273">
                    <c:v>2045</c:v>
                  </c:pt>
                  <c:pt idx="274">
                    <c:v>2046</c:v>
                  </c:pt>
                  <c:pt idx="275">
                    <c:v>2047</c:v>
                  </c:pt>
                  <c:pt idx="276">
                    <c:v>2048</c:v>
                  </c:pt>
                  <c:pt idx="277">
                    <c:v>2049</c:v>
                  </c:pt>
                  <c:pt idx="278">
                    <c:v>2050</c:v>
                  </c:pt>
                  <c:pt idx="279">
                    <c:v>2051</c:v>
                  </c:pt>
                  <c:pt idx="280">
                    <c:v>2052</c:v>
                  </c:pt>
                  <c:pt idx="281">
                    <c:v>2053</c:v>
                  </c:pt>
                  <c:pt idx="282">
                    <c:v>2054</c:v>
                  </c:pt>
                  <c:pt idx="283">
                    <c:v>2055</c:v>
                  </c:pt>
                  <c:pt idx="284">
                    <c:v>2015</c:v>
                  </c:pt>
                  <c:pt idx="285">
                    <c:v>2016</c:v>
                  </c:pt>
                  <c:pt idx="286">
                    <c:v>2017</c:v>
                  </c:pt>
                  <c:pt idx="287">
                    <c:v>2018</c:v>
                  </c:pt>
                  <c:pt idx="288">
                    <c:v>2019</c:v>
                  </c:pt>
                  <c:pt idx="289">
                    <c:v>2020</c:v>
                  </c:pt>
                  <c:pt idx="290">
                    <c:v>2021</c:v>
                  </c:pt>
                  <c:pt idx="291">
                    <c:v>2022</c:v>
                  </c:pt>
                  <c:pt idx="292">
                    <c:v>2023</c:v>
                  </c:pt>
                  <c:pt idx="293">
                    <c:v>2024</c:v>
                  </c:pt>
                  <c:pt idx="294">
                    <c:v>2025</c:v>
                  </c:pt>
                  <c:pt idx="295">
                    <c:v>2026</c:v>
                  </c:pt>
                  <c:pt idx="296">
                    <c:v>2027</c:v>
                  </c:pt>
                  <c:pt idx="297">
                    <c:v>2028</c:v>
                  </c:pt>
                  <c:pt idx="298">
                    <c:v>2029</c:v>
                  </c:pt>
                  <c:pt idx="299">
                    <c:v>2030</c:v>
                  </c:pt>
                  <c:pt idx="300">
                    <c:v>2031</c:v>
                  </c:pt>
                  <c:pt idx="301">
                    <c:v>2032</c:v>
                  </c:pt>
                  <c:pt idx="302">
                    <c:v>2033</c:v>
                  </c:pt>
                  <c:pt idx="303">
                    <c:v>2034</c:v>
                  </c:pt>
                  <c:pt idx="304">
                    <c:v>2035</c:v>
                  </c:pt>
                  <c:pt idx="305">
                    <c:v>2036</c:v>
                  </c:pt>
                  <c:pt idx="306">
                    <c:v>2037</c:v>
                  </c:pt>
                  <c:pt idx="307">
                    <c:v>2038</c:v>
                  </c:pt>
                  <c:pt idx="308">
                    <c:v>2039</c:v>
                  </c:pt>
                  <c:pt idx="309">
                    <c:v>2040</c:v>
                  </c:pt>
                  <c:pt idx="310">
                    <c:v>2041</c:v>
                  </c:pt>
                  <c:pt idx="311">
                    <c:v>2042</c:v>
                  </c:pt>
                  <c:pt idx="312">
                    <c:v>2043</c:v>
                  </c:pt>
                  <c:pt idx="313">
                    <c:v>2044</c:v>
                  </c:pt>
                  <c:pt idx="314">
                    <c:v>2045</c:v>
                  </c:pt>
                  <c:pt idx="315">
                    <c:v>2046</c:v>
                  </c:pt>
                  <c:pt idx="316">
                    <c:v>2047</c:v>
                  </c:pt>
                  <c:pt idx="317">
                    <c:v>2048</c:v>
                  </c:pt>
                  <c:pt idx="318">
                    <c:v>2049</c:v>
                  </c:pt>
                  <c:pt idx="319">
                    <c:v>2050</c:v>
                  </c:pt>
                  <c:pt idx="320">
                    <c:v>2051</c:v>
                  </c:pt>
                  <c:pt idx="321">
                    <c:v>2052</c:v>
                  </c:pt>
                  <c:pt idx="322">
                    <c:v>2053</c:v>
                  </c:pt>
                  <c:pt idx="323">
                    <c:v>2054</c:v>
                  </c:pt>
                  <c:pt idx="324">
                    <c:v>2055</c:v>
                  </c:pt>
                  <c:pt idx="325">
                    <c:v>2015</c:v>
                  </c:pt>
                  <c:pt idx="326">
                    <c:v>2016</c:v>
                  </c:pt>
                  <c:pt idx="327">
                    <c:v>2017</c:v>
                  </c:pt>
                  <c:pt idx="328">
                    <c:v>2018</c:v>
                  </c:pt>
                  <c:pt idx="329">
                    <c:v>2019</c:v>
                  </c:pt>
                  <c:pt idx="330">
                    <c:v>2020</c:v>
                  </c:pt>
                  <c:pt idx="331">
                    <c:v>2021</c:v>
                  </c:pt>
                  <c:pt idx="332">
                    <c:v>2022</c:v>
                  </c:pt>
                  <c:pt idx="333">
                    <c:v>2023</c:v>
                  </c:pt>
                  <c:pt idx="334">
                    <c:v>2024</c:v>
                  </c:pt>
                  <c:pt idx="335">
                    <c:v>2025</c:v>
                  </c:pt>
                  <c:pt idx="336">
                    <c:v>2026</c:v>
                  </c:pt>
                  <c:pt idx="337">
                    <c:v>2027</c:v>
                  </c:pt>
                  <c:pt idx="338">
                    <c:v>2028</c:v>
                  </c:pt>
                  <c:pt idx="339">
                    <c:v>2029</c:v>
                  </c:pt>
                  <c:pt idx="340">
                    <c:v>2030</c:v>
                  </c:pt>
                  <c:pt idx="341">
                    <c:v>2031</c:v>
                  </c:pt>
                  <c:pt idx="342">
                    <c:v>2032</c:v>
                  </c:pt>
                  <c:pt idx="343">
                    <c:v>2033</c:v>
                  </c:pt>
                  <c:pt idx="344">
                    <c:v>2034</c:v>
                  </c:pt>
                  <c:pt idx="345">
                    <c:v>2035</c:v>
                  </c:pt>
                  <c:pt idx="346">
                    <c:v>2036</c:v>
                  </c:pt>
                  <c:pt idx="347">
                    <c:v>2037</c:v>
                  </c:pt>
                  <c:pt idx="348">
                    <c:v>2038</c:v>
                  </c:pt>
                  <c:pt idx="349">
                    <c:v>2039</c:v>
                  </c:pt>
                  <c:pt idx="350">
                    <c:v>2040</c:v>
                  </c:pt>
                  <c:pt idx="351">
                    <c:v>2041</c:v>
                  </c:pt>
                  <c:pt idx="352">
                    <c:v>2042</c:v>
                  </c:pt>
                  <c:pt idx="353">
                    <c:v>2043</c:v>
                  </c:pt>
                  <c:pt idx="354">
                    <c:v>2044</c:v>
                  </c:pt>
                  <c:pt idx="355">
                    <c:v>2045</c:v>
                  </c:pt>
                  <c:pt idx="356">
                    <c:v>2046</c:v>
                  </c:pt>
                  <c:pt idx="357">
                    <c:v>2047</c:v>
                  </c:pt>
                  <c:pt idx="358">
                    <c:v>2048</c:v>
                  </c:pt>
                  <c:pt idx="359">
                    <c:v>2049</c:v>
                  </c:pt>
                  <c:pt idx="360">
                    <c:v>2050</c:v>
                  </c:pt>
                  <c:pt idx="361">
                    <c:v>2051</c:v>
                  </c:pt>
                  <c:pt idx="362">
                    <c:v>2052</c:v>
                  </c:pt>
                  <c:pt idx="363">
                    <c:v>2053</c:v>
                  </c:pt>
                  <c:pt idx="364">
                    <c:v>2054</c:v>
                  </c:pt>
                  <c:pt idx="365">
                    <c:v>2055</c:v>
                  </c:pt>
                  <c:pt idx="366">
                    <c:v>2015</c:v>
                  </c:pt>
                  <c:pt idx="367">
                    <c:v>2016</c:v>
                  </c:pt>
                  <c:pt idx="368">
                    <c:v>2017</c:v>
                  </c:pt>
                  <c:pt idx="369">
                    <c:v>2018</c:v>
                  </c:pt>
                  <c:pt idx="370">
                    <c:v>2019</c:v>
                  </c:pt>
                  <c:pt idx="371">
                    <c:v>2020</c:v>
                  </c:pt>
                  <c:pt idx="372">
                    <c:v>2021</c:v>
                  </c:pt>
                  <c:pt idx="373">
                    <c:v>2022</c:v>
                  </c:pt>
                  <c:pt idx="374">
                    <c:v>2023</c:v>
                  </c:pt>
                  <c:pt idx="375">
                    <c:v>2024</c:v>
                  </c:pt>
                  <c:pt idx="376">
                    <c:v>2025</c:v>
                  </c:pt>
                  <c:pt idx="377">
                    <c:v>2026</c:v>
                  </c:pt>
                  <c:pt idx="378">
                    <c:v>2027</c:v>
                  </c:pt>
                  <c:pt idx="379">
                    <c:v>2028</c:v>
                  </c:pt>
                  <c:pt idx="380">
                    <c:v>2029</c:v>
                  </c:pt>
                  <c:pt idx="381">
                    <c:v>2030</c:v>
                  </c:pt>
                  <c:pt idx="382">
                    <c:v>2031</c:v>
                  </c:pt>
                  <c:pt idx="383">
                    <c:v>2032</c:v>
                  </c:pt>
                  <c:pt idx="384">
                    <c:v>2033</c:v>
                  </c:pt>
                  <c:pt idx="385">
                    <c:v>2034</c:v>
                  </c:pt>
                  <c:pt idx="386">
                    <c:v>2035</c:v>
                  </c:pt>
                  <c:pt idx="387">
                    <c:v>2036</c:v>
                  </c:pt>
                  <c:pt idx="388">
                    <c:v>2037</c:v>
                  </c:pt>
                  <c:pt idx="389">
                    <c:v>2038</c:v>
                  </c:pt>
                  <c:pt idx="390">
                    <c:v>2039</c:v>
                  </c:pt>
                  <c:pt idx="391">
                    <c:v>2040</c:v>
                  </c:pt>
                  <c:pt idx="392">
                    <c:v>2041</c:v>
                  </c:pt>
                  <c:pt idx="393">
                    <c:v>2042</c:v>
                  </c:pt>
                  <c:pt idx="394">
                    <c:v>2043</c:v>
                  </c:pt>
                  <c:pt idx="395">
                    <c:v>2044</c:v>
                  </c:pt>
                  <c:pt idx="396">
                    <c:v>2045</c:v>
                  </c:pt>
                  <c:pt idx="397">
                    <c:v>2046</c:v>
                  </c:pt>
                  <c:pt idx="398">
                    <c:v>2047</c:v>
                  </c:pt>
                  <c:pt idx="399">
                    <c:v>2048</c:v>
                  </c:pt>
                  <c:pt idx="400">
                    <c:v>2049</c:v>
                  </c:pt>
                  <c:pt idx="401">
                    <c:v>2050</c:v>
                  </c:pt>
                  <c:pt idx="402">
                    <c:v>2051</c:v>
                  </c:pt>
                  <c:pt idx="403">
                    <c:v>2052</c:v>
                  </c:pt>
                  <c:pt idx="404">
                    <c:v>2053</c:v>
                  </c:pt>
                  <c:pt idx="405">
                    <c:v>2054</c:v>
                  </c:pt>
                  <c:pt idx="406">
                    <c:v>2055</c:v>
                  </c:pt>
                  <c:pt idx="407">
                    <c:v>2015</c:v>
                  </c:pt>
                  <c:pt idx="408">
                    <c:v>2016</c:v>
                  </c:pt>
                  <c:pt idx="409">
                    <c:v>2017</c:v>
                  </c:pt>
                  <c:pt idx="410">
                    <c:v>2018</c:v>
                  </c:pt>
                  <c:pt idx="411">
                    <c:v>2019</c:v>
                  </c:pt>
                  <c:pt idx="412">
                    <c:v>2020</c:v>
                  </c:pt>
                  <c:pt idx="413">
                    <c:v>2021</c:v>
                  </c:pt>
                  <c:pt idx="414">
                    <c:v>2022</c:v>
                  </c:pt>
                  <c:pt idx="415">
                    <c:v>2023</c:v>
                  </c:pt>
                  <c:pt idx="416">
                    <c:v>2024</c:v>
                  </c:pt>
                  <c:pt idx="417">
                    <c:v>2025</c:v>
                  </c:pt>
                  <c:pt idx="418">
                    <c:v>2026</c:v>
                  </c:pt>
                  <c:pt idx="419">
                    <c:v>2027</c:v>
                  </c:pt>
                  <c:pt idx="420">
                    <c:v>2028</c:v>
                  </c:pt>
                  <c:pt idx="421">
                    <c:v>2029</c:v>
                  </c:pt>
                  <c:pt idx="422">
                    <c:v>2030</c:v>
                  </c:pt>
                  <c:pt idx="423">
                    <c:v>2031</c:v>
                  </c:pt>
                  <c:pt idx="424">
                    <c:v>2032</c:v>
                  </c:pt>
                  <c:pt idx="425">
                    <c:v>2033</c:v>
                  </c:pt>
                  <c:pt idx="426">
                    <c:v>2034</c:v>
                  </c:pt>
                  <c:pt idx="427">
                    <c:v>2035</c:v>
                  </c:pt>
                  <c:pt idx="428">
                    <c:v>2036</c:v>
                  </c:pt>
                  <c:pt idx="429">
                    <c:v>2037</c:v>
                  </c:pt>
                  <c:pt idx="430">
                    <c:v>2038</c:v>
                  </c:pt>
                  <c:pt idx="431">
                    <c:v>2039</c:v>
                  </c:pt>
                  <c:pt idx="432">
                    <c:v>2040</c:v>
                  </c:pt>
                  <c:pt idx="433">
                    <c:v>2041</c:v>
                  </c:pt>
                  <c:pt idx="434">
                    <c:v>2042</c:v>
                  </c:pt>
                  <c:pt idx="435">
                    <c:v>2043</c:v>
                  </c:pt>
                  <c:pt idx="436">
                    <c:v>2044</c:v>
                  </c:pt>
                  <c:pt idx="437">
                    <c:v>2045</c:v>
                  </c:pt>
                  <c:pt idx="438">
                    <c:v>2046</c:v>
                  </c:pt>
                  <c:pt idx="439">
                    <c:v>2047</c:v>
                  </c:pt>
                  <c:pt idx="440">
                    <c:v>2048</c:v>
                  </c:pt>
                  <c:pt idx="441">
                    <c:v>2049</c:v>
                  </c:pt>
                  <c:pt idx="442">
                    <c:v>2050</c:v>
                  </c:pt>
                  <c:pt idx="443">
                    <c:v>2051</c:v>
                  </c:pt>
                  <c:pt idx="444">
                    <c:v>2052</c:v>
                  </c:pt>
                  <c:pt idx="445">
                    <c:v>2053</c:v>
                  </c:pt>
                  <c:pt idx="446">
                    <c:v>2054</c:v>
                  </c:pt>
                  <c:pt idx="447">
                    <c:v>2055</c:v>
                  </c:pt>
                  <c:pt idx="448">
                    <c:v>2015</c:v>
                  </c:pt>
                  <c:pt idx="449">
                    <c:v>2016</c:v>
                  </c:pt>
                  <c:pt idx="450">
                    <c:v>2017</c:v>
                  </c:pt>
                  <c:pt idx="451">
                    <c:v>2018</c:v>
                  </c:pt>
                  <c:pt idx="452">
                    <c:v>2019</c:v>
                  </c:pt>
                  <c:pt idx="453">
                    <c:v>2020</c:v>
                  </c:pt>
                  <c:pt idx="454">
                    <c:v>2021</c:v>
                  </c:pt>
                  <c:pt idx="455">
                    <c:v>2022</c:v>
                  </c:pt>
                  <c:pt idx="456">
                    <c:v>2023</c:v>
                  </c:pt>
                  <c:pt idx="457">
                    <c:v>2024</c:v>
                  </c:pt>
                  <c:pt idx="458">
                    <c:v>2025</c:v>
                  </c:pt>
                  <c:pt idx="459">
                    <c:v>2026</c:v>
                  </c:pt>
                  <c:pt idx="460">
                    <c:v>2027</c:v>
                  </c:pt>
                  <c:pt idx="461">
                    <c:v>2028</c:v>
                  </c:pt>
                  <c:pt idx="462">
                    <c:v>2029</c:v>
                  </c:pt>
                  <c:pt idx="463">
                    <c:v>2030</c:v>
                  </c:pt>
                  <c:pt idx="464">
                    <c:v>2031</c:v>
                  </c:pt>
                  <c:pt idx="465">
                    <c:v>2032</c:v>
                  </c:pt>
                  <c:pt idx="466">
                    <c:v>2033</c:v>
                  </c:pt>
                  <c:pt idx="467">
                    <c:v>2034</c:v>
                  </c:pt>
                  <c:pt idx="468">
                    <c:v>2035</c:v>
                  </c:pt>
                  <c:pt idx="469">
                    <c:v>2036</c:v>
                  </c:pt>
                  <c:pt idx="470">
                    <c:v>2037</c:v>
                  </c:pt>
                  <c:pt idx="471">
                    <c:v>2038</c:v>
                  </c:pt>
                  <c:pt idx="472">
                    <c:v>2039</c:v>
                  </c:pt>
                  <c:pt idx="473">
                    <c:v>2040</c:v>
                  </c:pt>
                  <c:pt idx="474">
                    <c:v>2041</c:v>
                  </c:pt>
                  <c:pt idx="475">
                    <c:v>2042</c:v>
                  </c:pt>
                  <c:pt idx="476">
                    <c:v>2043</c:v>
                  </c:pt>
                  <c:pt idx="477">
                    <c:v>2044</c:v>
                  </c:pt>
                  <c:pt idx="478">
                    <c:v>2045</c:v>
                  </c:pt>
                  <c:pt idx="479">
                    <c:v>2046</c:v>
                  </c:pt>
                  <c:pt idx="480">
                    <c:v>2047</c:v>
                  </c:pt>
                  <c:pt idx="481">
                    <c:v>2048</c:v>
                  </c:pt>
                  <c:pt idx="482">
                    <c:v>2049</c:v>
                  </c:pt>
                  <c:pt idx="483">
                    <c:v>2050</c:v>
                  </c:pt>
                  <c:pt idx="484">
                    <c:v>2051</c:v>
                  </c:pt>
                  <c:pt idx="485">
                    <c:v>2052</c:v>
                  </c:pt>
                  <c:pt idx="486">
                    <c:v>2053</c:v>
                  </c:pt>
                  <c:pt idx="487">
                    <c:v>2054</c:v>
                  </c:pt>
                  <c:pt idx="488">
                    <c:v>2055</c:v>
                  </c:pt>
                </c:lvl>
                <c:lvl>
                  <c:pt idx="0">
                    <c:v>Jan</c:v>
                  </c:pt>
                  <c:pt idx="41">
                    <c:v>Feb</c:v>
                  </c:pt>
                  <c:pt idx="79">
                    <c:v>Mar</c:v>
                  </c:pt>
                  <c:pt idx="120">
                    <c:v>Apr</c:v>
                  </c:pt>
                  <c:pt idx="161">
                    <c:v>May</c:v>
                  </c:pt>
                  <c:pt idx="202">
                    <c:v>Jun</c:v>
                  </c:pt>
                  <c:pt idx="243">
                    <c:v>Jul</c:v>
                  </c:pt>
                  <c:pt idx="284">
                    <c:v>Aug</c:v>
                  </c:pt>
                  <c:pt idx="325">
                    <c:v>Sep</c:v>
                  </c:pt>
                  <c:pt idx="366">
                    <c:v>Oct</c:v>
                  </c:pt>
                  <c:pt idx="407">
                    <c:v>Nov</c:v>
                  </c:pt>
                  <c:pt idx="448">
                    <c:v>Dec</c:v>
                  </c:pt>
                </c:lvl>
              </c:multiLvlStrCache>
            </c:multiLvlStrRef>
          </c:cat>
          <c:val>
            <c:numRef>
              <c:f>'Online_Interest_Index VS Market'!$C$4:$C$505</c:f>
              <c:numCache>
                <c:formatCode>General</c:formatCode>
                <c:ptCount val="489"/>
                <c:pt idx="0">
                  <c:v>85.046734258862216</c:v>
                </c:pt>
                <c:pt idx="1">
                  <c:v>90.170204951880137</c:v>
                </c:pt>
                <c:pt idx="2">
                  <c:v>30.85291737283022</c:v>
                </c:pt>
                <c:pt idx="3">
                  <c:v>99.813781061172733</c:v>
                </c:pt>
                <c:pt idx="4">
                  <c:v>71.704794692590497</c:v>
                </c:pt>
                <c:pt idx="6">
                  <c:v>72.978572666367441</c:v>
                </c:pt>
                <c:pt idx="7">
                  <c:v>26.157534640641387</c:v>
                </c:pt>
                <c:pt idx="8">
                  <c:v>85.640600338568731</c:v>
                </c:pt>
                <c:pt idx="9">
                  <c:v>34.739892125813938</c:v>
                </c:pt>
                <c:pt idx="10">
                  <c:v>22.128669286214731</c:v>
                </c:pt>
                <c:pt idx="11">
                  <c:v>97.018606708891127</c:v>
                </c:pt>
                <c:pt idx="12">
                  <c:v>42.890803396665149</c:v>
                </c:pt>
                <c:pt idx="13">
                  <c:v>36.937149771837667</c:v>
                </c:pt>
                <c:pt idx="14">
                  <c:v>44.757006115694587</c:v>
                </c:pt>
                <c:pt idx="15">
                  <c:v>28.278005091726772</c:v>
                </c:pt>
                <c:pt idx="16">
                  <c:v>31.509437307466381</c:v>
                </c:pt>
                <c:pt idx="17">
                  <c:v>48.325164988407529</c:v>
                </c:pt>
                <c:pt idx="18">
                  <c:v>33.089296331062101</c:v>
                </c:pt>
                <c:pt idx="19">
                  <c:v>70.450823598646437</c:v>
                </c:pt>
                <c:pt idx="20">
                  <c:v>41.439781350750238</c:v>
                </c:pt>
                <c:pt idx="21">
                  <c:v>72.182489025475704</c:v>
                </c:pt>
                <c:pt idx="22">
                  <c:v>97.2358907680497</c:v>
                </c:pt>
                <c:pt idx="23">
                  <c:v>27.07175737174067</c:v>
                </c:pt>
                <c:pt idx="24">
                  <c:v>66.46148668915373</c:v>
                </c:pt>
                <c:pt idx="25">
                  <c:v>62.783957302495395</c:v>
                </c:pt>
                <c:pt idx="26">
                  <c:v>31.54496349499852</c:v>
                </c:pt>
                <c:pt idx="27">
                  <c:v>89.103169837200255</c:v>
                </c:pt>
                <c:pt idx="28">
                  <c:v>55.41549615739487</c:v>
                </c:pt>
                <c:pt idx="29">
                  <c:v>55.846838982646119</c:v>
                </c:pt>
                <c:pt idx="30">
                  <c:v>77.495941277823675</c:v>
                </c:pt>
                <c:pt idx="31">
                  <c:v>30.350449357336071</c:v>
                </c:pt>
                <c:pt idx="32">
                  <c:v>61.381773580344841</c:v>
                </c:pt>
                <c:pt idx="33">
                  <c:v>82.145709379222481</c:v>
                </c:pt>
                <c:pt idx="34">
                  <c:v>39.119814416924108</c:v>
                </c:pt>
                <c:pt idx="35">
                  <c:v>32.773307949372061</c:v>
                </c:pt>
                <c:pt idx="36">
                  <c:v>81.746882818408793</c:v>
                </c:pt>
                <c:pt idx="37">
                  <c:v>96.180806268985904</c:v>
                </c:pt>
                <c:pt idx="38">
                  <c:v>94.581350713677779</c:v>
                </c:pt>
                <c:pt idx="39">
                  <c:v>31.950530898114565</c:v>
                </c:pt>
                <c:pt idx="40">
                  <c:v>183.74155435366819</c:v>
                </c:pt>
                <c:pt idx="41">
                  <c:v>62.255140940508497</c:v>
                </c:pt>
                <c:pt idx="42">
                  <c:v>40.803843220194707</c:v>
                </c:pt>
                <c:pt idx="43">
                  <c:v>41.084118359742227</c:v>
                </c:pt>
                <c:pt idx="44">
                  <c:v>71.787370749847298</c:v>
                </c:pt>
                <c:pt idx="45">
                  <c:v>54.151578225864213</c:v>
                </c:pt>
                <c:pt idx="46">
                  <c:v>77.225784842330853</c:v>
                </c:pt>
                <c:pt idx="47">
                  <c:v>73.661202035442855</c:v>
                </c:pt>
                <c:pt idx="48">
                  <c:v>80.802792144253914</c:v>
                </c:pt>
                <c:pt idx="49">
                  <c:v>24.560191004154717</c:v>
                </c:pt>
                <c:pt idx="50">
                  <c:v>78.818281448127692</c:v>
                </c:pt>
                <c:pt idx="51">
                  <c:v>70.267769403955555</c:v>
                </c:pt>
                <c:pt idx="52">
                  <c:v>71.235781919460237</c:v>
                </c:pt>
                <c:pt idx="53">
                  <c:v>31.539201689448284</c:v>
                </c:pt>
                <c:pt idx="54">
                  <c:v>55.837732510575194</c:v>
                </c:pt>
                <c:pt idx="55">
                  <c:v>72.525016191972185</c:v>
                </c:pt>
                <c:pt idx="56">
                  <c:v>28.37283522771849</c:v>
                </c:pt>
                <c:pt idx="57">
                  <c:v>72.465661386191428</c:v>
                </c:pt>
                <c:pt idx="58">
                  <c:v>753.42211131358579</c:v>
                </c:pt>
                <c:pt idx="59">
                  <c:v>54.411418567746104</c:v>
                </c:pt>
                <c:pt idx="60">
                  <c:v>92.97665894252205</c:v>
                </c:pt>
                <c:pt idx="61">
                  <c:v>52.415771406026373</c:v>
                </c:pt>
                <c:pt idx="62">
                  <c:v>93.265147855259514</c:v>
                </c:pt>
                <c:pt idx="63">
                  <c:v>94.301073696439389</c:v>
                </c:pt>
                <c:pt idx="64">
                  <c:v>99.697959443571094</c:v>
                </c:pt>
                <c:pt idx="65">
                  <c:v>27.484752552986844</c:v>
                </c:pt>
                <c:pt idx="66">
                  <c:v>52.541899885760415</c:v>
                </c:pt>
                <c:pt idx="67">
                  <c:v>78.577536504977786</c:v>
                </c:pt>
                <c:pt idx="68">
                  <c:v>59.032015622344147</c:v>
                </c:pt>
                <c:pt idx="69">
                  <c:v>66.898839902460935</c:v>
                </c:pt>
                <c:pt idx="70">
                  <c:v>50.065697520635275</c:v>
                </c:pt>
                <c:pt idx="71">
                  <c:v>26.737040894167869</c:v>
                </c:pt>
                <c:pt idx="72">
                  <c:v>73.873578312914617</c:v>
                </c:pt>
                <c:pt idx="73">
                  <c:v>42.502765084242725</c:v>
                </c:pt>
                <c:pt idx="74">
                  <c:v>83.206659997715022</c:v>
                </c:pt>
                <c:pt idx="75">
                  <c:v>58.710181165140725</c:v>
                </c:pt>
                <c:pt idx="76">
                  <c:v>23.988811711933138</c:v>
                </c:pt>
                <c:pt idx="77">
                  <c:v>73.275773286437129</c:v>
                </c:pt>
                <c:pt idx="78">
                  <c:v>71.860556326225762</c:v>
                </c:pt>
                <c:pt idx="79">
                  <c:v>71.117041757862765</c:v>
                </c:pt>
                <c:pt idx="80">
                  <c:v>57.380879680600209</c:v>
                </c:pt>
                <c:pt idx="81">
                  <c:v>50.804644457516936</c:v>
                </c:pt>
                <c:pt idx="82">
                  <c:v>42.330437661941573</c:v>
                </c:pt>
                <c:pt idx="83">
                  <c:v>30.267994129175584</c:v>
                </c:pt>
                <c:pt idx="84">
                  <c:v>57.521995177430682</c:v>
                </c:pt>
                <c:pt idx="85">
                  <c:v>41.451458368953666</c:v>
                </c:pt>
                <c:pt idx="86">
                  <c:v>85.700753629827645</c:v>
                </c:pt>
                <c:pt idx="87">
                  <c:v>23.901305505051234</c:v>
                </c:pt>
                <c:pt idx="88">
                  <c:v>67.023875949734787</c:v>
                </c:pt>
                <c:pt idx="90">
                  <c:v>34.728105868876554</c:v>
                </c:pt>
                <c:pt idx="91">
                  <c:v>45.132965106957769</c:v>
                </c:pt>
                <c:pt idx="92">
                  <c:v>80.718146548322451</c:v>
                </c:pt>
                <c:pt idx="93">
                  <c:v>52.437734106433481</c:v>
                </c:pt>
                <c:pt idx="94">
                  <c:v>925.58841475059489</c:v>
                </c:pt>
                <c:pt idx="95">
                  <c:v>53.835483499324617</c:v>
                </c:pt>
                <c:pt idx="96">
                  <c:v>62.982053893443045</c:v>
                </c:pt>
                <c:pt idx="97">
                  <c:v>73.943485896001974</c:v>
                </c:pt>
                <c:pt idx="98">
                  <c:v>55.021204399050276</c:v>
                </c:pt>
                <c:pt idx="99">
                  <c:v>70.654293991661774</c:v>
                </c:pt>
                <c:pt idx="100">
                  <c:v>67.683487638211773</c:v>
                </c:pt>
                <c:pt idx="101">
                  <c:v>60.23004160524679</c:v>
                </c:pt>
                <c:pt idx="102">
                  <c:v>145.88870872161476</c:v>
                </c:pt>
                <c:pt idx="103">
                  <c:v>59.739474240478756</c:v>
                </c:pt>
                <c:pt idx="105">
                  <c:v>21.333724047970648</c:v>
                </c:pt>
                <c:pt idx="106">
                  <c:v>809.88897096573828</c:v>
                </c:pt>
                <c:pt idx="107">
                  <c:v>38.641517151746783</c:v>
                </c:pt>
                <c:pt idx="109">
                  <c:v>59.389363896099916</c:v>
                </c:pt>
                <c:pt idx="110">
                  <c:v>27.931688982209913</c:v>
                </c:pt>
                <c:pt idx="111">
                  <c:v>98.766071710089051</c:v>
                </c:pt>
                <c:pt idx="112">
                  <c:v>69.159956820415402</c:v>
                </c:pt>
                <c:pt idx="113">
                  <c:v>52.890182260750336</c:v>
                </c:pt>
                <c:pt idx="114">
                  <c:v>69.303259868331565</c:v>
                </c:pt>
                <c:pt idx="115">
                  <c:v>91.802586121766723</c:v>
                </c:pt>
                <c:pt idx="116">
                  <c:v>31.992740259771175</c:v>
                </c:pt>
                <c:pt idx="117">
                  <c:v>85.812597478434185</c:v>
                </c:pt>
                <c:pt idx="118">
                  <c:v>33.790908968413298</c:v>
                </c:pt>
                <c:pt idx="119">
                  <c:v>60.149562481960295</c:v>
                </c:pt>
                <c:pt idx="120">
                  <c:v>26.515777031292735</c:v>
                </c:pt>
                <c:pt idx="121">
                  <c:v>28.53694552818834</c:v>
                </c:pt>
                <c:pt idx="122">
                  <c:v>95.438622725690848</c:v>
                </c:pt>
                <c:pt idx="123">
                  <c:v>94.453780444991864</c:v>
                </c:pt>
                <c:pt idx="125">
                  <c:v>94.284442631530879</c:v>
                </c:pt>
                <c:pt idx="126">
                  <c:v>45.253478493125279</c:v>
                </c:pt>
                <c:pt idx="127">
                  <c:v>39.572404368377043</c:v>
                </c:pt>
                <c:pt idx="128">
                  <c:v>87.49830341682059</c:v>
                </c:pt>
                <c:pt idx="129">
                  <c:v>87.227854207080654</c:v>
                </c:pt>
                <c:pt idx="130">
                  <c:v>66.460479924452727</c:v>
                </c:pt>
                <c:pt idx="131">
                  <c:v>28.452027635914455</c:v>
                </c:pt>
                <c:pt idx="132">
                  <c:v>96.637685318596326</c:v>
                </c:pt>
                <c:pt idx="133">
                  <c:v>60.04956258671448</c:v>
                </c:pt>
                <c:pt idx="134">
                  <c:v>987.27157117321144</c:v>
                </c:pt>
                <c:pt idx="135">
                  <c:v>33.499955071858366</c:v>
                </c:pt>
                <c:pt idx="136">
                  <c:v>83.646270100606912</c:v>
                </c:pt>
                <c:pt idx="137">
                  <c:v>74.16994107860512</c:v>
                </c:pt>
                <c:pt idx="138">
                  <c:v>98.396435788662274</c:v>
                </c:pt>
                <c:pt idx="139">
                  <c:v>448.29671128649608</c:v>
                </c:pt>
                <c:pt idx="140">
                  <c:v>77.684372871829751</c:v>
                </c:pt>
                <c:pt idx="142">
                  <c:v>83.608822602137977</c:v>
                </c:pt>
                <c:pt idx="143">
                  <c:v>70.374687620736239</c:v>
                </c:pt>
                <c:pt idx="144">
                  <c:v>87.435638596495778</c:v>
                </c:pt>
                <c:pt idx="145">
                  <c:v>85.284540569145889</c:v>
                </c:pt>
                <c:pt idx="146">
                  <c:v>89.882741139617167</c:v>
                </c:pt>
                <c:pt idx="147">
                  <c:v>31.510092431182414</c:v>
                </c:pt>
                <c:pt idx="148">
                  <c:v>85.051360358538034</c:v>
                </c:pt>
                <c:pt idx="149">
                  <c:v>70.144210405187522</c:v>
                </c:pt>
                <c:pt idx="150">
                  <c:v>35.385261822748042</c:v>
                </c:pt>
                <c:pt idx="151">
                  <c:v>69.836323534670541</c:v>
                </c:pt>
                <c:pt idx="152">
                  <c:v>73.312584375593516</c:v>
                </c:pt>
                <c:pt idx="153">
                  <c:v>91.397527516160935</c:v>
                </c:pt>
                <c:pt idx="154">
                  <c:v>38.746005252042146</c:v>
                </c:pt>
                <c:pt idx="155">
                  <c:v>23.588844610217361</c:v>
                </c:pt>
                <c:pt idx="156">
                  <c:v>92.620899492014289</c:v>
                </c:pt>
                <c:pt idx="157">
                  <c:v>63.006491044121148</c:v>
                </c:pt>
                <c:pt idx="158">
                  <c:v>21.062496276686407</c:v>
                </c:pt>
                <c:pt idx="159">
                  <c:v>89.791565068385196</c:v>
                </c:pt>
                <c:pt idx="160">
                  <c:v>56.396550378218969</c:v>
                </c:pt>
                <c:pt idx="161">
                  <c:v>98.213575360610491</c:v>
                </c:pt>
                <c:pt idx="162">
                  <c:v>71.964480540556934</c:v>
                </c:pt>
                <c:pt idx="163">
                  <c:v>68.830084782535366</c:v>
                </c:pt>
                <c:pt idx="164">
                  <c:v>21.971552370905812</c:v>
                </c:pt>
                <c:pt idx="165">
                  <c:v>98.598606448099829</c:v>
                </c:pt>
                <c:pt idx="166">
                  <c:v>71.286888286572747</c:v>
                </c:pt>
                <c:pt idx="167">
                  <c:v>30.020098487696636</c:v>
                </c:pt>
                <c:pt idx="168">
                  <c:v>53.704070530669171</c:v>
                </c:pt>
                <c:pt idx="169">
                  <c:v>55.043526072430701</c:v>
                </c:pt>
                <c:pt idx="170">
                  <c:v>21.399857118991086</c:v>
                </c:pt>
                <c:pt idx="171">
                  <c:v>79.334730319345852</c:v>
                </c:pt>
                <c:pt idx="172">
                  <c:v>85.028077722940623</c:v>
                </c:pt>
                <c:pt idx="173">
                  <c:v>22.673885794840302</c:v>
                </c:pt>
                <c:pt idx="174">
                  <c:v>92.942808990541707</c:v>
                </c:pt>
                <c:pt idx="175">
                  <c:v>43.379916539151033</c:v>
                </c:pt>
                <c:pt idx="176">
                  <c:v>97.466156807940393</c:v>
                </c:pt>
                <c:pt idx="177">
                  <c:v>31.310684337307215</c:v>
                </c:pt>
                <c:pt idx="178">
                  <c:v>144.91241340182017</c:v>
                </c:pt>
                <c:pt idx="179">
                  <c:v>98.848058716224031</c:v>
                </c:pt>
                <c:pt idx="180">
                  <c:v>80.970369636025964</c:v>
                </c:pt>
                <c:pt idx="181">
                  <c:v>40.572188088727671</c:v>
                </c:pt>
                <c:pt idx="182">
                  <c:v>21.353023993728584</c:v>
                </c:pt>
                <c:pt idx="184">
                  <c:v>53.292875712492616</c:v>
                </c:pt>
                <c:pt idx="185">
                  <c:v>55.670929588784624</c:v>
                </c:pt>
                <c:pt idx="186">
                  <c:v>54.565382805329421</c:v>
                </c:pt>
                <c:pt idx="188">
                  <c:v>20.689520207342422</c:v>
                </c:pt>
                <c:pt idx="189">
                  <c:v>67.074499236276182</c:v>
                </c:pt>
                <c:pt idx="190">
                  <c:v>48.699400843431093</c:v>
                </c:pt>
                <c:pt idx="191">
                  <c:v>57.114901076391277</c:v>
                </c:pt>
                <c:pt idx="192">
                  <c:v>55.749935616035117</c:v>
                </c:pt>
                <c:pt idx="193">
                  <c:v>42.832325477073795</c:v>
                </c:pt>
                <c:pt idx="194">
                  <c:v>26.290136879180643</c:v>
                </c:pt>
                <c:pt idx="195">
                  <c:v>21.572118619747826</c:v>
                </c:pt>
                <c:pt idx="196">
                  <c:v>69.803759236982529</c:v>
                </c:pt>
                <c:pt idx="197">
                  <c:v>26.99334462968671</c:v>
                </c:pt>
                <c:pt idx="198">
                  <c:v>66.063397689784779</c:v>
                </c:pt>
                <c:pt idx="199">
                  <c:v>63.361223878378084</c:v>
                </c:pt>
                <c:pt idx="200">
                  <c:v>69.049299125539321</c:v>
                </c:pt>
                <c:pt idx="201">
                  <c:v>833.37813686453865</c:v>
                </c:pt>
                <c:pt idx="202">
                  <c:v>636.34236016937041</c:v>
                </c:pt>
                <c:pt idx="203">
                  <c:v>89.439967351607194</c:v>
                </c:pt>
                <c:pt idx="204">
                  <c:v>86.797902854636988</c:v>
                </c:pt>
                <c:pt idx="205">
                  <c:v>75.735119029855753</c:v>
                </c:pt>
                <c:pt idx="206">
                  <c:v>929.45485563155762</c:v>
                </c:pt>
                <c:pt idx="207">
                  <c:v>44.932233332371908</c:v>
                </c:pt>
                <c:pt idx="208">
                  <c:v>72.440797747689004</c:v>
                </c:pt>
                <c:pt idx="209">
                  <c:v>87.107146941221629</c:v>
                </c:pt>
                <c:pt idx="210">
                  <c:v>47.391609863668769</c:v>
                </c:pt>
                <c:pt idx="211">
                  <c:v>23.920371597701884</c:v>
                </c:pt>
                <c:pt idx="212">
                  <c:v>74.018467004963</c:v>
                </c:pt>
                <c:pt idx="213">
                  <c:v>66.300518108799935</c:v>
                </c:pt>
                <c:pt idx="214">
                  <c:v>66.383427506636394</c:v>
                </c:pt>
                <c:pt idx="215">
                  <c:v>31.729164572787383</c:v>
                </c:pt>
                <c:pt idx="216">
                  <c:v>43.58537906774135</c:v>
                </c:pt>
                <c:pt idx="217">
                  <c:v>56.230668833240934</c:v>
                </c:pt>
                <c:pt idx="218">
                  <c:v>30.425634653786872</c:v>
                </c:pt>
                <c:pt idx="219">
                  <c:v>41.288109482984687</c:v>
                </c:pt>
                <c:pt idx="220">
                  <c:v>74.934288937930361</c:v>
                </c:pt>
                <c:pt idx="221">
                  <c:v>94.894125133320415</c:v>
                </c:pt>
                <c:pt idx="222">
                  <c:v>77.551052445985619</c:v>
                </c:pt>
                <c:pt idx="223">
                  <c:v>92.765154190424099</c:v>
                </c:pt>
                <c:pt idx="224">
                  <c:v>98.195054736320984</c:v>
                </c:pt>
                <c:pt idx="225">
                  <c:v>33.323081079781602</c:v>
                </c:pt>
                <c:pt idx="226">
                  <c:v>76.686683661426017</c:v>
                </c:pt>
                <c:pt idx="227">
                  <c:v>83.711257809576708</c:v>
                </c:pt>
                <c:pt idx="228">
                  <c:v>36.920539942541446</c:v>
                </c:pt>
                <c:pt idx="229">
                  <c:v>21.597834606242252</c:v>
                </c:pt>
                <c:pt idx="230">
                  <c:v>36.861047954392497</c:v>
                </c:pt>
                <c:pt idx="231">
                  <c:v>99.651614133947945</c:v>
                </c:pt>
                <c:pt idx="232">
                  <c:v>39.665486961805968</c:v>
                </c:pt>
                <c:pt idx="233">
                  <c:v>82.238797725674942</c:v>
                </c:pt>
                <c:pt idx="236">
                  <c:v>90.351444544575642</c:v>
                </c:pt>
                <c:pt idx="237">
                  <c:v>44.713417827501289</c:v>
                </c:pt>
                <c:pt idx="238">
                  <c:v>94.919466504818061</c:v>
                </c:pt>
                <c:pt idx="239">
                  <c:v>716.12006664072271</c:v>
                </c:pt>
                <c:pt idx="240">
                  <c:v>56.765038200441751</c:v>
                </c:pt>
                <c:pt idx="241">
                  <c:v>32.57631068455634</c:v>
                </c:pt>
                <c:pt idx="242">
                  <c:v>63.753241103449938</c:v>
                </c:pt>
                <c:pt idx="243">
                  <c:v>30.673306841856565</c:v>
                </c:pt>
                <c:pt idx="244">
                  <c:v>86.254869545876232</c:v>
                </c:pt>
                <c:pt idx="245">
                  <c:v>76.828120056986577</c:v>
                </c:pt>
                <c:pt idx="246">
                  <c:v>78.026111258870259</c:v>
                </c:pt>
                <c:pt idx="247">
                  <c:v>55.13045286438804</c:v>
                </c:pt>
                <c:pt idx="248">
                  <c:v>62.025461156057709</c:v>
                </c:pt>
                <c:pt idx="249">
                  <c:v>23.183770186852204</c:v>
                </c:pt>
                <c:pt idx="250">
                  <c:v>90.169637412983036</c:v>
                </c:pt>
                <c:pt idx="251">
                  <c:v>63.718108882030116</c:v>
                </c:pt>
                <c:pt idx="252">
                  <c:v>65.82162213495566</c:v>
                </c:pt>
                <c:pt idx="253">
                  <c:v>36.470559054265692</c:v>
                </c:pt>
                <c:pt idx="254">
                  <c:v>69.462801681097588</c:v>
                </c:pt>
                <c:pt idx="255">
                  <c:v>33.320283763961207</c:v>
                </c:pt>
                <c:pt idx="256">
                  <c:v>71.674231441843148</c:v>
                </c:pt>
                <c:pt idx="259">
                  <c:v>71.474315961386452</c:v>
                </c:pt>
                <c:pt idx="260">
                  <c:v>23.120513661025448</c:v>
                </c:pt>
                <c:pt idx="261">
                  <c:v>39.489183358575545</c:v>
                </c:pt>
                <c:pt idx="262">
                  <c:v>95.260068738756885</c:v>
                </c:pt>
                <c:pt idx="263">
                  <c:v>222.49720502233899</c:v>
                </c:pt>
                <c:pt idx="264">
                  <c:v>41.570400701374624</c:v>
                </c:pt>
                <c:pt idx="265">
                  <c:v>97.148258722878921</c:v>
                </c:pt>
                <c:pt idx="266">
                  <c:v>98.894143782695579</c:v>
                </c:pt>
                <c:pt idx="267">
                  <c:v>78.549818982920073</c:v>
                </c:pt>
                <c:pt idx="268">
                  <c:v>67.633184129608679</c:v>
                </c:pt>
                <c:pt idx="269">
                  <c:v>78.88283203408524</c:v>
                </c:pt>
                <c:pt idx="270">
                  <c:v>66.928138992364836</c:v>
                </c:pt>
                <c:pt idx="271">
                  <c:v>38.937638068306633</c:v>
                </c:pt>
                <c:pt idx="272">
                  <c:v>58.414681220951024</c:v>
                </c:pt>
                <c:pt idx="273">
                  <c:v>93.187371988132369</c:v>
                </c:pt>
                <c:pt idx="274">
                  <c:v>37.637638479949587</c:v>
                </c:pt>
                <c:pt idx="275">
                  <c:v>28.75858928551952</c:v>
                </c:pt>
                <c:pt idx="276">
                  <c:v>39.862998370467679</c:v>
                </c:pt>
                <c:pt idx="277">
                  <c:v>570.50509613572513</c:v>
                </c:pt>
                <c:pt idx="278">
                  <c:v>49.498012437667676</c:v>
                </c:pt>
                <c:pt idx="279">
                  <c:v>86.042787321633256</c:v>
                </c:pt>
                <c:pt idx="280">
                  <c:v>21.357530345237315</c:v>
                </c:pt>
                <c:pt idx="281">
                  <c:v>59.917435537663444</c:v>
                </c:pt>
                <c:pt idx="282">
                  <c:v>96.987044598496539</c:v>
                </c:pt>
                <c:pt idx="283">
                  <c:v>63.699808010468075</c:v>
                </c:pt>
                <c:pt idx="284">
                  <c:v>75.331472157865448</c:v>
                </c:pt>
                <c:pt idx="285">
                  <c:v>70.0843767184641</c:v>
                </c:pt>
                <c:pt idx="286">
                  <c:v>29.00025044213054</c:v>
                </c:pt>
                <c:pt idx="287">
                  <c:v>86.910286192831947</c:v>
                </c:pt>
                <c:pt idx="288">
                  <c:v>23.195837862887547</c:v>
                </c:pt>
                <c:pt idx="289">
                  <c:v>25.284424625772807</c:v>
                </c:pt>
                <c:pt idx="290">
                  <c:v>67.814586841876718</c:v>
                </c:pt>
                <c:pt idx="291">
                  <c:v>39.454398421138073</c:v>
                </c:pt>
                <c:pt idx="292">
                  <c:v>27.308259417884464</c:v>
                </c:pt>
                <c:pt idx="293">
                  <c:v>85.559654830884185</c:v>
                </c:pt>
                <c:pt idx="294">
                  <c:v>48.198483755468089</c:v>
                </c:pt>
                <c:pt idx="295">
                  <c:v>158.77914531897287</c:v>
                </c:pt>
                <c:pt idx="297">
                  <c:v>38.630331692145205</c:v>
                </c:pt>
                <c:pt idx="298">
                  <c:v>65.16752650322573</c:v>
                </c:pt>
                <c:pt idx="299">
                  <c:v>74.145603490403758</c:v>
                </c:pt>
                <c:pt idx="300">
                  <c:v>35.7746385574453</c:v>
                </c:pt>
                <c:pt idx="301">
                  <c:v>564.453425592087</c:v>
                </c:pt>
                <c:pt idx="302">
                  <c:v>83.884467050447924</c:v>
                </c:pt>
                <c:pt idx="303">
                  <c:v>33.982502789994705</c:v>
                </c:pt>
                <c:pt idx="304">
                  <c:v>50.025707661841103</c:v>
                </c:pt>
                <c:pt idx="305">
                  <c:v>85.574160222436731</c:v>
                </c:pt>
                <c:pt idx="306">
                  <c:v>33.098316630333677</c:v>
                </c:pt>
                <c:pt idx="307">
                  <c:v>85.667920741050295</c:v>
                </c:pt>
                <c:pt idx="308">
                  <c:v>33.91709647226709</c:v>
                </c:pt>
                <c:pt idx="309">
                  <c:v>90.927635320191868</c:v>
                </c:pt>
                <c:pt idx="310">
                  <c:v>45.60128904699134</c:v>
                </c:pt>
                <c:pt idx="311">
                  <c:v>56.431592419835262</c:v>
                </c:pt>
                <c:pt idx="312">
                  <c:v>70.242437165562961</c:v>
                </c:pt>
                <c:pt idx="313">
                  <c:v>58.870848495169056</c:v>
                </c:pt>
                <c:pt idx="314">
                  <c:v>46.832545079707756</c:v>
                </c:pt>
                <c:pt idx="315">
                  <c:v>33.165284674346793</c:v>
                </c:pt>
                <c:pt idx="316">
                  <c:v>97.266933504606683</c:v>
                </c:pt>
                <c:pt idx="317">
                  <c:v>99.041116965233726</c:v>
                </c:pt>
                <c:pt idx="318">
                  <c:v>47.080550354037825</c:v>
                </c:pt>
                <c:pt idx="319">
                  <c:v>815.78513463750414</c:v>
                </c:pt>
                <c:pt idx="320">
                  <c:v>83.304857145013358</c:v>
                </c:pt>
                <c:pt idx="321">
                  <c:v>96.829341969770425</c:v>
                </c:pt>
                <c:pt idx="322">
                  <c:v>25.777054826815036</c:v>
                </c:pt>
                <c:pt idx="323">
                  <c:v>61.469237066825649</c:v>
                </c:pt>
                <c:pt idx="324">
                  <c:v>27.157849824830976</c:v>
                </c:pt>
                <c:pt idx="325">
                  <c:v>83.600922954277621</c:v>
                </c:pt>
                <c:pt idx="327">
                  <c:v>78.873632509915907</c:v>
                </c:pt>
                <c:pt idx="328">
                  <c:v>97.955144851078032</c:v>
                </c:pt>
                <c:pt idx="329">
                  <c:v>48.98347920001639</c:v>
                </c:pt>
                <c:pt idx="330">
                  <c:v>97.805458851978941</c:v>
                </c:pt>
                <c:pt idx="331">
                  <c:v>89.575670788130708</c:v>
                </c:pt>
                <c:pt idx="332">
                  <c:v>64.045650763309141</c:v>
                </c:pt>
                <c:pt idx="333">
                  <c:v>80.53172394819191</c:v>
                </c:pt>
                <c:pt idx="334">
                  <c:v>46.139111245490689</c:v>
                </c:pt>
                <c:pt idx="335">
                  <c:v>30.08881133429</c:v>
                </c:pt>
                <c:pt idx="336">
                  <c:v>86.756660228487732</c:v>
                </c:pt>
                <c:pt idx="337">
                  <c:v>34.071222673492969</c:v>
                </c:pt>
                <c:pt idx="338">
                  <c:v>32.540834292131144</c:v>
                </c:pt>
                <c:pt idx="339">
                  <c:v>40.185819541099619</c:v>
                </c:pt>
                <c:pt idx="340">
                  <c:v>44.12694958988412</c:v>
                </c:pt>
                <c:pt idx="341">
                  <c:v>27.808803048719327</c:v>
                </c:pt>
                <c:pt idx="342">
                  <c:v>91.277910775256302</c:v>
                </c:pt>
                <c:pt idx="343">
                  <c:v>28.562330736883048</c:v>
                </c:pt>
                <c:pt idx="344">
                  <c:v>89.979491972525281</c:v>
                </c:pt>
                <c:pt idx="345">
                  <c:v>70.1402678833865</c:v>
                </c:pt>
                <c:pt idx="346">
                  <c:v>99.948024037776008</c:v>
                </c:pt>
                <c:pt idx="347">
                  <c:v>43.953849984248528</c:v>
                </c:pt>
                <c:pt idx="349">
                  <c:v>48.897284718064938</c:v>
                </c:pt>
                <c:pt idx="350">
                  <c:v>52.875404188008794</c:v>
                </c:pt>
                <c:pt idx="351">
                  <c:v>604.83575392946921</c:v>
                </c:pt>
                <c:pt idx="352">
                  <c:v>61.441227912681583</c:v>
                </c:pt>
                <c:pt idx="353">
                  <c:v>86.395167456995466</c:v>
                </c:pt>
                <c:pt idx="354">
                  <c:v>65.268142992853754</c:v>
                </c:pt>
                <c:pt idx="355">
                  <c:v>96.181121162669783</c:v>
                </c:pt>
                <c:pt idx="356">
                  <c:v>52.506578477101428</c:v>
                </c:pt>
                <c:pt idx="357">
                  <c:v>33.982799030669277</c:v>
                </c:pt>
                <c:pt idx="358">
                  <c:v>51.151182373349883</c:v>
                </c:pt>
                <c:pt idx="359">
                  <c:v>20.567345021949677</c:v>
                </c:pt>
                <c:pt idx="361">
                  <c:v>36.072907174841795</c:v>
                </c:pt>
                <c:pt idx="362">
                  <c:v>23.567047418731519</c:v>
                </c:pt>
                <c:pt idx="363">
                  <c:v>74.754828885544597</c:v>
                </c:pt>
                <c:pt idx="364">
                  <c:v>25.831876149732402</c:v>
                </c:pt>
                <c:pt idx="365">
                  <c:v>53.438726840553088</c:v>
                </c:pt>
                <c:pt idx="366">
                  <c:v>33.068355979452519</c:v>
                </c:pt>
                <c:pt idx="367">
                  <c:v>28.991762174081039</c:v>
                </c:pt>
                <c:pt idx="368">
                  <c:v>42.007910524729951</c:v>
                </c:pt>
                <c:pt idx="369">
                  <c:v>98.048153532532197</c:v>
                </c:pt>
                <c:pt idx="370">
                  <c:v>86.111224928044422</c:v>
                </c:pt>
                <c:pt idx="371">
                  <c:v>107.03418054750895</c:v>
                </c:pt>
                <c:pt idx="372">
                  <c:v>91.266571863170682</c:v>
                </c:pt>
                <c:pt idx="373">
                  <c:v>35.399452050866167</c:v>
                </c:pt>
                <c:pt idx="374">
                  <c:v>66.594806151063665</c:v>
                </c:pt>
                <c:pt idx="375">
                  <c:v>47.969151904617775</c:v>
                </c:pt>
                <c:pt idx="376">
                  <c:v>30.388561073430481</c:v>
                </c:pt>
                <c:pt idx="377">
                  <c:v>24.497112436790278</c:v>
                </c:pt>
                <c:pt idx="378">
                  <c:v>38.830660951868609</c:v>
                </c:pt>
                <c:pt idx="379">
                  <c:v>74.67435321258165</c:v>
                </c:pt>
                <c:pt idx="380">
                  <c:v>93.223195230341915</c:v>
                </c:pt>
                <c:pt idx="381">
                  <c:v>35.064201993368513</c:v>
                </c:pt>
                <c:pt idx="382">
                  <c:v>33.347886256446209</c:v>
                </c:pt>
                <c:pt idx="383">
                  <c:v>65.559780681486075</c:v>
                </c:pt>
                <c:pt idx="384">
                  <c:v>82.455944333730287</c:v>
                </c:pt>
                <c:pt idx="385">
                  <c:v>78.994515314169774</c:v>
                </c:pt>
                <c:pt idx="386">
                  <c:v>31.687725243305618</c:v>
                </c:pt>
                <c:pt idx="387">
                  <c:v>36.914500639912895</c:v>
                </c:pt>
                <c:pt idx="388">
                  <c:v>28.012399800541353</c:v>
                </c:pt>
                <c:pt idx="389">
                  <c:v>25.605495657695158</c:v>
                </c:pt>
                <c:pt idx="390">
                  <c:v>70.984172523041906</c:v>
                </c:pt>
                <c:pt idx="391">
                  <c:v>68.344353585718309</c:v>
                </c:pt>
                <c:pt idx="392">
                  <c:v>33.000885223796502</c:v>
                </c:pt>
                <c:pt idx="394">
                  <c:v>40.664034330207379</c:v>
                </c:pt>
                <c:pt idx="395">
                  <c:v>93.340480249499734</c:v>
                </c:pt>
                <c:pt idx="396">
                  <c:v>62.644423207576892</c:v>
                </c:pt>
                <c:pt idx="397">
                  <c:v>94.126830657470492</c:v>
                </c:pt>
                <c:pt idx="398">
                  <c:v>71.842425444417131</c:v>
                </c:pt>
                <c:pt idx="399">
                  <c:v>78.609015939231895</c:v>
                </c:pt>
                <c:pt idx="400">
                  <c:v>744.20055066429927</c:v>
                </c:pt>
                <c:pt idx="401">
                  <c:v>52.028530147186451</c:v>
                </c:pt>
                <c:pt idx="402">
                  <c:v>84.409536700373195</c:v>
                </c:pt>
                <c:pt idx="403">
                  <c:v>31.444956217872189</c:v>
                </c:pt>
                <c:pt idx="404">
                  <c:v>60.257633188690754</c:v>
                </c:pt>
                <c:pt idx="405">
                  <c:v>70.146632353205376</c:v>
                </c:pt>
                <c:pt idx="406">
                  <c:v>88.262783885376152</c:v>
                </c:pt>
                <c:pt idx="407">
                  <c:v>28.345046988150571</c:v>
                </c:pt>
                <c:pt idx="408">
                  <c:v>23.944718968785974</c:v>
                </c:pt>
                <c:pt idx="410">
                  <c:v>25.222140605317112</c:v>
                </c:pt>
                <c:pt idx="411">
                  <c:v>76.119928117213277</c:v>
                </c:pt>
                <c:pt idx="412">
                  <c:v>48.422717938953809</c:v>
                </c:pt>
                <c:pt idx="413">
                  <c:v>55.923020829596936</c:v>
                </c:pt>
                <c:pt idx="414">
                  <c:v>28.150301131164525</c:v>
                </c:pt>
                <c:pt idx="415">
                  <c:v>34.927207749853402</c:v>
                </c:pt>
                <c:pt idx="416">
                  <c:v>67.70771979974208</c:v>
                </c:pt>
                <c:pt idx="417">
                  <c:v>74.095659708523129</c:v>
                </c:pt>
                <c:pt idx="418">
                  <c:v>79.801650939720389</c:v>
                </c:pt>
                <c:pt idx="419">
                  <c:v>59.549664883660647</c:v>
                </c:pt>
                <c:pt idx="420">
                  <c:v>67.49476959269866</c:v>
                </c:pt>
                <c:pt idx="421">
                  <c:v>41.254845189301079</c:v>
                </c:pt>
                <c:pt idx="422">
                  <c:v>44.298803698007951</c:v>
                </c:pt>
                <c:pt idx="423">
                  <c:v>93.898511670142085</c:v>
                </c:pt>
                <c:pt idx="424">
                  <c:v>86.591283336152628</c:v>
                </c:pt>
                <c:pt idx="425">
                  <c:v>92.815689931575719</c:v>
                </c:pt>
                <c:pt idx="426">
                  <c:v>40.226992055223143</c:v>
                </c:pt>
                <c:pt idx="427">
                  <c:v>85.84028595575478</c:v>
                </c:pt>
                <c:pt idx="428">
                  <c:v>41.213659294668446</c:v>
                </c:pt>
                <c:pt idx="429">
                  <c:v>41.737407911854376</c:v>
                </c:pt>
                <c:pt idx="430">
                  <c:v>24.530044590204643</c:v>
                </c:pt>
                <c:pt idx="432">
                  <c:v>70.401494449506188</c:v>
                </c:pt>
                <c:pt idx="433">
                  <c:v>96.779657716957544</c:v>
                </c:pt>
                <c:pt idx="434">
                  <c:v>53.814929572594053</c:v>
                </c:pt>
                <c:pt idx="435">
                  <c:v>89.360928552848037</c:v>
                </c:pt>
                <c:pt idx="436">
                  <c:v>84.065447988780022</c:v>
                </c:pt>
                <c:pt idx="437">
                  <c:v>70.523550294092828</c:v>
                </c:pt>
                <c:pt idx="438">
                  <c:v>76.833745200992936</c:v>
                </c:pt>
                <c:pt idx="442">
                  <c:v>95.772234880508378</c:v>
                </c:pt>
                <c:pt idx="443">
                  <c:v>88.01061877480295</c:v>
                </c:pt>
                <c:pt idx="444">
                  <c:v>21.12116140208456</c:v>
                </c:pt>
                <c:pt idx="445">
                  <c:v>81.211907988901118</c:v>
                </c:pt>
                <c:pt idx="446">
                  <c:v>40.255912561024815</c:v>
                </c:pt>
                <c:pt idx="447">
                  <c:v>88.492289759572827</c:v>
                </c:pt>
                <c:pt idx="448">
                  <c:v>31.64123862298873</c:v>
                </c:pt>
                <c:pt idx="449">
                  <c:v>40.598337319397544</c:v>
                </c:pt>
                <c:pt idx="450">
                  <c:v>47.276957891439082</c:v>
                </c:pt>
                <c:pt idx="451">
                  <c:v>85.747145820232205</c:v>
                </c:pt>
                <c:pt idx="452">
                  <c:v>56.747492447516514</c:v>
                </c:pt>
                <c:pt idx="453">
                  <c:v>74.60093840929602</c:v>
                </c:pt>
                <c:pt idx="454">
                  <c:v>56.744295057045903</c:v>
                </c:pt>
                <c:pt idx="455">
                  <c:v>92.889640111356599</c:v>
                </c:pt>
                <c:pt idx="456">
                  <c:v>35.058575981523646</c:v>
                </c:pt>
                <c:pt idx="457">
                  <c:v>41.937031129931761</c:v>
                </c:pt>
                <c:pt idx="458">
                  <c:v>88.688008558599861</c:v>
                </c:pt>
                <c:pt idx="459">
                  <c:v>88.068220585767634</c:v>
                </c:pt>
                <c:pt idx="460">
                  <c:v>93.186795999750245</c:v>
                </c:pt>
                <c:pt idx="461">
                  <c:v>80.3861966689865</c:v>
                </c:pt>
                <c:pt idx="462">
                  <c:v>91.66525852481557</c:v>
                </c:pt>
                <c:pt idx="463">
                  <c:v>27.441392741013999</c:v>
                </c:pt>
                <c:pt idx="464">
                  <c:v>85.71770022209526</c:v>
                </c:pt>
                <c:pt idx="466">
                  <c:v>50.626671581474824</c:v>
                </c:pt>
                <c:pt idx="467">
                  <c:v>25.382769033721164</c:v>
                </c:pt>
                <c:pt idx="468">
                  <c:v>38.80250390495349</c:v>
                </c:pt>
                <c:pt idx="469">
                  <c:v>73.028783010773253</c:v>
                </c:pt>
                <c:pt idx="470">
                  <c:v>135.54171172643728</c:v>
                </c:pt>
                <c:pt idx="471">
                  <c:v>29.630251960442706</c:v>
                </c:pt>
                <c:pt idx="472">
                  <c:v>48.923215021036526</c:v>
                </c:pt>
                <c:pt idx="473">
                  <c:v>53.390635344037861</c:v>
                </c:pt>
                <c:pt idx="474">
                  <c:v>88.126512001378984</c:v>
                </c:pt>
                <c:pt idx="475">
                  <c:v>77.445452896068872</c:v>
                </c:pt>
                <c:pt idx="477">
                  <c:v>56.090405583827312</c:v>
                </c:pt>
                <c:pt idx="478">
                  <c:v>63.435235559146221</c:v>
                </c:pt>
                <c:pt idx="479">
                  <c:v>53.513889983433494</c:v>
                </c:pt>
                <c:pt idx="480">
                  <c:v>77.404910611882855</c:v>
                </c:pt>
                <c:pt idx="481">
                  <c:v>36.966498998190218</c:v>
                </c:pt>
                <c:pt idx="482">
                  <c:v>31.728664028800253</c:v>
                </c:pt>
                <c:pt idx="483">
                  <c:v>52.51701743616578</c:v>
                </c:pt>
                <c:pt idx="484">
                  <c:v>43.132026756332074</c:v>
                </c:pt>
                <c:pt idx="485">
                  <c:v>65.348674663527575</c:v>
                </c:pt>
                <c:pt idx="486">
                  <c:v>58.823250724937225</c:v>
                </c:pt>
                <c:pt idx="487">
                  <c:v>84.2954761501842</c:v>
                </c:pt>
                <c:pt idx="488">
                  <c:v>27.939013193574482</c:v>
                </c:pt>
              </c:numCache>
            </c:numRef>
          </c:val>
          <c:smooth val="0"/>
          <c:extLst>
            <c:ext xmlns:c16="http://schemas.microsoft.com/office/drawing/2014/chart" uri="{C3380CC4-5D6E-409C-BE32-E72D297353CC}">
              <c16:uniqueId val="{00000001-64CB-4BD6-89B4-3F7ACCEE4B40}"/>
            </c:ext>
          </c:extLst>
        </c:ser>
        <c:dLbls>
          <c:showLegendKey val="0"/>
          <c:showVal val="0"/>
          <c:showCatName val="0"/>
          <c:showSerName val="0"/>
          <c:showPercent val="0"/>
          <c:showBubbleSize val="0"/>
        </c:dLbls>
        <c:marker val="1"/>
        <c:smooth val="0"/>
        <c:axId val="656261600"/>
        <c:axId val="656269760"/>
      </c:lineChart>
      <c:catAx>
        <c:axId val="65626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274560"/>
        <c:crosses val="autoZero"/>
        <c:auto val="1"/>
        <c:lblAlgn val="ctr"/>
        <c:lblOffset val="100"/>
        <c:noMultiLvlLbl val="0"/>
      </c:catAx>
      <c:valAx>
        <c:axId val="65627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268320"/>
        <c:crosses val="autoZero"/>
        <c:crossBetween val="between"/>
      </c:valAx>
      <c:valAx>
        <c:axId val="65626976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261600"/>
        <c:crosses val="max"/>
        <c:crossBetween val="between"/>
      </c:valAx>
      <c:catAx>
        <c:axId val="656261600"/>
        <c:scaling>
          <c:orientation val="minMax"/>
        </c:scaling>
        <c:delete val="1"/>
        <c:axPos val="b"/>
        <c:numFmt formatCode="General" sourceLinked="1"/>
        <c:majorTickMark val="none"/>
        <c:minorTickMark val="none"/>
        <c:tickLblPos val="nextTo"/>
        <c:crossAx val="6562697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[Automotive_market_Demand_Forecasting_Dataset_Analysis.xlsx]Pivot-Unit_Sold by time!PivotTable1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Unit_Sold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'Pivot-Unit_Sold by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'Pivot-Unit_Sold by time'!$A$4:$A$505</c:f>
              <c:multiLvlStrCache>
                <c:ptCount val="489"/>
                <c:lvl>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2016</c:v>
                  </c:pt>
                  <c:pt idx="42">
                    <c:v>2017</c:v>
                  </c:pt>
                  <c:pt idx="43">
                    <c:v>2018</c:v>
                  </c:pt>
                  <c:pt idx="44">
                    <c:v>2019</c:v>
                  </c:pt>
                  <c:pt idx="45">
                    <c:v>2020</c:v>
                  </c:pt>
                  <c:pt idx="46">
                    <c:v>2021</c:v>
                  </c:pt>
                  <c:pt idx="47">
                    <c:v>2022</c:v>
                  </c:pt>
                  <c:pt idx="48">
                    <c:v>2023</c:v>
                  </c:pt>
                  <c:pt idx="49">
                    <c:v>2024</c:v>
                  </c:pt>
                  <c:pt idx="50">
                    <c:v>2025</c:v>
                  </c:pt>
                  <c:pt idx="51">
                    <c:v>2026</c:v>
                  </c:pt>
                  <c:pt idx="52">
                    <c:v>2027</c:v>
                  </c:pt>
                  <c:pt idx="53">
                    <c:v>2028</c:v>
                  </c:pt>
                  <c:pt idx="54">
                    <c:v>2029</c:v>
                  </c:pt>
                  <c:pt idx="55">
                    <c:v>2030</c:v>
                  </c:pt>
                  <c:pt idx="56">
                    <c:v>2031</c:v>
                  </c:pt>
                  <c:pt idx="57">
                    <c:v>2032</c:v>
                  </c:pt>
                  <c:pt idx="58">
                    <c:v>2033</c:v>
                  </c:pt>
                  <c:pt idx="59">
                    <c:v>2034</c:v>
                  </c:pt>
                  <c:pt idx="60">
                    <c:v>2035</c:v>
                  </c:pt>
                  <c:pt idx="61">
                    <c:v>2036</c:v>
                  </c:pt>
                  <c:pt idx="62">
                    <c:v>2037</c:v>
                  </c:pt>
                  <c:pt idx="63">
                    <c:v>2039</c:v>
                  </c:pt>
                  <c:pt idx="64">
                    <c:v>2040</c:v>
                  </c:pt>
                  <c:pt idx="65">
                    <c:v>2041</c:v>
                  </c:pt>
                  <c:pt idx="66">
                    <c:v>2042</c:v>
                  </c:pt>
                  <c:pt idx="67">
                    <c:v>2043</c:v>
                  </c:pt>
                  <c:pt idx="68">
                    <c:v>2044</c:v>
                  </c:pt>
                  <c:pt idx="69">
                    <c:v>2045</c:v>
                  </c:pt>
                  <c:pt idx="70">
                    <c:v>2046</c:v>
                  </c:pt>
                  <c:pt idx="71">
                    <c:v>2047</c:v>
                  </c:pt>
                  <c:pt idx="72">
                    <c:v>2048</c:v>
                  </c:pt>
                  <c:pt idx="73">
                    <c:v>2049</c:v>
                  </c:pt>
                  <c:pt idx="74">
                    <c:v>2050</c:v>
                  </c:pt>
                  <c:pt idx="75">
                    <c:v>2051</c:v>
                  </c:pt>
                  <c:pt idx="76">
                    <c:v>2052</c:v>
                  </c:pt>
                  <c:pt idx="77">
                    <c:v>2053</c:v>
                  </c:pt>
                  <c:pt idx="78">
                    <c:v>2054</c:v>
                  </c:pt>
                  <c:pt idx="79">
                    <c:v>2015</c:v>
                  </c:pt>
                  <c:pt idx="80">
                    <c:v>2016</c:v>
                  </c:pt>
                  <c:pt idx="81">
                    <c:v>2017</c:v>
                  </c:pt>
                  <c:pt idx="82">
                    <c:v>2018</c:v>
                  </c:pt>
                  <c:pt idx="83">
                    <c:v>2019</c:v>
                  </c:pt>
                  <c:pt idx="84">
                    <c:v>2020</c:v>
                  </c:pt>
                  <c:pt idx="85">
                    <c:v>2021</c:v>
                  </c:pt>
                  <c:pt idx="86">
                    <c:v>2022</c:v>
                  </c:pt>
                  <c:pt idx="87">
                    <c:v>2023</c:v>
                  </c:pt>
                  <c:pt idx="88">
                    <c:v>2024</c:v>
                  </c:pt>
                  <c:pt idx="89">
                    <c:v>2025</c:v>
                  </c:pt>
                  <c:pt idx="90">
                    <c:v>2026</c:v>
                  </c:pt>
                  <c:pt idx="91">
                    <c:v>2027</c:v>
                  </c:pt>
                  <c:pt idx="92">
                    <c:v>2028</c:v>
                  </c:pt>
                  <c:pt idx="93">
                    <c:v>2029</c:v>
                  </c:pt>
                  <c:pt idx="94">
                    <c:v>2030</c:v>
                  </c:pt>
                  <c:pt idx="95">
                    <c:v>2031</c:v>
                  </c:pt>
                  <c:pt idx="96">
                    <c:v>2032</c:v>
                  </c:pt>
                  <c:pt idx="97">
                    <c:v>2033</c:v>
                  </c:pt>
                  <c:pt idx="98">
                    <c:v>2034</c:v>
                  </c:pt>
                  <c:pt idx="99">
                    <c:v>2035</c:v>
                  </c:pt>
                  <c:pt idx="100">
                    <c:v>2036</c:v>
                  </c:pt>
                  <c:pt idx="101">
                    <c:v>2037</c:v>
                  </c:pt>
                  <c:pt idx="102">
                    <c:v>2038</c:v>
                  </c:pt>
                  <c:pt idx="103">
                    <c:v>2039</c:v>
                  </c:pt>
                  <c:pt idx="104">
                    <c:v>2040</c:v>
                  </c:pt>
                  <c:pt idx="105">
                    <c:v>2041</c:v>
                  </c:pt>
                  <c:pt idx="106">
                    <c:v>2042</c:v>
                  </c:pt>
                  <c:pt idx="107">
                    <c:v>2043</c:v>
                  </c:pt>
                  <c:pt idx="108">
                    <c:v>2044</c:v>
                  </c:pt>
                  <c:pt idx="109">
                    <c:v>2045</c:v>
                  </c:pt>
                  <c:pt idx="110">
                    <c:v>2046</c:v>
                  </c:pt>
                  <c:pt idx="111">
                    <c:v>2047</c:v>
                  </c:pt>
                  <c:pt idx="112">
                    <c:v>2048</c:v>
                  </c:pt>
                  <c:pt idx="113">
                    <c:v>2049</c:v>
                  </c:pt>
                  <c:pt idx="114">
                    <c:v>2050</c:v>
                  </c:pt>
                  <c:pt idx="115">
                    <c:v>2051</c:v>
                  </c:pt>
                  <c:pt idx="116">
                    <c:v>2052</c:v>
                  </c:pt>
                  <c:pt idx="117">
                    <c:v>2053</c:v>
                  </c:pt>
                  <c:pt idx="118">
                    <c:v>2054</c:v>
                  </c:pt>
                  <c:pt idx="119">
                    <c:v>2055</c:v>
                  </c:pt>
                  <c:pt idx="120">
                    <c:v>2015</c:v>
                  </c:pt>
                  <c:pt idx="121">
                    <c:v>2016</c:v>
                  </c:pt>
                  <c:pt idx="122">
                    <c:v>2017</c:v>
                  </c:pt>
                  <c:pt idx="123">
                    <c:v>2018</c:v>
                  </c:pt>
                  <c:pt idx="124">
                    <c:v>2019</c:v>
                  </c:pt>
                  <c:pt idx="125">
                    <c:v>2020</c:v>
                  </c:pt>
                  <c:pt idx="126">
                    <c:v>2021</c:v>
                  </c:pt>
                  <c:pt idx="127">
                    <c:v>2022</c:v>
                  </c:pt>
                  <c:pt idx="128">
                    <c:v>2023</c:v>
                  </c:pt>
                  <c:pt idx="129">
                    <c:v>2024</c:v>
                  </c:pt>
                  <c:pt idx="130">
                    <c:v>2025</c:v>
                  </c:pt>
                  <c:pt idx="131">
                    <c:v>2026</c:v>
                  </c:pt>
                  <c:pt idx="132">
                    <c:v>2027</c:v>
                  </c:pt>
                  <c:pt idx="133">
                    <c:v>2028</c:v>
                  </c:pt>
                  <c:pt idx="134">
                    <c:v>2029</c:v>
                  </c:pt>
                  <c:pt idx="135">
                    <c:v>2030</c:v>
                  </c:pt>
                  <c:pt idx="136">
                    <c:v>2031</c:v>
                  </c:pt>
                  <c:pt idx="137">
                    <c:v>2032</c:v>
                  </c:pt>
                  <c:pt idx="138">
                    <c:v>2033</c:v>
                  </c:pt>
                  <c:pt idx="139">
                    <c:v>2034</c:v>
                  </c:pt>
                  <c:pt idx="140">
                    <c:v>2035</c:v>
                  </c:pt>
                  <c:pt idx="141">
                    <c:v>2036</c:v>
                  </c:pt>
                  <c:pt idx="142">
                    <c:v>2037</c:v>
                  </c:pt>
                  <c:pt idx="143">
                    <c:v>2038</c:v>
                  </c:pt>
                  <c:pt idx="144">
                    <c:v>2039</c:v>
                  </c:pt>
                  <c:pt idx="145">
                    <c:v>2040</c:v>
                  </c:pt>
                  <c:pt idx="146">
                    <c:v>2041</c:v>
                  </c:pt>
                  <c:pt idx="147">
                    <c:v>2042</c:v>
                  </c:pt>
                  <c:pt idx="148">
                    <c:v>2043</c:v>
                  </c:pt>
                  <c:pt idx="149">
                    <c:v>2044</c:v>
                  </c:pt>
                  <c:pt idx="150">
                    <c:v>2045</c:v>
                  </c:pt>
                  <c:pt idx="151">
                    <c:v>2046</c:v>
                  </c:pt>
                  <c:pt idx="152">
                    <c:v>2047</c:v>
                  </c:pt>
                  <c:pt idx="153">
                    <c:v>2048</c:v>
                  </c:pt>
                  <c:pt idx="154">
                    <c:v>2049</c:v>
                  </c:pt>
                  <c:pt idx="155">
                    <c:v>2050</c:v>
                  </c:pt>
                  <c:pt idx="156">
                    <c:v>2051</c:v>
                  </c:pt>
                  <c:pt idx="157">
                    <c:v>2052</c:v>
                  </c:pt>
                  <c:pt idx="158">
                    <c:v>2053</c:v>
                  </c:pt>
                  <c:pt idx="159">
                    <c:v>2054</c:v>
                  </c:pt>
                  <c:pt idx="160">
                    <c:v>2055</c:v>
                  </c:pt>
                  <c:pt idx="161">
                    <c:v>2015</c:v>
                  </c:pt>
                  <c:pt idx="162">
                    <c:v>2016</c:v>
                  </c:pt>
                  <c:pt idx="163">
                    <c:v>2017</c:v>
                  </c:pt>
                  <c:pt idx="164">
                    <c:v>2018</c:v>
                  </c:pt>
                  <c:pt idx="165">
                    <c:v>2019</c:v>
                  </c:pt>
                  <c:pt idx="166">
                    <c:v>2020</c:v>
                  </c:pt>
                  <c:pt idx="167">
                    <c:v>2021</c:v>
                  </c:pt>
                  <c:pt idx="168">
                    <c:v>2022</c:v>
                  </c:pt>
                  <c:pt idx="169">
                    <c:v>2023</c:v>
                  </c:pt>
                  <c:pt idx="170">
                    <c:v>2024</c:v>
                  </c:pt>
                  <c:pt idx="171">
                    <c:v>2025</c:v>
                  </c:pt>
                  <c:pt idx="172">
                    <c:v>2026</c:v>
                  </c:pt>
                  <c:pt idx="173">
                    <c:v>2027</c:v>
                  </c:pt>
                  <c:pt idx="174">
                    <c:v>2028</c:v>
                  </c:pt>
                  <c:pt idx="175">
                    <c:v>2029</c:v>
                  </c:pt>
                  <c:pt idx="176">
                    <c:v>2030</c:v>
                  </c:pt>
                  <c:pt idx="177">
                    <c:v>2031</c:v>
                  </c:pt>
                  <c:pt idx="178">
                    <c:v>2032</c:v>
                  </c:pt>
                  <c:pt idx="179">
                    <c:v>2033</c:v>
                  </c:pt>
                  <c:pt idx="180">
                    <c:v>2034</c:v>
                  </c:pt>
                  <c:pt idx="181">
                    <c:v>2035</c:v>
                  </c:pt>
                  <c:pt idx="182">
                    <c:v>2036</c:v>
                  </c:pt>
                  <c:pt idx="183">
                    <c:v>2037</c:v>
                  </c:pt>
                  <c:pt idx="184">
                    <c:v>2038</c:v>
                  </c:pt>
                  <c:pt idx="185">
                    <c:v>2039</c:v>
                  </c:pt>
                  <c:pt idx="186">
                    <c:v>2040</c:v>
                  </c:pt>
                  <c:pt idx="187">
                    <c:v>2041</c:v>
                  </c:pt>
                  <c:pt idx="188">
                    <c:v>2042</c:v>
                  </c:pt>
                  <c:pt idx="189">
                    <c:v>2043</c:v>
                  </c:pt>
                  <c:pt idx="190">
                    <c:v>2044</c:v>
                  </c:pt>
                  <c:pt idx="191">
                    <c:v>2045</c:v>
                  </c:pt>
                  <c:pt idx="192">
                    <c:v>2046</c:v>
                  </c:pt>
                  <c:pt idx="193">
                    <c:v>2047</c:v>
                  </c:pt>
                  <c:pt idx="194">
                    <c:v>2048</c:v>
                  </c:pt>
                  <c:pt idx="195">
                    <c:v>2049</c:v>
                  </c:pt>
                  <c:pt idx="196">
                    <c:v>2050</c:v>
                  </c:pt>
                  <c:pt idx="197">
                    <c:v>2051</c:v>
                  </c:pt>
                  <c:pt idx="198">
                    <c:v>2052</c:v>
                  </c:pt>
                  <c:pt idx="199">
                    <c:v>2053</c:v>
                  </c:pt>
                  <c:pt idx="200">
                    <c:v>2054</c:v>
                  </c:pt>
                  <c:pt idx="201">
                    <c:v>2055</c:v>
                  </c:pt>
                  <c:pt idx="202">
                    <c:v>2015</c:v>
                  </c:pt>
                  <c:pt idx="203">
                    <c:v>2016</c:v>
                  </c:pt>
                  <c:pt idx="204">
                    <c:v>2017</c:v>
                  </c:pt>
                  <c:pt idx="205">
                    <c:v>2018</c:v>
                  </c:pt>
                  <c:pt idx="206">
                    <c:v>2019</c:v>
                  </c:pt>
                  <c:pt idx="207">
                    <c:v>2020</c:v>
                  </c:pt>
                  <c:pt idx="208">
                    <c:v>2021</c:v>
                  </c:pt>
                  <c:pt idx="209">
                    <c:v>2022</c:v>
                  </c:pt>
                  <c:pt idx="210">
                    <c:v>2023</c:v>
                  </c:pt>
                  <c:pt idx="211">
                    <c:v>2024</c:v>
                  </c:pt>
                  <c:pt idx="212">
                    <c:v>2025</c:v>
                  </c:pt>
                  <c:pt idx="213">
                    <c:v>2026</c:v>
                  </c:pt>
                  <c:pt idx="214">
                    <c:v>2027</c:v>
                  </c:pt>
                  <c:pt idx="215">
                    <c:v>2028</c:v>
                  </c:pt>
                  <c:pt idx="216">
                    <c:v>2029</c:v>
                  </c:pt>
                  <c:pt idx="217">
                    <c:v>2030</c:v>
                  </c:pt>
                  <c:pt idx="218">
                    <c:v>2031</c:v>
                  </c:pt>
                  <c:pt idx="219">
                    <c:v>2032</c:v>
                  </c:pt>
                  <c:pt idx="220">
                    <c:v>2033</c:v>
                  </c:pt>
                  <c:pt idx="221">
                    <c:v>2034</c:v>
                  </c:pt>
                  <c:pt idx="222">
                    <c:v>2035</c:v>
                  </c:pt>
                  <c:pt idx="223">
                    <c:v>2036</c:v>
                  </c:pt>
                  <c:pt idx="224">
                    <c:v>2037</c:v>
                  </c:pt>
                  <c:pt idx="225">
                    <c:v>2038</c:v>
                  </c:pt>
                  <c:pt idx="226">
                    <c:v>2039</c:v>
                  </c:pt>
                  <c:pt idx="227">
                    <c:v>2040</c:v>
                  </c:pt>
                  <c:pt idx="228">
                    <c:v>2041</c:v>
                  </c:pt>
                  <c:pt idx="229">
                    <c:v>2042</c:v>
                  </c:pt>
                  <c:pt idx="230">
                    <c:v>2043</c:v>
                  </c:pt>
                  <c:pt idx="231">
                    <c:v>2044</c:v>
                  </c:pt>
                  <c:pt idx="232">
                    <c:v>2045</c:v>
                  </c:pt>
                  <c:pt idx="233">
                    <c:v>2046</c:v>
                  </c:pt>
                  <c:pt idx="234">
                    <c:v>2047</c:v>
                  </c:pt>
                  <c:pt idx="235">
                    <c:v>2048</c:v>
                  </c:pt>
                  <c:pt idx="236">
                    <c:v>2049</c:v>
                  </c:pt>
                  <c:pt idx="237">
                    <c:v>2050</c:v>
                  </c:pt>
                  <c:pt idx="238">
                    <c:v>2051</c:v>
                  </c:pt>
                  <c:pt idx="239">
                    <c:v>2052</c:v>
                  </c:pt>
                  <c:pt idx="240">
                    <c:v>2053</c:v>
                  </c:pt>
                  <c:pt idx="241">
                    <c:v>2054</c:v>
                  </c:pt>
                  <c:pt idx="242">
                    <c:v>2055</c:v>
                  </c:pt>
                  <c:pt idx="243">
                    <c:v>2015</c:v>
                  </c:pt>
                  <c:pt idx="244">
                    <c:v>2016</c:v>
                  </c:pt>
                  <c:pt idx="245">
                    <c:v>2017</c:v>
                  </c:pt>
                  <c:pt idx="246">
                    <c:v>2018</c:v>
                  </c:pt>
                  <c:pt idx="247">
                    <c:v>2019</c:v>
                  </c:pt>
                  <c:pt idx="248">
                    <c:v>2020</c:v>
                  </c:pt>
                  <c:pt idx="249">
                    <c:v>2021</c:v>
                  </c:pt>
                  <c:pt idx="250">
                    <c:v>2022</c:v>
                  </c:pt>
                  <c:pt idx="251">
                    <c:v>2023</c:v>
                  </c:pt>
                  <c:pt idx="252">
                    <c:v>2024</c:v>
                  </c:pt>
                  <c:pt idx="253">
                    <c:v>2025</c:v>
                  </c:pt>
                  <c:pt idx="254">
                    <c:v>2026</c:v>
                  </c:pt>
                  <c:pt idx="255">
                    <c:v>2027</c:v>
                  </c:pt>
                  <c:pt idx="256">
                    <c:v>2028</c:v>
                  </c:pt>
                  <c:pt idx="257">
                    <c:v>2029</c:v>
                  </c:pt>
                  <c:pt idx="258">
                    <c:v>2030</c:v>
                  </c:pt>
                  <c:pt idx="259">
                    <c:v>2031</c:v>
                  </c:pt>
                  <c:pt idx="260">
                    <c:v>2032</c:v>
                  </c:pt>
                  <c:pt idx="261">
                    <c:v>2033</c:v>
                  </c:pt>
                  <c:pt idx="262">
                    <c:v>2034</c:v>
                  </c:pt>
                  <c:pt idx="263">
                    <c:v>2035</c:v>
                  </c:pt>
                  <c:pt idx="264">
                    <c:v>2036</c:v>
                  </c:pt>
                  <c:pt idx="265">
                    <c:v>2037</c:v>
                  </c:pt>
                  <c:pt idx="266">
                    <c:v>2038</c:v>
                  </c:pt>
                  <c:pt idx="267">
                    <c:v>2039</c:v>
                  </c:pt>
                  <c:pt idx="268">
                    <c:v>2040</c:v>
                  </c:pt>
                  <c:pt idx="269">
                    <c:v>2041</c:v>
                  </c:pt>
                  <c:pt idx="270">
                    <c:v>2042</c:v>
                  </c:pt>
                  <c:pt idx="271">
                    <c:v>2043</c:v>
                  </c:pt>
                  <c:pt idx="272">
                    <c:v>2044</c:v>
                  </c:pt>
                  <c:pt idx="273">
                    <c:v>2045</c:v>
                  </c:pt>
                  <c:pt idx="274">
                    <c:v>2046</c:v>
                  </c:pt>
                  <c:pt idx="275">
                    <c:v>2047</c:v>
                  </c:pt>
                  <c:pt idx="276">
                    <c:v>2048</c:v>
                  </c:pt>
                  <c:pt idx="277">
                    <c:v>2049</c:v>
                  </c:pt>
                  <c:pt idx="278">
                    <c:v>2050</c:v>
                  </c:pt>
                  <c:pt idx="279">
                    <c:v>2051</c:v>
                  </c:pt>
                  <c:pt idx="280">
                    <c:v>2052</c:v>
                  </c:pt>
                  <c:pt idx="281">
                    <c:v>2053</c:v>
                  </c:pt>
                  <c:pt idx="282">
                    <c:v>2054</c:v>
                  </c:pt>
                  <c:pt idx="283">
                    <c:v>2055</c:v>
                  </c:pt>
                  <c:pt idx="284">
                    <c:v>2015</c:v>
                  </c:pt>
                  <c:pt idx="285">
                    <c:v>2016</c:v>
                  </c:pt>
                  <c:pt idx="286">
                    <c:v>2017</c:v>
                  </c:pt>
                  <c:pt idx="287">
                    <c:v>2018</c:v>
                  </c:pt>
                  <c:pt idx="288">
                    <c:v>2019</c:v>
                  </c:pt>
                  <c:pt idx="289">
                    <c:v>2020</c:v>
                  </c:pt>
                  <c:pt idx="290">
                    <c:v>2021</c:v>
                  </c:pt>
                  <c:pt idx="291">
                    <c:v>2022</c:v>
                  </c:pt>
                  <c:pt idx="292">
                    <c:v>2023</c:v>
                  </c:pt>
                  <c:pt idx="293">
                    <c:v>2024</c:v>
                  </c:pt>
                  <c:pt idx="294">
                    <c:v>2025</c:v>
                  </c:pt>
                  <c:pt idx="295">
                    <c:v>2026</c:v>
                  </c:pt>
                  <c:pt idx="296">
                    <c:v>2027</c:v>
                  </c:pt>
                  <c:pt idx="297">
                    <c:v>2028</c:v>
                  </c:pt>
                  <c:pt idx="298">
                    <c:v>2029</c:v>
                  </c:pt>
                  <c:pt idx="299">
                    <c:v>2030</c:v>
                  </c:pt>
                  <c:pt idx="300">
                    <c:v>2031</c:v>
                  </c:pt>
                  <c:pt idx="301">
                    <c:v>2032</c:v>
                  </c:pt>
                  <c:pt idx="302">
                    <c:v>2033</c:v>
                  </c:pt>
                  <c:pt idx="303">
                    <c:v>2034</c:v>
                  </c:pt>
                  <c:pt idx="304">
                    <c:v>2035</c:v>
                  </c:pt>
                  <c:pt idx="305">
                    <c:v>2036</c:v>
                  </c:pt>
                  <c:pt idx="306">
                    <c:v>2037</c:v>
                  </c:pt>
                  <c:pt idx="307">
                    <c:v>2038</c:v>
                  </c:pt>
                  <c:pt idx="308">
                    <c:v>2039</c:v>
                  </c:pt>
                  <c:pt idx="309">
                    <c:v>2040</c:v>
                  </c:pt>
                  <c:pt idx="310">
                    <c:v>2041</c:v>
                  </c:pt>
                  <c:pt idx="311">
                    <c:v>2042</c:v>
                  </c:pt>
                  <c:pt idx="312">
                    <c:v>2043</c:v>
                  </c:pt>
                  <c:pt idx="313">
                    <c:v>2044</c:v>
                  </c:pt>
                  <c:pt idx="314">
                    <c:v>2045</c:v>
                  </c:pt>
                  <c:pt idx="315">
                    <c:v>2046</c:v>
                  </c:pt>
                  <c:pt idx="316">
                    <c:v>2047</c:v>
                  </c:pt>
                  <c:pt idx="317">
                    <c:v>2048</c:v>
                  </c:pt>
                  <c:pt idx="318">
                    <c:v>2049</c:v>
                  </c:pt>
                  <c:pt idx="319">
                    <c:v>2050</c:v>
                  </c:pt>
                  <c:pt idx="320">
                    <c:v>2051</c:v>
                  </c:pt>
                  <c:pt idx="321">
                    <c:v>2052</c:v>
                  </c:pt>
                  <c:pt idx="322">
                    <c:v>2053</c:v>
                  </c:pt>
                  <c:pt idx="323">
                    <c:v>2054</c:v>
                  </c:pt>
                  <c:pt idx="324">
                    <c:v>2055</c:v>
                  </c:pt>
                  <c:pt idx="325">
                    <c:v>2015</c:v>
                  </c:pt>
                  <c:pt idx="326">
                    <c:v>2016</c:v>
                  </c:pt>
                  <c:pt idx="327">
                    <c:v>2017</c:v>
                  </c:pt>
                  <c:pt idx="328">
                    <c:v>2018</c:v>
                  </c:pt>
                  <c:pt idx="329">
                    <c:v>2019</c:v>
                  </c:pt>
                  <c:pt idx="330">
                    <c:v>2020</c:v>
                  </c:pt>
                  <c:pt idx="331">
                    <c:v>2021</c:v>
                  </c:pt>
                  <c:pt idx="332">
                    <c:v>2022</c:v>
                  </c:pt>
                  <c:pt idx="333">
                    <c:v>2023</c:v>
                  </c:pt>
                  <c:pt idx="334">
                    <c:v>2024</c:v>
                  </c:pt>
                  <c:pt idx="335">
                    <c:v>2025</c:v>
                  </c:pt>
                  <c:pt idx="336">
                    <c:v>2026</c:v>
                  </c:pt>
                  <c:pt idx="337">
                    <c:v>2027</c:v>
                  </c:pt>
                  <c:pt idx="338">
                    <c:v>2028</c:v>
                  </c:pt>
                  <c:pt idx="339">
                    <c:v>2029</c:v>
                  </c:pt>
                  <c:pt idx="340">
                    <c:v>2030</c:v>
                  </c:pt>
                  <c:pt idx="341">
                    <c:v>2031</c:v>
                  </c:pt>
                  <c:pt idx="342">
                    <c:v>2032</c:v>
                  </c:pt>
                  <c:pt idx="343">
                    <c:v>2033</c:v>
                  </c:pt>
                  <c:pt idx="344">
                    <c:v>2034</c:v>
                  </c:pt>
                  <c:pt idx="345">
                    <c:v>2035</c:v>
                  </c:pt>
                  <c:pt idx="346">
                    <c:v>2036</c:v>
                  </c:pt>
                  <c:pt idx="347">
                    <c:v>2037</c:v>
                  </c:pt>
                  <c:pt idx="348">
                    <c:v>2038</c:v>
                  </c:pt>
                  <c:pt idx="349">
                    <c:v>2039</c:v>
                  </c:pt>
                  <c:pt idx="350">
                    <c:v>2040</c:v>
                  </c:pt>
                  <c:pt idx="351">
                    <c:v>2041</c:v>
                  </c:pt>
                  <c:pt idx="352">
                    <c:v>2042</c:v>
                  </c:pt>
                  <c:pt idx="353">
                    <c:v>2043</c:v>
                  </c:pt>
                  <c:pt idx="354">
                    <c:v>2044</c:v>
                  </c:pt>
                  <c:pt idx="355">
                    <c:v>2045</c:v>
                  </c:pt>
                  <c:pt idx="356">
                    <c:v>2046</c:v>
                  </c:pt>
                  <c:pt idx="357">
                    <c:v>2047</c:v>
                  </c:pt>
                  <c:pt idx="358">
                    <c:v>2048</c:v>
                  </c:pt>
                  <c:pt idx="359">
                    <c:v>2049</c:v>
                  </c:pt>
                  <c:pt idx="360">
                    <c:v>2050</c:v>
                  </c:pt>
                  <c:pt idx="361">
                    <c:v>2051</c:v>
                  </c:pt>
                  <c:pt idx="362">
                    <c:v>2052</c:v>
                  </c:pt>
                  <c:pt idx="363">
                    <c:v>2053</c:v>
                  </c:pt>
                  <c:pt idx="364">
                    <c:v>2054</c:v>
                  </c:pt>
                  <c:pt idx="365">
                    <c:v>2055</c:v>
                  </c:pt>
                  <c:pt idx="366">
                    <c:v>2015</c:v>
                  </c:pt>
                  <c:pt idx="367">
                    <c:v>2016</c:v>
                  </c:pt>
                  <c:pt idx="368">
                    <c:v>2017</c:v>
                  </c:pt>
                  <c:pt idx="369">
                    <c:v>2018</c:v>
                  </c:pt>
                  <c:pt idx="370">
                    <c:v>2019</c:v>
                  </c:pt>
                  <c:pt idx="371">
                    <c:v>2020</c:v>
                  </c:pt>
                  <c:pt idx="372">
                    <c:v>2021</c:v>
                  </c:pt>
                  <c:pt idx="373">
                    <c:v>2022</c:v>
                  </c:pt>
                  <c:pt idx="374">
                    <c:v>2023</c:v>
                  </c:pt>
                  <c:pt idx="375">
                    <c:v>2024</c:v>
                  </c:pt>
                  <c:pt idx="376">
                    <c:v>2025</c:v>
                  </c:pt>
                  <c:pt idx="377">
                    <c:v>2026</c:v>
                  </c:pt>
                  <c:pt idx="378">
                    <c:v>2027</c:v>
                  </c:pt>
                  <c:pt idx="379">
                    <c:v>2028</c:v>
                  </c:pt>
                  <c:pt idx="380">
                    <c:v>2029</c:v>
                  </c:pt>
                  <c:pt idx="381">
                    <c:v>2030</c:v>
                  </c:pt>
                  <c:pt idx="382">
                    <c:v>2031</c:v>
                  </c:pt>
                  <c:pt idx="383">
                    <c:v>2032</c:v>
                  </c:pt>
                  <c:pt idx="384">
                    <c:v>2033</c:v>
                  </c:pt>
                  <c:pt idx="385">
                    <c:v>2034</c:v>
                  </c:pt>
                  <c:pt idx="386">
                    <c:v>2035</c:v>
                  </c:pt>
                  <c:pt idx="387">
                    <c:v>2036</c:v>
                  </c:pt>
                  <c:pt idx="388">
                    <c:v>2037</c:v>
                  </c:pt>
                  <c:pt idx="389">
                    <c:v>2038</c:v>
                  </c:pt>
                  <c:pt idx="390">
                    <c:v>2039</c:v>
                  </c:pt>
                  <c:pt idx="391">
                    <c:v>2040</c:v>
                  </c:pt>
                  <c:pt idx="392">
                    <c:v>2041</c:v>
                  </c:pt>
                  <c:pt idx="393">
                    <c:v>2042</c:v>
                  </c:pt>
                  <c:pt idx="394">
                    <c:v>2043</c:v>
                  </c:pt>
                  <c:pt idx="395">
                    <c:v>2044</c:v>
                  </c:pt>
                  <c:pt idx="396">
                    <c:v>2045</c:v>
                  </c:pt>
                  <c:pt idx="397">
                    <c:v>2046</c:v>
                  </c:pt>
                  <c:pt idx="398">
                    <c:v>2047</c:v>
                  </c:pt>
                  <c:pt idx="399">
                    <c:v>2048</c:v>
                  </c:pt>
                  <c:pt idx="400">
                    <c:v>2049</c:v>
                  </c:pt>
                  <c:pt idx="401">
                    <c:v>2050</c:v>
                  </c:pt>
                  <c:pt idx="402">
                    <c:v>2051</c:v>
                  </c:pt>
                  <c:pt idx="403">
                    <c:v>2052</c:v>
                  </c:pt>
                  <c:pt idx="404">
                    <c:v>2053</c:v>
                  </c:pt>
                  <c:pt idx="405">
                    <c:v>2054</c:v>
                  </c:pt>
                  <c:pt idx="406">
                    <c:v>2055</c:v>
                  </c:pt>
                  <c:pt idx="407">
                    <c:v>2015</c:v>
                  </c:pt>
                  <c:pt idx="408">
                    <c:v>2016</c:v>
                  </c:pt>
                  <c:pt idx="409">
                    <c:v>2017</c:v>
                  </c:pt>
                  <c:pt idx="410">
                    <c:v>2018</c:v>
                  </c:pt>
                  <c:pt idx="411">
                    <c:v>2019</c:v>
                  </c:pt>
                  <c:pt idx="412">
                    <c:v>2020</c:v>
                  </c:pt>
                  <c:pt idx="413">
                    <c:v>2021</c:v>
                  </c:pt>
                  <c:pt idx="414">
                    <c:v>2022</c:v>
                  </c:pt>
                  <c:pt idx="415">
                    <c:v>2023</c:v>
                  </c:pt>
                  <c:pt idx="416">
                    <c:v>2024</c:v>
                  </c:pt>
                  <c:pt idx="417">
                    <c:v>2025</c:v>
                  </c:pt>
                  <c:pt idx="418">
                    <c:v>2026</c:v>
                  </c:pt>
                  <c:pt idx="419">
                    <c:v>2027</c:v>
                  </c:pt>
                  <c:pt idx="420">
                    <c:v>2028</c:v>
                  </c:pt>
                  <c:pt idx="421">
                    <c:v>2029</c:v>
                  </c:pt>
                  <c:pt idx="422">
                    <c:v>2030</c:v>
                  </c:pt>
                  <c:pt idx="423">
                    <c:v>2031</c:v>
                  </c:pt>
                  <c:pt idx="424">
                    <c:v>2032</c:v>
                  </c:pt>
                  <c:pt idx="425">
                    <c:v>2033</c:v>
                  </c:pt>
                  <c:pt idx="426">
                    <c:v>2034</c:v>
                  </c:pt>
                  <c:pt idx="427">
                    <c:v>2035</c:v>
                  </c:pt>
                  <c:pt idx="428">
                    <c:v>2036</c:v>
                  </c:pt>
                  <c:pt idx="429">
                    <c:v>2037</c:v>
                  </c:pt>
                  <c:pt idx="430">
                    <c:v>2038</c:v>
                  </c:pt>
                  <c:pt idx="431">
                    <c:v>2039</c:v>
                  </c:pt>
                  <c:pt idx="432">
                    <c:v>2040</c:v>
                  </c:pt>
                  <c:pt idx="433">
                    <c:v>2041</c:v>
                  </c:pt>
                  <c:pt idx="434">
                    <c:v>2042</c:v>
                  </c:pt>
                  <c:pt idx="435">
                    <c:v>2043</c:v>
                  </c:pt>
                  <c:pt idx="436">
                    <c:v>2044</c:v>
                  </c:pt>
                  <c:pt idx="437">
                    <c:v>2045</c:v>
                  </c:pt>
                  <c:pt idx="438">
                    <c:v>2046</c:v>
                  </c:pt>
                  <c:pt idx="439">
                    <c:v>2047</c:v>
                  </c:pt>
                  <c:pt idx="440">
                    <c:v>2048</c:v>
                  </c:pt>
                  <c:pt idx="441">
                    <c:v>2049</c:v>
                  </c:pt>
                  <c:pt idx="442">
                    <c:v>2050</c:v>
                  </c:pt>
                  <c:pt idx="443">
                    <c:v>2051</c:v>
                  </c:pt>
                  <c:pt idx="444">
                    <c:v>2052</c:v>
                  </c:pt>
                  <c:pt idx="445">
                    <c:v>2053</c:v>
                  </c:pt>
                  <c:pt idx="446">
                    <c:v>2054</c:v>
                  </c:pt>
                  <c:pt idx="447">
                    <c:v>2055</c:v>
                  </c:pt>
                  <c:pt idx="448">
                    <c:v>2015</c:v>
                  </c:pt>
                  <c:pt idx="449">
                    <c:v>2016</c:v>
                  </c:pt>
                  <c:pt idx="450">
                    <c:v>2017</c:v>
                  </c:pt>
                  <c:pt idx="451">
                    <c:v>2018</c:v>
                  </c:pt>
                  <c:pt idx="452">
                    <c:v>2019</c:v>
                  </c:pt>
                  <c:pt idx="453">
                    <c:v>2020</c:v>
                  </c:pt>
                  <c:pt idx="454">
                    <c:v>2021</c:v>
                  </c:pt>
                  <c:pt idx="455">
                    <c:v>2022</c:v>
                  </c:pt>
                  <c:pt idx="456">
                    <c:v>2023</c:v>
                  </c:pt>
                  <c:pt idx="457">
                    <c:v>2024</c:v>
                  </c:pt>
                  <c:pt idx="458">
                    <c:v>2025</c:v>
                  </c:pt>
                  <c:pt idx="459">
                    <c:v>2026</c:v>
                  </c:pt>
                  <c:pt idx="460">
                    <c:v>2027</c:v>
                  </c:pt>
                  <c:pt idx="461">
                    <c:v>2028</c:v>
                  </c:pt>
                  <c:pt idx="462">
                    <c:v>2029</c:v>
                  </c:pt>
                  <c:pt idx="463">
                    <c:v>2030</c:v>
                  </c:pt>
                  <c:pt idx="464">
                    <c:v>2031</c:v>
                  </c:pt>
                  <c:pt idx="465">
                    <c:v>2032</c:v>
                  </c:pt>
                  <c:pt idx="466">
                    <c:v>2033</c:v>
                  </c:pt>
                  <c:pt idx="467">
                    <c:v>2034</c:v>
                  </c:pt>
                  <c:pt idx="468">
                    <c:v>2035</c:v>
                  </c:pt>
                  <c:pt idx="469">
                    <c:v>2036</c:v>
                  </c:pt>
                  <c:pt idx="470">
                    <c:v>2037</c:v>
                  </c:pt>
                  <c:pt idx="471">
                    <c:v>2038</c:v>
                  </c:pt>
                  <c:pt idx="472">
                    <c:v>2039</c:v>
                  </c:pt>
                  <c:pt idx="473">
                    <c:v>2040</c:v>
                  </c:pt>
                  <c:pt idx="474">
                    <c:v>2041</c:v>
                  </c:pt>
                  <c:pt idx="475">
                    <c:v>2042</c:v>
                  </c:pt>
                  <c:pt idx="476">
                    <c:v>2043</c:v>
                  </c:pt>
                  <c:pt idx="477">
                    <c:v>2044</c:v>
                  </c:pt>
                  <c:pt idx="478">
                    <c:v>2045</c:v>
                  </c:pt>
                  <c:pt idx="479">
                    <c:v>2046</c:v>
                  </c:pt>
                  <c:pt idx="480">
                    <c:v>2047</c:v>
                  </c:pt>
                  <c:pt idx="481">
                    <c:v>2048</c:v>
                  </c:pt>
                  <c:pt idx="482">
                    <c:v>2049</c:v>
                  </c:pt>
                  <c:pt idx="483">
                    <c:v>2050</c:v>
                  </c:pt>
                  <c:pt idx="484">
                    <c:v>2051</c:v>
                  </c:pt>
                  <c:pt idx="485">
                    <c:v>2052</c:v>
                  </c:pt>
                  <c:pt idx="486">
                    <c:v>2053</c:v>
                  </c:pt>
                  <c:pt idx="487">
                    <c:v>2054</c:v>
                  </c:pt>
                  <c:pt idx="488">
                    <c:v>2055</c:v>
                  </c:pt>
                </c:lvl>
                <c:lvl>
                  <c:pt idx="0">
                    <c:v>Jan</c:v>
                  </c:pt>
                  <c:pt idx="41">
                    <c:v>Feb</c:v>
                  </c:pt>
                  <c:pt idx="79">
                    <c:v>Mar</c:v>
                  </c:pt>
                  <c:pt idx="120">
                    <c:v>Apr</c:v>
                  </c:pt>
                  <c:pt idx="161">
                    <c:v>May</c:v>
                  </c:pt>
                  <c:pt idx="202">
                    <c:v>Jun</c:v>
                  </c:pt>
                  <c:pt idx="243">
                    <c:v>Jul</c:v>
                  </c:pt>
                  <c:pt idx="284">
                    <c:v>Aug</c:v>
                  </c:pt>
                  <c:pt idx="325">
                    <c:v>Sep</c:v>
                  </c:pt>
                  <c:pt idx="366">
                    <c:v>Oct</c:v>
                  </c:pt>
                  <c:pt idx="407">
                    <c:v>Nov</c:v>
                  </c:pt>
                  <c:pt idx="448">
                    <c:v>Dec</c:v>
                  </c:pt>
                </c:lvl>
              </c:multiLvlStrCache>
            </c:multiLvlStrRef>
          </c:cat>
          <c:val>
            <c:numRef>
              <c:f>'Pivot-Unit_Sold by time'!$B$4:$B$505</c:f>
              <c:numCache>
                <c:formatCode>General</c:formatCode>
                <c:ptCount val="489"/>
                <c:pt idx="0">
                  <c:v>203</c:v>
                </c:pt>
                <c:pt idx="1">
                  <c:v>103</c:v>
                </c:pt>
                <c:pt idx="2">
                  <c:v>93</c:v>
                </c:pt>
                <c:pt idx="3">
                  <c:v>1080</c:v>
                </c:pt>
                <c:pt idx="4">
                  <c:v>94</c:v>
                </c:pt>
                <c:pt idx="5">
                  <c:v>78</c:v>
                </c:pt>
                <c:pt idx="6">
                  <c:v>120</c:v>
                </c:pt>
                <c:pt idx="8">
                  <c:v>102</c:v>
                </c:pt>
                <c:pt idx="9">
                  <c:v>113</c:v>
                </c:pt>
                <c:pt idx="10">
                  <c:v>69</c:v>
                </c:pt>
                <c:pt idx="11">
                  <c:v>88</c:v>
                </c:pt>
                <c:pt idx="12">
                  <c:v>96</c:v>
                </c:pt>
                <c:pt idx="13">
                  <c:v>112</c:v>
                </c:pt>
                <c:pt idx="15">
                  <c:v>98</c:v>
                </c:pt>
                <c:pt idx="16">
                  <c:v>79</c:v>
                </c:pt>
                <c:pt idx="17">
                  <c:v>99</c:v>
                </c:pt>
                <c:pt idx="18">
                  <c:v>97</c:v>
                </c:pt>
                <c:pt idx="19">
                  <c:v>108</c:v>
                </c:pt>
                <c:pt idx="20">
                  <c:v>82</c:v>
                </c:pt>
                <c:pt idx="21">
                  <c:v>104</c:v>
                </c:pt>
                <c:pt idx="22">
                  <c:v>93</c:v>
                </c:pt>
                <c:pt idx="23">
                  <c:v>90</c:v>
                </c:pt>
                <c:pt idx="24">
                  <c:v>88</c:v>
                </c:pt>
                <c:pt idx="25">
                  <c:v>87</c:v>
                </c:pt>
                <c:pt idx="27">
                  <c:v>107</c:v>
                </c:pt>
                <c:pt idx="28">
                  <c:v>119</c:v>
                </c:pt>
                <c:pt idx="29">
                  <c:v>100</c:v>
                </c:pt>
                <c:pt idx="30">
                  <c:v>88</c:v>
                </c:pt>
                <c:pt idx="31">
                  <c:v>91</c:v>
                </c:pt>
                <c:pt idx="32">
                  <c:v>98</c:v>
                </c:pt>
                <c:pt idx="33">
                  <c:v>100</c:v>
                </c:pt>
                <c:pt idx="34">
                  <c:v>107</c:v>
                </c:pt>
                <c:pt idx="35">
                  <c:v>121</c:v>
                </c:pt>
                <c:pt idx="36">
                  <c:v>114</c:v>
                </c:pt>
                <c:pt idx="37">
                  <c:v>75</c:v>
                </c:pt>
                <c:pt idx="38">
                  <c:v>106</c:v>
                </c:pt>
                <c:pt idx="39">
                  <c:v>105</c:v>
                </c:pt>
                <c:pt idx="40">
                  <c:v>89</c:v>
                </c:pt>
                <c:pt idx="41">
                  <c:v>94</c:v>
                </c:pt>
                <c:pt idx="42">
                  <c:v>87</c:v>
                </c:pt>
                <c:pt idx="43">
                  <c:v>108</c:v>
                </c:pt>
                <c:pt idx="44">
                  <c:v>91</c:v>
                </c:pt>
                <c:pt idx="45">
                  <c:v>116</c:v>
                </c:pt>
                <c:pt idx="47">
                  <c:v>85</c:v>
                </c:pt>
                <c:pt idx="48">
                  <c:v>900</c:v>
                </c:pt>
                <c:pt idx="49">
                  <c:v>106</c:v>
                </c:pt>
                <c:pt idx="50">
                  <c:v>111</c:v>
                </c:pt>
                <c:pt idx="51">
                  <c:v>101</c:v>
                </c:pt>
                <c:pt idx="52">
                  <c:v>100</c:v>
                </c:pt>
                <c:pt idx="53">
                  <c:v>110</c:v>
                </c:pt>
                <c:pt idx="54">
                  <c:v>95</c:v>
                </c:pt>
                <c:pt idx="55">
                  <c:v>96</c:v>
                </c:pt>
                <c:pt idx="56">
                  <c:v>86</c:v>
                </c:pt>
                <c:pt idx="57">
                  <c:v>102</c:v>
                </c:pt>
                <c:pt idx="58">
                  <c:v>112</c:v>
                </c:pt>
                <c:pt idx="59">
                  <c:v>1060</c:v>
                </c:pt>
                <c:pt idx="60">
                  <c:v>87</c:v>
                </c:pt>
                <c:pt idx="61">
                  <c:v>80</c:v>
                </c:pt>
                <c:pt idx="62">
                  <c:v>91</c:v>
                </c:pt>
                <c:pt idx="63">
                  <c:v>1010</c:v>
                </c:pt>
                <c:pt idx="64">
                  <c:v>90</c:v>
                </c:pt>
                <c:pt idx="65">
                  <c:v>87</c:v>
                </c:pt>
                <c:pt idx="66">
                  <c:v>106</c:v>
                </c:pt>
                <c:pt idx="67">
                  <c:v>99</c:v>
                </c:pt>
                <c:pt idx="68">
                  <c:v>117</c:v>
                </c:pt>
                <c:pt idx="69">
                  <c:v>960</c:v>
                </c:pt>
                <c:pt idx="70">
                  <c:v>89</c:v>
                </c:pt>
                <c:pt idx="71">
                  <c:v>93</c:v>
                </c:pt>
                <c:pt idx="72">
                  <c:v>89</c:v>
                </c:pt>
                <c:pt idx="73">
                  <c:v>106</c:v>
                </c:pt>
                <c:pt idx="74">
                  <c:v>89</c:v>
                </c:pt>
                <c:pt idx="75">
                  <c:v>92</c:v>
                </c:pt>
                <c:pt idx="76">
                  <c:v>97</c:v>
                </c:pt>
                <c:pt idx="77">
                  <c:v>110</c:v>
                </c:pt>
                <c:pt idx="78">
                  <c:v>112</c:v>
                </c:pt>
                <c:pt idx="79">
                  <c:v>88</c:v>
                </c:pt>
                <c:pt idx="80">
                  <c:v>105</c:v>
                </c:pt>
                <c:pt idx="81">
                  <c:v>108</c:v>
                </c:pt>
                <c:pt idx="82">
                  <c:v>101</c:v>
                </c:pt>
                <c:pt idx="83">
                  <c:v>110</c:v>
                </c:pt>
                <c:pt idx="84">
                  <c:v>88</c:v>
                </c:pt>
                <c:pt idx="85">
                  <c:v>118</c:v>
                </c:pt>
                <c:pt idx="86">
                  <c:v>101</c:v>
                </c:pt>
                <c:pt idx="87">
                  <c:v>93</c:v>
                </c:pt>
                <c:pt idx="88">
                  <c:v>96</c:v>
                </c:pt>
                <c:pt idx="89">
                  <c:v>87</c:v>
                </c:pt>
                <c:pt idx="90">
                  <c:v>105</c:v>
                </c:pt>
                <c:pt idx="91">
                  <c:v>105</c:v>
                </c:pt>
                <c:pt idx="92">
                  <c:v>86</c:v>
                </c:pt>
                <c:pt idx="93">
                  <c:v>97</c:v>
                </c:pt>
                <c:pt idx="94">
                  <c:v>88</c:v>
                </c:pt>
                <c:pt idx="95">
                  <c:v>108</c:v>
                </c:pt>
                <c:pt idx="96">
                  <c:v>106</c:v>
                </c:pt>
                <c:pt idx="97">
                  <c:v>99</c:v>
                </c:pt>
                <c:pt idx="98">
                  <c:v>87</c:v>
                </c:pt>
                <c:pt idx="99">
                  <c:v>87</c:v>
                </c:pt>
                <c:pt idx="100">
                  <c:v>110</c:v>
                </c:pt>
                <c:pt idx="101">
                  <c:v>103</c:v>
                </c:pt>
                <c:pt idx="102">
                  <c:v>169</c:v>
                </c:pt>
                <c:pt idx="103">
                  <c:v>95</c:v>
                </c:pt>
                <c:pt idx="104">
                  <c:v>89</c:v>
                </c:pt>
                <c:pt idx="105">
                  <c:v>103</c:v>
                </c:pt>
                <c:pt idx="106">
                  <c:v>92</c:v>
                </c:pt>
                <c:pt idx="107">
                  <c:v>87</c:v>
                </c:pt>
                <c:pt idx="108">
                  <c:v>102</c:v>
                </c:pt>
                <c:pt idx="109">
                  <c:v>104</c:v>
                </c:pt>
                <c:pt idx="110">
                  <c:v>98</c:v>
                </c:pt>
                <c:pt idx="111">
                  <c:v>104</c:v>
                </c:pt>
                <c:pt idx="112">
                  <c:v>83</c:v>
                </c:pt>
                <c:pt idx="113">
                  <c:v>92</c:v>
                </c:pt>
                <c:pt idx="114">
                  <c:v>117</c:v>
                </c:pt>
                <c:pt idx="115">
                  <c:v>113</c:v>
                </c:pt>
                <c:pt idx="116">
                  <c:v>1090</c:v>
                </c:pt>
                <c:pt idx="117">
                  <c:v>91</c:v>
                </c:pt>
                <c:pt idx="118">
                  <c:v>99</c:v>
                </c:pt>
                <c:pt idx="119">
                  <c:v>111</c:v>
                </c:pt>
                <c:pt idx="120">
                  <c:v>103</c:v>
                </c:pt>
                <c:pt idx="121">
                  <c:v>86</c:v>
                </c:pt>
                <c:pt idx="122">
                  <c:v>106</c:v>
                </c:pt>
                <c:pt idx="123">
                  <c:v>94</c:v>
                </c:pt>
                <c:pt idx="124">
                  <c:v>98</c:v>
                </c:pt>
                <c:pt idx="125">
                  <c:v>105</c:v>
                </c:pt>
                <c:pt idx="126">
                  <c:v>92</c:v>
                </c:pt>
                <c:pt idx="127">
                  <c:v>104</c:v>
                </c:pt>
                <c:pt idx="129">
                  <c:v>110</c:v>
                </c:pt>
                <c:pt idx="130">
                  <c:v>1080</c:v>
                </c:pt>
                <c:pt idx="131">
                  <c:v>102</c:v>
                </c:pt>
                <c:pt idx="132">
                  <c:v>81</c:v>
                </c:pt>
                <c:pt idx="133">
                  <c:v>104</c:v>
                </c:pt>
                <c:pt idx="134">
                  <c:v>116</c:v>
                </c:pt>
                <c:pt idx="135">
                  <c:v>103</c:v>
                </c:pt>
                <c:pt idx="136">
                  <c:v>127</c:v>
                </c:pt>
                <c:pt idx="137">
                  <c:v>94</c:v>
                </c:pt>
                <c:pt idx="138">
                  <c:v>124</c:v>
                </c:pt>
                <c:pt idx="139">
                  <c:v>96</c:v>
                </c:pt>
                <c:pt idx="140">
                  <c:v>90</c:v>
                </c:pt>
                <c:pt idx="141">
                  <c:v>90</c:v>
                </c:pt>
                <c:pt idx="142">
                  <c:v>109</c:v>
                </c:pt>
                <c:pt idx="143">
                  <c:v>110</c:v>
                </c:pt>
                <c:pt idx="144">
                  <c:v>95</c:v>
                </c:pt>
                <c:pt idx="145">
                  <c:v>105</c:v>
                </c:pt>
                <c:pt idx="146">
                  <c:v>115</c:v>
                </c:pt>
                <c:pt idx="147">
                  <c:v>90</c:v>
                </c:pt>
                <c:pt idx="149">
                  <c:v>88</c:v>
                </c:pt>
                <c:pt idx="150">
                  <c:v>106</c:v>
                </c:pt>
                <c:pt idx="151">
                  <c:v>110</c:v>
                </c:pt>
                <c:pt idx="152">
                  <c:v>870</c:v>
                </c:pt>
                <c:pt idx="153">
                  <c:v>92</c:v>
                </c:pt>
                <c:pt idx="154">
                  <c:v>110</c:v>
                </c:pt>
                <c:pt idx="155">
                  <c:v>106</c:v>
                </c:pt>
                <c:pt idx="156">
                  <c:v>113</c:v>
                </c:pt>
                <c:pt idx="157">
                  <c:v>98</c:v>
                </c:pt>
                <c:pt idx="158">
                  <c:v>103</c:v>
                </c:pt>
                <c:pt idx="159">
                  <c:v>111</c:v>
                </c:pt>
                <c:pt idx="160">
                  <c:v>104</c:v>
                </c:pt>
                <c:pt idx="161">
                  <c:v>201</c:v>
                </c:pt>
                <c:pt idx="162">
                  <c:v>92</c:v>
                </c:pt>
                <c:pt idx="163">
                  <c:v>108</c:v>
                </c:pt>
                <c:pt idx="164">
                  <c:v>116</c:v>
                </c:pt>
                <c:pt idx="165">
                  <c:v>86</c:v>
                </c:pt>
                <c:pt idx="166">
                  <c:v>92</c:v>
                </c:pt>
                <c:pt idx="167">
                  <c:v>110</c:v>
                </c:pt>
                <c:pt idx="168">
                  <c:v>106</c:v>
                </c:pt>
                <c:pt idx="169">
                  <c:v>117</c:v>
                </c:pt>
                <c:pt idx="170">
                  <c:v>100</c:v>
                </c:pt>
                <c:pt idx="171">
                  <c:v>104</c:v>
                </c:pt>
                <c:pt idx="172">
                  <c:v>98</c:v>
                </c:pt>
                <c:pt idx="173">
                  <c:v>120</c:v>
                </c:pt>
                <c:pt idx="174">
                  <c:v>107</c:v>
                </c:pt>
                <c:pt idx="175">
                  <c:v>95</c:v>
                </c:pt>
                <c:pt idx="176">
                  <c:v>83</c:v>
                </c:pt>
                <c:pt idx="177">
                  <c:v>93</c:v>
                </c:pt>
                <c:pt idx="178">
                  <c:v>1265</c:v>
                </c:pt>
                <c:pt idx="179">
                  <c:v>91</c:v>
                </c:pt>
                <c:pt idx="180">
                  <c:v>97</c:v>
                </c:pt>
                <c:pt idx="181">
                  <c:v>115</c:v>
                </c:pt>
                <c:pt idx="182">
                  <c:v>96</c:v>
                </c:pt>
                <c:pt idx="183">
                  <c:v>83</c:v>
                </c:pt>
                <c:pt idx="184">
                  <c:v>89</c:v>
                </c:pt>
                <c:pt idx="185">
                  <c:v>92</c:v>
                </c:pt>
                <c:pt idx="186">
                  <c:v>96</c:v>
                </c:pt>
                <c:pt idx="187">
                  <c:v>88</c:v>
                </c:pt>
                <c:pt idx="188">
                  <c:v>102</c:v>
                </c:pt>
                <c:pt idx="189">
                  <c:v>103</c:v>
                </c:pt>
                <c:pt idx="190">
                  <c:v>100</c:v>
                </c:pt>
                <c:pt idx="191">
                  <c:v>91</c:v>
                </c:pt>
                <c:pt idx="192">
                  <c:v>93</c:v>
                </c:pt>
                <c:pt idx="193">
                  <c:v>89</c:v>
                </c:pt>
                <c:pt idx="195">
                  <c:v>93</c:v>
                </c:pt>
                <c:pt idx="196">
                  <c:v>121</c:v>
                </c:pt>
                <c:pt idx="197">
                  <c:v>120</c:v>
                </c:pt>
                <c:pt idx="198">
                  <c:v>121</c:v>
                </c:pt>
                <c:pt idx="199">
                  <c:v>84</c:v>
                </c:pt>
                <c:pt idx="200">
                  <c:v>105</c:v>
                </c:pt>
                <c:pt idx="201">
                  <c:v>109</c:v>
                </c:pt>
                <c:pt idx="202">
                  <c:v>94</c:v>
                </c:pt>
                <c:pt idx="203">
                  <c:v>94</c:v>
                </c:pt>
                <c:pt idx="204">
                  <c:v>96</c:v>
                </c:pt>
                <c:pt idx="205">
                  <c:v>97</c:v>
                </c:pt>
                <c:pt idx="206">
                  <c:v>121</c:v>
                </c:pt>
                <c:pt idx="207">
                  <c:v>96</c:v>
                </c:pt>
                <c:pt idx="208">
                  <c:v>101</c:v>
                </c:pt>
                <c:pt idx="209">
                  <c:v>95</c:v>
                </c:pt>
                <c:pt idx="210">
                  <c:v>98</c:v>
                </c:pt>
                <c:pt idx="212">
                  <c:v>78</c:v>
                </c:pt>
                <c:pt idx="213">
                  <c:v>96</c:v>
                </c:pt>
                <c:pt idx="214">
                  <c:v>97</c:v>
                </c:pt>
                <c:pt idx="215">
                  <c:v>93</c:v>
                </c:pt>
                <c:pt idx="216">
                  <c:v>123</c:v>
                </c:pt>
                <c:pt idx="217">
                  <c:v>82</c:v>
                </c:pt>
                <c:pt idx="218">
                  <c:v>82</c:v>
                </c:pt>
                <c:pt idx="219">
                  <c:v>122</c:v>
                </c:pt>
                <c:pt idx="220">
                  <c:v>103</c:v>
                </c:pt>
                <c:pt idx="221">
                  <c:v>116</c:v>
                </c:pt>
                <c:pt idx="222">
                  <c:v>105</c:v>
                </c:pt>
                <c:pt idx="223">
                  <c:v>103</c:v>
                </c:pt>
                <c:pt idx="224">
                  <c:v>102</c:v>
                </c:pt>
                <c:pt idx="225">
                  <c:v>118</c:v>
                </c:pt>
                <c:pt idx="226">
                  <c:v>108</c:v>
                </c:pt>
                <c:pt idx="227">
                  <c:v>97</c:v>
                </c:pt>
                <c:pt idx="228">
                  <c:v>920</c:v>
                </c:pt>
                <c:pt idx="229">
                  <c:v>99</c:v>
                </c:pt>
                <c:pt idx="230">
                  <c:v>79</c:v>
                </c:pt>
                <c:pt idx="231">
                  <c:v>81</c:v>
                </c:pt>
                <c:pt idx="232">
                  <c:v>110</c:v>
                </c:pt>
                <c:pt idx="233">
                  <c:v>103</c:v>
                </c:pt>
                <c:pt idx="234">
                  <c:v>86</c:v>
                </c:pt>
                <c:pt idx="237">
                  <c:v>95</c:v>
                </c:pt>
                <c:pt idx="238">
                  <c:v>108</c:v>
                </c:pt>
                <c:pt idx="239">
                  <c:v>103</c:v>
                </c:pt>
                <c:pt idx="240">
                  <c:v>93</c:v>
                </c:pt>
                <c:pt idx="241">
                  <c:v>93</c:v>
                </c:pt>
                <c:pt idx="242">
                  <c:v>108</c:v>
                </c:pt>
                <c:pt idx="243">
                  <c:v>98</c:v>
                </c:pt>
                <c:pt idx="244">
                  <c:v>101</c:v>
                </c:pt>
                <c:pt idx="245">
                  <c:v>113</c:v>
                </c:pt>
                <c:pt idx="247">
                  <c:v>100</c:v>
                </c:pt>
                <c:pt idx="248">
                  <c:v>104</c:v>
                </c:pt>
                <c:pt idx="249">
                  <c:v>84</c:v>
                </c:pt>
                <c:pt idx="250">
                  <c:v>104</c:v>
                </c:pt>
                <c:pt idx="251">
                  <c:v>94</c:v>
                </c:pt>
                <c:pt idx="252">
                  <c:v>106</c:v>
                </c:pt>
                <c:pt idx="253">
                  <c:v>101</c:v>
                </c:pt>
                <c:pt idx="254">
                  <c:v>76</c:v>
                </c:pt>
                <c:pt idx="255">
                  <c:v>99</c:v>
                </c:pt>
                <c:pt idx="256">
                  <c:v>108</c:v>
                </c:pt>
                <c:pt idx="257">
                  <c:v>104</c:v>
                </c:pt>
                <c:pt idx="258">
                  <c:v>106</c:v>
                </c:pt>
                <c:pt idx="259">
                  <c:v>104</c:v>
                </c:pt>
                <c:pt idx="260">
                  <c:v>103</c:v>
                </c:pt>
                <c:pt idx="261">
                  <c:v>86</c:v>
                </c:pt>
                <c:pt idx="262">
                  <c:v>100</c:v>
                </c:pt>
                <c:pt idx="263">
                  <c:v>90</c:v>
                </c:pt>
                <c:pt idx="264">
                  <c:v>99</c:v>
                </c:pt>
                <c:pt idx="265">
                  <c:v>98</c:v>
                </c:pt>
                <c:pt idx="266">
                  <c:v>102</c:v>
                </c:pt>
                <c:pt idx="267">
                  <c:v>99</c:v>
                </c:pt>
                <c:pt idx="268">
                  <c:v>98</c:v>
                </c:pt>
                <c:pt idx="269">
                  <c:v>108</c:v>
                </c:pt>
                <c:pt idx="270">
                  <c:v>88</c:v>
                </c:pt>
                <c:pt idx="271">
                  <c:v>110</c:v>
                </c:pt>
                <c:pt idx="272">
                  <c:v>91</c:v>
                </c:pt>
                <c:pt idx="273">
                  <c:v>104</c:v>
                </c:pt>
                <c:pt idx="275">
                  <c:v>93</c:v>
                </c:pt>
                <c:pt idx="276">
                  <c:v>102</c:v>
                </c:pt>
                <c:pt idx="277">
                  <c:v>239</c:v>
                </c:pt>
                <c:pt idx="278">
                  <c:v>91</c:v>
                </c:pt>
                <c:pt idx="279">
                  <c:v>99</c:v>
                </c:pt>
                <c:pt idx="280">
                  <c:v>121</c:v>
                </c:pt>
                <c:pt idx="281">
                  <c:v>113</c:v>
                </c:pt>
                <c:pt idx="282">
                  <c:v>109</c:v>
                </c:pt>
                <c:pt idx="283">
                  <c:v>127</c:v>
                </c:pt>
                <c:pt idx="284">
                  <c:v>103</c:v>
                </c:pt>
                <c:pt idx="285">
                  <c:v>103</c:v>
                </c:pt>
                <c:pt idx="286">
                  <c:v>95</c:v>
                </c:pt>
                <c:pt idx="287">
                  <c:v>94</c:v>
                </c:pt>
                <c:pt idx="288">
                  <c:v>96</c:v>
                </c:pt>
                <c:pt idx="289">
                  <c:v>84</c:v>
                </c:pt>
                <c:pt idx="290">
                  <c:v>115</c:v>
                </c:pt>
                <c:pt idx="291">
                  <c:v>105</c:v>
                </c:pt>
                <c:pt idx="292">
                  <c:v>112</c:v>
                </c:pt>
                <c:pt idx="293">
                  <c:v>114</c:v>
                </c:pt>
                <c:pt idx="294">
                  <c:v>100</c:v>
                </c:pt>
                <c:pt idx="295">
                  <c:v>211</c:v>
                </c:pt>
                <c:pt idx="296">
                  <c:v>120</c:v>
                </c:pt>
                <c:pt idx="297">
                  <c:v>96</c:v>
                </c:pt>
                <c:pt idx="298">
                  <c:v>94</c:v>
                </c:pt>
                <c:pt idx="299">
                  <c:v>96</c:v>
                </c:pt>
                <c:pt idx="300">
                  <c:v>99</c:v>
                </c:pt>
                <c:pt idx="301">
                  <c:v>119</c:v>
                </c:pt>
                <c:pt idx="302">
                  <c:v>101</c:v>
                </c:pt>
                <c:pt idx="303">
                  <c:v>97</c:v>
                </c:pt>
                <c:pt idx="304">
                  <c:v>89</c:v>
                </c:pt>
                <c:pt idx="306">
                  <c:v>93</c:v>
                </c:pt>
                <c:pt idx="307">
                  <c:v>108</c:v>
                </c:pt>
                <c:pt idx="308">
                  <c:v>95</c:v>
                </c:pt>
                <c:pt idx="309">
                  <c:v>990</c:v>
                </c:pt>
                <c:pt idx="311">
                  <c:v>100</c:v>
                </c:pt>
                <c:pt idx="312">
                  <c:v>95</c:v>
                </c:pt>
                <c:pt idx="313">
                  <c:v>90</c:v>
                </c:pt>
                <c:pt idx="314">
                  <c:v>85</c:v>
                </c:pt>
                <c:pt idx="315">
                  <c:v>101</c:v>
                </c:pt>
                <c:pt idx="316">
                  <c:v>104</c:v>
                </c:pt>
                <c:pt idx="317">
                  <c:v>107</c:v>
                </c:pt>
                <c:pt idx="318">
                  <c:v>90</c:v>
                </c:pt>
                <c:pt idx="319">
                  <c:v>82</c:v>
                </c:pt>
                <c:pt idx="320">
                  <c:v>108</c:v>
                </c:pt>
                <c:pt idx="321">
                  <c:v>103</c:v>
                </c:pt>
                <c:pt idx="322">
                  <c:v>105</c:v>
                </c:pt>
                <c:pt idx="323">
                  <c:v>106</c:v>
                </c:pt>
                <c:pt idx="324">
                  <c:v>104</c:v>
                </c:pt>
                <c:pt idx="325">
                  <c:v>94</c:v>
                </c:pt>
                <c:pt idx="326">
                  <c:v>84</c:v>
                </c:pt>
                <c:pt idx="327">
                  <c:v>94</c:v>
                </c:pt>
                <c:pt idx="328">
                  <c:v>118</c:v>
                </c:pt>
                <c:pt idx="329">
                  <c:v>127</c:v>
                </c:pt>
                <c:pt idx="330">
                  <c:v>95</c:v>
                </c:pt>
                <c:pt idx="331">
                  <c:v>95</c:v>
                </c:pt>
                <c:pt idx="332">
                  <c:v>84</c:v>
                </c:pt>
                <c:pt idx="333">
                  <c:v>89</c:v>
                </c:pt>
                <c:pt idx="334">
                  <c:v>96</c:v>
                </c:pt>
                <c:pt idx="335">
                  <c:v>109</c:v>
                </c:pt>
                <c:pt idx="336">
                  <c:v>100</c:v>
                </c:pt>
                <c:pt idx="337">
                  <c:v>90</c:v>
                </c:pt>
                <c:pt idx="338">
                  <c:v>95</c:v>
                </c:pt>
                <c:pt idx="339">
                  <c:v>105</c:v>
                </c:pt>
                <c:pt idx="340">
                  <c:v>96</c:v>
                </c:pt>
                <c:pt idx="341">
                  <c:v>102</c:v>
                </c:pt>
                <c:pt idx="342">
                  <c:v>76</c:v>
                </c:pt>
                <c:pt idx="343">
                  <c:v>101</c:v>
                </c:pt>
                <c:pt idx="344">
                  <c:v>100</c:v>
                </c:pt>
                <c:pt idx="345">
                  <c:v>89</c:v>
                </c:pt>
                <c:pt idx="346">
                  <c:v>106</c:v>
                </c:pt>
                <c:pt idx="347">
                  <c:v>104</c:v>
                </c:pt>
                <c:pt idx="348">
                  <c:v>95</c:v>
                </c:pt>
                <c:pt idx="349">
                  <c:v>86</c:v>
                </c:pt>
                <c:pt idx="350">
                  <c:v>108</c:v>
                </c:pt>
                <c:pt idx="351">
                  <c:v>86</c:v>
                </c:pt>
                <c:pt idx="353">
                  <c:v>101</c:v>
                </c:pt>
                <c:pt idx="354">
                  <c:v>102</c:v>
                </c:pt>
                <c:pt idx="355">
                  <c:v>107</c:v>
                </c:pt>
                <c:pt idx="356">
                  <c:v>94</c:v>
                </c:pt>
                <c:pt idx="357">
                  <c:v>91</c:v>
                </c:pt>
                <c:pt idx="358">
                  <c:v>103</c:v>
                </c:pt>
                <c:pt idx="359">
                  <c:v>113</c:v>
                </c:pt>
                <c:pt idx="360">
                  <c:v>950</c:v>
                </c:pt>
                <c:pt idx="361">
                  <c:v>98</c:v>
                </c:pt>
                <c:pt idx="362">
                  <c:v>91</c:v>
                </c:pt>
                <c:pt idx="363">
                  <c:v>83</c:v>
                </c:pt>
                <c:pt idx="364">
                  <c:v>106</c:v>
                </c:pt>
                <c:pt idx="365">
                  <c:v>106</c:v>
                </c:pt>
                <c:pt idx="366">
                  <c:v>99</c:v>
                </c:pt>
                <c:pt idx="367">
                  <c:v>76</c:v>
                </c:pt>
                <c:pt idx="368">
                  <c:v>107</c:v>
                </c:pt>
                <c:pt idx="369">
                  <c:v>104</c:v>
                </c:pt>
                <c:pt idx="370">
                  <c:v>100</c:v>
                </c:pt>
                <c:pt idx="371">
                  <c:v>205</c:v>
                </c:pt>
                <c:pt idx="372">
                  <c:v>114</c:v>
                </c:pt>
                <c:pt idx="373">
                  <c:v>93</c:v>
                </c:pt>
                <c:pt idx="374">
                  <c:v>119</c:v>
                </c:pt>
                <c:pt idx="375">
                  <c:v>102</c:v>
                </c:pt>
                <c:pt idx="376">
                  <c:v>98</c:v>
                </c:pt>
                <c:pt idx="377">
                  <c:v>89</c:v>
                </c:pt>
                <c:pt idx="378">
                  <c:v>85</c:v>
                </c:pt>
                <c:pt idx="379">
                  <c:v>112</c:v>
                </c:pt>
                <c:pt idx="380">
                  <c:v>109</c:v>
                </c:pt>
                <c:pt idx="381">
                  <c:v>109</c:v>
                </c:pt>
                <c:pt idx="382">
                  <c:v>76</c:v>
                </c:pt>
                <c:pt idx="383">
                  <c:v>96</c:v>
                </c:pt>
                <c:pt idx="384">
                  <c:v>101</c:v>
                </c:pt>
                <c:pt idx="385">
                  <c:v>99</c:v>
                </c:pt>
                <c:pt idx="386">
                  <c:v>86</c:v>
                </c:pt>
                <c:pt idx="387">
                  <c:v>100</c:v>
                </c:pt>
                <c:pt idx="388">
                  <c:v>96</c:v>
                </c:pt>
                <c:pt idx="389">
                  <c:v>100</c:v>
                </c:pt>
                <c:pt idx="390">
                  <c:v>120</c:v>
                </c:pt>
                <c:pt idx="391">
                  <c:v>92</c:v>
                </c:pt>
                <c:pt idx="392">
                  <c:v>87</c:v>
                </c:pt>
                <c:pt idx="393">
                  <c:v>106</c:v>
                </c:pt>
                <c:pt idx="394">
                  <c:v>202</c:v>
                </c:pt>
                <c:pt idx="395">
                  <c:v>109</c:v>
                </c:pt>
                <c:pt idx="396">
                  <c:v>111</c:v>
                </c:pt>
                <c:pt idx="397">
                  <c:v>108</c:v>
                </c:pt>
                <c:pt idx="398">
                  <c:v>113</c:v>
                </c:pt>
                <c:pt idx="399">
                  <c:v>100</c:v>
                </c:pt>
                <c:pt idx="400">
                  <c:v>110</c:v>
                </c:pt>
                <c:pt idx="401">
                  <c:v>81</c:v>
                </c:pt>
                <c:pt idx="402">
                  <c:v>92</c:v>
                </c:pt>
                <c:pt idx="403">
                  <c:v>91</c:v>
                </c:pt>
                <c:pt idx="404">
                  <c:v>96</c:v>
                </c:pt>
                <c:pt idx="405">
                  <c:v>103</c:v>
                </c:pt>
                <c:pt idx="406">
                  <c:v>94</c:v>
                </c:pt>
                <c:pt idx="407">
                  <c:v>90</c:v>
                </c:pt>
                <c:pt idx="408">
                  <c:v>970</c:v>
                </c:pt>
                <c:pt idx="409">
                  <c:v>114</c:v>
                </c:pt>
                <c:pt idx="411">
                  <c:v>93</c:v>
                </c:pt>
                <c:pt idx="412">
                  <c:v>104</c:v>
                </c:pt>
                <c:pt idx="413">
                  <c:v>104</c:v>
                </c:pt>
                <c:pt idx="414">
                  <c:v>115</c:v>
                </c:pt>
                <c:pt idx="415">
                  <c:v>102</c:v>
                </c:pt>
                <c:pt idx="417">
                  <c:v>111</c:v>
                </c:pt>
                <c:pt idx="419">
                  <c:v>84</c:v>
                </c:pt>
                <c:pt idx="420">
                  <c:v>108</c:v>
                </c:pt>
                <c:pt idx="421">
                  <c:v>84</c:v>
                </c:pt>
                <c:pt idx="422">
                  <c:v>98</c:v>
                </c:pt>
                <c:pt idx="423">
                  <c:v>99</c:v>
                </c:pt>
                <c:pt idx="424">
                  <c:v>103</c:v>
                </c:pt>
                <c:pt idx="425">
                  <c:v>113</c:v>
                </c:pt>
                <c:pt idx="426">
                  <c:v>100</c:v>
                </c:pt>
                <c:pt idx="427">
                  <c:v>91</c:v>
                </c:pt>
                <c:pt idx="428">
                  <c:v>85</c:v>
                </c:pt>
                <c:pt idx="429">
                  <c:v>103</c:v>
                </c:pt>
                <c:pt idx="430">
                  <c:v>86</c:v>
                </c:pt>
                <c:pt idx="431">
                  <c:v>81</c:v>
                </c:pt>
                <c:pt idx="432">
                  <c:v>97</c:v>
                </c:pt>
                <c:pt idx="433">
                  <c:v>109</c:v>
                </c:pt>
                <c:pt idx="435">
                  <c:v>91</c:v>
                </c:pt>
                <c:pt idx="436">
                  <c:v>101</c:v>
                </c:pt>
                <c:pt idx="438">
                  <c:v>113</c:v>
                </c:pt>
                <c:pt idx="439">
                  <c:v>103</c:v>
                </c:pt>
                <c:pt idx="441">
                  <c:v>106</c:v>
                </c:pt>
                <c:pt idx="442">
                  <c:v>101</c:v>
                </c:pt>
                <c:pt idx="443">
                  <c:v>96</c:v>
                </c:pt>
                <c:pt idx="445">
                  <c:v>107</c:v>
                </c:pt>
                <c:pt idx="446">
                  <c:v>113</c:v>
                </c:pt>
                <c:pt idx="447">
                  <c:v>81</c:v>
                </c:pt>
                <c:pt idx="448">
                  <c:v>1030</c:v>
                </c:pt>
                <c:pt idx="449">
                  <c:v>111</c:v>
                </c:pt>
                <c:pt idx="450">
                  <c:v>86</c:v>
                </c:pt>
                <c:pt idx="451">
                  <c:v>115</c:v>
                </c:pt>
                <c:pt idx="452">
                  <c:v>103</c:v>
                </c:pt>
                <c:pt idx="453">
                  <c:v>106</c:v>
                </c:pt>
                <c:pt idx="454">
                  <c:v>89</c:v>
                </c:pt>
                <c:pt idx="455">
                  <c:v>109</c:v>
                </c:pt>
                <c:pt idx="456">
                  <c:v>87</c:v>
                </c:pt>
                <c:pt idx="457">
                  <c:v>93</c:v>
                </c:pt>
                <c:pt idx="458">
                  <c:v>97</c:v>
                </c:pt>
                <c:pt idx="459">
                  <c:v>104</c:v>
                </c:pt>
                <c:pt idx="461">
                  <c:v>85</c:v>
                </c:pt>
                <c:pt idx="462">
                  <c:v>79</c:v>
                </c:pt>
                <c:pt idx="463">
                  <c:v>86</c:v>
                </c:pt>
                <c:pt idx="464">
                  <c:v>93</c:v>
                </c:pt>
                <c:pt idx="465">
                  <c:v>111</c:v>
                </c:pt>
                <c:pt idx="466">
                  <c:v>87</c:v>
                </c:pt>
                <c:pt idx="467">
                  <c:v>1040</c:v>
                </c:pt>
                <c:pt idx="468">
                  <c:v>100</c:v>
                </c:pt>
                <c:pt idx="469">
                  <c:v>101</c:v>
                </c:pt>
                <c:pt idx="470">
                  <c:v>177</c:v>
                </c:pt>
                <c:pt idx="471">
                  <c:v>94</c:v>
                </c:pt>
                <c:pt idx="472">
                  <c:v>102</c:v>
                </c:pt>
                <c:pt idx="473">
                  <c:v>116</c:v>
                </c:pt>
                <c:pt idx="474">
                  <c:v>91</c:v>
                </c:pt>
                <c:pt idx="475">
                  <c:v>98</c:v>
                </c:pt>
                <c:pt idx="476">
                  <c:v>87</c:v>
                </c:pt>
                <c:pt idx="477">
                  <c:v>97</c:v>
                </c:pt>
                <c:pt idx="478">
                  <c:v>94</c:v>
                </c:pt>
                <c:pt idx="479">
                  <c:v>115</c:v>
                </c:pt>
                <c:pt idx="480">
                  <c:v>98</c:v>
                </c:pt>
                <c:pt idx="481">
                  <c:v>85</c:v>
                </c:pt>
                <c:pt idx="482">
                  <c:v>92</c:v>
                </c:pt>
                <c:pt idx="483">
                  <c:v>95</c:v>
                </c:pt>
                <c:pt idx="484">
                  <c:v>94</c:v>
                </c:pt>
                <c:pt idx="485">
                  <c:v>97</c:v>
                </c:pt>
                <c:pt idx="486">
                  <c:v>83</c:v>
                </c:pt>
                <c:pt idx="487">
                  <c:v>111</c:v>
                </c:pt>
                <c:pt idx="488">
                  <c:v>95</c:v>
                </c:pt>
              </c:numCache>
            </c:numRef>
          </c:val>
          <c:smooth val="0"/>
          <c:extLst>
            <c:ext xmlns:c16="http://schemas.microsoft.com/office/drawing/2014/chart" uri="{C3380CC4-5D6E-409C-BE32-E72D297353CC}">
              <c16:uniqueId val="{00000001-3704-4337-8202-216BB54A4E57}"/>
            </c:ext>
          </c:extLst>
        </c:ser>
        <c:dLbls>
          <c:showLegendKey val="0"/>
          <c:showVal val="0"/>
          <c:showCatName val="0"/>
          <c:showSerName val="0"/>
          <c:showPercent val="0"/>
          <c:showBubbleSize val="0"/>
        </c:dLbls>
        <c:marker val="1"/>
        <c:smooth val="0"/>
        <c:axId val="659003088"/>
        <c:axId val="659007408"/>
      </c:lineChart>
      <c:catAx>
        <c:axId val="65900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07408"/>
        <c:crosses val="autoZero"/>
        <c:auto val="1"/>
        <c:lblAlgn val="ctr"/>
        <c:lblOffset val="100"/>
        <c:noMultiLvlLbl val="0"/>
      </c:catAx>
      <c:valAx>
        <c:axId val="65900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0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[Automotive_market_Demand_Forecasting_Dataset_Analysis.xlsx]Pivot-AveragePrice Vs Time!PivotTable2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Average_Price</a:t>
            </a:r>
            <a:r>
              <a:rPr lang="en-IN" baseline="0"/>
              <a:t>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'Pivot-AveragePrice Vs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'Pivot-AveragePrice Vs Time'!$A$4:$A$505</c:f>
              <c:multiLvlStrCache>
                <c:ptCount val="489"/>
                <c:lvl>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2016</c:v>
                  </c:pt>
                  <c:pt idx="42">
                    <c:v>2017</c:v>
                  </c:pt>
                  <c:pt idx="43">
                    <c:v>2018</c:v>
                  </c:pt>
                  <c:pt idx="44">
                    <c:v>2019</c:v>
                  </c:pt>
                  <c:pt idx="45">
                    <c:v>2020</c:v>
                  </c:pt>
                  <c:pt idx="46">
                    <c:v>2021</c:v>
                  </c:pt>
                  <c:pt idx="47">
                    <c:v>2022</c:v>
                  </c:pt>
                  <c:pt idx="48">
                    <c:v>2023</c:v>
                  </c:pt>
                  <c:pt idx="49">
                    <c:v>2024</c:v>
                  </c:pt>
                  <c:pt idx="50">
                    <c:v>2025</c:v>
                  </c:pt>
                  <c:pt idx="51">
                    <c:v>2026</c:v>
                  </c:pt>
                  <c:pt idx="52">
                    <c:v>2027</c:v>
                  </c:pt>
                  <c:pt idx="53">
                    <c:v>2028</c:v>
                  </c:pt>
                  <c:pt idx="54">
                    <c:v>2029</c:v>
                  </c:pt>
                  <c:pt idx="55">
                    <c:v>2030</c:v>
                  </c:pt>
                  <c:pt idx="56">
                    <c:v>2031</c:v>
                  </c:pt>
                  <c:pt idx="57">
                    <c:v>2032</c:v>
                  </c:pt>
                  <c:pt idx="58">
                    <c:v>2033</c:v>
                  </c:pt>
                  <c:pt idx="59">
                    <c:v>2034</c:v>
                  </c:pt>
                  <c:pt idx="60">
                    <c:v>2035</c:v>
                  </c:pt>
                  <c:pt idx="61">
                    <c:v>2036</c:v>
                  </c:pt>
                  <c:pt idx="62">
                    <c:v>2037</c:v>
                  </c:pt>
                  <c:pt idx="63">
                    <c:v>2039</c:v>
                  </c:pt>
                  <c:pt idx="64">
                    <c:v>2040</c:v>
                  </c:pt>
                  <c:pt idx="65">
                    <c:v>2041</c:v>
                  </c:pt>
                  <c:pt idx="66">
                    <c:v>2042</c:v>
                  </c:pt>
                  <c:pt idx="67">
                    <c:v>2043</c:v>
                  </c:pt>
                  <c:pt idx="68">
                    <c:v>2044</c:v>
                  </c:pt>
                  <c:pt idx="69">
                    <c:v>2045</c:v>
                  </c:pt>
                  <c:pt idx="70">
                    <c:v>2046</c:v>
                  </c:pt>
                  <c:pt idx="71">
                    <c:v>2047</c:v>
                  </c:pt>
                  <c:pt idx="72">
                    <c:v>2048</c:v>
                  </c:pt>
                  <c:pt idx="73">
                    <c:v>2049</c:v>
                  </c:pt>
                  <c:pt idx="74">
                    <c:v>2050</c:v>
                  </c:pt>
                  <c:pt idx="75">
                    <c:v>2051</c:v>
                  </c:pt>
                  <c:pt idx="76">
                    <c:v>2052</c:v>
                  </c:pt>
                  <c:pt idx="77">
                    <c:v>2053</c:v>
                  </c:pt>
                  <c:pt idx="78">
                    <c:v>2054</c:v>
                  </c:pt>
                  <c:pt idx="79">
                    <c:v>2015</c:v>
                  </c:pt>
                  <c:pt idx="80">
                    <c:v>2016</c:v>
                  </c:pt>
                  <c:pt idx="81">
                    <c:v>2017</c:v>
                  </c:pt>
                  <c:pt idx="82">
                    <c:v>2018</c:v>
                  </c:pt>
                  <c:pt idx="83">
                    <c:v>2019</c:v>
                  </c:pt>
                  <c:pt idx="84">
                    <c:v>2020</c:v>
                  </c:pt>
                  <c:pt idx="85">
                    <c:v>2021</c:v>
                  </c:pt>
                  <c:pt idx="86">
                    <c:v>2022</c:v>
                  </c:pt>
                  <c:pt idx="87">
                    <c:v>2023</c:v>
                  </c:pt>
                  <c:pt idx="88">
                    <c:v>2024</c:v>
                  </c:pt>
                  <c:pt idx="89">
                    <c:v>2025</c:v>
                  </c:pt>
                  <c:pt idx="90">
                    <c:v>2026</c:v>
                  </c:pt>
                  <c:pt idx="91">
                    <c:v>2027</c:v>
                  </c:pt>
                  <c:pt idx="92">
                    <c:v>2028</c:v>
                  </c:pt>
                  <c:pt idx="93">
                    <c:v>2029</c:v>
                  </c:pt>
                  <c:pt idx="94">
                    <c:v>2030</c:v>
                  </c:pt>
                  <c:pt idx="95">
                    <c:v>2031</c:v>
                  </c:pt>
                  <c:pt idx="96">
                    <c:v>2032</c:v>
                  </c:pt>
                  <c:pt idx="97">
                    <c:v>2033</c:v>
                  </c:pt>
                  <c:pt idx="98">
                    <c:v>2034</c:v>
                  </c:pt>
                  <c:pt idx="99">
                    <c:v>2035</c:v>
                  </c:pt>
                  <c:pt idx="100">
                    <c:v>2036</c:v>
                  </c:pt>
                  <c:pt idx="101">
                    <c:v>2037</c:v>
                  </c:pt>
                  <c:pt idx="102">
                    <c:v>2038</c:v>
                  </c:pt>
                  <c:pt idx="103">
                    <c:v>2039</c:v>
                  </c:pt>
                  <c:pt idx="104">
                    <c:v>2040</c:v>
                  </c:pt>
                  <c:pt idx="105">
                    <c:v>2041</c:v>
                  </c:pt>
                  <c:pt idx="106">
                    <c:v>2042</c:v>
                  </c:pt>
                  <c:pt idx="107">
                    <c:v>2043</c:v>
                  </c:pt>
                  <c:pt idx="108">
                    <c:v>2044</c:v>
                  </c:pt>
                  <c:pt idx="109">
                    <c:v>2045</c:v>
                  </c:pt>
                  <c:pt idx="110">
                    <c:v>2046</c:v>
                  </c:pt>
                  <c:pt idx="111">
                    <c:v>2047</c:v>
                  </c:pt>
                  <c:pt idx="112">
                    <c:v>2048</c:v>
                  </c:pt>
                  <c:pt idx="113">
                    <c:v>2049</c:v>
                  </c:pt>
                  <c:pt idx="114">
                    <c:v>2050</c:v>
                  </c:pt>
                  <c:pt idx="115">
                    <c:v>2051</c:v>
                  </c:pt>
                  <c:pt idx="116">
                    <c:v>2052</c:v>
                  </c:pt>
                  <c:pt idx="117">
                    <c:v>2053</c:v>
                  </c:pt>
                  <c:pt idx="118">
                    <c:v>2054</c:v>
                  </c:pt>
                  <c:pt idx="119">
                    <c:v>2055</c:v>
                  </c:pt>
                  <c:pt idx="120">
                    <c:v>2015</c:v>
                  </c:pt>
                  <c:pt idx="121">
                    <c:v>2016</c:v>
                  </c:pt>
                  <c:pt idx="122">
                    <c:v>2017</c:v>
                  </c:pt>
                  <c:pt idx="123">
                    <c:v>2018</c:v>
                  </c:pt>
                  <c:pt idx="124">
                    <c:v>2019</c:v>
                  </c:pt>
                  <c:pt idx="125">
                    <c:v>2020</c:v>
                  </c:pt>
                  <c:pt idx="126">
                    <c:v>2021</c:v>
                  </c:pt>
                  <c:pt idx="127">
                    <c:v>2022</c:v>
                  </c:pt>
                  <c:pt idx="128">
                    <c:v>2023</c:v>
                  </c:pt>
                  <c:pt idx="129">
                    <c:v>2024</c:v>
                  </c:pt>
                  <c:pt idx="130">
                    <c:v>2025</c:v>
                  </c:pt>
                  <c:pt idx="131">
                    <c:v>2026</c:v>
                  </c:pt>
                  <c:pt idx="132">
                    <c:v>2027</c:v>
                  </c:pt>
                  <c:pt idx="133">
                    <c:v>2028</c:v>
                  </c:pt>
                  <c:pt idx="134">
                    <c:v>2029</c:v>
                  </c:pt>
                  <c:pt idx="135">
                    <c:v>2030</c:v>
                  </c:pt>
                  <c:pt idx="136">
                    <c:v>2031</c:v>
                  </c:pt>
                  <c:pt idx="137">
                    <c:v>2032</c:v>
                  </c:pt>
                  <c:pt idx="138">
                    <c:v>2033</c:v>
                  </c:pt>
                  <c:pt idx="139">
                    <c:v>2034</c:v>
                  </c:pt>
                  <c:pt idx="140">
                    <c:v>2035</c:v>
                  </c:pt>
                  <c:pt idx="141">
                    <c:v>2036</c:v>
                  </c:pt>
                  <c:pt idx="142">
                    <c:v>2037</c:v>
                  </c:pt>
                  <c:pt idx="143">
                    <c:v>2038</c:v>
                  </c:pt>
                  <c:pt idx="144">
                    <c:v>2039</c:v>
                  </c:pt>
                  <c:pt idx="145">
                    <c:v>2040</c:v>
                  </c:pt>
                  <c:pt idx="146">
                    <c:v>2041</c:v>
                  </c:pt>
                  <c:pt idx="147">
                    <c:v>2042</c:v>
                  </c:pt>
                  <c:pt idx="148">
                    <c:v>2043</c:v>
                  </c:pt>
                  <c:pt idx="149">
                    <c:v>2044</c:v>
                  </c:pt>
                  <c:pt idx="150">
                    <c:v>2045</c:v>
                  </c:pt>
                  <c:pt idx="151">
                    <c:v>2046</c:v>
                  </c:pt>
                  <c:pt idx="152">
                    <c:v>2047</c:v>
                  </c:pt>
                  <c:pt idx="153">
                    <c:v>2048</c:v>
                  </c:pt>
                  <c:pt idx="154">
                    <c:v>2049</c:v>
                  </c:pt>
                  <c:pt idx="155">
                    <c:v>2050</c:v>
                  </c:pt>
                  <c:pt idx="156">
                    <c:v>2051</c:v>
                  </c:pt>
                  <c:pt idx="157">
                    <c:v>2052</c:v>
                  </c:pt>
                  <c:pt idx="158">
                    <c:v>2053</c:v>
                  </c:pt>
                  <c:pt idx="159">
                    <c:v>2054</c:v>
                  </c:pt>
                  <c:pt idx="160">
                    <c:v>2055</c:v>
                  </c:pt>
                  <c:pt idx="161">
                    <c:v>2015</c:v>
                  </c:pt>
                  <c:pt idx="162">
                    <c:v>2016</c:v>
                  </c:pt>
                  <c:pt idx="163">
                    <c:v>2017</c:v>
                  </c:pt>
                  <c:pt idx="164">
                    <c:v>2018</c:v>
                  </c:pt>
                  <c:pt idx="165">
                    <c:v>2019</c:v>
                  </c:pt>
                  <c:pt idx="166">
                    <c:v>2020</c:v>
                  </c:pt>
                  <c:pt idx="167">
                    <c:v>2021</c:v>
                  </c:pt>
                  <c:pt idx="168">
                    <c:v>2022</c:v>
                  </c:pt>
                  <c:pt idx="169">
                    <c:v>2023</c:v>
                  </c:pt>
                  <c:pt idx="170">
                    <c:v>2024</c:v>
                  </c:pt>
                  <c:pt idx="171">
                    <c:v>2025</c:v>
                  </c:pt>
                  <c:pt idx="172">
                    <c:v>2026</c:v>
                  </c:pt>
                  <c:pt idx="173">
                    <c:v>2027</c:v>
                  </c:pt>
                  <c:pt idx="174">
                    <c:v>2028</c:v>
                  </c:pt>
                  <c:pt idx="175">
                    <c:v>2029</c:v>
                  </c:pt>
                  <c:pt idx="176">
                    <c:v>2030</c:v>
                  </c:pt>
                  <c:pt idx="177">
                    <c:v>2031</c:v>
                  </c:pt>
                  <c:pt idx="178">
                    <c:v>2032</c:v>
                  </c:pt>
                  <c:pt idx="179">
                    <c:v>2033</c:v>
                  </c:pt>
                  <c:pt idx="180">
                    <c:v>2034</c:v>
                  </c:pt>
                  <c:pt idx="181">
                    <c:v>2035</c:v>
                  </c:pt>
                  <c:pt idx="182">
                    <c:v>2036</c:v>
                  </c:pt>
                  <c:pt idx="183">
                    <c:v>2037</c:v>
                  </c:pt>
                  <c:pt idx="184">
                    <c:v>2038</c:v>
                  </c:pt>
                  <c:pt idx="185">
                    <c:v>2039</c:v>
                  </c:pt>
                  <c:pt idx="186">
                    <c:v>2040</c:v>
                  </c:pt>
                  <c:pt idx="187">
                    <c:v>2041</c:v>
                  </c:pt>
                  <c:pt idx="188">
                    <c:v>2042</c:v>
                  </c:pt>
                  <c:pt idx="189">
                    <c:v>2043</c:v>
                  </c:pt>
                  <c:pt idx="190">
                    <c:v>2044</c:v>
                  </c:pt>
                  <c:pt idx="191">
                    <c:v>2045</c:v>
                  </c:pt>
                  <c:pt idx="192">
                    <c:v>2046</c:v>
                  </c:pt>
                  <c:pt idx="193">
                    <c:v>2047</c:v>
                  </c:pt>
                  <c:pt idx="194">
                    <c:v>2048</c:v>
                  </c:pt>
                  <c:pt idx="195">
                    <c:v>2049</c:v>
                  </c:pt>
                  <c:pt idx="196">
                    <c:v>2050</c:v>
                  </c:pt>
                  <c:pt idx="197">
                    <c:v>2051</c:v>
                  </c:pt>
                  <c:pt idx="198">
                    <c:v>2052</c:v>
                  </c:pt>
                  <c:pt idx="199">
                    <c:v>2053</c:v>
                  </c:pt>
                  <c:pt idx="200">
                    <c:v>2054</c:v>
                  </c:pt>
                  <c:pt idx="201">
                    <c:v>2055</c:v>
                  </c:pt>
                  <c:pt idx="202">
                    <c:v>2015</c:v>
                  </c:pt>
                  <c:pt idx="203">
                    <c:v>2016</c:v>
                  </c:pt>
                  <c:pt idx="204">
                    <c:v>2017</c:v>
                  </c:pt>
                  <c:pt idx="205">
                    <c:v>2018</c:v>
                  </c:pt>
                  <c:pt idx="206">
                    <c:v>2019</c:v>
                  </c:pt>
                  <c:pt idx="207">
                    <c:v>2020</c:v>
                  </c:pt>
                  <c:pt idx="208">
                    <c:v>2021</c:v>
                  </c:pt>
                  <c:pt idx="209">
                    <c:v>2022</c:v>
                  </c:pt>
                  <c:pt idx="210">
                    <c:v>2023</c:v>
                  </c:pt>
                  <c:pt idx="211">
                    <c:v>2024</c:v>
                  </c:pt>
                  <c:pt idx="212">
                    <c:v>2025</c:v>
                  </c:pt>
                  <c:pt idx="213">
                    <c:v>2026</c:v>
                  </c:pt>
                  <c:pt idx="214">
                    <c:v>2027</c:v>
                  </c:pt>
                  <c:pt idx="215">
                    <c:v>2028</c:v>
                  </c:pt>
                  <c:pt idx="216">
                    <c:v>2029</c:v>
                  </c:pt>
                  <c:pt idx="217">
                    <c:v>2030</c:v>
                  </c:pt>
                  <c:pt idx="218">
                    <c:v>2031</c:v>
                  </c:pt>
                  <c:pt idx="219">
                    <c:v>2032</c:v>
                  </c:pt>
                  <c:pt idx="220">
                    <c:v>2033</c:v>
                  </c:pt>
                  <c:pt idx="221">
                    <c:v>2034</c:v>
                  </c:pt>
                  <c:pt idx="222">
                    <c:v>2035</c:v>
                  </c:pt>
                  <c:pt idx="223">
                    <c:v>2036</c:v>
                  </c:pt>
                  <c:pt idx="224">
                    <c:v>2037</c:v>
                  </c:pt>
                  <c:pt idx="225">
                    <c:v>2038</c:v>
                  </c:pt>
                  <c:pt idx="226">
                    <c:v>2039</c:v>
                  </c:pt>
                  <c:pt idx="227">
                    <c:v>2040</c:v>
                  </c:pt>
                  <c:pt idx="228">
                    <c:v>2041</c:v>
                  </c:pt>
                  <c:pt idx="229">
                    <c:v>2042</c:v>
                  </c:pt>
                  <c:pt idx="230">
                    <c:v>2043</c:v>
                  </c:pt>
                  <c:pt idx="231">
                    <c:v>2044</c:v>
                  </c:pt>
                  <c:pt idx="232">
                    <c:v>2045</c:v>
                  </c:pt>
                  <c:pt idx="233">
                    <c:v>2046</c:v>
                  </c:pt>
                  <c:pt idx="234">
                    <c:v>2047</c:v>
                  </c:pt>
                  <c:pt idx="235">
                    <c:v>2048</c:v>
                  </c:pt>
                  <c:pt idx="236">
                    <c:v>2049</c:v>
                  </c:pt>
                  <c:pt idx="237">
                    <c:v>2050</c:v>
                  </c:pt>
                  <c:pt idx="238">
                    <c:v>2051</c:v>
                  </c:pt>
                  <c:pt idx="239">
                    <c:v>2052</c:v>
                  </c:pt>
                  <c:pt idx="240">
                    <c:v>2053</c:v>
                  </c:pt>
                  <c:pt idx="241">
                    <c:v>2054</c:v>
                  </c:pt>
                  <c:pt idx="242">
                    <c:v>2055</c:v>
                  </c:pt>
                  <c:pt idx="243">
                    <c:v>2015</c:v>
                  </c:pt>
                  <c:pt idx="244">
                    <c:v>2016</c:v>
                  </c:pt>
                  <c:pt idx="245">
                    <c:v>2017</c:v>
                  </c:pt>
                  <c:pt idx="246">
                    <c:v>2018</c:v>
                  </c:pt>
                  <c:pt idx="247">
                    <c:v>2019</c:v>
                  </c:pt>
                  <c:pt idx="248">
                    <c:v>2020</c:v>
                  </c:pt>
                  <c:pt idx="249">
                    <c:v>2021</c:v>
                  </c:pt>
                  <c:pt idx="250">
                    <c:v>2022</c:v>
                  </c:pt>
                  <c:pt idx="251">
                    <c:v>2023</c:v>
                  </c:pt>
                  <c:pt idx="252">
                    <c:v>2024</c:v>
                  </c:pt>
                  <c:pt idx="253">
                    <c:v>2025</c:v>
                  </c:pt>
                  <c:pt idx="254">
                    <c:v>2026</c:v>
                  </c:pt>
                  <c:pt idx="255">
                    <c:v>2027</c:v>
                  </c:pt>
                  <c:pt idx="256">
                    <c:v>2028</c:v>
                  </c:pt>
                  <c:pt idx="257">
                    <c:v>2029</c:v>
                  </c:pt>
                  <c:pt idx="258">
                    <c:v>2030</c:v>
                  </c:pt>
                  <c:pt idx="259">
                    <c:v>2031</c:v>
                  </c:pt>
                  <c:pt idx="260">
                    <c:v>2032</c:v>
                  </c:pt>
                  <c:pt idx="261">
                    <c:v>2033</c:v>
                  </c:pt>
                  <c:pt idx="262">
                    <c:v>2034</c:v>
                  </c:pt>
                  <c:pt idx="263">
                    <c:v>2035</c:v>
                  </c:pt>
                  <c:pt idx="264">
                    <c:v>2036</c:v>
                  </c:pt>
                  <c:pt idx="265">
                    <c:v>2037</c:v>
                  </c:pt>
                  <c:pt idx="266">
                    <c:v>2038</c:v>
                  </c:pt>
                  <c:pt idx="267">
                    <c:v>2039</c:v>
                  </c:pt>
                  <c:pt idx="268">
                    <c:v>2040</c:v>
                  </c:pt>
                  <c:pt idx="269">
                    <c:v>2041</c:v>
                  </c:pt>
                  <c:pt idx="270">
                    <c:v>2042</c:v>
                  </c:pt>
                  <c:pt idx="271">
                    <c:v>2043</c:v>
                  </c:pt>
                  <c:pt idx="272">
                    <c:v>2044</c:v>
                  </c:pt>
                  <c:pt idx="273">
                    <c:v>2045</c:v>
                  </c:pt>
                  <c:pt idx="274">
                    <c:v>2046</c:v>
                  </c:pt>
                  <c:pt idx="275">
                    <c:v>2047</c:v>
                  </c:pt>
                  <c:pt idx="276">
                    <c:v>2048</c:v>
                  </c:pt>
                  <c:pt idx="277">
                    <c:v>2049</c:v>
                  </c:pt>
                  <c:pt idx="278">
                    <c:v>2050</c:v>
                  </c:pt>
                  <c:pt idx="279">
                    <c:v>2051</c:v>
                  </c:pt>
                  <c:pt idx="280">
                    <c:v>2052</c:v>
                  </c:pt>
                  <c:pt idx="281">
                    <c:v>2053</c:v>
                  </c:pt>
                  <c:pt idx="282">
                    <c:v>2054</c:v>
                  </c:pt>
                  <c:pt idx="283">
                    <c:v>2055</c:v>
                  </c:pt>
                  <c:pt idx="284">
                    <c:v>2015</c:v>
                  </c:pt>
                  <c:pt idx="285">
                    <c:v>2016</c:v>
                  </c:pt>
                  <c:pt idx="286">
                    <c:v>2017</c:v>
                  </c:pt>
                  <c:pt idx="287">
                    <c:v>2018</c:v>
                  </c:pt>
                  <c:pt idx="288">
                    <c:v>2019</c:v>
                  </c:pt>
                  <c:pt idx="289">
                    <c:v>2020</c:v>
                  </c:pt>
                  <c:pt idx="290">
                    <c:v>2021</c:v>
                  </c:pt>
                  <c:pt idx="291">
                    <c:v>2022</c:v>
                  </c:pt>
                  <c:pt idx="292">
                    <c:v>2023</c:v>
                  </c:pt>
                  <c:pt idx="293">
                    <c:v>2024</c:v>
                  </c:pt>
                  <c:pt idx="294">
                    <c:v>2025</c:v>
                  </c:pt>
                  <c:pt idx="295">
                    <c:v>2026</c:v>
                  </c:pt>
                  <c:pt idx="296">
                    <c:v>2027</c:v>
                  </c:pt>
                  <c:pt idx="297">
                    <c:v>2028</c:v>
                  </c:pt>
                  <c:pt idx="298">
                    <c:v>2029</c:v>
                  </c:pt>
                  <c:pt idx="299">
                    <c:v>2030</c:v>
                  </c:pt>
                  <c:pt idx="300">
                    <c:v>2031</c:v>
                  </c:pt>
                  <c:pt idx="301">
                    <c:v>2032</c:v>
                  </c:pt>
                  <c:pt idx="302">
                    <c:v>2033</c:v>
                  </c:pt>
                  <c:pt idx="303">
                    <c:v>2034</c:v>
                  </c:pt>
                  <c:pt idx="304">
                    <c:v>2035</c:v>
                  </c:pt>
                  <c:pt idx="305">
                    <c:v>2036</c:v>
                  </c:pt>
                  <c:pt idx="306">
                    <c:v>2037</c:v>
                  </c:pt>
                  <c:pt idx="307">
                    <c:v>2038</c:v>
                  </c:pt>
                  <c:pt idx="308">
                    <c:v>2039</c:v>
                  </c:pt>
                  <c:pt idx="309">
                    <c:v>2040</c:v>
                  </c:pt>
                  <c:pt idx="310">
                    <c:v>2041</c:v>
                  </c:pt>
                  <c:pt idx="311">
                    <c:v>2042</c:v>
                  </c:pt>
                  <c:pt idx="312">
                    <c:v>2043</c:v>
                  </c:pt>
                  <c:pt idx="313">
                    <c:v>2044</c:v>
                  </c:pt>
                  <c:pt idx="314">
                    <c:v>2045</c:v>
                  </c:pt>
                  <c:pt idx="315">
                    <c:v>2046</c:v>
                  </c:pt>
                  <c:pt idx="316">
                    <c:v>2047</c:v>
                  </c:pt>
                  <c:pt idx="317">
                    <c:v>2048</c:v>
                  </c:pt>
                  <c:pt idx="318">
                    <c:v>2049</c:v>
                  </c:pt>
                  <c:pt idx="319">
                    <c:v>2050</c:v>
                  </c:pt>
                  <c:pt idx="320">
                    <c:v>2051</c:v>
                  </c:pt>
                  <c:pt idx="321">
                    <c:v>2052</c:v>
                  </c:pt>
                  <c:pt idx="322">
                    <c:v>2053</c:v>
                  </c:pt>
                  <c:pt idx="323">
                    <c:v>2054</c:v>
                  </c:pt>
                  <c:pt idx="324">
                    <c:v>2055</c:v>
                  </c:pt>
                  <c:pt idx="325">
                    <c:v>2015</c:v>
                  </c:pt>
                  <c:pt idx="326">
                    <c:v>2016</c:v>
                  </c:pt>
                  <c:pt idx="327">
                    <c:v>2017</c:v>
                  </c:pt>
                  <c:pt idx="328">
                    <c:v>2018</c:v>
                  </c:pt>
                  <c:pt idx="329">
                    <c:v>2019</c:v>
                  </c:pt>
                  <c:pt idx="330">
                    <c:v>2020</c:v>
                  </c:pt>
                  <c:pt idx="331">
                    <c:v>2021</c:v>
                  </c:pt>
                  <c:pt idx="332">
                    <c:v>2022</c:v>
                  </c:pt>
                  <c:pt idx="333">
                    <c:v>2023</c:v>
                  </c:pt>
                  <c:pt idx="334">
                    <c:v>2024</c:v>
                  </c:pt>
                  <c:pt idx="335">
                    <c:v>2025</c:v>
                  </c:pt>
                  <c:pt idx="336">
                    <c:v>2026</c:v>
                  </c:pt>
                  <c:pt idx="337">
                    <c:v>2027</c:v>
                  </c:pt>
                  <c:pt idx="338">
                    <c:v>2028</c:v>
                  </c:pt>
                  <c:pt idx="339">
                    <c:v>2029</c:v>
                  </c:pt>
                  <c:pt idx="340">
                    <c:v>2030</c:v>
                  </c:pt>
                  <c:pt idx="341">
                    <c:v>2031</c:v>
                  </c:pt>
                  <c:pt idx="342">
                    <c:v>2032</c:v>
                  </c:pt>
                  <c:pt idx="343">
                    <c:v>2033</c:v>
                  </c:pt>
                  <c:pt idx="344">
                    <c:v>2034</c:v>
                  </c:pt>
                  <c:pt idx="345">
                    <c:v>2035</c:v>
                  </c:pt>
                  <c:pt idx="346">
                    <c:v>2036</c:v>
                  </c:pt>
                  <c:pt idx="347">
                    <c:v>2037</c:v>
                  </c:pt>
                  <c:pt idx="348">
                    <c:v>2038</c:v>
                  </c:pt>
                  <c:pt idx="349">
                    <c:v>2039</c:v>
                  </c:pt>
                  <c:pt idx="350">
                    <c:v>2040</c:v>
                  </c:pt>
                  <c:pt idx="351">
                    <c:v>2041</c:v>
                  </c:pt>
                  <c:pt idx="352">
                    <c:v>2042</c:v>
                  </c:pt>
                  <c:pt idx="353">
                    <c:v>2043</c:v>
                  </c:pt>
                  <c:pt idx="354">
                    <c:v>2044</c:v>
                  </c:pt>
                  <c:pt idx="355">
                    <c:v>2045</c:v>
                  </c:pt>
                  <c:pt idx="356">
                    <c:v>2046</c:v>
                  </c:pt>
                  <c:pt idx="357">
                    <c:v>2047</c:v>
                  </c:pt>
                  <c:pt idx="358">
                    <c:v>2048</c:v>
                  </c:pt>
                  <c:pt idx="359">
                    <c:v>2049</c:v>
                  </c:pt>
                  <c:pt idx="360">
                    <c:v>2050</c:v>
                  </c:pt>
                  <c:pt idx="361">
                    <c:v>2051</c:v>
                  </c:pt>
                  <c:pt idx="362">
                    <c:v>2052</c:v>
                  </c:pt>
                  <c:pt idx="363">
                    <c:v>2053</c:v>
                  </c:pt>
                  <c:pt idx="364">
                    <c:v>2054</c:v>
                  </c:pt>
                  <c:pt idx="365">
                    <c:v>2055</c:v>
                  </c:pt>
                  <c:pt idx="366">
                    <c:v>2015</c:v>
                  </c:pt>
                  <c:pt idx="367">
                    <c:v>2016</c:v>
                  </c:pt>
                  <c:pt idx="368">
                    <c:v>2017</c:v>
                  </c:pt>
                  <c:pt idx="369">
                    <c:v>2018</c:v>
                  </c:pt>
                  <c:pt idx="370">
                    <c:v>2019</c:v>
                  </c:pt>
                  <c:pt idx="371">
                    <c:v>2020</c:v>
                  </c:pt>
                  <c:pt idx="372">
                    <c:v>2021</c:v>
                  </c:pt>
                  <c:pt idx="373">
                    <c:v>2022</c:v>
                  </c:pt>
                  <c:pt idx="374">
                    <c:v>2023</c:v>
                  </c:pt>
                  <c:pt idx="375">
                    <c:v>2024</c:v>
                  </c:pt>
                  <c:pt idx="376">
                    <c:v>2025</c:v>
                  </c:pt>
                  <c:pt idx="377">
                    <c:v>2026</c:v>
                  </c:pt>
                  <c:pt idx="378">
                    <c:v>2027</c:v>
                  </c:pt>
                  <c:pt idx="379">
                    <c:v>2028</c:v>
                  </c:pt>
                  <c:pt idx="380">
                    <c:v>2029</c:v>
                  </c:pt>
                  <c:pt idx="381">
                    <c:v>2030</c:v>
                  </c:pt>
                  <c:pt idx="382">
                    <c:v>2031</c:v>
                  </c:pt>
                  <c:pt idx="383">
                    <c:v>2032</c:v>
                  </c:pt>
                  <c:pt idx="384">
                    <c:v>2033</c:v>
                  </c:pt>
                  <c:pt idx="385">
                    <c:v>2034</c:v>
                  </c:pt>
                  <c:pt idx="386">
                    <c:v>2035</c:v>
                  </c:pt>
                  <c:pt idx="387">
                    <c:v>2036</c:v>
                  </c:pt>
                  <c:pt idx="388">
                    <c:v>2037</c:v>
                  </c:pt>
                  <c:pt idx="389">
                    <c:v>2038</c:v>
                  </c:pt>
                  <c:pt idx="390">
                    <c:v>2039</c:v>
                  </c:pt>
                  <c:pt idx="391">
                    <c:v>2040</c:v>
                  </c:pt>
                  <c:pt idx="392">
                    <c:v>2041</c:v>
                  </c:pt>
                  <c:pt idx="393">
                    <c:v>2042</c:v>
                  </c:pt>
                  <c:pt idx="394">
                    <c:v>2043</c:v>
                  </c:pt>
                  <c:pt idx="395">
                    <c:v>2044</c:v>
                  </c:pt>
                  <c:pt idx="396">
                    <c:v>2045</c:v>
                  </c:pt>
                  <c:pt idx="397">
                    <c:v>2046</c:v>
                  </c:pt>
                  <c:pt idx="398">
                    <c:v>2047</c:v>
                  </c:pt>
                  <c:pt idx="399">
                    <c:v>2048</c:v>
                  </c:pt>
                  <c:pt idx="400">
                    <c:v>2049</c:v>
                  </c:pt>
                  <c:pt idx="401">
                    <c:v>2050</c:v>
                  </c:pt>
                  <c:pt idx="402">
                    <c:v>2051</c:v>
                  </c:pt>
                  <c:pt idx="403">
                    <c:v>2052</c:v>
                  </c:pt>
                  <c:pt idx="404">
                    <c:v>2053</c:v>
                  </c:pt>
                  <c:pt idx="405">
                    <c:v>2054</c:v>
                  </c:pt>
                  <c:pt idx="406">
                    <c:v>2055</c:v>
                  </c:pt>
                  <c:pt idx="407">
                    <c:v>2015</c:v>
                  </c:pt>
                  <c:pt idx="408">
                    <c:v>2016</c:v>
                  </c:pt>
                  <c:pt idx="409">
                    <c:v>2017</c:v>
                  </c:pt>
                  <c:pt idx="410">
                    <c:v>2018</c:v>
                  </c:pt>
                  <c:pt idx="411">
                    <c:v>2019</c:v>
                  </c:pt>
                  <c:pt idx="412">
                    <c:v>2020</c:v>
                  </c:pt>
                  <c:pt idx="413">
                    <c:v>2021</c:v>
                  </c:pt>
                  <c:pt idx="414">
                    <c:v>2022</c:v>
                  </c:pt>
                  <c:pt idx="415">
                    <c:v>2023</c:v>
                  </c:pt>
                  <c:pt idx="416">
                    <c:v>2024</c:v>
                  </c:pt>
                  <c:pt idx="417">
                    <c:v>2025</c:v>
                  </c:pt>
                  <c:pt idx="418">
                    <c:v>2026</c:v>
                  </c:pt>
                  <c:pt idx="419">
                    <c:v>2027</c:v>
                  </c:pt>
                  <c:pt idx="420">
                    <c:v>2028</c:v>
                  </c:pt>
                  <c:pt idx="421">
                    <c:v>2029</c:v>
                  </c:pt>
                  <c:pt idx="422">
                    <c:v>2030</c:v>
                  </c:pt>
                  <c:pt idx="423">
                    <c:v>2031</c:v>
                  </c:pt>
                  <c:pt idx="424">
                    <c:v>2032</c:v>
                  </c:pt>
                  <c:pt idx="425">
                    <c:v>2033</c:v>
                  </c:pt>
                  <c:pt idx="426">
                    <c:v>2034</c:v>
                  </c:pt>
                  <c:pt idx="427">
                    <c:v>2035</c:v>
                  </c:pt>
                  <c:pt idx="428">
                    <c:v>2036</c:v>
                  </c:pt>
                  <c:pt idx="429">
                    <c:v>2037</c:v>
                  </c:pt>
                  <c:pt idx="430">
                    <c:v>2038</c:v>
                  </c:pt>
                  <c:pt idx="431">
                    <c:v>2039</c:v>
                  </c:pt>
                  <c:pt idx="432">
                    <c:v>2040</c:v>
                  </c:pt>
                  <c:pt idx="433">
                    <c:v>2041</c:v>
                  </c:pt>
                  <c:pt idx="434">
                    <c:v>2042</c:v>
                  </c:pt>
                  <c:pt idx="435">
                    <c:v>2043</c:v>
                  </c:pt>
                  <c:pt idx="436">
                    <c:v>2044</c:v>
                  </c:pt>
                  <c:pt idx="437">
                    <c:v>2045</c:v>
                  </c:pt>
                  <c:pt idx="438">
                    <c:v>2046</c:v>
                  </c:pt>
                  <c:pt idx="439">
                    <c:v>2047</c:v>
                  </c:pt>
                  <c:pt idx="440">
                    <c:v>2048</c:v>
                  </c:pt>
                  <c:pt idx="441">
                    <c:v>2049</c:v>
                  </c:pt>
                  <c:pt idx="442">
                    <c:v>2050</c:v>
                  </c:pt>
                  <c:pt idx="443">
                    <c:v>2051</c:v>
                  </c:pt>
                  <c:pt idx="444">
                    <c:v>2052</c:v>
                  </c:pt>
                  <c:pt idx="445">
                    <c:v>2053</c:v>
                  </c:pt>
                  <c:pt idx="446">
                    <c:v>2054</c:v>
                  </c:pt>
                  <c:pt idx="447">
                    <c:v>2055</c:v>
                  </c:pt>
                  <c:pt idx="448">
                    <c:v>2015</c:v>
                  </c:pt>
                  <c:pt idx="449">
                    <c:v>2016</c:v>
                  </c:pt>
                  <c:pt idx="450">
                    <c:v>2017</c:v>
                  </c:pt>
                  <c:pt idx="451">
                    <c:v>2018</c:v>
                  </c:pt>
                  <c:pt idx="452">
                    <c:v>2019</c:v>
                  </c:pt>
                  <c:pt idx="453">
                    <c:v>2020</c:v>
                  </c:pt>
                  <c:pt idx="454">
                    <c:v>2021</c:v>
                  </c:pt>
                  <c:pt idx="455">
                    <c:v>2022</c:v>
                  </c:pt>
                  <c:pt idx="456">
                    <c:v>2023</c:v>
                  </c:pt>
                  <c:pt idx="457">
                    <c:v>2024</c:v>
                  </c:pt>
                  <c:pt idx="458">
                    <c:v>2025</c:v>
                  </c:pt>
                  <c:pt idx="459">
                    <c:v>2026</c:v>
                  </c:pt>
                  <c:pt idx="460">
                    <c:v>2027</c:v>
                  </c:pt>
                  <c:pt idx="461">
                    <c:v>2028</c:v>
                  </c:pt>
                  <c:pt idx="462">
                    <c:v>2029</c:v>
                  </c:pt>
                  <c:pt idx="463">
                    <c:v>2030</c:v>
                  </c:pt>
                  <c:pt idx="464">
                    <c:v>2031</c:v>
                  </c:pt>
                  <c:pt idx="465">
                    <c:v>2032</c:v>
                  </c:pt>
                  <c:pt idx="466">
                    <c:v>2033</c:v>
                  </c:pt>
                  <c:pt idx="467">
                    <c:v>2034</c:v>
                  </c:pt>
                  <c:pt idx="468">
                    <c:v>2035</c:v>
                  </c:pt>
                  <c:pt idx="469">
                    <c:v>2036</c:v>
                  </c:pt>
                  <c:pt idx="470">
                    <c:v>2037</c:v>
                  </c:pt>
                  <c:pt idx="471">
                    <c:v>2038</c:v>
                  </c:pt>
                  <c:pt idx="472">
                    <c:v>2039</c:v>
                  </c:pt>
                  <c:pt idx="473">
                    <c:v>2040</c:v>
                  </c:pt>
                  <c:pt idx="474">
                    <c:v>2041</c:v>
                  </c:pt>
                  <c:pt idx="475">
                    <c:v>2042</c:v>
                  </c:pt>
                  <c:pt idx="476">
                    <c:v>2043</c:v>
                  </c:pt>
                  <c:pt idx="477">
                    <c:v>2044</c:v>
                  </c:pt>
                  <c:pt idx="478">
                    <c:v>2045</c:v>
                  </c:pt>
                  <c:pt idx="479">
                    <c:v>2046</c:v>
                  </c:pt>
                  <c:pt idx="480">
                    <c:v>2047</c:v>
                  </c:pt>
                  <c:pt idx="481">
                    <c:v>2048</c:v>
                  </c:pt>
                  <c:pt idx="482">
                    <c:v>2049</c:v>
                  </c:pt>
                  <c:pt idx="483">
                    <c:v>2050</c:v>
                  </c:pt>
                  <c:pt idx="484">
                    <c:v>2051</c:v>
                  </c:pt>
                  <c:pt idx="485">
                    <c:v>2052</c:v>
                  </c:pt>
                  <c:pt idx="486">
                    <c:v>2053</c:v>
                  </c:pt>
                  <c:pt idx="487">
                    <c:v>2054</c:v>
                  </c:pt>
                  <c:pt idx="488">
                    <c:v>2055</c:v>
                  </c:pt>
                </c:lvl>
                <c:lvl>
                  <c:pt idx="0">
                    <c:v>Jan</c:v>
                  </c:pt>
                  <c:pt idx="41">
                    <c:v>Feb</c:v>
                  </c:pt>
                  <c:pt idx="79">
                    <c:v>Mar</c:v>
                  </c:pt>
                  <c:pt idx="120">
                    <c:v>Apr</c:v>
                  </c:pt>
                  <c:pt idx="161">
                    <c:v>May</c:v>
                  </c:pt>
                  <c:pt idx="202">
                    <c:v>Jun</c:v>
                  </c:pt>
                  <c:pt idx="243">
                    <c:v>Jul</c:v>
                  </c:pt>
                  <c:pt idx="284">
                    <c:v>Aug</c:v>
                  </c:pt>
                  <c:pt idx="325">
                    <c:v>Sep</c:v>
                  </c:pt>
                  <c:pt idx="366">
                    <c:v>Oct</c:v>
                  </c:pt>
                  <c:pt idx="407">
                    <c:v>Nov</c:v>
                  </c:pt>
                  <c:pt idx="448">
                    <c:v>Dec</c:v>
                  </c:pt>
                </c:lvl>
              </c:multiLvlStrCache>
            </c:multiLvlStrRef>
          </c:cat>
          <c:val>
            <c:numRef>
              <c:f>'Pivot-AveragePrice Vs Time'!$B$4:$B$505</c:f>
              <c:numCache>
                <c:formatCode>General</c:formatCode>
                <c:ptCount val="489"/>
                <c:pt idx="0">
                  <c:v>59091.450138964661</c:v>
                </c:pt>
                <c:pt idx="1">
                  <c:v>27179.606846316357</c:v>
                </c:pt>
                <c:pt idx="3">
                  <c:v>33545.018787942565</c:v>
                </c:pt>
                <c:pt idx="4">
                  <c:v>20552.296345272345</c:v>
                </c:pt>
                <c:pt idx="5">
                  <c:v>34386.811452878355</c:v>
                </c:pt>
                <c:pt idx="6">
                  <c:v>36996.777182930011</c:v>
                </c:pt>
                <c:pt idx="7">
                  <c:v>40376.304363126328</c:v>
                </c:pt>
                <c:pt idx="8">
                  <c:v>38637.715850503555</c:v>
                </c:pt>
                <c:pt idx="9">
                  <c:v>23871.171684988294</c:v>
                </c:pt>
                <c:pt idx="10">
                  <c:v>37382.701748629479</c:v>
                </c:pt>
                <c:pt idx="11">
                  <c:v>33858.493553241722</c:v>
                </c:pt>
                <c:pt idx="12">
                  <c:v>23585.038879057152</c:v>
                </c:pt>
                <c:pt idx="13">
                  <c:v>32150.20823595535</c:v>
                </c:pt>
                <c:pt idx="14">
                  <c:v>20008.996577339462</c:v>
                </c:pt>
                <c:pt idx="15">
                  <c:v>39570.156769333931</c:v>
                </c:pt>
                <c:pt idx="16">
                  <c:v>35935.1515278019</c:v>
                </c:pt>
                <c:pt idx="17">
                  <c:v>32267.671507569899</c:v>
                </c:pt>
                <c:pt idx="18">
                  <c:v>24518.624565523991</c:v>
                </c:pt>
                <c:pt idx="19">
                  <c:v>34908.827434957973</c:v>
                </c:pt>
                <c:pt idx="20">
                  <c:v>33794.642948933826</c:v>
                </c:pt>
                <c:pt idx="21">
                  <c:v>34591.583030011563</c:v>
                </c:pt>
                <c:pt idx="22">
                  <c:v>22035.031332341656</c:v>
                </c:pt>
                <c:pt idx="23">
                  <c:v>26685.495412245258</c:v>
                </c:pt>
                <c:pt idx="24">
                  <c:v>40725.745638866938</c:v>
                </c:pt>
                <c:pt idx="25">
                  <c:v>23150.985102104612</c:v>
                </c:pt>
                <c:pt idx="26">
                  <c:v>24926.216346535664</c:v>
                </c:pt>
                <c:pt idx="27">
                  <c:v>23951.794906543972</c:v>
                </c:pt>
                <c:pt idx="28">
                  <c:v>254804.61792676052</c:v>
                </c:pt>
                <c:pt idx="29">
                  <c:v>30667.704523911412</c:v>
                </c:pt>
                <c:pt idx="30">
                  <c:v>29969.645442300534</c:v>
                </c:pt>
                <c:pt idx="31">
                  <c:v>32682.549217852018</c:v>
                </c:pt>
                <c:pt idx="32">
                  <c:v>24674.431684623138</c:v>
                </c:pt>
                <c:pt idx="33">
                  <c:v>23951.526285794462</c:v>
                </c:pt>
                <c:pt idx="34">
                  <c:v>30802.869905249325</c:v>
                </c:pt>
                <c:pt idx="35">
                  <c:v>33795.775801513235</c:v>
                </c:pt>
                <c:pt idx="36">
                  <c:v>29207.352134865148</c:v>
                </c:pt>
                <c:pt idx="37">
                  <c:v>35199.52343698038</c:v>
                </c:pt>
                <c:pt idx="38">
                  <c:v>26232.910648269084</c:v>
                </c:pt>
                <c:pt idx="39">
                  <c:v>32683.26376263643</c:v>
                </c:pt>
                <c:pt idx="40">
                  <c:v>67607.420572604708</c:v>
                </c:pt>
                <c:pt idx="41">
                  <c:v>23598.478006645528</c:v>
                </c:pt>
                <c:pt idx="42">
                  <c:v>23742.30287904778</c:v>
                </c:pt>
                <c:pt idx="43">
                  <c:v>29551.321528563865</c:v>
                </c:pt>
                <c:pt idx="44">
                  <c:v>27738.468403754618</c:v>
                </c:pt>
                <c:pt idx="45">
                  <c:v>288951.79130851681</c:v>
                </c:pt>
                <c:pt idx="47">
                  <c:v>26554.060909552161</c:v>
                </c:pt>
                <c:pt idx="48">
                  <c:v>32181.618348370161</c:v>
                </c:pt>
                <c:pt idx="49">
                  <c:v>22678.125598950901</c:v>
                </c:pt>
                <c:pt idx="50">
                  <c:v>36900.456770737255</c:v>
                </c:pt>
                <c:pt idx="51">
                  <c:v>15757.286896849622</c:v>
                </c:pt>
                <c:pt idx="52">
                  <c:v>34981.334097235696</c:v>
                </c:pt>
                <c:pt idx="53">
                  <c:v>35151.417270159211</c:v>
                </c:pt>
                <c:pt idx="54">
                  <c:v>34581.638373512411</c:v>
                </c:pt>
                <c:pt idx="55">
                  <c:v>29046.587996183269</c:v>
                </c:pt>
                <c:pt idx="57">
                  <c:v>28779.216823546758</c:v>
                </c:pt>
                <c:pt idx="58">
                  <c:v>22799.745587028527</c:v>
                </c:pt>
                <c:pt idx="59">
                  <c:v>283758.43082456884</c:v>
                </c:pt>
                <c:pt idx="60">
                  <c:v>31405.95711984688</c:v>
                </c:pt>
                <c:pt idx="61">
                  <c:v>22147.496981884113</c:v>
                </c:pt>
                <c:pt idx="62">
                  <c:v>32202.373689801996</c:v>
                </c:pt>
                <c:pt idx="63">
                  <c:v>24062.007904852435</c:v>
                </c:pt>
                <c:pt idx="64">
                  <c:v>29558.589758243725</c:v>
                </c:pt>
                <c:pt idx="65">
                  <c:v>26753.612274669966</c:v>
                </c:pt>
                <c:pt idx="66">
                  <c:v>38362.861934188521</c:v>
                </c:pt>
                <c:pt idx="67">
                  <c:v>26322.350287051166</c:v>
                </c:pt>
                <c:pt idx="68">
                  <c:v>29237.650818097281</c:v>
                </c:pt>
                <c:pt idx="69">
                  <c:v>34192.453872258207</c:v>
                </c:pt>
                <c:pt idx="70">
                  <c:v>25507.660091044814</c:v>
                </c:pt>
                <c:pt idx="71">
                  <c:v>28473.876478226663</c:v>
                </c:pt>
                <c:pt idx="72">
                  <c:v>32999.643649981022</c:v>
                </c:pt>
                <c:pt idx="73">
                  <c:v>30015.230100767072</c:v>
                </c:pt>
                <c:pt idx="74">
                  <c:v>27117.447996366402</c:v>
                </c:pt>
                <c:pt idx="76">
                  <c:v>26971.922301315681</c:v>
                </c:pt>
                <c:pt idx="77">
                  <c:v>32299.860714695584</c:v>
                </c:pt>
                <c:pt idx="78">
                  <c:v>35928.520773314987</c:v>
                </c:pt>
                <c:pt idx="80">
                  <c:v>34362.286641400722</c:v>
                </c:pt>
                <c:pt idx="81">
                  <c:v>37218.823020366297</c:v>
                </c:pt>
                <c:pt idx="82">
                  <c:v>37200.586077247368</c:v>
                </c:pt>
                <c:pt idx="83">
                  <c:v>17880.603366855219</c:v>
                </c:pt>
                <c:pt idx="84">
                  <c:v>30134.429194972654</c:v>
                </c:pt>
                <c:pt idx="85">
                  <c:v>30298.151849600872</c:v>
                </c:pt>
                <c:pt idx="86">
                  <c:v>38679.819015826244</c:v>
                </c:pt>
                <c:pt idx="87">
                  <c:v>30190.017390841</c:v>
                </c:pt>
                <c:pt idx="90">
                  <c:v>35743.828501860517</c:v>
                </c:pt>
                <c:pt idx="91">
                  <c:v>27531.217084193438</c:v>
                </c:pt>
                <c:pt idx="92">
                  <c:v>31193.945795132568</c:v>
                </c:pt>
                <c:pt idx="93">
                  <c:v>31732.442379489963</c:v>
                </c:pt>
                <c:pt idx="94">
                  <c:v>31087.164365898614</c:v>
                </c:pt>
                <c:pt idx="95">
                  <c:v>24284.97543634758</c:v>
                </c:pt>
                <c:pt idx="96">
                  <c:v>34820.435841441787</c:v>
                </c:pt>
                <c:pt idx="97">
                  <c:v>37972.525316124862</c:v>
                </c:pt>
                <c:pt idx="98">
                  <c:v>17502.971425632135</c:v>
                </c:pt>
                <c:pt idx="99">
                  <c:v>30521.005519759379</c:v>
                </c:pt>
                <c:pt idx="100">
                  <c:v>25051.859317148312</c:v>
                </c:pt>
                <c:pt idx="101">
                  <c:v>29901.811005366595</c:v>
                </c:pt>
                <c:pt idx="102">
                  <c:v>61734.857356936227</c:v>
                </c:pt>
                <c:pt idx="103">
                  <c:v>31549.103551135137</c:v>
                </c:pt>
                <c:pt idx="104">
                  <c:v>42898.546688271592</c:v>
                </c:pt>
                <c:pt idx="105">
                  <c:v>23880.298666188719</c:v>
                </c:pt>
                <c:pt idx="106">
                  <c:v>32095.095046830225</c:v>
                </c:pt>
                <c:pt idx="107">
                  <c:v>36180.465876052185</c:v>
                </c:pt>
                <c:pt idx="109">
                  <c:v>30409.146792737825</c:v>
                </c:pt>
                <c:pt idx="110">
                  <c:v>30140.90578684564</c:v>
                </c:pt>
                <c:pt idx="111">
                  <c:v>26952.438989203583</c:v>
                </c:pt>
                <c:pt idx="112">
                  <c:v>37653.754161718491</c:v>
                </c:pt>
                <c:pt idx="113">
                  <c:v>32184.690848731749</c:v>
                </c:pt>
                <c:pt idx="114">
                  <c:v>17044.788539275451</c:v>
                </c:pt>
                <c:pt idx="115">
                  <c:v>25333.660204634019</c:v>
                </c:pt>
                <c:pt idx="117">
                  <c:v>26611.423151239469</c:v>
                </c:pt>
                <c:pt idx="118">
                  <c:v>33594.766553325331</c:v>
                </c:pt>
                <c:pt idx="119">
                  <c:v>34639.200640406183</c:v>
                </c:pt>
                <c:pt idx="120">
                  <c:v>29671.248694635062</c:v>
                </c:pt>
                <c:pt idx="121">
                  <c:v>33251.005889793305</c:v>
                </c:pt>
                <c:pt idx="122">
                  <c:v>29589.244108037157</c:v>
                </c:pt>
                <c:pt idx="123">
                  <c:v>26618.038489703653</c:v>
                </c:pt>
                <c:pt idx="124">
                  <c:v>22080.485882571382</c:v>
                </c:pt>
                <c:pt idx="125">
                  <c:v>31041.914039737763</c:v>
                </c:pt>
                <c:pt idx="126">
                  <c:v>26765.31611147213</c:v>
                </c:pt>
                <c:pt idx="127">
                  <c:v>30989.553917313238</c:v>
                </c:pt>
                <c:pt idx="128">
                  <c:v>30600.156633591305</c:v>
                </c:pt>
                <c:pt idx="129">
                  <c:v>35235.49151306077</c:v>
                </c:pt>
                <c:pt idx="130">
                  <c:v>31979.017667187047</c:v>
                </c:pt>
                <c:pt idx="131">
                  <c:v>21301.4311061095</c:v>
                </c:pt>
                <c:pt idx="132">
                  <c:v>22217.090506701243</c:v>
                </c:pt>
                <c:pt idx="133">
                  <c:v>287047.89270896482</c:v>
                </c:pt>
                <c:pt idx="134">
                  <c:v>34990.050549298263</c:v>
                </c:pt>
                <c:pt idx="135">
                  <c:v>34350.338653443774</c:v>
                </c:pt>
                <c:pt idx="136">
                  <c:v>38167.15766150548</c:v>
                </c:pt>
                <c:pt idx="137">
                  <c:v>35947.352444623204</c:v>
                </c:pt>
                <c:pt idx="138">
                  <c:v>25765.193258408362</c:v>
                </c:pt>
                <c:pt idx="139">
                  <c:v>41454.712862953711</c:v>
                </c:pt>
                <c:pt idx="140">
                  <c:v>29687.034360502388</c:v>
                </c:pt>
                <c:pt idx="141">
                  <c:v>34703.855939941081</c:v>
                </c:pt>
                <c:pt idx="142">
                  <c:v>327624.49772085738</c:v>
                </c:pt>
                <c:pt idx="143">
                  <c:v>23780.683823043575</c:v>
                </c:pt>
                <c:pt idx="144">
                  <c:v>33168.884404660494</c:v>
                </c:pt>
                <c:pt idx="145">
                  <c:v>25981.627160151347</c:v>
                </c:pt>
                <c:pt idx="146">
                  <c:v>30170.417341296132</c:v>
                </c:pt>
                <c:pt idx="147">
                  <c:v>26474.940721207957</c:v>
                </c:pt>
                <c:pt idx="148">
                  <c:v>35456.550602971343</c:v>
                </c:pt>
                <c:pt idx="149">
                  <c:v>34783.511583972919</c:v>
                </c:pt>
                <c:pt idx="150">
                  <c:v>29505.551734044286</c:v>
                </c:pt>
                <c:pt idx="151">
                  <c:v>29954.405016778983</c:v>
                </c:pt>
                <c:pt idx="152">
                  <c:v>29065.143485072771</c:v>
                </c:pt>
                <c:pt idx="153">
                  <c:v>36093.809258486581</c:v>
                </c:pt>
                <c:pt idx="154">
                  <c:v>35953.231373931703</c:v>
                </c:pt>
                <c:pt idx="155">
                  <c:v>27268.777758737586</c:v>
                </c:pt>
                <c:pt idx="156">
                  <c:v>27783.588744042449</c:v>
                </c:pt>
                <c:pt idx="157">
                  <c:v>33389.629356696343</c:v>
                </c:pt>
                <c:pt idx="158">
                  <c:v>40066.936237633112</c:v>
                </c:pt>
                <c:pt idx="159">
                  <c:v>34980.238429029079</c:v>
                </c:pt>
                <c:pt idx="161">
                  <c:v>66629.787713736965</c:v>
                </c:pt>
                <c:pt idx="162">
                  <c:v>29504.120681103086</c:v>
                </c:pt>
                <c:pt idx="163">
                  <c:v>35586.479157940637</c:v>
                </c:pt>
                <c:pt idx="164">
                  <c:v>39004.702164554081</c:v>
                </c:pt>
                <c:pt idx="165">
                  <c:v>33802.073280721488</c:v>
                </c:pt>
                <c:pt idx="166">
                  <c:v>19791.325657878548</c:v>
                </c:pt>
                <c:pt idx="167">
                  <c:v>33491.116568067948</c:v>
                </c:pt>
                <c:pt idx="169">
                  <c:v>33067.589863652087</c:v>
                </c:pt>
                <c:pt idx="170">
                  <c:v>38419.638457289344</c:v>
                </c:pt>
                <c:pt idx="171">
                  <c:v>32470.150931413693</c:v>
                </c:pt>
                <c:pt idx="172">
                  <c:v>28187.795292984338</c:v>
                </c:pt>
                <c:pt idx="173">
                  <c:v>27859.424195170439</c:v>
                </c:pt>
                <c:pt idx="174">
                  <c:v>29018.250754575107</c:v>
                </c:pt>
                <c:pt idx="175">
                  <c:v>15518.723109031554</c:v>
                </c:pt>
                <c:pt idx="176">
                  <c:v>32478.409439863022</c:v>
                </c:pt>
                <c:pt idx="177">
                  <c:v>24268.27303490656</c:v>
                </c:pt>
                <c:pt idx="178">
                  <c:v>56848.961273564331</c:v>
                </c:pt>
                <c:pt idx="179">
                  <c:v>25043.038252718463</c:v>
                </c:pt>
                <c:pt idx="180">
                  <c:v>23052.137666182018</c:v>
                </c:pt>
                <c:pt idx="181">
                  <c:v>26230.17705566662</c:v>
                </c:pt>
                <c:pt idx="182">
                  <c:v>25087.563032308452</c:v>
                </c:pt>
                <c:pt idx="183">
                  <c:v>31119.570670323308</c:v>
                </c:pt>
                <c:pt idx="185">
                  <c:v>32068.995487257493</c:v>
                </c:pt>
                <c:pt idx="186">
                  <c:v>38195.584027220335</c:v>
                </c:pt>
                <c:pt idx="187">
                  <c:v>26150.13384470679</c:v>
                </c:pt>
                <c:pt idx="188">
                  <c:v>29721.15461171147</c:v>
                </c:pt>
                <c:pt idx="189">
                  <c:v>33045.690604535885</c:v>
                </c:pt>
                <c:pt idx="190">
                  <c:v>26070.052697460254</c:v>
                </c:pt>
                <c:pt idx="191">
                  <c:v>34595.382414938846</c:v>
                </c:pt>
                <c:pt idx="192">
                  <c:v>35429.477829157891</c:v>
                </c:pt>
                <c:pt idx="194">
                  <c:v>28932.785645348958</c:v>
                </c:pt>
                <c:pt idx="195">
                  <c:v>34747.770677206616</c:v>
                </c:pt>
                <c:pt idx="196">
                  <c:v>31959.020027012732</c:v>
                </c:pt>
                <c:pt idx="197">
                  <c:v>25575.986429865494</c:v>
                </c:pt>
                <c:pt idx="198">
                  <c:v>27560.442959271488</c:v>
                </c:pt>
                <c:pt idx="199">
                  <c:v>30682.676655413688</c:v>
                </c:pt>
                <c:pt idx="200">
                  <c:v>26216.024557152698</c:v>
                </c:pt>
                <c:pt idx="201">
                  <c:v>68985.303526378935</c:v>
                </c:pt>
                <c:pt idx="202">
                  <c:v>22759.93049791878</c:v>
                </c:pt>
                <c:pt idx="203">
                  <c:v>39233.184980238329</c:v>
                </c:pt>
                <c:pt idx="204">
                  <c:v>31713.626731888522</c:v>
                </c:pt>
                <c:pt idx="205">
                  <c:v>29799.210246778282</c:v>
                </c:pt>
                <c:pt idx="207">
                  <c:v>28764.113087397014</c:v>
                </c:pt>
                <c:pt idx="208">
                  <c:v>31967.426927108747</c:v>
                </c:pt>
                <c:pt idx="209">
                  <c:v>27580.570829728393</c:v>
                </c:pt>
                <c:pt idx="210">
                  <c:v>24886.037174007972</c:v>
                </c:pt>
                <c:pt idx="211">
                  <c:v>27705.578685655299</c:v>
                </c:pt>
                <c:pt idx="212">
                  <c:v>313033.68829119537</c:v>
                </c:pt>
                <c:pt idx="213">
                  <c:v>24401.650526869282</c:v>
                </c:pt>
                <c:pt idx="214">
                  <c:v>37503.798953171558</c:v>
                </c:pt>
                <c:pt idx="215">
                  <c:v>29641.993702929682</c:v>
                </c:pt>
                <c:pt idx="216">
                  <c:v>40441.87352390364</c:v>
                </c:pt>
                <c:pt idx="217">
                  <c:v>30752.094525717883</c:v>
                </c:pt>
                <c:pt idx="218">
                  <c:v>31513.177326195168</c:v>
                </c:pt>
                <c:pt idx="219">
                  <c:v>33505.863711554492</c:v>
                </c:pt>
                <c:pt idx="220">
                  <c:v>19233.049431981424</c:v>
                </c:pt>
                <c:pt idx="222">
                  <c:v>28596.624615666129</c:v>
                </c:pt>
                <c:pt idx="223">
                  <c:v>28876.834250014876</c:v>
                </c:pt>
                <c:pt idx="224">
                  <c:v>36820.702149869219</c:v>
                </c:pt>
                <c:pt idx="225">
                  <c:v>264079.63672154013</c:v>
                </c:pt>
                <c:pt idx="226">
                  <c:v>29073.561705611457</c:v>
                </c:pt>
                <c:pt idx="227">
                  <c:v>38388.504070382201</c:v>
                </c:pt>
                <c:pt idx="228">
                  <c:v>31168.92955895374</c:v>
                </c:pt>
                <c:pt idx="229">
                  <c:v>32791.634562608611</c:v>
                </c:pt>
                <c:pt idx="230">
                  <c:v>24538.436176637104</c:v>
                </c:pt>
                <c:pt idx="231">
                  <c:v>23343.83523221111</c:v>
                </c:pt>
                <c:pt idx="232">
                  <c:v>28548.627279056742</c:v>
                </c:pt>
                <c:pt idx="233">
                  <c:v>32373.491164399762</c:v>
                </c:pt>
                <c:pt idx="234">
                  <c:v>32648.463771783652</c:v>
                </c:pt>
                <c:pt idx="235">
                  <c:v>37453.630684249758</c:v>
                </c:pt>
                <c:pt idx="236">
                  <c:v>22575.510157750483</c:v>
                </c:pt>
                <c:pt idx="237">
                  <c:v>22605.442156129357</c:v>
                </c:pt>
                <c:pt idx="238">
                  <c:v>29135.269700382883</c:v>
                </c:pt>
                <c:pt idx="239">
                  <c:v>40786.541066327518</c:v>
                </c:pt>
                <c:pt idx="240">
                  <c:v>28173.392243439455</c:v>
                </c:pt>
                <c:pt idx="241">
                  <c:v>22890.94666629078</c:v>
                </c:pt>
                <c:pt idx="242">
                  <c:v>32539.178781448118</c:v>
                </c:pt>
                <c:pt idx="243">
                  <c:v>19005.97021689959</c:v>
                </c:pt>
                <c:pt idx="244">
                  <c:v>24649.576168369236</c:v>
                </c:pt>
                <c:pt idx="245">
                  <c:v>32283.766095768919</c:v>
                </c:pt>
                <c:pt idx="246">
                  <c:v>22846.124489409758</c:v>
                </c:pt>
                <c:pt idx="247">
                  <c:v>32127.287808924822</c:v>
                </c:pt>
                <c:pt idx="248">
                  <c:v>26590.078760011005</c:v>
                </c:pt>
                <c:pt idx="249">
                  <c:v>34475.966100138663</c:v>
                </c:pt>
                <c:pt idx="250">
                  <c:v>28398.2634590284</c:v>
                </c:pt>
                <c:pt idx="251">
                  <c:v>28713.117312883274</c:v>
                </c:pt>
                <c:pt idx="252">
                  <c:v>35393.404167156477</c:v>
                </c:pt>
                <c:pt idx="253">
                  <c:v>27248.474230772899</c:v>
                </c:pt>
                <c:pt idx="254">
                  <c:v>23526.59262139547</c:v>
                </c:pt>
                <c:pt idx="255">
                  <c:v>34251.108710567467</c:v>
                </c:pt>
                <c:pt idx="256">
                  <c:v>29813.888817450792</c:v>
                </c:pt>
                <c:pt idx="257">
                  <c:v>29302.051859224131</c:v>
                </c:pt>
                <c:pt idx="258">
                  <c:v>31824.805012331126</c:v>
                </c:pt>
                <c:pt idx="259">
                  <c:v>26228.62074990321</c:v>
                </c:pt>
                <c:pt idx="260">
                  <c:v>28512.182483200042</c:v>
                </c:pt>
                <c:pt idx="261">
                  <c:v>26805.191261552489</c:v>
                </c:pt>
                <c:pt idx="262">
                  <c:v>35112.852160048198</c:v>
                </c:pt>
                <c:pt idx="263">
                  <c:v>21535.21592902307</c:v>
                </c:pt>
                <c:pt idx="264">
                  <c:v>32750.260495122759</c:v>
                </c:pt>
                <c:pt idx="265">
                  <c:v>30626.122513239538</c:v>
                </c:pt>
                <c:pt idx="266">
                  <c:v>34474.621884722204</c:v>
                </c:pt>
                <c:pt idx="267">
                  <c:v>29350.896501332871</c:v>
                </c:pt>
                <c:pt idx="268">
                  <c:v>27232.058791460026</c:v>
                </c:pt>
                <c:pt idx="269">
                  <c:v>22220.521768981864</c:v>
                </c:pt>
                <c:pt idx="271">
                  <c:v>28417.957751525992</c:v>
                </c:pt>
                <c:pt idx="272">
                  <c:v>20818.973134483516</c:v>
                </c:pt>
                <c:pt idx="273">
                  <c:v>31336.961570359515</c:v>
                </c:pt>
                <c:pt idx="275">
                  <c:v>29647.506109704544</c:v>
                </c:pt>
                <c:pt idx="276">
                  <c:v>30743.337286010559</c:v>
                </c:pt>
                <c:pt idx="277">
                  <c:v>51901.993881686591</c:v>
                </c:pt>
                <c:pt idx="278">
                  <c:v>30916.799598895777</c:v>
                </c:pt>
                <c:pt idx="279">
                  <c:v>38558.542400711718</c:v>
                </c:pt>
                <c:pt idx="281">
                  <c:v>309234.01529324544</c:v>
                </c:pt>
                <c:pt idx="282">
                  <c:v>37506.668259777434</c:v>
                </c:pt>
                <c:pt idx="283">
                  <c:v>32691.480395248163</c:v>
                </c:pt>
                <c:pt idx="284">
                  <c:v>32200.072250266661</c:v>
                </c:pt>
                <c:pt idx="285">
                  <c:v>22372.374145376307</c:v>
                </c:pt>
                <c:pt idx="286">
                  <c:v>32848.836401161017</c:v>
                </c:pt>
                <c:pt idx="287">
                  <c:v>30640.522074553948</c:v>
                </c:pt>
                <c:pt idx="288">
                  <c:v>25165.119284353936</c:v>
                </c:pt>
                <c:pt idx="289">
                  <c:v>249918.99950525421</c:v>
                </c:pt>
                <c:pt idx="290">
                  <c:v>33175.859008409847</c:v>
                </c:pt>
                <c:pt idx="291">
                  <c:v>32120.829732009581</c:v>
                </c:pt>
                <c:pt idx="292">
                  <c:v>21657.079630612054</c:v>
                </c:pt>
                <c:pt idx="293">
                  <c:v>29807.457652496465</c:v>
                </c:pt>
                <c:pt idx="294">
                  <c:v>26641.883160309742</c:v>
                </c:pt>
                <c:pt idx="295">
                  <c:v>63465.627930333139</c:v>
                </c:pt>
                <c:pt idx="296">
                  <c:v>28256.739327960706</c:v>
                </c:pt>
                <c:pt idx="297">
                  <c:v>33638.147718184897</c:v>
                </c:pt>
                <c:pt idx="298">
                  <c:v>35540.914083687581</c:v>
                </c:pt>
                <c:pt idx="299">
                  <c:v>42017.077926191378</c:v>
                </c:pt>
                <c:pt idx="300">
                  <c:v>29679.308267035038</c:v>
                </c:pt>
                <c:pt idx="301">
                  <c:v>36878.534066558095</c:v>
                </c:pt>
                <c:pt idx="302">
                  <c:v>23384.55103296251</c:v>
                </c:pt>
                <c:pt idx="303">
                  <c:v>42198.762031696366</c:v>
                </c:pt>
                <c:pt idx="304">
                  <c:v>29508.30186602625</c:v>
                </c:pt>
                <c:pt idx="305">
                  <c:v>25158.277725681823</c:v>
                </c:pt>
                <c:pt idx="306">
                  <c:v>27852.972294373736</c:v>
                </c:pt>
                <c:pt idx="307">
                  <c:v>28525.25160853986</c:v>
                </c:pt>
                <c:pt idx="308">
                  <c:v>30219.057359895549</c:v>
                </c:pt>
                <c:pt idx="309">
                  <c:v>32844.915395926379</c:v>
                </c:pt>
                <c:pt idx="310">
                  <c:v>31654.401161072285</c:v>
                </c:pt>
                <c:pt idx="311">
                  <c:v>32693.779962231845</c:v>
                </c:pt>
                <c:pt idx="312">
                  <c:v>36065.488499895917</c:v>
                </c:pt>
                <c:pt idx="313">
                  <c:v>32539.956634562717</c:v>
                </c:pt>
                <c:pt idx="314">
                  <c:v>31608.489030980068</c:v>
                </c:pt>
                <c:pt idx="315">
                  <c:v>34088.831496001432</c:v>
                </c:pt>
                <c:pt idx="316">
                  <c:v>32432.50821913101</c:v>
                </c:pt>
                <c:pt idx="317">
                  <c:v>28314.570144409805</c:v>
                </c:pt>
                <c:pt idx="318">
                  <c:v>23165.606507922894</c:v>
                </c:pt>
                <c:pt idx="319">
                  <c:v>299234.50754135021</c:v>
                </c:pt>
                <c:pt idx="320">
                  <c:v>23140.494285343219</c:v>
                </c:pt>
                <c:pt idx="321">
                  <c:v>33710.476860046532</c:v>
                </c:pt>
                <c:pt idx="322">
                  <c:v>23264.368552351516</c:v>
                </c:pt>
                <c:pt idx="323">
                  <c:v>28386.60080578932</c:v>
                </c:pt>
                <c:pt idx="324">
                  <c:v>35362.536686549014</c:v>
                </c:pt>
                <c:pt idx="325">
                  <c:v>27489.728878236943</c:v>
                </c:pt>
                <c:pt idx="326">
                  <c:v>26540.459650593777</c:v>
                </c:pt>
                <c:pt idx="327">
                  <c:v>32238.542800086576</c:v>
                </c:pt>
                <c:pt idx="328">
                  <c:v>26594.741712625597</c:v>
                </c:pt>
                <c:pt idx="329">
                  <c:v>29761.4432192901</c:v>
                </c:pt>
                <c:pt idx="330">
                  <c:v>28594.498535570227</c:v>
                </c:pt>
                <c:pt idx="331">
                  <c:v>35247.763576596677</c:v>
                </c:pt>
                <c:pt idx="332">
                  <c:v>32614.177440177496</c:v>
                </c:pt>
                <c:pt idx="333">
                  <c:v>31996.115613026395</c:v>
                </c:pt>
                <c:pt idx="334">
                  <c:v>29136.863500295902</c:v>
                </c:pt>
                <c:pt idx="335">
                  <c:v>29872.229645042775</c:v>
                </c:pt>
                <c:pt idx="336">
                  <c:v>31732.519408653578</c:v>
                </c:pt>
                <c:pt idx="337">
                  <c:v>28253.711478407855</c:v>
                </c:pt>
                <c:pt idx="338">
                  <c:v>30259.729429036499</c:v>
                </c:pt>
                <c:pt idx="339">
                  <c:v>24800.470364372348</c:v>
                </c:pt>
                <c:pt idx="340">
                  <c:v>29711.906014832071</c:v>
                </c:pt>
                <c:pt idx="341">
                  <c:v>31643.812051517401</c:v>
                </c:pt>
                <c:pt idx="342">
                  <c:v>29249.722064837366</c:v>
                </c:pt>
                <c:pt idx="343">
                  <c:v>38210.075800681843</c:v>
                </c:pt>
                <c:pt idx="344">
                  <c:v>36921.364092552591</c:v>
                </c:pt>
                <c:pt idx="345">
                  <c:v>25057.044464245413</c:v>
                </c:pt>
                <c:pt idx="346">
                  <c:v>30526.877530729798</c:v>
                </c:pt>
                <c:pt idx="347">
                  <c:v>30611.487515161418</c:v>
                </c:pt>
                <c:pt idx="348">
                  <c:v>36238.710363368671</c:v>
                </c:pt>
                <c:pt idx="349">
                  <c:v>29264.989991857557</c:v>
                </c:pt>
                <c:pt idx="350">
                  <c:v>38141.983115642688</c:v>
                </c:pt>
                <c:pt idx="351">
                  <c:v>34167.644808044621</c:v>
                </c:pt>
                <c:pt idx="352">
                  <c:v>25396.632034603168</c:v>
                </c:pt>
                <c:pt idx="353">
                  <c:v>30708.584568199523</c:v>
                </c:pt>
                <c:pt idx="354">
                  <c:v>24483.166969130631</c:v>
                </c:pt>
                <c:pt idx="355">
                  <c:v>26659.547731784754</c:v>
                </c:pt>
                <c:pt idx="356">
                  <c:v>369510.37745086564</c:v>
                </c:pt>
                <c:pt idx="358">
                  <c:v>269329.86682295299</c:v>
                </c:pt>
                <c:pt idx="359">
                  <c:v>28876.172990536583</c:v>
                </c:pt>
                <c:pt idx="360">
                  <c:v>32896.457498005439</c:v>
                </c:pt>
                <c:pt idx="361">
                  <c:v>21932.193010616294</c:v>
                </c:pt>
                <c:pt idx="362">
                  <c:v>31496.462902032461</c:v>
                </c:pt>
                <c:pt idx="363">
                  <c:v>25141.929807446744</c:v>
                </c:pt>
                <c:pt idx="364">
                  <c:v>28745.834917724762</c:v>
                </c:pt>
                <c:pt idx="365">
                  <c:v>28175.236352285574</c:v>
                </c:pt>
                <c:pt idx="366">
                  <c:v>24893.835914346433</c:v>
                </c:pt>
                <c:pt idx="367">
                  <c:v>29772.069918222511</c:v>
                </c:pt>
                <c:pt idx="368">
                  <c:v>33213.61379933772</c:v>
                </c:pt>
                <c:pt idx="369">
                  <c:v>34203.21774494362</c:v>
                </c:pt>
                <c:pt idx="370">
                  <c:v>29981.987304547158</c:v>
                </c:pt>
                <c:pt idx="371">
                  <c:v>72192.646940582665</c:v>
                </c:pt>
                <c:pt idx="372">
                  <c:v>27323.823942197159</c:v>
                </c:pt>
                <c:pt idx="373">
                  <c:v>27131.499980307104</c:v>
                </c:pt>
                <c:pt idx="374">
                  <c:v>33235.979698513707</c:v>
                </c:pt>
                <c:pt idx="375">
                  <c:v>34418.299687433362</c:v>
                </c:pt>
                <c:pt idx="376">
                  <c:v>35863.645096296823</c:v>
                </c:pt>
                <c:pt idx="377">
                  <c:v>29765.397105604079</c:v>
                </c:pt>
                <c:pt idx="378">
                  <c:v>28391.824743913086</c:v>
                </c:pt>
                <c:pt idx="379">
                  <c:v>33663.200386077893</c:v>
                </c:pt>
                <c:pt idx="380">
                  <c:v>33063.869525312846</c:v>
                </c:pt>
                <c:pt idx="381">
                  <c:v>31005.495233574838</c:v>
                </c:pt>
                <c:pt idx="384">
                  <c:v>35049.085446713172</c:v>
                </c:pt>
                <c:pt idx="385">
                  <c:v>32819.545600261801</c:v>
                </c:pt>
                <c:pt idx="388">
                  <c:v>32716.490145181939</c:v>
                </c:pt>
                <c:pt idx="389">
                  <c:v>26632.546878780657</c:v>
                </c:pt>
                <c:pt idx="390">
                  <c:v>34819.395583974547</c:v>
                </c:pt>
                <c:pt idx="391">
                  <c:v>28104.361295062565</c:v>
                </c:pt>
                <c:pt idx="392">
                  <c:v>20031.321787142722</c:v>
                </c:pt>
                <c:pt idx="393">
                  <c:v>30846.80412018039</c:v>
                </c:pt>
                <c:pt idx="394">
                  <c:v>73563.23689688032</c:v>
                </c:pt>
                <c:pt idx="395">
                  <c:v>19235.547035237585</c:v>
                </c:pt>
                <c:pt idx="396">
                  <c:v>34960.211747682617</c:v>
                </c:pt>
                <c:pt idx="397">
                  <c:v>32789.051531759309</c:v>
                </c:pt>
                <c:pt idx="398">
                  <c:v>20122.667168230644</c:v>
                </c:pt>
                <c:pt idx="400">
                  <c:v>24149.434869703204</c:v>
                </c:pt>
                <c:pt idx="401">
                  <c:v>30597.901842070765</c:v>
                </c:pt>
                <c:pt idx="402">
                  <c:v>37355.85163746804</c:v>
                </c:pt>
                <c:pt idx="403">
                  <c:v>36508.706446993994</c:v>
                </c:pt>
                <c:pt idx="404">
                  <c:v>36002.069539722128</c:v>
                </c:pt>
                <c:pt idx="405">
                  <c:v>36640.970709245288</c:v>
                </c:pt>
                <c:pt idx="406">
                  <c:v>25803.951663304968</c:v>
                </c:pt>
                <c:pt idx="407">
                  <c:v>33541.782236496765</c:v>
                </c:pt>
                <c:pt idx="408">
                  <c:v>31216.697246613458</c:v>
                </c:pt>
                <c:pt idx="409">
                  <c:v>36645.76265066216</c:v>
                </c:pt>
                <c:pt idx="410">
                  <c:v>26736.880103488045</c:v>
                </c:pt>
                <c:pt idx="411">
                  <c:v>24208.176554037287</c:v>
                </c:pt>
                <c:pt idx="412">
                  <c:v>27144.105051086015</c:v>
                </c:pt>
                <c:pt idx="413">
                  <c:v>36586.970328171628</c:v>
                </c:pt>
                <c:pt idx="414">
                  <c:v>29878.227038695084</c:v>
                </c:pt>
                <c:pt idx="415">
                  <c:v>27584.067688503128</c:v>
                </c:pt>
                <c:pt idx="416">
                  <c:v>33261.614392067095</c:v>
                </c:pt>
                <c:pt idx="417">
                  <c:v>32718.000772972162</c:v>
                </c:pt>
                <c:pt idx="418">
                  <c:v>32385.204136115608</c:v>
                </c:pt>
                <c:pt idx="419">
                  <c:v>40383.739917804203</c:v>
                </c:pt>
                <c:pt idx="420">
                  <c:v>29596.417099457089</c:v>
                </c:pt>
                <c:pt idx="421">
                  <c:v>24732.922184131719</c:v>
                </c:pt>
                <c:pt idx="422">
                  <c:v>35253.271980038058</c:v>
                </c:pt>
                <c:pt idx="423">
                  <c:v>32109.603771176422</c:v>
                </c:pt>
                <c:pt idx="424">
                  <c:v>29134.640878580652</c:v>
                </c:pt>
                <c:pt idx="425">
                  <c:v>26559.248274111382</c:v>
                </c:pt>
                <c:pt idx="426">
                  <c:v>32973.771708326429</c:v>
                </c:pt>
                <c:pt idx="427">
                  <c:v>30899.470755767394</c:v>
                </c:pt>
                <c:pt idx="428">
                  <c:v>26993.161780243932</c:v>
                </c:pt>
                <c:pt idx="429">
                  <c:v>30244.300351628521</c:v>
                </c:pt>
                <c:pt idx="430">
                  <c:v>31394.970811119008</c:v>
                </c:pt>
                <c:pt idx="431">
                  <c:v>41052.61500795676</c:v>
                </c:pt>
                <c:pt idx="432">
                  <c:v>28982.098199488191</c:v>
                </c:pt>
                <c:pt idx="433">
                  <c:v>31870.282849237861</c:v>
                </c:pt>
                <c:pt idx="434">
                  <c:v>22931.427515475101</c:v>
                </c:pt>
                <c:pt idx="436">
                  <c:v>31942.893022654822</c:v>
                </c:pt>
                <c:pt idx="437">
                  <c:v>29125.201216522957</c:v>
                </c:pt>
                <c:pt idx="438">
                  <c:v>30051.763099216903</c:v>
                </c:pt>
                <c:pt idx="439">
                  <c:v>25303.323030906227</c:v>
                </c:pt>
                <c:pt idx="440">
                  <c:v>28059.115907293857</c:v>
                </c:pt>
                <c:pt idx="441">
                  <c:v>20990.097812099899</c:v>
                </c:pt>
                <c:pt idx="442">
                  <c:v>25134.655295592223</c:v>
                </c:pt>
                <c:pt idx="443">
                  <c:v>28953.381614240669</c:v>
                </c:pt>
                <c:pt idx="444">
                  <c:v>37807.555983634265</c:v>
                </c:pt>
                <c:pt idx="445">
                  <c:v>26715.528605143023</c:v>
                </c:pt>
                <c:pt idx="446">
                  <c:v>32781.150047003299</c:v>
                </c:pt>
                <c:pt idx="447">
                  <c:v>24775.954029894834</c:v>
                </c:pt>
                <c:pt idx="448">
                  <c:v>31219.003568855995</c:v>
                </c:pt>
                <c:pt idx="449">
                  <c:v>28793.819710718351</c:v>
                </c:pt>
                <c:pt idx="450">
                  <c:v>30982.605848507352</c:v>
                </c:pt>
                <c:pt idx="451">
                  <c:v>27769.082833926102</c:v>
                </c:pt>
                <c:pt idx="452">
                  <c:v>37516.991508835752</c:v>
                </c:pt>
                <c:pt idx="453">
                  <c:v>32862.913906780792</c:v>
                </c:pt>
                <c:pt idx="454">
                  <c:v>30987.998023461998</c:v>
                </c:pt>
                <c:pt idx="455">
                  <c:v>40711.351793059323</c:v>
                </c:pt>
                <c:pt idx="456">
                  <c:v>37869.933816450168</c:v>
                </c:pt>
                <c:pt idx="457">
                  <c:v>22118.039215078752</c:v>
                </c:pt>
                <c:pt idx="458">
                  <c:v>28146.928339569469</c:v>
                </c:pt>
                <c:pt idx="459">
                  <c:v>30384.109455301277</c:v>
                </c:pt>
                <c:pt idx="460">
                  <c:v>31909.677261157765</c:v>
                </c:pt>
                <c:pt idx="461">
                  <c:v>30393.175951580452</c:v>
                </c:pt>
                <c:pt idx="462">
                  <c:v>26881.155196520973</c:v>
                </c:pt>
                <c:pt idx="463">
                  <c:v>35527.629664789922</c:v>
                </c:pt>
                <c:pt idx="464">
                  <c:v>38068.556345293233</c:v>
                </c:pt>
                <c:pt idx="465">
                  <c:v>30077.895237907338</c:v>
                </c:pt>
                <c:pt idx="466">
                  <c:v>41262.17902672154</c:v>
                </c:pt>
                <c:pt idx="467">
                  <c:v>34267.077793901539</c:v>
                </c:pt>
                <c:pt idx="468">
                  <c:v>36960.011431722996</c:v>
                </c:pt>
                <c:pt idx="469">
                  <c:v>31598.909670712685</c:v>
                </c:pt>
                <c:pt idx="470">
                  <c:v>56693.000016985636</c:v>
                </c:pt>
                <c:pt idx="471">
                  <c:v>25823.264733701213</c:v>
                </c:pt>
                <c:pt idx="472">
                  <c:v>272125.4107496083</c:v>
                </c:pt>
                <c:pt idx="473">
                  <c:v>27091.595430256781</c:v>
                </c:pt>
                <c:pt idx="474">
                  <c:v>36138.344962366464</c:v>
                </c:pt>
                <c:pt idx="475">
                  <c:v>29443.8696932565</c:v>
                </c:pt>
                <c:pt idx="476">
                  <c:v>28454.417678987495</c:v>
                </c:pt>
                <c:pt idx="477">
                  <c:v>42464.997587163954</c:v>
                </c:pt>
                <c:pt idx="478">
                  <c:v>26221.274202535777</c:v>
                </c:pt>
                <c:pt idx="479">
                  <c:v>23440.818838249201</c:v>
                </c:pt>
                <c:pt idx="480">
                  <c:v>29279.562221391923</c:v>
                </c:pt>
                <c:pt idx="481">
                  <c:v>30852.08111187744</c:v>
                </c:pt>
                <c:pt idx="482">
                  <c:v>32707.313641023939</c:v>
                </c:pt>
                <c:pt idx="483">
                  <c:v>35982.857508322457</c:v>
                </c:pt>
                <c:pt idx="484">
                  <c:v>26654.636306700417</c:v>
                </c:pt>
                <c:pt idx="485">
                  <c:v>30160.020745328835</c:v>
                </c:pt>
                <c:pt idx="486">
                  <c:v>24765.445086590302</c:v>
                </c:pt>
                <c:pt idx="487">
                  <c:v>322794.38860408036</c:v>
                </c:pt>
                <c:pt idx="488">
                  <c:v>20168.217053119992</c:v>
                </c:pt>
              </c:numCache>
            </c:numRef>
          </c:val>
          <c:smooth val="0"/>
          <c:extLst>
            <c:ext xmlns:c16="http://schemas.microsoft.com/office/drawing/2014/chart" uri="{C3380CC4-5D6E-409C-BE32-E72D297353CC}">
              <c16:uniqueId val="{00000001-691D-405C-AA4B-02A5C358C738}"/>
            </c:ext>
          </c:extLst>
        </c:ser>
        <c:dLbls>
          <c:showLegendKey val="0"/>
          <c:showVal val="0"/>
          <c:showCatName val="0"/>
          <c:showSerName val="0"/>
          <c:showPercent val="0"/>
          <c:showBubbleSize val="0"/>
        </c:dLbls>
        <c:marker val="1"/>
        <c:smooth val="0"/>
        <c:axId val="659014608"/>
        <c:axId val="659027088"/>
      </c:lineChart>
      <c:catAx>
        <c:axId val="65901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27088"/>
        <c:crosses val="autoZero"/>
        <c:auto val="1"/>
        <c:lblAlgn val="ctr"/>
        <c:lblOffset val="100"/>
        <c:noMultiLvlLbl val="0"/>
      </c:catAx>
      <c:valAx>
        <c:axId val="65902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14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[Automotive_market_Demand_Forecasting_Dataset_Analysis.xlsx]Online_Interest_Index VS Market!PivotTable4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Online_Interest_Index VS Marketing_Spend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'Online_Interest_Index VS Market'!$B$3</c:f>
              <c:strCache>
                <c:ptCount val="1"/>
                <c:pt idx="0">
                  <c:v>Sum of Marketing_Spend</c:v>
                </c:pt>
              </c:strCache>
            </c:strRef>
          </c:tx>
          <c:spPr>
            <a:solidFill>
              <a:schemeClr val="accent1"/>
            </a:solidFill>
            <a:ln>
              <a:noFill/>
            </a:ln>
            <a:effectLst/>
          </c:spPr>
          <c:invertIfNegative val="0"/>
          <c:cat>
            <c:multiLvlStrRef>
              <c:f>'Online_Interest_Index VS Market'!$A$4:$A$505</c:f>
              <c:multiLvlStrCache>
                <c:ptCount val="489"/>
                <c:lvl>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2016</c:v>
                  </c:pt>
                  <c:pt idx="42">
                    <c:v>2017</c:v>
                  </c:pt>
                  <c:pt idx="43">
                    <c:v>2018</c:v>
                  </c:pt>
                  <c:pt idx="44">
                    <c:v>2019</c:v>
                  </c:pt>
                  <c:pt idx="45">
                    <c:v>2020</c:v>
                  </c:pt>
                  <c:pt idx="46">
                    <c:v>2021</c:v>
                  </c:pt>
                  <c:pt idx="47">
                    <c:v>2022</c:v>
                  </c:pt>
                  <c:pt idx="48">
                    <c:v>2023</c:v>
                  </c:pt>
                  <c:pt idx="49">
                    <c:v>2024</c:v>
                  </c:pt>
                  <c:pt idx="50">
                    <c:v>2025</c:v>
                  </c:pt>
                  <c:pt idx="51">
                    <c:v>2026</c:v>
                  </c:pt>
                  <c:pt idx="52">
                    <c:v>2027</c:v>
                  </c:pt>
                  <c:pt idx="53">
                    <c:v>2028</c:v>
                  </c:pt>
                  <c:pt idx="54">
                    <c:v>2029</c:v>
                  </c:pt>
                  <c:pt idx="55">
                    <c:v>2030</c:v>
                  </c:pt>
                  <c:pt idx="56">
                    <c:v>2031</c:v>
                  </c:pt>
                  <c:pt idx="57">
                    <c:v>2032</c:v>
                  </c:pt>
                  <c:pt idx="58">
                    <c:v>2033</c:v>
                  </c:pt>
                  <c:pt idx="59">
                    <c:v>2034</c:v>
                  </c:pt>
                  <c:pt idx="60">
                    <c:v>2035</c:v>
                  </c:pt>
                  <c:pt idx="61">
                    <c:v>2036</c:v>
                  </c:pt>
                  <c:pt idx="62">
                    <c:v>2037</c:v>
                  </c:pt>
                  <c:pt idx="63">
                    <c:v>2039</c:v>
                  </c:pt>
                  <c:pt idx="64">
                    <c:v>2040</c:v>
                  </c:pt>
                  <c:pt idx="65">
                    <c:v>2041</c:v>
                  </c:pt>
                  <c:pt idx="66">
                    <c:v>2042</c:v>
                  </c:pt>
                  <c:pt idx="67">
                    <c:v>2043</c:v>
                  </c:pt>
                  <c:pt idx="68">
                    <c:v>2044</c:v>
                  </c:pt>
                  <c:pt idx="69">
                    <c:v>2045</c:v>
                  </c:pt>
                  <c:pt idx="70">
                    <c:v>2046</c:v>
                  </c:pt>
                  <c:pt idx="71">
                    <c:v>2047</c:v>
                  </c:pt>
                  <c:pt idx="72">
                    <c:v>2048</c:v>
                  </c:pt>
                  <c:pt idx="73">
                    <c:v>2049</c:v>
                  </c:pt>
                  <c:pt idx="74">
                    <c:v>2050</c:v>
                  </c:pt>
                  <c:pt idx="75">
                    <c:v>2051</c:v>
                  </c:pt>
                  <c:pt idx="76">
                    <c:v>2052</c:v>
                  </c:pt>
                  <c:pt idx="77">
                    <c:v>2053</c:v>
                  </c:pt>
                  <c:pt idx="78">
                    <c:v>2054</c:v>
                  </c:pt>
                  <c:pt idx="79">
                    <c:v>2015</c:v>
                  </c:pt>
                  <c:pt idx="80">
                    <c:v>2016</c:v>
                  </c:pt>
                  <c:pt idx="81">
                    <c:v>2017</c:v>
                  </c:pt>
                  <c:pt idx="82">
                    <c:v>2018</c:v>
                  </c:pt>
                  <c:pt idx="83">
                    <c:v>2019</c:v>
                  </c:pt>
                  <c:pt idx="84">
                    <c:v>2020</c:v>
                  </c:pt>
                  <c:pt idx="85">
                    <c:v>2021</c:v>
                  </c:pt>
                  <c:pt idx="86">
                    <c:v>2022</c:v>
                  </c:pt>
                  <c:pt idx="87">
                    <c:v>2023</c:v>
                  </c:pt>
                  <c:pt idx="88">
                    <c:v>2024</c:v>
                  </c:pt>
                  <c:pt idx="89">
                    <c:v>2025</c:v>
                  </c:pt>
                  <c:pt idx="90">
                    <c:v>2026</c:v>
                  </c:pt>
                  <c:pt idx="91">
                    <c:v>2027</c:v>
                  </c:pt>
                  <c:pt idx="92">
                    <c:v>2028</c:v>
                  </c:pt>
                  <c:pt idx="93">
                    <c:v>2029</c:v>
                  </c:pt>
                  <c:pt idx="94">
                    <c:v>2030</c:v>
                  </c:pt>
                  <c:pt idx="95">
                    <c:v>2031</c:v>
                  </c:pt>
                  <c:pt idx="96">
                    <c:v>2032</c:v>
                  </c:pt>
                  <c:pt idx="97">
                    <c:v>2033</c:v>
                  </c:pt>
                  <c:pt idx="98">
                    <c:v>2034</c:v>
                  </c:pt>
                  <c:pt idx="99">
                    <c:v>2035</c:v>
                  </c:pt>
                  <c:pt idx="100">
                    <c:v>2036</c:v>
                  </c:pt>
                  <c:pt idx="101">
                    <c:v>2037</c:v>
                  </c:pt>
                  <c:pt idx="102">
                    <c:v>2038</c:v>
                  </c:pt>
                  <c:pt idx="103">
                    <c:v>2039</c:v>
                  </c:pt>
                  <c:pt idx="104">
                    <c:v>2040</c:v>
                  </c:pt>
                  <c:pt idx="105">
                    <c:v>2041</c:v>
                  </c:pt>
                  <c:pt idx="106">
                    <c:v>2042</c:v>
                  </c:pt>
                  <c:pt idx="107">
                    <c:v>2043</c:v>
                  </c:pt>
                  <c:pt idx="108">
                    <c:v>2044</c:v>
                  </c:pt>
                  <c:pt idx="109">
                    <c:v>2045</c:v>
                  </c:pt>
                  <c:pt idx="110">
                    <c:v>2046</c:v>
                  </c:pt>
                  <c:pt idx="111">
                    <c:v>2047</c:v>
                  </c:pt>
                  <c:pt idx="112">
                    <c:v>2048</c:v>
                  </c:pt>
                  <c:pt idx="113">
                    <c:v>2049</c:v>
                  </c:pt>
                  <c:pt idx="114">
                    <c:v>2050</c:v>
                  </c:pt>
                  <c:pt idx="115">
                    <c:v>2051</c:v>
                  </c:pt>
                  <c:pt idx="116">
                    <c:v>2052</c:v>
                  </c:pt>
                  <c:pt idx="117">
                    <c:v>2053</c:v>
                  </c:pt>
                  <c:pt idx="118">
                    <c:v>2054</c:v>
                  </c:pt>
                  <c:pt idx="119">
                    <c:v>2055</c:v>
                  </c:pt>
                  <c:pt idx="120">
                    <c:v>2015</c:v>
                  </c:pt>
                  <c:pt idx="121">
                    <c:v>2016</c:v>
                  </c:pt>
                  <c:pt idx="122">
                    <c:v>2017</c:v>
                  </c:pt>
                  <c:pt idx="123">
                    <c:v>2018</c:v>
                  </c:pt>
                  <c:pt idx="124">
                    <c:v>2019</c:v>
                  </c:pt>
                  <c:pt idx="125">
                    <c:v>2020</c:v>
                  </c:pt>
                  <c:pt idx="126">
                    <c:v>2021</c:v>
                  </c:pt>
                  <c:pt idx="127">
                    <c:v>2022</c:v>
                  </c:pt>
                  <c:pt idx="128">
                    <c:v>2023</c:v>
                  </c:pt>
                  <c:pt idx="129">
                    <c:v>2024</c:v>
                  </c:pt>
                  <c:pt idx="130">
                    <c:v>2025</c:v>
                  </c:pt>
                  <c:pt idx="131">
                    <c:v>2026</c:v>
                  </c:pt>
                  <c:pt idx="132">
                    <c:v>2027</c:v>
                  </c:pt>
                  <c:pt idx="133">
                    <c:v>2028</c:v>
                  </c:pt>
                  <c:pt idx="134">
                    <c:v>2029</c:v>
                  </c:pt>
                  <c:pt idx="135">
                    <c:v>2030</c:v>
                  </c:pt>
                  <c:pt idx="136">
                    <c:v>2031</c:v>
                  </c:pt>
                  <c:pt idx="137">
                    <c:v>2032</c:v>
                  </c:pt>
                  <c:pt idx="138">
                    <c:v>2033</c:v>
                  </c:pt>
                  <c:pt idx="139">
                    <c:v>2034</c:v>
                  </c:pt>
                  <c:pt idx="140">
                    <c:v>2035</c:v>
                  </c:pt>
                  <c:pt idx="141">
                    <c:v>2036</c:v>
                  </c:pt>
                  <c:pt idx="142">
                    <c:v>2037</c:v>
                  </c:pt>
                  <c:pt idx="143">
                    <c:v>2038</c:v>
                  </c:pt>
                  <c:pt idx="144">
                    <c:v>2039</c:v>
                  </c:pt>
                  <c:pt idx="145">
                    <c:v>2040</c:v>
                  </c:pt>
                  <c:pt idx="146">
                    <c:v>2041</c:v>
                  </c:pt>
                  <c:pt idx="147">
                    <c:v>2042</c:v>
                  </c:pt>
                  <c:pt idx="148">
                    <c:v>2043</c:v>
                  </c:pt>
                  <c:pt idx="149">
                    <c:v>2044</c:v>
                  </c:pt>
                  <c:pt idx="150">
                    <c:v>2045</c:v>
                  </c:pt>
                  <c:pt idx="151">
                    <c:v>2046</c:v>
                  </c:pt>
                  <c:pt idx="152">
                    <c:v>2047</c:v>
                  </c:pt>
                  <c:pt idx="153">
                    <c:v>2048</c:v>
                  </c:pt>
                  <c:pt idx="154">
                    <c:v>2049</c:v>
                  </c:pt>
                  <c:pt idx="155">
                    <c:v>2050</c:v>
                  </c:pt>
                  <c:pt idx="156">
                    <c:v>2051</c:v>
                  </c:pt>
                  <c:pt idx="157">
                    <c:v>2052</c:v>
                  </c:pt>
                  <c:pt idx="158">
                    <c:v>2053</c:v>
                  </c:pt>
                  <c:pt idx="159">
                    <c:v>2054</c:v>
                  </c:pt>
                  <c:pt idx="160">
                    <c:v>2055</c:v>
                  </c:pt>
                  <c:pt idx="161">
                    <c:v>2015</c:v>
                  </c:pt>
                  <c:pt idx="162">
                    <c:v>2016</c:v>
                  </c:pt>
                  <c:pt idx="163">
                    <c:v>2017</c:v>
                  </c:pt>
                  <c:pt idx="164">
                    <c:v>2018</c:v>
                  </c:pt>
                  <c:pt idx="165">
                    <c:v>2019</c:v>
                  </c:pt>
                  <c:pt idx="166">
                    <c:v>2020</c:v>
                  </c:pt>
                  <c:pt idx="167">
                    <c:v>2021</c:v>
                  </c:pt>
                  <c:pt idx="168">
                    <c:v>2022</c:v>
                  </c:pt>
                  <c:pt idx="169">
                    <c:v>2023</c:v>
                  </c:pt>
                  <c:pt idx="170">
                    <c:v>2024</c:v>
                  </c:pt>
                  <c:pt idx="171">
                    <c:v>2025</c:v>
                  </c:pt>
                  <c:pt idx="172">
                    <c:v>2026</c:v>
                  </c:pt>
                  <c:pt idx="173">
                    <c:v>2027</c:v>
                  </c:pt>
                  <c:pt idx="174">
                    <c:v>2028</c:v>
                  </c:pt>
                  <c:pt idx="175">
                    <c:v>2029</c:v>
                  </c:pt>
                  <c:pt idx="176">
                    <c:v>2030</c:v>
                  </c:pt>
                  <c:pt idx="177">
                    <c:v>2031</c:v>
                  </c:pt>
                  <c:pt idx="178">
                    <c:v>2032</c:v>
                  </c:pt>
                  <c:pt idx="179">
                    <c:v>2033</c:v>
                  </c:pt>
                  <c:pt idx="180">
                    <c:v>2034</c:v>
                  </c:pt>
                  <c:pt idx="181">
                    <c:v>2035</c:v>
                  </c:pt>
                  <c:pt idx="182">
                    <c:v>2036</c:v>
                  </c:pt>
                  <c:pt idx="183">
                    <c:v>2037</c:v>
                  </c:pt>
                  <c:pt idx="184">
                    <c:v>2038</c:v>
                  </c:pt>
                  <c:pt idx="185">
                    <c:v>2039</c:v>
                  </c:pt>
                  <c:pt idx="186">
                    <c:v>2040</c:v>
                  </c:pt>
                  <c:pt idx="187">
                    <c:v>2041</c:v>
                  </c:pt>
                  <c:pt idx="188">
                    <c:v>2042</c:v>
                  </c:pt>
                  <c:pt idx="189">
                    <c:v>2043</c:v>
                  </c:pt>
                  <c:pt idx="190">
                    <c:v>2044</c:v>
                  </c:pt>
                  <c:pt idx="191">
                    <c:v>2045</c:v>
                  </c:pt>
                  <c:pt idx="192">
                    <c:v>2046</c:v>
                  </c:pt>
                  <c:pt idx="193">
                    <c:v>2047</c:v>
                  </c:pt>
                  <c:pt idx="194">
                    <c:v>2048</c:v>
                  </c:pt>
                  <c:pt idx="195">
                    <c:v>2049</c:v>
                  </c:pt>
                  <c:pt idx="196">
                    <c:v>2050</c:v>
                  </c:pt>
                  <c:pt idx="197">
                    <c:v>2051</c:v>
                  </c:pt>
                  <c:pt idx="198">
                    <c:v>2052</c:v>
                  </c:pt>
                  <c:pt idx="199">
                    <c:v>2053</c:v>
                  </c:pt>
                  <c:pt idx="200">
                    <c:v>2054</c:v>
                  </c:pt>
                  <c:pt idx="201">
                    <c:v>2055</c:v>
                  </c:pt>
                  <c:pt idx="202">
                    <c:v>2015</c:v>
                  </c:pt>
                  <c:pt idx="203">
                    <c:v>2016</c:v>
                  </c:pt>
                  <c:pt idx="204">
                    <c:v>2017</c:v>
                  </c:pt>
                  <c:pt idx="205">
                    <c:v>2018</c:v>
                  </c:pt>
                  <c:pt idx="206">
                    <c:v>2019</c:v>
                  </c:pt>
                  <c:pt idx="207">
                    <c:v>2020</c:v>
                  </c:pt>
                  <c:pt idx="208">
                    <c:v>2021</c:v>
                  </c:pt>
                  <c:pt idx="209">
                    <c:v>2022</c:v>
                  </c:pt>
                  <c:pt idx="210">
                    <c:v>2023</c:v>
                  </c:pt>
                  <c:pt idx="211">
                    <c:v>2024</c:v>
                  </c:pt>
                  <c:pt idx="212">
                    <c:v>2025</c:v>
                  </c:pt>
                  <c:pt idx="213">
                    <c:v>2026</c:v>
                  </c:pt>
                  <c:pt idx="214">
                    <c:v>2027</c:v>
                  </c:pt>
                  <c:pt idx="215">
                    <c:v>2028</c:v>
                  </c:pt>
                  <c:pt idx="216">
                    <c:v>2029</c:v>
                  </c:pt>
                  <c:pt idx="217">
                    <c:v>2030</c:v>
                  </c:pt>
                  <c:pt idx="218">
                    <c:v>2031</c:v>
                  </c:pt>
                  <c:pt idx="219">
                    <c:v>2032</c:v>
                  </c:pt>
                  <c:pt idx="220">
                    <c:v>2033</c:v>
                  </c:pt>
                  <c:pt idx="221">
                    <c:v>2034</c:v>
                  </c:pt>
                  <c:pt idx="222">
                    <c:v>2035</c:v>
                  </c:pt>
                  <c:pt idx="223">
                    <c:v>2036</c:v>
                  </c:pt>
                  <c:pt idx="224">
                    <c:v>2037</c:v>
                  </c:pt>
                  <c:pt idx="225">
                    <c:v>2038</c:v>
                  </c:pt>
                  <c:pt idx="226">
                    <c:v>2039</c:v>
                  </c:pt>
                  <c:pt idx="227">
                    <c:v>2040</c:v>
                  </c:pt>
                  <c:pt idx="228">
                    <c:v>2041</c:v>
                  </c:pt>
                  <c:pt idx="229">
                    <c:v>2042</c:v>
                  </c:pt>
                  <c:pt idx="230">
                    <c:v>2043</c:v>
                  </c:pt>
                  <c:pt idx="231">
                    <c:v>2044</c:v>
                  </c:pt>
                  <c:pt idx="232">
                    <c:v>2045</c:v>
                  </c:pt>
                  <c:pt idx="233">
                    <c:v>2046</c:v>
                  </c:pt>
                  <c:pt idx="234">
                    <c:v>2047</c:v>
                  </c:pt>
                  <c:pt idx="235">
                    <c:v>2048</c:v>
                  </c:pt>
                  <c:pt idx="236">
                    <c:v>2049</c:v>
                  </c:pt>
                  <c:pt idx="237">
                    <c:v>2050</c:v>
                  </c:pt>
                  <c:pt idx="238">
                    <c:v>2051</c:v>
                  </c:pt>
                  <c:pt idx="239">
                    <c:v>2052</c:v>
                  </c:pt>
                  <c:pt idx="240">
                    <c:v>2053</c:v>
                  </c:pt>
                  <c:pt idx="241">
                    <c:v>2054</c:v>
                  </c:pt>
                  <c:pt idx="242">
                    <c:v>2055</c:v>
                  </c:pt>
                  <c:pt idx="243">
                    <c:v>2015</c:v>
                  </c:pt>
                  <c:pt idx="244">
                    <c:v>2016</c:v>
                  </c:pt>
                  <c:pt idx="245">
                    <c:v>2017</c:v>
                  </c:pt>
                  <c:pt idx="246">
                    <c:v>2018</c:v>
                  </c:pt>
                  <c:pt idx="247">
                    <c:v>2019</c:v>
                  </c:pt>
                  <c:pt idx="248">
                    <c:v>2020</c:v>
                  </c:pt>
                  <c:pt idx="249">
                    <c:v>2021</c:v>
                  </c:pt>
                  <c:pt idx="250">
                    <c:v>2022</c:v>
                  </c:pt>
                  <c:pt idx="251">
                    <c:v>2023</c:v>
                  </c:pt>
                  <c:pt idx="252">
                    <c:v>2024</c:v>
                  </c:pt>
                  <c:pt idx="253">
                    <c:v>2025</c:v>
                  </c:pt>
                  <c:pt idx="254">
                    <c:v>2026</c:v>
                  </c:pt>
                  <c:pt idx="255">
                    <c:v>2027</c:v>
                  </c:pt>
                  <c:pt idx="256">
                    <c:v>2028</c:v>
                  </c:pt>
                  <c:pt idx="257">
                    <c:v>2029</c:v>
                  </c:pt>
                  <c:pt idx="258">
                    <c:v>2030</c:v>
                  </c:pt>
                  <c:pt idx="259">
                    <c:v>2031</c:v>
                  </c:pt>
                  <c:pt idx="260">
                    <c:v>2032</c:v>
                  </c:pt>
                  <c:pt idx="261">
                    <c:v>2033</c:v>
                  </c:pt>
                  <c:pt idx="262">
                    <c:v>2034</c:v>
                  </c:pt>
                  <c:pt idx="263">
                    <c:v>2035</c:v>
                  </c:pt>
                  <c:pt idx="264">
                    <c:v>2036</c:v>
                  </c:pt>
                  <c:pt idx="265">
                    <c:v>2037</c:v>
                  </c:pt>
                  <c:pt idx="266">
                    <c:v>2038</c:v>
                  </c:pt>
                  <c:pt idx="267">
                    <c:v>2039</c:v>
                  </c:pt>
                  <c:pt idx="268">
                    <c:v>2040</c:v>
                  </c:pt>
                  <c:pt idx="269">
                    <c:v>2041</c:v>
                  </c:pt>
                  <c:pt idx="270">
                    <c:v>2042</c:v>
                  </c:pt>
                  <c:pt idx="271">
                    <c:v>2043</c:v>
                  </c:pt>
                  <c:pt idx="272">
                    <c:v>2044</c:v>
                  </c:pt>
                  <c:pt idx="273">
                    <c:v>2045</c:v>
                  </c:pt>
                  <c:pt idx="274">
                    <c:v>2046</c:v>
                  </c:pt>
                  <c:pt idx="275">
                    <c:v>2047</c:v>
                  </c:pt>
                  <c:pt idx="276">
                    <c:v>2048</c:v>
                  </c:pt>
                  <c:pt idx="277">
                    <c:v>2049</c:v>
                  </c:pt>
                  <c:pt idx="278">
                    <c:v>2050</c:v>
                  </c:pt>
                  <c:pt idx="279">
                    <c:v>2051</c:v>
                  </c:pt>
                  <c:pt idx="280">
                    <c:v>2052</c:v>
                  </c:pt>
                  <c:pt idx="281">
                    <c:v>2053</c:v>
                  </c:pt>
                  <c:pt idx="282">
                    <c:v>2054</c:v>
                  </c:pt>
                  <c:pt idx="283">
                    <c:v>2055</c:v>
                  </c:pt>
                  <c:pt idx="284">
                    <c:v>2015</c:v>
                  </c:pt>
                  <c:pt idx="285">
                    <c:v>2016</c:v>
                  </c:pt>
                  <c:pt idx="286">
                    <c:v>2017</c:v>
                  </c:pt>
                  <c:pt idx="287">
                    <c:v>2018</c:v>
                  </c:pt>
                  <c:pt idx="288">
                    <c:v>2019</c:v>
                  </c:pt>
                  <c:pt idx="289">
                    <c:v>2020</c:v>
                  </c:pt>
                  <c:pt idx="290">
                    <c:v>2021</c:v>
                  </c:pt>
                  <c:pt idx="291">
                    <c:v>2022</c:v>
                  </c:pt>
                  <c:pt idx="292">
                    <c:v>2023</c:v>
                  </c:pt>
                  <c:pt idx="293">
                    <c:v>2024</c:v>
                  </c:pt>
                  <c:pt idx="294">
                    <c:v>2025</c:v>
                  </c:pt>
                  <c:pt idx="295">
                    <c:v>2026</c:v>
                  </c:pt>
                  <c:pt idx="296">
                    <c:v>2027</c:v>
                  </c:pt>
                  <c:pt idx="297">
                    <c:v>2028</c:v>
                  </c:pt>
                  <c:pt idx="298">
                    <c:v>2029</c:v>
                  </c:pt>
                  <c:pt idx="299">
                    <c:v>2030</c:v>
                  </c:pt>
                  <c:pt idx="300">
                    <c:v>2031</c:v>
                  </c:pt>
                  <c:pt idx="301">
                    <c:v>2032</c:v>
                  </c:pt>
                  <c:pt idx="302">
                    <c:v>2033</c:v>
                  </c:pt>
                  <c:pt idx="303">
                    <c:v>2034</c:v>
                  </c:pt>
                  <c:pt idx="304">
                    <c:v>2035</c:v>
                  </c:pt>
                  <c:pt idx="305">
                    <c:v>2036</c:v>
                  </c:pt>
                  <c:pt idx="306">
                    <c:v>2037</c:v>
                  </c:pt>
                  <c:pt idx="307">
                    <c:v>2038</c:v>
                  </c:pt>
                  <c:pt idx="308">
                    <c:v>2039</c:v>
                  </c:pt>
                  <c:pt idx="309">
                    <c:v>2040</c:v>
                  </c:pt>
                  <c:pt idx="310">
                    <c:v>2041</c:v>
                  </c:pt>
                  <c:pt idx="311">
                    <c:v>2042</c:v>
                  </c:pt>
                  <c:pt idx="312">
                    <c:v>2043</c:v>
                  </c:pt>
                  <c:pt idx="313">
                    <c:v>2044</c:v>
                  </c:pt>
                  <c:pt idx="314">
                    <c:v>2045</c:v>
                  </c:pt>
                  <c:pt idx="315">
                    <c:v>2046</c:v>
                  </c:pt>
                  <c:pt idx="316">
                    <c:v>2047</c:v>
                  </c:pt>
                  <c:pt idx="317">
                    <c:v>2048</c:v>
                  </c:pt>
                  <c:pt idx="318">
                    <c:v>2049</c:v>
                  </c:pt>
                  <c:pt idx="319">
                    <c:v>2050</c:v>
                  </c:pt>
                  <c:pt idx="320">
                    <c:v>2051</c:v>
                  </c:pt>
                  <c:pt idx="321">
                    <c:v>2052</c:v>
                  </c:pt>
                  <c:pt idx="322">
                    <c:v>2053</c:v>
                  </c:pt>
                  <c:pt idx="323">
                    <c:v>2054</c:v>
                  </c:pt>
                  <c:pt idx="324">
                    <c:v>2055</c:v>
                  </c:pt>
                  <c:pt idx="325">
                    <c:v>2015</c:v>
                  </c:pt>
                  <c:pt idx="326">
                    <c:v>2016</c:v>
                  </c:pt>
                  <c:pt idx="327">
                    <c:v>2017</c:v>
                  </c:pt>
                  <c:pt idx="328">
                    <c:v>2018</c:v>
                  </c:pt>
                  <c:pt idx="329">
                    <c:v>2019</c:v>
                  </c:pt>
                  <c:pt idx="330">
                    <c:v>2020</c:v>
                  </c:pt>
                  <c:pt idx="331">
                    <c:v>2021</c:v>
                  </c:pt>
                  <c:pt idx="332">
                    <c:v>2022</c:v>
                  </c:pt>
                  <c:pt idx="333">
                    <c:v>2023</c:v>
                  </c:pt>
                  <c:pt idx="334">
                    <c:v>2024</c:v>
                  </c:pt>
                  <c:pt idx="335">
                    <c:v>2025</c:v>
                  </c:pt>
                  <c:pt idx="336">
                    <c:v>2026</c:v>
                  </c:pt>
                  <c:pt idx="337">
                    <c:v>2027</c:v>
                  </c:pt>
                  <c:pt idx="338">
                    <c:v>2028</c:v>
                  </c:pt>
                  <c:pt idx="339">
                    <c:v>2029</c:v>
                  </c:pt>
                  <c:pt idx="340">
                    <c:v>2030</c:v>
                  </c:pt>
                  <c:pt idx="341">
                    <c:v>2031</c:v>
                  </c:pt>
                  <c:pt idx="342">
                    <c:v>2032</c:v>
                  </c:pt>
                  <c:pt idx="343">
                    <c:v>2033</c:v>
                  </c:pt>
                  <c:pt idx="344">
                    <c:v>2034</c:v>
                  </c:pt>
                  <c:pt idx="345">
                    <c:v>2035</c:v>
                  </c:pt>
                  <c:pt idx="346">
                    <c:v>2036</c:v>
                  </c:pt>
                  <c:pt idx="347">
                    <c:v>2037</c:v>
                  </c:pt>
                  <c:pt idx="348">
                    <c:v>2038</c:v>
                  </c:pt>
                  <c:pt idx="349">
                    <c:v>2039</c:v>
                  </c:pt>
                  <c:pt idx="350">
                    <c:v>2040</c:v>
                  </c:pt>
                  <c:pt idx="351">
                    <c:v>2041</c:v>
                  </c:pt>
                  <c:pt idx="352">
                    <c:v>2042</c:v>
                  </c:pt>
                  <c:pt idx="353">
                    <c:v>2043</c:v>
                  </c:pt>
                  <c:pt idx="354">
                    <c:v>2044</c:v>
                  </c:pt>
                  <c:pt idx="355">
                    <c:v>2045</c:v>
                  </c:pt>
                  <c:pt idx="356">
                    <c:v>2046</c:v>
                  </c:pt>
                  <c:pt idx="357">
                    <c:v>2047</c:v>
                  </c:pt>
                  <c:pt idx="358">
                    <c:v>2048</c:v>
                  </c:pt>
                  <c:pt idx="359">
                    <c:v>2049</c:v>
                  </c:pt>
                  <c:pt idx="360">
                    <c:v>2050</c:v>
                  </c:pt>
                  <c:pt idx="361">
                    <c:v>2051</c:v>
                  </c:pt>
                  <c:pt idx="362">
                    <c:v>2052</c:v>
                  </c:pt>
                  <c:pt idx="363">
                    <c:v>2053</c:v>
                  </c:pt>
                  <c:pt idx="364">
                    <c:v>2054</c:v>
                  </c:pt>
                  <c:pt idx="365">
                    <c:v>2055</c:v>
                  </c:pt>
                  <c:pt idx="366">
                    <c:v>2015</c:v>
                  </c:pt>
                  <c:pt idx="367">
                    <c:v>2016</c:v>
                  </c:pt>
                  <c:pt idx="368">
                    <c:v>2017</c:v>
                  </c:pt>
                  <c:pt idx="369">
                    <c:v>2018</c:v>
                  </c:pt>
                  <c:pt idx="370">
                    <c:v>2019</c:v>
                  </c:pt>
                  <c:pt idx="371">
                    <c:v>2020</c:v>
                  </c:pt>
                  <c:pt idx="372">
                    <c:v>2021</c:v>
                  </c:pt>
                  <c:pt idx="373">
                    <c:v>2022</c:v>
                  </c:pt>
                  <c:pt idx="374">
                    <c:v>2023</c:v>
                  </c:pt>
                  <c:pt idx="375">
                    <c:v>2024</c:v>
                  </c:pt>
                  <c:pt idx="376">
                    <c:v>2025</c:v>
                  </c:pt>
                  <c:pt idx="377">
                    <c:v>2026</c:v>
                  </c:pt>
                  <c:pt idx="378">
                    <c:v>2027</c:v>
                  </c:pt>
                  <c:pt idx="379">
                    <c:v>2028</c:v>
                  </c:pt>
                  <c:pt idx="380">
                    <c:v>2029</c:v>
                  </c:pt>
                  <c:pt idx="381">
                    <c:v>2030</c:v>
                  </c:pt>
                  <c:pt idx="382">
                    <c:v>2031</c:v>
                  </c:pt>
                  <c:pt idx="383">
                    <c:v>2032</c:v>
                  </c:pt>
                  <c:pt idx="384">
                    <c:v>2033</c:v>
                  </c:pt>
                  <c:pt idx="385">
                    <c:v>2034</c:v>
                  </c:pt>
                  <c:pt idx="386">
                    <c:v>2035</c:v>
                  </c:pt>
                  <c:pt idx="387">
                    <c:v>2036</c:v>
                  </c:pt>
                  <c:pt idx="388">
                    <c:v>2037</c:v>
                  </c:pt>
                  <c:pt idx="389">
                    <c:v>2038</c:v>
                  </c:pt>
                  <c:pt idx="390">
                    <c:v>2039</c:v>
                  </c:pt>
                  <c:pt idx="391">
                    <c:v>2040</c:v>
                  </c:pt>
                  <c:pt idx="392">
                    <c:v>2041</c:v>
                  </c:pt>
                  <c:pt idx="393">
                    <c:v>2042</c:v>
                  </c:pt>
                  <c:pt idx="394">
                    <c:v>2043</c:v>
                  </c:pt>
                  <c:pt idx="395">
                    <c:v>2044</c:v>
                  </c:pt>
                  <c:pt idx="396">
                    <c:v>2045</c:v>
                  </c:pt>
                  <c:pt idx="397">
                    <c:v>2046</c:v>
                  </c:pt>
                  <c:pt idx="398">
                    <c:v>2047</c:v>
                  </c:pt>
                  <c:pt idx="399">
                    <c:v>2048</c:v>
                  </c:pt>
                  <c:pt idx="400">
                    <c:v>2049</c:v>
                  </c:pt>
                  <c:pt idx="401">
                    <c:v>2050</c:v>
                  </c:pt>
                  <c:pt idx="402">
                    <c:v>2051</c:v>
                  </c:pt>
                  <c:pt idx="403">
                    <c:v>2052</c:v>
                  </c:pt>
                  <c:pt idx="404">
                    <c:v>2053</c:v>
                  </c:pt>
                  <c:pt idx="405">
                    <c:v>2054</c:v>
                  </c:pt>
                  <c:pt idx="406">
                    <c:v>2055</c:v>
                  </c:pt>
                  <c:pt idx="407">
                    <c:v>2015</c:v>
                  </c:pt>
                  <c:pt idx="408">
                    <c:v>2016</c:v>
                  </c:pt>
                  <c:pt idx="409">
                    <c:v>2017</c:v>
                  </c:pt>
                  <c:pt idx="410">
                    <c:v>2018</c:v>
                  </c:pt>
                  <c:pt idx="411">
                    <c:v>2019</c:v>
                  </c:pt>
                  <c:pt idx="412">
                    <c:v>2020</c:v>
                  </c:pt>
                  <c:pt idx="413">
                    <c:v>2021</c:v>
                  </c:pt>
                  <c:pt idx="414">
                    <c:v>2022</c:v>
                  </c:pt>
                  <c:pt idx="415">
                    <c:v>2023</c:v>
                  </c:pt>
                  <c:pt idx="416">
                    <c:v>2024</c:v>
                  </c:pt>
                  <c:pt idx="417">
                    <c:v>2025</c:v>
                  </c:pt>
                  <c:pt idx="418">
                    <c:v>2026</c:v>
                  </c:pt>
                  <c:pt idx="419">
                    <c:v>2027</c:v>
                  </c:pt>
                  <c:pt idx="420">
                    <c:v>2028</c:v>
                  </c:pt>
                  <c:pt idx="421">
                    <c:v>2029</c:v>
                  </c:pt>
                  <c:pt idx="422">
                    <c:v>2030</c:v>
                  </c:pt>
                  <c:pt idx="423">
                    <c:v>2031</c:v>
                  </c:pt>
                  <c:pt idx="424">
                    <c:v>2032</c:v>
                  </c:pt>
                  <c:pt idx="425">
                    <c:v>2033</c:v>
                  </c:pt>
                  <c:pt idx="426">
                    <c:v>2034</c:v>
                  </c:pt>
                  <c:pt idx="427">
                    <c:v>2035</c:v>
                  </c:pt>
                  <c:pt idx="428">
                    <c:v>2036</c:v>
                  </c:pt>
                  <c:pt idx="429">
                    <c:v>2037</c:v>
                  </c:pt>
                  <c:pt idx="430">
                    <c:v>2038</c:v>
                  </c:pt>
                  <c:pt idx="431">
                    <c:v>2039</c:v>
                  </c:pt>
                  <c:pt idx="432">
                    <c:v>2040</c:v>
                  </c:pt>
                  <c:pt idx="433">
                    <c:v>2041</c:v>
                  </c:pt>
                  <c:pt idx="434">
                    <c:v>2042</c:v>
                  </c:pt>
                  <c:pt idx="435">
                    <c:v>2043</c:v>
                  </c:pt>
                  <c:pt idx="436">
                    <c:v>2044</c:v>
                  </c:pt>
                  <c:pt idx="437">
                    <c:v>2045</c:v>
                  </c:pt>
                  <c:pt idx="438">
                    <c:v>2046</c:v>
                  </c:pt>
                  <c:pt idx="439">
                    <c:v>2047</c:v>
                  </c:pt>
                  <c:pt idx="440">
                    <c:v>2048</c:v>
                  </c:pt>
                  <c:pt idx="441">
                    <c:v>2049</c:v>
                  </c:pt>
                  <c:pt idx="442">
                    <c:v>2050</c:v>
                  </c:pt>
                  <c:pt idx="443">
                    <c:v>2051</c:v>
                  </c:pt>
                  <c:pt idx="444">
                    <c:v>2052</c:v>
                  </c:pt>
                  <c:pt idx="445">
                    <c:v>2053</c:v>
                  </c:pt>
                  <c:pt idx="446">
                    <c:v>2054</c:v>
                  </c:pt>
                  <c:pt idx="447">
                    <c:v>2055</c:v>
                  </c:pt>
                  <c:pt idx="448">
                    <c:v>2015</c:v>
                  </c:pt>
                  <c:pt idx="449">
                    <c:v>2016</c:v>
                  </c:pt>
                  <c:pt idx="450">
                    <c:v>2017</c:v>
                  </c:pt>
                  <c:pt idx="451">
                    <c:v>2018</c:v>
                  </c:pt>
                  <c:pt idx="452">
                    <c:v>2019</c:v>
                  </c:pt>
                  <c:pt idx="453">
                    <c:v>2020</c:v>
                  </c:pt>
                  <c:pt idx="454">
                    <c:v>2021</c:v>
                  </c:pt>
                  <c:pt idx="455">
                    <c:v>2022</c:v>
                  </c:pt>
                  <c:pt idx="456">
                    <c:v>2023</c:v>
                  </c:pt>
                  <c:pt idx="457">
                    <c:v>2024</c:v>
                  </c:pt>
                  <c:pt idx="458">
                    <c:v>2025</c:v>
                  </c:pt>
                  <c:pt idx="459">
                    <c:v>2026</c:v>
                  </c:pt>
                  <c:pt idx="460">
                    <c:v>2027</c:v>
                  </c:pt>
                  <c:pt idx="461">
                    <c:v>2028</c:v>
                  </c:pt>
                  <c:pt idx="462">
                    <c:v>2029</c:v>
                  </c:pt>
                  <c:pt idx="463">
                    <c:v>2030</c:v>
                  </c:pt>
                  <c:pt idx="464">
                    <c:v>2031</c:v>
                  </c:pt>
                  <c:pt idx="465">
                    <c:v>2032</c:v>
                  </c:pt>
                  <c:pt idx="466">
                    <c:v>2033</c:v>
                  </c:pt>
                  <c:pt idx="467">
                    <c:v>2034</c:v>
                  </c:pt>
                  <c:pt idx="468">
                    <c:v>2035</c:v>
                  </c:pt>
                  <c:pt idx="469">
                    <c:v>2036</c:v>
                  </c:pt>
                  <c:pt idx="470">
                    <c:v>2037</c:v>
                  </c:pt>
                  <c:pt idx="471">
                    <c:v>2038</c:v>
                  </c:pt>
                  <c:pt idx="472">
                    <c:v>2039</c:v>
                  </c:pt>
                  <c:pt idx="473">
                    <c:v>2040</c:v>
                  </c:pt>
                  <c:pt idx="474">
                    <c:v>2041</c:v>
                  </c:pt>
                  <c:pt idx="475">
                    <c:v>2042</c:v>
                  </c:pt>
                  <c:pt idx="476">
                    <c:v>2043</c:v>
                  </c:pt>
                  <c:pt idx="477">
                    <c:v>2044</c:v>
                  </c:pt>
                  <c:pt idx="478">
                    <c:v>2045</c:v>
                  </c:pt>
                  <c:pt idx="479">
                    <c:v>2046</c:v>
                  </c:pt>
                  <c:pt idx="480">
                    <c:v>2047</c:v>
                  </c:pt>
                  <c:pt idx="481">
                    <c:v>2048</c:v>
                  </c:pt>
                  <c:pt idx="482">
                    <c:v>2049</c:v>
                  </c:pt>
                  <c:pt idx="483">
                    <c:v>2050</c:v>
                  </c:pt>
                  <c:pt idx="484">
                    <c:v>2051</c:v>
                  </c:pt>
                  <c:pt idx="485">
                    <c:v>2052</c:v>
                  </c:pt>
                  <c:pt idx="486">
                    <c:v>2053</c:v>
                  </c:pt>
                  <c:pt idx="487">
                    <c:v>2054</c:v>
                  </c:pt>
                  <c:pt idx="488">
                    <c:v>2055</c:v>
                  </c:pt>
                </c:lvl>
                <c:lvl>
                  <c:pt idx="0">
                    <c:v>Jan</c:v>
                  </c:pt>
                  <c:pt idx="41">
                    <c:v>Feb</c:v>
                  </c:pt>
                  <c:pt idx="79">
                    <c:v>Mar</c:v>
                  </c:pt>
                  <c:pt idx="120">
                    <c:v>Apr</c:v>
                  </c:pt>
                  <c:pt idx="161">
                    <c:v>May</c:v>
                  </c:pt>
                  <c:pt idx="202">
                    <c:v>Jun</c:v>
                  </c:pt>
                  <c:pt idx="243">
                    <c:v>Jul</c:v>
                  </c:pt>
                  <c:pt idx="284">
                    <c:v>Aug</c:v>
                  </c:pt>
                  <c:pt idx="325">
                    <c:v>Sep</c:v>
                  </c:pt>
                  <c:pt idx="366">
                    <c:v>Oct</c:v>
                  </c:pt>
                  <c:pt idx="407">
                    <c:v>Nov</c:v>
                  </c:pt>
                  <c:pt idx="448">
                    <c:v>Dec</c:v>
                  </c:pt>
                </c:lvl>
              </c:multiLvlStrCache>
            </c:multiLvlStrRef>
          </c:cat>
          <c:val>
            <c:numRef>
              <c:f>'Online_Interest_Index VS Market'!$B$4:$B$505</c:f>
              <c:numCache>
                <c:formatCode>General</c:formatCode>
                <c:ptCount val="489"/>
                <c:pt idx="0">
                  <c:v>201969.68280097138</c:v>
                </c:pt>
                <c:pt idx="1">
                  <c:v>92150.57787878254</c:v>
                </c:pt>
                <c:pt idx="3">
                  <c:v>78868.847144794941</c:v>
                </c:pt>
                <c:pt idx="4">
                  <c:v>102115.07582542961</c:v>
                </c:pt>
                <c:pt idx="5">
                  <c:v>101867.44748553302</c:v>
                </c:pt>
                <c:pt idx="6">
                  <c:v>61843.848842452178</c:v>
                </c:pt>
                <c:pt idx="7">
                  <c:v>74256.728628315002</c:v>
                </c:pt>
                <c:pt idx="8">
                  <c:v>62605.166006091589</c:v>
                </c:pt>
                <c:pt idx="9">
                  <c:v>93149.015982844707</c:v>
                </c:pt>
                <c:pt idx="10">
                  <c:v>108509.79866480461</c:v>
                </c:pt>
                <c:pt idx="11">
                  <c:v>106349.06522500351</c:v>
                </c:pt>
                <c:pt idx="12">
                  <c:v>132637.13798178217</c:v>
                </c:pt>
                <c:pt idx="13">
                  <c:v>106199.9796633111</c:v>
                </c:pt>
                <c:pt idx="14">
                  <c:v>111670.88606023775</c:v>
                </c:pt>
                <c:pt idx="15">
                  <c:v>62603.673209356719</c:v>
                </c:pt>
                <c:pt idx="16">
                  <c:v>87756.661656903583</c:v>
                </c:pt>
                <c:pt idx="17">
                  <c:v>129898.76454906471</c:v>
                </c:pt>
                <c:pt idx="18">
                  <c:v>85847.48210355948</c:v>
                </c:pt>
                <c:pt idx="20">
                  <c:v>81085.078786064376</c:v>
                </c:pt>
                <c:pt idx="21">
                  <c:v>77926.60342939262</c:v>
                </c:pt>
                <c:pt idx="22">
                  <c:v>69299.195049352798</c:v>
                </c:pt>
                <c:pt idx="23">
                  <c:v>116603.8362372522</c:v>
                </c:pt>
                <c:pt idx="24">
                  <c:v>114429.58647514686</c:v>
                </c:pt>
                <c:pt idx="25">
                  <c:v>59483.842537772463</c:v>
                </c:pt>
                <c:pt idx="26">
                  <c:v>121174.57059767758</c:v>
                </c:pt>
                <c:pt idx="27">
                  <c:v>102961.78839596553</c:v>
                </c:pt>
                <c:pt idx="28">
                  <c:v>92439.84201963566</c:v>
                </c:pt>
                <c:pt idx="29">
                  <c:v>82765.938594874839</c:v>
                </c:pt>
                <c:pt idx="30">
                  <c:v>125539.30772176376</c:v>
                </c:pt>
                <c:pt idx="31">
                  <c:v>122016.4279684521</c:v>
                </c:pt>
                <c:pt idx="32">
                  <c:v>98921.903019885212</c:v>
                </c:pt>
                <c:pt idx="33">
                  <c:v>78156.72734563821</c:v>
                </c:pt>
                <c:pt idx="34">
                  <c:v>114121.57827630264</c:v>
                </c:pt>
                <c:pt idx="36">
                  <c:v>139065.18275053136</c:v>
                </c:pt>
                <c:pt idx="37">
                  <c:v>80709.244101796168</c:v>
                </c:pt>
                <c:pt idx="38">
                  <c:v>102781.20797306835</c:v>
                </c:pt>
                <c:pt idx="39">
                  <c:v>111395.20714397293</c:v>
                </c:pt>
                <c:pt idx="40">
                  <c:v>88997.69434126922</c:v>
                </c:pt>
                <c:pt idx="41">
                  <c:v>119931.41021158894</c:v>
                </c:pt>
                <c:pt idx="43">
                  <c:v>124461.6613419065</c:v>
                </c:pt>
                <c:pt idx="44">
                  <c:v>125274.13355309337</c:v>
                </c:pt>
                <c:pt idx="45">
                  <c:v>77395.925506521526</c:v>
                </c:pt>
                <c:pt idx="46">
                  <c:v>82792.299784409959</c:v>
                </c:pt>
                <c:pt idx="47">
                  <c:v>72057.636297740173</c:v>
                </c:pt>
                <c:pt idx="48">
                  <c:v>92229.584496339812</c:v>
                </c:pt>
                <c:pt idx="49">
                  <c:v>103409.27541993142</c:v>
                </c:pt>
                <c:pt idx="50">
                  <c:v>123944.93847290456</c:v>
                </c:pt>
                <c:pt idx="51">
                  <c:v>93342.79191234977</c:v>
                </c:pt>
                <c:pt idx="52">
                  <c:v>85339.340089520207</c:v>
                </c:pt>
                <c:pt idx="53">
                  <c:v>98868.230222002079</c:v>
                </c:pt>
                <c:pt idx="55">
                  <c:v>76764.323121752721</c:v>
                </c:pt>
                <c:pt idx="56">
                  <c:v>109824.15330823993</c:v>
                </c:pt>
                <c:pt idx="57">
                  <c:v>100826.51264541237</c:v>
                </c:pt>
                <c:pt idx="58">
                  <c:v>85756.522716479129</c:v>
                </c:pt>
                <c:pt idx="59">
                  <c:v>106263.6894772996</c:v>
                </c:pt>
                <c:pt idx="60">
                  <c:v>112164.92383369937</c:v>
                </c:pt>
                <c:pt idx="61">
                  <c:v>93384.215513448857</c:v>
                </c:pt>
                <c:pt idx="62">
                  <c:v>62399.79932184473</c:v>
                </c:pt>
                <c:pt idx="63">
                  <c:v>78997.185207957082</c:v>
                </c:pt>
                <c:pt idx="64">
                  <c:v>78582.951626311231</c:v>
                </c:pt>
                <c:pt idx="65">
                  <c:v>96543.965252070717</c:v>
                </c:pt>
                <c:pt idx="66">
                  <c:v>82378.633266774152</c:v>
                </c:pt>
                <c:pt idx="67">
                  <c:v>104628.91845051144</c:v>
                </c:pt>
                <c:pt idx="68">
                  <c:v>100600.62958328164</c:v>
                </c:pt>
                <c:pt idx="69">
                  <c:v>106760.46962203416</c:v>
                </c:pt>
                <c:pt idx="70">
                  <c:v>121227.41929746268</c:v>
                </c:pt>
                <c:pt idx="71">
                  <c:v>80353.928392453701</c:v>
                </c:pt>
                <c:pt idx="72">
                  <c:v>116695.02652649765</c:v>
                </c:pt>
                <c:pt idx="73">
                  <c:v>95146.374463759334</c:v>
                </c:pt>
                <c:pt idx="74">
                  <c:v>88123.771838625893</c:v>
                </c:pt>
                <c:pt idx="75">
                  <c:v>89482.406482095917</c:v>
                </c:pt>
                <c:pt idx="76">
                  <c:v>110119.31106911731</c:v>
                </c:pt>
                <c:pt idx="77">
                  <c:v>68460.070356180047</c:v>
                </c:pt>
                <c:pt idx="78">
                  <c:v>103909.63463106581</c:v>
                </c:pt>
                <c:pt idx="79">
                  <c:v>131562.36115124368</c:v>
                </c:pt>
                <c:pt idx="80">
                  <c:v>906700.92415436043</c:v>
                </c:pt>
                <c:pt idx="81">
                  <c:v>130420.1245431876</c:v>
                </c:pt>
                <c:pt idx="82">
                  <c:v>94822.91199260336</c:v>
                </c:pt>
                <c:pt idx="83">
                  <c:v>83073.680450685279</c:v>
                </c:pt>
                <c:pt idx="84">
                  <c:v>148233.53351156841</c:v>
                </c:pt>
                <c:pt idx="85">
                  <c:v>91727.889331567116</c:v>
                </c:pt>
                <c:pt idx="86">
                  <c:v>88328.013473079904</c:v>
                </c:pt>
                <c:pt idx="87">
                  <c:v>103808.47779850116</c:v>
                </c:pt>
                <c:pt idx="88">
                  <c:v>80745.348694307759</c:v>
                </c:pt>
                <c:pt idx="89">
                  <c:v>72566.526055390685</c:v>
                </c:pt>
                <c:pt idx="90">
                  <c:v>98132.262822001037</c:v>
                </c:pt>
                <c:pt idx="91">
                  <c:v>136361.2384511565</c:v>
                </c:pt>
                <c:pt idx="92">
                  <c:v>124379.41579587327</c:v>
                </c:pt>
                <c:pt idx="93">
                  <c:v>111597.14570590264</c:v>
                </c:pt>
                <c:pt idx="94">
                  <c:v>94337.222065124661</c:v>
                </c:pt>
                <c:pt idx="95">
                  <c:v>92839.41240506027</c:v>
                </c:pt>
                <c:pt idx="96">
                  <c:v>108860.04260894751</c:v>
                </c:pt>
                <c:pt idx="97">
                  <c:v>97786.692628853416</c:v>
                </c:pt>
                <c:pt idx="98">
                  <c:v>87869.932235685206</c:v>
                </c:pt>
                <c:pt idx="99">
                  <c:v>73657.361601068304</c:v>
                </c:pt>
                <c:pt idx="100">
                  <c:v>84396.017417650743</c:v>
                </c:pt>
                <c:pt idx="101">
                  <c:v>114254.24057722662</c:v>
                </c:pt>
                <c:pt idx="102">
                  <c:v>227032.47815427143</c:v>
                </c:pt>
                <c:pt idx="103">
                  <c:v>115149.90298674972</c:v>
                </c:pt>
                <c:pt idx="104">
                  <c:v>138228.38174279447</c:v>
                </c:pt>
                <c:pt idx="105">
                  <c:v>115438.4030967335</c:v>
                </c:pt>
                <c:pt idx="106">
                  <c:v>85755.584727018984</c:v>
                </c:pt>
                <c:pt idx="107">
                  <c:v>112929.79075451542</c:v>
                </c:pt>
                <c:pt idx="108">
                  <c:v>56952.329107816389</c:v>
                </c:pt>
                <c:pt idx="109">
                  <c:v>75859.567042855691</c:v>
                </c:pt>
                <c:pt idx="110">
                  <c:v>110640.12397643886</c:v>
                </c:pt>
                <c:pt idx="111">
                  <c:v>122437.15712460942</c:v>
                </c:pt>
                <c:pt idx="112">
                  <c:v>118275.43242771171</c:v>
                </c:pt>
                <c:pt idx="113">
                  <c:v>79472.615846682165</c:v>
                </c:pt>
                <c:pt idx="114">
                  <c:v>966873.71793647355</c:v>
                </c:pt>
                <c:pt idx="115">
                  <c:v>103555.00212536062</c:v>
                </c:pt>
                <c:pt idx="116">
                  <c:v>85434.555951867733</c:v>
                </c:pt>
                <c:pt idx="117">
                  <c:v>83943.511120983152</c:v>
                </c:pt>
                <c:pt idx="118">
                  <c:v>98023.095975213873</c:v>
                </c:pt>
                <c:pt idx="119">
                  <c:v>97059.491531382999</c:v>
                </c:pt>
                <c:pt idx="120">
                  <c:v>119708.99371230436</c:v>
                </c:pt>
                <c:pt idx="121">
                  <c:v>112809.59590401647</c:v>
                </c:pt>
                <c:pt idx="122">
                  <c:v>81021.669583503259</c:v>
                </c:pt>
                <c:pt idx="123">
                  <c:v>107050.09936713759</c:v>
                </c:pt>
                <c:pt idx="124">
                  <c:v>110869.58757340186</c:v>
                </c:pt>
                <c:pt idx="125">
                  <c:v>130327.88110507146</c:v>
                </c:pt>
                <c:pt idx="126">
                  <c:v>137753.75314680382</c:v>
                </c:pt>
                <c:pt idx="127">
                  <c:v>120767.57702038634</c:v>
                </c:pt>
                <c:pt idx="128">
                  <c:v>108984.37442570069</c:v>
                </c:pt>
                <c:pt idx="129">
                  <c:v>95867.774406079072</c:v>
                </c:pt>
                <c:pt idx="130">
                  <c:v>85811.17995144907</c:v>
                </c:pt>
                <c:pt idx="131">
                  <c:v>89413.357751032585</c:v>
                </c:pt>
                <c:pt idx="132">
                  <c:v>115503.10988069566</c:v>
                </c:pt>
                <c:pt idx="133">
                  <c:v>60977.9627192275</c:v>
                </c:pt>
                <c:pt idx="134">
                  <c:v>85862.148640253028</c:v>
                </c:pt>
                <c:pt idx="135">
                  <c:v>93982.805057183476</c:v>
                </c:pt>
                <c:pt idx="136">
                  <c:v>97212.055986735315</c:v>
                </c:pt>
                <c:pt idx="137">
                  <c:v>119030.99541148086</c:v>
                </c:pt>
                <c:pt idx="138">
                  <c:v>82067.155453695828</c:v>
                </c:pt>
                <c:pt idx="139">
                  <c:v>109118.08390341405</c:v>
                </c:pt>
                <c:pt idx="140">
                  <c:v>115520.5582768695</c:v>
                </c:pt>
                <c:pt idx="141">
                  <c:v>126611.4980807808</c:v>
                </c:pt>
                <c:pt idx="142">
                  <c:v>62336.995838828327</c:v>
                </c:pt>
                <c:pt idx="143">
                  <c:v>123669.87333779855</c:v>
                </c:pt>
                <c:pt idx="144">
                  <c:v>127410.72287993427</c:v>
                </c:pt>
                <c:pt idx="145">
                  <c:v>74390.888579950668</c:v>
                </c:pt>
                <c:pt idx="146">
                  <c:v>108826.14303398492</c:v>
                </c:pt>
                <c:pt idx="147">
                  <c:v>1237346.9240354663</c:v>
                </c:pt>
                <c:pt idx="148">
                  <c:v>95686.647249047353</c:v>
                </c:pt>
                <c:pt idx="149">
                  <c:v>117529.11291005871</c:v>
                </c:pt>
                <c:pt idx="150">
                  <c:v>78493.75213901524</c:v>
                </c:pt>
                <c:pt idx="151">
                  <c:v>107233.22122494034</c:v>
                </c:pt>
                <c:pt idx="152">
                  <c:v>146400.81444034519</c:v>
                </c:pt>
                <c:pt idx="153">
                  <c:v>69085.404266185331</c:v>
                </c:pt>
                <c:pt idx="154">
                  <c:v>124600.011454383</c:v>
                </c:pt>
                <c:pt idx="155">
                  <c:v>101571.540594383</c:v>
                </c:pt>
                <c:pt idx="156">
                  <c:v>108009.62773012658</c:v>
                </c:pt>
                <c:pt idx="157">
                  <c:v>143301.12135613203</c:v>
                </c:pt>
                <c:pt idx="158">
                  <c:v>98520.542728112443</c:v>
                </c:pt>
                <c:pt idx="159">
                  <c:v>108719.50779000092</c:v>
                </c:pt>
                <c:pt idx="160">
                  <c:v>1168146.8964259098</c:v>
                </c:pt>
                <c:pt idx="161">
                  <c:v>208272.30132946052</c:v>
                </c:pt>
                <c:pt idx="162">
                  <c:v>96189.93788004377</c:v>
                </c:pt>
                <c:pt idx="163">
                  <c:v>134947.26395831117</c:v>
                </c:pt>
                <c:pt idx="165">
                  <c:v>103996.20867437427</c:v>
                </c:pt>
                <c:pt idx="166">
                  <c:v>112042.36640784967</c:v>
                </c:pt>
                <c:pt idx="167">
                  <c:v>111131.06249067516</c:v>
                </c:pt>
                <c:pt idx="168">
                  <c:v>69613.078490463144</c:v>
                </c:pt>
                <c:pt idx="169">
                  <c:v>898038.66136182344</c:v>
                </c:pt>
                <c:pt idx="170">
                  <c:v>1122043.2339178445</c:v>
                </c:pt>
                <c:pt idx="171">
                  <c:v>942290.26082485903</c:v>
                </c:pt>
                <c:pt idx="172">
                  <c:v>69710.593816384659</c:v>
                </c:pt>
                <c:pt idx="173">
                  <c:v>111060.80171704717</c:v>
                </c:pt>
                <c:pt idx="174">
                  <c:v>102871.7587301032</c:v>
                </c:pt>
                <c:pt idx="175">
                  <c:v>117111.11318041425</c:v>
                </c:pt>
                <c:pt idx="176">
                  <c:v>75810.461291623898</c:v>
                </c:pt>
                <c:pt idx="177">
                  <c:v>114793.06303449343</c:v>
                </c:pt>
                <c:pt idx="178">
                  <c:v>189046.18882949854</c:v>
                </c:pt>
                <c:pt idx="179">
                  <c:v>116839.67390904254</c:v>
                </c:pt>
                <c:pt idx="181">
                  <c:v>79955.6596214655</c:v>
                </c:pt>
                <c:pt idx="182">
                  <c:v>76064.227071473768</c:v>
                </c:pt>
                <c:pt idx="183">
                  <c:v>92553.618941241541</c:v>
                </c:pt>
                <c:pt idx="184">
                  <c:v>76439.182652472387</c:v>
                </c:pt>
                <c:pt idx="185">
                  <c:v>113904.05800167998</c:v>
                </c:pt>
                <c:pt idx="186">
                  <c:v>103789.59642442162</c:v>
                </c:pt>
                <c:pt idx="187">
                  <c:v>85336.876057800066</c:v>
                </c:pt>
                <c:pt idx="188">
                  <c:v>1287267.0811411957</c:v>
                </c:pt>
                <c:pt idx="189">
                  <c:v>82540.778190925994</c:v>
                </c:pt>
                <c:pt idx="190">
                  <c:v>68770.135551162821</c:v>
                </c:pt>
                <c:pt idx="191">
                  <c:v>133527.86054416405</c:v>
                </c:pt>
                <c:pt idx="192">
                  <c:v>135223.76249734749</c:v>
                </c:pt>
                <c:pt idx="193">
                  <c:v>103922.62918047815</c:v>
                </c:pt>
                <c:pt idx="194">
                  <c:v>131796.77956361367</c:v>
                </c:pt>
                <c:pt idx="195">
                  <c:v>80705.89148498571</c:v>
                </c:pt>
                <c:pt idx="196">
                  <c:v>57425.31811170376</c:v>
                </c:pt>
                <c:pt idx="198">
                  <c:v>123810.97188687192</c:v>
                </c:pt>
                <c:pt idx="199">
                  <c:v>98486.687913483402</c:v>
                </c:pt>
                <c:pt idx="200">
                  <c:v>49355.07829560629</c:v>
                </c:pt>
                <c:pt idx="201">
                  <c:v>178303.543204021</c:v>
                </c:pt>
                <c:pt idx="202">
                  <c:v>82215.183435433515</c:v>
                </c:pt>
                <c:pt idx="203">
                  <c:v>106481.14056443122</c:v>
                </c:pt>
                <c:pt idx="204">
                  <c:v>118643.83128520769</c:v>
                </c:pt>
                <c:pt idx="205">
                  <c:v>63587.933989029654</c:v>
                </c:pt>
                <c:pt idx="206">
                  <c:v>105280.4016266734</c:v>
                </c:pt>
                <c:pt idx="207">
                  <c:v>101440.73722567489</c:v>
                </c:pt>
                <c:pt idx="208">
                  <c:v>73290.368618002176</c:v>
                </c:pt>
                <c:pt idx="209">
                  <c:v>43356.888037788623</c:v>
                </c:pt>
                <c:pt idx="210">
                  <c:v>100688.82023411682</c:v>
                </c:pt>
                <c:pt idx="211">
                  <c:v>103139.45921936868</c:v>
                </c:pt>
                <c:pt idx="212">
                  <c:v>84324.92957751143</c:v>
                </c:pt>
                <c:pt idx="213">
                  <c:v>106431.86422678478</c:v>
                </c:pt>
                <c:pt idx="214">
                  <c:v>104680.48908706296</c:v>
                </c:pt>
                <c:pt idx="215">
                  <c:v>63640.415492256907</c:v>
                </c:pt>
                <c:pt idx="216">
                  <c:v>132989.61788647843</c:v>
                </c:pt>
                <c:pt idx="217">
                  <c:v>107779.57458704368</c:v>
                </c:pt>
                <c:pt idx="218">
                  <c:v>61812.87824985414</c:v>
                </c:pt>
                <c:pt idx="219">
                  <c:v>94647.17818202413</c:v>
                </c:pt>
                <c:pt idx="220">
                  <c:v>92615.855991051081</c:v>
                </c:pt>
                <c:pt idx="221">
                  <c:v>86107.992616737116</c:v>
                </c:pt>
                <c:pt idx="222">
                  <c:v>84951.295252939308</c:v>
                </c:pt>
                <c:pt idx="223">
                  <c:v>117873.95378778221</c:v>
                </c:pt>
                <c:pt idx="224">
                  <c:v>108746.26374077922</c:v>
                </c:pt>
                <c:pt idx="225">
                  <c:v>133344.48223102273</c:v>
                </c:pt>
                <c:pt idx="226">
                  <c:v>105675.02047323002</c:v>
                </c:pt>
                <c:pt idx="227">
                  <c:v>120148.87946390397</c:v>
                </c:pt>
                <c:pt idx="228">
                  <c:v>104579.9278491868</c:v>
                </c:pt>
                <c:pt idx="229">
                  <c:v>95237.791273758921</c:v>
                </c:pt>
                <c:pt idx="230">
                  <c:v>117628.15057847142</c:v>
                </c:pt>
                <c:pt idx="231">
                  <c:v>130068.39656857998</c:v>
                </c:pt>
                <c:pt idx="232">
                  <c:v>81089.862401145379</c:v>
                </c:pt>
                <c:pt idx="234">
                  <c:v>81918.634205279988</c:v>
                </c:pt>
                <c:pt idx="235">
                  <c:v>111481.42441788003</c:v>
                </c:pt>
                <c:pt idx="236">
                  <c:v>132569.37109544643</c:v>
                </c:pt>
                <c:pt idx="237">
                  <c:v>109163.36229577397</c:v>
                </c:pt>
                <c:pt idx="238">
                  <c:v>98451.130785480127</c:v>
                </c:pt>
                <c:pt idx="239">
                  <c:v>104251.4806126443</c:v>
                </c:pt>
                <c:pt idx="240">
                  <c:v>139450.84353579616</c:v>
                </c:pt>
                <c:pt idx="241">
                  <c:v>113641.38980125263</c:v>
                </c:pt>
                <c:pt idx="242">
                  <c:v>89356.628737456209</c:v>
                </c:pt>
                <c:pt idx="243">
                  <c:v>119106.01116475507</c:v>
                </c:pt>
                <c:pt idx="244">
                  <c:v>77046.172203686656</c:v>
                </c:pt>
                <c:pt idx="245">
                  <c:v>95268.894255621082</c:v>
                </c:pt>
                <c:pt idx="246">
                  <c:v>105401.14716782844</c:v>
                </c:pt>
                <c:pt idx="247">
                  <c:v>125447.07000213536</c:v>
                </c:pt>
                <c:pt idx="248">
                  <c:v>95755.820601976971</c:v>
                </c:pt>
                <c:pt idx="249">
                  <c:v>109720.72578835273</c:v>
                </c:pt>
                <c:pt idx="250">
                  <c:v>90976.822831820027</c:v>
                </c:pt>
                <c:pt idx="251">
                  <c:v>50233.452931740212</c:v>
                </c:pt>
                <c:pt idx="252">
                  <c:v>88269.374608721293</c:v>
                </c:pt>
                <c:pt idx="253">
                  <c:v>134698.73151673615</c:v>
                </c:pt>
                <c:pt idx="254">
                  <c:v>135098.66143294482</c:v>
                </c:pt>
                <c:pt idx="255">
                  <c:v>95029.427638511013</c:v>
                </c:pt>
                <c:pt idx="256">
                  <c:v>115194.24590968336</c:v>
                </c:pt>
                <c:pt idx="257">
                  <c:v>121412.21119958372</c:v>
                </c:pt>
                <c:pt idx="258">
                  <c:v>105029.47217881025</c:v>
                </c:pt>
                <c:pt idx="259">
                  <c:v>126366.04649705338</c:v>
                </c:pt>
                <c:pt idx="260">
                  <c:v>116935.41550432987</c:v>
                </c:pt>
                <c:pt idx="261">
                  <c:v>41860.235613567173</c:v>
                </c:pt>
                <c:pt idx="262">
                  <c:v>76912.746635340314</c:v>
                </c:pt>
                <c:pt idx="263">
                  <c:v>70664.296187686457</c:v>
                </c:pt>
                <c:pt idx="264">
                  <c:v>117859.07740217539</c:v>
                </c:pt>
                <c:pt idx="265">
                  <c:v>103703.51073659828</c:v>
                </c:pt>
                <c:pt idx="266">
                  <c:v>130464.77243424517</c:v>
                </c:pt>
                <c:pt idx="267">
                  <c:v>80242.533181985025</c:v>
                </c:pt>
                <c:pt idx="268">
                  <c:v>74901.546639954147</c:v>
                </c:pt>
                <c:pt idx="269">
                  <c:v>62841.970972034258</c:v>
                </c:pt>
                <c:pt idx="270">
                  <c:v>100920.05494506548</c:v>
                </c:pt>
                <c:pt idx="271">
                  <c:v>114422.70725091163</c:v>
                </c:pt>
                <c:pt idx="272">
                  <c:v>93397.598120670998</c:v>
                </c:pt>
                <c:pt idx="273">
                  <c:v>76932.989788080813</c:v>
                </c:pt>
                <c:pt idx="274">
                  <c:v>76362.517491583974</c:v>
                </c:pt>
                <c:pt idx="275">
                  <c:v>69020.789498930506</c:v>
                </c:pt>
                <c:pt idx="276">
                  <c:v>127991.89290291586</c:v>
                </c:pt>
                <c:pt idx="277">
                  <c:v>226123.94846022682</c:v>
                </c:pt>
                <c:pt idx="278">
                  <c:v>80405.575505663859</c:v>
                </c:pt>
                <c:pt idx="279">
                  <c:v>76094.1247280151</c:v>
                </c:pt>
                <c:pt idx="280">
                  <c:v>120539.72526639464</c:v>
                </c:pt>
                <c:pt idx="281">
                  <c:v>72280.24115202004</c:v>
                </c:pt>
                <c:pt idx="282">
                  <c:v>102523.55807323934</c:v>
                </c:pt>
                <c:pt idx="283">
                  <c:v>87852.91133575578</c:v>
                </c:pt>
                <c:pt idx="284">
                  <c:v>117520.93585059588</c:v>
                </c:pt>
                <c:pt idx="285">
                  <c:v>1017041.8899267802</c:v>
                </c:pt>
                <c:pt idx="286">
                  <c:v>122712.40294365888</c:v>
                </c:pt>
                <c:pt idx="287">
                  <c:v>61754.900491604465</c:v>
                </c:pt>
                <c:pt idx="288">
                  <c:v>114649.84205559605</c:v>
                </c:pt>
                <c:pt idx="289">
                  <c:v>80961.630799555292</c:v>
                </c:pt>
                <c:pt idx="290">
                  <c:v>69053.920221232693</c:v>
                </c:pt>
                <c:pt idx="292">
                  <c:v>86835.031753323041</c:v>
                </c:pt>
                <c:pt idx="293">
                  <c:v>104484.32808581585</c:v>
                </c:pt>
                <c:pt idx="295">
                  <c:v>100368.03261566877</c:v>
                </c:pt>
                <c:pt idx="296">
                  <c:v>124010.63316947746</c:v>
                </c:pt>
                <c:pt idx="297">
                  <c:v>98110.825711159938</c:v>
                </c:pt>
                <c:pt idx="298">
                  <c:v>85407.950603851816</c:v>
                </c:pt>
                <c:pt idx="299">
                  <c:v>96114.61736042962</c:v>
                </c:pt>
                <c:pt idx="300">
                  <c:v>101453.61048658683</c:v>
                </c:pt>
                <c:pt idx="302">
                  <c:v>92503.558867563872</c:v>
                </c:pt>
                <c:pt idx="303">
                  <c:v>64963.423864965618</c:v>
                </c:pt>
                <c:pt idx="304">
                  <c:v>89971.957062287271</c:v>
                </c:pt>
                <c:pt idx="305">
                  <c:v>136592.40403432175</c:v>
                </c:pt>
                <c:pt idx="306">
                  <c:v>108508.89728368344</c:v>
                </c:pt>
                <c:pt idx="307">
                  <c:v>114712.43994491494</c:v>
                </c:pt>
                <c:pt idx="308">
                  <c:v>83062.980677492713</c:v>
                </c:pt>
                <c:pt idx="309">
                  <c:v>103694.20949562166</c:v>
                </c:pt>
                <c:pt idx="310">
                  <c:v>112064.95001142788</c:v>
                </c:pt>
                <c:pt idx="311">
                  <c:v>81907.712500124675</c:v>
                </c:pt>
                <c:pt idx="312">
                  <c:v>81674.517988725507</c:v>
                </c:pt>
                <c:pt idx="313">
                  <c:v>95766.66036137646</c:v>
                </c:pt>
                <c:pt idx="314">
                  <c:v>122746.29084729459</c:v>
                </c:pt>
                <c:pt idx="316">
                  <c:v>105159.51962442361</c:v>
                </c:pt>
                <c:pt idx="317">
                  <c:v>73157.445030297706</c:v>
                </c:pt>
                <c:pt idx="318">
                  <c:v>113578.62580118557</c:v>
                </c:pt>
                <c:pt idx="319">
                  <c:v>76933.351935885104</c:v>
                </c:pt>
                <c:pt idx="320">
                  <c:v>129018.55096558423</c:v>
                </c:pt>
                <c:pt idx="321">
                  <c:v>122118.00848714617</c:v>
                </c:pt>
                <c:pt idx="322">
                  <c:v>110111.78483671749</c:v>
                </c:pt>
                <c:pt idx="323">
                  <c:v>95550.502064434695</c:v>
                </c:pt>
                <c:pt idx="324">
                  <c:v>98455.579095539084</c:v>
                </c:pt>
                <c:pt idx="326">
                  <c:v>40177.280581985535</c:v>
                </c:pt>
                <c:pt idx="327">
                  <c:v>77874.129751767323</c:v>
                </c:pt>
                <c:pt idx="328">
                  <c:v>98627.319078290631</c:v>
                </c:pt>
                <c:pt idx="329">
                  <c:v>105774.47325650047</c:v>
                </c:pt>
                <c:pt idx="330">
                  <c:v>101549.61037037725</c:v>
                </c:pt>
                <c:pt idx="331">
                  <c:v>121653.82107774146</c:v>
                </c:pt>
                <c:pt idx="332">
                  <c:v>124005.23499477659</c:v>
                </c:pt>
                <c:pt idx="333">
                  <c:v>109070.17425108935</c:v>
                </c:pt>
                <c:pt idx="334">
                  <c:v>114292.19581273236</c:v>
                </c:pt>
                <c:pt idx="335">
                  <c:v>88889.064410262668</c:v>
                </c:pt>
                <c:pt idx="336">
                  <c:v>113854.45510233719</c:v>
                </c:pt>
                <c:pt idx="337">
                  <c:v>102807.19739696094</c:v>
                </c:pt>
                <c:pt idx="339">
                  <c:v>1072283.4634546204</c:v>
                </c:pt>
                <c:pt idx="340">
                  <c:v>84884.169996832745</c:v>
                </c:pt>
                <c:pt idx="341">
                  <c:v>91770.137108756389</c:v>
                </c:pt>
                <c:pt idx="342">
                  <c:v>98018.113995174615</c:v>
                </c:pt>
                <c:pt idx="343">
                  <c:v>79229.123583120556</c:v>
                </c:pt>
                <c:pt idx="345">
                  <c:v>119506.24916955958</c:v>
                </c:pt>
                <c:pt idx="346">
                  <c:v>91806.268147410054</c:v>
                </c:pt>
                <c:pt idx="348">
                  <c:v>135635.97817542119</c:v>
                </c:pt>
                <c:pt idx="349">
                  <c:v>124992.37810593334</c:v>
                </c:pt>
                <c:pt idx="350">
                  <c:v>118758.3107502131</c:v>
                </c:pt>
                <c:pt idx="351">
                  <c:v>105963.16931981052</c:v>
                </c:pt>
                <c:pt idx="352">
                  <c:v>123455.13690534889</c:v>
                </c:pt>
                <c:pt idx="353">
                  <c:v>127108.85602210992</c:v>
                </c:pt>
                <c:pt idx="354">
                  <c:v>87445.321878309886</c:v>
                </c:pt>
                <c:pt idx="355">
                  <c:v>106771.05752571828</c:v>
                </c:pt>
                <c:pt idx="356">
                  <c:v>1417209.4099074227</c:v>
                </c:pt>
                <c:pt idx="357">
                  <c:v>122077.54686632515</c:v>
                </c:pt>
                <c:pt idx="358">
                  <c:v>72683.516891691223</c:v>
                </c:pt>
                <c:pt idx="359">
                  <c:v>97260.090211150833</c:v>
                </c:pt>
                <c:pt idx="360">
                  <c:v>66253.113057785784</c:v>
                </c:pt>
                <c:pt idx="361">
                  <c:v>136143.93287275769</c:v>
                </c:pt>
                <c:pt idx="362">
                  <c:v>88721.050238835131</c:v>
                </c:pt>
                <c:pt idx="363">
                  <c:v>129782.26216656579</c:v>
                </c:pt>
                <c:pt idx="364">
                  <c:v>140937.24391439115</c:v>
                </c:pt>
                <c:pt idx="365">
                  <c:v>108516.87317259658</c:v>
                </c:pt>
                <c:pt idx="366">
                  <c:v>87920.387480615405</c:v>
                </c:pt>
                <c:pt idx="367">
                  <c:v>96262.076836760301</c:v>
                </c:pt>
                <c:pt idx="368">
                  <c:v>83509.716769446532</c:v>
                </c:pt>
                <c:pt idx="369">
                  <c:v>72633.699223343792</c:v>
                </c:pt>
                <c:pt idx="370">
                  <c:v>66902.251275434071</c:v>
                </c:pt>
                <c:pt idx="371">
                  <c:v>180319.83929322253</c:v>
                </c:pt>
                <c:pt idx="372">
                  <c:v>90577.50696364243</c:v>
                </c:pt>
                <c:pt idx="373">
                  <c:v>90736.77275829202</c:v>
                </c:pt>
                <c:pt idx="374">
                  <c:v>80354.119314906406</c:v>
                </c:pt>
                <c:pt idx="375">
                  <c:v>59001.174428450438</c:v>
                </c:pt>
                <c:pt idx="376">
                  <c:v>104087.78063205954</c:v>
                </c:pt>
                <c:pt idx="377">
                  <c:v>74613.390069066023</c:v>
                </c:pt>
                <c:pt idx="378">
                  <c:v>60658.605928256955</c:v>
                </c:pt>
                <c:pt idx="379">
                  <c:v>82722.340788204674</c:v>
                </c:pt>
                <c:pt idx="380">
                  <c:v>74137.169124827051</c:v>
                </c:pt>
                <c:pt idx="381">
                  <c:v>120974.14252833127</c:v>
                </c:pt>
                <c:pt idx="382">
                  <c:v>98215.31691557102</c:v>
                </c:pt>
                <c:pt idx="383">
                  <c:v>87943.586884320772</c:v>
                </c:pt>
                <c:pt idx="384">
                  <c:v>67374.483690781082</c:v>
                </c:pt>
                <c:pt idx="385">
                  <c:v>103161.06979840263</c:v>
                </c:pt>
                <c:pt idx="386">
                  <c:v>110312.56176887912</c:v>
                </c:pt>
                <c:pt idx="387">
                  <c:v>114246.44319160325</c:v>
                </c:pt>
                <c:pt idx="388">
                  <c:v>125577.31626626787</c:v>
                </c:pt>
                <c:pt idx="389">
                  <c:v>66867.535846444516</c:v>
                </c:pt>
                <c:pt idx="390">
                  <c:v>115586.98007810664</c:v>
                </c:pt>
                <c:pt idx="391">
                  <c:v>100249.986438145</c:v>
                </c:pt>
                <c:pt idx="392">
                  <c:v>112773.20337286204</c:v>
                </c:pt>
                <c:pt idx="393">
                  <c:v>113308.33647383557</c:v>
                </c:pt>
                <c:pt idx="394">
                  <c:v>226089.90412888792</c:v>
                </c:pt>
                <c:pt idx="395">
                  <c:v>94239.222521558477</c:v>
                </c:pt>
                <c:pt idx="396">
                  <c:v>81241.488469272022</c:v>
                </c:pt>
                <c:pt idx="397">
                  <c:v>79704.810136282962</c:v>
                </c:pt>
                <c:pt idx="398">
                  <c:v>1095033.5492990762</c:v>
                </c:pt>
                <c:pt idx="399">
                  <c:v>97020.613804654058</c:v>
                </c:pt>
                <c:pt idx="400">
                  <c:v>89612.072563477472</c:v>
                </c:pt>
                <c:pt idx="401">
                  <c:v>64122.150042642192</c:v>
                </c:pt>
                <c:pt idx="402">
                  <c:v>66346.826117546283</c:v>
                </c:pt>
                <c:pt idx="403">
                  <c:v>83675.655109160711</c:v>
                </c:pt>
                <c:pt idx="404">
                  <c:v>145428.99490845593</c:v>
                </c:pt>
                <c:pt idx="405">
                  <c:v>86501.319624188953</c:v>
                </c:pt>
                <c:pt idx="406">
                  <c:v>108364.11511775944</c:v>
                </c:pt>
                <c:pt idx="407">
                  <c:v>95409.026892793059</c:v>
                </c:pt>
                <c:pt idx="408">
                  <c:v>67390.535125697206</c:v>
                </c:pt>
                <c:pt idx="409">
                  <c:v>878282.05535206001</c:v>
                </c:pt>
                <c:pt idx="410">
                  <c:v>139745.51998461617</c:v>
                </c:pt>
                <c:pt idx="411">
                  <c:v>80799.074094410724</c:v>
                </c:pt>
                <c:pt idx="412">
                  <c:v>106683.52834489795</c:v>
                </c:pt>
                <c:pt idx="413">
                  <c:v>98127.276225216585</c:v>
                </c:pt>
                <c:pt idx="414">
                  <c:v>91771.467857679949</c:v>
                </c:pt>
                <c:pt idx="416">
                  <c:v>123181.48129911795</c:v>
                </c:pt>
                <c:pt idx="417">
                  <c:v>75957.009478478227</c:v>
                </c:pt>
                <c:pt idx="418">
                  <c:v>134050.2931625921</c:v>
                </c:pt>
                <c:pt idx="419">
                  <c:v>77656.270765859954</c:v>
                </c:pt>
                <c:pt idx="420">
                  <c:v>125589.29863315502</c:v>
                </c:pt>
                <c:pt idx="421">
                  <c:v>111447.80622351351</c:v>
                </c:pt>
                <c:pt idx="422">
                  <c:v>133108.1422617659</c:v>
                </c:pt>
                <c:pt idx="423">
                  <c:v>99248.587100410368</c:v>
                </c:pt>
                <c:pt idx="424">
                  <c:v>108645.25901268311</c:v>
                </c:pt>
                <c:pt idx="425">
                  <c:v>75251.467235548553</c:v>
                </c:pt>
                <c:pt idx="426">
                  <c:v>98067.526599702207</c:v>
                </c:pt>
                <c:pt idx="427">
                  <c:v>119568.4422405607</c:v>
                </c:pt>
                <c:pt idx="428">
                  <c:v>145633.03673077686</c:v>
                </c:pt>
                <c:pt idx="429">
                  <c:v>80953.672385224054</c:v>
                </c:pt>
                <c:pt idx="430">
                  <c:v>89511.037274746966</c:v>
                </c:pt>
                <c:pt idx="431">
                  <c:v>99219.609612449116</c:v>
                </c:pt>
                <c:pt idx="432">
                  <c:v>157368.06111333537</c:v>
                </c:pt>
                <c:pt idx="433">
                  <c:v>121162.366501743</c:v>
                </c:pt>
                <c:pt idx="434">
                  <c:v>138824.34872927499</c:v>
                </c:pt>
                <c:pt idx="435">
                  <c:v>101591.95724752072</c:v>
                </c:pt>
                <c:pt idx="436">
                  <c:v>128370.62690296074</c:v>
                </c:pt>
                <c:pt idx="437">
                  <c:v>104332.49950809238</c:v>
                </c:pt>
                <c:pt idx="438">
                  <c:v>92770.744666120285</c:v>
                </c:pt>
                <c:pt idx="439">
                  <c:v>99951.923181622929</c:v>
                </c:pt>
                <c:pt idx="440">
                  <c:v>110055.68853790389</c:v>
                </c:pt>
                <c:pt idx="442">
                  <c:v>72891.049937754215</c:v>
                </c:pt>
                <c:pt idx="443">
                  <c:v>79519.428182272415</c:v>
                </c:pt>
                <c:pt idx="444">
                  <c:v>101562.86125939294</c:v>
                </c:pt>
                <c:pt idx="445">
                  <c:v>91912.051536320767</c:v>
                </c:pt>
                <c:pt idx="446">
                  <c:v>91938.480218699391</c:v>
                </c:pt>
                <c:pt idx="447">
                  <c:v>64479.764919031957</c:v>
                </c:pt>
                <c:pt idx="448">
                  <c:v>67210.316749491321</c:v>
                </c:pt>
                <c:pt idx="449">
                  <c:v>124119.89033093632</c:v>
                </c:pt>
                <c:pt idx="450">
                  <c:v>89420.445838719694</c:v>
                </c:pt>
                <c:pt idx="451">
                  <c:v>118227.25444349443</c:v>
                </c:pt>
                <c:pt idx="452">
                  <c:v>97545.821328085513</c:v>
                </c:pt>
                <c:pt idx="453">
                  <c:v>96894.819023505028</c:v>
                </c:pt>
                <c:pt idx="454">
                  <c:v>126515.93295084379</c:v>
                </c:pt>
                <c:pt idx="455">
                  <c:v>123078.01468511495</c:v>
                </c:pt>
                <c:pt idx="456">
                  <c:v>108937.45001605396</c:v>
                </c:pt>
                <c:pt idx="457">
                  <c:v>93274.905226378556</c:v>
                </c:pt>
                <c:pt idx="459">
                  <c:v>104046.57592845603</c:v>
                </c:pt>
                <c:pt idx="460">
                  <c:v>96283.08495614506</c:v>
                </c:pt>
                <c:pt idx="461">
                  <c:v>120834.49328117703</c:v>
                </c:pt>
                <c:pt idx="462">
                  <c:v>109012.06825725078</c:v>
                </c:pt>
                <c:pt idx="464">
                  <c:v>65375.973931101493</c:v>
                </c:pt>
                <c:pt idx="465">
                  <c:v>109400.88374736405</c:v>
                </c:pt>
                <c:pt idx="466">
                  <c:v>102188.1694366594</c:v>
                </c:pt>
                <c:pt idx="467">
                  <c:v>91680.661441052827</c:v>
                </c:pt>
                <c:pt idx="468">
                  <c:v>110442.85091867871</c:v>
                </c:pt>
                <c:pt idx="469">
                  <c:v>87647.166461326065</c:v>
                </c:pt>
                <c:pt idx="470">
                  <c:v>171006.90832541289</c:v>
                </c:pt>
                <c:pt idx="471">
                  <c:v>85293.930786360957</c:v>
                </c:pt>
                <c:pt idx="472">
                  <c:v>91641.809084682187</c:v>
                </c:pt>
                <c:pt idx="473">
                  <c:v>66628.014822436089</c:v>
                </c:pt>
                <c:pt idx="474">
                  <c:v>107352.39680419421</c:v>
                </c:pt>
                <c:pt idx="475">
                  <c:v>82433.538456405222</c:v>
                </c:pt>
                <c:pt idx="476">
                  <c:v>111081.15542231814</c:v>
                </c:pt>
                <c:pt idx="477">
                  <c:v>50243.826869298413</c:v>
                </c:pt>
                <c:pt idx="478">
                  <c:v>79484.946327194455</c:v>
                </c:pt>
                <c:pt idx="480">
                  <c:v>88214.566964213882</c:v>
                </c:pt>
                <c:pt idx="481">
                  <c:v>135927.21645853927</c:v>
                </c:pt>
                <c:pt idx="482">
                  <c:v>108566.33384750475</c:v>
                </c:pt>
                <c:pt idx="483">
                  <c:v>85819.580847390185</c:v>
                </c:pt>
                <c:pt idx="485">
                  <c:v>117232.72248995888</c:v>
                </c:pt>
                <c:pt idx="486">
                  <c:v>109828.589054404</c:v>
                </c:pt>
                <c:pt idx="487">
                  <c:v>1398310.6604409469</c:v>
                </c:pt>
                <c:pt idx="488">
                  <c:v>121278.81975121712</c:v>
                </c:pt>
              </c:numCache>
            </c:numRef>
          </c:val>
          <c:extLst>
            <c:ext xmlns:c16="http://schemas.microsoft.com/office/drawing/2014/chart" uri="{C3380CC4-5D6E-409C-BE32-E72D297353CC}">
              <c16:uniqueId val="{00000000-8660-46EB-82C3-4E1CBA22FBBE}"/>
            </c:ext>
          </c:extLst>
        </c:ser>
        <c:dLbls>
          <c:showLegendKey val="0"/>
          <c:showVal val="0"/>
          <c:showCatName val="0"/>
          <c:showSerName val="0"/>
          <c:showPercent val="0"/>
          <c:showBubbleSize val="0"/>
        </c:dLbls>
        <c:gapWidth val="150"/>
        <c:axId val="656268320"/>
        <c:axId val="656274560"/>
      </c:barChart>
      <c:lineChart>
        <c:grouping val="standard"/>
        <c:varyColors val="0"/>
        <c:ser>
          <c:idx val="1"/>
          <c:order val="1"/>
          <c:tx>
            <c:strRef>
              <c:f>'Online_Interest_Index VS Market'!$C$3</c:f>
              <c:strCache>
                <c:ptCount val="1"/>
                <c:pt idx="0">
                  <c:v>Sum of Online_Interest_Index</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47633814523184603"/>
                  <c:y val="-0.4307648002333041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multiLvlStrRef>
              <c:f>'Online_Interest_Index VS Market'!$A$4:$A$505</c:f>
              <c:multiLvlStrCache>
                <c:ptCount val="489"/>
                <c:lvl>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2016</c:v>
                  </c:pt>
                  <c:pt idx="42">
                    <c:v>2017</c:v>
                  </c:pt>
                  <c:pt idx="43">
                    <c:v>2018</c:v>
                  </c:pt>
                  <c:pt idx="44">
                    <c:v>2019</c:v>
                  </c:pt>
                  <c:pt idx="45">
                    <c:v>2020</c:v>
                  </c:pt>
                  <c:pt idx="46">
                    <c:v>2021</c:v>
                  </c:pt>
                  <c:pt idx="47">
                    <c:v>2022</c:v>
                  </c:pt>
                  <c:pt idx="48">
                    <c:v>2023</c:v>
                  </c:pt>
                  <c:pt idx="49">
                    <c:v>2024</c:v>
                  </c:pt>
                  <c:pt idx="50">
                    <c:v>2025</c:v>
                  </c:pt>
                  <c:pt idx="51">
                    <c:v>2026</c:v>
                  </c:pt>
                  <c:pt idx="52">
                    <c:v>2027</c:v>
                  </c:pt>
                  <c:pt idx="53">
                    <c:v>2028</c:v>
                  </c:pt>
                  <c:pt idx="54">
                    <c:v>2029</c:v>
                  </c:pt>
                  <c:pt idx="55">
                    <c:v>2030</c:v>
                  </c:pt>
                  <c:pt idx="56">
                    <c:v>2031</c:v>
                  </c:pt>
                  <c:pt idx="57">
                    <c:v>2032</c:v>
                  </c:pt>
                  <c:pt idx="58">
                    <c:v>2033</c:v>
                  </c:pt>
                  <c:pt idx="59">
                    <c:v>2034</c:v>
                  </c:pt>
                  <c:pt idx="60">
                    <c:v>2035</c:v>
                  </c:pt>
                  <c:pt idx="61">
                    <c:v>2036</c:v>
                  </c:pt>
                  <c:pt idx="62">
                    <c:v>2037</c:v>
                  </c:pt>
                  <c:pt idx="63">
                    <c:v>2039</c:v>
                  </c:pt>
                  <c:pt idx="64">
                    <c:v>2040</c:v>
                  </c:pt>
                  <c:pt idx="65">
                    <c:v>2041</c:v>
                  </c:pt>
                  <c:pt idx="66">
                    <c:v>2042</c:v>
                  </c:pt>
                  <c:pt idx="67">
                    <c:v>2043</c:v>
                  </c:pt>
                  <c:pt idx="68">
                    <c:v>2044</c:v>
                  </c:pt>
                  <c:pt idx="69">
                    <c:v>2045</c:v>
                  </c:pt>
                  <c:pt idx="70">
                    <c:v>2046</c:v>
                  </c:pt>
                  <c:pt idx="71">
                    <c:v>2047</c:v>
                  </c:pt>
                  <c:pt idx="72">
                    <c:v>2048</c:v>
                  </c:pt>
                  <c:pt idx="73">
                    <c:v>2049</c:v>
                  </c:pt>
                  <c:pt idx="74">
                    <c:v>2050</c:v>
                  </c:pt>
                  <c:pt idx="75">
                    <c:v>2051</c:v>
                  </c:pt>
                  <c:pt idx="76">
                    <c:v>2052</c:v>
                  </c:pt>
                  <c:pt idx="77">
                    <c:v>2053</c:v>
                  </c:pt>
                  <c:pt idx="78">
                    <c:v>2054</c:v>
                  </c:pt>
                  <c:pt idx="79">
                    <c:v>2015</c:v>
                  </c:pt>
                  <c:pt idx="80">
                    <c:v>2016</c:v>
                  </c:pt>
                  <c:pt idx="81">
                    <c:v>2017</c:v>
                  </c:pt>
                  <c:pt idx="82">
                    <c:v>2018</c:v>
                  </c:pt>
                  <c:pt idx="83">
                    <c:v>2019</c:v>
                  </c:pt>
                  <c:pt idx="84">
                    <c:v>2020</c:v>
                  </c:pt>
                  <c:pt idx="85">
                    <c:v>2021</c:v>
                  </c:pt>
                  <c:pt idx="86">
                    <c:v>2022</c:v>
                  </c:pt>
                  <c:pt idx="87">
                    <c:v>2023</c:v>
                  </c:pt>
                  <c:pt idx="88">
                    <c:v>2024</c:v>
                  </c:pt>
                  <c:pt idx="89">
                    <c:v>2025</c:v>
                  </c:pt>
                  <c:pt idx="90">
                    <c:v>2026</c:v>
                  </c:pt>
                  <c:pt idx="91">
                    <c:v>2027</c:v>
                  </c:pt>
                  <c:pt idx="92">
                    <c:v>2028</c:v>
                  </c:pt>
                  <c:pt idx="93">
                    <c:v>2029</c:v>
                  </c:pt>
                  <c:pt idx="94">
                    <c:v>2030</c:v>
                  </c:pt>
                  <c:pt idx="95">
                    <c:v>2031</c:v>
                  </c:pt>
                  <c:pt idx="96">
                    <c:v>2032</c:v>
                  </c:pt>
                  <c:pt idx="97">
                    <c:v>2033</c:v>
                  </c:pt>
                  <c:pt idx="98">
                    <c:v>2034</c:v>
                  </c:pt>
                  <c:pt idx="99">
                    <c:v>2035</c:v>
                  </c:pt>
                  <c:pt idx="100">
                    <c:v>2036</c:v>
                  </c:pt>
                  <c:pt idx="101">
                    <c:v>2037</c:v>
                  </c:pt>
                  <c:pt idx="102">
                    <c:v>2038</c:v>
                  </c:pt>
                  <c:pt idx="103">
                    <c:v>2039</c:v>
                  </c:pt>
                  <c:pt idx="104">
                    <c:v>2040</c:v>
                  </c:pt>
                  <c:pt idx="105">
                    <c:v>2041</c:v>
                  </c:pt>
                  <c:pt idx="106">
                    <c:v>2042</c:v>
                  </c:pt>
                  <c:pt idx="107">
                    <c:v>2043</c:v>
                  </c:pt>
                  <c:pt idx="108">
                    <c:v>2044</c:v>
                  </c:pt>
                  <c:pt idx="109">
                    <c:v>2045</c:v>
                  </c:pt>
                  <c:pt idx="110">
                    <c:v>2046</c:v>
                  </c:pt>
                  <c:pt idx="111">
                    <c:v>2047</c:v>
                  </c:pt>
                  <c:pt idx="112">
                    <c:v>2048</c:v>
                  </c:pt>
                  <c:pt idx="113">
                    <c:v>2049</c:v>
                  </c:pt>
                  <c:pt idx="114">
                    <c:v>2050</c:v>
                  </c:pt>
                  <c:pt idx="115">
                    <c:v>2051</c:v>
                  </c:pt>
                  <c:pt idx="116">
                    <c:v>2052</c:v>
                  </c:pt>
                  <c:pt idx="117">
                    <c:v>2053</c:v>
                  </c:pt>
                  <c:pt idx="118">
                    <c:v>2054</c:v>
                  </c:pt>
                  <c:pt idx="119">
                    <c:v>2055</c:v>
                  </c:pt>
                  <c:pt idx="120">
                    <c:v>2015</c:v>
                  </c:pt>
                  <c:pt idx="121">
                    <c:v>2016</c:v>
                  </c:pt>
                  <c:pt idx="122">
                    <c:v>2017</c:v>
                  </c:pt>
                  <c:pt idx="123">
                    <c:v>2018</c:v>
                  </c:pt>
                  <c:pt idx="124">
                    <c:v>2019</c:v>
                  </c:pt>
                  <c:pt idx="125">
                    <c:v>2020</c:v>
                  </c:pt>
                  <c:pt idx="126">
                    <c:v>2021</c:v>
                  </c:pt>
                  <c:pt idx="127">
                    <c:v>2022</c:v>
                  </c:pt>
                  <c:pt idx="128">
                    <c:v>2023</c:v>
                  </c:pt>
                  <c:pt idx="129">
                    <c:v>2024</c:v>
                  </c:pt>
                  <c:pt idx="130">
                    <c:v>2025</c:v>
                  </c:pt>
                  <c:pt idx="131">
                    <c:v>2026</c:v>
                  </c:pt>
                  <c:pt idx="132">
                    <c:v>2027</c:v>
                  </c:pt>
                  <c:pt idx="133">
                    <c:v>2028</c:v>
                  </c:pt>
                  <c:pt idx="134">
                    <c:v>2029</c:v>
                  </c:pt>
                  <c:pt idx="135">
                    <c:v>2030</c:v>
                  </c:pt>
                  <c:pt idx="136">
                    <c:v>2031</c:v>
                  </c:pt>
                  <c:pt idx="137">
                    <c:v>2032</c:v>
                  </c:pt>
                  <c:pt idx="138">
                    <c:v>2033</c:v>
                  </c:pt>
                  <c:pt idx="139">
                    <c:v>2034</c:v>
                  </c:pt>
                  <c:pt idx="140">
                    <c:v>2035</c:v>
                  </c:pt>
                  <c:pt idx="141">
                    <c:v>2036</c:v>
                  </c:pt>
                  <c:pt idx="142">
                    <c:v>2037</c:v>
                  </c:pt>
                  <c:pt idx="143">
                    <c:v>2038</c:v>
                  </c:pt>
                  <c:pt idx="144">
                    <c:v>2039</c:v>
                  </c:pt>
                  <c:pt idx="145">
                    <c:v>2040</c:v>
                  </c:pt>
                  <c:pt idx="146">
                    <c:v>2041</c:v>
                  </c:pt>
                  <c:pt idx="147">
                    <c:v>2042</c:v>
                  </c:pt>
                  <c:pt idx="148">
                    <c:v>2043</c:v>
                  </c:pt>
                  <c:pt idx="149">
                    <c:v>2044</c:v>
                  </c:pt>
                  <c:pt idx="150">
                    <c:v>2045</c:v>
                  </c:pt>
                  <c:pt idx="151">
                    <c:v>2046</c:v>
                  </c:pt>
                  <c:pt idx="152">
                    <c:v>2047</c:v>
                  </c:pt>
                  <c:pt idx="153">
                    <c:v>2048</c:v>
                  </c:pt>
                  <c:pt idx="154">
                    <c:v>2049</c:v>
                  </c:pt>
                  <c:pt idx="155">
                    <c:v>2050</c:v>
                  </c:pt>
                  <c:pt idx="156">
                    <c:v>2051</c:v>
                  </c:pt>
                  <c:pt idx="157">
                    <c:v>2052</c:v>
                  </c:pt>
                  <c:pt idx="158">
                    <c:v>2053</c:v>
                  </c:pt>
                  <c:pt idx="159">
                    <c:v>2054</c:v>
                  </c:pt>
                  <c:pt idx="160">
                    <c:v>2055</c:v>
                  </c:pt>
                  <c:pt idx="161">
                    <c:v>2015</c:v>
                  </c:pt>
                  <c:pt idx="162">
                    <c:v>2016</c:v>
                  </c:pt>
                  <c:pt idx="163">
                    <c:v>2017</c:v>
                  </c:pt>
                  <c:pt idx="164">
                    <c:v>2018</c:v>
                  </c:pt>
                  <c:pt idx="165">
                    <c:v>2019</c:v>
                  </c:pt>
                  <c:pt idx="166">
                    <c:v>2020</c:v>
                  </c:pt>
                  <c:pt idx="167">
                    <c:v>2021</c:v>
                  </c:pt>
                  <c:pt idx="168">
                    <c:v>2022</c:v>
                  </c:pt>
                  <c:pt idx="169">
                    <c:v>2023</c:v>
                  </c:pt>
                  <c:pt idx="170">
                    <c:v>2024</c:v>
                  </c:pt>
                  <c:pt idx="171">
                    <c:v>2025</c:v>
                  </c:pt>
                  <c:pt idx="172">
                    <c:v>2026</c:v>
                  </c:pt>
                  <c:pt idx="173">
                    <c:v>2027</c:v>
                  </c:pt>
                  <c:pt idx="174">
                    <c:v>2028</c:v>
                  </c:pt>
                  <c:pt idx="175">
                    <c:v>2029</c:v>
                  </c:pt>
                  <c:pt idx="176">
                    <c:v>2030</c:v>
                  </c:pt>
                  <c:pt idx="177">
                    <c:v>2031</c:v>
                  </c:pt>
                  <c:pt idx="178">
                    <c:v>2032</c:v>
                  </c:pt>
                  <c:pt idx="179">
                    <c:v>2033</c:v>
                  </c:pt>
                  <c:pt idx="180">
                    <c:v>2034</c:v>
                  </c:pt>
                  <c:pt idx="181">
                    <c:v>2035</c:v>
                  </c:pt>
                  <c:pt idx="182">
                    <c:v>2036</c:v>
                  </c:pt>
                  <c:pt idx="183">
                    <c:v>2037</c:v>
                  </c:pt>
                  <c:pt idx="184">
                    <c:v>2038</c:v>
                  </c:pt>
                  <c:pt idx="185">
                    <c:v>2039</c:v>
                  </c:pt>
                  <c:pt idx="186">
                    <c:v>2040</c:v>
                  </c:pt>
                  <c:pt idx="187">
                    <c:v>2041</c:v>
                  </c:pt>
                  <c:pt idx="188">
                    <c:v>2042</c:v>
                  </c:pt>
                  <c:pt idx="189">
                    <c:v>2043</c:v>
                  </c:pt>
                  <c:pt idx="190">
                    <c:v>2044</c:v>
                  </c:pt>
                  <c:pt idx="191">
                    <c:v>2045</c:v>
                  </c:pt>
                  <c:pt idx="192">
                    <c:v>2046</c:v>
                  </c:pt>
                  <c:pt idx="193">
                    <c:v>2047</c:v>
                  </c:pt>
                  <c:pt idx="194">
                    <c:v>2048</c:v>
                  </c:pt>
                  <c:pt idx="195">
                    <c:v>2049</c:v>
                  </c:pt>
                  <c:pt idx="196">
                    <c:v>2050</c:v>
                  </c:pt>
                  <c:pt idx="197">
                    <c:v>2051</c:v>
                  </c:pt>
                  <c:pt idx="198">
                    <c:v>2052</c:v>
                  </c:pt>
                  <c:pt idx="199">
                    <c:v>2053</c:v>
                  </c:pt>
                  <c:pt idx="200">
                    <c:v>2054</c:v>
                  </c:pt>
                  <c:pt idx="201">
                    <c:v>2055</c:v>
                  </c:pt>
                  <c:pt idx="202">
                    <c:v>2015</c:v>
                  </c:pt>
                  <c:pt idx="203">
                    <c:v>2016</c:v>
                  </c:pt>
                  <c:pt idx="204">
                    <c:v>2017</c:v>
                  </c:pt>
                  <c:pt idx="205">
                    <c:v>2018</c:v>
                  </c:pt>
                  <c:pt idx="206">
                    <c:v>2019</c:v>
                  </c:pt>
                  <c:pt idx="207">
                    <c:v>2020</c:v>
                  </c:pt>
                  <c:pt idx="208">
                    <c:v>2021</c:v>
                  </c:pt>
                  <c:pt idx="209">
                    <c:v>2022</c:v>
                  </c:pt>
                  <c:pt idx="210">
                    <c:v>2023</c:v>
                  </c:pt>
                  <c:pt idx="211">
                    <c:v>2024</c:v>
                  </c:pt>
                  <c:pt idx="212">
                    <c:v>2025</c:v>
                  </c:pt>
                  <c:pt idx="213">
                    <c:v>2026</c:v>
                  </c:pt>
                  <c:pt idx="214">
                    <c:v>2027</c:v>
                  </c:pt>
                  <c:pt idx="215">
                    <c:v>2028</c:v>
                  </c:pt>
                  <c:pt idx="216">
                    <c:v>2029</c:v>
                  </c:pt>
                  <c:pt idx="217">
                    <c:v>2030</c:v>
                  </c:pt>
                  <c:pt idx="218">
                    <c:v>2031</c:v>
                  </c:pt>
                  <c:pt idx="219">
                    <c:v>2032</c:v>
                  </c:pt>
                  <c:pt idx="220">
                    <c:v>2033</c:v>
                  </c:pt>
                  <c:pt idx="221">
                    <c:v>2034</c:v>
                  </c:pt>
                  <c:pt idx="222">
                    <c:v>2035</c:v>
                  </c:pt>
                  <c:pt idx="223">
                    <c:v>2036</c:v>
                  </c:pt>
                  <c:pt idx="224">
                    <c:v>2037</c:v>
                  </c:pt>
                  <c:pt idx="225">
                    <c:v>2038</c:v>
                  </c:pt>
                  <c:pt idx="226">
                    <c:v>2039</c:v>
                  </c:pt>
                  <c:pt idx="227">
                    <c:v>2040</c:v>
                  </c:pt>
                  <c:pt idx="228">
                    <c:v>2041</c:v>
                  </c:pt>
                  <c:pt idx="229">
                    <c:v>2042</c:v>
                  </c:pt>
                  <c:pt idx="230">
                    <c:v>2043</c:v>
                  </c:pt>
                  <c:pt idx="231">
                    <c:v>2044</c:v>
                  </c:pt>
                  <c:pt idx="232">
                    <c:v>2045</c:v>
                  </c:pt>
                  <c:pt idx="233">
                    <c:v>2046</c:v>
                  </c:pt>
                  <c:pt idx="234">
                    <c:v>2047</c:v>
                  </c:pt>
                  <c:pt idx="235">
                    <c:v>2048</c:v>
                  </c:pt>
                  <c:pt idx="236">
                    <c:v>2049</c:v>
                  </c:pt>
                  <c:pt idx="237">
                    <c:v>2050</c:v>
                  </c:pt>
                  <c:pt idx="238">
                    <c:v>2051</c:v>
                  </c:pt>
                  <c:pt idx="239">
                    <c:v>2052</c:v>
                  </c:pt>
                  <c:pt idx="240">
                    <c:v>2053</c:v>
                  </c:pt>
                  <c:pt idx="241">
                    <c:v>2054</c:v>
                  </c:pt>
                  <c:pt idx="242">
                    <c:v>2055</c:v>
                  </c:pt>
                  <c:pt idx="243">
                    <c:v>2015</c:v>
                  </c:pt>
                  <c:pt idx="244">
                    <c:v>2016</c:v>
                  </c:pt>
                  <c:pt idx="245">
                    <c:v>2017</c:v>
                  </c:pt>
                  <c:pt idx="246">
                    <c:v>2018</c:v>
                  </c:pt>
                  <c:pt idx="247">
                    <c:v>2019</c:v>
                  </c:pt>
                  <c:pt idx="248">
                    <c:v>2020</c:v>
                  </c:pt>
                  <c:pt idx="249">
                    <c:v>2021</c:v>
                  </c:pt>
                  <c:pt idx="250">
                    <c:v>2022</c:v>
                  </c:pt>
                  <c:pt idx="251">
                    <c:v>2023</c:v>
                  </c:pt>
                  <c:pt idx="252">
                    <c:v>2024</c:v>
                  </c:pt>
                  <c:pt idx="253">
                    <c:v>2025</c:v>
                  </c:pt>
                  <c:pt idx="254">
                    <c:v>2026</c:v>
                  </c:pt>
                  <c:pt idx="255">
                    <c:v>2027</c:v>
                  </c:pt>
                  <c:pt idx="256">
                    <c:v>2028</c:v>
                  </c:pt>
                  <c:pt idx="257">
                    <c:v>2029</c:v>
                  </c:pt>
                  <c:pt idx="258">
                    <c:v>2030</c:v>
                  </c:pt>
                  <c:pt idx="259">
                    <c:v>2031</c:v>
                  </c:pt>
                  <c:pt idx="260">
                    <c:v>2032</c:v>
                  </c:pt>
                  <c:pt idx="261">
                    <c:v>2033</c:v>
                  </c:pt>
                  <c:pt idx="262">
                    <c:v>2034</c:v>
                  </c:pt>
                  <c:pt idx="263">
                    <c:v>2035</c:v>
                  </c:pt>
                  <c:pt idx="264">
                    <c:v>2036</c:v>
                  </c:pt>
                  <c:pt idx="265">
                    <c:v>2037</c:v>
                  </c:pt>
                  <c:pt idx="266">
                    <c:v>2038</c:v>
                  </c:pt>
                  <c:pt idx="267">
                    <c:v>2039</c:v>
                  </c:pt>
                  <c:pt idx="268">
                    <c:v>2040</c:v>
                  </c:pt>
                  <c:pt idx="269">
                    <c:v>2041</c:v>
                  </c:pt>
                  <c:pt idx="270">
                    <c:v>2042</c:v>
                  </c:pt>
                  <c:pt idx="271">
                    <c:v>2043</c:v>
                  </c:pt>
                  <c:pt idx="272">
                    <c:v>2044</c:v>
                  </c:pt>
                  <c:pt idx="273">
                    <c:v>2045</c:v>
                  </c:pt>
                  <c:pt idx="274">
                    <c:v>2046</c:v>
                  </c:pt>
                  <c:pt idx="275">
                    <c:v>2047</c:v>
                  </c:pt>
                  <c:pt idx="276">
                    <c:v>2048</c:v>
                  </c:pt>
                  <c:pt idx="277">
                    <c:v>2049</c:v>
                  </c:pt>
                  <c:pt idx="278">
                    <c:v>2050</c:v>
                  </c:pt>
                  <c:pt idx="279">
                    <c:v>2051</c:v>
                  </c:pt>
                  <c:pt idx="280">
                    <c:v>2052</c:v>
                  </c:pt>
                  <c:pt idx="281">
                    <c:v>2053</c:v>
                  </c:pt>
                  <c:pt idx="282">
                    <c:v>2054</c:v>
                  </c:pt>
                  <c:pt idx="283">
                    <c:v>2055</c:v>
                  </c:pt>
                  <c:pt idx="284">
                    <c:v>2015</c:v>
                  </c:pt>
                  <c:pt idx="285">
                    <c:v>2016</c:v>
                  </c:pt>
                  <c:pt idx="286">
                    <c:v>2017</c:v>
                  </c:pt>
                  <c:pt idx="287">
                    <c:v>2018</c:v>
                  </c:pt>
                  <c:pt idx="288">
                    <c:v>2019</c:v>
                  </c:pt>
                  <c:pt idx="289">
                    <c:v>2020</c:v>
                  </c:pt>
                  <c:pt idx="290">
                    <c:v>2021</c:v>
                  </c:pt>
                  <c:pt idx="291">
                    <c:v>2022</c:v>
                  </c:pt>
                  <c:pt idx="292">
                    <c:v>2023</c:v>
                  </c:pt>
                  <c:pt idx="293">
                    <c:v>2024</c:v>
                  </c:pt>
                  <c:pt idx="294">
                    <c:v>2025</c:v>
                  </c:pt>
                  <c:pt idx="295">
                    <c:v>2026</c:v>
                  </c:pt>
                  <c:pt idx="296">
                    <c:v>2027</c:v>
                  </c:pt>
                  <c:pt idx="297">
                    <c:v>2028</c:v>
                  </c:pt>
                  <c:pt idx="298">
                    <c:v>2029</c:v>
                  </c:pt>
                  <c:pt idx="299">
                    <c:v>2030</c:v>
                  </c:pt>
                  <c:pt idx="300">
                    <c:v>2031</c:v>
                  </c:pt>
                  <c:pt idx="301">
                    <c:v>2032</c:v>
                  </c:pt>
                  <c:pt idx="302">
                    <c:v>2033</c:v>
                  </c:pt>
                  <c:pt idx="303">
                    <c:v>2034</c:v>
                  </c:pt>
                  <c:pt idx="304">
                    <c:v>2035</c:v>
                  </c:pt>
                  <c:pt idx="305">
                    <c:v>2036</c:v>
                  </c:pt>
                  <c:pt idx="306">
                    <c:v>2037</c:v>
                  </c:pt>
                  <c:pt idx="307">
                    <c:v>2038</c:v>
                  </c:pt>
                  <c:pt idx="308">
                    <c:v>2039</c:v>
                  </c:pt>
                  <c:pt idx="309">
                    <c:v>2040</c:v>
                  </c:pt>
                  <c:pt idx="310">
                    <c:v>2041</c:v>
                  </c:pt>
                  <c:pt idx="311">
                    <c:v>2042</c:v>
                  </c:pt>
                  <c:pt idx="312">
                    <c:v>2043</c:v>
                  </c:pt>
                  <c:pt idx="313">
                    <c:v>2044</c:v>
                  </c:pt>
                  <c:pt idx="314">
                    <c:v>2045</c:v>
                  </c:pt>
                  <c:pt idx="315">
                    <c:v>2046</c:v>
                  </c:pt>
                  <c:pt idx="316">
                    <c:v>2047</c:v>
                  </c:pt>
                  <c:pt idx="317">
                    <c:v>2048</c:v>
                  </c:pt>
                  <c:pt idx="318">
                    <c:v>2049</c:v>
                  </c:pt>
                  <c:pt idx="319">
                    <c:v>2050</c:v>
                  </c:pt>
                  <c:pt idx="320">
                    <c:v>2051</c:v>
                  </c:pt>
                  <c:pt idx="321">
                    <c:v>2052</c:v>
                  </c:pt>
                  <c:pt idx="322">
                    <c:v>2053</c:v>
                  </c:pt>
                  <c:pt idx="323">
                    <c:v>2054</c:v>
                  </c:pt>
                  <c:pt idx="324">
                    <c:v>2055</c:v>
                  </c:pt>
                  <c:pt idx="325">
                    <c:v>2015</c:v>
                  </c:pt>
                  <c:pt idx="326">
                    <c:v>2016</c:v>
                  </c:pt>
                  <c:pt idx="327">
                    <c:v>2017</c:v>
                  </c:pt>
                  <c:pt idx="328">
                    <c:v>2018</c:v>
                  </c:pt>
                  <c:pt idx="329">
                    <c:v>2019</c:v>
                  </c:pt>
                  <c:pt idx="330">
                    <c:v>2020</c:v>
                  </c:pt>
                  <c:pt idx="331">
                    <c:v>2021</c:v>
                  </c:pt>
                  <c:pt idx="332">
                    <c:v>2022</c:v>
                  </c:pt>
                  <c:pt idx="333">
                    <c:v>2023</c:v>
                  </c:pt>
                  <c:pt idx="334">
                    <c:v>2024</c:v>
                  </c:pt>
                  <c:pt idx="335">
                    <c:v>2025</c:v>
                  </c:pt>
                  <c:pt idx="336">
                    <c:v>2026</c:v>
                  </c:pt>
                  <c:pt idx="337">
                    <c:v>2027</c:v>
                  </c:pt>
                  <c:pt idx="338">
                    <c:v>2028</c:v>
                  </c:pt>
                  <c:pt idx="339">
                    <c:v>2029</c:v>
                  </c:pt>
                  <c:pt idx="340">
                    <c:v>2030</c:v>
                  </c:pt>
                  <c:pt idx="341">
                    <c:v>2031</c:v>
                  </c:pt>
                  <c:pt idx="342">
                    <c:v>2032</c:v>
                  </c:pt>
                  <c:pt idx="343">
                    <c:v>2033</c:v>
                  </c:pt>
                  <c:pt idx="344">
                    <c:v>2034</c:v>
                  </c:pt>
                  <c:pt idx="345">
                    <c:v>2035</c:v>
                  </c:pt>
                  <c:pt idx="346">
                    <c:v>2036</c:v>
                  </c:pt>
                  <c:pt idx="347">
                    <c:v>2037</c:v>
                  </c:pt>
                  <c:pt idx="348">
                    <c:v>2038</c:v>
                  </c:pt>
                  <c:pt idx="349">
                    <c:v>2039</c:v>
                  </c:pt>
                  <c:pt idx="350">
                    <c:v>2040</c:v>
                  </c:pt>
                  <c:pt idx="351">
                    <c:v>2041</c:v>
                  </c:pt>
                  <c:pt idx="352">
                    <c:v>2042</c:v>
                  </c:pt>
                  <c:pt idx="353">
                    <c:v>2043</c:v>
                  </c:pt>
                  <c:pt idx="354">
                    <c:v>2044</c:v>
                  </c:pt>
                  <c:pt idx="355">
                    <c:v>2045</c:v>
                  </c:pt>
                  <c:pt idx="356">
                    <c:v>2046</c:v>
                  </c:pt>
                  <c:pt idx="357">
                    <c:v>2047</c:v>
                  </c:pt>
                  <c:pt idx="358">
                    <c:v>2048</c:v>
                  </c:pt>
                  <c:pt idx="359">
                    <c:v>2049</c:v>
                  </c:pt>
                  <c:pt idx="360">
                    <c:v>2050</c:v>
                  </c:pt>
                  <c:pt idx="361">
                    <c:v>2051</c:v>
                  </c:pt>
                  <c:pt idx="362">
                    <c:v>2052</c:v>
                  </c:pt>
                  <c:pt idx="363">
                    <c:v>2053</c:v>
                  </c:pt>
                  <c:pt idx="364">
                    <c:v>2054</c:v>
                  </c:pt>
                  <c:pt idx="365">
                    <c:v>2055</c:v>
                  </c:pt>
                  <c:pt idx="366">
                    <c:v>2015</c:v>
                  </c:pt>
                  <c:pt idx="367">
                    <c:v>2016</c:v>
                  </c:pt>
                  <c:pt idx="368">
                    <c:v>2017</c:v>
                  </c:pt>
                  <c:pt idx="369">
                    <c:v>2018</c:v>
                  </c:pt>
                  <c:pt idx="370">
                    <c:v>2019</c:v>
                  </c:pt>
                  <c:pt idx="371">
                    <c:v>2020</c:v>
                  </c:pt>
                  <c:pt idx="372">
                    <c:v>2021</c:v>
                  </c:pt>
                  <c:pt idx="373">
                    <c:v>2022</c:v>
                  </c:pt>
                  <c:pt idx="374">
                    <c:v>2023</c:v>
                  </c:pt>
                  <c:pt idx="375">
                    <c:v>2024</c:v>
                  </c:pt>
                  <c:pt idx="376">
                    <c:v>2025</c:v>
                  </c:pt>
                  <c:pt idx="377">
                    <c:v>2026</c:v>
                  </c:pt>
                  <c:pt idx="378">
                    <c:v>2027</c:v>
                  </c:pt>
                  <c:pt idx="379">
                    <c:v>2028</c:v>
                  </c:pt>
                  <c:pt idx="380">
                    <c:v>2029</c:v>
                  </c:pt>
                  <c:pt idx="381">
                    <c:v>2030</c:v>
                  </c:pt>
                  <c:pt idx="382">
                    <c:v>2031</c:v>
                  </c:pt>
                  <c:pt idx="383">
                    <c:v>2032</c:v>
                  </c:pt>
                  <c:pt idx="384">
                    <c:v>2033</c:v>
                  </c:pt>
                  <c:pt idx="385">
                    <c:v>2034</c:v>
                  </c:pt>
                  <c:pt idx="386">
                    <c:v>2035</c:v>
                  </c:pt>
                  <c:pt idx="387">
                    <c:v>2036</c:v>
                  </c:pt>
                  <c:pt idx="388">
                    <c:v>2037</c:v>
                  </c:pt>
                  <c:pt idx="389">
                    <c:v>2038</c:v>
                  </c:pt>
                  <c:pt idx="390">
                    <c:v>2039</c:v>
                  </c:pt>
                  <c:pt idx="391">
                    <c:v>2040</c:v>
                  </c:pt>
                  <c:pt idx="392">
                    <c:v>2041</c:v>
                  </c:pt>
                  <c:pt idx="393">
                    <c:v>2042</c:v>
                  </c:pt>
                  <c:pt idx="394">
                    <c:v>2043</c:v>
                  </c:pt>
                  <c:pt idx="395">
                    <c:v>2044</c:v>
                  </c:pt>
                  <c:pt idx="396">
                    <c:v>2045</c:v>
                  </c:pt>
                  <c:pt idx="397">
                    <c:v>2046</c:v>
                  </c:pt>
                  <c:pt idx="398">
                    <c:v>2047</c:v>
                  </c:pt>
                  <c:pt idx="399">
                    <c:v>2048</c:v>
                  </c:pt>
                  <c:pt idx="400">
                    <c:v>2049</c:v>
                  </c:pt>
                  <c:pt idx="401">
                    <c:v>2050</c:v>
                  </c:pt>
                  <c:pt idx="402">
                    <c:v>2051</c:v>
                  </c:pt>
                  <c:pt idx="403">
                    <c:v>2052</c:v>
                  </c:pt>
                  <c:pt idx="404">
                    <c:v>2053</c:v>
                  </c:pt>
                  <c:pt idx="405">
                    <c:v>2054</c:v>
                  </c:pt>
                  <c:pt idx="406">
                    <c:v>2055</c:v>
                  </c:pt>
                  <c:pt idx="407">
                    <c:v>2015</c:v>
                  </c:pt>
                  <c:pt idx="408">
                    <c:v>2016</c:v>
                  </c:pt>
                  <c:pt idx="409">
                    <c:v>2017</c:v>
                  </c:pt>
                  <c:pt idx="410">
                    <c:v>2018</c:v>
                  </c:pt>
                  <c:pt idx="411">
                    <c:v>2019</c:v>
                  </c:pt>
                  <c:pt idx="412">
                    <c:v>2020</c:v>
                  </c:pt>
                  <c:pt idx="413">
                    <c:v>2021</c:v>
                  </c:pt>
                  <c:pt idx="414">
                    <c:v>2022</c:v>
                  </c:pt>
                  <c:pt idx="415">
                    <c:v>2023</c:v>
                  </c:pt>
                  <c:pt idx="416">
                    <c:v>2024</c:v>
                  </c:pt>
                  <c:pt idx="417">
                    <c:v>2025</c:v>
                  </c:pt>
                  <c:pt idx="418">
                    <c:v>2026</c:v>
                  </c:pt>
                  <c:pt idx="419">
                    <c:v>2027</c:v>
                  </c:pt>
                  <c:pt idx="420">
                    <c:v>2028</c:v>
                  </c:pt>
                  <c:pt idx="421">
                    <c:v>2029</c:v>
                  </c:pt>
                  <c:pt idx="422">
                    <c:v>2030</c:v>
                  </c:pt>
                  <c:pt idx="423">
                    <c:v>2031</c:v>
                  </c:pt>
                  <c:pt idx="424">
                    <c:v>2032</c:v>
                  </c:pt>
                  <c:pt idx="425">
                    <c:v>2033</c:v>
                  </c:pt>
                  <c:pt idx="426">
                    <c:v>2034</c:v>
                  </c:pt>
                  <c:pt idx="427">
                    <c:v>2035</c:v>
                  </c:pt>
                  <c:pt idx="428">
                    <c:v>2036</c:v>
                  </c:pt>
                  <c:pt idx="429">
                    <c:v>2037</c:v>
                  </c:pt>
                  <c:pt idx="430">
                    <c:v>2038</c:v>
                  </c:pt>
                  <c:pt idx="431">
                    <c:v>2039</c:v>
                  </c:pt>
                  <c:pt idx="432">
                    <c:v>2040</c:v>
                  </c:pt>
                  <c:pt idx="433">
                    <c:v>2041</c:v>
                  </c:pt>
                  <c:pt idx="434">
                    <c:v>2042</c:v>
                  </c:pt>
                  <c:pt idx="435">
                    <c:v>2043</c:v>
                  </c:pt>
                  <c:pt idx="436">
                    <c:v>2044</c:v>
                  </c:pt>
                  <c:pt idx="437">
                    <c:v>2045</c:v>
                  </c:pt>
                  <c:pt idx="438">
                    <c:v>2046</c:v>
                  </c:pt>
                  <c:pt idx="439">
                    <c:v>2047</c:v>
                  </c:pt>
                  <c:pt idx="440">
                    <c:v>2048</c:v>
                  </c:pt>
                  <c:pt idx="441">
                    <c:v>2049</c:v>
                  </c:pt>
                  <c:pt idx="442">
                    <c:v>2050</c:v>
                  </c:pt>
                  <c:pt idx="443">
                    <c:v>2051</c:v>
                  </c:pt>
                  <c:pt idx="444">
                    <c:v>2052</c:v>
                  </c:pt>
                  <c:pt idx="445">
                    <c:v>2053</c:v>
                  </c:pt>
                  <c:pt idx="446">
                    <c:v>2054</c:v>
                  </c:pt>
                  <c:pt idx="447">
                    <c:v>2055</c:v>
                  </c:pt>
                  <c:pt idx="448">
                    <c:v>2015</c:v>
                  </c:pt>
                  <c:pt idx="449">
                    <c:v>2016</c:v>
                  </c:pt>
                  <c:pt idx="450">
                    <c:v>2017</c:v>
                  </c:pt>
                  <c:pt idx="451">
                    <c:v>2018</c:v>
                  </c:pt>
                  <c:pt idx="452">
                    <c:v>2019</c:v>
                  </c:pt>
                  <c:pt idx="453">
                    <c:v>2020</c:v>
                  </c:pt>
                  <c:pt idx="454">
                    <c:v>2021</c:v>
                  </c:pt>
                  <c:pt idx="455">
                    <c:v>2022</c:v>
                  </c:pt>
                  <c:pt idx="456">
                    <c:v>2023</c:v>
                  </c:pt>
                  <c:pt idx="457">
                    <c:v>2024</c:v>
                  </c:pt>
                  <c:pt idx="458">
                    <c:v>2025</c:v>
                  </c:pt>
                  <c:pt idx="459">
                    <c:v>2026</c:v>
                  </c:pt>
                  <c:pt idx="460">
                    <c:v>2027</c:v>
                  </c:pt>
                  <c:pt idx="461">
                    <c:v>2028</c:v>
                  </c:pt>
                  <c:pt idx="462">
                    <c:v>2029</c:v>
                  </c:pt>
                  <c:pt idx="463">
                    <c:v>2030</c:v>
                  </c:pt>
                  <c:pt idx="464">
                    <c:v>2031</c:v>
                  </c:pt>
                  <c:pt idx="465">
                    <c:v>2032</c:v>
                  </c:pt>
                  <c:pt idx="466">
                    <c:v>2033</c:v>
                  </c:pt>
                  <c:pt idx="467">
                    <c:v>2034</c:v>
                  </c:pt>
                  <c:pt idx="468">
                    <c:v>2035</c:v>
                  </c:pt>
                  <c:pt idx="469">
                    <c:v>2036</c:v>
                  </c:pt>
                  <c:pt idx="470">
                    <c:v>2037</c:v>
                  </c:pt>
                  <c:pt idx="471">
                    <c:v>2038</c:v>
                  </c:pt>
                  <c:pt idx="472">
                    <c:v>2039</c:v>
                  </c:pt>
                  <c:pt idx="473">
                    <c:v>2040</c:v>
                  </c:pt>
                  <c:pt idx="474">
                    <c:v>2041</c:v>
                  </c:pt>
                  <c:pt idx="475">
                    <c:v>2042</c:v>
                  </c:pt>
                  <c:pt idx="476">
                    <c:v>2043</c:v>
                  </c:pt>
                  <c:pt idx="477">
                    <c:v>2044</c:v>
                  </c:pt>
                  <c:pt idx="478">
                    <c:v>2045</c:v>
                  </c:pt>
                  <c:pt idx="479">
                    <c:v>2046</c:v>
                  </c:pt>
                  <c:pt idx="480">
                    <c:v>2047</c:v>
                  </c:pt>
                  <c:pt idx="481">
                    <c:v>2048</c:v>
                  </c:pt>
                  <c:pt idx="482">
                    <c:v>2049</c:v>
                  </c:pt>
                  <c:pt idx="483">
                    <c:v>2050</c:v>
                  </c:pt>
                  <c:pt idx="484">
                    <c:v>2051</c:v>
                  </c:pt>
                  <c:pt idx="485">
                    <c:v>2052</c:v>
                  </c:pt>
                  <c:pt idx="486">
                    <c:v>2053</c:v>
                  </c:pt>
                  <c:pt idx="487">
                    <c:v>2054</c:v>
                  </c:pt>
                  <c:pt idx="488">
                    <c:v>2055</c:v>
                  </c:pt>
                </c:lvl>
                <c:lvl>
                  <c:pt idx="0">
                    <c:v>Jan</c:v>
                  </c:pt>
                  <c:pt idx="41">
                    <c:v>Feb</c:v>
                  </c:pt>
                  <c:pt idx="79">
                    <c:v>Mar</c:v>
                  </c:pt>
                  <c:pt idx="120">
                    <c:v>Apr</c:v>
                  </c:pt>
                  <c:pt idx="161">
                    <c:v>May</c:v>
                  </c:pt>
                  <c:pt idx="202">
                    <c:v>Jun</c:v>
                  </c:pt>
                  <c:pt idx="243">
                    <c:v>Jul</c:v>
                  </c:pt>
                  <c:pt idx="284">
                    <c:v>Aug</c:v>
                  </c:pt>
                  <c:pt idx="325">
                    <c:v>Sep</c:v>
                  </c:pt>
                  <c:pt idx="366">
                    <c:v>Oct</c:v>
                  </c:pt>
                  <c:pt idx="407">
                    <c:v>Nov</c:v>
                  </c:pt>
                  <c:pt idx="448">
                    <c:v>Dec</c:v>
                  </c:pt>
                </c:lvl>
              </c:multiLvlStrCache>
            </c:multiLvlStrRef>
          </c:cat>
          <c:val>
            <c:numRef>
              <c:f>'Online_Interest_Index VS Market'!$C$4:$C$505</c:f>
              <c:numCache>
                <c:formatCode>General</c:formatCode>
                <c:ptCount val="489"/>
                <c:pt idx="0">
                  <c:v>85.046734258862216</c:v>
                </c:pt>
                <c:pt idx="1">
                  <c:v>90.170204951880137</c:v>
                </c:pt>
                <c:pt idx="2">
                  <c:v>30.85291737283022</c:v>
                </c:pt>
                <c:pt idx="3">
                  <c:v>99.813781061172733</c:v>
                </c:pt>
                <c:pt idx="4">
                  <c:v>71.704794692590497</c:v>
                </c:pt>
                <c:pt idx="6">
                  <c:v>72.978572666367441</c:v>
                </c:pt>
                <c:pt idx="7">
                  <c:v>26.157534640641387</c:v>
                </c:pt>
                <c:pt idx="8">
                  <c:v>85.640600338568731</c:v>
                </c:pt>
                <c:pt idx="9">
                  <c:v>34.739892125813938</c:v>
                </c:pt>
                <c:pt idx="10">
                  <c:v>22.128669286214731</c:v>
                </c:pt>
                <c:pt idx="11">
                  <c:v>97.018606708891127</c:v>
                </c:pt>
                <c:pt idx="12">
                  <c:v>42.890803396665149</c:v>
                </c:pt>
                <c:pt idx="13">
                  <c:v>36.937149771837667</c:v>
                </c:pt>
                <c:pt idx="14">
                  <c:v>44.757006115694587</c:v>
                </c:pt>
                <c:pt idx="15">
                  <c:v>28.278005091726772</c:v>
                </c:pt>
                <c:pt idx="16">
                  <c:v>31.509437307466381</c:v>
                </c:pt>
                <c:pt idx="17">
                  <c:v>48.325164988407529</c:v>
                </c:pt>
                <c:pt idx="18">
                  <c:v>33.089296331062101</c:v>
                </c:pt>
                <c:pt idx="19">
                  <c:v>70.450823598646437</c:v>
                </c:pt>
                <c:pt idx="20">
                  <c:v>41.439781350750238</c:v>
                </c:pt>
                <c:pt idx="21">
                  <c:v>72.182489025475704</c:v>
                </c:pt>
                <c:pt idx="22">
                  <c:v>97.2358907680497</c:v>
                </c:pt>
                <c:pt idx="23">
                  <c:v>27.07175737174067</c:v>
                </c:pt>
                <c:pt idx="24">
                  <c:v>66.46148668915373</c:v>
                </c:pt>
                <c:pt idx="25">
                  <c:v>62.783957302495395</c:v>
                </c:pt>
                <c:pt idx="26">
                  <c:v>31.54496349499852</c:v>
                </c:pt>
                <c:pt idx="27">
                  <c:v>89.103169837200255</c:v>
                </c:pt>
                <c:pt idx="28">
                  <c:v>55.41549615739487</c:v>
                </c:pt>
                <c:pt idx="29">
                  <c:v>55.846838982646119</c:v>
                </c:pt>
                <c:pt idx="30">
                  <c:v>77.495941277823675</c:v>
                </c:pt>
                <c:pt idx="31">
                  <c:v>30.350449357336071</c:v>
                </c:pt>
                <c:pt idx="32">
                  <c:v>61.381773580344841</c:v>
                </c:pt>
                <c:pt idx="33">
                  <c:v>82.145709379222481</c:v>
                </c:pt>
                <c:pt idx="34">
                  <c:v>39.119814416924108</c:v>
                </c:pt>
                <c:pt idx="35">
                  <c:v>32.773307949372061</c:v>
                </c:pt>
                <c:pt idx="36">
                  <c:v>81.746882818408793</c:v>
                </c:pt>
                <c:pt idx="37">
                  <c:v>96.180806268985904</c:v>
                </c:pt>
                <c:pt idx="38">
                  <c:v>94.581350713677779</c:v>
                </c:pt>
                <c:pt idx="39">
                  <c:v>31.950530898114565</c:v>
                </c:pt>
                <c:pt idx="40">
                  <c:v>183.74155435366819</c:v>
                </c:pt>
                <c:pt idx="41">
                  <c:v>62.255140940508497</c:v>
                </c:pt>
                <c:pt idx="42">
                  <c:v>40.803843220194707</c:v>
                </c:pt>
                <c:pt idx="43">
                  <c:v>41.084118359742227</c:v>
                </c:pt>
                <c:pt idx="44">
                  <c:v>71.787370749847298</c:v>
                </c:pt>
                <c:pt idx="45">
                  <c:v>54.151578225864213</c:v>
                </c:pt>
                <c:pt idx="46">
                  <c:v>77.225784842330853</c:v>
                </c:pt>
                <c:pt idx="47">
                  <c:v>73.661202035442855</c:v>
                </c:pt>
                <c:pt idx="48">
                  <c:v>80.802792144253914</c:v>
                </c:pt>
                <c:pt idx="49">
                  <c:v>24.560191004154717</c:v>
                </c:pt>
                <c:pt idx="50">
                  <c:v>78.818281448127692</c:v>
                </c:pt>
                <c:pt idx="51">
                  <c:v>70.267769403955555</c:v>
                </c:pt>
                <c:pt idx="52">
                  <c:v>71.235781919460237</c:v>
                </c:pt>
                <c:pt idx="53">
                  <c:v>31.539201689448284</c:v>
                </c:pt>
                <c:pt idx="54">
                  <c:v>55.837732510575194</c:v>
                </c:pt>
                <c:pt idx="55">
                  <c:v>72.525016191972185</c:v>
                </c:pt>
                <c:pt idx="56">
                  <c:v>28.37283522771849</c:v>
                </c:pt>
                <c:pt idx="57">
                  <c:v>72.465661386191428</c:v>
                </c:pt>
                <c:pt idx="58">
                  <c:v>753.42211131358579</c:v>
                </c:pt>
                <c:pt idx="59">
                  <c:v>54.411418567746104</c:v>
                </c:pt>
                <c:pt idx="60">
                  <c:v>92.97665894252205</c:v>
                </c:pt>
                <c:pt idx="61">
                  <c:v>52.415771406026373</c:v>
                </c:pt>
                <c:pt idx="62">
                  <c:v>93.265147855259514</c:v>
                </c:pt>
                <c:pt idx="63">
                  <c:v>94.301073696439389</c:v>
                </c:pt>
                <c:pt idx="64">
                  <c:v>99.697959443571094</c:v>
                </c:pt>
                <c:pt idx="65">
                  <c:v>27.484752552986844</c:v>
                </c:pt>
                <c:pt idx="66">
                  <c:v>52.541899885760415</c:v>
                </c:pt>
                <c:pt idx="67">
                  <c:v>78.577536504977786</c:v>
                </c:pt>
                <c:pt idx="68">
                  <c:v>59.032015622344147</c:v>
                </c:pt>
                <c:pt idx="69">
                  <c:v>66.898839902460935</c:v>
                </c:pt>
                <c:pt idx="70">
                  <c:v>50.065697520635275</c:v>
                </c:pt>
                <c:pt idx="71">
                  <c:v>26.737040894167869</c:v>
                </c:pt>
                <c:pt idx="72">
                  <c:v>73.873578312914617</c:v>
                </c:pt>
                <c:pt idx="73">
                  <c:v>42.502765084242725</c:v>
                </c:pt>
                <c:pt idx="74">
                  <c:v>83.206659997715022</c:v>
                </c:pt>
                <c:pt idx="75">
                  <c:v>58.710181165140725</c:v>
                </c:pt>
                <c:pt idx="76">
                  <c:v>23.988811711933138</c:v>
                </c:pt>
                <c:pt idx="77">
                  <c:v>73.275773286437129</c:v>
                </c:pt>
                <c:pt idx="78">
                  <c:v>71.860556326225762</c:v>
                </c:pt>
                <c:pt idx="79">
                  <c:v>71.117041757862765</c:v>
                </c:pt>
                <c:pt idx="80">
                  <c:v>57.380879680600209</c:v>
                </c:pt>
                <c:pt idx="81">
                  <c:v>50.804644457516936</c:v>
                </c:pt>
                <c:pt idx="82">
                  <c:v>42.330437661941573</c:v>
                </c:pt>
                <c:pt idx="83">
                  <c:v>30.267994129175584</c:v>
                </c:pt>
                <c:pt idx="84">
                  <c:v>57.521995177430682</c:v>
                </c:pt>
                <c:pt idx="85">
                  <c:v>41.451458368953666</c:v>
                </c:pt>
                <c:pt idx="86">
                  <c:v>85.700753629827645</c:v>
                </c:pt>
                <c:pt idx="87">
                  <c:v>23.901305505051234</c:v>
                </c:pt>
                <c:pt idx="88">
                  <c:v>67.023875949734787</c:v>
                </c:pt>
                <c:pt idx="90">
                  <c:v>34.728105868876554</c:v>
                </c:pt>
                <c:pt idx="91">
                  <c:v>45.132965106957769</c:v>
                </c:pt>
                <c:pt idx="92">
                  <c:v>80.718146548322451</c:v>
                </c:pt>
                <c:pt idx="93">
                  <c:v>52.437734106433481</c:v>
                </c:pt>
                <c:pt idx="94">
                  <c:v>925.58841475059489</c:v>
                </c:pt>
                <c:pt idx="95">
                  <c:v>53.835483499324617</c:v>
                </c:pt>
                <c:pt idx="96">
                  <c:v>62.982053893443045</c:v>
                </c:pt>
                <c:pt idx="97">
                  <c:v>73.943485896001974</c:v>
                </c:pt>
                <c:pt idx="98">
                  <c:v>55.021204399050276</c:v>
                </c:pt>
                <c:pt idx="99">
                  <c:v>70.654293991661774</c:v>
                </c:pt>
                <c:pt idx="100">
                  <c:v>67.683487638211773</c:v>
                </c:pt>
                <c:pt idx="101">
                  <c:v>60.23004160524679</c:v>
                </c:pt>
                <c:pt idx="102">
                  <c:v>145.88870872161476</c:v>
                </c:pt>
                <c:pt idx="103">
                  <c:v>59.739474240478756</c:v>
                </c:pt>
                <c:pt idx="105">
                  <c:v>21.333724047970648</c:v>
                </c:pt>
                <c:pt idx="106">
                  <c:v>809.88897096573828</c:v>
                </c:pt>
                <c:pt idx="107">
                  <c:v>38.641517151746783</c:v>
                </c:pt>
                <c:pt idx="109">
                  <c:v>59.389363896099916</c:v>
                </c:pt>
                <c:pt idx="110">
                  <c:v>27.931688982209913</c:v>
                </c:pt>
                <c:pt idx="111">
                  <c:v>98.766071710089051</c:v>
                </c:pt>
                <c:pt idx="112">
                  <c:v>69.159956820415402</c:v>
                </c:pt>
                <c:pt idx="113">
                  <c:v>52.890182260750336</c:v>
                </c:pt>
                <c:pt idx="114">
                  <c:v>69.303259868331565</c:v>
                </c:pt>
                <c:pt idx="115">
                  <c:v>91.802586121766723</c:v>
                </c:pt>
                <c:pt idx="116">
                  <c:v>31.992740259771175</c:v>
                </c:pt>
                <c:pt idx="117">
                  <c:v>85.812597478434185</c:v>
                </c:pt>
                <c:pt idx="118">
                  <c:v>33.790908968413298</c:v>
                </c:pt>
                <c:pt idx="119">
                  <c:v>60.149562481960295</c:v>
                </c:pt>
                <c:pt idx="120">
                  <c:v>26.515777031292735</c:v>
                </c:pt>
                <c:pt idx="121">
                  <c:v>28.53694552818834</c:v>
                </c:pt>
                <c:pt idx="122">
                  <c:v>95.438622725690848</c:v>
                </c:pt>
                <c:pt idx="123">
                  <c:v>94.453780444991864</c:v>
                </c:pt>
                <c:pt idx="125">
                  <c:v>94.284442631530879</c:v>
                </c:pt>
                <c:pt idx="126">
                  <c:v>45.253478493125279</c:v>
                </c:pt>
                <c:pt idx="127">
                  <c:v>39.572404368377043</c:v>
                </c:pt>
                <c:pt idx="128">
                  <c:v>87.49830341682059</c:v>
                </c:pt>
                <c:pt idx="129">
                  <c:v>87.227854207080654</c:v>
                </c:pt>
                <c:pt idx="130">
                  <c:v>66.460479924452727</c:v>
                </c:pt>
                <c:pt idx="131">
                  <c:v>28.452027635914455</c:v>
                </c:pt>
                <c:pt idx="132">
                  <c:v>96.637685318596326</c:v>
                </c:pt>
                <c:pt idx="133">
                  <c:v>60.04956258671448</c:v>
                </c:pt>
                <c:pt idx="134">
                  <c:v>987.27157117321144</c:v>
                </c:pt>
                <c:pt idx="135">
                  <c:v>33.499955071858366</c:v>
                </c:pt>
                <c:pt idx="136">
                  <c:v>83.646270100606912</c:v>
                </c:pt>
                <c:pt idx="137">
                  <c:v>74.16994107860512</c:v>
                </c:pt>
                <c:pt idx="138">
                  <c:v>98.396435788662274</c:v>
                </c:pt>
                <c:pt idx="139">
                  <c:v>448.29671128649608</c:v>
                </c:pt>
                <c:pt idx="140">
                  <c:v>77.684372871829751</c:v>
                </c:pt>
                <c:pt idx="142">
                  <c:v>83.608822602137977</c:v>
                </c:pt>
                <c:pt idx="143">
                  <c:v>70.374687620736239</c:v>
                </c:pt>
                <c:pt idx="144">
                  <c:v>87.435638596495778</c:v>
                </c:pt>
                <c:pt idx="145">
                  <c:v>85.284540569145889</c:v>
                </c:pt>
                <c:pt idx="146">
                  <c:v>89.882741139617167</c:v>
                </c:pt>
                <c:pt idx="147">
                  <c:v>31.510092431182414</c:v>
                </c:pt>
                <c:pt idx="148">
                  <c:v>85.051360358538034</c:v>
                </c:pt>
                <c:pt idx="149">
                  <c:v>70.144210405187522</c:v>
                </c:pt>
                <c:pt idx="150">
                  <c:v>35.385261822748042</c:v>
                </c:pt>
                <c:pt idx="151">
                  <c:v>69.836323534670541</c:v>
                </c:pt>
                <c:pt idx="152">
                  <c:v>73.312584375593516</c:v>
                </c:pt>
                <c:pt idx="153">
                  <c:v>91.397527516160935</c:v>
                </c:pt>
                <c:pt idx="154">
                  <c:v>38.746005252042146</c:v>
                </c:pt>
                <c:pt idx="155">
                  <c:v>23.588844610217361</c:v>
                </c:pt>
                <c:pt idx="156">
                  <c:v>92.620899492014289</c:v>
                </c:pt>
                <c:pt idx="157">
                  <c:v>63.006491044121148</c:v>
                </c:pt>
                <c:pt idx="158">
                  <c:v>21.062496276686407</c:v>
                </c:pt>
                <c:pt idx="159">
                  <c:v>89.791565068385196</c:v>
                </c:pt>
                <c:pt idx="160">
                  <c:v>56.396550378218969</c:v>
                </c:pt>
                <c:pt idx="161">
                  <c:v>98.213575360610491</c:v>
                </c:pt>
                <c:pt idx="162">
                  <c:v>71.964480540556934</c:v>
                </c:pt>
                <c:pt idx="163">
                  <c:v>68.830084782535366</c:v>
                </c:pt>
                <c:pt idx="164">
                  <c:v>21.971552370905812</c:v>
                </c:pt>
                <c:pt idx="165">
                  <c:v>98.598606448099829</c:v>
                </c:pt>
                <c:pt idx="166">
                  <c:v>71.286888286572747</c:v>
                </c:pt>
                <c:pt idx="167">
                  <c:v>30.020098487696636</c:v>
                </c:pt>
                <c:pt idx="168">
                  <c:v>53.704070530669171</c:v>
                </c:pt>
                <c:pt idx="169">
                  <c:v>55.043526072430701</c:v>
                </c:pt>
                <c:pt idx="170">
                  <c:v>21.399857118991086</c:v>
                </c:pt>
                <c:pt idx="171">
                  <c:v>79.334730319345852</c:v>
                </c:pt>
                <c:pt idx="172">
                  <c:v>85.028077722940623</c:v>
                </c:pt>
                <c:pt idx="173">
                  <c:v>22.673885794840302</c:v>
                </c:pt>
                <c:pt idx="174">
                  <c:v>92.942808990541707</c:v>
                </c:pt>
                <c:pt idx="175">
                  <c:v>43.379916539151033</c:v>
                </c:pt>
                <c:pt idx="176">
                  <c:v>97.466156807940393</c:v>
                </c:pt>
                <c:pt idx="177">
                  <c:v>31.310684337307215</c:v>
                </c:pt>
                <c:pt idx="178">
                  <c:v>144.91241340182017</c:v>
                </c:pt>
                <c:pt idx="179">
                  <c:v>98.848058716224031</c:v>
                </c:pt>
                <c:pt idx="180">
                  <c:v>80.970369636025964</c:v>
                </c:pt>
                <c:pt idx="181">
                  <c:v>40.572188088727671</c:v>
                </c:pt>
                <c:pt idx="182">
                  <c:v>21.353023993728584</c:v>
                </c:pt>
                <c:pt idx="184">
                  <c:v>53.292875712492616</c:v>
                </c:pt>
                <c:pt idx="185">
                  <c:v>55.670929588784624</c:v>
                </c:pt>
                <c:pt idx="186">
                  <c:v>54.565382805329421</c:v>
                </c:pt>
                <c:pt idx="188">
                  <c:v>20.689520207342422</c:v>
                </c:pt>
                <c:pt idx="189">
                  <c:v>67.074499236276182</c:v>
                </c:pt>
                <c:pt idx="190">
                  <c:v>48.699400843431093</c:v>
                </c:pt>
                <c:pt idx="191">
                  <c:v>57.114901076391277</c:v>
                </c:pt>
                <c:pt idx="192">
                  <c:v>55.749935616035117</c:v>
                </c:pt>
                <c:pt idx="193">
                  <c:v>42.832325477073795</c:v>
                </c:pt>
                <c:pt idx="194">
                  <c:v>26.290136879180643</c:v>
                </c:pt>
                <c:pt idx="195">
                  <c:v>21.572118619747826</c:v>
                </c:pt>
                <c:pt idx="196">
                  <c:v>69.803759236982529</c:v>
                </c:pt>
                <c:pt idx="197">
                  <c:v>26.99334462968671</c:v>
                </c:pt>
                <c:pt idx="198">
                  <c:v>66.063397689784779</c:v>
                </c:pt>
                <c:pt idx="199">
                  <c:v>63.361223878378084</c:v>
                </c:pt>
                <c:pt idx="200">
                  <c:v>69.049299125539321</c:v>
                </c:pt>
                <c:pt idx="201">
                  <c:v>833.37813686453865</c:v>
                </c:pt>
                <c:pt idx="202">
                  <c:v>636.34236016937041</c:v>
                </c:pt>
                <c:pt idx="203">
                  <c:v>89.439967351607194</c:v>
                </c:pt>
                <c:pt idx="204">
                  <c:v>86.797902854636988</c:v>
                </c:pt>
                <c:pt idx="205">
                  <c:v>75.735119029855753</c:v>
                </c:pt>
                <c:pt idx="206">
                  <c:v>929.45485563155762</c:v>
                </c:pt>
                <c:pt idx="207">
                  <c:v>44.932233332371908</c:v>
                </c:pt>
                <c:pt idx="208">
                  <c:v>72.440797747689004</c:v>
                </c:pt>
                <c:pt idx="209">
                  <c:v>87.107146941221629</c:v>
                </c:pt>
                <c:pt idx="210">
                  <c:v>47.391609863668769</c:v>
                </c:pt>
                <c:pt idx="211">
                  <c:v>23.920371597701884</c:v>
                </c:pt>
                <c:pt idx="212">
                  <c:v>74.018467004963</c:v>
                </c:pt>
                <c:pt idx="213">
                  <c:v>66.300518108799935</c:v>
                </c:pt>
                <c:pt idx="214">
                  <c:v>66.383427506636394</c:v>
                </c:pt>
                <c:pt idx="215">
                  <c:v>31.729164572787383</c:v>
                </c:pt>
                <c:pt idx="216">
                  <c:v>43.58537906774135</c:v>
                </c:pt>
                <c:pt idx="217">
                  <c:v>56.230668833240934</c:v>
                </c:pt>
                <c:pt idx="218">
                  <c:v>30.425634653786872</c:v>
                </c:pt>
                <c:pt idx="219">
                  <c:v>41.288109482984687</c:v>
                </c:pt>
                <c:pt idx="220">
                  <c:v>74.934288937930361</c:v>
                </c:pt>
                <c:pt idx="221">
                  <c:v>94.894125133320415</c:v>
                </c:pt>
                <c:pt idx="222">
                  <c:v>77.551052445985619</c:v>
                </c:pt>
                <c:pt idx="223">
                  <c:v>92.765154190424099</c:v>
                </c:pt>
                <c:pt idx="224">
                  <c:v>98.195054736320984</c:v>
                </c:pt>
                <c:pt idx="225">
                  <c:v>33.323081079781602</c:v>
                </c:pt>
                <c:pt idx="226">
                  <c:v>76.686683661426017</c:v>
                </c:pt>
                <c:pt idx="227">
                  <c:v>83.711257809576708</c:v>
                </c:pt>
                <c:pt idx="228">
                  <c:v>36.920539942541446</c:v>
                </c:pt>
                <c:pt idx="229">
                  <c:v>21.597834606242252</c:v>
                </c:pt>
                <c:pt idx="230">
                  <c:v>36.861047954392497</c:v>
                </c:pt>
                <c:pt idx="231">
                  <c:v>99.651614133947945</c:v>
                </c:pt>
                <c:pt idx="232">
                  <c:v>39.665486961805968</c:v>
                </c:pt>
                <c:pt idx="233">
                  <c:v>82.238797725674942</c:v>
                </c:pt>
                <c:pt idx="236">
                  <c:v>90.351444544575642</c:v>
                </c:pt>
                <c:pt idx="237">
                  <c:v>44.713417827501289</c:v>
                </c:pt>
                <c:pt idx="238">
                  <c:v>94.919466504818061</c:v>
                </c:pt>
                <c:pt idx="239">
                  <c:v>716.12006664072271</c:v>
                </c:pt>
                <c:pt idx="240">
                  <c:v>56.765038200441751</c:v>
                </c:pt>
                <c:pt idx="241">
                  <c:v>32.57631068455634</c:v>
                </c:pt>
                <c:pt idx="242">
                  <c:v>63.753241103449938</c:v>
                </c:pt>
                <c:pt idx="243">
                  <c:v>30.673306841856565</c:v>
                </c:pt>
                <c:pt idx="244">
                  <c:v>86.254869545876232</c:v>
                </c:pt>
                <c:pt idx="245">
                  <c:v>76.828120056986577</c:v>
                </c:pt>
                <c:pt idx="246">
                  <c:v>78.026111258870259</c:v>
                </c:pt>
                <c:pt idx="247">
                  <c:v>55.13045286438804</c:v>
                </c:pt>
                <c:pt idx="248">
                  <c:v>62.025461156057709</c:v>
                </c:pt>
                <c:pt idx="249">
                  <c:v>23.183770186852204</c:v>
                </c:pt>
                <c:pt idx="250">
                  <c:v>90.169637412983036</c:v>
                </c:pt>
                <c:pt idx="251">
                  <c:v>63.718108882030116</c:v>
                </c:pt>
                <c:pt idx="252">
                  <c:v>65.82162213495566</c:v>
                </c:pt>
                <c:pt idx="253">
                  <c:v>36.470559054265692</c:v>
                </c:pt>
                <c:pt idx="254">
                  <c:v>69.462801681097588</c:v>
                </c:pt>
                <c:pt idx="255">
                  <c:v>33.320283763961207</c:v>
                </c:pt>
                <c:pt idx="256">
                  <c:v>71.674231441843148</c:v>
                </c:pt>
                <c:pt idx="259">
                  <c:v>71.474315961386452</c:v>
                </c:pt>
                <c:pt idx="260">
                  <c:v>23.120513661025448</c:v>
                </c:pt>
                <c:pt idx="261">
                  <c:v>39.489183358575545</c:v>
                </c:pt>
                <c:pt idx="262">
                  <c:v>95.260068738756885</c:v>
                </c:pt>
                <c:pt idx="263">
                  <c:v>222.49720502233899</c:v>
                </c:pt>
                <c:pt idx="264">
                  <c:v>41.570400701374624</c:v>
                </c:pt>
                <c:pt idx="265">
                  <c:v>97.148258722878921</c:v>
                </c:pt>
                <c:pt idx="266">
                  <c:v>98.894143782695579</c:v>
                </c:pt>
                <c:pt idx="267">
                  <c:v>78.549818982920073</c:v>
                </c:pt>
                <c:pt idx="268">
                  <c:v>67.633184129608679</c:v>
                </c:pt>
                <c:pt idx="269">
                  <c:v>78.88283203408524</c:v>
                </c:pt>
                <c:pt idx="270">
                  <c:v>66.928138992364836</c:v>
                </c:pt>
                <c:pt idx="271">
                  <c:v>38.937638068306633</c:v>
                </c:pt>
                <c:pt idx="272">
                  <c:v>58.414681220951024</c:v>
                </c:pt>
                <c:pt idx="273">
                  <c:v>93.187371988132369</c:v>
                </c:pt>
                <c:pt idx="274">
                  <c:v>37.637638479949587</c:v>
                </c:pt>
                <c:pt idx="275">
                  <c:v>28.75858928551952</c:v>
                </c:pt>
                <c:pt idx="276">
                  <c:v>39.862998370467679</c:v>
                </c:pt>
                <c:pt idx="277">
                  <c:v>570.50509613572513</c:v>
                </c:pt>
                <c:pt idx="278">
                  <c:v>49.498012437667676</c:v>
                </c:pt>
                <c:pt idx="279">
                  <c:v>86.042787321633256</c:v>
                </c:pt>
                <c:pt idx="280">
                  <c:v>21.357530345237315</c:v>
                </c:pt>
                <c:pt idx="281">
                  <c:v>59.917435537663444</c:v>
                </c:pt>
                <c:pt idx="282">
                  <c:v>96.987044598496539</c:v>
                </c:pt>
                <c:pt idx="283">
                  <c:v>63.699808010468075</c:v>
                </c:pt>
                <c:pt idx="284">
                  <c:v>75.331472157865448</c:v>
                </c:pt>
                <c:pt idx="285">
                  <c:v>70.0843767184641</c:v>
                </c:pt>
                <c:pt idx="286">
                  <c:v>29.00025044213054</c:v>
                </c:pt>
                <c:pt idx="287">
                  <c:v>86.910286192831947</c:v>
                </c:pt>
                <c:pt idx="288">
                  <c:v>23.195837862887547</c:v>
                </c:pt>
                <c:pt idx="289">
                  <c:v>25.284424625772807</c:v>
                </c:pt>
                <c:pt idx="290">
                  <c:v>67.814586841876718</c:v>
                </c:pt>
                <c:pt idx="291">
                  <c:v>39.454398421138073</c:v>
                </c:pt>
                <c:pt idx="292">
                  <c:v>27.308259417884464</c:v>
                </c:pt>
                <c:pt idx="293">
                  <c:v>85.559654830884185</c:v>
                </c:pt>
                <c:pt idx="294">
                  <c:v>48.198483755468089</c:v>
                </c:pt>
                <c:pt idx="295">
                  <c:v>158.77914531897287</c:v>
                </c:pt>
                <c:pt idx="297">
                  <c:v>38.630331692145205</c:v>
                </c:pt>
                <c:pt idx="298">
                  <c:v>65.16752650322573</c:v>
                </c:pt>
                <c:pt idx="299">
                  <c:v>74.145603490403758</c:v>
                </c:pt>
                <c:pt idx="300">
                  <c:v>35.7746385574453</c:v>
                </c:pt>
                <c:pt idx="301">
                  <c:v>564.453425592087</c:v>
                </c:pt>
                <c:pt idx="302">
                  <c:v>83.884467050447924</c:v>
                </c:pt>
                <c:pt idx="303">
                  <c:v>33.982502789994705</c:v>
                </c:pt>
                <c:pt idx="304">
                  <c:v>50.025707661841103</c:v>
                </c:pt>
                <c:pt idx="305">
                  <c:v>85.574160222436731</c:v>
                </c:pt>
                <c:pt idx="306">
                  <c:v>33.098316630333677</c:v>
                </c:pt>
                <c:pt idx="307">
                  <c:v>85.667920741050295</c:v>
                </c:pt>
                <c:pt idx="308">
                  <c:v>33.91709647226709</c:v>
                </c:pt>
                <c:pt idx="309">
                  <c:v>90.927635320191868</c:v>
                </c:pt>
                <c:pt idx="310">
                  <c:v>45.60128904699134</c:v>
                </c:pt>
                <c:pt idx="311">
                  <c:v>56.431592419835262</c:v>
                </c:pt>
                <c:pt idx="312">
                  <c:v>70.242437165562961</c:v>
                </c:pt>
                <c:pt idx="313">
                  <c:v>58.870848495169056</c:v>
                </c:pt>
                <c:pt idx="314">
                  <c:v>46.832545079707756</c:v>
                </c:pt>
                <c:pt idx="315">
                  <c:v>33.165284674346793</c:v>
                </c:pt>
                <c:pt idx="316">
                  <c:v>97.266933504606683</c:v>
                </c:pt>
                <c:pt idx="317">
                  <c:v>99.041116965233726</c:v>
                </c:pt>
                <c:pt idx="318">
                  <c:v>47.080550354037825</c:v>
                </c:pt>
                <c:pt idx="319">
                  <c:v>815.78513463750414</c:v>
                </c:pt>
                <c:pt idx="320">
                  <c:v>83.304857145013358</c:v>
                </c:pt>
                <c:pt idx="321">
                  <c:v>96.829341969770425</c:v>
                </c:pt>
                <c:pt idx="322">
                  <c:v>25.777054826815036</c:v>
                </c:pt>
                <c:pt idx="323">
                  <c:v>61.469237066825649</c:v>
                </c:pt>
                <c:pt idx="324">
                  <c:v>27.157849824830976</c:v>
                </c:pt>
                <c:pt idx="325">
                  <c:v>83.600922954277621</c:v>
                </c:pt>
                <c:pt idx="327">
                  <c:v>78.873632509915907</c:v>
                </c:pt>
                <c:pt idx="328">
                  <c:v>97.955144851078032</c:v>
                </c:pt>
                <c:pt idx="329">
                  <c:v>48.98347920001639</c:v>
                </c:pt>
                <c:pt idx="330">
                  <c:v>97.805458851978941</c:v>
                </c:pt>
                <c:pt idx="331">
                  <c:v>89.575670788130708</c:v>
                </c:pt>
                <c:pt idx="332">
                  <c:v>64.045650763309141</c:v>
                </c:pt>
                <c:pt idx="333">
                  <c:v>80.53172394819191</c:v>
                </c:pt>
                <c:pt idx="334">
                  <c:v>46.139111245490689</c:v>
                </c:pt>
                <c:pt idx="335">
                  <c:v>30.08881133429</c:v>
                </c:pt>
                <c:pt idx="336">
                  <c:v>86.756660228487732</c:v>
                </c:pt>
                <c:pt idx="337">
                  <c:v>34.071222673492969</c:v>
                </c:pt>
                <c:pt idx="338">
                  <c:v>32.540834292131144</c:v>
                </c:pt>
                <c:pt idx="339">
                  <c:v>40.185819541099619</c:v>
                </c:pt>
                <c:pt idx="340">
                  <c:v>44.12694958988412</c:v>
                </c:pt>
                <c:pt idx="341">
                  <c:v>27.808803048719327</c:v>
                </c:pt>
                <c:pt idx="342">
                  <c:v>91.277910775256302</c:v>
                </c:pt>
                <c:pt idx="343">
                  <c:v>28.562330736883048</c:v>
                </c:pt>
                <c:pt idx="344">
                  <c:v>89.979491972525281</c:v>
                </c:pt>
                <c:pt idx="345">
                  <c:v>70.1402678833865</c:v>
                </c:pt>
                <c:pt idx="346">
                  <c:v>99.948024037776008</c:v>
                </c:pt>
                <c:pt idx="347">
                  <c:v>43.953849984248528</c:v>
                </c:pt>
                <c:pt idx="349">
                  <c:v>48.897284718064938</c:v>
                </c:pt>
                <c:pt idx="350">
                  <c:v>52.875404188008794</c:v>
                </c:pt>
                <c:pt idx="351">
                  <c:v>604.83575392946921</c:v>
                </c:pt>
                <c:pt idx="352">
                  <c:v>61.441227912681583</c:v>
                </c:pt>
                <c:pt idx="353">
                  <c:v>86.395167456995466</c:v>
                </c:pt>
                <c:pt idx="354">
                  <c:v>65.268142992853754</c:v>
                </c:pt>
                <c:pt idx="355">
                  <c:v>96.181121162669783</c:v>
                </c:pt>
                <c:pt idx="356">
                  <c:v>52.506578477101428</c:v>
                </c:pt>
                <c:pt idx="357">
                  <c:v>33.982799030669277</c:v>
                </c:pt>
                <c:pt idx="358">
                  <c:v>51.151182373349883</c:v>
                </c:pt>
                <c:pt idx="359">
                  <c:v>20.567345021949677</c:v>
                </c:pt>
                <c:pt idx="361">
                  <c:v>36.072907174841795</c:v>
                </c:pt>
                <c:pt idx="362">
                  <c:v>23.567047418731519</c:v>
                </c:pt>
                <c:pt idx="363">
                  <c:v>74.754828885544597</c:v>
                </c:pt>
                <c:pt idx="364">
                  <c:v>25.831876149732402</c:v>
                </c:pt>
                <c:pt idx="365">
                  <c:v>53.438726840553088</c:v>
                </c:pt>
                <c:pt idx="366">
                  <c:v>33.068355979452519</c:v>
                </c:pt>
                <c:pt idx="367">
                  <c:v>28.991762174081039</c:v>
                </c:pt>
                <c:pt idx="368">
                  <c:v>42.007910524729951</c:v>
                </c:pt>
                <c:pt idx="369">
                  <c:v>98.048153532532197</c:v>
                </c:pt>
                <c:pt idx="370">
                  <c:v>86.111224928044422</c:v>
                </c:pt>
                <c:pt idx="371">
                  <c:v>107.03418054750895</c:v>
                </c:pt>
                <c:pt idx="372">
                  <c:v>91.266571863170682</c:v>
                </c:pt>
                <c:pt idx="373">
                  <c:v>35.399452050866167</c:v>
                </c:pt>
                <c:pt idx="374">
                  <c:v>66.594806151063665</c:v>
                </c:pt>
                <c:pt idx="375">
                  <c:v>47.969151904617775</c:v>
                </c:pt>
                <c:pt idx="376">
                  <c:v>30.388561073430481</c:v>
                </c:pt>
                <c:pt idx="377">
                  <c:v>24.497112436790278</c:v>
                </c:pt>
                <c:pt idx="378">
                  <c:v>38.830660951868609</c:v>
                </c:pt>
                <c:pt idx="379">
                  <c:v>74.67435321258165</c:v>
                </c:pt>
                <c:pt idx="380">
                  <c:v>93.223195230341915</c:v>
                </c:pt>
                <c:pt idx="381">
                  <c:v>35.064201993368513</c:v>
                </c:pt>
                <c:pt idx="382">
                  <c:v>33.347886256446209</c:v>
                </c:pt>
                <c:pt idx="383">
                  <c:v>65.559780681486075</c:v>
                </c:pt>
                <c:pt idx="384">
                  <c:v>82.455944333730287</c:v>
                </c:pt>
                <c:pt idx="385">
                  <c:v>78.994515314169774</c:v>
                </c:pt>
                <c:pt idx="386">
                  <c:v>31.687725243305618</c:v>
                </c:pt>
                <c:pt idx="387">
                  <c:v>36.914500639912895</c:v>
                </c:pt>
                <c:pt idx="388">
                  <c:v>28.012399800541353</c:v>
                </c:pt>
                <c:pt idx="389">
                  <c:v>25.605495657695158</c:v>
                </c:pt>
                <c:pt idx="390">
                  <c:v>70.984172523041906</c:v>
                </c:pt>
                <c:pt idx="391">
                  <c:v>68.344353585718309</c:v>
                </c:pt>
                <c:pt idx="392">
                  <c:v>33.000885223796502</c:v>
                </c:pt>
                <c:pt idx="394">
                  <c:v>40.664034330207379</c:v>
                </c:pt>
                <c:pt idx="395">
                  <c:v>93.340480249499734</c:v>
                </c:pt>
                <c:pt idx="396">
                  <c:v>62.644423207576892</c:v>
                </c:pt>
                <c:pt idx="397">
                  <c:v>94.126830657470492</c:v>
                </c:pt>
                <c:pt idx="398">
                  <c:v>71.842425444417131</c:v>
                </c:pt>
                <c:pt idx="399">
                  <c:v>78.609015939231895</c:v>
                </c:pt>
                <c:pt idx="400">
                  <c:v>744.20055066429927</c:v>
                </c:pt>
                <c:pt idx="401">
                  <c:v>52.028530147186451</c:v>
                </c:pt>
                <c:pt idx="402">
                  <c:v>84.409536700373195</c:v>
                </c:pt>
                <c:pt idx="403">
                  <c:v>31.444956217872189</c:v>
                </c:pt>
                <c:pt idx="404">
                  <c:v>60.257633188690754</c:v>
                </c:pt>
                <c:pt idx="405">
                  <c:v>70.146632353205376</c:v>
                </c:pt>
                <c:pt idx="406">
                  <c:v>88.262783885376152</c:v>
                </c:pt>
                <c:pt idx="407">
                  <c:v>28.345046988150571</c:v>
                </c:pt>
                <c:pt idx="408">
                  <c:v>23.944718968785974</c:v>
                </c:pt>
                <c:pt idx="410">
                  <c:v>25.222140605317112</c:v>
                </c:pt>
                <c:pt idx="411">
                  <c:v>76.119928117213277</c:v>
                </c:pt>
                <c:pt idx="412">
                  <c:v>48.422717938953809</c:v>
                </c:pt>
                <c:pt idx="413">
                  <c:v>55.923020829596936</c:v>
                </c:pt>
                <c:pt idx="414">
                  <c:v>28.150301131164525</c:v>
                </c:pt>
                <c:pt idx="415">
                  <c:v>34.927207749853402</c:v>
                </c:pt>
                <c:pt idx="416">
                  <c:v>67.70771979974208</c:v>
                </c:pt>
                <c:pt idx="417">
                  <c:v>74.095659708523129</c:v>
                </c:pt>
                <c:pt idx="418">
                  <c:v>79.801650939720389</c:v>
                </c:pt>
                <c:pt idx="419">
                  <c:v>59.549664883660647</c:v>
                </c:pt>
                <c:pt idx="420">
                  <c:v>67.49476959269866</c:v>
                </c:pt>
                <c:pt idx="421">
                  <c:v>41.254845189301079</c:v>
                </c:pt>
                <c:pt idx="422">
                  <c:v>44.298803698007951</c:v>
                </c:pt>
                <c:pt idx="423">
                  <c:v>93.898511670142085</c:v>
                </c:pt>
                <c:pt idx="424">
                  <c:v>86.591283336152628</c:v>
                </c:pt>
                <c:pt idx="425">
                  <c:v>92.815689931575719</c:v>
                </c:pt>
                <c:pt idx="426">
                  <c:v>40.226992055223143</c:v>
                </c:pt>
                <c:pt idx="427">
                  <c:v>85.84028595575478</c:v>
                </c:pt>
                <c:pt idx="428">
                  <c:v>41.213659294668446</c:v>
                </c:pt>
                <c:pt idx="429">
                  <c:v>41.737407911854376</c:v>
                </c:pt>
                <c:pt idx="430">
                  <c:v>24.530044590204643</c:v>
                </c:pt>
                <c:pt idx="432">
                  <c:v>70.401494449506188</c:v>
                </c:pt>
                <c:pt idx="433">
                  <c:v>96.779657716957544</c:v>
                </c:pt>
                <c:pt idx="434">
                  <c:v>53.814929572594053</c:v>
                </c:pt>
                <c:pt idx="435">
                  <c:v>89.360928552848037</c:v>
                </c:pt>
                <c:pt idx="436">
                  <c:v>84.065447988780022</c:v>
                </c:pt>
                <c:pt idx="437">
                  <c:v>70.523550294092828</c:v>
                </c:pt>
                <c:pt idx="438">
                  <c:v>76.833745200992936</c:v>
                </c:pt>
                <c:pt idx="442">
                  <c:v>95.772234880508378</c:v>
                </c:pt>
                <c:pt idx="443">
                  <c:v>88.01061877480295</c:v>
                </c:pt>
                <c:pt idx="444">
                  <c:v>21.12116140208456</c:v>
                </c:pt>
                <c:pt idx="445">
                  <c:v>81.211907988901118</c:v>
                </c:pt>
                <c:pt idx="446">
                  <c:v>40.255912561024815</c:v>
                </c:pt>
                <c:pt idx="447">
                  <c:v>88.492289759572827</c:v>
                </c:pt>
                <c:pt idx="448">
                  <c:v>31.64123862298873</c:v>
                </c:pt>
                <c:pt idx="449">
                  <c:v>40.598337319397544</c:v>
                </c:pt>
                <c:pt idx="450">
                  <c:v>47.276957891439082</c:v>
                </c:pt>
                <c:pt idx="451">
                  <c:v>85.747145820232205</c:v>
                </c:pt>
                <c:pt idx="452">
                  <c:v>56.747492447516514</c:v>
                </c:pt>
                <c:pt idx="453">
                  <c:v>74.60093840929602</c:v>
                </c:pt>
                <c:pt idx="454">
                  <c:v>56.744295057045903</c:v>
                </c:pt>
                <c:pt idx="455">
                  <c:v>92.889640111356599</c:v>
                </c:pt>
                <c:pt idx="456">
                  <c:v>35.058575981523646</c:v>
                </c:pt>
                <c:pt idx="457">
                  <c:v>41.937031129931761</c:v>
                </c:pt>
                <c:pt idx="458">
                  <c:v>88.688008558599861</c:v>
                </c:pt>
                <c:pt idx="459">
                  <c:v>88.068220585767634</c:v>
                </c:pt>
                <c:pt idx="460">
                  <c:v>93.186795999750245</c:v>
                </c:pt>
                <c:pt idx="461">
                  <c:v>80.3861966689865</c:v>
                </c:pt>
                <c:pt idx="462">
                  <c:v>91.66525852481557</c:v>
                </c:pt>
                <c:pt idx="463">
                  <c:v>27.441392741013999</c:v>
                </c:pt>
                <c:pt idx="464">
                  <c:v>85.71770022209526</c:v>
                </c:pt>
                <c:pt idx="466">
                  <c:v>50.626671581474824</c:v>
                </c:pt>
                <c:pt idx="467">
                  <c:v>25.382769033721164</c:v>
                </c:pt>
                <c:pt idx="468">
                  <c:v>38.80250390495349</c:v>
                </c:pt>
                <c:pt idx="469">
                  <c:v>73.028783010773253</c:v>
                </c:pt>
                <c:pt idx="470">
                  <c:v>135.54171172643728</c:v>
                </c:pt>
                <c:pt idx="471">
                  <c:v>29.630251960442706</c:v>
                </c:pt>
                <c:pt idx="472">
                  <c:v>48.923215021036526</c:v>
                </c:pt>
                <c:pt idx="473">
                  <c:v>53.390635344037861</c:v>
                </c:pt>
                <c:pt idx="474">
                  <c:v>88.126512001378984</c:v>
                </c:pt>
                <c:pt idx="475">
                  <c:v>77.445452896068872</c:v>
                </c:pt>
                <c:pt idx="477">
                  <c:v>56.090405583827312</c:v>
                </c:pt>
                <c:pt idx="478">
                  <c:v>63.435235559146221</c:v>
                </c:pt>
                <c:pt idx="479">
                  <c:v>53.513889983433494</c:v>
                </c:pt>
                <c:pt idx="480">
                  <c:v>77.404910611882855</c:v>
                </c:pt>
                <c:pt idx="481">
                  <c:v>36.966498998190218</c:v>
                </c:pt>
                <c:pt idx="482">
                  <c:v>31.728664028800253</c:v>
                </c:pt>
                <c:pt idx="483">
                  <c:v>52.51701743616578</c:v>
                </c:pt>
                <c:pt idx="484">
                  <c:v>43.132026756332074</c:v>
                </c:pt>
                <c:pt idx="485">
                  <c:v>65.348674663527575</c:v>
                </c:pt>
                <c:pt idx="486">
                  <c:v>58.823250724937225</c:v>
                </c:pt>
                <c:pt idx="487">
                  <c:v>84.2954761501842</c:v>
                </c:pt>
                <c:pt idx="488">
                  <c:v>27.939013193574482</c:v>
                </c:pt>
              </c:numCache>
            </c:numRef>
          </c:val>
          <c:smooth val="0"/>
          <c:extLst>
            <c:ext xmlns:c16="http://schemas.microsoft.com/office/drawing/2014/chart" uri="{C3380CC4-5D6E-409C-BE32-E72D297353CC}">
              <c16:uniqueId val="{00000002-8660-46EB-82C3-4E1CBA22FBBE}"/>
            </c:ext>
          </c:extLst>
        </c:ser>
        <c:dLbls>
          <c:showLegendKey val="0"/>
          <c:showVal val="0"/>
          <c:showCatName val="0"/>
          <c:showSerName val="0"/>
          <c:showPercent val="0"/>
          <c:showBubbleSize val="0"/>
        </c:dLbls>
        <c:marker val="1"/>
        <c:smooth val="0"/>
        <c:axId val="656261600"/>
        <c:axId val="656269760"/>
      </c:lineChart>
      <c:catAx>
        <c:axId val="65626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274560"/>
        <c:crosses val="autoZero"/>
        <c:auto val="1"/>
        <c:lblAlgn val="ctr"/>
        <c:lblOffset val="100"/>
        <c:noMultiLvlLbl val="0"/>
      </c:catAx>
      <c:valAx>
        <c:axId val="656274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268320"/>
        <c:crosses val="autoZero"/>
        <c:crossBetween val="between"/>
      </c:valAx>
      <c:valAx>
        <c:axId val="65626976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261600"/>
        <c:crosses val="max"/>
        <c:crossBetween val="between"/>
      </c:valAx>
      <c:catAx>
        <c:axId val="656261600"/>
        <c:scaling>
          <c:orientation val="minMax"/>
        </c:scaling>
        <c:delete val="1"/>
        <c:axPos val="b"/>
        <c:numFmt formatCode="General" sourceLinked="1"/>
        <c:majorTickMark val="none"/>
        <c:minorTickMark val="none"/>
        <c:tickLblPos val="nextTo"/>
        <c:crossAx val="6562697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[Automotive_market_Demand_Forecasting_Dataset_Analysis.xlsx]Pivot-Campaign Vs Units!PivotTable1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Units_Sold </a:t>
            </a:r>
            <a:r>
              <a:rPr lang="en-IN" sz="1400" b="0" i="0" u="none" strike="noStrike" baseline="0"/>
              <a:t>by Marketing_Campaign</a:t>
            </a:r>
            <a:endParaRPr lang="en-US"/>
          </a:p>
        </c:rich>
      </c:tx>
      <c:layout>
        <c:manualLayout>
          <c:xMode val="edge"/>
          <c:yMode val="edge"/>
          <c:x val="0.2072360017497812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030A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'Pivot-Campaign Vs Units'!$B$3</c:f>
              <c:strCache>
                <c:ptCount val="1"/>
                <c:pt idx="0">
                  <c:v>Total</c:v>
                </c:pt>
              </c:strCache>
            </c:strRef>
          </c:tx>
          <c:spPr>
            <a:ln w="28575" cap="rnd">
              <a:solidFill>
                <a:srgbClr val="7030A0"/>
              </a:solidFill>
              <a:round/>
            </a:ln>
            <a:effectLst/>
          </c:spPr>
          <c:marker>
            <c:symbol val="circle"/>
            <c:size val="5"/>
            <c:spPr>
              <a:solidFill>
                <a:srgbClr val="FFFF00"/>
              </a:solidFill>
              <a:ln w="9525">
                <a:solidFill>
                  <a:srgbClr val="FFFF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rgbClr val="7030A0"/>
                </a:solidFill>
                <a:prstDash val="sysDot"/>
              </a:ln>
              <a:effectLst/>
            </c:spPr>
            <c:trendlineType val="linear"/>
            <c:dispRSqr val="1"/>
            <c:dispEq val="1"/>
            <c:trendlineLbl>
              <c:layout>
                <c:manualLayout>
                  <c:x val="0.30891557305336831"/>
                  <c:y val="-0.2958351560221638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'Pivot-Campaign Vs Units'!$A$4:$A$16</c:f>
              <c:strCache>
                <c:ptCount val="12"/>
                <c:pt idx="0">
                  <c:v>Autumn Arrivals</c:v>
                </c:pt>
                <c:pt idx="1">
                  <c:v>BloomingDeal</c:v>
                </c:pt>
                <c:pt idx="2">
                  <c:v>Halloween Haul</c:v>
                </c:pt>
                <c:pt idx="3">
                  <c:v>NewYearSale</c:v>
                </c:pt>
                <c:pt idx="4">
                  <c:v>November Nirvana</c:v>
                </c:pt>
                <c:pt idx="5">
                  <c:v>Savings Be Wid You</c:v>
                </c:pt>
                <c:pt idx="6">
                  <c:v>SpringPromo</c:v>
                </c:pt>
                <c:pt idx="7">
                  <c:v>SummerFinale</c:v>
                </c:pt>
                <c:pt idx="8">
                  <c:v>SummerSale</c:v>
                </c:pt>
                <c:pt idx="9">
                  <c:v>SunshineSavings</c:v>
                </c:pt>
                <c:pt idx="10">
                  <c:v>Valentine'sDrive</c:v>
                </c:pt>
                <c:pt idx="11">
                  <c:v>Winter Wonderland</c:v>
                </c:pt>
              </c:strCache>
            </c:strRef>
          </c:cat>
          <c:val>
            <c:numRef>
              <c:f>'Pivot-Campaign Vs Units'!$B$4:$B$16</c:f>
              <c:numCache>
                <c:formatCode>General</c:formatCode>
                <c:ptCount val="12"/>
                <c:pt idx="0">
                  <c:v>3992</c:v>
                </c:pt>
                <c:pt idx="1">
                  <c:v>4163</c:v>
                </c:pt>
                <c:pt idx="2">
                  <c:v>4290</c:v>
                </c:pt>
                <c:pt idx="3">
                  <c:v>4247</c:v>
                </c:pt>
                <c:pt idx="4">
                  <c:v>4086</c:v>
                </c:pt>
                <c:pt idx="5">
                  <c:v>4411</c:v>
                </c:pt>
                <c:pt idx="6">
                  <c:v>4125</c:v>
                </c:pt>
                <c:pt idx="7">
                  <c:v>4219</c:v>
                </c:pt>
                <c:pt idx="8">
                  <c:v>4245</c:v>
                </c:pt>
                <c:pt idx="9">
                  <c:v>4075</c:v>
                </c:pt>
                <c:pt idx="10">
                  <c:v>3734</c:v>
                </c:pt>
                <c:pt idx="11">
                  <c:v>4063</c:v>
                </c:pt>
              </c:numCache>
            </c:numRef>
          </c:val>
          <c:smooth val="0"/>
          <c:extLst>
            <c:ext xmlns:c16="http://schemas.microsoft.com/office/drawing/2014/chart" uri="{C3380CC4-5D6E-409C-BE32-E72D297353CC}">
              <c16:uniqueId val="{00000000-DFFA-4A7C-A91C-DFCC3E178C27}"/>
            </c:ext>
          </c:extLst>
        </c:ser>
        <c:dLbls>
          <c:dLblPos val="t"/>
          <c:showLegendKey val="0"/>
          <c:showVal val="1"/>
          <c:showCatName val="0"/>
          <c:showSerName val="0"/>
          <c:showPercent val="0"/>
          <c:showBubbleSize val="0"/>
        </c:dLbls>
        <c:marker val="1"/>
        <c:smooth val="0"/>
        <c:axId val="516154480"/>
        <c:axId val="516139600"/>
      </c:lineChart>
      <c:catAx>
        <c:axId val="51615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39600"/>
        <c:crosses val="autoZero"/>
        <c:auto val="1"/>
        <c:lblAlgn val="ctr"/>
        <c:lblOffset val="100"/>
        <c:noMultiLvlLbl val="0"/>
      </c:catAx>
      <c:valAx>
        <c:axId val="516139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5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[Automotive_market_Demand_Forecasting_Dataset_Analysis.xlsx]Pivot-Campaign Vs Spend!PivotTable2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Marketing_Campaign VS Marketing Spend</a:t>
            </a:r>
            <a:endParaRPr lang="en-US"/>
          </a:p>
        </c:rich>
      </c:tx>
      <c:layout>
        <c:manualLayout>
          <c:xMode val="edge"/>
          <c:yMode val="edge"/>
          <c:x val="0.30321420049766507"/>
          <c:y val="0.10546077573636629"/>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'Pivot-Campaign Vs Spend'!$B$3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dispRSqr val="0"/>
            <c:dispEq val="0"/>
          </c:trendline>
          <c:cat>
            <c:strRef>
              <c:f>'Pivot-Campaign Vs Spend'!$A$4:$A$16</c:f>
              <c:strCache>
                <c:ptCount val="12"/>
                <c:pt idx="0">
                  <c:v>Autumn Arrivals</c:v>
                </c:pt>
                <c:pt idx="1">
                  <c:v>BloomingDeal</c:v>
                </c:pt>
                <c:pt idx="2">
                  <c:v>Halloween Haul</c:v>
                </c:pt>
                <c:pt idx="3">
                  <c:v>NewYearSale</c:v>
                </c:pt>
                <c:pt idx="4">
                  <c:v>November Nirvana</c:v>
                </c:pt>
                <c:pt idx="5">
                  <c:v>Savings Be Wid You</c:v>
                </c:pt>
                <c:pt idx="6">
                  <c:v>SpringPromo</c:v>
                </c:pt>
                <c:pt idx="7">
                  <c:v>SummerFinale</c:v>
                </c:pt>
                <c:pt idx="8">
                  <c:v>SummerSale</c:v>
                </c:pt>
                <c:pt idx="9">
                  <c:v>SunshineSavings</c:v>
                </c:pt>
                <c:pt idx="10">
                  <c:v>Valentine'sDrive</c:v>
                </c:pt>
                <c:pt idx="11">
                  <c:v>Winter Wonderland</c:v>
                </c:pt>
              </c:strCache>
            </c:strRef>
          </c:cat>
          <c:val>
            <c:numRef>
              <c:f>'Pivot-Campaign Vs Spend'!$B$4:$B$16</c:f>
              <c:numCache>
                <c:formatCode>General</c:formatCode>
                <c:ptCount val="12"/>
                <c:pt idx="0">
                  <c:v>4377717.5605606399</c:v>
                </c:pt>
                <c:pt idx="1">
                  <c:v>4307891.6921104491</c:v>
                </c:pt>
                <c:pt idx="2">
                  <c:v>3966291.7402839647</c:v>
                </c:pt>
                <c:pt idx="3">
                  <c:v>4295763.7596750529</c:v>
                </c:pt>
                <c:pt idx="4">
                  <c:v>4240007.2856706074</c:v>
                </c:pt>
                <c:pt idx="5">
                  <c:v>4403707.4912347039</c:v>
                </c:pt>
                <c:pt idx="6">
                  <c:v>4281780.8222096907</c:v>
                </c:pt>
                <c:pt idx="7">
                  <c:v>4323095.2530295709</c:v>
                </c:pt>
                <c:pt idx="8">
                  <c:v>4091309.0277573518</c:v>
                </c:pt>
                <c:pt idx="9">
                  <c:v>4141681.1385403401</c:v>
                </c:pt>
                <c:pt idx="10">
                  <c:v>3726236.6419126834</c:v>
                </c:pt>
                <c:pt idx="11">
                  <c:v>4272677.066063365</c:v>
                </c:pt>
              </c:numCache>
            </c:numRef>
          </c:val>
          <c:extLst>
            <c:ext xmlns:c16="http://schemas.microsoft.com/office/drawing/2014/chart" uri="{C3380CC4-5D6E-409C-BE32-E72D297353CC}">
              <c16:uniqueId val="{00000000-5BAC-47B6-BE93-0C59D64394A6}"/>
            </c:ext>
          </c:extLst>
        </c:ser>
        <c:dLbls>
          <c:dLblPos val="outEnd"/>
          <c:showLegendKey val="0"/>
          <c:showVal val="1"/>
          <c:showCatName val="0"/>
          <c:showSerName val="0"/>
          <c:showPercent val="0"/>
          <c:showBubbleSize val="0"/>
        </c:dLbls>
        <c:gapWidth val="182"/>
        <c:overlap val="-50"/>
        <c:axId val="516166480"/>
        <c:axId val="516166000"/>
      </c:barChart>
      <c:catAx>
        <c:axId val="51616648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166000"/>
        <c:crosses val="autoZero"/>
        <c:auto val="1"/>
        <c:lblAlgn val="ctr"/>
        <c:lblOffset val="100"/>
        <c:noMultiLvlLbl val="0"/>
      </c:catAx>
      <c:valAx>
        <c:axId val="51616600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16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[Automotive_market_Demand_Forecasting_Dataset_Analysis.xlsx]Pivot-Spend by Channel!PivotTable3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Marketing Spend by Campaign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'Pivot-Spend by Channel'!$B$3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E8D-487D-A383-592BB69424F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E8D-487D-A383-592BB69424F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E8D-487D-A383-592BB69424F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E8D-487D-A383-592BB69424F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E8D-487D-A383-592BB69424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'Pivot-Spend by Channel'!$A$4:$A$9</c:f>
              <c:strCache>
                <c:ptCount val="5"/>
                <c:pt idx="0">
                  <c:v>Billboards</c:v>
                </c:pt>
                <c:pt idx="1">
                  <c:v>Online</c:v>
                </c:pt>
                <c:pt idx="2">
                  <c:v>Print</c:v>
                </c:pt>
                <c:pt idx="3">
                  <c:v>Radio</c:v>
                </c:pt>
                <c:pt idx="4">
                  <c:v>TV</c:v>
                </c:pt>
              </c:strCache>
            </c:strRef>
          </c:cat>
          <c:val>
            <c:numRef>
              <c:f>'Pivot-Spend by Channel'!$B$4:$B$9</c:f>
              <c:numCache>
                <c:formatCode>General</c:formatCode>
                <c:ptCount val="5"/>
                <c:pt idx="0">
                  <c:v>10724254.770603586</c:v>
                </c:pt>
                <c:pt idx="1">
                  <c:v>9740986.6961053871</c:v>
                </c:pt>
                <c:pt idx="2">
                  <c:v>10090137.558355028</c:v>
                </c:pt>
                <c:pt idx="3">
                  <c:v>9191715.916670369</c:v>
                </c:pt>
                <c:pt idx="4">
                  <c:v>10681064.537314061</c:v>
                </c:pt>
              </c:numCache>
            </c:numRef>
          </c:val>
          <c:extLst>
            <c:ext xmlns:c16="http://schemas.microsoft.com/office/drawing/2014/chart" uri="{C3380CC4-5D6E-409C-BE32-E72D297353CC}">
              <c16:uniqueId val="{00000000-CB2E-4EAB-BA98-3CE02795A95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[Automotive_market_Demand_Forecasting_Dataset_Analysis.xlsx]Pivot-CostPerUnit Vs Campaign!PivotTable4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Campaign</a:t>
            </a:r>
            <a:r>
              <a:rPr lang="en-US" baseline="0"/>
              <a:t> Vs Cost_Per_Unit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'Pivot-CostPerUnit Vs Campaign'!$B$3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'Pivot-CostPerUnit Vs Campaign'!$A$4:$A$16</c:f>
              <c:strCache>
                <c:ptCount val="12"/>
                <c:pt idx="0">
                  <c:v>Autumn Arrivals</c:v>
                </c:pt>
                <c:pt idx="1">
                  <c:v>BloomingDeal</c:v>
                </c:pt>
                <c:pt idx="2">
                  <c:v>Halloween Haul</c:v>
                </c:pt>
                <c:pt idx="3">
                  <c:v>NewYearSale</c:v>
                </c:pt>
                <c:pt idx="4">
                  <c:v>November Nirvana</c:v>
                </c:pt>
                <c:pt idx="5">
                  <c:v>Savings Be Wid You</c:v>
                </c:pt>
                <c:pt idx="6">
                  <c:v>SpringPromo</c:v>
                </c:pt>
                <c:pt idx="7">
                  <c:v>SummerFinale</c:v>
                </c:pt>
                <c:pt idx="8">
                  <c:v>SummerSale</c:v>
                </c:pt>
                <c:pt idx="9">
                  <c:v>SunshineSavings</c:v>
                </c:pt>
                <c:pt idx="10">
                  <c:v>Valentine'sDrive</c:v>
                </c:pt>
                <c:pt idx="11">
                  <c:v>Winter Wonderland</c:v>
                </c:pt>
              </c:strCache>
            </c:strRef>
          </c:cat>
          <c:val>
            <c:numRef>
              <c:f>'Pivot-CostPerUnit Vs Campaign'!$B$4:$B$16</c:f>
              <c:numCache>
                <c:formatCode>General</c:formatCode>
                <c:ptCount val="12"/>
                <c:pt idx="0">
                  <c:v>45349.55788939273</c:v>
                </c:pt>
                <c:pt idx="1">
                  <c:v>42989.463452284464</c:v>
                </c:pt>
                <c:pt idx="2">
                  <c:v>40188.435733841776</c:v>
                </c:pt>
                <c:pt idx="3">
                  <c:v>43877.44432688471</c:v>
                </c:pt>
                <c:pt idx="4">
                  <c:v>42879.777595179774</c:v>
                </c:pt>
                <c:pt idx="5">
                  <c:v>44369.886990234525</c:v>
                </c:pt>
                <c:pt idx="6">
                  <c:v>44140.080978374186</c:v>
                </c:pt>
                <c:pt idx="7">
                  <c:v>43185.661305350106</c:v>
                </c:pt>
                <c:pt idx="8">
                  <c:v>40677.887489163695</c:v>
                </c:pt>
                <c:pt idx="9">
                  <c:v>42058.992108726387</c:v>
                </c:pt>
                <c:pt idx="10">
                  <c:v>38330.132013705595</c:v>
                </c:pt>
                <c:pt idx="11">
                  <c:v>44657.674550476855</c:v>
                </c:pt>
              </c:numCache>
            </c:numRef>
          </c:val>
          <c:extLst>
            <c:ext xmlns:c16="http://schemas.microsoft.com/office/drawing/2014/chart" uri="{C3380CC4-5D6E-409C-BE32-E72D297353CC}">
              <c16:uniqueId val="{00000000-9B08-47C2-8FDD-65F6747081AA}"/>
            </c:ext>
          </c:extLst>
        </c:ser>
        <c:dLbls>
          <c:dLblPos val="outEnd"/>
          <c:showLegendKey val="0"/>
          <c:showVal val="1"/>
          <c:showCatName val="0"/>
          <c:showSerName val="0"/>
          <c:showPercent val="0"/>
          <c:showBubbleSize val="0"/>
        </c:dLbls>
        <c:gapWidth val="315"/>
        <c:overlap val="-40"/>
        <c:axId val="1974465040"/>
        <c:axId val="1974461200"/>
      </c:barChart>
      <c:catAx>
        <c:axId val="1974465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4461200"/>
        <c:crosses val="autoZero"/>
        <c:auto val="1"/>
        <c:lblAlgn val="ctr"/>
        <c:lblOffset val="100"/>
        <c:noMultiLvlLbl val="0"/>
      </c:catAx>
      <c:valAx>
        <c:axId val="1974461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446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[Automotive_market_Demand_Forecasting_Dataset_Analysis.xlsx]Pivot-Campaign Vs Units!PivotTable1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Units_Sold </a:t>
            </a:r>
            <a:r>
              <a:rPr lang="en-IN" sz="1400" b="0" i="0" u="none" strike="noStrike" baseline="0"/>
              <a:t>by Marketing_Campaign</a:t>
            </a:r>
            <a:endParaRPr lang="en-US"/>
          </a:p>
        </c:rich>
      </c:tx>
      <c:layout>
        <c:manualLayout>
          <c:xMode val="edge"/>
          <c:yMode val="edge"/>
          <c:x val="0.2072360017497812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030A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030A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'Pivot-Campaign Vs Units'!$B$3</c:f>
              <c:strCache>
                <c:ptCount val="1"/>
                <c:pt idx="0">
                  <c:v>Total</c:v>
                </c:pt>
              </c:strCache>
            </c:strRef>
          </c:tx>
          <c:spPr>
            <a:ln w="28575" cap="rnd">
              <a:solidFill>
                <a:srgbClr val="7030A0"/>
              </a:solidFill>
              <a:round/>
            </a:ln>
            <a:effectLst/>
          </c:spPr>
          <c:marker>
            <c:symbol val="circle"/>
            <c:size val="5"/>
            <c:spPr>
              <a:solidFill>
                <a:srgbClr val="FFFF00"/>
              </a:solidFill>
              <a:ln w="9525">
                <a:solidFill>
                  <a:srgbClr val="FFFF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rgbClr val="7030A0"/>
                </a:solidFill>
                <a:prstDash val="sysDot"/>
              </a:ln>
              <a:effectLst/>
            </c:spPr>
            <c:trendlineType val="linear"/>
            <c:dispRSqr val="1"/>
            <c:dispEq val="1"/>
            <c:trendlineLbl>
              <c:layout>
                <c:manualLayout>
                  <c:x val="0.30891557305336831"/>
                  <c:y val="-0.2958351560221638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'Pivot-Campaign Vs Units'!$A$4:$A$16</c:f>
              <c:strCache>
                <c:ptCount val="12"/>
                <c:pt idx="0">
                  <c:v>Autumn Arrivals</c:v>
                </c:pt>
                <c:pt idx="1">
                  <c:v>BloomingDeal</c:v>
                </c:pt>
                <c:pt idx="2">
                  <c:v>Halloween Haul</c:v>
                </c:pt>
                <c:pt idx="3">
                  <c:v>NewYearSale</c:v>
                </c:pt>
                <c:pt idx="4">
                  <c:v>November Nirvana</c:v>
                </c:pt>
                <c:pt idx="5">
                  <c:v>Savings Be Wid You</c:v>
                </c:pt>
                <c:pt idx="6">
                  <c:v>SpringPromo</c:v>
                </c:pt>
                <c:pt idx="7">
                  <c:v>SummerFinale</c:v>
                </c:pt>
                <c:pt idx="8">
                  <c:v>SummerSale</c:v>
                </c:pt>
                <c:pt idx="9">
                  <c:v>SunshineSavings</c:v>
                </c:pt>
                <c:pt idx="10">
                  <c:v>Valentine'sDrive</c:v>
                </c:pt>
                <c:pt idx="11">
                  <c:v>Winter Wonderland</c:v>
                </c:pt>
              </c:strCache>
            </c:strRef>
          </c:cat>
          <c:val>
            <c:numRef>
              <c:f>'Pivot-Campaign Vs Units'!$B$4:$B$16</c:f>
              <c:numCache>
                <c:formatCode>General</c:formatCode>
                <c:ptCount val="12"/>
                <c:pt idx="0">
                  <c:v>3992</c:v>
                </c:pt>
                <c:pt idx="1">
                  <c:v>4163</c:v>
                </c:pt>
                <c:pt idx="2">
                  <c:v>4290</c:v>
                </c:pt>
                <c:pt idx="3">
                  <c:v>4247</c:v>
                </c:pt>
                <c:pt idx="4">
                  <c:v>4086</c:v>
                </c:pt>
                <c:pt idx="5">
                  <c:v>4411</c:v>
                </c:pt>
                <c:pt idx="6">
                  <c:v>4125</c:v>
                </c:pt>
                <c:pt idx="7">
                  <c:v>4219</c:v>
                </c:pt>
                <c:pt idx="8">
                  <c:v>4245</c:v>
                </c:pt>
                <c:pt idx="9">
                  <c:v>4075</c:v>
                </c:pt>
                <c:pt idx="10">
                  <c:v>3734</c:v>
                </c:pt>
                <c:pt idx="11">
                  <c:v>4063</c:v>
                </c:pt>
              </c:numCache>
            </c:numRef>
          </c:val>
          <c:smooth val="0"/>
          <c:extLst>
            <c:ext xmlns:c16="http://schemas.microsoft.com/office/drawing/2014/chart" uri="{C3380CC4-5D6E-409C-BE32-E72D297353CC}">
              <c16:uniqueId val="{00000001-E44A-41A1-AA1F-94AD1C809C42}"/>
            </c:ext>
          </c:extLst>
        </c:ser>
        <c:dLbls>
          <c:dLblPos val="t"/>
          <c:showLegendKey val="0"/>
          <c:showVal val="1"/>
          <c:showCatName val="0"/>
          <c:showSerName val="0"/>
          <c:showPercent val="0"/>
          <c:showBubbleSize val="0"/>
        </c:dLbls>
        <c:marker val="1"/>
        <c:smooth val="0"/>
        <c:axId val="516154480"/>
        <c:axId val="516139600"/>
      </c:lineChart>
      <c:catAx>
        <c:axId val="51615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39600"/>
        <c:crosses val="autoZero"/>
        <c:auto val="1"/>
        <c:lblAlgn val="ctr"/>
        <c:lblOffset val="100"/>
        <c:noMultiLvlLbl val="0"/>
      </c:catAx>
      <c:valAx>
        <c:axId val="516139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5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[Automotive_market_Demand_Forecasting_Dataset_Analysis.xlsx]Pivot-Campaign Vs Spend!PivotTable2</c:name>
    <c:fmtId val="1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Marketing_Campaign VS Marketing Spend</a:t>
            </a:r>
            <a:endParaRPr lang="en-US"/>
          </a:p>
        </c:rich>
      </c:tx>
      <c:layout>
        <c:manualLayout>
          <c:xMode val="edge"/>
          <c:yMode val="edge"/>
          <c:x val="0.30321420049766507"/>
          <c:y val="0.10546077573636629"/>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'Pivot-Campaign Vs Spend'!$B$3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dispRSqr val="0"/>
            <c:dispEq val="0"/>
          </c:trendline>
          <c:cat>
            <c:strRef>
              <c:f>'Pivot-Campaign Vs Spend'!$A$4:$A$16</c:f>
              <c:strCache>
                <c:ptCount val="12"/>
                <c:pt idx="0">
                  <c:v>Autumn Arrivals</c:v>
                </c:pt>
                <c:pt idx="1">
                  <c:v>BloomingDeal</c:v>
                </c:pt>
                <c:pt idx="2">
                  <c:v>Halloween Haul</c:v>
                </c:pt>
                <c:pt idx="3">
                  <c:v>NewYearSale</c:v>
                </c:pt>
                <c:pt idx="4">
                  <c:v>November Nirvana</c:v>
                </c:pt>
                <c:pt idx="5">
                  <c:v>Savings Be Wid You</c:v>
                </c:pt>
                <c:pt idx="6">
                  <c:v>SpringPromo</c:v>
                </c:pt>
                <c:pt idx="7">
                  <c:v>SummerFinale</c:v>
                </c:pt>
                <c:pt idx="8">
                  <c:v>SummerSale</c:v>
                </c:pt>
                <c:pt idx="9">
                  <c:v>SunshineSavings</c:v>
                </c:pt>
                <c:pt idx="10">
                  <c:v>Valentine'sDrive</c:v>
                </c:pt>
                <c:pt idx="11">
                  <c:v>Winter Wonderland</c:v>
                </c:pt>
              </c:strCache>
            </c:strRef>
          </c:cat>
          <c:val>
            <c:numRef>
              <c:f>'Pivot-Campaign Vs Spend'!$B$4:$B$16</c:f>
              <c:numCache>
                <c:formatCode>General</c:formatCode>
                <c:ptCount val="12"/>
                <c:pt idx="0">
                  <c:v>4377717.5605606399</c:v>
                </c:pt>
                <c:pt idx="1">
                  <c:v>4307891.6921104491</c:v>
                </c:pt>
                <c:pt idx="2">
                  <c:v>3966291.7402839647</c:v>
                </c:pt>
                <c:pt idx="3">
                  <c:v>4295763.7596750529</c:v>
                </c:pt>
                <c:pt idx="4">
                  <c:v>4240007.2856706074</c:v>
                </c:pt>
                <c:pt idx="5">
                  <c:v>4403707.4912347039</c:v>
                </c:pt>
                <c:pt idx="6">
                  <c:v>4281780.8222096907</c:v>
                </c:pt>
                <c:pt idx="7">
                  <c:v>4323095.2530295709</c:v>
                </c:pt>
                <c:pt idx="8">
                  <c:v>4091309.0277573518</c:v>
                </c:pt>
                <c:pt idx="9">
                  <c:v>4141681.1385403401</c:v>
                </c:pt>
                <c:pt idx="10">
                  <c:v>3726236.6419126834</c:v>
                </c:pt>
                <c:pt idx="11">
                  <c:v>4272677.066063365</c:v>
                </c:pt>
              </c:numCache>
            </c:numRef>
          </c:val>
          <c:extLst>
            <c:ext xmlns:c16="http://schemas.microsoft.com/office/drawing/2014/chart" uri="{C3380CC4-5D6E-409C-BE32-E72D297353CC}">
              <c16:uniqueId val="{00000001-ED32-4F49-AE39-F4D37540D1E6}"/>
            </c:ext>
          </c:extLst>
        </c:ser>
        <c:dLbls>
          <c:dLblPos val="outEnd"/>
          <c:showLegendKey val="0"/>
          <c:showVal val="1"/>
          <c:showCatName val="0"/>
          <c:showSerName val="0"/>
          <c:showPercent val="0"/>
          <c:showBubbleSize val="0"/>
        </c:dLbls>
        <c:gapWidth val="182"/>
        <c:overlap val="-50"/>
        <c:axId val="516166480"/>
        <c:axId val="516166000"/>
      </c:barChart>
      <c:catAx>
        <c:axId val="51616648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166000"/>
        <c:crosses val="autoZero"/>
        <c:auto val="1"/>
        <c:lblAlgn val="ctr"/>
        <c:lblOffset val="100"/>
        <c:noMultiLvlLbl val="0"/>
      </c:catAx>
      <c:valAx>
        <c:axId val="51616600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616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[Automotive_market_Demand_Forecasting_Dataset_Analysis.xlsx]Pivot-Spend by Channel!PivotTable3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Marketing Spend by Campaign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'Pivot-Spend by Channel'!$B$3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C23-4B28-942B-89061A88256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C23-4B28-942B-89061A88256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C23-4B28-942B-89061A88256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C23-4B28-942B-89061A88256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C23-4B28-942B-89061A8825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'Pivot-Spend by Channel'!$A$4:$A$9</c:f>
              <c:strCache>
                <c:ptCount val="5"/>
                <c:pt idx="0">
                  <c:v>Billboards</c:v>
                </c:pt>
                <c:pt idx="1">
                  <c:v>Online</c:v>
                </c:pt>
                <c:pt idx="2">
                  <c:v>Print</c:v>
                </c:pt>
                <c:pt idx="3">
                  <c:v>Radio</c:v>
                </c:pt>
                <c:pt idx="4">
                  <c:v>TV</c:v>
                </c:pt>
              </c:strCache>
            </c:strRef>
          </c:cat>
          <c:val>
            <c:numRef>
              <c:f>'Pivot-Spend by Channel'!$B$4:$B$9</c:f>
              <c:numCache>
                <c:formatCode>General</c:formatCode>
                <c:ptCount val="5"/>
                <c:pt idx="0">
                  <c:v>10724254.770603586</c:v>
                </c:pt>
                <c:pt idx="1">
                  <c:v>9740986.6961053871</c:v>
                </c:pt>
                <c:pt idx="2">
                  <c:v>10090137.558355028</c:v>
                </c:pt>
                <c:pt idx="3">
                  <c:v>9191715.916670369</c:v>
                </c:pt>
                <c:pt idx="4">
                  <c:v>10681064.537314061</c:v>
                </c:pt>
              </c:numCache>
            </c:numRef>
          </c:val>
          <c:extLst>
            <c:ext xmlns:c16="http://schemas.microsoft.com/office/drawing/2014/chart" uri="{C3380CC4-5D6E-409C-BE32-E72D297353CC}">
              <c16:uniqueId val="{0000000A-BC23-4B28-942B-89061A88256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[Automotive_market_Demand_Forecasting_Dataset_Analysis.xlsx]Pivot-CostPerUnit Vs Campaign!PivotTable4</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Campaign</a:t>
            </a:r>
            <a:r>
              <a:rPr lang="en-US" baseline="0"/>
              <a:t> Vs Cost_Per_Unit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'Pivot-CostPerUnit Vs Campaign'!$B$3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'Pivot-CostPerUnit Vs Campaign'!$A$4:$A$16</c:f>
              <c:strCache>
                <c:ptCount val="12"/>
                <c:pt idx="0">
                  <c:v>Autumn Arrivals</c:v>
                </c:pt>
                <c:pt idx="1">
                  <c:v>BloomingDeal</c:v>
                </c:pt>
                <c:pt idx="2">
                  <c:v>Halloween Haul</c:v>
                </c:pt>
                <c:pt idx="3">
                  <c:v>NewYearSale</c:v>
                </c:pt>
                <c:pt idx="4">
                  <c:v>November Nirvana</c:v>
                </c:pt>
                <c:pt idx="5">
                  <c:v>Savings Be Wid You</c:v>
                </c:pt>
                <c:pt idx="6">
                  <c:v>SpringPromo</c:v>
                </c:pt>
                <c:pt idx="7">
                  <c:v>SummerFinale</c:v>
                </c:pt>
                <c:pt idx="8">
                  <c:v>SummerSale</c:v>
                </c:pt>
                <c:pt idx="9">
                  <c:v>SunshineSavings</c:v>
                </c:pt>
                <c:pt idx="10">
                  <c:v>Valentine'sDrive</c:v>
                </c:pt>
                <c:pt idx="11">
                  <c:v>Winter Wonderland</c:v>
                </c:pt>
              </c:strCache>
            </c:strRef>
          </c:cat>
          <c:val>
            <c:numRef>
              <c:f>'Pivot-CostPerUnit Vs Campaign'!$B$4:$B$16</c:f>
              <c:numCache>
                <c:formatCode>General</c:formatCode>
                <c:ptCount val="12"/>
                <c:pt idx="0">
                  <c:v>45349.55788939273</c:v>
                </c:pt>
                <c:pt idx="1">
                  <c:v>42989.463452284464</c:v>
                </c:pt>
                <c:pt idx="2">
                  <c:v>40188.435733841776</c:v>
                </c:pt>
                <c:pt idx="3">
                  <c:v>43877.44432688471</c:v>
                </c:pt>
                <c:pt idx="4">
                  <c:v>42879.777595179774</c:v>
                </c:pt>
                <c:pt idx="5">
                  <c:v>44369.886990234525</c:v>
                </c:pt>
                <c:pt idx="6">
                  <c:v>44140.080978374186</c:v>
                </c:pt>
                <c:pt idx="7">
                  <c:v>43185.661305350106</c:v>
                </c:pt>
                <c:pt idx="8">
                  <c:v>40677.887489163695</c:v>
                </c:pt>
                <c:pt idx="9">
                  <c:v>42058.992108726387</c:v>
                </c:pt>
                <c:pt idx="10">
                  <c:v>38330.132013705595</c:v>
                </c:pt>
                <c:pt idx="11">
                  <c:v>44657.674550476855</c:v>
                </c:pt>
              </c:numCache>
            </c:numRef>
          </c:val>
          <c:extLst>
            <c:ext xmlns:c16="http://schemas.microsoft.com/office/drawing/2014/chart" uri="{C3380CC4-5D6E-409C-BE32-E72D297353CC}">
              <c16:uniqueId val="{00000001-0BCE-4B6B-9F45-3B8B7B906674}"/>
            </c:ext>
          </c:extLst>
        </c:ser>
        <c:dLbls>
          <c:dLblPos val="outEnd"/>
          <c:showLegendKey val="0"/>
          <c:showVal val="1"/>
          <c:showCatName val="0"/>
          <c:showSerName val="0"/>
          <c:showPercent val="0"/>
          <c:showBubbleSize val="0"/>
        </c:dLbls>
        <c:gapWidth val="315"/>
        <c:overlap val="-40"/>
        <c:axId val="1974465040"/>
        <c:axId val="1974461200"/>
      </c:barChart>
      <c:catAx>
        <c:axId val="1974465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4461200"/>
        <c:crosses val="autoZero"/>
        <c:auto val="1"/>
        <c:lblAlgn val="ctr"/>
        <c:lblOffset val="100"/>
        <c:noMultiLvlLbl val="0"/>
      </c:catAx>
      <c:valAx>
        <c:axId val="1974461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446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table-Units Sold by Vehic!PivotTable1</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a:t>
            </a:r>
            <a:r>
              <a:rPr lang="en-IN" sz="1400" b="1" i="0" u="none" strike="noStrike" cap="none" baseline="0"/>
              <a:t>Units Sold by Vehicle Type</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table-Units Sold by Vehic'!$B$3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1"/>
            <c:dispEq val="1"/>
            <c:trendlineLbl>
              <c:layout>
                <c:manualLayout>
                  <c:x val="0.36389220743958728"/>
                  <c:y val="-0.2395527121609798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cat>
            <c:strRef>
              <c:f>'Pivot table-Units Sold by Vehic'!$A$4:$A$8</c:f>
              <c:strCache>
                <c:ptCount val="4"/>
                <c:pt idx="0">
                  <c:v>Electric</c:v>
                </c:pt>
                <c:pt idx="1">
                  <c:v>Hatchback</c:v>
                </c:pt>
                <c:pt idx="2">
                  <c:v>SUV</c:v>
                </c:pt>
                <c:pt idx="3">
                  <c:v>Truck</c:v>
                </c:pt>
              </c:strCache>
            </c:strRef>
          </c:cat>
          <c:val>
            <c:numRef>
              <c:f>'Pivot table-Units Sold by Vehic'!$B$4:$B$8</c:f>
              <c:numCache>
                <c:formatCode>General</c:formatCode>
                <c:ptCount val="4"/>
                <c:pt idx="0">
                  <c:v>266</c:v>
                </c:pt>
                <c:pt idx="1">
                  <c:v>523</c:v>
                </c:pt>
                <c:pt idx="2">
                  <c:v>1184</c:v>
                </c:pt>
                <c:pt idx="3">
                  <c:v>92</c:v>
                </c:pt>
              </c:numCache>
            </c:numRef>
          </c:val>
          <c:extLst>
            <c:ext xmlns:c16="http://schemas.microsoft.com/office/drawing/2014/chart" uri="{C3380CC4-5D6E-409C-BE32-E72D297353CC}">
              <c16:uniqueId val="{00000000-FCCE-4ABC-9BC5-B9AB6574D204}"/>
            </c:ext>
          </c:extLst>
        </c:ser>
        <c:dLbls>
          <c:dLblPos val="outEnd"/>
          <c:showLegendKey val="0"/>
          <c:showVal val="1"/>
          <c:showCatName val="0"/>
          <c:showSerName val="0"/>
          <c:showPercent val="0"/>
          <c:showBubbleSize val="0"/>
        </c:dLbls>
        <c:gapWidth val="315"/>
        <c:overlap val="-40"/>
        <c:axId val="1416489343"/>
        <c:axId val="1416487423"/>
      </c:barChart>
      <c:catAx>
        <c:axId val="14164893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6487423"/>
        <c:crosses val="autoZero"/>
        <c:auto val="1"/>
        <c:lblAlgn val="ctr"/>
        <c:lblOffset val="100"/>
        <c:noMultiLvlLbl val="0"/>
      </c:catAx>
      <c:valAx>
        <c:axId val="14164874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648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table-Sales over time!PivotTable2</c:name>
    <c:fmtId val="1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Monthly Sales Trend Over Time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table-Sales over time'!$B$3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trendline>
            <c:spPr>
              <a:ln w="28575" cap="rnd">
                <a:solidFill>
                  <a:schemeClr val="tx2">
                    <a:lumMod val="40000"/>
                    <a:lumOff val="60000"/>
                  </a:schemeClr>
                </a:solidFill>
                <a:prstDash val="solid"/>
                <a:round/>
              </a:ln>
              <a:effectLst/>
            </c:spPr>
            <c:trendlineType val="linear"/>
            <c:dispRSqr val="1"/>
            <c:dispEq val="1"/>
            <c:trendlineLbl>
              <c:layout>
                <c:manualLayout>
                  <c:x val="0.31235783027121611"/>
                  <c:y val="-0.2902610090405365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cat>
            <c:strRef>
              <c:f>'Pivot table-Sales over 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table-Sales over time'!$B$4:$B$16</c:f>
              <c:numCache>
                <c:formatCode>General</c:formatCode>
                <c:ptCount val="12"/>
                <c:pt idx="0">
                  <c:v>87</c:v>
                </c:pt>
                <c:pt idx="1">
                  <c:v>90</c:v>
                </c:pt>
                <c:pt idx="2">
                  <c:v>89</c:v>
                </c:pt>
                <c:pt idx="3">
                  <c:v>105</c:v>
                </c:pt>
                <c:pt idx="4">
                  <c:v>96</c:v>
                </c:pt>
                <c:pt idx="5">
                  <c:v>97</c:v>
                </c:pt>
                <c:pt idx="6">
                  <c:v>98</c:v>
                </c:pt>
                <c:pt idx="7">
                  <c:v>990</c:v>
                </c:pt>
                <c:pt idx="8">
                  <c:v>108</c:v>
                </c:pt>
                <c:pt idx="9">
                  <c:v>92</c:v>
                </c:pt>
                <c:pt idx="10">
                  <c:v>97</c:v>
                </c:pt>
                <c:pt idx="11">
                  <c:v>116</c:v>
                </c:pt>
              </c:numCache>
            </c:numRef>
          </c:val>
          <c:smooth val="0"/>
          <c:extLst>
            <c:ext xmlns:c16="http://schemas.microsoft.com/office/drawing/2014/chart" uri="{C3380CC4-5D6E-409C-BE32-E72D297353CC}">
              <c16:uniqueId val="{00000000-D978-440F-9454-6C2562E1209A}"/>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16526303"/>
        <c:axId val="1416532063"/>
      </c:lineChart>
      <c:catAx>
        <c:axId val="141652630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16532063"/>
        <c:crosses val="autoZero"/>
        <c:auto val="1"/>
        <c:lblAlgn val="ctr"/>
        <c:lblOffset val="100"/>
        <c:noMultiLvlLbl val="0"/>
      </c:catAx>
      <c:valAx>
        <c:axId val="1416532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1652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table-Sales over time!PivotTable2</c:name>
    <c:fmtId val="2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Monthly Sales Trend Over Time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table-Sales over time'!$B$3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trendline>
            <c:spPr>
              <a:ln w="28575" cap="rnd">
                <a:solidFill>
                  <a:schemeClr val="tx2">
                    <a:lumMod val="40000"/>
                    <a:lumOff val="60000"/>
                  </a:schemeClr>
                </a:solidFill>
                <a:prstDash val="solid"/>
                <a:round/>
              </a:ln>
              <a:effectLst/>
            </c:spPr>
            <c:trendlineType val="linear"/>
            <c:dispRSqr val="1"/>
            <c:dispEq val="1"/>
            <c:trendlineLbl>
              <c:layout>
                <c:manualLayout>
                  <c:x val="0.31278849518810148"/>
                  <c:y val="-0.4942851414406532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cat>
            <c:strRef>
              <c:f>'Pivot table-Sales over 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table-Sales over time'!$B$4:$B$16</c:f>
              <c:numCache>
                <c:formatCode>General</c:formatCode>
                <c:ptCount val="12"/>
                <c:pt idx="0">
                  <c:v>87</c:v>
                </c:pt>
                <c:pt idx="1">
                  <c:v>90</c:v>
                </c:pt>
                <c:pt idx="2">
                  <c:v>89</c:v>
                </c:pt>
                <c:pt idx="3">
                  <c:v>105</c:v>
                </c:pt>
                <c:pt idx="4">
                  <c:v>96</c:v>
                </c:pt>
                <c:pt idx="5">
                  <c:v>97</c:v>
                </c:pt>
                <c:pt idx="6">
                  <c:v>98</c:v>
                </c:pt>
                <c:pt idx="7">
                  <c:v>990</c:v>
                </c:pt>
                <c:pt idx="8">
                  <c:v>108</c:v>
                </c:pt>
                <c:pt idx="9">
                  <c:v>92</c:v>
                </c:pt>
                <c:pt idx="10">
                  <c:v>97</c:v>
                </c:pt>
                <c:pt idx="11">
                  <c:v>116</c:v>
                </c:pt>
              </c:numCache>
            </c:numRef>
          </c:val>
          <c:smooth val="0"/>
          <c:extLst>
            <c:ext xmlns:c16="http://schemas.microsoft.com/office/drawing/2014/chart" uri="{C3380CC4-5D6E-409C-BE32-E72D297353CC}">
              <c16:uniqueId val="{00000001-8B37-431F-92E1-E375B80FEDF3}"/>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16526303"/>
        <c:axId val="1416532063"/>
      </c:lineChart>
      <c:catAx>
        <c:axId val="141652630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16532063"/>
        <c:crosses val="autoZero"/>
        <c:auto val="1"/>
        <c:lblAlgn val="ctr"/>
        <c:lblOffset val="100"/>
        <c:noMultiLvlLbl val="0"/>
      </c:catAx>
      <c:valAx>
        <c:axId val="1416532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1652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table-Market share by Veh!PivotTable3</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Market share by Vehicle_Type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777777777777777"/>
                  <c:h val="4.7453703703703706E-2"/>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925306211723535"/>
              <c:y val="-6.237204724409448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951885119587935"/>
              <c:y val="1.1708030167115186E-2"/>
            </c:manualLayout>
          </c:layout>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873041171462145"/>
                  <c:h val="5.085661760634351E-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58442694663167"/>
          <c:y val="0.26291739574219891"/>
          <c:w val="0.39924781277340332"/>
          <c:h val="0.66541302128900559"/>
        </c:manualLayout>
      </c:layout>
      <c:pieChart>
        <c:varyColors val="1"/>
        <c:ser>
          <c:idx val="0"/>
          <c:order val="0"/>
          <c:tx>
            <c:strRef>
              <c:f>'Pivot table-Market share by Veh'!$B$3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E81-4B49-BDB7-7E6F0474CA0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E81-4B49-BDB7-7E6F0474CA0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E81-4B49-BDB7-7E6F0474CA0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E81-4B49-BDB7-7E6F0474CA0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E81-4B49-BDB7-7E6F0474CA08}"/>
              </c:ext>
            </c:extLst>
          </c:dPt>
          <c:dLbls>
            <c:dLbl>
              <c:idx val="0"/>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777777777777777"/>
                      <c:h val="4.7453703703703706E-2"/>
                    </c:manualLayout>
                  </c15:layout>
                </c:ext>
                <c:ext xmlns:c16="http://schemas.microsoft.com/office/drawing/2014/chart" uri="{C3380CC4-5D6E-409C-BE32-E72D297353CC}">
                  <c16:uniqueId val="{00000001-DE81-4B49-BDB7-7E6F0474CA08}"/>
                </c:ext>
              </c:extLst>
            </c:dLbl>
            <c:dLbl>
              <c:idx val="2"/>
              <c:layout>
                <c:manualLayout>
                  <c:x val="0.17951885119587935"/>
                  <c:y val="1.1708030167115186E-2"/>
                </c:manualLayout>
              </c:layout>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873041171462145"/>
                      <c:h val="5.085661760634351E-2"/>
                    </c:manualLayout>
                  </c15:layout>
                </c:ext>
                <c:ext xmlns:c16="http://schemas.microsoft.com/office/drawing/2014/chart" uri="{C3380CC4-5D6E-409C-BE32-E72D297353CC}">
                  <c16:uniqueId val="{00000005-DE81-4B49-BDB7-7E6F0474CA08}"/>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table-Market share by Veh'!$A$4:$A$8</c:f>
              <c:strCache>
                <c:ptCount val="4"/>
                <c:pt idx="0">
                  <c:v>Electric</c:v>
                </c:pt>
                <c:pt idx="1">
                  <c:v>Hatchback</c:v>
                </c:pt>
                <c:pt idx="2">
                  <c:v>SUV</c:v>
                </c:pt>
                <c:pt idx="3">
                  <c:v>Truck</c:v>
                </c:pt>
              </c:strCache>
            </c:strRef>
          </c:cat>
          <c:val>
            <c:numRef>
              <c:f>'Pivot table-Market share by Veh'!$B$4:$B$8</c:f>
              <c:numCache>
                <c:formatCode>General</c:formatCode>
                <c:ptCount val="4"/>
                <c:pt idx="0">
                  <c:v>276295.1759068782</c:v>
                </c:pt>
                <c:pt idx="1">
                  <c:v>438468.35721697565</c:v>
                </c:pt>
                <c:pt idx="2">
                  <c:v>381211.150072861</c:v>
                </c:pt>
                <c:pt idx="3">
                  <c:v>100249.986438145</c:v>
                </c:pt>
              </c:numCache>
            </c:numRef>
          </c:val>
          <c:extLst>
            <c:ext xmlns:c16="http://schemas.microsoft.com/office/drawing/2014/chart" uri="{C3380CC4-5D6E-409C-BE32-E72D297353CC}">
              <c16:uniqueId val="{00000000-4028-499B-B63A-3FDC193C1D9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table-Units Sold by Regio!PivotTable4</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 Units Sold by Region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blipFill dpi="0" rotWithShape="1">
            <a:blip xmlns:r="http://schemas.openxmlformats.org/officeDocument/2006/relationships" r:embed="rId3">
              <a:extLst>
                <a:ext uri="{96DAC541-7B7A-43D3-8B79-37D633B846F1}">
                  <asvg:svgBlip xmlns:asvg="http://schemas.microsoft.com/office/drawing/2016/SVG/main" r:embed="rId4"/>
                </a:ext>
              </a:extLst>
            </a:blip>
            <a:srcRect/>
            <a:stretch>
              <a:fillRect/>
            </a:stretch>
          </a:blipFill>
          <a:ln>
            <a:noFill/>
          </a:ln>
          <a:effectLst>
            <a:outerShdw blurRad="57150" dist="19050" dir="5400000" algn="ctr" rotWithShape="0">
              <a:srgbClr val="000000">
                <a:alpha val="63000"/>
              </a:srgbClr>
            </a:outerShdw>
          </a:effectLst>
        </c:spPr>
        <c:dLbl>
          <c:idx val="0"/>
          <c:layout>
            <c:manualLayout>
              <c:x val="-7.4638888888888894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5">
              <a:extLst>
                <a:ext uri="{96DAC541-7B7A-43D3-8B79-37D633B846F1}">
                  <asvg:svgBlip xmlns:asvg="http://schemas.microsoft.com/office/drawing/2016/SVG/main" r:embed="rId6"/>
                </a:ext>
              </a:extLst>
            </a:blip>
            <a:stretch>
              <a:fillRect/>
            </a:stretch>
          </a:blipFill>
          <a:ln>
            <a:noFill/>
          </a:ln>
          <a:effectLst>
            <a:outerShdw blurRad="57150" dist="19050" dir="5400000" algn="ctr" rotWithShape="0">
              <a:srgbClr val="000000">
                <a:alpha val="63000"/>
              </a:srgbClr>
            </a:outerShdw>
          </a:effectLst>
        </c:spPr>
        <c:dLbl>
          <c:idx val="0"/>
          <c:layout>
            <c:manualLayout>
              <c:x val="-6.630555555555556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table-Units Sold by Regio'!$B$3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7681-4490-B290-C18EACC90BB3}"/>
              </c:ext>
            </c:extLst>
          </c:dPt>
          <c:dPt>
            <c:idx val="1"/>
            <c:invertIfNegative val="0"/>
            <c:bubble3D val="0"/>
            <c:spPr>
              <a:blipFill>
                <a:blip xmlns:r="http://schemas.openxmlformats.org/officeDocument/2006/relationships" r:embed="rId5">
                  <a:extLst>
                    <a:ext uri="{96DAC541-7B7A-43D3-8B79-37D633B846F1}">
                      <asvg:svgBlip xmlns:asvg="http://schemas.microsoft.com/office/drawing/2016/SVG/main" r:embed="rId6"/>
                    </a:ext>
                  </a:extLst>
                </a:blip>
                <a:stretch>
                  <a:fillRect/>
                </a:stretch>
              </a:blip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A98-49E9-B89C-EED5E7C1B4F4}"/>
              </c:ext>
            </c:extLst>
          </c:dPt>
          <c:dPt>
            <c:idx val="2"/>
            <c:invertIfNegative val="0"/>
            <c:bubble3D val="0"/>
            <c:extLst>
              <c:ext xmlns:c16="http://schemas.microsoft.com/office/drawing/2014/chart" uri="{C3380CC4-5D6E-409C-BE32-E72D297353CC}">
                <c16:uniqueId val="{00000003-6A98-49E9-B89C-EED5E7C1B4F4}"/>
              </c:ext>
            </c:extLst>
          </c:dPt>
          <c:dLbls>
            <c:dLbl>
              <c:idx val="1"/>
              <c:layout>
                <c:manualLayout>
                  <c:x val="-6.6305555555555562E-2"/>
                  <c:y val="5.09259259259259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98-49E9-B89C-EED5E7C1B4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1"/>
            <c:dispEq val="1"/>
            <c:trendlineLbl>
              <c:layout>
                <c:manualLayout>
                  <c:x val="0.56112707786526683"/>
                  <c:y val="-0.282746427529892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 table-Units Sold by Regio'!$A$4:$A$6</c:f>
              <c:strCache>
                <c:ptCount val="2"/>
                <c:pt idx="0">
                  <c:v>East</c:v>
                </c:pt>
                <c:pt idx="1">
                  <c:v>South</c:v>
                </c:pt>
              </c:strCache>
            </c:strRef>
          </c:cat>
          <c:val>
            <c:numRef>
              <c:f>'Pivot table-Units Sold by Regio'!$B$4:$B$6</c:f>
              <c:numCache>
                <c:formatCode>General</c:formatCode>
                <c:ptCount val="2"/>
                <c:pt idx="0">
                  <c:v>97</c:v>
                </c:pt>
                <c:pt idx="1">
                  <c:v>543.5</c:v>
                </c:pt>
              </c:numCache>
            </c:numRef>
          </c:val>
          <c:extLst>
            <c:ext xmlns:c16="http://schemas.microsoft.com/office/drawing/2014/chart" uri="{C3380CC4-5D6E-409C-BE32-E72D297353CC}">
              <c16:uniqueId val="{00000000-7ABA-4CF7-9AA1-4B6AE58DB0B9}"/>
            </c:ext>
          </c:extLst>
        </c:ser>
        <c:dLbls>
          <c:dLblPos val="inEnd"/>
          <c:showLegendKey val="0"/>
          <c:showVal val="1"/>
          <c:showCatName val="0"/>
          <c:showSerName val="0"/>
          <c:showPercent val="0"/>
          <c:showBubbleSize val="0"/>
        </c:dLbls>
        <c:gapWidth val="115"/>
        <c:overlap val="-20"/>
        <c:axId val="1416565663"/>
        <c:axId val="1416554623"/>
      </c:barChart>
      <c:catAx>
        <c:axId val="14165656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554623"/>
        <c:crosses val="autoZero"/>
        <c:auto val="1"/>
        <c:lblAlgn val="ctr"/>
        <c:lblOffset val="100"/>
        <c:noMultiLvlLbl val="0"/>
      </c:catAx>
      <c:valAx>
        <c:axId val="1416554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56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600" b="0" i="0" u="none" strike="noStrike" cap="none" normalizeH="0" baseline="0"/>
              <a:t>Units_Sold and Average_Price over time</a:t>
            </a:r>
            <a:endParaRPr lang="en-IN" sz="1600"/>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lotArea>
      <c:layout/>
      <c:barChart>
        <c:barDir val="col"/>
        <c:grouping val="clustered"/>
        <c:varyColors val="0"/>
        <c:ser>
          <c:idx val="0"/>
          <c:order val="0"/>
          <c:tx>
            <c:strRef>
              <c:f>'Units_Sold and Average_Price ov'!$C$3</c:f>
              <c:strCache>
                <c:ptCount val="1"/>
                <c:pt idx="0">
                  <c:v>Units_Sold</c:v>
                </c:pt>
              </c:strCache>
            </c:strRef>
          </c:tx>
          <c:spPr>
            <a:solidFill>
              <a:schemeClr val="accent1"/>
            </a:solidFill>
            <a:ln>
              <a:noFill/>
            </a:ln>
            <a:effectLst/>
          </c:spPr>
          <c:invertIfNegative val="0"/>
          <c:trendline>
            <c:spPr>
              <a:ln w="19050" cap="rnd">
                <a:solidFill>
                  <a:schemeClr val="accent1"/>
                </a:solidFill>
                <a:round/>
              </a:ln>
              <a:effectLst/>
            </c:spPr>
            <c:trendlineType val="linear"/>
            <c:dispRSqr val="1"/>
            <c:dispEq val="1"/>
            <c:trendlineLbl>
              <c:layout>
                <c:manualLayout>
                  <c:x val="1.1550087489063866E-2"/>
                  <c:y val="-0.1514716389617964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'Units_Sold and Average_Price ov'!$C$4:$C$503</c:f>
              <c:numCache>
                <c:formatCode>General</c:formatCode>
                <c:ptCount val="500"/>
                <c:pt idx="0">
                  <c:v>96</c:v>
                </c:pt>
                <c:pt idx="1">
                  <c:v>107</c:v>
                </c:pt>
                <c:pt idx="2">
                  <c:v>88</c:v>
                </c:pt>
                <c:pt idx="3">
                  <c:v>103</c:v>
                </c:pt>
                <c:pt idx="4">
                  <c:v>111</c:v>
                </c:pt>
                <c:pt idx="5">
                  <c:v>90</c:v>
                </c:pt>
                <c:pt idx="6">
                  <c:v>94</c:v>
                </c:pt>
                <c:pt idx="7">
                  <c:v>98</c:v>
                </c:pt>
                <c:pt idx="8">
                  <c:v>103</c:v>
                </c:pt>
                <c:pt idx="9">
                  <c:v>94</c:v>
                </c:pt>
                <c:pt idx="10">
                  <c:v>99</c:v>
                </c:pt>
                <c:pt idx="11">
                  <c:v>90</c:v>
                </c:pt>
                <c:pt idx="12">
                  <c:v>100</c:v>
                </c:pt>
                <c:pt idx="13">
                  <c:v>103</c:v>
                </c:pt>
                <c:pt idx="14">
                  <c:v>94</c:v>
                </c:pt>
                <c:pt idx="15">
                  <c:v>105</c:v>
                </c:pt>
                <c:pt idx="16">
                  <c:v>86</c:v>
                </c:pt>
                <c:pt idx="17">
                  <c:v>92</c:v>
                </c:pt>
                <c:pt idx="18">
                  <c:v>94</c:v>
                </c:pt>
                <c:pt idx="19">
                  <c:v>101</c:v>
                </c:pt>
                <c:pt idx="20">
                  <c:v>103</c:v>
                </c:pt>
                <c:pt idx="21">
                  <c:v>84</c:v>
                </c:pt>
                <c:pt idx="22">
                  <c:v>76</c:v>
                </c:pt>
                <c:pt idx="23">
                  <c:v>100</c:v>
                </c:pt>
                <c:pt idx="24">
                  <c:v>111</c:v>
                </c:pt>
                <c:pt idx="25">
                  <c:v>93</c:v>
                </c:pt>
                <c:pt idx="26">
                  <c:v>87</c:v>
                </c:pt>
                <c:pt idx="27">
                  <c:v>108</c:v>
                </c:pt>
                <c:pt idx="28">
                  <c:v>106</c:v>
                </c:pt>
                <c:pt idx="29">
                  <c:v>108</c:v>
                </c:pt>
                <c:pt idx="30">
                  <c:v>96</c:v>
                </c:pt>
                <c:pt idx="31">
                  <c:v>113</c:v>
                </c:pt>
                <c:pt idx="32">
                  <c:v>95</c:v>
                </c:pt>
                <c:pt idx="33">
                  <c:v>94</c:v>
                </c:pt>
                <c:pt idx="34">
                  <c:v>107</c:v>
                </c:pt>
                <c:pt idx="35">
                  <c:v>114</c:v>
                </c:pt>
                <c:pt idx="36">
                  <c:v>86</c:v>
                </c:pt>
                <c:pt idx="37">
                  <c:v>100</c:v>
                </c:pt>
                <c:pt idx="38">
                  <c:v>108</c:v>
                </c:pt>
                <c:pt idx="39">
                  <c:v>101</c:v>
                </c:pt>
                <c:pt idx="40">
                  <c:v>94</c:v>
                </c:pt>
                <c:pt idx="41">
                  <c:v>116</c:v>
                </c:pt>
                <c:pt idx="42">
                  <c:v>97</c:v>
                </c:pt>
                <c:pt idx="43">
                  <c:v>96</c:v>
                </c:pt>
                <c:pt idx="44">
                  <c:v>94</c:v>
                </c:pt>
                <c:pt idx="45">
                  <c:v>118</c:v>
                </c:pt>
                <c:pt idx="46">
                  <c:v>104</c:v>
                </c:pt>
                <c:pt idx="47">
                  <c:v>96</c:v>
                </c:pt>
                <c:pt idx="48">
                  <c:v>115</c:v>
                </c:pt>
                <c:pt idx="49">
                  <c:v>94</c:v>
                </c:pt>
                <c:pt idx="50">
                  <c:v>91</c:v>
                </c:pt>
                <c:pt idx="51">
                  <c:v>110</c:v>
                </c:pt>
                <c:pt idx="52">
                  <c:v>98</c:v>
                </c:pt>
                <c:pt idx="53">
                  <c:v>86</c:v>
                </c:pt>
                <c:pt idx="54">
                  <c:v>121</c:v>
                </c:pt>
                <c:pt idx="55">
                  <c:v>100</c:v>
                </c:pt>
                <c:pt idx="56">
                  <c:v>96</c:v>
                </c:pt>
                <c:pt idx="57">
                  <c:v>127</c:v>
                </c:pt>
                <c:pt idx="58">
                  <c:v>100</c:v>
                </c:pt>
                <c:pt idx="59">
                  <c:v>93</c:v>
                </c:pt>
                <c:pt idx="60">
                  <c:v>103</c:v>
                </c:pt>
                <c:pt idx="61">
                  <c:v>78</c:v>
                </c:pt>
                <c:pt idx="62">
                  <c:v>116</c:v>
                </c:pt>
                <c:pt idx="63">
                  <c:v>88</c:v>
                </c:pt>
                <c:pt idx="64">
                  <c:v>105</c:v>
                </c:pt>
                <c:pt idx="65">
                  <c:v>92</c:v>
                </c:pt>
                <c:pt idx="66">
                  <c:v>96</c:v>
                </c:pt>
                <c:pt idx="67">
                  <c:v>104</c:v>
                </c:pt>
                <c:pt idx="68">
                  <c:v>84</c:v>
                </c:pt>
                <c:pt idx="69">
                  <c:v>95</c:v>
                </c:pt>
                <c:pt idx="70">
                  <c:v>105</c:v>
                </c:pt>
                <c:pt idx="71">
                  <c:v>100</c:v>
                </c:pt>
                <c:pt idx="72">
                  <c:v>104</c:v>
                </c:pt>
                <c:pt idx="73">
                  <c:v>106</c:v>
                </c:pt>
                <c:pt idx="74">
                  <c:v>120</c:v>
                </c:pt>
                <c:pt idx="75">
                  <c:v>106</c:v>
                </c:pt>
                <c:pt idx="76">
                  <c:v>118</c:v>
                </c:pt>
                <c:pt idx="77">
                  <c:v>92</c:v>
                </c:pt>
                <c:pt idx="78">
                  <c:v>110</c:v>
                </c:pt>
                <c:pt idx="79">
                  <c:v>101</c:v>
                </c:pt>
                <c:pt idx="80">
                  <c:v>84</c:v>
                </c:pt>
                <c:pt idx="81">
                  <c:v>115</c:v>
                </c:pt>
                <c:pt idx="82">
                  <c:v>95</c:v>
                </c:pt>
                <c:pt idx="83">
                  <c:v>114</c:v>
                </c:pt>
                <c:pt idx="84">
                  <c:v>104</c:v>
                </c:pt>
                <c:pt idx="85">
                  <c:v>89</c:v>
                </c:pt>
                <c:pt idx="86">
                  <c:v>101</c:v>
                </c:pt>
                <c:pt idx="87">
                  <c:v>85</c:v>
                </c:pt>
                <c:pt idx="88">
                  <c:v>101</c:v>
                </c:pt>
                <c:pt idx="89">
                  <c:v>104</c:v>
                </c:pt>
                <c:pt idx="90">
                  <c:v>106</c:v>
                </c:pt>
                <c:pt idx="91">
                  <c:v>95</c:v>
                </c:pt>
                <c:pt idx="92">
                  <c:v>104</c:v>
                </c:pt>
                <c:pt idx="93">
                  <c:v>105</c:v>
                </c:pt>
                <c:pt idx="94">
                  <c:v>84</c:v>
                </c:pt>
                <c:pt idx="95">
                  <c:v>93</c:v>
                </c:pt>
                <c:pt idx="96">
                  <c:v>115</c:v>
                </c:pt>
                <c:pt idx="97">
                  <c:v>109</c:v>
                </c:pt>
                <c:pt idx="98">
                  <c:v>102</c:v>
                </c:pt>
                <c:pt idx="99">
                  <c:v>100</c:v>
                </c:pt>
                <c:pt idx="100">
                  <c:v>93</c:v>
                </c:pt>
                <c:pt idx="101">
                  <c:v>121</c:v>
                </c:pt>
                <c:pt idx="102">
                  <c:v>117</c:v>
                </c:pt>
                <c:pt idx="103">
                  <c:v>98</c:v>
                </c:pt>
                <c:pt idx="104">
                  <c:v>94</c:v>
                </c:pt>
                <c:pt idx="105">
                  <c:v>112</c:v>
                </c:pt>
                <c:pt idx="106">
                  <c:v>89</c:v>
                </c:pt>
                <c:pt idx="107">
                  <c:v>119</c:v>
                </c:pt>
                <c:pt idx="108">
                  <c:v>102</c:v>
                </c:pt>
                <c:pt idx="109">
                  <c:v>87</c:v>
                </c:pt>
                <c:pt idx="110">
                  <c:v>113</c:v>
                </c:pt>
                <c:pt idx="111">
                  <c:v>106</c:v>
                </c:pt>
                <c:pt idx="112">
                  <c:v>96</c:v>
                </c:pt>
                <c:pt idx="113">
                  <c:v>110</c:v>
                </c:pt>
                <c:pt idx="114">
                  <c:v>100</c:v>
                </c:pt>
                <c:pt idx="115">
                  <c:v>84</c:v>
                </c:pt>
                <c:pt idx="116">
                  <c:v>106</c:v>
                </c:pt>
                <c:pt idx="117">
                  <c:v>114</c:v>
                </c:pt>
                <c:pt idx="118">
                  <c:v>96</c:v>
                </c:pt>
                <c:pt idx="119">
                  <c:v>102</c:v>
                </c:pt>
                <c:pt idx="120">
                  <c:v>106</c:v>
                </c:pt>
                <c:pt idx="121">
                  <c:v>93</c:v>
                </c:pt>
                <c:pt idx="122">
                  <c:v>100</c:v>
                </c:pt>
                <c:pt idx="123">
                  <c:v>111</c:v>
                </c:pt>
                <c:pt idx="124">
                  <c:v>87</c:v>
                </c:pt>
                <c:pt idx="125">
                  <c:v>100</c:v>
                </c:pt>
                <c:pt idx="126">
                  <c:v>104</c:v>
                </c:pt>
                <c:pt idx="127">
                  <c:v>78</c:v>
                </c:pt>
                <c:pt idx="128">
                  <c:v>101</c:v>
                </c:pt>
                <c:pt idx="129">
                  <c:v>100</c:v>
                </c:pt>
                <c:pt idx="130">
                  <c:v>109</c:v>
                </c:pt>
                <c:pt idx="131">
                  <c:v>98</c:v>
                </c:pt>
                <c:pt idx="132">
                  <c:v>111</c:v>
                </c:pt>
                <c:pt idx="133">
                  <c:v>97</c:v>
                </c:pt>
                <c:pt idx="134">
                  <c:v>88</c:v>
                </c:pt>
                <c:pt idx="135">
                  <c:v>101</c:v>
                </c:pt>
                <c:pt idx="136">
                  <c:v>105</c:v>
                </c:pt>
                <c:pt idx="137">
                  <c:v>102</c:v>
                </c:pt>
                <c:pt idx="138">
                  <c:v>98</c:v>
                </c:pt>
                <c:pt idx="139">
                  <c:v>96</c:v>
                </c:pt>
                <c:pt idx="140">
                  <c:v>76</c:v>
                </c:pt>
                <c:pt idx="141">
                  <c:v>112</c:v>
                </c:pt>
                <c:pt idx="142">
                  <c:v>99</c:v>
                </c:pt>
                <c:pt idx="143">
                  <c:v>100</c:v>
                </c:pt>
                <c:pt idx="144">
                  <c:v>89</c:v>
                </c:pt>
                <c:pt idx="145">
                  <c:v>102</c:v>
                </c:pt>
                <c:pt idx="146">
                  <c:v>104</c:v>
                </c:pt>
                <c:pt idx="147">
                  <c:v>96</c:v>
                </c:pt>
                <c:pt idx="148">
                  <c:v>100</c:v>
                </c:pt>
                <c:pt idx="149">
                  <c:v>105</c:v>
                </c:pt>
                <c:pt idx="150">
                  <c:v>81</c:v>
                </c:pt>
                <c:pt idx="151">
                  <c:v>120</c:v>
                </c:pt>
                <c:pt idx="152">
                  <c:v>97</c:v>
                </c:pt>
                <c:pt idx="153">
                  <c:v>99</c:v>
                </c:pt>
                <c:pt idx="154">
                  <c:v>120</c:v>
                </c:pt>
                <c:pt idx="155">
                  <c:v>90</c:v>
                </c:pt>
                <c:pt idx="156">
                  <c:v>85</c:v>
                </c:pt>
                <c:pt idx="157">
                  <c:v>84</c:v>
                </c:pt>
                <c:pt idx="158">
                  <c:v>106</c:v>
                </c:pt>
                <c:pt idx="159">
                  <c:v>112</c:v>
                </c:pt>
                <c:pt idx="160">
                  <c:v>110</c:v>
                </c:pt>
                <c:pt idx="161">
                  <c:v>86</c:v>
                </c:pt>
                <c:pt idx="162">
                  <c:v>104</c:v>
                </c:pt>
                <c:pt idx="163">
                  <c:v>107</c:v>
                </c:pt>
                <c:pt idx="164">
                  <c:v>93</c:v>
                </c:pt>
                <c:pt idx="165">
                  <c:v>108</c:v>
                </c:pt>
                <c:pt idx="166">
                  <c:v>96</c:v>
                </c:pt>
                <c:pt idx="167">
                  <c:v>95</c:v>
                </c:pt>
                <c:pt idx="168">
                  <c:v>112</c:v>
                </c:pt>
                <c:pt idx="169">
                  <c:v>108</c:v>
                </c:pt>
                <c:pt idx="170">
                  <c:v>85</c:v>
                </c:pt>
                <c:pt idx="171">
                  <c:v>87</c:v>
                </c:pt>
                <c:pt idx="172">
                  <c:v>95</c:v>
                </c:pt>
                <c:pt idx="173">
                  <c:v>97</c:v>
                </c:pt>
                <c:pt idx="174">
                  <c:v>116</c:v>
                </c:pt>
                <c:pt idx="175">
                  <c:v>95</c:v>
                </c:pt>
                <c:pt idx="176">
                  <c:v>123</c:v>
                </c:pt>
                <c:pt idx="177">
                  <c:v>104</c:v>
                </c:pt>
                <c:pt idx="178">
                  <c:v>94</c:v>
                </c:pt>
                <c:pt idx="179">
                  <c:v>105</c:v>
                </c:pt>
                <c:pt idx="180">
                  <c:v>109</c:v>
                </c:pt>
                <c:pt idx="181">
                  <c:v>84</c:v>
                </c:pt>
                <c:pt idx="182">
                  <c:v>79</c:v>
                </c:pt>
                <c:pt idx="183">
                  <c:v>98</c:v>
                </c:pt>
                <c:pt idx="184">
                  <c:v>96</c:v>
                </c:pt>
                <c:pt idx="185">
                  <c:v>88</c:v>
                </c:pt>
                <c:pt idx="186">
                  <c:v>103</c:v>
                </c:pt>
                <c:pt idx="187">
                  <c:v>83</c:v>
                </c:pt>
                <c:pt idx="188">
                  <c:v>82</c:v>
                </c:pt>
                <c:pt idx="189">
                  <c:v>106</c:v>
                </c:pt>
                <c:pt idx="190">
                  <c:v>96</c:v>
                </c:pt>
                <c:pt idx="191">
                  <c:v>96</c:v>
                </c:pt>
                <c:pt idx="192">
                  <c:v>109</c:v>
                </c:pt>
                <c:pt idx="193">
                  <c:v>98</c:v>
                </c:pt>
                <c:pt idx="194">
                  <c:v>86</c:v>
                </c:pt>
                <c:pt idx="195">
                  <c:v>79</c:v>
                </c:pt>
                <c:pt idx="196">
                  <c:v>86</c:v>
                </c:pt>
                <c:pt idx="197">
                  <c:v>108</c:v>
                </c:pt>
                <c:pt idx="198">
                  <c:v>127</c:v>
                </c:pt>
                <c:pt idx="199">
                  <c:v>93</c:v>
                </c:pt>
                <c:pt idx="200">
                  <c:v>82</c:v>
                </c:pt>
                <c:pt idx="201">
                  <c:v>104</c:v>
                </c:pt>
                <c:pt idx="202">
                  <c:v>99</c:v>
                </c:pt>
                <c:pt idx="203">
                  <c:v>102</c:v>
                </c:pt>
                <c:pt idx="204">
                  <c:v>76</c:v>
                </c:pt>
                <c:pt idx="205">
                  <c:v>99</c:v>
                </c:pt>
                <c:pt idx="206">
                  <c:v>93</c:v>
                </c:pt>
                <c:pt idx="207">
                  <c:v>99</c:v>
                </c:pt>
                <c:pt idx="208">
                  <c:v>102</c:v>
                </c:pt>
                <c:pt idx="209">
                  <c:v>106</c:v>
                </c:pt>
                <c:pt idx="210">
                  <c:v>94</c:v>
                </c:pt>
                <c:pt idx="211">
                  <c:v>105</c:v>
                </c:pt>
                <c:pt idx="212">
                  <c:v>100</c:v>
                </c:pt>
                <c:pt idx="213">
                  <c:v>122</c:v>
                </c:pt>
                <c:pt idx="214">
                  <c:v>103</c:v>
                </c:pt>
                <c:pt idx="215">
                  <c:v>119</c:v>
                </c:pt>
                <c:pt idx="216">
                  <c:v>76</c:v>
                </c:pt>
                <c:pt idx="217">
                  <c:v>96</c:v>
                </c:pt>
                <c:pt idx="218">
                  <c:v>103</c:v>
                </c:pt>
                <c:pt idx="219">
                  <c:v>111</c:v>
                </c:pt>
                <c:pt idx="220">
                  <c:v>97</c:v>
                </c:pt>
                <c:pt idx="221">
                  <c:v>112</c:v>
                </c:pt>
                <c:pt idx="222">
                  <c:v>99</c:v>
                </c:pt>
                <c:pt idx="223">
                  <c:v>124</c:v>
                </c:pt>
                <c:pt idx="224">
                  <c:v>91</c:v>
                </c:pt>
                <c:pt idx="225">
                  <c:v>103</c:v>
                </c:pt>
                <c:pt idx="226">
                  <c:v>86</c:v>
                </c:pt>
                <c:pt idx="227">
                  <c:v>101</c:v>
                </c:pt>
                <c:pt idx="228">
                  <c:v>101</c:v>
                </c:pt>
                <c:pt idx="229">
                  <c:v>101</c:v>
                </c:pt>
                <c:pt idx="230">
                  <c:v>113</c:v>
                </c:pt>
                <c:pt idx="231">
                  <c:v>87</c:v>
                </c:pt>
                <c:pt idx="232">
                  <c:v>108</c:v>
                </c:pt>
                <c:pt idx="233">
                  <c:v>100</c:v>
                </c:pt>
                <c:pt idx="234">
                  <c:v>87</c:v>
                </c:pt>
                <c:pt idx="235">
                  <c:v>96</c:v>
                </c:pt>
                <c:pt idx="236">
                  <c:v>97</c:v>
                </c:pt>
                <c:pt idx="237">
                  <c:v>116</c:v>
                </c:pt>
                <c:pt idx="238">
                  <c:v>100</c:v>
                </c:pt>
                <c:pt idx="239">
                  <c:v>97</c:v>
                </c:pt>
                <c:pt idx="240">
                  <c:v>100</c:v>
                </c:pt>
                <c:pt idx="241">
                  <c:v>99</c:v>
                </c:pt>
                <c:pt idx="242">
                  <c:v>100</c:v>
                </c:pt>
                <c:pt idx="243">
                  <c:v>100</c:v>
                </c:pt>
                <c:pt idx="244">
                  <c:v>82</c:v>
                </c:pt>
                <c:pt idx="245">
                  <c:v>87</c:v>
                </c:pt>
                <c:pt idx="246">
                  <c:v>87</c:v>
                </c:pt>
                <c:pt idx="247">
                  <c:v>90</c:v>
                </c:pt>
                <c:pt idx="248">
                  <c:v>115</c:v>
                </c:pt>
                <c:pt idx="249">
                  <c:v>105</c:v>
                </c:pt>
                <c:pt idx="250">
                  <c:v>90</c:v>
                </c:pt>
                <c:pt idx="251">
                  <c:v>89</c:v>
                </c:pt>
                <c:pt idx="252">
                  <c:v>89</c:v>
                </c:pt>
                <c:pt idx="253">
                  <c:v>86</c:v>
                </c:pt>
                <c:pt idx="254">
                  <c:v>91</c:v>
                </c:pt>
                <c:pt idx="255">
                  <c:v>100</c:v>
                </c:pt>
                <c:pt idx="256">
                  <c:v>104</c:v>
                </c:pt>
                <c:pt idx="257">
                  <c:v>80</c:v>
                </c:pt>
                <c:pt idx="258">
                  <c:v>110</c:v>
                </c:pt>
                <c:pt idx="259">
                  <c:v>90</c:v>
                </c:pt>
                <c:pt idx="260">
                  <c:v>96</c:v>
                </c:pt>
                <c:pt idx="261">
                  <c:v>103</c:v>
                </c:pt>
                <c:pt idx="262">
                  <c:v>99</c:v>
                </c:pt>
                <c:pt idx="263">
                  <c:v>76</c:v>
                </c:pt>
                <c:pt idx="264">
                  <c:v>106</c:v>
                </c:pt>
                <c:pt idx="265">
                  <c:v>100</c:v>
                </c:pt>
                <c:pt idx="266">
                  <c:v>85</c:v>
                </c:pt>
                <c:pt idx="267">
                  <c:v>101</c:v>
                </c:pt>
                <c:pt idx="268">
                  <c:v>93</c:v>
                </c:pt>
                <c:pt idx="269">
                  <c:v>91</c:v>
                </c:pt>
                <c:pt idx="270">
                  <c:v>103</c:v>
                </c:pt>
                <c:pt idx="271">
                  <c:v>109</c:v>
                </c:pt>
                <c:pt idx="272">
                  <c:v>83</c:v>
                </c:pt>
                <c:pt idx="273">
                  <c:v>102</c:v>
                </c:pt>
                <c:pt idx="274">
                  <c:v>98</c:v>
                </c:pt>
                <c:pt idx="275">
                  <c:v>93</c:v>
                </c:pt>
                <c:pt idx="276">
                  <c:v>104</c:v>
                </c:pt>
                <c:pt idx="277">
                  <c:v>96</c:v>
                </c:pt>
                <c:pt idx="278">
                  <c:v>103</c:v>
                </c:pt>
                <c:pt idx="279">
                  <c:v>85</c:v>
                </c:pt>
                <c:pt idx="280">
                  <c:v>92</c:v>
                </c:pt>
                <c:pt idx="281">
                  <c:v>90</c:v>
                </c:pt>
                <c:pt idx="282">
                  <c:v>83</c:v>
                </c:pt>
                <c:pt idx="283">
                  <c:v>86</c:v>
                </c:pt>
                <c:pt idx="284">
                  <c:v>110</c:v>
                </c:pt>
                <c:pt idx="285">
                  <c:v>89</c:v>
                </c:pt>
                <c:pt idx="286">
                  <c:v>118</c:v>
                </c:pt>
                <c:pt idx="287">
                  <c:v>102</c:v>
                </c:pt>
                <c:pt idx="288">
                  <c:v>108</c:v>
                </c:pt>
                <c:pt idx="289">
                  <c:v>95</c:v>
                </c:pt>
                <c:pt idx="290">
                  <c:v>100</c:v>
                </c:pt>
                <c:pt idx="291">
                  <c:v>86</c:v>
                </c:pt>
                <c:pt idx="292">
                  <c:v>94</c:v>
                </c:pt>
                <c:pt idx="293">
                  <c:v>88</c:v>
                </c:pt>
                <c:pt idx="294">
                  <c:v>100</c:v>
                </c:pt>
                <c:pt idx="295">
                  <c:v>95</c:v>
                </c:pt>
                <c:pt idx="296">
                  <c:v>95</c:v>
                </c:pt>
                <c:pt idx="297">
                  <c:v>92</c:v>
                </c:pt>
                <c:pt idx="298">
                  <c:v>108</c:v>
                </c:pt>
                <c:pt idx="299">
                  <c:v>99</c:v>
                </c:pt>
                <c:pt idx="300">
                  <c:v>95</c:v>
                </c:pt>
                <c:pt idx="301">
                  <c:v>86</c:v>
                </c:pt>
                <c:pt idx="302">
                  <c:v>120</c:v>
                </c:pt>
                <c:pt idx="303">
                  <c:v>81</c:v>
                </c:pt>
                <c:pt idx="304">
                  <c:v>102</c:v>
                </c:pt>
                <c:pt idx="305">
                  <c:v>87</c:v>
                </c:pt>
                <c:pt idx="306">
                  <c:v>90</c:v>
                </c:pt>
                <c:pt idx="307">
                  <c:v>89</c:v>
                </c:pt>
                <c:pt idx="308">
                  <c:v>105</c:v>
                </c:pt>
                <c:pt idx="309">
                  <c:v>96</c:v>
                </c:pt>
                <c:pt idx="310">
                  <c:v>97</c:v>
                </c:pt>
                <c:pt idx="311">
                  <c:v>98</c:v>
                </c:pt>
                <c:pt idx="312">
                  <c:v>100</c:v>
                </c:pt>
                <c:pt idx="313">
                  <c:v>108</c:v>
                </c:pt>
                <c:pt idx="314">
                  <c:v>92</c:v>
                </c:pt>
                <c:pt idx="315">
                  <c:v>97</c:v>
                </c:pt>
                <c:pt idx="316">
                  <c:v>116</c:v>
                </c:pt>
                <c:pt idx="317">
                  <c:v>103</c:v>
                </c:pt>
                <c:pt idx="318">
                  <c:v>87</c:v>
                </c:pt>
                <c:pt idx="319">
                  <c:v>103</c:v>
                </c:pt>
                <c:pt idx="320">
                  <c:v>115</c:v>
                </c:pt>
                <c:pt idx="321">
                  <c:v>88</c:v>
                </c:pt>
                <c:pt idx="322">
                  <c:v>100</c:v>
                </c:pt>
                <c:pt idx="323">
                  <c:v>108</c:v>
                </c:pt>
                <c:pt idx="324">
                  <c:v>96</c:v>
                </c:pt>
                <c:pt idx="325">
                  <c:v>86</c:v>
                </c:pt>
                <c:pt idx="326">
                  <c:v>87</c:v>
                </c:pt>
                <c:pt idx="327">
                  <c:v>109</c:v>
                </c:pt>
                <c:pt idx="328">
                  <c:v>91</c:v>
                </c:pt>
                <c:pt idx="329">
                  <c:v>107</c:v>
                </c:pt>
                <c:pt idx="330">
                  <c:v>106</c:v>
                </c:pt>
                <c:pt idx="331">
                  <c:v>92</c:v>
                </c:pt>
                <c:pt idx="332">
                  <c:v>90</c:v>
                </c:pt>
                <c:pt idx="333">
                  <c:v>102</c:v>
                </c:pt>
                <c:pt idx="334">
                  <c:v>99</c:v>
                </c:pt>
                <c:pt idx="335">
                  <c:v>88</c:v>
                </c:pt>
                <c:pt idx="336">
                  <c:v>100</c:v>
                </c:pt>
                <c:pt idx="337">
                  <c:v>100</c:v>
                </c:pt>
                <c:pt idx="338">
                  <c:v>106</c:v>
                </c:pt>
                <c:pt idx="339">
                  <c:v>94</c:v>
                </c:pt>
                <c:pt idx="340">
                  <c:v>98</c:v>
                </c:pt>
                <c:pt idx="341">
                  <c:v>119</c:v>
                </c:pt>
                <c:pt idx="342">
                  <c:v>99</c:v>
                </c:pt>
                <c:pt idx="343">
                  <c:v>87</c:v>
                </c:pt>
                <c:pt idx="344">
                  <c:v>92</c:v>
                </c:pt>
                <c:pt idx="345">
                  <c:v>103</c:v>
                </c:pt>
                <c:pt idx="346">
                  <c:v>79</c:v>
                </c:pt>
                <c:pt idx="347">
                  <c:v>110</c:v>
                </c:pt>
                <c:pt idx="348">
                  <c:v>95</c:v>
                </c:pt>
                <c:pt idx="349">
                  <c:v>101</c:v>
                </c:pt>
                <c:pt idx="350">
                  <c:v>95</c:v>
                </c:pt>
                <c:pt idx="351">
                  <c:v>107</c:v>
                </c:pt>
                <c:pt idx="352">
                  <c:v>91</c:v>
                </c:pt>
                <c:pt idx="353">
                  <c:v>87</c:v>
                </c:pt>
                <c:pt idx="354">
                  <c:v>100</c:v>
                </c:pt>
                <c:pt idx="355">
                  <c:v>117</c:v>
                </c:pt>
                <c:pt idx="356">
                  <c:v>102</c:v>
                </c:pt>
                <c:pt idx="357">
                  <c:v>88</c:v>
                </c:pt>
                <c:pt idx="358">
                  <c:v>100</c:v>
                </c:pt>
                <c:pt idx="359">
                  <c:v>81</c:v>
                </c:pt>
                <c:pt idx="360">
                  <c:v>91</c:v>
                </c:pt>
                <c:pt idx="361">
                  <c:v>90</c:v>
                </c:pt>
                <c:pt idx="362">
                  <c:v>102</c:v>
                </c:pt>
                <c:pt idx="363">
                  <c:v>109</c:v>
                </c:pt>
                <c:pt idx="364">
                  <c:v>101</c:v>
                </c:pt>
                <c:pt idx="365">
                  <c:v>97</c:v>
                </c:pt>
                <c:pt idx="366">
                  <c:v>88</c:v>
                </c:pt>
                <c:pt idx="367">
                  <c:v>100</c:v>
                </c:pt>
                <c:pt idx="368">
                  <c:v>104</c:v>
                </c:pt>
                <c:pt idx="369">
                  <c:v>106</c:v>
                </c:pt>
                <c:pt idx="370">
                  <c:v>91</c:v>
                </c:pt>
                <c:pt idx="371">
                  <c:v>110</c:v>
                </c:pt>
                <c:pt idx="372">
                  <c:v>104</c:v>
                </c:pt>
                <c:pt idx="373">
                  <c:v>85</c:v>
                </c:pt>
                <c:pt idx="374">
                  <c:v>107</c:v>
                </c:pt>
                <c:pt idx="375">
                  <c:v>111</c:v>
                </c:pt>
                <c:pt idx="376">
                  <c:v>107</c:v>
                </c:pt>
                <c:pt idx="377">
                  <c:v>94</c:v>
                </c:pt>
                <c:pt idx="378">
                  <c:v>91</c:v>
                </c:pt>
                <c:pt idx="379">
                  <c:v>89</c:v>
                </c:pt>
                <c:pt idx="380">
                  <c:v>98</c:v>
                </c:pt>
                <c:pt idx="381">
                  <c:v>110</c:v>
                </c:pt>
                <c:pt idx="382">
                  <c:v>93</c:v>
                </c:pt>
                <c:pt idx="383">
                  <c:v>103</c:v>
                </c:pt>
                <c:pt idx="384">
                  <c:v>100</c:v>
                </c:pt>
                <c:pt idx="385">
                  <c:v>101</c:v>
                </c:pt>
                <c:pt idx="386">
                  <c:v>94</c:v>
                </c:pt>
                <c:pt idx="387">
                  <c:v>108</c:v>
                </c:pt>
                <c:pt idx="388">
                  <c:v>113</c:v>
                </c:pt>
                <c:pt idx="389">
                  <c:v>115</c:v>
                </c:pt>
                <c:pt idx="390">
                  <c:v>98</c:v>
                </c:pt>
                <c:pt idx="391">
                  <c:v>93</c:v>
                </c:pt>
                <c:pt idx="392">
                  <c:v>104</c:v>
                </c:pt>
                <c:pt idx="393">
                  <c:v>100</c:v>
                </c:pt>
                <c:pt idx="394">
                  <c:v>89</c:v>
                </c:pt>
                <c:pt idx="395">
                  <c:v>86</c:v>
                </c:pt>
                <c:pt idx="396">
                  <c:v>93</c:v>
                </c:pt>
                <c:pt idx="397">
                  <c:v>104</c:v>
                </c:pt>
                <c:pt idx="398">
                  <c:v>91</c:v>
                </c:pt>
                <c:pt idx="399">
                  <c:v>113</c:v>
                </c:pt>
                <c:pt idx="400">
                  <c:v>103</c:v>
                </c:pt>
                <c:pt idx="401">
                  <c:v>98</c:v>
                </c:pt>
                <c:pt idx="402">
                  <c:v>100</c:v>
                </c:pt>
                <c:pt idx="403">
                  <c:v>89</c:v>
                </c:pt>
                <c:pt idx="404">
                  <c:v>83</c:v>
                </c:pt>
                <c:pt idx="405">
                  <c:v>92</c:v>
                </c:pt>
                <c:pt idx="406">
                  <c:v>81</c:v>
                </c:pt>
                <c:pt idx="407">
                  <c:v>91</c:v>
                </c:pt>
                <c:pt idx="408">
                  <c:v>102</c:v>
                </c:pt>
                <c:pt idx="409">
                  <c:v>107</c:v>
                </c:pt>
                <c:pt idx="410">
                  <c:v>103</c:v>
                </c:pt>
                <c:pt idx="411">
                  <c:v>100</c:v>
                </c:pt>
                <c:pt idx="412">
                  <c:v>97</c:v>
                </c:pt>
                <c:pt idx="413">
                  <c:v>85</c:v>
                </c:pt>
                <c:pt idx="414">
                  <c:v>107</c:v>
                </c:pt>
                <c:pt idx="415">
                  <c:v>106</c:v>
                </c:pt>
                <c:pt idx="416">
                  <c:v>92</c:v>
                </c:pt>
                <c:pt idx="417">
                  <c:v>110</c:v>
                </c:pt>
                <c:pt idx="418">
                  <c:v>93</c:v>
                </c:pt>
                <c:pt idx="419">
                  <c:v>104</c:v>
                </c:pt>
                <c:pt idx="420">
                  <c:v>117</c:v>
                </c:pt>
                <c:pt idx="421">
                  <c:v>122</c:v>
                </c:pt>
                <c:pt idx="422">
                  <c:v>90</c:v>
                </c:pt>
                <c:pt idx="423">
                  <c:v>113</c:v>
                </c:pt>
                <c:pt idx="424">
                  <c:v>110</c:v>
                </c:pt>
                <c:pt idx="425">
                  <c:v>106</c:v>
                </c:pt>
                <c:pt idx="426">
                  <c:v>92</c:v>
                </c:pt>
                <c:pt idx="427">
                  <c:v>121</c:v>
                </c:pt>
                <c:pt idx="428">
                  <c:v>89</c:v>
                </c:pt>
                <c:pt idx="429">
                  <c:v>117</c:v>
                </c:pt>
                <c:pt idx="430">
                  <c:v>106</c:v>
                </c:pt>
                <c:pt idx="431">
                  <c:v>121</c:v>
                </c:pt>
                <c:pt idx="432">
                  <c:v>95</c:v>
                </c:pt>
                <c:pt idx="433">
                  <c:v>91</c:v>
                </c:pt>
                <c:pt idx="434">
                  <c:v>82</c:v>
                </c:pt>
                <c:pt idx="435">
                  <c:v>100</c:v>
                </c:pt>
                <c:pt idx="436">
                  <c:v>81</c:v>
                </c:pt>
                <c:pt idx="437">
                  <c:v>101</c:v>
                </c:pt>
                <c:pt idx="438">
                  <c:v>95</c:v>
                </c:pt>
                <c:pt idx="439">
                  <c:v>114</c:v>
                </c:pt>
                <c:pt idx="440">
                  <c:v>92</c:v>
                </c:pt>
                <c:pt idx="441">
                  <c:v>113</c:v>
                </c:pt>
                <c:pt idx="442">
                  <c:v>113</c:v>
                </c:pt>
                <c:pt idx="443">
                  <c:v>120</c:v>
                </c:pt>
                <c:pt idx="444">
                  <c:v>108</c:v>
                </c:pt>
                <c:pt idx="445">
                  <c:v>99</c:v>
                </c:pt>
                <c:pt idx="446">
                  <c:v>108</c:v>
                </c:pt>
                <c:pt idx="447">
                  <c:v>98</c:v>
                </c:pt>
                <c:pt idx="448">
                  <c:v>92</c:v>
                </c:pt>
                <c:pt idx="449">
                  <c:v>96</c:v>
                </c:pt>
                <c:pt idx="450">
                  <c:v>94</c:v>
                </c:pt>
                <c:pt idx="451">
                  <c:v>75</c:v>
                </c:pt>
                <c:pt idx="452">
                  <c:v>97</c:v>
                </c:pt>
                <c:pt idx="453">
                  <c:v>100</c:v>
                </c:pt>
                <c:pt idx="454">
                  <c:v>98</c:v>
                </c:pt>
                <c:pt idx="455">
                  <c:v>121</c:v>
                </c:pt>
                <c:pt idx="456">
                  <c:v>103</c:v>
                </c:pt>
                <c:pt idx="457">
                  <c:v>121</c:v>
                </c:pt>
                <c:pt idx="458">
                  <c:v>103</c:v>
                </c:pt>
                <c:pt idx="459">
                  <c:v>91</c:v>
                </c:pt>
                <c:pt idx="460">
                  <c:v>91</c:v>
                </c:pt>
                <c:pt idx="461">
                  <c:v>107</c:v>
                </c:pt>
                <c:pt idx="462">
                  <c:v>97</c:v>
                </c:pt>
                <c:pt idx="463">
                  <c:v>106</c:v>
                </c:pt>
                <c:pt idx="464">
                  <c:v>110</c:v>
                </c:pt>
                <c:pt idx="465">
                  <c:v>91</c:v>
                </c:pt>
                <c:pt idx="466">
                  <c:v>103</c:v>
                </c:pt>
                <c:pt idx="467">
                  <c:v>84</c:v>
                </c:pt>
                <c:pt idx="468">
                  <c:v>93</c:v>
                </c:pt>
                <c:pt idx="469">
                  <c:v>113</c:v>
                </c:pt>
                <c:pt idx="470">
                  <c:v>105</c:v>
                </c:pt>
                <c:pt idx="471">
                  <c:v>83</c:v>
                </c:pt>
                <c:pt idx="472">
                  <c:v>96</c:v>
                </c:pt>
                <c:pt idx="473">
                  <c:v>107</c:v>
                </c:pt>
                <c:pt idx="474">
                  <c:v>83</c:v>
                </c:pt>
                <c:pt idx="475">
                  <c:v>105</c:v>
                </c:pt>
                <c:pt idx="476">
                  <c:v>112</c:v>
                </c:pt>
                <c:pt idx="477">
                  <c:v>99</c:v>
                </c:pt>
                <c:pt idx="478">
                  <c:v>111</c:v>
                </c:pt>
                <c:pt idx="479">
                  <c:v>105</c:v>
                </c:pt>
                <c:pt idx="480">
                  <c:v>93</c:v>
                </c:pt>
                <c:pt idx="481">
                  <c:v>109</c:v>
                </c:pt>
                <c:pt idx="482">
                  <c:v>106</c:v>
                </c:pt>
                <c:pt idx="483">
                  <c:v>106</c:v>
                </c:pt>
                <c:pt idx="484">
                  <c:v>103</c:v>
                </c:pt>
                <c:pt idx="485">
                  <c:v>113</c:v>
                </c:pt>
                <c:pt idx="486">
                  <c:v>111</c:v>
                </c:pt>
                <c:pt idx="487">
                  <c:v>92</c:v>
                </c:pt>
                <c:pt idx="488">
                  <c:v>89</c:v>
                </c:pt>
                <c:pt idx="489">
                  <c:v>111</c:v>
                </c:pt>
                <c:pt idx="490">
                  <c:v>104</c:v>
                </c:pt>
                <c:pt idx="491">
                  <c:v>108</c:v>
                </c:pt>
                <c:pt idx="492">
                  <c:v>109</c:v>
                </c:pt>
                <c:pt idx="493">
                  <c:v>108</c:v>
                </c:pt>
                <c:pt idx="494">
                  <c:v>127</c:v>
                </c:pt>
                <c:pt idx="495">
                  <c:v>104</c:v>
                </c:pt>
                <c:pt idx="496">
                  <c:v>106</c:v>
                </c:pt>
                <c:pt idx="497">
                  <c:v>94</c:v>
                </c:pt>
                <c:pt idx="498">
                  <c:v>81</c:v>
                </c:pt>
                <c:pt idx="499">
                  <c:v>95</c:v>
                </c:pt>
              </c:numCache>
            </c:numRef>
          </c:val>
          <c:extLst>
            <c:ext xmlns:c16="http://schemas.microsoft.com/office/drawing/2014/chart" uri="{C3380CC4-5D6E-409C-BE32-E72D297353CC}">
              <c16:uniqueId val="{00000000-A87A-4F7D-B144-44E7DCB12085}"/>
            </c:ext>
          </c:extLst>
        </c:ser>
        <c:dLbls>
          <c:showLegendKey val="0"/>
          <c:showVal val="0"/>
          <c:showCatName val="0"/>
          <c:showSerName val="0"/>
          <c:showPercent val="0"/>
          <c:showBubbleSize val="0"/>
        </c:dLbls>
        <c:gapWidth val="269"/>
        <c:axId val="2138121408"/>
        <c:axId val="2138124288"/>
      </c:barChart>
      <c:lineChart>
        <c:grouping val="standard"/>
        <c:varyColors val="0"/>
        <c:ser>
          <c:idx val="1"/>
          <c:order val="1"/>
          <c:tx>
            <c:strRef>
              <c:f>'Units_Sold and Average_Price ov'!$D$3</c:f>
              <c:strCache>
                <c:ptCount val="1"/>
                <c:pt idx="0">
                  <c:v>Average_Price</c:v>
                </c:pt>
              </c:strCache>
            </c:strRef>
          </c:tx>
          <c:spPr>
            <a:ln w="38100" cap="rnd">
              <a:solidFill>
                <a:schemeClr val="accent2"/>
              </a:solidFill>
              <a:round/>
            </a:ln>
            <a:effectLst/>
          </c:spPr>
          <c:marker>
            <c:symbol val="none"/>
          </c:marker>
          <c:val>
            <c:numRef>
              <c:f>'Units_Sold and Average_Price ov'!$D$4:$D$503</c:f>
              <c:numCache>
                <c:formatCode>General</c:formatCode>
                <c:ptCount val="500"/>
                <c:pt idx="0">
                  <c:v>27205.390763642099</c:v>
                </c:pt>
                <c:pt idx="1">
                  <c:v>31886.059375322606</c:v>
                </c:pt>
                <c:pt idx="2">
                  <c:v>27205.390763642099</c:v>
                </c:pt>
                <c:pt idx="3">
                  <c:v>29671.248694635098</c:v>
                </c:pt>
                <c:pt idx="4">
                  <c:v>27224.002366534009</c:v>
                </c:pt>
                <c:pt idx="5">
                  <c:v>39405.785347202953</c:v>
                </c:pt>
                <c:pt idx="6">
                  <c:v>22759.93049791878</c:v>
                </c:pt>
                <c:pt idx="7">
                  <c:v>19005.97021689959</c:v>
                </c:pt>
                <c:pt idx="8">
                  <c:v>32200.072250266661</c:v>
                </c:pt>
                <c:pt idx="9">
                  <c:v>27489.728878236943</c:v>
                </c:pt>
                <c:pt idx="10">
                  <c:v>24893.835914346433</c:v>
                </c:pt>
                <c:pt idx="11">
                  <c:v>33541.782236496765</c:v>
                </c:pt>
                <c:pt idx="12">
                  <c:v>31219.003568855995</c:v>
                </c:pt>
                <c:pt idx="13">
                  <c:v>27179.606846316357</c:v>
                </c:pt>
                <c:pt idx="14">
                  <c:v>23598.478006645528</c:v>
                </c:pt>
                <c:pt idx="15">
                  <c:v>34362.286641400722</c:v>
                </c:pt>
                <c:pt idx="16">
                  <c:v>33251.005889793305</c:v>
                </c:pt>
                <c:pt idx="17">
                  <c:v>29504.120681103086</c:v>
                </c:pt>
                <c:pt idx="18">
                  <c:v>39233.184980238329</c:v>
                </c:pt>
                <c:pt idx="19">
                  <c:v>24649.576168369236</c:v>
                </c:pt>
                <c:pt idx="20">
                  <c:v>22372.374145376307</c:v>
                </c:pt>
                <c:pt idx="21">
                  <c:v>26540.459650593777</c:v>
                </c:pt>
                <c:pt idx="22">
                  <c:v>29772.069918222511</c:v>
                </c:pt>
                <c:pt idx="23">
                  <c:v>31216.697246613458</c:v>
                </c:pt>
                <c:pt idx="24">
                  <c:v>28793.819710718351</c:v>
                </c:pt>
                <c:pt idx="25">
                  <c:v>27205.390763642099</c:v>
                </c:pt>
                <c:pt idx="26">
                  <c:v>23742.30287904778</c:v>
                </c:pt>
                <c:pt idx="27">
                  <c:v>37218.823020366297</c:v>
                </c:pt>
                <c:pt idx="28">
                  <c:v>29589.244108037157</c:v>
                </c:pt>
                <c:pt idx="29">
                  <c:v>35586.479157940637</c:v>
                </c:pt>
                <c:pt idx="30">
                  <c:v>31713.626731888522</c:v>
                </c:pt>
                <c:pt idx="31">
                  <c:v>32283.766095768919</c:v>
                </c:pt>
                <c:pt idx="32">
                  <c:v>32848.836401161017</c:v>
                </c:pt>
                <c:pt idx="33">
                  <c:v>32238.542800086576</c:v>
                </c:pt>
                <c:pt idx="34">
                  <c:v>33213.61379933772</c:v>
                </c:pt>
                <c:pt idx="35">
                  <c:v>36645.76265066216</c:v>
                </c:pt>
                <c:pt idx="36">
                  <c:v>30982.605848507352</c:v>
                </c:pt>
                <c:pt idx="37">
                  <c:v>33545.018787942565</c:v>
                </c:pt>
                <c:pt idx="38">
                  <c:v>29551.321528563865</c:v>
                </c:pt>
                <c:pt idx="39">
                  <c:v>37200.586077247368</c:v>
                </c:pt>
                <c:pt idx="40">
                  <c:v>26618.038489703653</c:v>
                </c:pt>
                <c:pt idx="41">
                  <c:v>39004.702164554081</c:v>
                </c:pt>
                <c:pt idx="42">
                  <c:v>29799.210246778282</c:v>
                </c:pt>
                <c:pt idx="43">
                  <c:v>22846.124489409758</c:v>
                </c:pt>
                <c:pt idx="44">
                  <c:v>30640.522074553948</c:v>
                </c:pt>
                <c:pt idx="45">
                  <c:v>26594.741712625597</c:v>
                </c:pt>
                <c:pt idx="46">
                  <c:v>34203.21774494362</c:v>
                </c:pt>
                <c:pt idx="47">
                  <c:v>26736.880103488045</c:v>
                </c:pt>
                <c:pt idx="48">
                  <c:v>27769.082833926102</c:v>
                </c:pt>
                <c:pt idx="49">
                  <c:v>20552.296345272345</c:v>
                </c:pt>
                <c:pt idx="50">
                  <c:v>27738.468403754618</c:v>
                </c:pt>
                <c:pt idx="51">
                  <c:v>17880.603366855219</c:v>
                </c:pt>
                <c:pt idx="52">
                  <c:v>22080.485882571382</c:v>
                </c:pt>
                <c:pt idx="53">
                  <c:v>33802.073280721488</c:v>
                </c:pt>
                <c:pt idx="54">
                  <c:v>35586.479157940637</c:v>
                </c:pt>
                <c:pt idx="55">
                  <c:v>32127.287808924822</c:v>
                </c:pt>
                <c:pt idx="56">
                  <c:v>25165.119284353936</c:v>
                </c:pt>
                <c:pt idx="57">
                  <c:v>29761.4432192901</c:v>
                </c:pt>
                <c:pt idx="58">
                  <c:v>29981.987304547158</c:v>
                </c:pt>
                <c:pt idx="59">
                  <c:v>24208.176554037287</c:v>
                </c:pt>
                <c:pt idx="60">
                  <c:v>37516.991508835752</c:v>
                </c:pt>
                <c:pt idx="61">
                  <c:v>34386.811452878355</c:v>
                </c:pt>
                <c:pt idx="62">
                  <c:v>30599.02924</c:v>
                </c:pt>
                <c:pt idx="63">
                  <c:v>30134.429194972654</c:v>
                </c:pt>
                <c:pt idx="64">
                  <c:v>31041.914039737763</c:v>
                </c:pt>
                <c:pt idx="65">
                  <c:v>19791.325657878548</c:v>
                </c:pt>
                <c:pt idx="66">
                  <c:v>28764.113087397014</c:v>
                </c:pt>
                <c:pt idx="67">
                  <c:v>26590.078760011005</c:v>
                </c:pt>
                <c:pt idx="68">
                  <c:v>30599.02924</c:v>
                </c:pt>
                <c:pt idx="69">
                  <c:v>28594.498535570227</c:v>
                </c:pt>
                <c:pt idx="70">
                  <c:v>38988.432634247612</c:v>
                </c:pt>
                <c:pt idx="71">
                  <c:v>33204.214306335052</c:v>
                </c:pt>
                <c:pt idx="72">
                  <c:v>27144.105051086015</c:v>
                </c:pt>
                <c:pt idx="73">
                  <c:v>32862.913906780792</c:v>
                </c:pt>
                <c:pt idx="74">
                  <c:v>36996.777182930011</c:v>
                </c:pt>
                <c:pt idx="75">
                  <c:v>27738.468403754618</c:v>
                </c:pt>
                <c:pt idx="76">
                  <c:v>30298.151849600872</c:v>
                </c:pt>
                <c:pt idx="77">
                  <c:v>26765.31611147213</c:v>
                </c:pt>
                <c:pt idx="78">
                  <c:v>33491.116568067948</c:v>
                </c:pt>
                <c:pt idx="79">
                  <c:v>31967.426927108747</c:v>
                </c:pt>
                <c:pt idx="80">
                  <c:v>34475.966100138663</c:v>
                </c:pt>
                <c:pt idx="81">
                  <c:v>33175.859008409847</c:v>
                </c:pt>
                <c:pt idx="82">
                  <c:v>35247.763576596677</c:v>
                </c:pt>
                <c:pt idx="83">
                  <c:v>27323.823942197159</c:v>
                </c:pt>
                <c:pt idx="84">
                  <c:v>36586.970328171628</c:v>
                </c:pt>
                <c:pt idx="85">
                  <c:v>30987.998023461998</c:v>
                </c:pt>
                <c:pt idx="86">
                  <c:v>40376.304363126328</c:v>
                </c:pt>
                <c:pt idx="87">
                  <c:v>26554.060909552161</c:v>
                </c:pt>
                <c:pt idx="88">
                  <c:v>38679.819015826244</c:v>
                </c:pt>
                <c:pt idx="89">
                  <c:v>30989.553917313238</c:v>
                </c:pt>
                <c:pt idx="90">
                  <c:v>19791.325657878548</c:v>
                </c:pt>
                <c:pt idx="91">
                  <c:v>27580.570829728393</c:v>
                </c:pt>
                <c:pt idx="92">
                  <c:v>28398.2634590284</c:v>
                </c:pt>
                <c:pt idx="93">
                  <c:v>32120.829732009581</c:v>
                </c:pt>
                <c:pt idx="94">
                  <c:v>32614.177440177496</c:v>
                </c:pt>
                <c:pt idx="95">
                  <c:v>27131.499980307104</c:v>
                </c:pt>
                <c:pt idx="96">
                  <c:v>29878.227038695084</c:v>
                </c:pt>
                <c:pt idx="97">
                  <c:v>40711.351793059323</c:v>
                </c:pt>
                <c:pt idx="98">
                  <c:v>38637.715850503555</c:v>
                </c:pt>
                <c:pt idx="99">
                  <c:v>32181.618348370161</c:v>
                </c:pt>
                <c:pt idx="100">
                  <c:v>30190.017390841</c:v>
                </c:pt>
                <c:pt idx="101">
                  <c:v>30600.156633591305</c:v>
                </c:pt>
                <c:pt idx="102">
                  <c:v>33067.589863652087</c:v>
                </c:pt>
                <c:pt idx="103">
                  <c:v>24886.037174007972</c:v>
                </c:pt>
                <c:pt idx="104">
                  <c:v>28713.117312883274</c:v>
                </c:pt>
                <c:pt idx="105">
                  <c:v>21657.079630612054</c:v>
                </c:pt>
                <c:pt idx="106">
                  <c:v>31996.115613026395</c:v>
                </c:pt>
                <c:pt idx="107">
                  <c:v>33235.979698513707</c:v>
                </c:pt>
                <c:pt idx="108">
                  <c:v>27584.067688503128</c:v>
                </c:pt>
                <c:pt idx="109">
                  <c:v>37869.933816450168</c:v>
                </c:pt>
                <c:pt idx="110">
                  <c:v>23871.171684988294</c:v>
                </c:pt>
                <c:pt idx="111">
                  <c:v>22678.125598950901</c:v>
                </c:pt>
                <c:pt idx="112">
                  <c:v>26554.060909552161</c:v>
                </c:pt>
                <c:pt idx="113">
                  <c:v>35235.49151306077</c:v>
                </c:pt>
                <c:pt idx="114">
                  <c:v>38419.638457289344</c:v>
                </c:pt>
                <c:pt idx="115">
                  <c:v>27705.578685655299</c:v>
                </c:pt>
                <c:pt idx="116">
                  <c:v>35393.404167156477</c:v>
                </c:pt>
                <c:pt idx="117">
                  <c:v>29807.457652496465</c:v>
                </c:pt>
                <c:pt idx="118">
                  <c:v>29136.863500295902</c:v>
                </c:pt>
                <c:pt idx="119">
                  <c:v>34418.299687433362</c:v>
                </c:pt>
                <c:pt idx="120">
                  <c:v>33261.614392067095</c:v>
                </c:pt>
                <c:pt idx="121">
                  <c:v>22118.039215078752</c:v>
                </c:pt>
                <c:pt idx="122">
                  <c:v>37382.701748629479</c:v>
                </c:pt>
                <c:pt idx="123">
                  <c:v>36900.456770737255</c:v>
                </c:pt>
                <c:pt idx="124">
                  <c:v>32181.618348370161</c:v>
                </c:pt>
                <c:pt idx="125">
                  <c:v>31979.017667187047</c:v>
                </c:pt>
                <c:pt idx="126">
                  <c:v>32470.150931413693</c:v>
                </c:pt>
                <c:pt idx="127">
                  <c:v>30599.02924</c:v>
                </c:pt>
                <c:pt idx="128">
                  <c:v>27248.474230772899</c:v>
                </c:pt>
                <c:pt idx="129">
                  <c:v>26641.883160309742</c:v>
                </c:pt>
                <c:pt idx="130">
                  <c:v>29872.229645042775</c:v>
                </c:pt>
                <c:pt idx="131">
                  <c:v>35863.645096296823</c:v>
                </c:pt>
                <c:pt idx="132">
                  <c:v>32718.000772972162</c:v>
                </c:pt>
                <c:pt idx="133">
                  <c:v>28146.928339569469</c:v>
                </c:pt>
                <c:pt idx="134">
                  <c:v>33858.493553241722</c:v>
                </c:pt>
                <c:pt idx="135">
                  <c:v>30599.02924</c:v>
                </c:pt>
                <c:pt idx="136">
                  <c:v>35743.828501860517</c:v>
                </c:pt>
                <c:pt idx="137">
                  <c:v>21301.4311061095</c:v>
                </c:pt>
                <c:pt idx="138">
                  <c:v>28187.795292984338</c:v>
                </c:pt>
                <c:pt idx="139">
                  <c:v>24401.650526869282</c:v>
                </c:pt>
                <c:pt idx="140">
                  <c:v>23526.59262139547</c:v>
                </c:pt>
                <c:pt idx="141">
                  <c:v>35804.133936892598</c:v>
                </c:pt>
                <c:pt idx="142">
                  <c:v>27661.493993440545</c:v>
                </c:pt>
                <c:pt idx="143">
                  <c:v>31732.519408653578</c:v>
                </c:pt>
                <c:pt idx="144">
                  <c:v>29765.397105604079</c:v>
                </c:pt>
                <c:pt idx="145">
                  <c:v>32385.204136115608</c:v>
                </c:pt>
                <c:pt idx="146">
                  <c:v>30384.109455301277</c:v>
                </c:pt>
                <c:pt idx="147">
                  <c:v>23585.038879057152</c:v>
                </c:pt>
                <c:pt idx="148">
                  <c:v>34981.334097235696</c:v>
                </c:pt>
                <c:pt idx="149">
                  <c:v>27531.217084193438</c:v>
                </c:pt>
                <c:pt idx="150">
                  <c:v>22217.090506701243</c:v>
                </c:pt>
                <c:pt idx="151">
                  <c:v>27859.424195170439</c:v>
                </c:pt>
                <c:pt idx="152">
                  <c:v>37503.798953171558</c:v>
                </c:pt>
                <c:pt idx="153">
                  <c:v>34251.108710567467</c:v>
                </c:pt>
                <c:pt idx="154">
                  <c:v>28256.739327960706</c:v>
                </c:pt>
                <c:pt idx="155">
                  <c:v>28253.711478407855</c:v>
                </c:pt>
                <c:pt idx="156">
                  <c:v>28391.824743913086</c:v>
                </c:pt>
                <c:pt idx="157">
                  <c:v>40383.739917804203</c:v>
                </c:pt>
                <c:pt idx="158">
                  <c:v>31909.677261157765</c:v>
                </c:pt>
                <c:pt idx="159">
                  <c:v>32150.20823595535</c:v>
                </c:pt>
                <c:pt idx="160">
                  <c:v>35151.417270159211</c:v>
                </c:pt>
                <c:pt idx="161">
                  <c:v>31193.945795132568</c:v>
                </c:pt>
                <c:pt idx="162">
                  <c:v>30599.02924</c:v>
                </c:pt>
                <c:pt idx="163">
                  <c:v>29018.250754575107</c:v>
                </c:pt>
                <c:pt idx="164">
                  <c:v>29641.993702929682</c:v>
                </c:pt>
                <c:pt idx="165">
                  <c:v>29813.888817450792</c:v>
                </c:pt>
                <c:pt idx="166">
                  <c:v>33638.147718184897</c:v>
                </c:pt>
                <c:pt idx="167">
                  <c:v>30259.729429036499</c:v>
                </c:pt>
                <c:pt idx="168">
                  <c:v>33663.200386077893</c:v>
                </c:pt>
                <c:pt idx="169">
                  <c:v>29596.417099457089</c:v>
                </c:pt>
                <c:pt idx="170">
                  <c:v>30393.175951580452</c:v>
                </c:pt>
                <c:pt idx="171">
                  <c:v>20008.996577339462</c:v>
                </c:pt>
                <c:pt idx="172">
                  <c:v>34581.638373512411</c:v>
                </c:pt>
                <c:pt idx="173">
                  <c:v>31732.442379489963</c:v>
                </c:pt>
                <c:pt idx="174">
                  <c:v>34990.050549298263</c:v>
                </c:pt>
                <c:pt idx="175">
                  <c:v>30599.02924</c:v>
                </c:pt>
                <c:pt idx="176">
                  <c:v>40441.87352390364</c:v>
                </c:pt>
                <c:pt idx="177">
                  <c:v>29302.051859224131</c:v>
                </c:pt>
                <c:pt idx="178">
                  <c:v>35540.914083687581</c:v>
                </c:pt>
                <c:pt idx="179">
                  <c:v>24800.470364372348</c:v>
                </c:pt>
                <c:pt idx="180">
                  <c:v>33063.869525312846</c:v>
                </c:pt>
                <c:pt idx="181">
                  <c:v>24732.922184131719</c:v>
                </c:pt>
                <c:pt idx="182">
                  <c:v>26881.155196520973</c:v>
                </c:pt>
                <c:pt idx="183">
                  <c:v>39570.156769333931</c:v>
                </c:pt>
                <c:pt idx="184">
                  <c:v>29046.587996183269</c:v>
                </c:pt>
                <c:pt idx="185">
                  <c:v>31087.164365898614</c:v>
                </c:pt>
                <c:pt idx="186">
                  <c:v>34350.338653443774</c:v>
                </c:pt>
                <c:pt idx="187">
                  <c:v>32478.409439863022</c:v>
                </c:pt>
                <c:pt idx="188">
                  <c:v>30752.094525717883</c:v>
                </c:pt>
                <c:pt idx="189">
                  <c:v>31824.805012331126</c:v>
                </c:pt>
                <c:pt idx="190">
                  <c:v>42017.077926191378</c:v>
                </c:pt>
                <c:pt idx="191">
                  <c:v>29711.906014832071</c:v>
                </c:pt>
                <c:pt idx="192">
                  <c:v>31005.495233574838</c:v>
                </c:pt>
                <c:pt idx="193">
                  <c:v>35253.271980038058</c:v>
                </c:pt>
                <c:pt idx="194">
                  <c:v>35527.629664789922</c:v>
                </c:pt>
                <c:pt idx="195">
                  <c:v>35935.1515278019</c:v>
                </c:pt>
                <c:pt idx="196">
                  <c:v>20008.996577339462</c:v>
                </c:pt>
                <c:pt idx="197">
                  <c:v>24284.97543634758</c:v>
                </c:pt>
                <c:pt idx="198">
                  <c:v>38167.15766150548</c:v>
                </c:pt>
                <c:pt idx="199">
                  <c:v>24268.27303490656</c:v>
                </c:pt>
                <c:pt idx="200">
                  <c:v>31513.177326195168</c:v>
                </c:pt>
                <c:pt idx="201">
                  <c:v>26228.62074990321</c:v>
                </c:pt>
                <c:pt idx="202">
                  <c:v>29679.308267035038</c:v>
                </c:pt>
                <c:pt idx="203">
                  <c:v>31643.812051517401</c:v>
                </c:pt>
                <c:pt idx="204">
                  <c:v>24800.470364372348</c:v>
                </c:pt>
                <c:pt idx="205">
                  <c:v>32109.603771176422</c:v>
                </c:pt>
                <c:pt idx="206">
                  <c:v>38068.556345293233</c:v>
                </c:pt>
                <c:pt idx="207">
                  <c:v>32267.671507569899</c:v>
                </c:pt>
                <c:pt idx="208">
                  <c:v>28779.216823546758</c:v>
                </c:pt>
                <c:pt idx="209">
                  <c:v>34820.435841441787</c:v>
                </c:pt>
                <c:pt idx="210">
                  <c:v>35947.352444623204</c:v>
                </c:pt>
                <c:pt idx="211">
                  <c:v>23861.960924315037</c:v>
                </c:pt>
                <c:pt idx="212">
                  <c:v>32987.000349249291</c:v>
                </c:pt>
                <c:pt idx="213">
                  <c:v>33505.863711554492</c:v>
                </c:pt>
                <c:pt idx="214">
                  <c:v>28512.182483200042</c:v>
                </c:pt>
                <c:pt idx="215">
                  <c:v>36878.534066558095</c:v>
                </c:pt>
                <c:pt idx="216">
                  <c:v>29249.722064837366</c:v>
                </c:pt>
                <c:pt idx="217">
                  <c:v>31005.495233574838</c:v>
                </c:pt>
                <c:pt idx="218">
                  <c:v>29134.640878580652</c:v>
                </c:pt>
                <c:pt idx="219">
                  <c:v>30077.895237907338</c:v>
                </c:pt>
                <c:pt idx="220">
                  <c:v>24518.624565523991</c:v>
                </c:pt>
                <c:pt idx="221">
                  <c:v>22799.745587028527</c:v>
                </c:pt>
                <c:pt idx="222">
                  <c:v>37972.525316124862</c:v>
                </c:pt>
                <c:pt idx="223">
                  <c:v>25765.193258408362</c:v>
                </c:pt>
                <c:pt idx="224">
                  <c:v>25043.038252718463</c:v>
                </c:pt>
                <c:pt idx="225">
                  <c:v>19233.049431981424</c:v>
                </c:pt>
                <c:pt idx="226">
                  <c:v>26805.191261552489</c:v>
                </c:pt>
                <c:pt idx="227">
                  <c:v>23384.55103296251</c:v>
                </c:pt>
                <c:pt idx="228">
                  <c:v>38210.075800681843</c:v>
                </c:pt>
                <c:pt idx="229">
                  <c:v>35049.085446713172</c:v>
                </c:pt>
                <c:pt idx="230">
                  <c:v>26559.248274111382</c:v>
                </c:pt>
                <c:pt idx="231">
                  <c:v>41262.17902672154</c:v>
                </c:pt>
                <c:pt idx="232">
                  <c:v>34908.827434957973</c:v>
                </c:pt>
                <c:pt idx="233">
                  <c:v>30599.02924</c:v>
                </c:pt>
                <c:pt idx="234">
                  <c:v>17502.971425632135</c:v>
                </c:pt>
                <c:pt idx="235">
                  <c:v>41454.712862953711</c:v>
                </c:pt>
                <c:pt idx="236">
                  <c:v>23052.137666182018</c:v>
                </c:pt>
                <c:pt idx="237">
                  <c:v>32987.000349249291</c:v>
                </c:pt>
                <c:pt idx="238">
                  <c:v>35112.852160048198</c:v>
                </c:pt>
                <c:pt idx="239">
                  <c:v>42198.762031696366</c:v>
                </c:pt>
                <c:pt idx="240">
                  <c:v>36921.364092552591</c:v>
                </c:pt>
                <c:pt idx="241">
                  <c:v>32819.545600261801</c:v>
                </c:pt>
                <c:pt idx="242">
                  <c:v>32973.771708326429</c:v>
                </c:pt>
                <c:pt idx="243">
                  <c:v>34267.077793901539</c:v>
                </c:pt>
                <c:pt idx="244">
                  <c:v>33794.642948933826</c:v>
                </c:pt>
                <c:pt idx="245">
                  <c:v>31405.95711984688</c:v>
                </c:pt>
                <c:pt idx="246">
                  <c:v>30521.005519759379</c:v>
                </c:pt>
                <c:pt idx="247">
                  <c:v>29687.034360502388</c:v>
                </c:pt>
                <c:pt idx="248">
                  <c:v>26230.17705566662</c:v>
                </c:pt>
                <c:pt idx="249">
                  <c:v>28596.624615666129</c:v>
                </c:pt>
                <c:pt idx="250">
                  <c:v>21535.21592902307</c:v>
                </c:pt>
                <c:pt idx="251">
                  <c:v>29508.30186602625</c:v>
                </c:pt>
                <c:pt idx="252">
                  <c:v>25057.044464245413</c:v>
                </c:pt>
                <c:pt idx="253">
                  <c:v>38210.075800681843</c:v>
                </c:pt>
                <c:pt idx="254">
                  <c:v>30899.470755767394</c:v>
                </c:pt>
                <c:pt idx="255">
                  <c:v>36960.011431722996</c:v>
                </c:pt>
                <c:pt idx="256">
                  <c:v>34591.583030011563</c:v>
                </c:pt>
                <c:pt idx="257">
                  <c:v>22147.496981884113</c:v>
                </c:pt>
                <c:pt idx="258">
                  <c:v>25051.859317148312</c:v>
                </c:pt>
                <c:pt idx="259">
                  <c:v>34703.855939941081</c:v>
                </c:pt>
                <c:pt idx="260">
                  <c:v>25087.563032308452</c:v>
                </c:pt>
                <c:pt idx="261">
                  <c:v>28876.834250014876</c:v>
                </c:pt>
                <c:pt idx="262">
                  <c:v>32750.260495122759</c:v>
                </c:pt>
                <c:pt idx="263">
                  <c:v>25158.277725681823</c:v>
                </c:pt>
                <c:pt idx="264">
                  <c:v>30526.877530729798</c:v>
                </c:pt>
                <c:pt idx="265">
                  <c:v>36921.364092552591</c:v>
                </c:pt>
                <c:pt idx="266">
                  <c:v>26993.161780243932</c:v>
                </c:pt>
                <c:pt idx="267">
                  <c:v>31598.909670712685</c:v>
                </c:pt>
                <c:pt idx="268">
                  <c:v>22035.031332341656</c:v>
                </c:pt>
                <c:pt idx="269">
                  <c:v>32202.373689801996</c:v>
                </c:pt>
                <c:pt idx="270">
                  <c:v>29901.811005366595</c:v>
                </c:pt>
                <c:pt idx="271">
                  <c:v>30599.02924</c:v>
                </c:pt>
                <c:pt idx="272">
                  <c:v>31119.570670323308</c:v>
                </c:pt>
                <c:pt idx="273">
                  <c:v>36820.702149869219</c:v>
                </c:pt>
                <c:pt idx="274">
                  <c:v>30626.122513239538</c:v>
                </c:pt>
                <c:pt idx="275">
                  <c:v>27852.972294373736</c:v>
                </c:pt>
                <c:pt idx="276">
                  <c:v>30611.487515161418</c:v>
                </c:pt>
                <c:pt idx="277">
                  <c:v>32716.490145181939</c:v>
                </c:pt>
                <c:pt idx="278">
                  <c:v>30244.300351628521</c:v>
                </c:pt>
                <c:pt idx="279">
                  <c:v>30202.958456019413</c:v>
                </c:pt>
                <c:pt idx="280">
                  <c:v>26490.041560966223</c:v>
                </c:pt>
                <c:pt idx="281">
                  <c:v>26685.495412245258</c:v>
                </c:pt>
                <c:pt idx="282">
                  <c:v>22986.973641001532</c:v>
                </c:pt>
                <c:pt idx="283">
                  <c:v>38747.883715934695</c:v>
                </c:pt>
                <c:pt idx="284">
                  <c:v>23780.683823043575</c:v>
                </c:pt>
                <c:pt idx="285">
                  <c:v>25087.563032308452</c:v>
                </c:pt>
                <c:pt idx="286">
                  <c:v>30599.02924</c:v>
                </c:pt>
                <c:pt idx="287">
                  <c:v>34474.621884722204</c:v>
                </c:pt>
                <c:pt idx="288">
                  <c:v>28525.25160853986</c:v>
                </c:pt>
                <c:pt idx="289">
                  <c:v>36238.710363368671</c:v>
                </c:pt>
                <c:pt idx="290">
                  <c:v>26632.546878780657</c:v>
                </c:pt>
                <c:pt idx="291">
                  <c:v>31394.970811119008</c:v>
                </c:pt>
                <c:pt idx="292">
                  <c:v>25823.264733701213</c:v>
                </c:pt>
                <c:pt idx="293">
                  <c:v>40725.745638866938</c:v>
                </c:pt>
                <c:pt idx="294">
                  <c:v>24062.007904852435</c:v>
                </c:pt>
                <c:pt idx="295">
                  <c:v>31549.103551135137</c:v>
                </c:pt>
                <c:pt idx="296">
                  <c:v>33168.884404660494</c:v>
                </c:pt>
                <c:pt idx="297">
                  <c:v>32068.995487257493</c:v>
                </c:pt>
                <c:pt idx="298">
                  <c:v>29073.561705611457</c:v>
                </c:pt>
                <c:pt idx="299">
                  <c:v>29350.896501332871</c:v>
                </c:pt>
                <c:pt idx="300">
                  <c:v>30219.057359895549</c:v>
                </c:pt>
                <c:pt idx="301">
                  <c:v>29264.989991857557</c:v>
                </c:pt>
                <c:pt idx="302">
                  <c:v>34819.395583974547</c:v>
                </c:pt>
                <c:pt idx="303">
                  <c:v>41052.61500795676</c:v>
                </c:pt>
                <c:pt idx="304">
                  <c:v>30599.02924</c:v>
                </c:pt>
                <c:pt idx="305">
                  <c:v>23150.985102104612</c:v>
                </c:pt>
                <c:pt idx="306">
                  <c:v>29558.589758243725</c:v>
                </c:pt>
                <c:pt idx="307">
                  <c:v>42898.546688271592</c:v>
                </c:pt>
                <c:pt idx="308">
                  <c:v>25981.627160151347</c:v>
                </c:pt>
                <c:pt idx="309">
                  <c:v>38195.584027220335</c:v>
                </c:pt>
                <c:pt idx="310">
                  <c:v>38388.504070382201</c:v>
                </c:pt>
                <c:pt idx="311">
                  <c:v>27232.058791460026</c:v>
                </c:pt>
                <c:pt idx="312">
                  <c:v>32844.915395926379</c:v>
                </c:pt>
                <c:pt idx="313">
                  <c:v>38141.983115642688</c:v>
                </c:pt>
                <c:pt idx="314">
                  <c:v>28104.361295062565</c:v>
                </c:pt>
                <c:pt idx="315">
                  <c:v>28982.098199488191</c:v>
                </c:pt>
                <c:pt idx="316">
                  <c:v>27091.595430256781</c:v>
                </c:pt>
                <c:pt idx="317">
                  <c:v>24926.216346535664</c:v>
                </c:pt>
                <c:pt idx="318">
                  <c:v>26753.612274669966</c:v>
                </c:pt>
                <c:pt idx="319">
                  <c:v>23880.298666188719</c:v>
                </c:pt>
                <c:pt idx="320">
                  <c:v>30170.417341296132</c:v>
                </c:pt>
                <c:pt idx="321">
                  <c:v>26150.13384470679</c:v>
                </c:pt>
                <c:pt idx="322">
                  <c:v>31168.92955895374</c:v>
                </c:pt>
                <c:pt idx="323">
                  <c:v>22220.521768981864</c:v>
                </c:pt>
                <c:pt idx="324">
                  <c:v>31654.401161072285</c:v>
                </c:pt>
                <c:pt idx="325">
                  <c:v>34167.644808044621</c:v>
                </c:pt>
                <c:pt idx="326">
                  <c:v>20031.321787142722</c:v>
                </c:pt>
                <c:pt idx="327">
                  <c:v>31870.282849237861</c:v>
                </c:pt>
                <c:pt idx="328">
                  <c:v>36138.344962366464</c:v>
                </c:pt>
                <c:pt idx="329">
                  <c:v>23951.794906543972</c:v>
                </c:pt>
                <c:pt idx="330">
                  <c:v>38362.861934188521</c:v>
                </c:pt>
                <c:pt idx="331">
                  <c:v>32095.095046830225</c:v>
                </c:pt>
                <c:pt idx="332">
                  <c:v>26474.940721207957</c:v>
                </c:pt>
                <c:pt idx="333">
                  <c:v>29721.15461171147</c:v>
                </c:pt>
                <c:pt idx="334">
                  <c:v>32791.634562608611</c:v>
                </c:pt>
                <c:pt idx="335">
                  <c:v>38388.504070382201</c:v>
                </c:pt>
                <c:pt idx="336">
                  <c:v>32693.779962231845</c:v>
                </c:pt>
                <c:pt idx="337">
                  <c:v>25396.632034603168</c:v>
                </c:pt>
                <c:pt idx="338">
                  <c:v>30846.80412018039</c:v>
                </c:pt>
                <c:pt idx="339">
                  <c:v>22931.427515475101</c:v>
                </c:pt>
                <c:pt idx="340">
                  <c:v>29443.8696932565</c:v>
                </c:pt>
                <c:pt idx="341">
                  <c:v>30599.02924</c:v>
                </c:pt>
                <c:pt idx="342">
                  <c:v>26322.350287051166</c:v>
                </c:pt>
                <c:pt idx="343">
                  <c:v>36180.465876052185</c:v>
                </c:pt>
                <c:pt idx="344">
                  <c:v>35456.550602971343</c:v>
                </c:pt>
                <c:pt idx="345">
                  <c:v>33045.690604535885</c:v>
                </c:pt>
                <c:pt idx="346">
                  <c:v>24538.436176637104</c:v>
                </c:pt>
                <c:pt idx="347">
                  <c:v>28417.957751525992</c:v>
                </c:pt>
                <c:pt idx="348">
                  <c:v>36065.488499895917</c:v>
                </c:pt>
                <c:pt idx="349">
                  <c:v>30708.584568199523</c:v>
                </c:pt>
                <c:pt idx="350">
                  <c:v>41596.64769990847</c:v>
                </c:pt>
                <c:pt idx="351">
                  <c:v>31966.589196971858</c:v>
                </c:pt>
                <c:pt idx="352">
                  <c:v>31870.282849237861</c:v>
                </c:pt>
                <c:pt idx="353">
                  <c:v>28454.417678987495</c:v>
                </c:pt>
                <c:pt idx="354">
                  <c:v>30667.704523911412</c:v>
                </c:pt>
                <c:pt idx="355">
                  <c:v>29237.650818097281</c:v>
                </c:pt>
                <c:pt idx="356">
                  <c:v>32095.095046830225</c:v>
                </c:pt>
                <c:pt idx="357">
                  <c:v>34783.511583972919</c:v>
                </c:pt>
                <c:pt idx="358">
                  <c:v>26070.052697460254</c:v>
                </c:pt>
                <c:pt idx="359">
                  <c:v>23343.83523221111</c:v>
                </c:pt>
                <c:pt idx="360">
                  <c:v>20818.973134483516</c:v>
                </c:pt>
                <c:pt idx="361">
                  <c:v>32539.956634562717</c:v>
                </c:pt>
                <c:pt idx="362">
                  <c:v>24483.166969130631</c:v>
                </c:pt>
                <c:pt idx="363">
                  <c:v>19235.547035237585</c:v>
                </c:pt>
                <c:pt idx="364">
                  <c:v>31942.893022654822</c:v>
                </c:pt>
                <c:pt idx="365">
                  <c:v>42464.997587163954</c:v>
                </c:pt>
                <c:pt idx="366">
                  <c:v>29969.645442300534</c:v>
                </c:pt>
                <c:pt idx="367">
                  <c:v>34192.453872258207</c:v>
                </c:pt>
                <c:pt idx="368">
                  <c:v>30409.146792737825</c:v>
                </c:pt>
                <c:pt idx="369">
                  <c:v>29505.551734044286</c:v>
                </c:pt>
                <c:pt idx="370">
                  <c:v>34595.382414938846</c:v>
                </c:pt>
                <c:pt idx="371">
                  <c:v>28548.627279056742</c:v>
                </c:pt>
                <c:pt idx="372">
                  <c:v>31336.961570359515</c:v>
                </c:pt>
                <c:pt idx="373">
                  <c:v>31608.489030980068</c:v>
                </c:pt>
                <c:pt idx="374">
                  <c:v>26659.547731784754</c:v>
                </c:pt>
                <c:pt idx="375">
                  <c:v>34960.211747682617</c:v>
                </c:pt>
                <c:pt idx="376">
                  <c:v>29125.201216522957</c:v>
                </c:pt>
                <c:pt idx="377">
                  <c:v>26221.274202535777</c:v>
                </c:pt>
                <c:pt idx="378">
                  <c:v>32682.549217852018</c:v>
                </c:pt>
                <c:pt idx="379">
                  <c:v>25507.660091044814</c:v>
                </c:pt>
                <c:pt idx="380">
                  <c:v>30140.90578684564</c:v>
                </c:pt>
                <c:pt idx="381">
                  <c:v>29954.405016778983</c:v>
                </c:pt>
                <c:pt idx="382">
                  <c:v>35429.477829157891</c:v>
                </c:pt>
                <c:pt idx="383">
                  <c:v>32373.491164399762</c:v>
                </c:pt>
                <c:pt idx="384">
                  <c:v>23343.83523221111</c:v>
                </c:pt>
                <c:pt idx="385">
                  <c:v>34088.831496001432</c:v>
                </c:pt>
                <c:pt idx="386">
                  <c:v>30599.02924</c:v>
                </c:pt>
                <c:pt idx="387">
                  <c:v>32789.051531759309</c:v>
                </c:pt>
                <c:pt idx="388">
                  <c:v>30051.763099216903</c:v>
                </c:pt>
                <c:pt idx="389">
                  <c:v>23440.818838249201</c:v>
                </c:pt>
                <c:pt idx="390">
                  <c:v>24674.431684623138</c:v>
                </c:pt>
                <c:pt idx="391">
                  <c:v>28473.876478226663</c:v>
                </c:pt>
                <c:pt idx="392">
                  <c:v>26952.438989203583</c:v>
                </c:pt>
                <c:pt idx="393">
                  <c:v>29065.143485072771</c:v>
                </c:pt>
                <c:pt idx="394">
                  <c:v>29505.551734044286</c:v>
                </c:pt>
                <c:pt idx="395">
                  <c:v>32648.463771783652</c:v>
                </c:pt>
                <c:pt idx="396">
                  <c:v>29647.506109704544</c:v>
                </c:pt>
                <c:pt idx="397">
                  <c:v>32432.50821913101</c:v>
                </c:pt>
                <c:pt idx="398">
                  <c:v>31608.489030980068</c:v>
                </c:pt>
                <c:pt idx="399">
                  <c:v>20122.667168230644</c:v>
                </c:pt>
                <c:pt idx="400">
                  <c:v>25303.323030906227</c:v>
                </c:pt>
                <c:pt idx="401">
                  <c:v>29279.562221391923</c:v>
                </c:pt>
                <c:pt idx="402">
                  <c:v>23951.526285794462</c:v>
                </c:pt>
                <c:pt idx="403">
                  <c:v>32999.643649981022</c:v>
                </c:pt>
                <c:pt idx="404">
                  <c:v>37653.754161718491</c:v>
                </c:pt>
                <c:pt idx="405">
                  <c:v>36093.809258486581</c:v>
                </c:pt>
                <c:pt idx="406">
                  <c:v>28932.785645348958</c:v>
                </c:pt>
                <c:pt idx="407">
                  <c:v>37453.630684249758</c:v>
                </c:pt>
                <c:pt idx="408">
                  <c:v>30743.337286010559</c:v>
                </c:pt>
                <c:pt idx="409">
                  <c:v>28314.570144409805</c:v>
                </c:pt>
                <c:pt idx="410">
                  <c:v>30599.02924</c:v>
                </c:pt>
                <c:pt idx="411">
                  <c:v>30599.02924</c:v>
                </c:pt>
                <c:pt idx="412">
                  <c:v>28059.115907293857</c:v>
                </c:pt>
                <c:pt idx="413">
                  <c:v>30852.08111187744</c:v>
                </c:pt>
                <c:pt idx="414">
                  <c:v>30802.869905249325</c:v>
                </c:pt>
                <c:pt idx="415">
                  <c:v>30015.230100767072</c:v>
                </c:pt>
                <c:pt idx="416">
                  <c:v>32184.690848731749</c:v>
                </c:pt>
                <c:pt idx="417">
                  <c:v>35953.231373931703</c:v>
                </c:pt>
                <c:pt idx="418">
                  <c:v>34747.770677206616</c:v>
                </c:pt>
                <c:pt idx="419">
                  <c:v>22575.510157750483</c:v>
                </c:pt>
                <c:pt idx="420">
                  <c:v>17230.394325490226</c:v>
                </c:pt>
                <c:pt idx="421">
                  <c:v>34671.599556196365</c:v>
                </c:pt>
                <c:pt idx="422">
                  <c:v>23165.606507922894</c:v>
                </c:pt>
                <c:pt idx="423">
                  <c:v>28876.172990536583</c:v>
                </c:pt>
                <c:pt idx="424">
                  <c:v>24149.434869703204</c:v>
                </c:pt>
                <c:pt idx="425">
                  <c:v>20990.097812099899</c:v>
                </c:pt>
                <c:pt idx="426">
                  <c:v>32707.313641023939</c:v>
                </c:pt>
                <c:pt idx="427">
                  <c:v>33795.775801513235</c:v>
                </c:pt>
                <c:pt idx="428">
                  <c:v>27117.447996366402</c:v>
                </c:pt>
                <c:pt idx="429">
                  <c:v>30599.02924</c:v>
                </c:pt>
                <c:pt idx="430">
                  <c:v>27268.777758737586</c:v>
                </c:pt>
                <c:pt idx="431">
                  <c:v>31959.020027012732</c:v>
                </c:pt>
                <c:pt idx="432">
                  <c:v>22605.442156129357</c:v>
                </c:pt>
                <c:pt idx="433">
                  <c:v>30916.799598895777</c:v>
                </c:pt>
                <c:pt idx="434">
                  <c:v>30599.02924</c:v>
                </c:pt>
                <c:pt idx="435">
                  <c:v>32896.457498005439</c:v>
                </c:pt>
                <c:pt idx="436">
                  <c:v>30597.901842070765</c:v>
                </c:pt>
                <c:pt idx="437">
                  <c:v>25134.655295592223</c:v>
                </c:pt>
                <c:pt idx="438">
                  <c:v>35982.857508322457</c:v>
                </c:pt>
                <c:pt idx="439">
                  <c:v>29207.352134865148</c:v>
                </c:pt>
                <c:pt idx="440">
                  <c:v>30015.230100767072</c:v>
                </c:pt>
                <c:pt idx="441">
                  <c:v>25333.660204634019</c:v>
                </c:pt>
                <c:pt idx="442">
                  <c:v>27783.588744042449</c:v>
                </c:pt>
                <c:pt idx="443">
                  <c:v>25575.986429865494</c:v>
                </c:pt>
                <c:pt idx="444">
                  <c:v>29135.269700382883</c:v>
                </c:pt>
                <c:pt idx="445">
                  <c:v>38558.542400711718</c:v>
                </c:pt>
                <c:pt idx="446">
                  <c:v>23140.494285343219</c:v>
                </c:pt>
                <c:pt idx="447">
                  <c:v>21932.193010616294</c:v>
                </c:pt>
                <c:pt idx="448">
                  <c:v>37355.85163746804</c:v>
                </c:pt>
                <c:pt idx="449">
                  <c:v>28953.381614240669</c:v>
                </c:pt>
                <c:pt idx="450">
                  <c:v>26654.636306700417</c:v>
                </c:pt>
                <c:pt idx="451">
                  <c:v>35199.52343698038</c:v>
                </c:pt>
                <c:pt idx="452">
                  <c:v>26971.922301315681</c:v>
                </c:pt>
                <c:pt idx="453">
                  <c:v>27117.447996366402</c:v>
                </c:pt>
                <c:pt idx="454">
                  <c:v>33389.629356696343</c:v>
                </c:pt>
                <c:pt idx="455">
                  <c:v>27560.442959271488</c:v>
                </c:pt>
                <c:pt idx="456">
                  <c:v>40786.541066327518</c:v>
                </c:pt>
                <c:pt idx="457">
                  <c:v>22605.442156129357</c:v>
                </c:pt>
                <c:pt idx="458">
                  <c:v>33710.476860046532</c:v>
                </c:pt>
                <c:pt idx="459">
                  <c:v>31496.462902032461</c:v>
                </c:pt>
                <c:pt idx="460">
                  <c:v>36508.706446993994</c:v>
                </c:pt>
                <c:pt idx="461">
                  <c:v>37807.555983634265</c:v>
                </c:pt>
                <c:pt idx="462">
                  <c:v>30160.020745328835</c:v>
                </c:pt>
                <c:pt idx="463">
                  <c:v>26232.910648269084</c:v>
                </c:pt>
                <c:pt idx="464">
                  <c:v>32299.860714695584</c:v>
                </c:pt>
                <c:pt idx="465">
                  <c:v>26611.423151239469</c:v>
                </c:pt>
                <c:pt idx="466">
                  <c:v>40066.936237633112</c:v>
                </c:pt>
                <c:pt idx="467">
                  <c:v>30682.676655413688</c:v>
                </c:pt>
                <c:pt idx="468">
                  <c:v>28173.392243439455</c:v>
                </c:pt>
                <c:pt idx="469">
                  <c:v>30599.02924</c:v>
                </c:pt>
                <c:pt idx="470">
                  <c:v>23264.368552351516</c:v>
                </c:pt>
                <c:pt idx="471">
                  <c:v>25141.929807446744</c:v>
                </c:pt>
                <c:pt idx="472">
                  <c:v>36002.069539722128</c:v>
                </c:pt>
                <c:pt idx="473">
                  <c:v>26715.528605143023</c:v>
                </c:pt>
                <c:pt idx="474">
                  <c:v>24765.445086590302</c:v>
                </c:pt>
                <c:pt idx="475">
                  <c:v>32683.26376263643</c:v>
                </c:pt>
                <c:pt idx="476">
                  <c:v>35928.520773314987</c:v>
                </c:pt>
                <c:pt idx="477">
                  <c:v>33594.766553325331</c:v>
                </c:pt>
                <c:pt idx="478">
                  <c:v>34980.238429029079</c:v>
                </c:pt>
                <c:pt idx="479">
                  <c:v>26216.024557152698</c:v>
                </c:pt>
                <c:pt idx="480">
                  <c:v>22890.94666629078</c:v>
                </c:pt>
                <c:pt idx="481">
                  <c:v>37506.668259777434</c:v>
                </c:pt>
                <c:pt idx="482">
                  <c:v>28386.60080578932</c:v>
                </c:pt>
                <c:pt idx="483">
                  <c:v>28745.834917724762</c:v>
                </c:pt>
                <c:pt idx="484">
                  <c:v>36640.970709245288</c:v>
                </c:pt>
                <c:pt idx="485">
                  <c:v>32781.150047003299</c:v>
                </c:pt>
                <c:pt idx="486">
                  <c:v>30599.02924</c:v>
                </c:pt>
                <c:pt idx="487">
                  <c:v>40825.011724505421</c:v>
                </c:pt>
                <c:pt idx="488">
                  <c:v>26782.408848099287</c:v>
                </c:pt>
                <c:pt idx="489">
                  <c:v>34639.200640406183</c:v>
                </c:pt>
                <c:pt idx="490">
                  <c:v>26611.423151239469</c:v>
                </c:pt>
                <c:pt idx="491">
                  <c:v>31342.961394316284</c:v>
                </c:pt>
                <c:pt idx="492">
                  <c:v>37642.342132062658</c:v>
                </c:pt>
                <c:pt idx="493">
                  <c:v>32539.178781448118</c:v>
                </c:pt>
                <c:pt idx="494">
                  <c:v>32691.480395248163</c:v>
                </c:pt>
                <c:pt idx="495">
                  <c:v>35362.536686549014</c:v>
                </c:pt>
                <c:pt idx="496">
                  <c:v>28175.236352285574</c:v>
                </c:pt>
                <c:pt idx="497">
                  <c:v>25803.951663304968</c:v>
                </c:pt>
                <c:pt idx="498">
                  <c:v>24775.954029894834</c:v>
                </c:pt>
                <c:pt idx="499">
                  <c:v>20168.217053119992</c:v>
                </c:pt>
              </c:numCache>
            </c:numRef>
          </c:val>
          <c:smooth val="0"/>
          <c:extLst>
            <c:ext xmlns:c16="http://schemas.microsoft.com/office/drawing/2014/chart" uri="{C3380CC4-5D6E-409C-BE32-E72D297353CC}">
              <c16:uniqueId val="{00000001-A87A-4F7D-B144-44E7DCB12085}"/>
            </c:ext>
          </c:extLst>
        </c:ser>
        <c:dLbls>
          <c:showLegendKey val="0"/>
          <c:showVal val="0"/>
          <c:showCatName val="0"/>
          <c:showSerName val="0"/>
          <c:showPercent val="0"/>
          <c:showBubbleSize val="0"/>
        </c:dLbls>
        <c:marker val="1"/>
        <c:smooth val="0"/>
        <c:axId val="2138102208"/>
        <c:axId val="2138095968"/>
      </c:lineChart>
      <c:catAx>
        <c:axId val="213812140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38124288"/>
        <c:crosses val="autoZero"/>
        <c:auto val="1"/>
        <c:lblAlgn val="ctr"/>
        <c:lblOffset val="100"/>
        <c:noMultiLvlLbl val="0"/>
      </c:catAx>
      <c:valAx>
        <c:axId val="21381242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121408"/>
        <c:crosses val="autoZero"/>
        <c:crossBetween val="between"/>
      </c:valAx>
      <c:valAx>
        <c:axId val="21380959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102208"/>
        <c:crosses val="max"/>
        <c:crossBetween val="between"/>
      </c:valAx>
      <c:catAx>
        <c:axId val="2138102208"/>
        <c:scaling>
          <c:orientation val="minMax"/>
        </c:scaling>
        <c:delete val="1"/>
        <c:axPos val="b"/>
        <c:majorTickMark val="out"/>
        <c:minorTickMark val="none"/>
        <c:tickLblPos val="nextTo"/>
        <c:crossAx val="2138095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table-Sales over time!PivotTable2</c:name>
    <c:fmtId val="2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Monthly Sales Trend Over Time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table-Sales over time'!$B$3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trendline>
            <c:spPr>
              <a:ln w="28575" cap="rnd">
                <a:solidFill>
                  <a:schemeClr val="tx2">
                    <a:lumMod val="40000"/>
                    <a:lumOff val="60000"/>
                  </a:schemeClr>
                </a:solidFill>
                <a:round/>
              </a:ln>
              <a:effectLst/>
            </c:spPr>
            <c:trendlineType val="linear"/>
            <c:dispRSqr val="1"/>
            <c:dispEq val="1"/>
            <c:trendlineLbl>
              <c:layout>
                <c:manualLayout>
                  <c:x val="0.19180634750710698"/>
                  <c:y val="-0.2439094944508548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cat>
            <c:strRef>
              <c:f>'Pivot table-Sales over 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table-Sales over time'!$B$4:$B$16</c:f>
              <c:numCache>
                <c:formatCode>General</c:formatCode>
                <c:ptCount val="12"/>
                <c:pt idx="0">
                  <c:v>87</c:v>
                </c:pt>
                <c:pt idx="1">
                  <c:v>90</c:v>
                </c:pt>
                <c:pt idx="2">
                  <c:v>89</c:v>
                </c:pt>
                <c:pt idx="3">
                  <c:v>105</c:v>
                </c:pt>
                <c:pt idx="4">
                  <c:v>96</c:v>
                </c:pt>
                <c:pt idx="5">
                  <c:v>97</c:v>
                </c:pt>
                <c:pt idx="6">
                  <c:v>98</c:v>
                </c:pt>
                <c:pt idx="7">
                  <c:v>990</c:v>
                </c:pt>
                <c:pt idx="8">
                  <c:v>108</c:v>
                </c:pt>
                <c:pt idx="9">
                  <c:v>92</c:v>
                </c:pt>
                <c:pt idx="10">
                  <c:v>97</c:v>
                </c:pt>
                <c:pt idx="11">
                  <c:v>116</c:v>
                </c:pt>
              </c:numCache>
            </c:numRef>
          </c:val>
          <c:smooth val="0"/>
          <c:extLst>
            <c:ext xmlns:c16="http://schemas.microsoft.com/office/drawing/2014/chart" uri="{C3380CC4-5D6E-409C-BE32-E72D297353CC}">
              <c16:uniqueId val="{00000001-E118-47DD-8DAA-59EA8252A54D}"/>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16526303"/>
        <c:axId val="1416532063"/>
      </c:lineChart>
      <c:catAx>
        <c:axId val="141652630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16532063"/>
        <c:crosses val="autoZero"/>
        <c:auto val="1"/>
        <c:lblAlgn val="ctr"/>
        <c:lblOffset val="100"/>
        <c:noMultiLvlLbl val="0"/>
      </c:catAx>
      <c:valAx>
        <c:axId val="1416532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1652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600" b="0" i="0" u="none" strike="noStrike" cap="none" normalizeH="0" baseline="0"/>
              <a:t>Units_Sold and Average_Price over time</a:t>
            </a:r>
            <a:endParaRPr lang="en-IN" sz="1600"/>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lotArea>
      <c:layout/>
      <c:barChart>
        <c:barDir val="col"/>
        <c:grouping val="clustered"/>
        <c:varyColors val="0"/>
        <c:ser>
          <c:idx val="0"/>
          <c:order val="0"/>
          <c:tx>
            <c:strRef>
              <c:f>'Units_Sold and Average_Price ov'!$C$3</c:f>
              <c:strCache>
                <c:ptCount val="1"/>
                <c:pt idx="0">
                  <c:v>Units_Sold</c:v>
                </c:pt>
              </c:strCache>
            </c:strRef>
          </c:tx>
          <c:spPr>
            <a:solidFill>
              <a:schemeClr val="accent1"/>
            </a:solidFill>
            <a:ln>
              <a:noFill/>
            </a:ln>
            <a:effectLst/>
          </c:spPr>
          <c:invertIfNegative val="0"/>
          <c:trendline>
            <c:spPr>
              <a:ln w="19050" cap="rnd">
                <a:solidFill>
                  <a:schemeClr val="accent1"/>
                </a:solidFill>
                <a:round/>
              </a:ln>
              <a:effectLst/>
            </c:spPr>
            <c:trendlineType val="linear"/>
            <c:dispRSqr val="1"/>
            <c:dispEq val="1"/>
            <c:trendlineLbl>
              <c:layout>
                <c:manualLayout>
                  <c:x val="2.1889359152171578E-2"/>
                  <c:y val="-0.3265522536324028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'Units_Sold and Average_Price ov'!$C$4:$C$503</c:f>
              <c:numCache>
                <c:formatCode>General</c:formatCode>
                <c:ptCount val="500"/>
                <c:pt idx="0">
                  <c:v>96</c:v>
                </c:pt>
                <c:pt idx="1">
                  <c:v>107</c:v>
                </c:pt>
                <c:pt idx="2">
                  <c:v>88</c:v>
                </c:pt>
                <c:pt idx="3">
                  <c:v>103</c:v>
                </c:pt>
                <c:pt idx="4">
                  <c:v>111</c:v>
                </c:pt>
                <c:pt idx="5">
                  <c:v>90</c:v>
                </c:pt>
                <c:pt idx="6">
                  <c:v>94</c:v>
                </c:pt>
                <c:pt idx="7">
                  <c:v>98</c:v>
                </c:pt>
                <c:pt idx="8">
                  <c:v>103</c:v>
                </c:pt>
                <c:pt idx="9">
                  <c:v>94</c:v>
                </c:pt>
                <c:pt idx="10">
                  <c:v>99</c:v>
                </c:pt>
                <c:pt idx="11">
                  <c:v>90</c:v>
                </c:pt>
                <c:pt idx="12">
                  <c:v>100</c:v>
                </c:pt>
                <c:pt idx="13">
                  <c:v>103</c:v>
                </c:pt>
                <c:pt idx="14">
                  <c:v>94</c:v>
                </c:pt>
                <c:pt idx="15">
                  <c:v>105</c:v>
                </c:pt>
                <c:pt idx="16">
                  <c:v>86</c:v>
                </c:pt>
                <c:pt idx="17">
                  <c:v>92</c:v>
                </c:pt>
                <c:pt idx="18">
                  <c:v>94</c:v>
                </c:pt>
                <c:pt idx="19">
                  <c:v>101</c:v>
                </c:pt>
                <c:pt idx="20">
                  <c:v>103</c:v>
                </c:pt>
                <c:pt idx="21">
                  <c:v>84</c:v>
                </c:pt>
                <c:pt idx="22">
                  <c:v>76</c:v>
                </c:pt>
                <c:pt idx="23">
                  <c:v>100</c:v>
                </c:pt>
                <c:pt idx="24">
                  <c:v>111</c:v>
                </c:pt>
                <c:pt idx="25">
                  <c:v>93</c:v>
                </c:pt>
                <c:pt idx="26">
                  <c:v>87</c:v>
                </c:pt>
                <c:pt idx="27">
                  <c:v>108</c:v>
                </c:pt>
                <c:pt idx="28">
                  <c:v>106</c:v>
                </c:pt>
                <c:pt idx="29">
                  <c:v>108</c:v>
                </c:pt>
                <c:pt idx="30">
                  <c:v>96</c:v>
                </c:pt>
                <c:pt idx="31">
                  <c:v>113</c:v>
                </c:pt>
                <c:pt idx="32">
                  <c:v>95</c:v>
                </c:pt>
                <c:pt idx="33">
                  <c:v>94</c:v>
                </c:pt>
                <c:pt idx="34">
                  <c:v>107</c:v>
                </c:pt>
                <c:pt idx="35">
                  <c:v>114</c:v>
                </c:pt>
                <c:pt idx="36">
                  <c:v>86</c:v>
                </c:pt>
                <c:pt idx="37">
                  <c:v>100</c:v>
                </c:pt>
                <c:pt idx="38">
                  <c:v>108</c:v>
                </c:pt>
                <c:pt idx="39">
                  <c:v>101</c:v>
                </c:pt>
                <c:pt idx="40">
                  <c:v>94</c:v>
                </c:pt>
                <c:pt idx="41">
                  <c:v>116</c:v>
                </c:pt>
                <c:pt idx="42">
                  <c:v>97</c:v>
                </c:pt>
                <c:pt idx="43">
                  <c:v>96</c:v>
                </c:pt>
                <c:pt idx="44">
                  <c:v>94</c:v>
                </c:pt>
                <c:pt idx="45">
                  <c:v>118</c:v>
                </c:pt>
                <c:pt idx="46">
                  <c:v>104</c:v>
                </c:pt>
                <c:pt idx="47">
                  <c:v>96</c:v>
                </c:pt>
                <c:pt idx="48">
                  <c:v>115</c:v>
                </c:pt>
                <c:pt idx="49">
                  <c:v>94</c:v>
                </c:pt>
                <c:pt idx="50">
                  <c:v>91</c:v>
                </c:pt>
                <c:pt idx="51">
                  <c:v>110</c:v>
                </c:pt>
                <c:pt idx="52">
                  <c:v>98</c:v>
                </c:pt>
                <c:pt idx="53">
                  <c:v>86</c:v>
                </c:pt>
                <c:pt idx="54">
                  <c:v>121</c:v>
                </c:pt>
                <c:pt idx="55">
                  <c:v>100</c:v>
                </c:pt>
                <c:pt idx="56">
                  <c:v>96</c:v>
                </c:pt>
                <c:pt idx="57">
                  <c:v>127</c:v>
                </c:pt>
                <c:pt idx="58">
                  <c:v>100</c:v>
                </c:pt>
                <c:pt idx="59">
                  <c:v>93</c:v>
                </c:pt>
                <c:pt idx="60">
                  <c:v>103</c:v>
                </c:pt>
                <c:pt idx="61">
                  <c:v>78</c:v>
                </c:pt>
                <c:pt idx="62">
                  <c:v>116</c:v>
                </c:pt>
                <c:pt idx="63">
                  <c:v>88</c:v>
                </c:pt>
                <c:pt idx="64">
                  <c:v>105</c:v>
                </c:pt>
                <c:pt idx="65">
                  <c:v>92</c:v>
                </c:pt>
                <c:pt idx="66">
                  <c:v>96</c:v>
                </c:pt>
                <c:pt idx="67">
                  <c:v>104</c:v>
                </c:pt>
                <c:pt idx="68">
                  <c:v>84</c:v>
                </c:pt>
                <c:pt idx="69">
                  <c:v>95</c:v>
                </c:pt>
                <c:pt idx="70">
                  <c:v>105</c:v>
                </c:pt>
                <c:pt idx="71">
                  <c:v>100</c:v>
                </c:pt>
                <c:pt idx="72">
                  <c:v>104</c:v>
                </c:pt>
                <c:pt idx="73">
                  <c:v>106</c:v>
                </c:pt>
                <c:pt idx="74">
                  <c:v>120</c:v>
                </c:pt>
                <c:pt idx="75">
                  <c:v>106</c:v>
                </c:pt>
                <c:pt idx="76">
                  <c:v>118</c:v>
                </c:pt>
                <c:pt idx="77">
                  <c:v>92</c:v>
                </c:pt>
                <c:pt idx="78">
                  <c:v>110</c:v>
                </c:pt>
                <c:pt idx="79">
                  <c:v>101</c:v>
                </c:pt>
                <c:pt idx="80">
                  <c:v>84</c:v>
                </c:pt>
                <c:pt idx="81">
                  <c:v>115</c:v>
                </c:pt>
                <c:pt idx="82">
                  <c:v>95</c:v>
                </c:pt>
                <c:pt idx="83">
                  <c:v>114</c:v>
                </c:pt>
                <c:pt idx="84">
                  <c:v>104</c:v>
                </c:pt>
                <c:pt idx="85">
                  <c:v>89</c:v>
                </c:pt>
                <c:pt idx="86">
                  <c:v>101</c:v>
                </c:pt>
                <c:pt idx="87">
                  <c:v>85</c:v>
                </c:pt>
                <c:pt idx="88">
                  <c:v>101</c:v>
                </c:pt>
                <c:pt idx="89">
                  <c:v>104</c:v>
                </c:pt>
                <c:pt idx="90">
                  <c:v>106</c:v>
                </c:pt>
                <c:pt idx="91">
                  <c:v>95</c:v>
                </c:pt>
                <c:pt idx="92">
                  <c:v>104</c:v>
                </c:pt>
                <c:pt idx="93">
                  <c:v>105</c:v>
                </c:pt>
                <c:pt idx="94">
                  <c:v>84</c:v>
                </c:pt>
                <c:pt idx="95">
                  <c:v>93</c:v>
                </c:pt>
                <c:pt idx="96">
                  <c:v>115</c:v>
                </c:pt>
                <c:pt idx="97">
                  <c:v>109</c:v>
                </c:pt>
                <c:pt idx="98">
                  <c:v>102</c:v>
                </c:pt>
                <c:pt idx="99">
                  <c:v>100</c:v>
                </c:pt>
                <c:pt idx="100">
                  <c:v>93</c:v>
                </c:pt>
                <c:pt idx="101">
                  <c:v>121</c:v>
                </c:pt>
                <c:pt idx="102">
                  <c:v>117</c:v>
                </c:pt>
                <c:pt idx="103">
                  <c:v>98</c:v>
                </c:pt>
                <c:pt idx="104">
                  <c:v>94</c:v>
                </c:pt>
                <c:pt idx="105">
                  <c:v>112</c:v>
                </c:pt>
                <c:pt idx="106">
                  <c:v>89</c:v>
                </c:pt>
                <c:pt idx="107">
                  <c:v>119</c:v>
                </c:pt>
                <c:pt idx="108">
                  <c:v>102</c:v>
                </c:pt>
                <c:pt idx="109">
                  <c:v>87</c:v>
                </c:pt>
                <c:pt idx="110">
                  <c:v>113</c:v>
                </c:pt>
                <c:pt idx="111">
                  <c:v>106</c:v>
                </c:pt>
                <c:pt idx="112">
                  <c:v>96</c:v>
                </c:pt>
                <c:pt idx="113">
                  <c:v>110</c:v>
                </c:pt>
                <c:pt idx="114">
                  <c:v>100</c:v>
                </c:pt>
                <c:pt idx="115">
                  <c:v>84</c:v>
                </c:pt>
                <c:pt idx="116">
                  <c:v>106</c:v>
                </c:pt>
                <c:pt idx="117">
                  <c:v>114</c:v>
                </c:pt>
                <c:pt idx="118">
                  <c:v>96</c:v>
                </c:pt>
                <c:pt idx="119">
                  <c:v>102</c:v>
                </c:pt>
                <c:pt idx="120">
                  <c:v>106</c:v>
                </c:pt>
                <c:pt idx="121">
                  <c:v>93</c:v>
                </c:pt>
                <c:pt idx="122">
                  <c:v>100</c:v>
                </c:pt>
                <c:pt idx="123">
                  <c:v>111</c:v>
                </c:pt>
                <c:pt idx="124">
                  <c:v>87</c:v>
                </c:pt>
                <c:pt idx="125">
                  <c:v>100</c:v>
                </c:pt>
                <c:pt idx="126">
                  <c:v>104</c:v>
                </c:pt>
                <c:pt idx="127">
                  <c:v>78</c:v>
                </c:pt>
                <c:pt idx="128">
                  <c:v>101</c:v>
                </c:pt>
                <c:pt idx="129">
                  <c:v>100</c:v>
                </c:pt>
                <c:pt idx="130">
                  <c:v>109</c:v>
                </c:pt>
                <c:pt idx="131">
                  <c:v>98</c:v>
                </c:pt>
                <c:pt idx="132">
                  <c:v>111</c:v>
                </c:pt>
                <c:pt idx="133">
                  <c:v>97</c:v>
                </c:pt>
                <c:pt idx="134">
                  <c:v>88</c:v>
                </c:pt>
                <c:pt idx="135">
                  <c:v>101</c:v>
                </c:pt>
                <c:pt idx="136">
                  <c:v>105</c:v>
                </c:pt>
                <c:pt idx="137">
                  <c:v>102</c:v>
                </c:pt>
                <c:pt idx="138">
                  <c:v>98</c:v>
                </c:pt>
                <c:pt idx="139">
                  <c:v>96</c:v>
                </c:pt>
                <c:pt idx="140">
                  <c:v>76</c:v>
                </c:pt>
                <c:pt idx="141">
                  <c:v>112</c:v>
                </c:pt>
                <c:pt idx="142">
                  <c:v>99</c:v>
                </c:pt>
                <c:pt idx="143">
                  <c:v>100</c:v>
                </c:pt>
                <c:pt idx="144">
                  <c:v>89</c:v>
                </c:pt>
                <c:pt idx="145">
                  <c:v>102</c:v>
                </c:pt>
                <c:pt idx="146">
                  <c:v>104</c:v>
                </c:pt>
                <c:pt idx="147">
                  <c:v>96</c:v>
                </c:pt>
                <c:pt idx="148">
                  <c:v>100</c:v>
                </c:pt>
                <c:pt idx="149">
                  <c:v>105</c:v>
                </c:pt>
                <c:pt idx="150">
                  <c:v>81</c:v>
                </c:pt>
                <c:pt idx="151">
                  <c:v>120</c:v>
                </c:pt>
                <c:pt idx="152">
                  <c:v>97</c:v>
                </c:pt>
                <c:pt idx="153">
                  <c:v>99</c:v>
                </c:pt>
                <c:pt idx="154">
                  <c:v>120</c:v>
                </c:pt>
                <c:pt idx="155">
                  <c:v>90</c:v>
                </c:pt>
                <c:pt idx="156">
                  <c:v>85</c:v>
                </c:pt>
                <c:pt idx="157">
                  <c:v>84</c:v>
                </c:pt>
                <c:pt idx="158">
                  <c:v>106</c:v>
                </c:pt>
                <c:pt idx="159">
                  <c:v>112</c:v>
                </c:pt>
                <c:pt idx="160">
                  <c:v>110</c:v>
                </c:pt>
                <c:pt idx="161">
                  <c:v>86</c:v>
                </c:pt>
                <c:pt idx="162">
                  <c:v>104</c:v>
                </c:pt>
                <c:pt idx="163">
                  <c:v>107</c:v>
                </c:pt>
                <c:pt idx="164">
                  <c:v>93</c:v>
                </c:pt>
                <c:pt idx="165">
                  <c:v>108</c:v>
                </c:pt>
                <c:pt idx="166">
                  <c:v>96</c:v>
                </c:pt>
                <c:pt idx="167">
                  <c:v>95</c:v>
                </c:pt>
                <c:pt idx="168">
                  <c:v>112</c:v>
                </c:pt>
                <c:pt idx="169">
                  <c:v>108</c:v>
                </c:pt>
                <c:pt idx="170">
                  <c:v>85</c:v>
                </c:pt>
                <c:pt idx="171">
                  <c:v>87</c:v>
                </c:pt>
                <c:pt idx="172">
                  <c:v>95</c:v>
                </c:pt>
                <c:pt idx="173">
                  <c:v>97</c:v>
                </c:pt>
                <c:pt idx="174">
                  <c:v>116</c:v>
                </c:pt>
                <c:pt idx="175">
                  <c:v>95</c:v>
                </c:pt>
                <c:pt idx="176">
                  <c:v>123</c:v>
                </c:pt>
                <c:pt idx="177">
                  <c:v>104</c:v>
                </c:pt>
                <c:pt idx="178">
                  <c:v>94</c:v>
                </c:pt>
                <c:pt idx="179">
                  <c:v>105</c:v>
                </c:pt>
                <c:pt idx="180">
                  <c:v>109</c:v>
                </c:pt>
                <c:pt idx="181">
                  <c:v>84</c:v>
                </c:pt>
                <c:pt idx="182">
                  <c:v>79</c:v>
                </c:pt>
                <c:pt idx="183">
                  <c:v>98</c:v>
                </c:pt>
                <c:pt idx="184">
                  <c:v>96</c:v>
                </c:pt>
                <c:pt idx="185">
                  <c:v>88</c:v>
                </c:pt>
                <c:pt idx="186">
                  <c:v>103</c:v>
                </c:pt>
                <c:pt idx="187">
                  <c:v>83</c:v>
                </c:pt>
                <c:pt idx="188">
                  <c:v>82</c:v>
                </c:pt>
                <c:pt idx="189">
                  <c:v>106</c:v>
                </c:pt>
                <c:pt idx="190">
                  <c:v>96</c:v>
                </c:pt>
                <c:pt idx="191">
                  <c:v>96</c:v>
                </c:pt>
                <c:pt idx="192">
                  <c:v>109</c:v>
                </c:pt>
                <c:pt idx="193">
                  <c:v>98</c:v>
                </c:pt>
                <c:pt idx="194">
                  <c:v>86</c:v>
                </c:pt>
                <c:pt idx="195">
                  <c:v>79</c:v>
                </c:pt>
                <c:pt idx="196">
                  <c:v>86</c:v>
                </c:pt>
                <c:pt idx="197">
                  <c:v>108</c:v>
                </c:pt>
                <c:pt idx="198">
                  <c:v>127</c:v>
                </c:pt>
                <c:pt idx="199">
                  <c:v>93</c:v>
                </c:pt>
                <c:pt idx="200">
                  <c:v>82</c:v>
                </c:pt>
                <c:pt idx="201">
                  <c:v>104</c:v>
                </c:pt>
                <c:pt idx="202">
                  <c:v>99</c:v>
                </c:pt>
                <c:pt idx="203">
                  <c:v>102</c:v>
                </c:pt>
                <c:pt idx="204">
                  <c:v>76</c:v>
                </c:pt>
                <c:pt idx="205">
                  <c:v>99</c:v>
                </c:pt>
                <c:pt idx="206">
                  <c:v>93</c:v>
                </c:pt>
                <c:pt idx="207">
                  <c:v>99</c:v>
                </c:pt>
                <c:pt idx="208">
                  <c:v>102</c:v>
                </c:pt>
                <c:pt idx="209">
                  <c:v>106</c:v>
                </c:pt>
                <c:pt idx="210">
                  <c:v>94</c:v>
                </c:pt>
                <c:pt idx="211">
                  <c:v>105</c:v>
                </c:pt>
                <c:pt idx="212">
                  <c:v>100</c:v>
                </c:pt>
                <c:pt idx="213">
                  <c:v>122</c:v>
                </c:pt>
                <c:pt idx="214">
                  <c:v>103</c:v>
                </c:pt>
                <c:pt idx="215">
                  <c:v>119</c:v>
                </c:pt>
                <c:pt idx="216">
                  <c:v>76</c:v>
                </c:pt>
                <c:pt idx="217">
                  <c:v>96</c:v>
                </c:pt>
                <c:pt idx="218">
                  <c:v>103</c:v>
                </c:pt>
                <c:pt idx="219">
                  <c:v>111</c:v>
                </c:pt>
                <c:pt idx="220">
                  <c:v>97</c:v>
                </c:pt>
                <c:pt idx="221">
                  <c:v>112</c:v>
                </c:pt>
                <c:pt idx="222">
                  <c:v>99</c:v>
                </c:pt>
                <c:pt idx="223">
                  <c:v>124</c:v>
                </c:pt>
                <c:pt idx="224">
                  <c:v>91</c:v>
                </c:pt>
                <c:pt idx="225">
                  <c:v>103</c:v>
                </c:pt>
                <c:pt idx="226">
                  <c:v>86</c:v>
                </c:pt>
                <c:pt idx="227">
                  <c:v>101</c:v>
                </c:pt>
                <c:pt idx="228">
                  <c:v>101</c:v>
                </c:pt>
                <c:pt idx="229">
                  <c:v>101</c:v>
                </c:pt>
                <c:pt idx="230">
                  <c:v>113</c:v>
                </c:pt>
                <c:pt idx="231">
                  <c:v>87</c:v>
                </c:pt>
                <c:pt idx="232">
                  <c:v>108</c:v>
                </c:pt>
                <c:pt idx="233">
                  <c:v>100</c:v>
                </c:pt>
                <c:pt idx="234">
                  <c:v>87</c:v>
                </c:pt>
                <c:pt idx="235">
                  <c:v>96</c:v>
                </c:pt>
                <c:pt idx="236">
                  <c:v>97</c:v>
                </c:pt>
                <c:pt idx="237">
                  <c:v>116</c:v>
                </c:pt>
                <c:pt idx="238">
                  <c:v>100</c:v>
                </c:pt>
                <c:pt idx="239">
                  <c:v>97</c:v>
                </c:pt>
                <c:pt idx="240">
                  <c:v>100</c:v>
                </c:pt>
                <c:pt idx="241">
                  <c:v>99</c:v>
                </c:pt>
                <c:pt idx="242">
                  <c:v>100</c:v>
                </c:pt>
                <c:pt idx="243">
                  <c:v>100</c:v>
                </c:pt>
                <c:pt idx="244">
                  <c:v>82</c:v>
                </c:pt>
                <c:pt idx="245">
                  <c:v>87</c:v>
                </c:pt>
                <c:pt idx="246">
                  <c:v>87</c:v>
                </c:pt>
                <c:pt idx="247">
                  <c:v>90</c:v>
                </c:pt>
                <c:pt idx="248">
                  <c:v>115</c:v>
                </c:pt>
                <c:pt idx="249">
                  <c:v>105</c:v>
                </c:pt>
                <c:pt idx="250">
                  <c:v>90</c:v>
                </c:pt>
                <c:pt idx="251">
                  <c:v>89</c:v>
                </c:pt>
                <c:pt idx="252">
                  <c:v>89</c:v>
                </c:pt>
                <c:pt idx="253">
                  <c:v>86</c:v>
                </c:pt>
                <c:pt idx="254">
                  <c:v>91</c:v>
                </c:pt>
                <c:pt idx="255">
                  <c:v>100</c:v>
                </c:pt>
                <c:pt idx="256">
                  <c:v>104</c:v>
                </c:pt>
                <c:pt idx="257">
                  <c:v>80</c:v>
                </c:pt>
                <c:pt idx="258">
                  <c:v>110</c:v>
                </c:pt>
                <c:pt idx="259">
                  <c:v>90</c:v>
                </c:pt>
                <c:pt idx="260">
                  <c:v>96</c:v>
                </c:pt>
                <c:pt idx="261">
                  <c:v>103</c:v>
                </c:pt>
                <c:pt idx="262">
                  <c:v>99</c:v>
                </c:pt>
                <c:pt idx="263">
                  <c:v>76</c:v>
                </c:pt>
                <c:pt idx="264">
                  <c:v>106</c:v>
                </c:pt>
                <c:pt idx="265">
                  <c:v>100</c:v>
                </c:pt>
                <c:pt idx="266">
                  <c:v>85</c:v>
                </c:pt>
                <c:pt idx="267">
                  <c:v>101</c:v>
                </c:pt>
                <c:pt idx="268">
                  <c:v>93</c:v>
                </c:pt>
                <c:pt idx="269">
                  <c:v>91</c:v>
                </c:pt>
                <c:pt idx="270">
                  <c:v>103</c:v>
                </c:pt>
                <c:pt idx="271">
                  <c:v>109</c:v>
                </c:pt>
                <c:pt idx="272">
                  <c:v>83</c:v>
                </c:pt>
                <c:pt idx="273">
                  <c:v>102</c:v>
                </c:pt>
                <c:pt idx="274">
                  <c:v>98</c:v>
                </c:pt>
                <c:pt idx="275">
                  <c:v>93</c:v>
                </c:pt>
                <c:pt idx="276">
                  <c:v>104</c:v>
                </c:pt>
                <c:pt idx="277">
                  <c:v>96</c:v>
                </c:pt>
                <c:pt idx="278">
                  <c:v>103</c:v>
                </c:pt>
                <c:pt idx="279">
                  <c:v>85</c:v>
                </c:pt>
                <c:pt idx="280">
                  <c:v>92</c:v>
                </c:pt>
                <c:pt idx="281">
                  <c:v>90</c:v>
                </c:pt>
                <c:pt idx="282">
                  <c:v>83</c:v>
                </c:pt>
                <c:pt idx="283">
                  <c:v>86</c:v>
                </c:pt>
                <c:pt idx="284">
                  <c:v>110</c:v>
                </c:pt>
                <c:pt idx="285">
                  <c:v>89</c:v>
                </c:pt>
                <c:pt idx="286">
                  <c:v>118</c:v>
                </c:pt>
                <c:pt idx="287">
                  <c:v>102</c:v>
                </c:pt>
                <c:pt idx="288">
                  <c:v>108</c:v>
                </c:pt>
                <c:pt idx="289">
                  <c:v>95</c:v>
                </c:pt>
                <c:pt idx="290">
                  <c:v>100</c:v>
                </c:pt>
                <c:pt idx="291">
                  <c:v>86</c:v>
                </c:pt>
                <c:pt idx="292">
                  <c:v>94</c:v>
                </c:pt>
                <c:pt idx="293">
                  <c:v>88</c:v>
                </c:pt>
                <c:pt idx="294">
                  <c:v>100</c:v>
                </c:pt>
                <c:pt idx="295">
                  <c:v>95</c:v>
                </c:pt>
                <c:pt idx="296">
                  <c:v>95</c:v>
                </c:pt>
                <c:pt idx="297">
                  <c:v>92</c:v>
                </c:pt>
                <c:pt idx="298">
                  <c:v>108</c:v>
                </c:pt>
                <c:pt idx="299">
                  <c:v>99</c:v>
                </c:pt>
                <c:pt idx="300">
                  <c:v>95</c:v>
                </c:pt>
                <c:pt idx="301">
                  <c:v>86</c:v>
                </c:pt>
                <c:pt idx="302">
                  <c:v>120</c:v>
                </c:pt>
                <c:pt idx="303">
                  <c:v>81</c:v>
                </c:pt>
                <c:pt idx="304">
                  <c:v>102</c:v>
                </c:pt>
                <c:pt idx="305">
                  <c:v>87</c:v>
                </c:pt>
                <c:pt idx="306">
                  <c:v>90</c:v>
                </c:pt>
                <c:pt idx="307">
                  <c:v>89</c:v>
                </c:pt>
                <c:pt idx="308">
                  <c:v>105</c:v>
                </c:pt>
                <c:pt idx="309">
                  <c:v>96</c:v>
                </c:pt>
                <c:pt idx="310">
                  <c:v>97</c:v>
                </c:pt>
                <c:pt idx="311">
                  <c:v>98</c:v>
                </c:pt>
                <c:pt idx="312">
                  <c:v>100</c:v>
                </c:pt>
                <c:pt idx="313">
                  <c:v>108</c:v>
                </c:pt>
                <c:pt idx="314">
                  <c:v>92</c:v>
                </c:pt>
                <c:pt idx="315">
                  <c:v>97</c:v>
                </c:pt>
                <c:pt idx="316">
                  <c:v>116</c:v>
                </c:pt>
                <c:pt idx="317">
                  <c:v>103</c:v>
                </c:pt>
                <c:pt idx="318">
                  <c:v>87</c:v>
                </c:pt>
                <c:pt idx="319">
                  <c:v>103</c:v>
                </c:pt>
                <c:pt idx="320">
                  <c:v>115</c:v>
                </c:pt>
                <c:pt idx="321">
                  <c:v>88</c:v>
                </c:pt>
                <c:pt idx="322">
                  <c:v>100</c:v>
                </c:pt>
                <c:pt idx="323">
                  <c:v>108</c:v>
                </c:pt>
                <c:pt idx="324">
                  <c:v>96</c:v>
                </c:pt>
                <c:pt idx="325">
                  <c:v>86</c:v>
                </c:pt>
                <c:pt idx="326">
                  <c:v>87</c:v>
                </c:pt>
                <c:pt idx="327">
                  <c:v>109</c:v>
                </c:pt>
                <c:pt idx="328">
                  <c:v>91</c:v>
                </c:pt>
                <c:pt idx="329">
                  <c:v>107</c:v>
                </c:pt>
                <c:pt idx="330">
                  <c:v>106</c:v>
                </c:pt>
                <c:pt idx="331">
                  <c:v>92</c:v>
                </c:pt>
                <c:pt idx="332">
                  <c:v>90</c:v>
                </c:pt>
                <c:pt idx="333">
                  <c:v>102</c:v>
                </c:pt>
                <c:pt idx="334">
                  <c:v>99</c:v>
                </c:pt>
                <c:pt idx="335">
                  <c:v>88</c:v>
                </c:pt>
                <c:pt idx="336">
                  <c:v>100</c:v>
                </c:pt>
                <c:pt idx="337">
                  <c:v>100</c:v>
                </c:pt>
                <c:pt idx="338">
                  <c:v>106</c:v>
                </c:pt>
                <c:pt idx="339">
                  <c:v>94</c:v>
                </c:pt>
                <c:pt idx="340">
                  <c:v>98</c:v>
                </c:pt>
                <c:pt idx="341">
                  <c:v>119</c:v>
                </c:pt>
                <c:pt idx="342">
                  <c:v>99</c:v>
                </c:pt>
                <c:pt idx="343">
                  <c:v>87</c:v>
                </c:pt>
                <c:pt idx="344">
                  <c:v>92</c:v>
                </c:pt>
                <c:pt idx="345">
                  <c:v>103</c:v>
                </c:pt>
                <c:pt idx="346">
                  <c:v>79</c:v>
                </c:pt>
                <c:pt idx="347">
                  <c:v>110</c:v>
                </c:pt>
                <c:pt idx="348">
                  <c:v>95</c:v>
                </c:pt>
                <c:pt idx="349">
                  <c:v>101</c:v>
                </c:pt>
                <c:pt idx="350">
                  <c:v>95</c:v>
                </c:pt>
                <c:pt idx="351">
                  <c:v>107</c:v>
                </c:pt>
                <c:pt idx="352">
                  <c:v>91</c:v>
                </c:pt>
                <c:pt idx="353">
                  <c:v>87</c:v>
                </c:pt>
                <c:pt idx="354">
                  <c:v>100</c:v>
                </c:pt>
                <c:pt idx="355">
                  <c:v>117</c:v>
                </c:pt>
                <c:pt idx="356">
                  <c:v>102</c:v>
                </c:pt>
                <c:pt idx="357">
                  <c:v>88</c:v>
                </c:pt>
                <c:pt idx="358">
                  <c:v>100</c:v>
                </c:pt>
                <c:pt idx="359">
                  <c:v>81</c:v>
                </c:pt>
                <c:pt idx="360">
                  <c:v>91</c:v>
                </c:pt>
                <c:pt idx="361">
                  <c:v>90</c:v>
                </c:pt>
                <c:pt idx="362">
                  <c:v>102</c:v>
                </c:pt>
                <c:pt idx="363">
                  <c:v>109</c:v>
                </c:pt>
                <c:pt idx="364">
                  <c:v>101</c:v>
                </c:pt>
                <c:pt idx="365">
                  <c:v>97</c:v>
                </c:pt>
                <c:pt idx="366">
                  <c:v>88</c:v>
                </c:pt>
                <c:pt idx="367">
                  <c:v>100</c:v>
                </c:pt>
                <c:pt idx="368">
                  <c:v>104</c:v>
                </c:pt>
                <c:pt idx="369">
                  <c:v>106</c:v>
                </c:pt>
                <c:pt idx="370">
                  <c:v>91</c:v>
                </c:pt>
                <c:pt idx="371">
                  <c:v>110</c:v>
                </c:pt>
                <c:pt idx="372">
                  <c:v>104</c:v>
                </c:pt>
                <c:pt idx="373">
                  <c:v>85</c:v>
                </c:pt>
                <c:pt idx="374">
                  <c:v>107</c:v>
                </c:pt>
                <c:pt idx="375">
                  <c:v>111</c:v>
                </c:pt>
                <c:pt idx="376">
                  <c:v>107</c:v>
                </c:pt>
                <c:pt idx="377">
                  <c:v>94</c:v>
                </c:pt>
                <c:pt idx="378">
                  <c:v>91</c:v>
                </c:pt>
                <c:pt idx="379">
                  <c:v>89</c:v>
                </c:pt>
                <c:pt idx="380">
                  <c:v>98</c:v>
                </c:pt>
                <c:pt idx="381">
                  <c:v>110</c:v>
                </c:pt>
                <c:pt idx="382">
                  <c:v>93</c:v>
                </c:pt>
                <c:pt idx="383">
                  <c:v>103</c:v>
                </c:pt>
                <c:pt idx="384">
                  <c:v>100</c:v>
                </c:pt>
                <c:pt idx="385">
                  <c:v>101</c:v>
                </c:pt>
                <c:pt idx="386">
                  <c:v>94</c:v>
                </c:pt>
                <c:pt idx="387">
                  <c:v>108</c:v>
                </c:pt>
                <c:pt idx="388">
                  <c:v>113</c:v>
                </c:pt>
                <c:pt idx="389">
                  <c:v>115</c:v>
                </c:pt>
                <c:pt idx="390">
                  <c:v>98</c:v>
                </c:pt>
                <c:pt idx="391">
                  <c:v>93</c:v>
                </c:pt>
                <c:pt idx="392">
                  <c:v>104</c:v>
                </c:pt>
                <c:pt idx="393">
                  <c:v>100</c:v>
                </c:pt>
                <c:pt idx="394">
                  <c:v>89</c:v>
                </c:pt>
                <c:pt idx="395">
                  <c:v>86</c:v>
                </c:pt>
                <c:pt idx="396">
                  <c:v>93</c:v>
                </c:pt>
                <c:pt idx="397">
                  <c:v>104</c:v>
                </c:pt>
                <c:pt idx="398">
                  <c:v>91</c:v>
                </c:pt>
                <c:pt idx="399">
                  <c:v>113</c:v>
                </c:pt>
                <c:pt idx="400">
                  <c:v>103</c:v>
                </c:pt>
                <c:pt idx="401">
                  <c:v>98</c:v>
                </c:pt>
                <c:pt idx="402">
                  <c:v>100</c:v>
                </c:pt>
                <c:pt idx="403">
                  <c:v>89</c:v>
                </c:pt>
                <c:pt idx="404">
                  <c:v>83</c:v>
                </c:pt>
                <c:pt idx="405">
                  <c:v>92</c:v>
                </c:pt>
                <c:pt idx="406">
                  <c:v>81</c:v>
                </c:pt>
                <c:pt idx="407">
                  <c:v>91</c:v>
                </c:pt>
                <c:pt idx="408">
                  <c:v>102</c:v>
                </c:pt>
                <c:pt idx="409">
                  <c:v>107</c:v>
                </c:pt>
                <c:pt idx="410">
                  <c:v>103</c:v>
                </c:pt>
                <c:pt idx="411">
                  <c:v>100</c:v>
                </c:pt>
                <c:pt idx="412">
                  <c:v>97</c:v>
                </c:pt>
                <c:pt idx="413">
                  <c:v>85</c:v>
                </c:pt>
                <c:pt idx="414">
                  <c:v>107</c:v>
                </c:pt>
                <c:pt idx="415">
                  <c:v>106</c:v>
                </c:pt>
                <c:pt idx="416">
                  <c:v>92</c:v>
                </c:pt>
                <c:pt idx="417">
                  <c:v>110</c:v>
                </c:pt>
                <c:pt idx="418">
                  <c:v>93</c:v>
                </c:pt>
                <c:pt idx="419">
                  <c:v>104</c:v>
                </c:pt>
                <c:pt idx="420">
                  <c:v>117</c:v>
                </c:pt>
                <c:pt idx="421">
                  <c:v>122</c:v>
                </c:pt>
                <c:pt idx="422">
                  <c:v>90</c:v>
                </c:pt>
                <c:pt idx="423">
                  <c:v>113</c:v>
                </c:pt>
                <c:pt idx="424">
                  <c:v>110</c:v>
                </c:pt>
                <c:pt idx="425">
                  <c:v>106</c:v>
                </c:pt>
                <c:pt idx="426">
                  <c:v>92</c:v>
                </c:pt>
                <c:pt idx="427">
                  <c:v>121</c:v>
                </c:pt>
                <c:pt idx="428">
                  <c:v>89</c:v>
                </c:pt>
                <c:pt idx="429">
                  <c:v>117</c:v>
                </c:pt>
                <c:pt idx="430">
                  <c:v>106</c:v>
                </c:pt>
                <c:pt idx="431">
                  <c:v>121</c:v>
                </c:pt>
                <c:pt idx="432">
                  <c:v>95</c:v>
                </c:pt>
                <c:pt idx="433">
                  <c:v>91</c:v>
                </c:pt>
                <c:pt idx="434">
                  <c:v>82</c:v>
                </c:pt>
                <c:pt idx="435">
                  <c:v>100</c:v>
                </c:pt>
                <c:pt idx="436">
                  <c:v>81</c:v>
                </c:pt>
                <c:pt idx="437">
                  <c:v>101</c:v>
                </c:pt>
                <c:pt idx="438">
                  <c:v>95</c:v>
                </c:pt>
                <c:pt idx="439">
                  <c:v>114</c:v>
                </c:pt>
                <c:pt idx="440">
                  <c:v>92</c:v>
                </c:pt>
                <c:pt idx="441">
                  <c:v>113</c:v>
                </c:pt>
                <c:pt idx="442">
                  <c:v>113</c:v>
                </c:pt>
                <c:pt idx="443">
                  <c:v>120</c:v>
                </c:pt>
                <c:pt idx="444">
                  <c:v>108</c:v>
                </c:pt>
                <c:pt idx="445">
                  <c:v>99</c:v>
                </c:pt>
                <c:pt idx="446">
                  <c:v>108</c:v>
                </c:pt>
                <c:pt idx="447">
                  <c:v>98</c:v>
                </c:pt>
                <c:pt idx="448">
                  <c:v>92</c:v>
                </c:pt>
                <c:pt idx="449">
                  <c:v>96</c:v>
                </c:pt>
                <c:pt idx="450">
                  <c:v>94</c:v>
                </c:pt>
                <c:pt idx="451">
                  <c:v>75</c:v>
                </c:pt>
                <c:pt idx="452">
                  <c:v>97</c:v>
                </c:pt>
                <c:pt idx="453">
                  <c:v>100</c:v>
                </c:pt>
                <c:pt idx="454">
                  <c:v>98</c:v>
                </c:pt>
                <c:pt idx="455">
                  <c:v>121</c:v>
                </c:pt>
                <c:pt idx="456">
                  <c:v>103</c:v>
                </c:pt>
                <c:pt idx="457">
                  <c:v>121</c:v>
                </c:pt>
                <c:pt idx="458">
                  <c:v>103</c:v>
                </c:pt>
                <c:pt idx="459">
                  <c:v>91</c:v>
                </c:pt>
                <c:pt idx="460">
                  <c:v>91</c:v>
                </c:pt>
                <c:pt idx="461">
                  <c:v>107</c:v>
                </c:pt>
                <c:pt idx="462">
                  <c:v>97</c:v>
                </c:pt>
                <c:pt idx="463">
                  <c:v>106</c:v>
                </c:pt>
                <c:pt idx="464">
                  <c:v>110</c:v>
                </c:pt>
                <c:pt idx="465">
                  <c:v>91</c:v>
                </c:pt>
                <c:pt idx="466">
                  <c:v>103</c:v>
                </c:pt>
                <c:pt idx="467">
                  <c:v>84</c:v>
                </c:pt>
                <c:pt idx="468">
                  <c:v>93</c:v>
                </c:pt>
                <c:pt idx="469">
                  <c:v>113</c:v>
                </c:pt>
                <c:pt idx="470">
                  <c:v>105</c:v>
                </c:pt>
                <c:pt idx="471">
                  <c:v>83</c:v>
                </c:pt>
                <c:pt idx="472">
                  <c:v>96</c:v>
                </c:pt>
                <c:pt idx="473">
                  <c:v>107</c:v>
                </c:pt>
                <c:pt idx="474">
                  <c:v>83</c:v>
                </c:pt>
                <c:pt idx="475">
                  <c:v>105</c:v>
                </c:pt>
                <c:pt idx="476">
                  <c:v>112</c:v>
                </c:pt>
                <c:pt idx="477">
                  <c:v>99</c:v>
                </c:pt>
                <c:pt idx="478">
                  <c:v>111</c:v>
                </c:pt>
                <c:pt idx="479">
                  <c:v>105</c:v>
                </c:pt>
                <c:pt idx="480">
                  <c:v>93</c:v>
                </c:pt>
                <c:pt idx="481">
                  <c:v>109</c:v>
                </c:pt>
                <c:pt idx="482">
                  <c:v>106</c:v>
                </c:pt>
                <c:pt idx="483">
                  <c:v>106</c:v>
                </c:pt>
                <c:pt idx="484">
                  <c:v>103</c:v>
                </c:pt>
                <c:pt idx="485">
                  <c:v>113</c:v>
                </c:pt>
                <c:pt idx="486">
                  <c:v>111</c:v>
                </c:pt>
                <c:pt idx="487">
                  <c:v>92</c:v>
                </c:pt>
                <c:pt idx="488">
                  <c:v>89</c:v>
                </c:pt>
                <c:pt idx="489">
                  <c:v>111</c:v>
                </c:pt>
                <c:pt idx="490">
                  <c:v>104</c:v>
                </c:pt>
                <c:pt idx="491">
                  <c:v>108</c:v>
                </c:pt>
                <c:pt idx="492">
                  <c:v>109</c:v>
                </c:pt>
                <c:pt idx="493">
                  <c:v>108</c:v>
                </c:pt>
                <c:pt idx="494">
                  <c:v>127</c:v>
                </c:pt>
                <c:pt idx="495">
                  <c:v>104</c:v>
                </c:pt>
                <c:pt idx="496">
                  <c:v>106</c:v>
                </c:pt>
                <c:pt idx="497">
                  <c:v>94</c:v>
                </c:pt>
                <c:pt idx="498">
                  <c:v>81</c:v>
                </c:pt>
                <c:pt idx="499">
                  <c:v>95</c:v>
                </c:pt>
              </c:numCache>
            </c:numRef>
          </c:val>
          <c:extLst>
            <c:ext xmlns:c16="http://schemas.microsoft.com/office/drawing/2014/chart" uri="{C3380CC4-5D6E-409C-BE32-E72D297353CC}">
              <c16:uniqueId val="{00000001-F0CB-46C7-8C5F-0FE5A11CE2A3}"/>
            </c:ext>
          </c:extLst>
        </c:ser>
        <c:dLbls>
          <c:showLegendKey val="0"/>
          <c:showVal val="0"/>
          <c:showCatName val="0"/>
          <c:showSerName val="0"/>
          <c:showPercent val="0"/>
          <c:showBubbleSize val="0"/>
        </c:dLbls>
        <c:gapWidth val="269"/>
        <c:axId val="2138121408"/>
        <c:axId val="2138124288"/>
      </c:barChart>
      <c:lineChart>
        <c:grouping val="standard"/>
        <c:varyColors val="0"/>
        <c:ser>
          <c:idx val="1"/>
          <c:order val="1"/>
          <c:tx>
            <c:strRef>
              <c:f>'Units_Sold and Average_Price ov'!$D$3</c:f>
              <c:strCache>
                <c:ptCount val="1"/>
                <c:pt idx="0">
                  <c:v>Average_Price</c:v>
                </c:pt>
              </c:strCache>
            </c:strRef>
          </c:tx>
          <c:spPr>
            <a:ln w="38100" cap="rnd">
              <a:solidFill>
                <a:schemeClr val="accent2"/>
              </a:solidFill>
              <a:round/>
            </a:ln>
            <a:effectLst/>
          </c:spPr>
          <c:marker>
            <c:symbol val="none"/>
          </c:marker>
          <c:val>
            <c:numRef>
              <c:f>'Units_Sold and Average_Price ov'!$D$4:$D$503</c:f>
              <c:numCache>
                <c:formatCode>General</c:formatCode>
                <c:ptCount val="500"/>
                <c:pt idx="0">
                  <c:v>27205.390763642099</c:v>
                </c:pt>
                <c:pt idx="1">
                  <c:v>31886.059375322606</c:v>
                </c:pt>
                <c:pt idx="2">
                  <c:v>27205.390763642099</c:v>
                </c:pt>
                <c:pt idx="3">
                  <c:v>29671.248694635098</c:v>
                </c:pt>
                <c:pt idx="4">
                  <c:v>27224.002366534009</c:v>
                </c:pt>
                <c:pt idx="5">
                  <c:v>39405.785347202953</c:v>
                </c:pt>
                <c:pt idx="6">
                  <c:v>22759.93049791878</c:v>
                </c:pt>
                <c:pt idx="7">
                  <c:v>19005.97021689959</c:v>
                </c:pt>
                <c:pt idx="8">
                  <c:v>32200.072250266661</c:v>
                </c:pt>
                <c:pt idx="9">
                  <c:v>27489.728878236943</c:v>
                </c:pt>
                <c:pt idx="10">
                  <c:v>24893.835914346433</c:v>
                </c:pt>
                <c:pt idx="11">
                  <c:v>33541.782236496765</c:v>
                </c:pt>
                <c:pt idx="12">
                  <c:v>31219.003568855995</c:v>
                </c:pt>
                <c:pt idx="13">
                  <c:v>27179.606846316357</c:v>
                </c:pt>
                <c:pt idx="14">
                  <c:v>23598.478006645528</c:v>
                </c:pt>
                <c:pt idx="15">
                  <c:v>34362.286641400722</c:v>
                </c:pt>
                <c:pt idx="16">
                  <c:v>33251.005889793305</c:v>
                </c:pt>
                <c:pt idx="17">
                  <c:v>29504.120681103086</c:v>
                </c:pt>
                <c:pt idx="18">
                  <c:v>39233.184980238329</c:v>
                </c:pt>
                <c:pt idx="19">
                  <c:v>24649.576168369236</c:v>
                </c:pt>
                <c:pt idx="20">
                  <c:v>22372.374145376307</c:v>
                </c:pt>
                <c:pt idx="21">
                  <c:v>26540.459650593777</c:v>
                </c:pt>
                <c:pt idx="22">
                  <c:v>29772.069918222511</c:v>
                </c:pt>
                <c:pt idx="23">
                  <c:v>31216.697246613458</c:v>
                </c:pt>
                <c:pt idx="24">
                  <c:v>28793.819710718351</c:v>
                </c:pt>
                <c:pt idx="25">
                  <c:v>27205.390763642099</c:v>
                </c:pt>
                <c:pt idx="26">
                  <c:v>23742.30287904778</c:v>
                </c:pt>
                <c:pt idx="27">
                  <c:v>37218.823020366297</c:v>
                </c:pt>
                <c:pt idx="28">
                  <c:v>29589.244108037157</c:v>
                </c:pt>
                <c:pt idx="29">
                  <c:v>35586.479157940637</c:v>
                </c:pt>
                <c:pt idx="30">
                  <c:v>31713.626731888522</c:v>
                </c:pt>
                <c:pt idx="31">
                  <c:v>32283.766095768919</c:v>
                </c:pt>
                <c:pt idx="32">
                  <c:v>32848.836401161017</c:v>
                </c:pt>
                <c:pt idx="33">
                  <c:v>32238.542800086576</c:v>
                </c:pt>
                <c:pt idx="34">
                  <c:v>33213.61379933772</c:v>
                </c:pt>
                <c:pt idx="35">
                  <c:v>36645.76265066216</c:v>
                </c:pt>
                <c:pt idx="36">
                  <c:v>30982.605848507352</c:v>
                </c:pt>
                <c:pt idx="37">
                  <c:v>33545.018787942565</c:v>
                </c:pt>
                <c:pt idx="38">
                  <c:v>29551.321528563865</c:v>
                </c:pt>
                <c:pt idx="39">
                  <c:v>37200.586077247368</c:v>
                </c:pt>
                <c:pt idx="40">
                  <c:v>26618.038489703653</c:v>
                </c:pt>
                <c:pt idx="41">
                  <c:v>39004.702164554081</c:v>
                </c:pt>
                <c:pt idx="42">
                  <c:v>29799.210246778282</c:v>
                </c:pt>
                <c:pt idx="43">
                  <c:v>22846.124489409758</c:v>
                </c:pt>
                <c:pt idx="44">
                  <c:v>30640.522074553948</c:v>
                </c:pt>
                <c:pt idx="45">
                  <c:v>26594.741712625597</c:v>
                </c:pt>
                <c:pt idx="46">
                  <c:v>34203.21774494362</c:v>
                </c:pt>
                <c:pt idx="47">
                  <c:v>26736.880103488045</c:v>
                </c:pt>
                <c:pt idx="48">
                  <c:v>27769.082833926102</c:v>
                </c:pt>
                <c:pt idx="49">
                  <c:v>20552.296345272345</c:v>
                </c:pt>
                <c:pt idx="50">
                  <c:v>27738.468403754618</c:v>
                </c:pt>
                <c:pt idx="51">
                  <c:v>17880.603366855219</c:v>
                </c:pt>
                <c:pt idx="52">
                  <c:v>22080.485882571382</c:v>
                </c:pt>
                <c:pt idx="53">
                  <c:v>33802.073280721488</c:v>
                </c:pt>
                <c:pt idx="54">
                  <c:v>35586.479157940637</c:v>
                </c:pt>
                <c:pt idx="55">
                  <c:v>32127.287808924822</c:v>
                </c:pt>
                <c:pt idx="56">
                  <c:v>25165.119284353936</c:v>
                </c:pt>
                <c:pt idx="57">
                  <c:v>29761.4432192901</c:v>
                </c:pt>
                <c:pt idx="58">
                  <c:v>29981.987304547158</c:v>
                </c:pt>
                <c:pt idx="59">
                  <c:v>24208.176554037287</c:v>
                </c:pt>
                <c:pt idx="60">
                  <c:v>37516.991508835752</c:v>
                </c:pt>
                <c:pt idx="61">
                  <c:v>34386.811452878355</c:v>
                </c:pt>
                <c:pt idx="62">
                  <c:v>30599.02924</c:v>
                </c:pt>
                <c:pt idx="63">
                  <c:v>30134.429194972654</c:v>
                </c:pt>
                <c:pt idx="64">
                  <c:v>31041.914039737763</c:v>
                </c:pt>
                <c:pt idx="65">
                  <c:v>19791.325657878548</c:v>
                </c:pt>
                <c:pt idx="66">
                  <c:v>28764.113087397014</c:v>
                </c:pt>
                <c:pt idx="67">
                  <c:v>26590.078760011005</c:v>
                </c:pt>
                <c:pt idx="68">
                  <c:v>30599.02924</c:v>
                </c:pt>
                <c:pt idx="69">
                  <c:v>28594.498535570227</c:v>
                </c:pt>
                <c:pt idx="70">
                  <c:v>38988.432634247612</c:v>
                </c:pt>
                <c:pt idx="71">
                  <c:v>33204.214306335052</c:v>
                </c:pt>
                <c:pt idx="72">
                  <c:v>27144.105051086015</c:v>
                </c:pt>
                <c:pt idx="73">
                  <c:v>32862.913906780792</c:v>
                </c:pt>
                <c:pt idx="74">
                  <c:v>36996.777182930011</c:v>
                </c:pt>
                <c:pt idx="75">
                  <c:v>27738.468403754618</c:v>
                </c:pt>
                <c:pt idx="76">
                  <c:v>30298.151849600872</c:v>
                </c:pt>
                <c:pt idx="77">
                  <c:v>26765.31611147213</c:v>
                </c:pt>
                <c:pt idx="78">
                  <c:v>33491.116568067948</c:v>
                </c:pt>
                <c:pt idx="79">
                  <c:v>31967.426927108747</c:v>
                </c:pt>
                <c:pt idx="80">
                  <c:v>34475.966100138663</c:v>
                </c:pt>
                <c:pt idx="81">
                  <c:v>33175.859008409847</c:v>
                </c:pt>
                <c:pt idx="82">
                  <c:v>35247.763576596677</c:v>
                </c:pt>
                <c:pt idx="83">
                  <c:v>27323.823942197159</c:v>
                </c:pt>
                <c:pt idx="84">
                  <c:v>36586.970328171628</c:v>
                </c:pt>
                <c:pt idx="85">
                  <c:v>30987.998023461998</c:v>
                </c:pt>
                <c:pt idx="86">
                  <c:v>40376.304363126328</c:v>
                </c:pt>
                <c:pt idx="87">
                  <c:v>26554.060909552161</c:v>
                </c:pt>
                <c:pt idx="88">
                  <c:v>38679.819015826244</c:v>
                </c:pt>
                <c:pt idx="89">
                  <c:v>30989.553917313238</c:v>
                </c:pt>
                <c:pt idx="90">
                  <c:v>19791.325657878548</c:v>
                </c:pt>
                <c:pt idx="91">
                  <c:v>27580.570829728393</c:v>
                </c:pt>
                <c:pt idx="92">
                  <c:v>28398.2634590284</c:v>
                </c:pt>
                <c:pt idx="93">
                  <c:v>32120.829732009581</c:v>
                </c:pt>
                <c:pt idx="94">
                  <c:v>32614.177440177496</c:v>
                </c:pt>
                <c:pt idx="95">
                  <c:v>27131.499980307104</c:v>
                </c:pt>
                <c:pt idx="96">
                  <c:v>29878.227038695084</c:v>
                </c:pt>
                <c:pt idx="97">
                  <c:v>40711.351793059323</c:v>
                </c:pt>
                <c:pt idx="98">
                  <c:v>38637.715850503555</c:v>
                </c:pt>
                <c:pt idx="99">
                  <c:v>32181.618348370161</c:v>
                </c:pt>
                <c:pt idx="100">
                  <c:v>30190.017390841</c:v>
                </c:pt>
                <c:pt idx="101">
                  <c:v>30600.156633591305</c:v>
                </c:pt>
                <c:pt idx="102">
                  <c:v>33067.589863652087</c:v>
                </c:pt>
                <c:pt idx="103">
                  <c:v>24886.037174007972</c:v>
                </c:pt>
                <c:pt idx="104">
                  <c:v>28713.117312883274</c:v>
                </c:pt>
                <c:pt idx="105">
                  <c:v>21657.079630612054</c:v>
                </c:pt>
                <c:pt idx="106">
                  <c:v>31996.115613026395</c:v>
                </c:pt>
                <c:pt idx="107">
                  <c:v>33235.979698513707</c:v>
                </c:pt>
                <c:pt idx="108">
                  <c:v>27584.067688503128</c:v>
                </c:pt>
                <c:pt idx="109">
                  <c:v>37869.933816450168</c:v>
                </c:pt>
                <c:pt idx="110">
                  <c:v>23871.171684988294</c:v>
                </c:pt>
                <c:pt idx="111">
                  <c:v>22678.125598950901</c:v>
                </c:pt>
                <c:pt idx="112">
                  <c:v>26554.060909552161</c:v>
                </c:pt>
                <c:pt idx="113">
                  <c:v>35235.49151306077</c:v>
                </c:pt>
                <c:pt idx="114">
                  <c:v>38419.638457289344</c:v>
                </c:pt>
                <c:pt idx="115">
                  <c:v>27705.578685655299</c:v>
                </c:pt>
                <c:pt idx="116">
                  <c:v>35393.404167156477</c:v>
                </c:pt>
                <c:pt idx="117">
                  <c:v>29807.457652496465</c:v>
                </c:pt>
                <c:pt idx="118">
                  <c:v>29136.863500295902</c:v>
                </c:pt>
                <c:pt idx="119">
                  <c:v>34418.299687433362</c:v>
                </c:pt>
                <c:pt idx="120">
                  <c:v>33261.614392067095</c:v>
                </c:pt>
                <c:pt idx="121">
                  <c:v>22118.039215078752</c:v>
                </c:pt>
                <c:pt idx="122">
                  <c:v>37382.701748629479</c:v>
                </c:pt>
                <c:pt idx="123">
                  <c:v>36900.456770737255</c:v>
                </c:pt>
                <c:pt idx="124">
                  <c:v>32181.618348370161</c:v>
                </c:pt>
                <c:pt idx="125">
                  <c:v>31979.017667187047</c:v>
                </c:pt>
                <c:pt idx="126">
                  <c:v>32470.150931413693</c:v>
                </c:pt>
                <c:pt idx="127">
                  <c:v>30599.02924</c:v>
                </c:pt>
                <c:pt idx="128">
                  <c:v>27248.474230772899</c:v>
                </c:pt>
                <c:pt idx="129">
                  <c:v>26641.883160309742</c:v>
                </c:pt>
                <c:pt idx="130">
                  <c:v>29872.229645042775</c:v>
                </c:pt>
                <c:pt idx="131">
                  <c:v>35863.645096296823</c:v>
                </c:pt>
                <c:pt idx="132">
                  <c:v>32718.000772972162</c:v>
                </c:pt>
                <c:pt idx="133">
                  <c:v>28146.928339569469</c:v>
                </c:pt>
                <c:pt idx="134">
                  <c:v>33858.493553241722</c:v>
                </c:pt>
                <c:pt idx="135">
                  <c:v>30599.02924</c:v>
                </c:pt>
                <c:pt idx="136">
                  <c:v>35743.828501860517</c:v>
                </c:pt>
                <c:pt idx="137">
                  <c:v>21301.4311061095</c:v>
                </c:pt>
                <c:pt idx="138">
                  <c:v>28187.795292984338</c:v>
                </c:pt>
                <c:pt idx="139">
                  <c:v>24401.650526869282</c:v>
                </c:pt>
                <c:pt idx="140">
                  <c:v>23526.59262139547</c:v>
                </c:pt>
                <c:pt idx="141">
                  <c:v>35804.133936892598</c:v>
                </c:pt>
                <c:pt idx="142">
                  <c:v>27661.493993440545</c:v>
                </c:pt>
                <c:pt idx="143">
                  <c:v>31732.519408653578</c:v>
                </c:pt>
                <c:pt idx="144">
                  <c:v>29765.397105604079</c:v>
                </c:pt>
                <c:pt idx="145">
                  <c:v>32385.204136115608</c:v>
                </c:pt>
                <c:pt idx="146">
                  <c:v>30384.109455301277</c:v>
                </c:pt>
                <c:pt idx="147">
                  <c:v>23585.038879057152</c:v>
                </c:pt>
                <c:pt idx="148">
                  <c:v>34981.334097235696</c:v>
                </c:pt>
                <c:pt idx="149">
                  <c:v>27531.217084193438</c:v>
                </c:pt>
                <c:pt idx="150">
                  <c:v>22217.090506701243</c:v>
                </c:pt>
                <c:pt idx="151">
                  <c:v>27859.424195170439</c:v>
                </c:pt>
                <c:pt idx="152">
                  <c:v>37503.798953171558</c:v>
                </c:pt>
                <c:pt idx="153">
                  <c:v>34251.108710567467</c:v>
                </c:pt>
                <c:pt idx="154">
                  <c:v>28256.739327960706</c:v>
                </c:pt>
                <c:pt idx="155">
                  <c:v>28253.711478407855</c:v>
                </c:pt>
                <c:pt idx="156">
                  <c:v>28391.824743913086</c:v>
                </c:pt>
                <c:pt idx="157">
                  <c:v>40383.739917804203</c:v>
                </c:pt>
                <c:pt idx="158">
                  <c:v>31909.677261157765</c:v>
                </c:pt>
                <c:pt idx="159">
                  <c:v>32150.20823595535</c:v>
                </c:pt>
                <c:pt idx="160">
                  <c:v>35151.417270159211</c:v>
                </c:pt>
                <c:pt idx="161">
                  <c:v>31193.945795132568</c:v>
                </c:pt>
                <c:pt idx="162">
                  <c:v>30599.02924</c:v>
                </c:pt>
                <c:pt idx="163">
                  <c:v>29018.250754575107</c:v>
                </c:pt>
                <c:pt idx="164">
                  <c:v>29641.993702929682</c:v>
                </c:pt>
                <c:pt idx="165">
                  <c:v>29813.888817450792</c:v>
                </c:pt>
                <c:pt idx="166">
                  <c:v>33638.147718184897</c:v>
                </c:pt>
                <c:pt idx="167">
                  <c:v>30259.729429036499</c:v>
                </c:pt>
                <c:pt idx="168">
                  <c:v>33663.200386077893</c:v>
                </c:pt>
                <c:pt idx="169">
                  <c:v>29596.417099457089</c:v>
                </c:pt>
                <c:pt idx="170">
                  <c:v>30393.175951580452</c:v>
                </c:pt>
                <c:pt idx="171">
                  <c:v>20008.996577339462</c:v>
                </c:pt>
                <c:pt idx="172">
                  <c:v>34581.638373512411</c:v>
                </c:pt>
                <c:pt idx="173">
                  <c:v>31732.442379489963</c:v>
                </c:pt>
                <c:pt idx="174">
                  <c:v>34990.050549298263</c:v>
                </c:pt>
                <c:pt idx="175">
                  <c:v>30599.02924</c:v>
                </c:pt>
                <c:pt idx="176">
                  <c:v>40441.87352390364</c:v>
                </c:pt>
                <c:pt idx="177">
                  <c:v>29302.051859224131</c:v>
                </c:pt>
                <c:pt idx="178">
                  <c:v>35540.914083687581</c:v>
                </c:pt>
                <c:pt idx="179">
                  <c:v>24800.470364372348</c:v>
                </c:pt>
                <c:pt idx="180">
                  <c:v>33063.869525312846</c:v>
                </c:pt>
                <c:pt idx="181">
                  <c:v>24732.922184131719</c:v>
                </c:pt>
                <c:pt idx="182">
                  <c:v>26881.155196520973</c:v>
                </c:pt>
                <c:pt idx="183">
                  <c:v>39570.156769333931</c:v>
                </c:pt>
                <c:pt idx="184">
                  <c:v>29046.587996183269</c:v>
                </c:pt>
                <c:pt idx="185">
                  <c:v>31087.164365898614</c:v>
                </c:pt>
                <c:pt idx="186">
                  <c:v>34350.338653443774</c:v>
                </c:pt>
                <c:pt idx="187">
                  <c:v>32478.409439863022</c:v>
                </c:pt>
                <c:pt idx="188">
                  <c:v>30752.094525717883</c:v>
                </c:pt>
                <c:pt idx="189">
                  <c:v>31824.805012331126</c:v>
                </c:pt>
                <c:pt idx="190">
                  <c:v>42017.077926191378</c:v>
                </c:pt>
                <c:pt idx="191">
                  <c:v>29711.906014832071</c:v>
                </c:pt>
                <c:pt idx="192">
                  <c:v>31005.495233574838</c:v>
                </c:pt>
                <c:pt idx="193">
                  <c:v>35253.271980038058</c:v>
                </c:pt>
                <c:pt idx="194">
                  <c:v>35527.629664789922</c:v>
                </c:pt>
                <c:pt idx="195">
                  <c:v>35935.1515278019</c:v>
                </c:pt>
                <c:pt idx="196">
                  <c:v>20008.996577339462</c:v>
                </c:pt>
                <c:pt idx="197">
                  <c:v>24284.97543634758</c:v>
                </c:pt>
                <c:pt idx="198">
                  <c:v>38167.15766150548</c:v>
                </c:pt>
                <c:pt idx="199">
                  <c:v>24268.27303490656</c:v>
                </c:pt>
                <c:pt idx="200">
                  <c:v>31513.177326195168</c:v>
                </c:pt>
                <c:pt idx="201">
                  <c:v>26228.62074990321</c:v>
                </c:pt>
                <c:pt idx="202">
                  <c:v>29679.308267035038</c:v>
                </c:pt>
                <c:pt idx="203">
                  <c:v>31643.812051517401</c:v>
                </c:pt>
                <c:pt idx="204">
                  <c:v>24800.470364372348</c:v>
                </c:pt>
                <c:pt idx="205">
                  <c:v>32109.603771176422</c:v>
                </c:pt>
                <c:pt idx="206">
                  <c:v>38068.556345293233</c:v>
                </c:pt>
                <c:pt idx="207">
                  <c:v>32267.671507569899</c:v>
                </c:pt>
                <c:pt idx="208">
                  <c:v>28779.216823546758</c:v>
                </c:pt>
                <c:pt idx="209">
                  <c:v>34820.435841441787</c:v>
                </c:pt>
                <c:pt idx="210">
                  <c:v>35947.352444623204</c:v>
                </c:pt>
                <c:pt idx="211">
                  <c:v>23861.960924315037</c:v>
                </c:pt>
                <c:pt idx="212">
                  <c:v>32987.000349249291</c:v>
                </c:pt>
                <c:pt idx="213">
                  <c:v>33505.863711554492</c:v>
                </c:pt>
                <c:pt idx="214">
                  <c:v>28512.182483200042</c:v>
                </c:pt>
                <c:pt idx="215">
                  <c:v>36878.534066558095</c:v>
                </c:pt>
                <c:pt idx="216">
                  <c:v>29249.722064837366</c:v>
                </c:pt>
                <c:pt idx="217">
                  <c:v>31005.495233574838</c:v>
                </c:pt>
                <c:pt idx="218">
                  <c:v>29134.640878580652</c:v>
                </c:pt>
                <c:pt idx="219">
                  <c:v>30077.895237907338</c:v>
                </c:pt>
                <c:pt idx="220">
                  <c:v>24518.624565523991</c:v>
                </c:pt>
                <c:pt idx="221">
                  <c:v>22799.745587028527</c:v>
                </c:pt>
                <c:pt idx="222">
                  <c:v>37972.525316124862</c:v>
                </c:pt>
                <c:pt idx="223">
                  <c:v>25765.193258408362</c:v>
                </c:pt>
                <c:pt idx="224">
                  <c:v>25043.038252718463</c:v>
                </c:pt>
                <c:pt idx="225">
                  <c:v>19233.049431981424</c:v>
                </c:pt>
                <c:pt idx="226">
                  <c:v>26805.191261552489</c:v>
                </c:pt>
                <c:pt idx="227">
                  <c:v>23384.55103296251</c:v>
                </c:pt>
                <c:pt idx="228">
                  <c:v>38210.075800681843</c:v>
                </c:pt>
                <c:pt idx="229">
                  <c:v>35049.085446713172</c:v>
                </c:pt>
                <c:pt idx="230">
                  <c:v>26559.248274111382</c:v>
                </c:pt>
                <c:pt idx="231">
                  <c:v>41262.17902672154</c:v>
                </c:pt>
                <c:pt idx="232">
                  <c:v>34908.827434957973</c:v>
                </c:pt>
                <c:pt idx="233">
                  <c:v>30599.02924</c:v>
                </c:pt>
                <c:pt idx="234">
                  <c:v>17502.971425632135</c:v>
                </c:pt>
                <c:pt idx="235">
                  <c:v>41454.712862953711</c:v>
                </c:pt>
                <c:pt idx="236">
                  <c:v>23052.137666182018</c:v>
                </c:pt>
                <c:pt idx="237">
                  <c:v>32987.000349249291</c:v>
                </c:pt>
                <c:pt idx="238">
                  <c:v>35112.852160048198</c:v>
                </c:pt>
                <c:pt idx="239">
                  <c:v>42198.762031696366</c:v>
                </c:pt>
                <c:pt idx="240">
                  <c:v>36921.364092552591</c:v>
                </c:pt>
                <c:pt idx="241">
                  <c:v>32819.545600261801</c:v>
                </c:pt>
                <c:pt idx="242">
                  <c:v>32973.771708326429</c:v>
                </c:pt>
                <c:pt idx="243">
                  <c:v>34267.077793901539</c:v>
                </c:pt>
                <c:pt idx="244">
                  <c:v>33794.642948933826</c:v>
                </c:pt>
                <c:pt idx="245">
                  <c:v>31405.95711984688</c:v>
                </c:pt>
                <c:pt idx="246">
                  <c:v>30521.005519759379</c:v>
                </c:pt>
                <c:pt idx="247">
                  <c:v>29687.034360502388</c:v>
                </c:pt>
                <c:pt idx="248">
                  <c:v>26230.17705566662</c:v>
                </c:pt>
                <c:pt idx="249">
                  <c:v>28596.624615666129</c:v>
                </c:pt>
                <c:pt idx="250">
                  <c:v>21535.21592902307</c:v>
                </c:pt>
                <c:pt idx="251">
                  <c:v>29508.30186602625</c:v>
                </c:pt>
                <c:pt idx="252">
                  <c:v>25057.044464245413</c:v>
                </c:pt>
                <c:pt idx="253">
                  <c:v>38210.075800681843</c:v>
                </c:pt>
                <c:pt idx="254">
                  <c:v>30899.470755767394</c:v>
                </c:pt>
                <c:pt idx="255">
                  <c:v>36960.011431722996</c:v>
                </c:pt>
                <c:pt idx="256">
                  <c:v>34591.583030011563</c:v>
                </c:pt>
                <c:pt idx="257">
                  <c:v>22147.496981884113</c:v>
                </c:pt>
                <c:pt idx="258">
                  <c:v>25051.859317148312</c:v>
                </c:pt>
                <c:pt idx="259">
                  <c:v>34703.855939941081</c:v>
                </c:pt>
                <c:pt idx="260">
                  <c:v>25087.563032308452</c:v>
                </c:pt>
                <c:pt idx="261">
                  <c:v>28876.834250014876</c:v>
                </c:pt>
                <c:pt idx="262">
                  <c:v>32750.260495122759</c:v>
                </c:pt>
                <c:pt idx="263">
                  <c:v>25158.277725681823</c:v>
                </c:pt>
                <c:pt idx="264">
                  <c:v>30526.877530729798</c:v>
                </c:pt>
                <c:pt idx="265">
                  <c:v>36921.364092552591</c:v>
                </c:pt>
                <c:pt idx="266">
                  <c:v>26993.161780243932</c:v>
                </c:pt>
                <c:pt idx="267">
                  <c:v>31598.909670712685</c:v>
                </c:pt>
                <c:pt idx="268">
                  <c:v>22035.031332341656</c:v>
                </c:pt>
                <c:pt idx="269">
                  <c:v>32202.373689801996</c:v>
                </c:pt>
                <c:pt idx="270">
                  <c:v>29901.811005366595</c:v>
                </c:pt>
                <c:pt idx="271">
                  <c:v>30599.02924</c:v>
                </c:pt>
                <c:pt idx="272">
                  <c:v>31119.570670323308</c:v>
                </c:pt>
                <c:pt idx="273">
                  <c:v>36820.702149869219</c:v>
                </c:pt>
                <c:pt idx="274">
                  <c:v>30626.122513239538</c:v>
                </c:pt>
                <c:pt idx="275">
                  <c:v>27852.972294373736</c:v>
                </c:pt>
                <c:pt idx="276">
                  <c:v>30611.487515161418</c:v>
                </c:pt>
                <c:pt idx="277">
                  <c:v>32716.490145181939</c:v>
                </c:pt>
                <c:pt idx="278">
                  <c:v>30244.300351628521</c:v>
                </c:pt>
                <c:pt idx="279">
                  <c:v>30202.958456019413</c:v>
                </c:pt>
                <c:pt idx="280">
                  <c:v>26490.041560966223</c:v>
                </c:pt>
                <c:pt idx="281">
                  <c:v>26685.495412245258</c:v>
                </c:pt>
                <c:pt idx="282">
                  <c:v>22986.973641001532</c:v>
                </c:pt>
                <c:pt idx="283">
                  <c:v>38747.883715934695</c:v>
                </c:pt>
                <c:pt idx="284">
                  <c:v>23780.683823043575</c:v>
                </c:pt>
                <c:pt idx="285">
                  <c:v>25087.563032308452</c:v>
                </c:pt>
                <c:pt idx="286">
                  <c:v>30599.02924</c:v>
                </c:pt>
                <c:pt idx="287">
                  <c:v>34474.621884722204</c:v>
                </c:pt>
                <c:pt idx="288">
                  <c:v>28525.25160853986</c:v>
                </c:pt>
                <c:pt idx="289">
                  <c:v>36238.710363368671</c:v>
                </c:pt>
                <c:pt idx="290">
                  <c:v>26632.546878780657</c:v>
                </c:pt>
                <c:pt idx="291">
                  <c:v>31394.970811119008</c:v>
                </c:pt>
                <c:pt idx="292">
                  <c:v>25823.264733701213</c:v>
                </c:pt>
                <c:pt idx="293">
                  <c:v>40725.745638866938</c:v>
                </c:pt>
                <c:pt idx="294">
                  <c:v>24062.007904852435</c:v>
                </c:pt>
                <c:pt idx="295">
                  <c:v>31549.103551135137</c:v>
                </c:pt>
                <c:pt idx="296">
                  <c:v>33168.884404660494</c:v>
                </c:pt>
                <c:pt idx="297">
                  <c:v>32068.995487257493</c:v>
                </c:pt>
                <c:pt idx="298">
                  <c:v>29073.561705611457</c:v>
                </c:pt>
                <c:pt idx="299">
                  <c:v>29350.896501332871</c:v>
                </c:pt>
                <c:pt idx="300">
                  <c:v>30219.057359895549</c:v>
                </c:pt>
                <c:pt idx="301">
                  <c:v>29264.989991857557</c:v>
                </c:pt>
                <c:pt idx="302">
                  <c:v>34819.395583974547</c:v>
                </c:pt>
                <c:pt idx="303">
                  <c:v>41052.61500795676</c:v>
                </c:pt>
                <c:pt idx="304">
                  <c:v>30599.02924</c:v>
                </c:pt>
                <c:pt idx="305">
                  <c:v>23150.985102104612</c:v>
                </c:pt>
                <c:pt idx="306">
                  <c:v>29558.589758243725</c:v>
                </c:pt>
                <c:pt idx="307">
                  <c:v>42898.546688271592</c:v>
                </c:pt>
                <c:pt idx="308">
                  <c:v>25981.627160151347</c:v>
                </c:pt>
                <c:pt idx="309">
                  <c:v>38195.584027220335</c:v>
                </c:pt>
                <c:pt idx="310">
                  <c:v>38388.504070382201</c:v>
                </c:pt>
                <c:pt idx="311">
                  <c:v>27232.058791460026</c:v>
                </c:pt>
                <c:pt idx="312">
                  <c:v>32844.915395926379</c:v>
                </c:pt>
                <c:pt idx="313">
                  <c:v>38141.983115642688</c:v>
                </c:pt>
                <c:pt idx="314">
                  <c:v>28104.361295062565</c:v>
                </c:pt>
                <c:pt idx="315">
                  <c:v>28982.098199488191</c:v>
                </c:pt>
                <c:pt idx="316">
                  <c:v>27091.595430256781</c:v>
                </c:pt>
                <c:pt idx="317">
                  <c:v>24926.216346535664</c:v>
                </c:pt>
                <c:pt idx="318">
                  <c:v>26753.612274669966</c:v>
                </c:pt>
                <c:pt idx="319">
                  <c:v>23880.298666188719</c:v>
                </c:pt>
                <c:pt idx="320">
                  <c:v>30170.417341296132</c:v>
                </c:pt>
                <c:pt idx="321">
                  <c:v>26150.13384470679</c:v>
                </c:pt>
                <c:pt idx="322">
                  <c:v>31168.92955895374</c:v>
                </c:pt>
                <c:pt idx="323">
                  <c:v>22220.521768981864</c:v>
                </c:pt>
                <c:pt idx="324">
                  <c:v>31654.401161072285</c:v>
                </c:pt>
                <c:pt idx="325">
                  <c:v>34167.644808044621</c:v>
                </c:pt>
                <c:pt idx="326">
                  <c:v>20031.321787142722</c:v>
                </c:pt>
                <c:pt idx="327">
                  <c:v>31870.282849237861</c:v>
                </c:pt>
                <c:pt idx="328">
                  <c:v>36138.344962366464</c:v>
                </c:pt>
                <c:pt idx="329">
                  <c:v>23951.794906543972</c:v>
                </c:pt>
                <c:pt idx="330">
                  <c:v>38362.861934188521</c:v>
                </c:pt>
                <c:pt idx="331">
                  <c:v>32095.095046830225</c:v>
                </c:pt>
                <c:pt idx="332">
                  <c:v>26474.940721207957</c:v>
                </c:pt>
                <c:pt idx="333">
                  <c:v>29721.15461171147</c:v>
                </c:pt>
                <c:pt idx="334">
                  <c:v>32791.634562608611</c:v>
                </c:pt>
                <c:pt idx="335">
                  <c:v>38388.504070382201</c:v>
                </c:pt>
                <c:pt idx="336">
                  <c:v>32693.779962231845</c:v>
                </c:pt>
                <c:pt idx="337">
                  <c:v>25396.632034603168</c:v>
                </c:pt>
                <c:pt idx="338">
                  <c:v>30846.80412018039</c:v>
                </c:pt>
                <c:pt idx="339">
                  <c:v>22931.427515475101</c:v>
                </c:pt>
                <c:pt idx="340">
                  <c:v>29443.8696932565</c:v>
                </c:pt>
                <c:pt idx="341">
                  <c:v>30599.02924</c:v>
                </c:pt>
                <c:pt idx="342">
                  <c:v>26322.350287051166</c:v>
                </c:pt>
                <c:pt idx="343">
                  <c:v>36180.465876052185</c:v>
                </c:pt>
                <c:pt idx="344">
                  <c:v>35456.550602971343</c:v>
                </c:pt>
                <c:pt idx="345">
                  <c:v>33045.690604535885</c:v>
                </c:pt>
                <c:pt idx="346">
                  <c:v>24538.436176637104</c:v>
                </c:pt>
                <c:pt idx="347">
                  <c:v>28417.957751525992</c:v>
                </c:pt>
                <c:pt idx="348">
                  <c:v>36065.488499895917</c:v>
                </c:pt>
                <c:pt idx="349">
                  <c:v>30708.584568199523</c:v>
                </c:pt>
                <c:pt idx="350">
                  <c:v>41596.64769990847</c:v>
                </c:pt>
                <c:pt idx="351">
                  <c:v>31966.589196971858</c:v>
                </c:pt>
                <c:pt idx="352">
                  <c:v>31870.282849237861</c:v>
                </c:pt>
                <c:pt idx="353">
                  <c:v>28454.417678987495</c:v>
                </c:pt>
                <c:pt idx="354">
                  <c:v>30667.704523911412</c:v>
                </c:pt>
                <c:pt idx="355">
                  <c:v>29237.650818097281</c:v>
                </c:pt>
                <c:pt idx="356">
                  <c:v>32095.095046830225</c:v>
                </c:pt>
                <c:pt idx="357">
                  <c:v>34783.511583972919</c:v>
                </c:pt>
                <c:pt idx="358">
                  <c:v>26070.052697460254</c:v>
                </c:pt>
                <c:pt idx="359">
                  <c:v>23343.83523221111</c:v>
                </c:pt>
                <c:pt idx="360">
                  <c:v>20818.973134483516</c:v>
                </c:pt>
                <c:pt idx="361">
                  <c:v>32539.956634562717</c:v>
                </c:pt>
                <c:pt idx="362">
                  <c:v>24483.166969130631</c:v>
                </c:pt>
                <c:pt idx="363">
                  <c:v>19235.547035237585</c:v>
                </c:pt>
                <c:pt idx="364">
                  <c:v>31942.893022654822</c:v>
                </c:pt>
                <c:pt idx="365">
                  <c:v>42464.997587163954</c:v>
                </c:pt>
                <c:pt idx="366">
                  <c:v>29969.645442300534</c:v>
                </c:pt>
                <c:pt idx="367">
                  <c:v>34192.453872258207</c:v>
                </c:pt>
                <c:pt idx="368">
                  <c:v>30409.146792737825</c:v>
                </c:pt>
                <c:pt idx="369">
                  <c:v>29505.551734044286</c:v>
                </c:pt>
                <c:pt idx="370">
                  <c:v>34595.382414938846</c:v>
                </c:pt>
                <c:pt idx="371">
                  <c:v>28548.627279056742</c:v>
                </c:pt>
                <c:pt idx="372">
                  <c:v>31336.961570359515</c:v>
                </c:pt>
                <c:pt idx="373">
                  <c:v>31608.489030980068</c:v>
                </c:pt>
                <c:pt idx="374">
                  <c:v>26659.547731784754</c:v>
                </c:pt>
                <c:pt idx="375">
                  <c:v>34960.211747682617</c:v>
                </c:pt>
                <c:pt idx="376">
                  <c:v>29125.201216522957</c:v>
                </c:pt>
                <c:pt idx="377">
                  <c:v>26221.274202535777</c:v>
                </c:pt>
                <c:pt idx="378">
                  <c:v>32682.549217852018</c:v>
                </c:pt>
                <c:pt idx="379">
                  <c:v>25507.660091044814</c:v>
                </c:pt>
                <c:pt idx="380">
                  <c:v>30140.90578684564</c:v>
                </c:pt>
                <c:pt idx="381">
                  <c:v>29954.405016778983</c:v>
                </c:pt>
                <c:pt idx="382">
                  <c:v>35429.477829157891</c:v>
                </c:pt>
                <c:pt idx="383">
                  <c:v>32373.491164399762</c:v>
                </c:pt>
                <c:pt idx="384">
                  <c:v>23343.83523221111</c:v>
                </c:pt>
                <c:pt idx="385">
                  <c:v>34088.831496001432</c:v>
                </c:pt>
                <c:pt idx="386">
                  <c:v>30599.02924</c:v>
                </c:pt>
                <c:pt idx="387">
                  <c:v>32789.051531759309</c:v>
                </c:pt>
                <c:pt idx="388">
                  <c:v>30051.763099216903</c:v>
                </c:pt>
                <c:pt idx="389">
                  <c:v>23440.818838249201</c:v>
                </c:pt>
                <c:pt idx="390">
                  <c:v>24674.431684623138</c:v>
                </c:pt>
                <c:pt idx="391">
                  <c:v>28473.876478226663</c:v>
                </c:pt>
                <c:pt idx="392">
                  <c:v>26952.438989203583</c:v>
                </c:pt>
                <c:pt idx="393">
                  <c:v>29065.143485072771</c:v>
                </c:pt>
                <c:pt idx="394">
                  <c:v>29505.551734044286</c:v>
                </c:pt>
                <c:pt idx="395">
                  <c:v>32648.463771783652</c:v>
                </c:pt>
                <c:pt idx="396">
                  <c:v>29647.506109704544</c:v>
                </c:pt>
                <c:pt idx="397">
                  <c:v>32432.50821913101</c:v>
                </c:pt>
                <c:pt idx="398">
                  <c:v>31608.489030980068</c:v>
                </c:pt>
                <c:pt idx="399">
                  <c:v>20122.667168230644</c:v>
                </c:pt>
                <c:pt idx="400">
                  <c:v>25303.323030906227</c:v>
                </c:pt>
                <c:pt idx="401">
                  <c:v>29279.562221391923</c:v>
                </c:pt>
                <c:pt idx="402">
                  <c:v>23951.526285794462</c:v>
                </c:pt>
                <c:pt idx="403">
                  <c:v>32999.643649981022</c:v>
                </c:pt>
                <c:pt idx="404">
                  <c:v>37653.754161718491</c:v>
                </c:pt>
                <c:pt idx="405">
                  <c:v>36093.809258486581</c:v>
                </c:pt>
                <c:pt idx="406">
                  <c:v>28932.785645348958</c:v>
                </c:pt>
                <c:pt idx="407">
                  <c:v>37453.630684249758</c:v>
                </c:pt>
                <c:pt idx="408">
                  <c:v>30743.337286010559</c:v>
                </c:pt>
                <c:pt idx="409">
                  <c:v>28314.570144409805</c:v>
                </c:pt>
                <c:pt idx="410">
                  <c:v>30599.02924</c:v>
                </c:pt>
                <c:pt idx="411">
                  <c:v>30599.02924</c:v>
                </c:pt>
                <c:pt idx="412">
                  <c:v>28059.115907293857</c:v>
                </c:pt>
                <c:pt idx="413">
                  <c:v>30852.08111187744</c:v>
                </c:pt>
                <c:pt idx="414">
                  <c:v>30802.869905249325</c:v>
                </c:pt>
                <c:pt idx="415">
                  <c:v>30015.230100767072</c:v>
                </c:pt>
                <c:pt idx="416">
                  <c:v>32184.690848731749</c:v>
                </c:pt>
                <c:pt idx="417">
                  <c:v>35953.231373931703</c:v>
                </c:pt>
                <c:pt idx="418">
                  <c:v>34747.770677206616</c:v>
                </c:pt>
                <c:pt idx="419">
                  <c:v>22575.510157750483</c:v>
                </c:pt>
                <c:pt idx="420">
                  <c:v>17230.394325490226</c:v>
                </c:pt>
                <c:pt idx="421">
                  <c:v>34671.599556196365</c:v>
                </c:pt>
                <c:pt idx="422">
                  <c:v>23165.606507922894</c:v>
                </c:pt>
                <c:pt idx="423">
                  <c:v>28876.172990536583</c:v>
                </c:pt>
                <c:pt idx="424">
                  <c:v>24149.434869703204</c:v>
                </c:pt>
                <c:pt idx="425">
                  <c:v>20990.097812099899</c:v>
                </c:pt>
                <c:pt idx="426">
                  <c:v>32707.313641023939</c:v>
                </c:pt>
                <c:pt idx="427">
                  <c:v>33795.775801513235</c:v>
                </c:pt>
                <c:pt idx="428">
                  <c:v>27117.447996366402</c:v>
                </c:pt>
                <c:pt idx="429">
                  <c:v>30599.02924</c:v>
                </c:pt>
                <c:pt idx="430">
                  <c:v>27268.777758737586</c:v>
                </c:pt>
                <c:pt idx="431">
                  <c:v>31959.020027012732</c:v>
                </c:pt>
                <c:pt idx="432">
                  <c:v>22605.442156129357</c:v>
                </c:pt>
                <c:pt idx="433">
                  <c:v>30916.799598895777</c:v>
                </c:pt>
                <c:pt idx="434">
                  <c:v>30599.02924</c:v>
                </c:pt>
                <c:pt idx="435">
                  <c:v>32896.457498005439</c:v>
                </c:pt>
                <c:pt idx="436">
                  <c:v>30597.901842070765</c:v>
                </c:pt>
                <c:pt idx="437">
                  <c:v>25134.655295592223</c:v>
                </c:pt>
                <c:pt idx="438">
                  <c:v>35982.857508322457</c:v>
                </c:pt>
                <c:pt idx="439">
                  <c:v>29207.352134865148</c:v>
                </c:pt>
                <c:pt idx="440">
                  <c:v>30015.230100767072</c:v>
                </c:pt>
                <c:pt idx="441">
                  <c:v>25333.660204634019</c:v>
                </c:pt>
                <c:pt idx="442">
                  <c:v>27783.588744042449</c:v>
                </c:pt>
                <c:pt idx="443">
                  <c:v>25575.986429865494</c:v>
                </c:pt>
                <c:pt idx="444">
                  <c:v>29135.269700382883</c:v>
                </c:pt>
                <c:pt idx="445">
                  <c:v>38558.542400711718</c:v>
                </c:pt>
                <c:pt idx="446">
                  <c:v>23140.494285343219</c:v>
                </c:pt>
                <c:pt idx="447">
                  <c:v>21932.193010616294</c:v>
                </c:pt>
                <c:pt idx="448">
                  <c:v>37355.85163746804</c:v>
                </c:pt>
                <c:pt idx="449">
                  <c:v>28953.381614240669</c:v>
                </c:pt>
                <c:pt idx="450">
                  <c:v>26654.636306700417</c:v>
                </c:pt>
                <c:pt idx="451">
                  <c:v>35199.52343698038</c:v>
                </c:pt>
                <c:pt idx="452">
                  <c:v>26971.922301315681</c:v>
                </c:pt>
                <c:pt idx="453">
                  <c:v>27117.447996366402</c:v>
                </c:pt>
                <c:pt idx="454">
                  <c:v>33389.629356696343</c:v>
                </c:pt>
                <c:pt idx="455">
                  <c:v>27560.442959271488</c:v>
                </c:pt>
                <c:pt idx="456">
                  <c:v>40786.541066327518</c:v>
                </c:pt>
                <c:pt idx="457">
                  <c:v>22605.442156129357</c:v>
                </c:pt>
                <c:pt idx="458">
                  <c:v>33710.476860046532</c:v>
                </c:pt>
                <c:pt idx="459">
                  <c:v>31496.462902032461</c:v>
                </c:pt>
                <c:pt idx="460">
                  <c:v>36508.706446993994</c:v>
                </c:pt>
                <c:pt idx="461">
                  <c:v>37807.555983634265</c:v>
                </c:pt>
                <c:pt idx="462">
                  <c:v>30160.020745328835</c:v>
                </c:pt>
                <c:pt idx="463">
                  <c:v>26232.910648269084</c:v>
                </c:pt>
                <c:pt idx="464">
                  <c:v>32299.860714695584</c:v>
                </c:pt>
                <c:pt idx="465">
                  <c:v>26611.423151239469</c:v>
                </c:pt>
                <c:pt idx="466">
                  <c:v>40066.936237633112</c:v>
                </c:pt>
                <c:pt idx="467">
                  <c:v>30682.676655413688</c:v>
                </c:pt>
                <c:pt idx="468">
                  <c:v>28173.392243439455</c:v>
                </c:pt>
                <c:pt idx="469">
                  <c:v>30599.02924</c:v>
                </c:pt>
                <c:pt idx="470">
                  <c:v>23264.368552351516</c:v>
                </c:pt>
                <c:pt idx="471">
                  <c:v>25141.929807446744</c:v>
                </c:pt>
                <c:pt idx="472">
                  <c:v>36002.069539722128</c:v>
                </c:pt>
                <c:pt idx="473">
                  <c:v>26715.528605143023</c:v>
                </c:pt>
                <c:pt idx="474">
                  <c:v>24765.445086590302</c:v>
                </c:pt>
                <c:pt idx="475">
                  <c:v>32683.26376263643</c:v>
                </c:pt>
                <c:pt idx="476">
                  <c:v>35928.520773314987</c:v>
                </c:pt>
                <c:pt idx="477">
                  <c:v>33594.766553325331</c:v>
                </c:pt>
                <c:pt idx="478">
                  <c:v>34980.238429029079</c:v>
                </c:pt>
                <c:pt idx="479">
                  <c:v>26216.024557152698</c:v>
                </c:pt>
                <c:pt idx="480">
                  <c:v>22890.94666629078</c:v>
                </c:pt>
                <c:pt idx="481">
                  <c:v>37506.668259777434</c:v>
                </c:pt>
                <c:pt idx="482">
                  <c:v>28386.60080578932</c:v>
                </c:pt>
                <c:pt idx="483">
                  <c:v>28745.834917724762</c:v>
                </c:pt>
                <c:pt idx="484">
                  <c:v>36640.970709245288</c:v>
                </c:pt>
                <c:pt idx="485">
                  <c:v>32781.150047003299</c:v>
                </c:pt>
                <c:pt idx="486">
                  <c:v>30599.02924</c:v>
                </c:pt>
                <c:pt idx="487">
                  <c:v>40825.011724505421</c:v>
                </c:pt>
                <c:pt idx="488">
                  <c:v>26782.408848099287</c:v>
                </c:pt>
                <c:pt idx="489">
                  <c:v>34639.200640406183</c:v>
                </c:pt>
                <c:pt idx="490">
                  <c:v>26611.423151239469</c:v>
                </c:pt>
                <c:pt idx="491">
                  <c:v>31342.961394316284</c:v>
                </c:pt>
                <c:pt idx="492">
                  <c:v>37642.342132062658</c:v>
                </c:pt>
                <c:pt idx="493">
                  <c:v>32539.178781448118</c:v>
                </c:pt>
                <c:pt idx="494">
                  <c:v>32691.480395248163</c:v>
                </c:pt>
                <c:pt idx="495">
                  <c:v>35362.536686549014</c:v>
                </c:pt>
                <c:pt idx="496">
                  <c:v>28175.236352285574</c:v>
                </c:pt>
                <c:pt idx="497">
                  <c:v>25803.951663304968</c:v>
                </c:pt>
                <c:pt idx="498">
                  <c:v>24775.954029894834</c:v>
                </c:pt>
                <c:pt idx="499">
                  <c:v>20168.217053119992</c:v>
                </c:pt>
              </c:numCache>
            </c:numRef>
          </c:val>
          <c:smooth val="0"/>
          <c:extLst>
            <c:ext xmlns:c16="http://schemas.microsoft.com/office/drawing/2014/chart" uri="{C3380CC4-5D6E-409C-BE32-E72D297353CC}">
              <c16:uniqueId val="{00000002-F0CB-46C7-8C5F-0FE5A11CE2A3}"/>
            </c:ext>
          </c:extLst>
        </c:ser>
        <c:dLbls>
          <c:showLegendKey val="0"/>
          <c:showVal val="0"/>
          <c:showCatName val="0"/>
          <c:showSerName val="0"/>
          <c:showPercent val="0"/>
          <c:showBubbleSize val="0"/>
        </c:dLbls>
        <c:marker val="1"/>
        <c:smooth val="0"/>
        <c:axId val="2138102208"/>
        <c:axId val="2138095968"/>
      </c:lineChart>
      <c:catAx>
        <c:axId val="213812140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138124288"/>
        <c:crosses val="autoZero"/>
        <c:auto val="1"/>
        <c:lblAlgn val="ctr"/>
        <c:lblOffset val="100"/>
        <c:noMultiLvlLbl val="0"/>
      </c:catAx>
      <c:valAx>
        <c:axId val="21381242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121408"/>
        <c:crosses val="autoZero"/>
        <c:crossBetween val="between"/>
      </c:valAx>
      <c:valAx>
        <c:axId val="21380959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102208"/>
        <c:crosses val="max"/>
        <c:crossBetween val="between"/>
      </c:valAx>
      <c:catAx>
        <c:axId val="2138102208"/>
        <c:scaling>
          <c:orientation val="minMax"/>
        </c:scaling>
        <c:delete val="1"/>
        <c:axPos val="b"/>
        <c:majorTickMark val="out"/>
        <c:minorTickMark val="none"/>
        <c:tickLblPos val="nextTo"/>
        <c:crossAx val="2138095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table-Market share by Veh!PivotTable3</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Market share by Vehicle_Type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777777777777777"/>
                  <c:h val="4.7453703703703706E-2"/>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7643372703412073E-2"/>
              <c:y val="-0.1239118547681539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925306211723535"/>
              <c:y val="-6.237204724409448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641343215140999E-2"/>
              <c:y val="5.7418320468380288E-2"/>
            </c:manualLayout>
          </c:layout>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873041171462145"/>
                  <c:h val="5.085661760634351E-2"/>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777777777777777"/>
                  <c:h val="4.7453703703703706E-2"/>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7643372703412073E-2"/>
              <c:y val="-0.12391185476815399"/>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925306211723535"/>
              <c:y val="-6.237204724409448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641343215140999E-2"/>
              <c:y val="5.7418320468380288E-2"/>
            </c:manualLayout>
          </c:layout>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873041171462145"/>
                  <c:h val="5.085661760634351E-2"/>
                </c:manualLayout>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941166147484867"/>
              <c:y val="0.14454004259415806"/>
            </c:manualLayout>
          </c:layout>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777777777777777"/>
                  <c:h val="4.7453703703703706E-2"/>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957912685371255E-2"/>
              <c:y val="-0.12739420764418988"/>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28787982859826"/>
              <c:y val="3.861552260103493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641343215140999E-2"/>
              <c:y val="5.7418320468380288E-2"/>
            </c:manualLayout>
          </c:layout>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873041171462145"/>
                  <c:h val="5.085661760634351E-2"/>
                </c:manualLayout>
              </c15:layout>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58442694663167"/>
          <c:y val="0.26291739574219891"/>
          <c:w val="0.39924781277340332"/>
          <c:h val="0.66541302128900559"/>
        </c:manualLayout>
      </c:layout>
      <c:pieChart>
        <c:varyColors val="1"/>
        <c:ser>
          <c:idx val="0"/>
          <c:order val="0"/>
          <c:tx>
            <c:strRef>
              <c:f>'Pivot table-Market share by Veh'!$B$3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EE0-4DD0-BE38-AD0DE796B6A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EE0-4DD0-BE38-AD0DE796B6A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EE0-4DD0-BE38-AD0DE796B6A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EE0-4DD0-BE38-AD0DE796B6A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EE0-4DD0-BE38-AD0DE796B6A0}"/>
              </c:ext>
            </c:extLst>
          </c:dPt>
          <c:dLbls>
            <c:dLbl>
              <c:idx val="0"/>
              <c:layout>
                <c:manualLayout>
                  <c:x val="-0.12941166147484867"/>
                  <c:y val="0.14454004259415806"/>
                </c:manualLayout>
              </c:layout>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777777777777777"/>
                      <c:h val="4.7453703703703706E-2"/>
                    </c:manualLayout>
                  </c15:layout>
                </c:ext>
                <c:ext xmlns:c16="http://schemas.microsoft.com/office/drawing/2014/chart" uri="{C3380CC4-5D6E-409C-BE32-E72D297353CC}">
                  <c16:uniqueId val="{00000001-CEE0-4DD0-BE38-AD0DE796B6A0}"/>
                </c:ext>
              </c:extLst>
            </c:dLbl>
            <c:dLbl>
              <c:idx val="2"/>
              <c:layout>
                <c:manualLayout>
                  <c:x val="0.15528787982859826"/>
                  <c:y val="3.86155226010349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E0-4DD0-BE38-AD0DE796B6A0}"/>
                </c:ext>
              </c:extLst>
            </c:dLbl>
            <c:dLbl>
              <c:idx val="3"/>
              <c:layout>
                <c:manualLayout>
                  <c:x val="5.6641343215140999E-2"/>
                  <c:y val="5.7418320468380288E-2"/>
                </c:manualLayout>
              </c:layout>
              <c:spPr>
                <a:solidFill>
                  <a:srgbClr val="FFFF0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873041171462145"/>
                      <c:h val="5.085661760634351E-2"/>
                    </c:manualLayout>
                  </c15:layout>
                </c:ext>
                <c:ext xmlns:c16="http://schemas.microsoft.com/office/drawing/2014/chart" uri="{C3380CC4-5D6E-409C-BE32-E72D297353CC}">
                  <c16:uniqueId val="{00000007-CEE0-4DD0-BE38-AD0DE796B6A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table-Market share by Veh'!$A$4:$A$8</c:f>
              <c:strCache>
                <c:ptCount val="4"/>
                <c:pt idx="0">
                  <c:v>Electric</c:v>
                </c:pt>
                <c:pt idx="1">
                  <c:v>Hatchback</c:v>
                </c:pt>
                <c:pt idx="2">
                  <c:v>SUV</c:v>
                </c:pt>
                <c:pt idx="3">
                  <c:v>Truck</c:v>
                </c:pt>
              </c:strCache>
            </c:strRef>
          </c:cat>
          <c:val>
            <c:numRef>
              <c:f>'Pivot table-Market share by Veh'!$B$4:$B$8</c:f>
              <c:numCache>
                <c:formatCode>General</c:formatCode>
                <c:ptCount val="4"/>
                <c:pt idx="0">
                  <c:v>276295.1759068782</c:v>
                </c:pt>
                <c:pt idx="1">
                  <c:v>438468.35721697565</c:v>
                </c:pt>
                <c:pt idx="2">
                  <c:v>381211.150072861</c:v>
                </c:pt>
                <c:pt idx="3">
                  <c:v>100249.986438145</c:v>
                </c:pt>
              </c:numCache>
            </c:numRef>
          </c:val>
          <c:extLst>
            <c:ext xmlns:c16="http://schemas.microsoft.com/office/drawing/2014/chart" uri="{C3380CC4-5D6E-409C-BE32-E72D297353CC}">
              <c16:uniqueId val="{0000000A-CEE0-4DD0-BE38-AD0DE796B6A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table-Units Sold by Regio!PivotTable4</c:name>
    <c:fmtId val="2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 Units Sold by Region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blipFill dpi="0" rotWithShape="1">
            <a:blip xmlns:r="http://schemas.openxmlformats.org/officeDocument/2006/relationships" r:embed="rId3">
              <a:extLst>
                <a:ext uri="{96DAC541-7B7A-43D3-8B79-37D633B846F1}">
                  <asvg:svgBlip xmlns:asvg="http://schemas.microsoft.com/office/drawing/2016/SVG/main" r:embed="rId4"/>
                </a:ext>
              </a:extLst>
            </a:blip>
            <a:srcRect/>
            <a:stretch>
              <a:fillRect/>
            </a:stretch>
          </a:blipFill>
          <a:ln>
            <a:noFill/>
          </a:ln>
          <a:effectLst>
            <a:outerShdw blurRad="57150" dist="19050" dir="5400000" algn="ctr" rotWithShape="0">
              <a:srgbClr val="000000">
                <a:alpha val="63000"/>
              </a:srgbClr>
            </a:outerShdw>
          </a:effectLst>
        </c:spPr>
        <c:dLbl>
          <c:idx val="0"/>
          <c:layout>
            <c:manualLayout>
              <c:x val="-7.4638888888888894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5">
              <a:extLst>
                <a:ext uri="{96DAC541-7B7A-43D3-8B79-37D633B846F1}">
                  <asvg:svgBlip xmlns:asvg="http://schemas.microsoft.com/office/drawing/2016/SVG/main" r:embed="rId6"/>
                </a:ext>
              </a:extLst>
            </a:blip>
            <a:stretch>
              <a:fillRect/>
            </a:stretch>
          </a:blipFill>
          <a:ln>
            <a:noFill/>
          </a:ln>
          <a:effectLst>
            <a:outerShdw blurRad="57150" dist="19050" dir="5400000" algn="ctr" rotWithShape="0">
              <a:srgbClr val="000000">
                <a:alpha val="63000"/>
              </a:srgbClr>
            </a:outerShdw>
          </a:effectLst>
        </c:spPr>
        <c:dLbl>
          <c:idx val="0"/>
          <c:layout>
            <c:manualLayout>
              <c:x val="-6.630555555555556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blipFill dpi="0" rotWithShape="1">
            <a:blip xmlns:r="http://schemas.openxmlformats.org/officeDocument/2006/relationships" r:embed="rId3">
              <a:extLst>
                <a:ext uri="{96DAC541-7B7A-43D3-8B79-37D633B846F1}">
                  <asvg:svgBlip xmlns:asvg="http://schemas.microsoft.com/office/drawing/2016/SVG/main" r:embed="rId4"/>
                </a:ext>
              </a:extLst>
            </a:blip>
            <a:srcRect/>
            <a:stretch>
              <a:fillRect/>
            </a:stretch>
          </a:blipFill>
          <a:ln>
            <a:noFill/>
          </a:ln>
          <a:effectLst>
            <a:outerShdw blurRad="57150" dist="19050" dir="5400000" algn="ctr" rotWithShape="0">
              <a:srgbClr val="000000">
                <a:alpha val="63000"/>
              </a:srgbClr>
            </a:outerShdw>
          </a:effectLst>
        </c:spPr>
        <c:dLbl>
          <c:idx val="0"/>
          <c:layout>
            <c:manualLayout>
              <c:x val="-7.4638888888888894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5">
              <a:extLst>
                <a:ext uri="{96DAC541-7B7A-43D3-8B79-37D633B846F1}">
                  <asvg:svgBlip xmlns:asvg="http://schemas.microsoft.com/office/drawing/2016/SVG/main" r:embed="rId6"/>
                </a:ext>
              </a:extLst>
            </a:blip>
            <a:stretch>
              <a:fillRect/>
            </a:stretch>
          </a:blipFill>
          <a:ln>
            <a:noFill/>
          </a:ln>
          <a:effectLst>
            <a:outerShdw blurRad="57150" dist="19050" dir="5400000" algn="ctr" rotWithShape="0">
              <a:srgbClr val="000000">
                <a:alpha val="63000"/>
              </a:srgbClr>
            </a:outerShdw>
          </a:effectLst>
        </c:spPr>
        <c:dLbl>
          <c:idx val="0"/>
          <c:layout>
            <c:manualLayout>
              <c:x val="-6.630555555555556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blipFill dpi="0" rotWithShape="1">
            <a:blip xmlns:r="http://schemas.openxmlformats.org/officeDocument/2006/relationships" r:embed="rId3">
              <a:extLst>
                <a:ext uri="{96DAC541-7B7A-43D3-8B79-37D633B846F1}">
                  <asvg:svgBlip xmlns:asvg="http://schemas.microsoft.com/office/drawing/2016/SVG/main" r:embed="rId4"/>
                </a:ext>
              </a:extLst>
            </a:blip>
            <a:srcRect/>
            <a:stretch>
              <a:fillRect/>
            </a:stretch>
          </a:blipFill>
          <a:ln>
            <a:noFill/>
          </a:ln>
          <a:effectLst>
            <a:outerShdw blurRad="57150" dist="19050" dir="5400000" algn="ctr" rotWithShape="0">
              <a:srgbClr val="000000">
                <a:alpha val="63000"/>
              </a:srgbClr>
            </a:outerShdw>
          </a:effectLst>
        </c:spPr>
        <c:dLbl>
          <c:idx val="0"/>
          <c:layout>
            <c:manualLayout>
              <c:x val="-7.4638888888888894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5">
              <a:extLst>
                <a:ext uri="{96DAC541-7B7A-43D3-8B79-37D633B846F1}">
                  <asvg:svgBlip xmlns:asvg="http://schemas.microsoft.com/office/drawing/2016/SVG/main" r:embed="rId6"/>
                </a:ext>
              </a:extLst>
            </a:blip>
            <a:stretch>
              <a:fillRect/>
            </a:stretch>
          </a:blipFill>
          <a:ln>
            <a:noFill/>
          </a:ln>
          <a:effectLst>
            <a:outerShdw blurRad="57150" dist="19050" dir="5400000" algn="ctr" rotWithShape="0">
              <a:srgbClr val="000000">
                <a:alpha val="63000"/>
              </a:srgbClr>
            </a:outerShdw>
          </a:effectLst>
        </c:spPr>
        <c:dLbl>
          <c:idx val="0"/>
          <c:layout>
            <c:manualLayout>
              <c:x val="-6.630555555555556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table-Units Sold by Regio'!$B$3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1FC8-4697-8B7F-FE8549A597ED}"/>
              </c:ext>
            </c:extLst>
          </c:dPt>
          <c:dPt>
            <c:idx val="1"/>
            <c:invertIfNegative val="0"/>
            <c:bubble3D val="0"/>
            <c:spPr>
              <a:blipFill>
                <a:blip xmlns:r="http://schemas.openxmlformats.org/officeDocument/2006/relationships" r:embed="rId5">
                  <a:extLst>
                    <a:ext uri="{96DAC541-7B7A-43D3-8B79-37D633B846F1}">
                      <asvg:svgBlip xmlns:asvg="http://schemas.microsoft.com/office/drawing/2016/SVG/main" r:embed="rId6"/>
                    </a:ext>
                  </a:extLst>
                </a:blip>
                <a:stretch>
                  <a:fillRect/>
                </a:stretch>
              </a:blip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FC8-4697-8B7F-FE8549A597ED}"/>
              </c:ext>
            </c:extLst>
          </c:dPt>
          <c:dPt>
            <c:idx val="2"/>
            <c:invertIfNegative val="0"/>
            <c:bubble3D val="0"/>
            <c:extLst>
              <c:ext xmlns:c16="http://schemas.microsoft.com/office/drawing/2014/chart" uri="{C3380CC4-5D6E-409C-BE32-E72D297353CC}">
                <c16:uniqueId val="{00000004-1FC8-4697-8B7F-FE8549A597ED}"/>
              </c:ext>
            </c:extLst>
          </c:dPt>
          <c:dLbls>
            <c:dLbl>
              <c:idx val="1"/>
              <c:layout>
                <c:manualLayout>
                  <c:x val="-6.6305555555555562E-2"/>
                  <c:y val="5.09259259259259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C8-4697-8B7F-FE8549A597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1"/>
            <c:dispEq val="1"/>
            <c:trendlineLbl>
              <c:layout>
                <c:manualLayout>
                  <c:x val="0.5370895268897361"/>
                  <c:y val="-0.2019435991162751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'Pivot table-Units Sold by Regio'!$A$4:$A$6</c:f>
              <c:strCache>
                <c:ptCount val="2"/>
                <c:pt idx="0">
                  <c:v>East</c:v>
                </c:pt>
                <c:pt idx="1">
                  <c:v>South</c:v>
                </c:pt>
              </c:strCache>
            </c:strRef>
          </c:cat>
          <c:val>
            <c:numRef>
              <c:f>'Pivot table-Units Sold by Regio'!$B$4:$B$6</c:f>
              <c:numCache>
                <c:formatCode>General</c:formatCode>
                <c:ptCount val="2"/>
                <c:pt idx="0">
                  <c:v>97</c:v>
                </c:pt>
                <c:pt idx="1">
                  <c:v>543.5</c:v>
                </c:pt>
              </c:numCache>
            </c:numRef>
          </c:val>
          <c:extLst>
            <c:ext xmlns:c16="http://schemas.microsoft.com/office/drawing/2014/chart" uri="{C3380CC4-5D6E-409C-BE32-E72D297353CC}">
              <c16:uniqueId val="{00000006-1FC8-4697-8B7F-FE8549A597ED}"/>
            </c:ext>
          </c:extLst>
        </c:ser>
        <c:dLbls>
          <c:dLblPos val="inEnd"/>
          <c:showLegendKey val="0"/>
          <c:showVal val="1"/>
          <c:showCatName val="0"/>
          <c:showSerName val="0"/>
          <c:showPercent val="0"/>
          <c:showBubbleSize val="0"/>
        </c:dLbls>
        <c:gapWidth val="115"/>
        <c:overlap val="-20"/>
        <c:axId val="1416565663"/>
        <c:axId val="1416554623"/>
      </c:barChart>
      <c:catAx>
        <c:axId val="14165656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554623"/>
        <c:crosses val="autoZero"/>
        <c:auto val="1"/>
        <c:lblAlgn val="ctr"/>
        <c:lblOffset val="100"/>
        <c:noMultiLvlLbl val="0"/>
      </c:catAx>
      <c:valAx>
        <c:axId val="1416554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56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 table-Units Sold by Vehic!PivotTable1</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a:t>
            </a:r>
            <a:r>
              <a:rPr lang="en-IN" sz="1400" b="1" i="0" u="none" strike="noStrike" cap="none" baseline="0"/>
              <a:t>Units Sold by Vehicle Type</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table-Units Sold by Vehic'!$B$3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tx2">
                    <a:lumMod val="40000"/>
                    <a:lumOff val="60000"/>
                  </a:schemeClr>
                </a:solidFill>
              </a:ln>
              <a:effectLst/>
            </c:spPr>
            <c:trendlineType val="linear"/>
            <c:dispRSqr val="1"/>
            <c:dispEq val="1"/>
            <c:trendlineLbl>
              <c:layout>
                <c:manualLayout>
                  <c:x val="0.29229692288513537"/>
                  <c:y val="-0.227666808909056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cat>
            <c:strRef>
              <c:f>'Pivot table-Units Sold by Vehic'!$A$4:$A$8</c:f>
              <c:strCache>
                <c:ptCount val="4"/>
                <c:pt idx="0">
                  <c:v>Electric</c:v>
                </c:pt>
                <c:pt idx="1">
                  <c:v>Hatchback</c:v>
                </c:pt>
                <c:pt idx="2">
                  <c:v>SUV</c:v>
                </c:pt>
                <c:pt idx="3">
                  <c:v>Truck</c:v>
                </c:pt>
              </c:strCache>
            </c:strRef>
          </c:cat>
          <c:val>
            <c:numRef>
              <c:f>'Pivot table-Units Sold by Vehic'!$B$4:$B$8</c:f>
              <c:numCache>
                <c:formatCode>General</c:formatCode>
                <c:ptCount val="4"/>
                <c:pt idx="0">
                  <c:v>266</c:v>
                </c:pt>
                <c:pt idx="1">
                  <c:v>523</c:v>
                </c:pt>
                <c:pt idx="2">
                  <c:v>1184</c:v>
                </c:pt>
                <c:pt idx="3">
                  <c:v>92</c:v>
                </c:pt>
              </c:numCache>
            </c:numRef>
          </c:val>
          <c:extLst>
            <c:ext xmlns:c16="http://schemas.microsoft.com/office/drawing/2014/chart" uri="{C3380CC4-5D6E-409C-BE32-E72D297353CC}">
              <c16:uniqueId val="{00000001-99A7-4B0A-B279-B1C4C55C4E23}"/>
            </c:ext>
          </c:extLst>
        </c:ser>
        <c:dLbls>
          <c:dLblPos val="outEnd"/>
          <c:showLegendKey val="0"/>
          <c:showVal val="1"/>
          <c:showCatName val="0"/>
          <c:showSerName val="0"/>
          <c:showPercent val="0"/>
          <c:showBubbleSize val="0"/>
        </c:dLbls>
        <c:gapWidth val="315"/>
        <c:overlap val="-40"/>
        <c:axId val="1416489343"/>
        <c:axId val="1416487423"/>
      </c:barChart>
      <c:catAx>
        <c:axId val="14164893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6487423"/>
        <c:crosses val="autoZero"/>
        <c:auto val="1"/>
        <c:lblAlgn val="ctr"/>
        <c:lblOffset val="100"/>
        <c:noMultiLvlLbl val="0"/>
      </c:catAx>
      <c:valAx>
        <c:axId val="14164874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648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[Automotive_market_Demand_Forecasting_Dataset_Analysis.xlsx]PivotTable – Vehicle Type Trend!PivotTable1</c:name>
    <c:fmtId val="6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Vehicle Type Trend </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rgbClr val="C0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 Vehicle Type Trend'!$B$3</c:f>
              <c:strCache>
                <c:ptCount val="1"/>
                <c:pt idx="0">
                  <c:v>Sum of Units_Sold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'PivotTable – Vehicle Type Trend'!$A$4:$A$9</c:f>
              <c:strCache>
                <c:ptCount val="5"/>
                <c:pt idx="0">
                  <c:v>Electric</c:v>
                </c:pt>
                <c:pt idx="1">
                  <c:v>Hatchback</c:v>
                </c:pt>
                <c:pt idx="2">
                  <c:v>Sedan</c:v>
                </c:pt>
                <c:pt idx="3">
                  <c:v>SUV</c:v>
                </c:pt>
                <c:pt idx="4">
                  <c:v>Truck</c:v>
                </c:pt>
              </c:strCache>
            </c:strRef>
          </c:cat>
          <c:val>
            <c:numRef>
              <c:f>'PivotTable – Vehicle Type Trend'!$B$4:$B$9</c:f>
              <c:numCache>
                <c:formatCode>General</c:formatCode>
                <c:ptCount val="5"/>
                <c:pt idx="0">
                  <c:v>12569</c:v>
                </c:pt>
                <c:pt idx="1">
                  <c:v>9022</c:v>
                </c:pt>
                <c:pt idx="2">
                  <c:v>13372</c:v>
                </c:pt>
                <c:pt idx="3">
                  <c:v>15647</c:v>
                </c:pt>
                <c:pt idx="4">
                  <c:v>10200</c:v>
                </c:pt>
              </c:numCache>
            </c:numRef>
          </c:val>
          <c:extLst>
            <c:ext xmlns:c16="http://schemas.microsoft.com/office/drawing/2014/chart" uri="{C3380CC4-5D6E-409C-BE32-E72D297353CC}">
              <c16:uniqueId val="{00000000-3782-4FCA-B34A-F9A9E950C42F}"/>
            </c:ext>
          </c:extLst>
        </c:ser>
        <c:ser>
          <c:idx val="1"/>
          <c:order val="1"/>
          <c:tx>
            <c:strRef>
              <c:f>'PivotTable – Vehicle Type Trend'!$C$3</c:f>
              <c:strCache>
                <c:ptCount val="1"/>
                <c:pt idx="0">
                  <c:v>Sum of Average_Price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'PivotTable – Vehicle Type Trend'!$A$4:$A$9</c:f>
              <c:strCache>
                <c:ptCount val="5"/>
                <c:pt idx="0">
                  <c:v>Electric</c:v>
                </c:pt>
                <c:pt idx="1">
                  <c:v>Hatchback</c:v>
                </c:pt>
                <c:pt idx="2">
                  <c:v>Sedan</c:v>
                </c:pt>
                <c:pt idx="3">
                  <c:v>SUV</c:v>
                </c:pt>
                <c:pt idx="4">
                  <c:v>Truck</c:v>
                </c:pt>
              </c:strCache>
            </c:strRef>
          </c:cat>
          <c:val>
            <c:numRef>
              <c:f>'PivotTable – Vehicle Type Trend'!$C$4:$C$9</c:f>
              <c:numCache>
                <c:formatCode>General</c:formatCode>
                <c:ptCount val="5"/>
                <c:pt idx="0">
                  <c:v>3724959.1996401814</c:v>
                </c:pt>
                <c:pt idx="1">
                  <c:v>3520522.3482760335</c:v>
                </c:pt>
                <c:pt idx="2">
                  <c:v>4001562.8923041048</c:v>
                </c:pt>
                <c:pt idx="3">
                  <c:v>3508075.9305531988</c:v>
                </c:pt>
                <c:pt idx="4">
                  <c:v>3345370.0301046725</c:v>
                </c:pt>
              </c:numCache>
            </c:numRef>
          </c:val>
          <c:extLst>
            <c:ext xmlns:c16="http://schemas.microsoft.com/office/drawing/2014/chart" uri="{C3380CC4-5D6E-409C-BE32-E72D297353CC}">
              <c16:uniqueId val="{00000001-3782-4FCA-B34A-F9A9E950C42F}"/>
            </c:ext>
          </c:extLst>
        </c:ser>
        <c:ser>
          <c:idx val="2"/>
          <c:order val="2"/>
          <c:tx>
            <c:strRef>
              <c:f>'PivotTable – Vehicle Type Trend'!$D$3</c:f>
              <c:strCache>
                <c:ptCount val="1"/>
                <c:pt idx="0">
                  <c:v>Sum of Marketing_Spend</c:v>
                </c:pt>
              </c:strCache>
            </c:strRef>
          </c:tx>
          <c:spPr>
            <a:noFill/>
            <a:ln w="9525" cap="flat" cmpd="sng" algn="ctr">
              <a:solidFill>
                <a:srgbClr val="C00000"/>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3">
                    <a:alpha val="50000"/>
                  </a:schemeClr>
                </a:solidFill>
              </a:ln>
              <a:effectLst/>
            </c:spPr>
            <c:trendlineType val="linear"/>
            <c:dispRSqr val="1"/>
            <c:dispEq val="1"/>
            <c:trendlineLbl>
              <c:layout>
                <c:manualLayout>
                  <c:x val="0.35869792056182936"/>
                  <c:y val="-0.2811649032152230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trendlineLbl>
          </c:trendline>
          <c:cat>
            <c:strRef>
              <c:f>'PivotTable – Vehicle Type Trend'!$A$4:$A$9</c:f>
              <c:strCache>
                <c:ptCount val="5"/>
                <c:pt idx="0">
                  <c:v>Electric</c:v>
                </c:pt>
                <c:pt idx="1">
                  <c:v>Hatchback</c:v>
                </c:pt>
                <c:pt idx="2">
                  <c:v>Sedan</c:v>
                </c:pt>
                <c:pt idx="3">
                  <c:v>SUV</c:v>
                </c:pt>
                <c:pt idx="4">
                  <c:v>Truck</c:v>
                </c:pt>
              </c:strCache>
            </c:strRef>
          </c:cat>
          <c:val>
            <c:numRef>
              <c:f>'PivotTable – Vehicle Type Trend'!$D$4:$D$9</c:f>
              <c:numCache>
                <c:formatCode>General</c:formatCode>
                <c:ptCount val="5"/>
                <c:pt idx="0">
                  <c:v>10747350.710823013</c:v>
                </c:pt>
                <c:pt idx="1">
                  <c:v>10906035.748521531</c:v>
                </c:pt>
                <c:pt idx="2">
                  <c:v>14635516.742584277</c:v>
                </c:pt>
                <c:pt idx="3">
                  <c:v>14199248.640529215</c:v>
                </c:pt>
                <c:pt idx="4">
                  <c:v>10738060.589382561</c:v>
                </c:pt>
              </c:numCache>
            </c:numRef>
          </c:val>
          <c:extLst>
            <c:ext xmlns:c16="http://schemas.microsoft.com/office/drawing/2014/chart" uri="{C3380CC4-5D6E-409C-BE32-E72D297353CC}">
              <c16:uniqueId val="{00000002-3782-4FCA-B34A-F9A9E950C42F}"/>
            </c:ext>
          </c:extLst>
        </c:ser>
        <c:dLbls>
          <c:dLblPos val="outEnd"/>
          <c:showLegendKey val="0"/>
          <c:showVal val="1"/>
          <c:showCatName val="0"/>
          <c:showSerName val="0"/>
          <c:showPercent val="0"/>
          <c:showBubbleSize val="0"/>
        </c:dLbls>
        <c:gapWidth val="315"/>
        <c:overlap val="-40"/>
        <c:axId val="1684002064"/>
        <c:axId val="1684002544"/>
      </c:barChart>
      <c:catAx>
        <c:axId val="16840020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4002544"/>
        <c:crosses val="autoZero"/>
        <c:auto val="1"/>
        <c:lblAlgn val="ctr"/>
        <c:lblOffset val="100"/>
        <c:noMultiLvlLbl val="0"/>
      </c:catAx>
      <c:valAx>
        <c:axId val="16840025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4002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 Pivot Chart – Sales Trend Over!PivotTable1</c:name>
    <c:fmtId val="7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800" b="1" i="0" u="none" strike="noStrike" cap="all" baseline="0"/>
              <a:t>Sales Trend Over Time</a:t>
            </a:r>
            <a:endParaRPr lang="en-IN"/>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4000"/>
            </a:schemeClr>
          </a:solidFill>
          <a:ln w="25400">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 Pivot Chart – Sales Trend Over'!$B$3:$B$4</c:f>
              <c:strCache>
                <c:ptCount val="1"/>
                <c:pt idx="0">
                  <c:v>Electric</c:v>
                </c:pt>
              </c:strCache>
            </c:strRef>
          </c:tx>
          <c:spPr>
            <a:solidFill>
              <a:schemeClr val="accent1">
                <a:alpha val="74000"/>
              </a:schemeClr>
            </a:solidFill>
            <a:ln w="25400">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Over'!$B$5:$B$17</c:f>
              <c:numCache>
                <c:formatCode>General</c:formatCode>
                <c:ptCount val="12"/>
                <c:pt idx="0">
                  <c:v>1010</c:v>
                </c:pt>
                <c:pt idx="1">
                  <c:v>495</c:v>
                </c:pt>
                <c:pt idx="2">
                  <c:v>763</c:v>
                </c:pt>
                <c:pt idx="3">
                  <c:v>1469</c:v>
                </c:pt>
                <c:pt idx="4">
                  <c:v>2222</c:v>
                </c:pt>
                <c:pt idx="5">
                  <c:v>1706</c:v>
                </c:pt>
                <c:pt idx="6">
                  <c:v>1270</c:v>
                </c:pt>
                <c:pt idx="7">
                  <c:v>939</c:v>
                </c:pt>
                <c:pt idx="8">
                  <c:v>689</c:v>
                </c:pt>
                <c:pt idx="9">
                  <c:v>1031</c:v>
                </c:pt>
                <c:pt idx="10">
                  <c:v>502</c:v>
                </c:pt>
                <c:pt idx="11">
                  <c:v>473</c:v>
                </c:pt>
              </c:numCache>
            </c:numRef>
          </c:val>
          <c:extLst>
            <c:ext xmlns:c16="http://schemas.microsoft.com/office/drawing/2014/chart" uri="{C3380CC4-5D6E-409C-BE32-E72D297353CC}">
              <c16:uniqueId val="{00000000-FD0A-497F-AD89-5C4A2550E227}"/>
            </c:ext>
          </c:extLst>
        </c:ser>
        <c:ser>
          <c:idx val="1"/>
          <c:order val="1"/>
          <c:tx>
            <c:strRef>
              <c:f>' Pivot Chart – Sales Trend Over'!$C$3:$C$4</c:f>
              <c:strCache>
                <c:ptCount val="1"/>
                <c:pt idx="0">
                  <c:v>Hatchback</c:v>
                </c:pt>
              </c:strCache>
            </c:strRef>
          </c:tx>
          <c:spPr>
            <a:solidFill>
              <a:schemeClr val="accent2">
                <a:alpha val="74000"/>
              </a:schemeClr>
            </a:solidFill>
            <a:ln>
              <a:noFill/>
            </a:ln>
            <a:effectLst>
              <a:innerShdw blurRad="114300">
                <a:schemeClr val="accent2">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Over'!$C$5:$C$17</c:f>
              <c:numCache>
                <c:formatCode>General</c:formatCode>
                <c:ptCount val="12"/>
                <c:pt idx="0">
                  <c:v>825</c:v>
                </c:pt>
                <c:pt idx="1">
                  <c:v>673</c:v>
                </c:pt>
                <c:pt idx="2">
                  <c:v>1108</c:v>
                </c:pt>
                <c:pt idx="3">
                  <c:v>604</c:v>
                </c:pt>
                <c:pt idx="4">
                  <c:v>762</c:v>
                </c:pt>
                <c:pt idx="5">
                  <c:v>890</c:v>
                </c:pt>
                <c:pt idx="6">
                  <c:v>926</c:v>
                </c:pt>
                <c:pt idx="7">
                  <c:v>469</c:v>
                </c:pt>
                <c:pt idx="8">
                  <c:v>502</c:v>
                </c:pt>
                <c:pt idx="9">
                  <c:v>804</c:v>
                </c:pt>
                <c:pt idx="10">
                  <c:v>604</c:v>
                </c:pt>
                <c:pt idx="11">
                  <c:v>855</c:v>
                </c:pt>
              </c:numCache>
            </c:numRef>
          </c:val>
          <c:extLst>
            <c:ext xmlns:c16="http://schemas.microsoft.com/office/drawing/2014/chart" uri="{C3380CC4-5D6E-409C-BE32-E72D297353CC}">
              <c16:uniqueId val="{00000001-51C0-4052-A00D-E37A74514BAF}"/>
            </c:ext>
          </c:extLst>
        </c:ser>
        <c:ser>
          <c:idx val="2"/>
          <c:order val="2"/>
          <c:tx>
            <c:strRef>
              <c:f>' Pivot Chart – Sales Trend Over'!$D$3:$D$4</c:f>
              <c:strCache>
                <c:ptCount val="1"/>
                <c:pt idx="0">
                  <c:v>Sedan</c:v>
                </c:pt>
              </c:strCache>
            </c:strRef>
          </c:tx>
          <c:spPr>
            <a:solidFill>
              <a:schemeClr val="accent3">
                <a:alpha val="74000"/>
              </a:schemeClr>
            </a:solidFill>
            <a:ln>
              <a:noFill/>
            </a:ln>
            <a:effectLst>
              <a:innerShdw blurRad="114300">
                <a:schemeClr val="accent3">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3">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Over'!$D$5:$D$17</c:f>
              <c:numCache>
                <c:formatCode>General</c:formatCode>
                <c:ptCount val="12"/>
                <c:pt idx="0">
                  <c:v>954</c:v>
                </c:pt>
                <c:pt idx="1">
                  <c:v>2608</c:v>
                </c:pt>
                <c:pt idx="2">
                  <c:v>423</c:v>
                </c:pt>
                <c:pt idx="3">
                  <c:v>933</c:v>
                </c:pt>
                <c:pt idx="4">
                  <c:v>810</c:v>
                </c:pt>
                <c:pt idx="5">
                  <c:v>543</c:v>
                </c:pt>
                <c:pt idx="6">
                  <c:v>735</c:v>
                </c:pt>
                <c:pt idx="7">
                  <c:v>672</c:v>
                </c:pt>
                <c:pt idx="8">
                  <c:v>2021</c:v>
                </c:pt>
                <c:pt idx="9">
                  <c:v>797</c:v>
                </c:pt>
                <c:pt idx="10">
                  <c:v>975</c:v>
                </c:pt>
                <c:pt idx="11">
                  <c:v>1901</c:v>
                </c:pt>
              </c:numCache>
            </c:numRef>
          </c:val>
          <c:extLst>
            <c:ext xmlns:c16="http://schemas.microsoft.com/office/drawing/2014/chart" uri="{C3380CC4-5D6E-409C-BE32-E72D297353CC}">
              <c16:uniqueId val="{00000002-51C0-4052-A00D-E37A74514BAF}"/>
            </c:ext>
          </c:extLst>
        </c:ser>
        <c:ser>
          <c:idx val="3"/>
          <c:order val="3"/>
          <c:tx>
            <c:strRef>
              <c:f>' Pivot Chart – Sales Trend Over'!$E$3:$E$4</c:f>
              <c:strCache>
                <c:ptCount val="1"/>
                <c:pt idx="0">
                  <c:v>SUV</c:v>
                </c:pt>
              </c:strCache>
            </c:strRef>
          </c:tx>
          <c:spPr>
            <a:solidFill>
              <a:schemeClr val="accent4">
                <a:alpha val="74000"/>
              </a:schemeClr>
            </a:solidFill>
            <a:ln>
              <a:noFill/>
            </a:ln>
            <a:effectLst>
              <a:innerShdw blurRad="114300">
                <a:schemeClr val="accent4">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Over'!$E$5:$E$17</c:f>
              <c:numCache>
                <c:formatCode>General</c:formatCode>
                <c:ptCount val="12"/>
                <c:pt idx="0">
                  <c:v>488</c:v>
                </c:pt>
                <c:pt idx="1">
                  <c:v>2805</c:v>
                </c:pt>
                <c:pt idx="2">
                  <c:v>2096</c:v>
                </c:pt>
                <c:pt idx="3">
                  <c:v>1912</c:v>
                </c:pt>
                <c:pt idx="4">
                  <c:v>890</c:v>
                </c:pt>
                <c:pt idx="5">
                  <c:v>1047</c:v>
                </c:pt>
                <c:pt idx="6">
                  <c:v>432</c:v>
                </c:pt>
                <c:pt idx="7">
                  <c:v>2324</c:v>
                </c:pt>
                <c:pt idx="8">
                  <c:v>421</c:v>
                </c:pt>
                <c:pt idx="9">
                  <c:v>991</c:v>
                </c:pt>
                <c:pt idx="10">
                  <c:v>1558</c:v>
                </c:pt>
                <c:pt idx="11">
                  <c:v>683</c:v>
                </c:pt>
              </c:numCache>
            </c:numRef>
          </c:val>
          <c:extLst>
            <c:ext xmlns:c16="http://schemas.microsoft.com/office/drawing/2014/chart" uri="{C3380CC4-5D6E-409C-BE32-E72D297353CC}">
              <c16:uniqueId val="{00000003-51C0-4052-A00D-E37A74514BAF}"/>
            </c:ext>
          </c:extLst>
        </c:ser>
        <c:ser>
          <c:idx val="4"/>
          <c:order val="4"/>
          <c:tx>
            <c:strRef>
              <c:f>' Pivot Chart – Sales Trend Over'!$F$3:$F$4</c:f>
              <c:strCache>
                <c:ptCount val="1"/>
                <c:pt idx="0">
                  <c:v>Truck</c:v>
                </c:pt>
              </c:strCache>
            </c:strRef>
          </c:tx>
          <c:spPr>
            <a:solidFill>
              <a:schemeClr val="accent5">
                <a:alpha val="74000"/>
              </a:schemeClr>
            </a:solidFill>
            <a:ln>
              <a:noFill/>
            </a:ln>
            <a:effectLst>
              <a:innerShdw blurRad="114300">
                <a:schemeClr val="accent5">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Over'!$F$5:$F$17</c:f>
              <c:numCache>
                <c:formatCode>General</c:formatCode>
                <c:ptCount val="12"/>
                <c:pt idx="0">
                  <c:v>1519</c:v>
                </c:pt>
                <c:pt idx="1">
                  <c:v>583</c:v>
                </c:pt>
                <c:pt idx="2">
                  <c:v>725</c:v>
                </c:pt>
                <c:pt idx="3">
                  <c:v>822</c:v>
                </c:pt>
                <c:pt idx="4">
                  <c:v>587</c:v>
                </c:pt>
                <c:pt idx="5">
                  <c:v>409</c:v>
                </c:pt>
                <c:pt idx="6">
                  <c:v>709</c:v>
                </c:pt>
                <c:pt idx="7">
                  <c:v>505</c:v>
                </c:pt>
                <c:pt idx="8">
                  <c:v>1136</c:v>
                </c:pt>
                <c:pt idx="9">
                  <c:v>667</c:v>
                </c:pt>
                <c:pt idx="10">
                  <c:v>617</c:v>
                </c:pt>
                <c:pt idx="11">
                  <c:v>1921</c:v>
                </c:pt>
              </c:numCache>
            </c:numRef>
          </c:val>
          <c:extLst>
            <c:ext xmlns:c16="http://schemas.microsoft.com/office/drawing/2014/chart" uri="{C3380CC4-5D6E-409C-BE32-E72D297353CC}">
              <c16:uniqueId val="{00000004-51C0-4052-A00D-E37A74514BAF}"/>
            </c:ext>
          </c:extLst>
        </c:ser>
        <c:dLbls>
          <c:showLegendKey val="0"/>
          <c:showVal val="1"/>
          <c:showCatName val="0"/>
          <c:showSerName val="0"/>
          <c:showPercent val="0"/>
          <c:showBubbleSize val="0"/>
        </c:dLbls>
        <c:axId val="1734689856"/>
        <c:axId val="1734673536"/>
      </c:areaChart>
      <c:catAx>
        <c:axId val="173468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734673536"/>
        <c:crosses val="autoZero"/>
        <c:auto val="1"/>
        <c:lblAlgn val="ctr"/>
        <c:lblOffset val="100"/>
        <c:noMultiLvlLbl val="0"/>
      </c:catAx>
      <c:valAx>
        <c:axId val="1734673536"/>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346898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[Automotive_market_Demand_Forecasting_Dataset_Analysis.xlsx]PivotTable – Vehicle Type Trend!PivotTable1</c:name>
    <c:fmtId val="6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Vehicle Type Trend </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rgbClr val="C00000"/>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rgbClr val="C0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rgbClr val="C0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 Vehicle Type Trend'!$B$3</c:f>
              <c:strCache>
                <c:ptCount val="1"/>
                <c:pt idx="0">
                  <c:v>Sum of Units_Sold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'PivotTable – Vehicle Type Trend'!$A$4:$A$9</c:f>
              <c:strCache>
                <c:ptCount val="5"/>
                <c:pt idx="0">
                  <c:v>Electric</c:v>
                </c:pt>
                <c:pt idx="1">
                  <c:v>Hatchback</c:v>
                </c:pt>
                <c:pt idx="2">
                  <c:v>Sedan</c:v>
                </c:pt>
                <c:pt idx="3">
                  <c:v>SUV</c:v>
                </c:pt>
                <c:pt idx="4">
                  <c:v>Truck</c:v>
                </c:pt>
              </c:strCache>
            </c:strRef>
          </c:cat>
          <c:val>
            <c:numRef>
              <c:f>'PivotTable – Vehicle Type Trend'!$B$4:$B$9</c:f>
              <c:numCache>
                <c:formatCode>General</c:formatCode>
                <c:ptCount val="5"/>
                <c:pt idx="0">
                  <c:v>12569</c:v>
                </c:pt>
                <c:pt idx="1">
                  <c:v>9022</c:v>
                </c:pt>
                <c:pt idx="2">
                  <c:v>13372</c:v>
                </c:pt>
                <c:pt idx="3">
                  <c:v>15647</c:v>
                </c:pt>
                <c:pt idx="4">
                  <c:v>10200</c:v>
                </c:pt>
              </c:numCache>
            </c:numRef>
          </c:val>
          <c:extLst>
            <c:ext xmlns:c16="http://schemas.microsoft.com/office/drawing/2014/chart" uri="{C3380CC4-5D6E-409C-BE32-E72D297353CC}">
              <c16:uniqueId val="{00000000-68ED-4907-82AA-625159AAE468}"/>
            </c:ext>
          </c:extLst>
        </c:ser>
        <c:ser>
          <c:idx val="1"/>
          <c:order val="1"/>
          <c:tx>
            <c:strRef>
              <c:f>'PivotTable – Vehicle Type Trend'!$C$3</c:f>
              <c:strCache>
                <c:ptCount val="1"/>
                <c:pt idx="0">
                  <c:v>Sum of Average_Price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'PivotTable – Vehicle Type Trend'!$A$4:$A$9</c:f>
              <c:strCache>
                <c:ptCount val="5"/>
                <c:pt idx="0">
                  <c:v>Electric</c:v>
                </c:pt>
                <c:pt idx="1">
                  <c:v>Hatchback</c:v>
                </c:pt>
                <c:pt idx="2">
                  <c:v>Sedan</c:v>
                </c:pt>
                <c:pt idx="3">
                  <c:v>SUV</c:v>
                </c:pt>
                <c:pt idx="4">
                  <c:v>Truck</c:v>
                </c:pt>
              </c:strCache>
            </c:strRef>
          </c:cat>
          <c:val>
            <c:numRef>
              <c:f>'PivotTable – Vehicle Type Trend'!$C$4:$C$9</c:f>
              <c:numCache>
                <c:formatCode>General</c:formatCode>
                <c:ptCount val="5"/>
                <c:pt idx="0">
                  <c:v>3724959.1996401814</c:v>
                </c:pt>
                <c:pt idx="1">
                  <c:v>3520522.3482760335</c:v>
                </c:pt>
                <c:pt idx="2">
                  <c:v>4001562.8923041048</c:v>
                </c:pt>
                <c:pt idx="3">
                  <c:v>3508075.9305531988</c:v>
                </c:pt>
                <c:pt idx="4">
                  <c:v>3345370.0301046725</c:v>
                </c:pt>
              </c:numCache>
            </c:numRef>
          </c:val>
          <c:extLst>
            <c:ext xmlns:c16="http://schemas.microsoft.com/office/drawing/2014/chart" uri="{C3380CC4-5D6E-409C-BE32-E72D297353CC}">
              <c16:uniqueId val="{00000001-68ED-4907-82AA-625159AAE468}"/>
            </c:ext>
          </c:extLst>
        </c:ser>
        <c:ser>
          <c:idx val="2"/>
          <c:order val="2"/>
          <c:tx>
            <c:strRef>
              <c:f>'PivotTable – Vehicle Type Trend'!$D$3</c:f>
              <c:strCache>
                <c:ptCount val="1"/>
                <c:pt idx="0">
                  <c:v>Sum of Marketing_Spend</c:v>
                </c:pt>
              </c:strCache>
            </c:strRef>
          </c:tx>
          <c:spPr>
            <a:noFill/>
            <a:ln w="9525" cap="flat" cmpd="sng" algn="ctr">
              <a:solidFill>
                <a:srgbClr val="C00000"/>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3">
                    <a:alpha val="50000"/>
                  </a:schemeClr>
                </a:solidFill>
              </a:ln>
              <a:effectLst/>
            </c:spPr>
            <c:trendlineType val="linear"/>
            <c:dispRSqr val="1"/>
            <c:dispEq val="1"/>
            <c:trendlineLbl>
              <c:layout>
                <c:manualLayout>
                  <c:x val="0.35869792056182936"/>
                  <c:y val="-0.2811649032152230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trendlineLbl>
          </c:trendline>
          <c:cat>
            <c:strRef>
              <c:f>'PivotTable – Vehicle Type Trend'!$A$4:$A$9</c:f>
              <c:strCache>
                <c:ptCount val="5"/>
                <c:pt idx="0">
                  <c:v>Electric</c:v>
                </c:pt>
                <c:pt idx="1">
                  <c:v>Hatchback</c:v>
                </c:pt>
                <c:pt idx="2">
                  <c:v>Sedan</c:v>
                </c:pt>
                <c:pt idx="3">
                  <c:v>SUV</c:v>
                </c:pt>
                <c:pt idx="4">
                  <c:v>Truck</c:v>
                </c:pt>
              </c:strCache>
            </c:strRef>
          </c:cat>
          <c:val>
            <c:numRef>
              <c:f>'PivotTable – Vehicle Type Trend'!$D$4:$D$9</c:f>
              <c:numCache>
                <c:formatCode>General</c:formatCode>
                <c:ptCount val="5"/>
                <c:pt idx="0">
                  <c:v>10747350.710823013</c:v>
                </c:pt>
                <c:pt idx="1">
                  <c:v>10906035.748521531</c:v>
                </c:pt>
                <c:pt idx="2">
                  <c:v>14635516.742584277</c:v>
                </c:pt>
                <c:pt idx="3">
                  <c:v>14199248.640529215</c:v>
                </c:pt>
                <c:pt idx="4">
                  <c:v>10738060.589382561</c:v>
                </c:pt>
              </c:numCache>
            </c:numRef>
          </c:val>
          <c:extLst>
            <c:ext xmlns:c16="http://schemas.microsoft.com/office/drawing/2014/chart" uri="{C3380CC4-5D6E-409C-BE32-E72D297353CC}">
              <c16:uniqueId val="{00000003-68ED-4907-82AA-625159AAE468}"/>
            </c:ext>
          </c:extLst>
        </c:ser>
        <c:dLbls>
          <c:dLblPos val="outEnd"/>
          <c:showLegendKey val="0"/>
          <c:showVal val="1"/>
          <c:showCatName val="0"/>
          <c:showSerName val="0"/>
          <c:showPercent val="0"/>
          <c:showBubbleSize val="0"/>
        </c:dLbls>
        <c:gapWidth val="315"/>
        <c:overlap val="-40"/>
        <c:axId val="1684002064"/>
        <c:axId val="1684002544"/>
      </c:barChart>
      <c:catAx>
        <c:axId val="16840020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4002544"/>
        <c:crosses val="autoZero"/>
        <c:auto val="1"/>
        <c:lblAlgn val="ctr"/>
        <c:lblOffset val="100"/>
        <c:noMultiLvlLbl val="0"/>
      </c:catAx>
      <c:valAx>
        <c:axId val="16840025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4002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 Pivot Chart – Sales Trend Over!PivotTable1</c:name>
    <c:fmtId val="7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800" b="1" i="0" u="none" strike="noStrike" cap="all" baseline="0"/>
              <a:t>Sales Trend Over Time</a:t>
            </a:r>
            <a:endParaRPr lang="en-IN"/>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alpha val="74000"/>
            </a:schemeClr>
          </a:solidFill>
          <a:ln>
            <a:noFill/>
          </a:ln>
          <a:effectLst>
            <a:innerShdw blurRad="114300">
              <a:schemeClr val="accent1">
                <a:lumMod val="75000"/>
              </a:schemeClr>
            </a:innerShdw>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4000"/>
            </a:schemeClr>
          </a:solidFill>
          <a:ln>
            <a:noFill/>
          </a:ln>
          <a:effectLst>
            <a:innerShdw blurRad="114300">
              <a:schemeClr val="accent1">
                <a:lumMod val="75000"/>
              </a:schemeClr>
            </a:innerShdw>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4000"/>
            </a:schemeClr>
          </a:solidFill>
          <a:ln>
            <a:noFill/>
          </a:ln>
          <a:effectLst>
            <a:innerShdw blurRad="114300">
              <a:schemeClr val="accent1">
                <a:lumMod val="75000"/>
              </a:schemeClr>
            </a:innerShdw>
          </a:effectLst>
        </c:spPr>
        <c:marker>
          <c:symbol val="circle"/>
          <c:size val="6"/>
          <c:spPr>
            <a:solidFill>
              <a:schemeClr val="accent3">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4000"/>
            </a:schemeClr>
          </a:solidFill>
          <a:ln>
            <a:noFill/>
          </a:ln>
          <a:effectLst>
            <a:innerShdw blurRad="114300">
              <a:schemeClr val="accent1">
                <a:lumMod val="75000"/>
              </a:schemeClr>
            </a:innerShdw>
          </a:effectLst>
        </c:spPr>
        <c:marker>
          <c:symbol val="circle"/>
          <c:size val="6"/>
          <c:spPr>
            <a:solidFill>
              <a:schemeClr val="accent4">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74000"/>
            </a:schemeClr>
          </a:solidFill>
          <a:ln>
            <a:noFill/>
          </a:ln>
          <a:effectLst>
            <a:innerShdw blurRad="114300">
              <a:schemeClr val="accent1">
                <a:lumMod val="75000"/>
              </a:schemeClr>
            </a:innerShdw>
          </a:effectLst>
        </c:spPr>
        <c:marker>
          <c:symbol val="circle"/>
          <c:size val="6"/>
          <c:spPr>
            <a:solidFill>
              <a:schemeClr val="accent5">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74000"/>
            </a:schemeClr>
          </a:solidFill>
          <a:ln w="25400">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 Pivot Chart – Sales Trend Over'!$B$3:$B$4</c:f>
              <c:strCache>
                <c:ptCount val="1"/>
                <c:pt idx="0">
                  <c:v>Electric</c:v>
                </c:pt>
              </c:strCache>
            </c:strRef>
          </c:tx>
          <c:spPr>
            <a:solidFill>
              <a:schemeClr val="accent1">
                <a:alpha val="74000"/>
              </a:schemeClr>
            </a:solidFill>
            <a:ln w="25400">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Over'!$B$5:$B$17</c:f>
              <c:numCache>
                <c:formatCode>General</c:formatCode>
                <c:ptCount val="12"/>
                <c:pt idx="0">
                  <c:v>1010</c:v>
                </c:pt>
                <c:pt idx="1">
                  <c:v>495</c:v>
                </c:pt>
                <c:pt idx="2">
                  <c:v>763</c:v>
                </c:pt>
                <c:pt idx="3">
                  <c:v>1469</c:v>
                </c:pt>
                <c:pt idx="4">
                  <c:v>2222</c:v>
                </c:pt>
                <c:pt idx="5">
                  <c:v>1706</c:v>
                </c:pt>
                <c:pt idx="6">
                  <c:v>1270</c:v>
                </c:pt>
                <c:pt idx="7">
                  <c:v>939</c:v>
                </c:pt>
                <c:pt idx="8">
                  <c:v>689</c:v>
                </c:pt>
                <c:pt idx="9">
                  <c:v>1031</c:v>
                </c:pt>
                <c:pt idx="10">
                  <c:v>502</c:v>
                </c:pt>
                <c:pt idx="11">
                  <c:v>473</c:v>
                </c:pt>
              </c:numCache>
            </c:numRef>
          </c:val>
          <c:extLst>
            <c:ext xmlns:c16="http://schemas.microsoft.com/office/drawing/2014/chart" uri="{C3380CC4-5D6E-409C-BE32-E72D297353CC}">
              <c16:uniqueId val="{00000000-A77B-434A-BC23-4F3FAF11FB28}"/>
            </c:ext>
          </c:extLst>
        </c:ser>
        <c:ser>
          <c:idx val="1"/>
          <c:order val="1"/>
          <c:tx>
            <c:strRef>
              <c:f>' Pivot Chart – Sales Trend Over'!$C$3:$C$4</c:f>
              <c:strCache>
                <c:ptCount val="1"/>
                <c:pt idx="0">
                  <c:v>Hatchback</c:v>
                </c:pt>
              </c:strCache>
            </c:strRef>
          </c:tx>
          <c:spPr>
            <a:solidFill>
              <a:schemeClr val="accent2">
                <a:alpha val="74000"/>
              </a:schemeClr>
            </a:solidFill>
            <a:ln>
              <a:noFill/>
            </a:ln>
            <a:effectLst>
              <a:innerShdw blurRad="114300">
                <a:schemeClr val="accent2">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Over'!$C$5:$C$17</c:f>
              <c:numCache>
                <c:formatCode>General</c:formatCode>
                <c:ptCount val="12"/>
                <c:pt idx="0">
                  <c:v>825</c:v>
                </c:pt>
                <c:pt idx="1">
                  <c:v>673</c:v>
                </c:pt>
                <c:pt idx="2">
                  <c:v>1108</c:v>
                </c:pt>
                <c:pt idx="3">
                  <c:v>604</c:v>
                </c:pt>
                <c:pt idx="4">
                  <c:v>762</c:v>
                </c:pt>
                <c:pt idx="5">
                  <c:v>890</c:v>
                </c:pt>
                <c:pt idx="6">
                  <c:v>926</c:v>
                </c:pt>
                <c:pt idx="7">
                  <c:v>469</c:v>
                </c:pt>
                <c:pt idx="8">
                  <c:v>502</c:v>
                </c:pt>
                <c:pt idx="9">
                  <c:v>804</c:v>
                </c:pt>
                <c:pt idx="10">
                  <c:v>604</c:v>
                </c:pt>
                <c:pt idx="11">
                  <c:v>855</c:v>
                </c:pt>
              </c:numCache>
            </c:numRef>
          </c:val>
          <c:extLst>
            <c:ext xmlns:c16="http://schemas.microsoft.com/office/drawing/2014/chart" uri="{C3380CC4-5D6E-409C-BE32-E72D297353CC}">
              <c16:uniqueId val="{00000000-D4C2-4518-B688-E26C58ED9808}"/>
            </c:ext>
          </c:extLst>
        </c:ser>
        <c:ser>
          <c:idx val="2"/>
          <c:order val="2"/>
          <c:tx>
            <c:strRef>
              <c:f>' Pivot Chart – Sales Trend Over'!$D$3:$D$4</c:f>
              <c:strCache>
                <c:ptCount val="1"/>
                <c:pt idx="0">
                  <c:v>Sedan</c:v>
                </c:pt>
              </c:strCache>
            </c:strRef>
          </c:tx>
          <c:spPr>
            <a:solidFill>
              <a:schemeClr val="accent3">
                <a:alpha val="74000"/>
              </a:schemeClr>
            </a:solidFill>
            <a:ln>
              <a:noFill/>
            </a:ln>
            <a:effectLst>
              <a:innerShdw blurRad="114300">
                <a:schemeClr val="accent3">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3">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Over'!$D$5:$D$17</c:f>
              <c:numCache>
                <c:formatCode>General</c:formatCode>
                <c:ptCount val="12"/>
                <c:pt idx="0">
                  <c:v>954</c:v>
                </c:pt>
                <c:pt idx="1">
                  <c:v>2608</c:v>
                </c:pt>
                <c:pt idx="2">
                  <c:v>423</c:v>
                </c:pt>
                <c:pt idx="3">
                  <c:v>933</c:v>
                </c:pt>
                <c:pt idx="4">
                  <c:v>810</c:v>
                </c:pt>
                <c:pt idx="5">
                  <c:v>543</c:v>
                </c:pt>
                <c:pt idx="6">
                  <c:v>735</c:v>
                </c:pt>
                <c:pt idx="7">
                  <c:v>672</c:v>
                </c:pt>
                <c:pt idx="8">
                  <c:v>2021</c:v>
                </c:pt>
                <c:pt idx="9">
                  <c:v>797</c:v>
                </c:pt>
                <c:pt idx="10">
                  <c:v>975</c:v>
                </c:pt>
                <c:pt idx="11">
                  <c:v>1901</c:v>
                </c:pt>
              </c:numCache>
            </c:numRef>
          </c:val>
          <c:extLst>
            <c:ext xmlns:c16="http://schemas.microsoft.com/office/drawing/2014/chart" uri="{C3380CC4-5D6E-409C-BE32-E72D297353CC}">
              <c16:uniqueId val="{00000001-D4C2-4518-B688-E26C58ED9808}"/>
            </c:ext>
          </c:extLst>
        </c:ser>
        <c:ser>
          <c:idx val="3"/>
          <c:order val="3"/>
          <c:tx>
            <c:strRef>
              <c:f>' Pivot Chart – Sales Trend Over'!$E$3:$E$4</c:f>
              <c:strCache>
                <c:ptCount val="1"/>
                <c:pt idx="0">
                  <c:v>SUV</c:v>
                </c:pt>
              </c:strCache>
            </c:strRef>
          </c:tx>
          <c:spPr>
            <a:solidFill>
              <a:schemeClr val="accent4">
                <a:alpha val="74000"/>
              </a:schemeClr>
            </a:solidFill>
            <a:ln>
              <a:noFill/>
            </a:ln>
            <a:effectLst>
              <a:innerShdw blurRad="114300">
                <a:schemeClr val="accent4">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Over'!$E$5:$E$17</c:f>
              <c:numCache>
                <c:formatCode>General</c:formatCode>
                <c:ptCount val="12"/>
                <c:pt idx="0">
                  <c:v>488</c:v>
                </c:pt>
                <c:pt idx="1">
                  <c:v>2805</c:v>
                </c:pt>
                <c:pt idx="2">
                  <c:v>2096</c:v>
                </c:pt>
                <c:pt idx="3">
                  <c:v>1912</c:v>
                </c:pt>
                <c:pt idx="4">
                  <c:v>890</c:v>
                </c:pt>
                <c:pt idx="5">
                  <c:v>1047</c:v>
                </c:pt>
                <c:pt idx="6">
                  <c:v>432</c:v>
                </c:pt>
                <c:pt idx="7">
                  <c:v>2324</c:v>
                </c:pt>
                <c:pt idx="8">
                  <c:v>421</c:v>
                </c:pt>
                <c:pt idx="9">
                  <c:v>991</c:v>
                </c:pt>
                <c:pt idx="10">
                  <c:v>1558</c:v>
                </c:pt>
                <c:pt idx="11">
                  <c:v>683</c:v>
                </c:pt>
              </c:numCache>
            </c:numRef>
          </c:val>
          <c:extLst>
            <c:ext xmlns:c16="http://schemas.microsoft.com/office/drawing/2014/chart" uri="{C3380CC4-5D6E-409C-BE32-E72D297353CC}">
              <c16:uniqueId val="{00000002-D4C2-4518-B688-E26C58ED9808}"/>
            </c:ext>
          </c:extLst>
        </c:ser>
        <c:ser>
          <c:idx val="4"/>
          <c:order val="4"/>
          <c:tx>
            <c:strRef>
              <c:f>' Pivot Chart – Sales Trend Over'!$F$3:$F$4</c:f>
              <c:strCache>
                <c:ptCount val="1"/>
                <c:pt idx="0">
                  <c:v>Truck</c:v>
                </c:pt>
              </c:strCache>
            </c:strRef>
          </c:tx>
          <c:spPr>
            <a:solidFill>
              <a:schemeClr val="accent5">
                <a:alpha val="74000"/>
              </a:schemeClr>
            </a:solidFill>
            <a:ln>
              <a:noFill/>
            </a:ln>
            <a:effectLst>
              <a:innerShdw blurRad="114300">
                <a:schemeClr val="accent5">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Pivot Chart – Sales Trend Over'!$A$5:$A$17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Chart – Sales Trend Over'!$F$5:$F$17</c:f>
              <c:numCache>
                <c:formatCode>General</c:formatCode>
                <c:ptCount val="12"/>
                <c:pt idx="0">
                  <c:v>1519</c:v>
                </c:pt>
                <c:pt idx="1">
                  <c:v>583</c:v>
                </c:pt>
                <c:pt idx="2">
                  <c:v>725</c:v>
                </c:pt>
                <c:pt idx="3">
                  <c:v>822</c:v>
                </c:pt>
                <c:pt idx="4">
                  <c:v>587</c:v>
                </c:pt>
                <c:pt idx="5">
                  <c:v>409</c:v>
                </c:pt>
                <c:pt idx="6">
                  <c:v>709</c:v>
                </c:pt>
                <c:pt idx="7">
                  <c:v>505</c:v>
                </c:pt>
                <c:pt idx="8">
                  <c:v>1136</c:v>
                </c:pt>
                <c:pt idx="9">
                  <c:v>667</c:v>
                </c:pt>
                <c:pt idx="10">
                  <c:v>617</c:v>
                </c:pt>
                <c:pt idx="11">
                  <c:v>1921</c:v>
                </c:pt>
              </c:numCache>
            </c:numRef>
          </c:val>
          <c:extLst>
            <c:ext xmlns:c16="http://schemas.microsoft.com/office/drawing/2014/chart" uri="{C3380CC4-5D6E-409C-BE32-E72D297353CC}">
              <c16:uniqueId val="{00000003-D4C2-4518-B688-E26C58ED9808}"/>
            </c:ext>
          </c:extLst>
        </c:ser>
        <c:dLbls>
          <c:showLegendKey val="0"/>
          <c:showVal val="1"/>
          <c:showCatName val="0"/>
          <c:showSerName val="0"/>
          <c:showPercent val="0"/>
          <c:showBubbleSize val="0"/>
        </c:dLbls>
        <c:axId val="1734689856"/>
        <c:axId val="1734673536"/>
      </c:areaChart>
      <c:catAx>
        <c:axId val="173468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734673536"/>
        <c:crosses val="autoZero"/>
        <c:auto val="1"/>
        <c:lblAlgn val="ctr"/>
        <c:lblOffset val="100"/>
        <c:noMultiLvlLbl val="0"/>
      </c:catAx>
      <c:valAx>
        <c:axId val="1734673536"/>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346898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[Automotive_market_Demand_Forecasting_Dataset_Analysis.xlsx]Pivot-Demand across regions!PivotTable1</c:name>
    <c:fmtId val="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800" b="1" i="0" u="none" strike="noStrike" cap="all" baseline="0"/>
              <a:t>Regional Sales Comparison</a:t>
            </a:r>
            <a:endParaRPr lang="en-IN"/>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N"/>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'Pivot-Demand across regions'!$B$3:$B$4</c:f>
              <c:strCache>
                <c:ptCount val="1"/>
                <c:pt idx="0">
                  <c:v>Electric</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regions'!$B$5:$B$9</c:f>
              <c:numCache>
                <c:formatCode>General</c:formatCode>
                <c:ptCount val="4"/>
                <c:pt idx="0">
                  <c:v>2156</c:v>
                </c:pt>
                <c:pt idx="1">
                  <c:v>3854</c:v>
                </c:pt>
                <c:pt idx="2">
                  <c:v>1868</c:v>
                </c:pt>
                <c:pt idx="3">
                  <c:v>4691</c:v>
                </c:pt>
              </c:numCache>
            </c:numRef>
          </c:val>
          <c:extLst>
            <c:ext xmlns:c16="http://schemas.microsoft.com/office/drawing/2014/chart" uri="{C3380CC4-5D6E-409C-BE32-E72D297353CC}">
              <c16:uniqueId val="{00000000-8C16-42C9-9C66-5033D7EB3C67}"/>
            </c:ext>
          </c:extLst>
        </c:ser>
        <c:ser>
          <c:idx val="1"/>
          <c:order val="1"/>
          <c:tx>
            <c:strRef>
              <c:f>'Pivot-Demand across regions'!$C$3:$C$4</c:f>
              <c:strCache>
                <c:ptCount val="1"/>
                <c:pt idx="0">
                  <c:v>Hatchback</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regions'!$C$5:$C$9</c:f>
              <c:numCache>
                <c:formatCode>General</c:formatCode>
                <c:ptCount val="4"/>
                <c:pt idx="0">
                  <c:v>2155</c:v>
                </c:pt>
                <c:pt idx="1">
                  <c:v>2144</c:v>
                </c:pt>
                <c:pt idx="2">
                  <c:v>2775</c:v>
                </c:pt>
                <c:pt idx="3">
                  <c:v>1948</c:v>
                </c:pt>
              </c:numCache>
            </c:numRef>
          </c:val>
          <c:extLst>
            <c:ext xmlns:c16="http://schemas.microsoft.com/office/drawing/2014/chart" uri="{C3380CC4-5D6E-409C-BE32-E72D297353CC}">
              <c16:uniqueId val="{00000001-8C16-42C9-9C66-5033D7EB3C67}"/>
            </c:ext>
          </c:extLst>
        </c:ser>
        <c:ser>
          <c:idx val="2"/>
          <c:order val="2"/>
          <c:tx>
            <c:strRef>
              <c:f>'Pivot-Demand across regions'!$D$3:$D$4</c:f>
              <c:strCache>
                <c:ptCount val="1"/>
                <c:pt idx="0">
                  <c:v>Sedan</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regions'!$D$5:$D$9</c:f>
              <c:numCache>
                <c:formatCode>General</c:formatCode>
                <c:ptCount val="4"/>
                <c:pt idx="0">
                  <c:v>3375</c:v>
                </c:pt>
                <c:pt idx="1">
                  <c:v>3210</c:v>
                </c:pt>
                <c:pt idx="2">
                  <c:v>3566</c:v>
                </c:pt>
                <c:pt idx="3">
                  <c:v>3221</c:v>
                </c:pt>
              </c:numCache>
            </c:numRef>
          </c:val>
          <c:extLst>
            <c:ext xmlns:c16="http://schemas.microsoft.com/office/drawing/2014/chart" uri="{C3380CC4-5D6E-409C-BE32-E72D297353CC}">
              <c16:uniqueId val="{00000002-8C16-42C9-9C66-5033D7EB3C67}"/>
            </c:ext>
          </c:extLst>
        </c:ser>
        <c:ser>
          <c:idx val="3"/>
          <c:order val="3"/>
          <c:tx>
            <c:strRef>
              <c:f>'Pivot-Demand across regions'!$E$3:$E$4</c:f>
              <c:strCache>
                <c:ptCount val="1"/>
                <c:pt idx="0">
                  <c:v>SUV</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regions'!$E$5:$E$9</c:f>
              <c:numCache>
                <c:formatCode>General</c:formatCode>
                <c:ptCount val="4"/>
                <c:pt idx="0">
                  <c:v>3242</c:v>
                </c:pt>
                <c:pt idx="1">
                  <c:v>4861</c:v>
                </c:pt>
                <c:pt idx="2">
                  <c:v>5593</c:v>
                </c:pt>
                <c:pt idx="3">
                  <c:v>1951</c:v>
                </c:pt>
              </c:numCache>
            </c:numRef>
          </c:val>
          <c:extLst>
            <c:ext xmlns:c16="http://schemas.microsoft.com/office/drawing/2014/chart" uri="{C3380CC4-5D6E-409C-BE32-E72D297353CC}">
              <c16:uniqueId val="{00000003-8C16-42C9-9C66-5033D7EB3C67}"/>
            </c:ext>
          </c:extLst>
        </c:ser>
        <c:ser>
          <c:idx val="4"/>
          <c:order val="4"/>
          <c:tx>
            <c:strRef>
              <c:f>'Pivot-Demand across regions'!$F$3:$F$4</c:f>
              <c:strCache>
                <c:ptCount val="1"/>
                <c:pt idx="0">
                  <c:v>Truck</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regions'!$F$5:$F$9</c:f>
              <c:numCache>
                <c:formatCode>General</c:formatCode>
                <c:ptCount val="4"/>
                <c:pt idx="0">
                  <c:v>2051</c:v>
                </c:pt>
                <c:pt idx="1">
                  <c:v>3075</c:v>
                </c:pt>
                <c:pt idx="2">
                  <c:v>3050</c:v>
                </c:pt>
                <c:pt idx="3">
                  <c:v>2024</c:v>
                </c:pt>
              </c:numCache>
            </c:numRef>
          </c:val>
          <c:extLst>
            <c:ext xmlns:c16="http://schemas.microsoft.com/office/drawing/2014/chart" uri="{C3380CC4-5D6E-409C-BE32-E72D297353CC}">
              <c16:uniqueId val="{00000004-8C16-42C9-9C66-5033D7EB3C67}"/>
            </c:ext>
          </c:extLst>
        </c:ser>
        <c:dLbls>
          <c:dLblPos val="outEnd"/>
          <c:showLegendKey val="0"/>
          <c:showVal val="1"/>
          <c:showCatName val="0"/>
          <c:showSerName val="0"/>
          <c:showPercent val="0"/>
          <c:showBubbleSize val="0"/>
        </c:dLbls>
        <c:gapWidth val="164"/>
        <c:overlap val="-22"/>
        <c:axId val="542124719"/>
        <c:axId val="542126639"/>
      </c:barChart>
      <c:catAx>
        <c:axId val="54212471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26639"/>
        <c:crosses val="autoZero"/>
        <c:auto val="1"/>
        <c:lblAlgn val="ctr"/>
        <c:lblOffset val="100"/>
        <c:noMultiLvlLbl val="0"/>
      </c:catAx>
      <c:valAx>
        <c:axId val="542126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24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[Automotive_market_Demand_Forecasting_Dataset_Analysis.xlsx]Pivot-Forecasted Vs Unit_Sold!PivotTable1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Forecasted_Units Vs Unit_Sold over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'Pivot-Forecasted Vs Unit_Sold'!$B$3</c:f>
              <c:strCache>
                <c:ptCount val="1"/>
                <c:pt idx="0">
                  <c:v>Sum of Units_Sold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'Pivot-Forecasted Vs Unit_Sold'!$A$4:$A$16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'Pivot-Forecasted Vs Unit_Sold'!$B$4:$B$16</c:f>
              <c:numCache>
                <c:formatCode>General</c:formatCode>
                <c:ptCount val="12"/>
                <c:pt idx="0">
                  <c:v>4230</c:v>
                </c:pt>
                <c:pt idx="1">
                  <c:v>3740</c:v>
                </c:pt>
                <c:pt idx="2">
                  <c:v>4125</c:v>
                </c:pt>
                <c:pt idx="3">
                  <c:v>4203</c:v>
                </c:pt>
                <c:pt idx="4">
                  <c:v>4400</c:v>
                </c:pt>
                <c:pt idx="5">
                  <c:v>4054</c:v>
                </c:pt>
                <c:pt idx="6">
                  <c:v>4268</c:v>
                </c:pt>
                <c:pt idx="7">
                  <c:v>4191</c:v>
                </c:pt>
                <c:pt idx="8">
                  <c:v>4019</c:v>
                </c:pt>
                <c:pt idx="9">
                  <c:v>4290</c:v>
                </c:pt>
                <c:pt idx="10">
                  <c:v>4095</c:v>
                </c:pt>
                <c:pt idx="11">
                  <c:v>4069</c:v>
                </c:pt>
              </c:numCache>
            </c:numRef>
          </c:val>
          <c:extLst>
            <c:ext xmlns:c16="http://schemas.microsoft.com/office/drawing/2014/chart" uri="{C3380CC4-5D6E-409C-BE32-E72D297353CC}">
              <c16:uniqueId val="{00000000-AD1B-4633-B769-BAAE3C59B4C6}"/>
            </c:ext>
          </c:extLst>
        </c:ser>
        <c:dLbls>
          <c:showLegendKey val="0"/>
          <c:showVal val="1"/>
          <c:showCatName val="0"/>
          <c:showSerName val="0"/>
          <c:showPercent val="0"/>
          <c:showBubbleSize val="0"/>
        </c:dLbls>
        <c:gapWidth val="150"/>
        <c:axId val="215970511"/>
        <c:axId val="215966671"/>
      </c:barChart>
      <c:lineChart>
        <c:grouping val="standard"/>
        <c:varyColors val="0"/>
        <c:ser>
          <c:idx val="1"/>
          <c:order val="1"/>
          <c:tx>
            <c:strRef>
              <c:f>'Pivot-Forecasted Vs Unit_Sold'!$C$3</c:f>
              <c:strCache>
                <c:ptCount val="1"/>
                <c:pt idx="0">
                  <c:v>Sum of Forecasted_Units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ysDot"/>
              </a:ln>
              <a:effectLst/>
            </c:spPr>
            <c:trendlineType val="linear"/>
            <c:dispRSqr val="1"/>
            <c:dispEq val="1"/>
            <c:trendlineLbl>
              <c:layout>
                <c:manualLayout>
                  <c:x val="0.43266841644794402"/>
                  <c:y val="-0.3829538495188101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'Pivot-Forecasted Vs Unit_Sold'!$A$4:$A$16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'Pivot-Forecasted Vs Unit_Sold'!$C$4:$C$16</c:f>
              <c:numCache>
                <c:formatCode>0</c:formatCode>
                <c:ptCount val="12"/>
                <c:pt idx="0">
                  <c:v>4272.5486674906697</c:v>
                </c:pt>
                <c:pt idx="1">
                  <c:v>3775.7418470953885</c:v>
                </c:pt>
                <c:pt idx="2">
                  <c:v>4173.3256099744403</c:v>
                </c:pt>
                <c:pt idx="3">
                  <c:v>4073.9675056460228</c:v>
                </c:pt>
                <c:pt idx="4">
                  <c:v>4372.0732519410076</c:v>
                </c:pt>
                <c:pt idx="5">
                  <c:v>4074.0664623618495</c:v>
                </c:pt>
                <c:pt idx="6">
                  <c:v>4173.6818541514158</c:v>
                </c:pt>
                <c:pt idx="7">
                  <c:v>4173.405939543758</c:v>
                </c:pt>
                <c:pt idx="8">
                  <c:v>4074.2119869439471</c:v>
                </c:pt>
                <c:pt idx="9">
                  <c:v>4272.9060758643027</c:v>
                </c:pt>
                <c:pt idx="10">
                  <c:v>4074.3097794631176</c:v>
                </c:pt>
                <c:pt idx="11">
                  <c:v>4173.7610195240777</c:v>
                </c:pt>
              </c:numCache>
            </c:numRef>
          </c:val>
          <c:smooth val="0"/>
          <c:extLst>
            <c:ext xmlns:c16="http://schemas.microsoft.com/office/drawing/2014/chart" uri="{C3380CC4-5D6E-409C-BE32-E72D297353CC}">
              <c16:uniqueId val="{00000001-AD1B-4633-B769-BAAE3C59B4C6}"/>
            </c:ext>
          </c:extLst>
        </c:ser>
        <c:dLbls>
          <c:showLegendKey val="0"/>
          <c:showVal val="1"/>
          <c:showCatName val="0"/>
          <c:showSerName val="0"/>
          <c:showPercent val="0"/>
          <c:showBubbleSize val="0"/>
        </c:dLbls>
        <c:marker val="1"/>
        <c:smooth val="0"/>
        <c:axId val="215970991"/>
        <c:axId val="215980591"/>
      </c:lineChart>
      <c:catAx>
        <c:axId val="21597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66671"/>
        <c:crosses val="autoZero"/>
        <c:auto val="1"/>
        <c:lblAlgn val="ctr"/>
        <c:lblOffset val="100"/>
        <c:noMultiLvlLbl val="0"/>
      </c:catAx>
      <c:valAx>
        <c:axId val="21596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70511"/>
        <c:crosses val="autoZero"/>
        <c:crossBetween val="between"/>
      </c:valAx>
      <c:valAx>
        <c:axId val="21598059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70991"/>
        <c:crosses val="max"/>
        <c:crossBetween val="between"/>
      </c:valAx>
      <c:catAx>
        <c:axId val="215970991"/>
        <c:scaling>
          <c:orientation val="minMax"/>
        </c:scaling>
        <c:delete val="1"/>
        <c:axPos val="b"/>
        <c:numFmt formatCode="General" sourceLinked="1"/>
        <c:majorTickMark val="none"/>
        <c:minorTickMark val="none"/>
        <c:tickLblPos val="nextTo"/>
        <c:crossAx val="215980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[Automotive_market_Demand_Forecasting_Dataset_Analysis.xlsx]Pivot-Trends Over Time!PivotTable5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Trends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'Pivot-Trends Over Time'!$B$3</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1"/>
            <c:dispEq val="1"/>
            <c:trendlineLbl>
              <c:layout>
                <c:manualLayout>
                  <c:x val="0.25867672153225751"/>
                  <c:y val="-0.2714891442680910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'Pivot-Trends Over Time'!$A$4:$A$16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'Pivot-Trends Over Time'!$B$4:$B$16</c:f>
              <c:numCache>
                <c:formatCode>General</c:formatCode>
                <c:ptCount val="12"/>
                <c:pt idx="0">
                  <c:v>4164476.7531077531</c:v>
                </c:pt>
                <c:pt idx="1">
                  <c:v>3667503.7599228304</c:v>
                </c:pt>
                <c:pt idx="2">
                  <c:v>4277693.8426096905</c:v>
                </c:pt>
                <c:pt idx="3">
                  <c:v>4303804.7125104489</c:v>
                </c:pt>
                <c:pt idx="4">
                  <c:v>4300990.9778818125</c:v>
                </c:pt>
                <c:pt idx="5">
                  <c:v>4119554.9067660584</c:v>
                </c:pt>
                <c:pt idx="6">
                  <c:v>4091309.0277573518</c:v>
                </c:pt>
                <c:pt idx="7">
                  <c:v>4140149.0737484908</c:v>
                </c:pt>
                <c:pt idx="8">
                  <c:v>4241835.263752332</c:v>
                </c:pt>
                <c:pt idx="9">
                  <c:v>3964248.2504839646</c:v>
                </c:pt>
                <c:pt idx="10">
                  <c:v>4149827.9278136292</c:v>
                </c:pt>
                <c:pt idx="11">
                  <c:v>4136143.29328568</c:v>
                </c:pt>
              </c:numCache>
            </c:numRef>
          </c:val>
          <c:smooth val="0"/>
          <c:extLst>
            <c:ext xmlns:c16="http://schemas.microsoft.com/office/drawing/2014/chart" uri="{C3380CC4-5D6E-409C-BE32-E72D297353CC}">
              <c16:uniqueId val="{00000000-E382-4786-8F42-3844E365433A}"/>
            </c:ext>
          </c:extLst>
        </c:ser>
        <c:dLbls>
          <c:dLblPos val="t"/>
          <c:showLegendKey val="0"/>
          <c:showVal val="1"/>
          <c:showCatName val="0"/>
          <c:showSerName val="0"/>
          <c:showPercent val="0"/>
          <c:showBubbleSize val="0"/>
        </c:dLbls>
        <c:marker val="1"/>
        <c:smooth val="0"/>
        <c:axId val="215896111"/>
        <c:axId val="215879791"/>
      </c:lineChart>
      <c:catAx>
        <c:axId val="2158961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879791"/>
        <c:crosses val="autoZero"/>
        <c:auto val="1"/>
        <c:lblAlgn val="ctr"/>
        <c:lblOffset val="100"/>
        <c:noMultiLvlLbl val="0"/>
      </c:catAx>
      <c:valAx>
        <c:axId val="21587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89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[Automotive_market_Demand_Forecasting_Dataset_Analysis.xlsx]Pivot-Sales by Vehicle_Type!PivotTable2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t>
            </a:r>
            <a:r>
              <a:rPr lang="en-IN" sz="1400" b="0" i="0" u="none" strike="noStrike" baseline="0"/>
              <a:t>Sales by Vehicle_type</a:t>
            </a:r>
            <a:endParaRPr lang="en-US"/>
          </a:p>
        </c:rich>
      </c:tx>
      <c:layout>
        <c:manualLayout>
          <c:xMode val="edge"/>
          <c:yMode val="edge"/>
          <c:x val="0.28759033245844268"/>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'Pivot-Sales by Vehicle_Type'!$B$3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43966338582677167"/>
                  <c:y val="-0.235507072032662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'Pivot-Sales by Vehicle_Type'!$A$4:$A$9</c:f>
              <c:strCache>
                <c:ptCount val="5"/>
                <c:pt idx="0">
                  <c:v>Electric</c:v>
                </c:pt>
                <c:pt idx="1">
                  <c:v>Hatchback</c:v>
                </c:pt>
                <c:pt idx="2">
                  <c:v>Sedan</c:v>
                </c:pt>
                <c:pt idx="3">
                  <c:v>SUV</c:v>
                </c:pt>
                <c:pt idx="4">
                  <c:v>Truck</c:v>
                </c:pt>
              </c:strCache>
            </c:strRef>
          </c:cat>
          <c:val>
            <c:numRef>
              <c:f>'Pivot-Sales by Vehicle_Type'!$B$4:$B$9</c:f>
              <c:numCache>
                <c:formatCode>General</c:formatCode>
                <c:ptCount val="5"/>
                <c:pt idx="0">
                  <c:v>10140</c:v>
                </c:pt>
                <c:pt idx="1">
                  <c:v>9703</c:v>
                </c:pt>
                <c:pt idx="2">
                  <c:v>10540</c:v>
                </c:pt>
                <c:pt idx="3">
                  <c:v>10691</c:v>
                </c:pt>
                <c:pt idx="4">
                  <c:v>8610</c:v>
                </c:pt>
              </c:numCache>
            </c:numRef>
          </c:val>
          <c:extLst>
            <c:ext xmlns:c16="http://schemas.microsoft.com/office/drawing/2014/chart" uri="{C3380CC4-5D6E-409C-BE32-E72D297353CC}">
              <c16:uniqueId val="{00000000-8E2C-4013-B5EB-74755B5EB903}"/>
            </c:ext>
          </c:extLst>
        </c:ser>
        <c:dLbls>
          <c:dLblPos val="outEnd"/>
          <c:showLegendKey val="0"/>
          <c:showVal val="1"/>
          <c:showCatName val="0"/>
          <c:showSerName val="0"/>
          <c:showPercent val="0"/>
          <c:showBubbleSize val="0"/>
        </c:dLbls>
        <c:gapWidth val="182"/>
        <c:axId val="215972431"/>
        <c:axId val="215968591"/>
      </c:barChart>
      <c:catAx>
        <c:axId val="21597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68591"/>
        <c:crosses val="autoZero"/>
        <c:auto val="1"/>
        <c:lblAlgn val="ctr"/>
        <c:lblOffset val="100"/>
        <c:noMultiLvlLbl val="0"/>
      </c:catAx>
      <c:valAx>
        <c:axId val="215968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7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[Automotive_market_Demand_Forecasting_Dataset_Analysis.xlsx]Pivot-Forecasted Vs Unit_Sold!PivotTable1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Forecasted_Units Vs Unit_Sold over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'Pivot-Forecasted Vs Unit_Sold'!$B$3</c:f>
              <c:strCache>
                <c:ptCount val="1"/>
                <c:pt idx="0">
                  <c:v>Sum of Units_Sold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'Pivot-Forecasted Vs Unit_Sold'!$A$4:$A$16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'Pivot-Forecasted Vs Unit_Sold'!$B$4:$B$16</c:f>
              <c:numCache>
                <c:formatCode>General</c:formatCode>
                <c:ptCount val="12"/>
                <c:pt idx="0">
                  <c:v>4230</c:v>
                </c:pt>
                <c:pt idx="1">
                  <c:v>3740</c:v>
                </c:pt>
                <c:pt idx="2">
                  <c:v>4125</c:v>
                </c:pt>
                <c:pt idx="3">
                  <c:v>4203</c:v>
                </c:pt>
                <c:pt idx="4">
                  <c:v>4400</c:v>
                </c:pt>
                <c:pt idx="5">
                  <c:v>4054</c:v>
                </c:pt>
                <c:pt idx="6">
                  <c:v>4268</c:v>
                </c:pt>
                <c:pt idx="7">
                  <c:v>4191</c:v>
                </c:pt>
                <c:pt idx="8">
                  <c:v>4019</c:v>
                </c:pt>
                <c:pt idx="9">
                  <c:v>4290</c:v>
                </c:pt>
                <c:pt idx="10">
                  <c:v>4095</c:v>
                </c:pt>
                <c:pt idx="11">
                  <c:v>4069</c:v>
                </c:pt>
              </c:numCache>
            </c:numRef>
          </c:val>
          <c:extLst>
            <c:ext xmlns:c16="http://schemas.microsoft.com/office/drawing/2014/chart" uri="{C3380CC4-5D6E-409C-BE32-E72D297353CC}">
              <c16:uniqueId val="{00000000-19DD-4DC9-8F77-B2957B4BD2D0}"/>
            </c:ext>
          </c:extLst>
        </c:ser>
        <c:dLbls>
          <c:showLegendKey val="0"/>
          <c:showVal val="1"/>
          <c:showCatName val="0"/>
          <c:showSerName val="0"/>
          <c:showPercent val="0"/>
          <c:showBubbleSize val="0"/>
        </c:dLbls>
        <c:gapWidth val="150"/>
        <c:axId val="215970511"/>
        <c:axId val="215966671"/>
      </c:barChart>
      <c:lineChart>
        <c:grouping val="standard"/>
        <c:varyColors val="0"/>
        <c:ser>
          <c:idx val="1"/>
          <c:order val="1"/>
          <c:tx>
            <c:strRef>
              <c:f>'Pivot-Forecasted Vs Unit_Sold'!$C$3</c:f>
              <c:strCache>
                <c:ptCount val="1"/>
                <c:pt idx="0">
                  <c:v>Sum of Forecasted_Units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ysDot"/>
              </a:ln>
              <a:effectLst/>
            </c:spPr>
            <c:trendlineType val="linear"/>
            <c:dispRSqr val="1"/>
            <c:dispEq val="1"/>
            <c:trendlineLbl>
              <c:layout>
                <c:manualLayout>
                  <c:x val="0.43266841644794402"/>
                  <c:y val="-0.3829538495188101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'Pivot-Forecasted Vs Unit_Sold'!$A$4:$A$16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'Pivot-Forecasted Vs Unit_Sold'!$C$4:$C$16</c:f>
              <c:numCache>
                <c:formatCode>0</c:formatCode>
                <c:ptCount val="12"/>
                <c:pt idx="0">
                  <c:v>4272.5486674906697</c:v>
                </c:pt>
                <c:pt idx="1">
                  <c:v>3775.7418470953885</c:v>
                </c:pt>
                <c:pt idx="2">
                  <c:v>4173.3256099744403</c:v>
                </c:pt>
                <c:pt idx="3">
                  <c:v>4073.9675056460228</c:v>
                </c:pt>
                <c:pt idx="4">
                  <c:v>4372.0732519410076</c:v>
                </c:pt>
                <c:pt idx="5">
                  <c:v>4074.0664623618495</c:v>
                </c:pt>
                <c:pt idx="6">
                  <c:v>4173.6818541514158</c:v>
                </c:pt>
                <c:pt idx="7">
                  <c:v>4173.405939543758</c:v>
                </c:pt>
                <c:pt idx="8">
                  <c:v>4074.2119869439471</c:v>
                </c:pt>
                <c:pt idx="9">
                  <c:v>4272.9060758643027</c:v>
                </c:pt>
                <c:pt idx="10">
                  <c:v>4074.3097794631176</c:v>
                </c:pt>
                <c:pt idx="11">
                  <c:v>4173.7610195240777</c:v>
                </c:pt>
              </c:numCache>
            </c:numRef>
          </c:val>
          <c:smooth val="0"/>
          <c:extLst>
            <c:ext xmlns:c16="http://schemas.microsoft.com/office/drawing/2014/chart" uri="{C3380CC4-5D6E-409C-BE32-E72D297353CC}">
              <c16:uniqueId val="{00000002-19DD-4DC9-8F77-B2957B4BD2D0}"/>
            </c:ext>
          </c:extLst>
        </c:ser>
        <c:dLbls>
          <c:showLegendKey val="0"/>
          <c:showVal val="1"/>
          <c:showCatName val="0"/>
          <c:showSerName val="0"/>
          <c:showPercent val="0"/>
          <c:showBubbleSize val="0"/>
        </c:dLbls>
        <c:marker val="1"/>
        <c:smooth val="0"/>
        <c:axId val="215970991"/>
        <c:axId val="215980591"/>
      </c:lineChart>
      <c:catAx>
        <c:axId val="21597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66671"/>
        <c:crosses val="autoZero"/>
        <c:auto val="1"/>
        <c:lblAlgn val="ctr"/>
        <c:lblOffset val="100"/>
        <c:noMultiLvlLbl val="0"/>
      </c:catAx>
      <c:valAx>
        <c:axId val="21596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70511"/>
        <c:crosses val="autoZero"/>
        <c:crossBetween val="between"/>
      </c:valAx>
      <c:valAx>
        <c:axId val="21598059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70991"/>
        <c:crosses val="max"/>
        <c:crossBetween val="between"/>
      </c:valAx>
      <c:catAx>
        <c:axId val="215970991"/>
        <c:scaling>
          <c:orientation val="minMax"/>
        </c:scaling>
        <c:delete val="1"/>
        <c:axPos val="b"/>
        <c:numFmt formatCode="General" sourceLinked="1"/>
        <c:majorTickMark val="none"/>
        <c:minorTickMark val="none"/>
        <c:tickLblPos val="nextTo"/>
        <c:crossAx val="215980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[Automotive_market_Demand_Forecasting_Dataset_Analysis.xlsx]Pivot-Sales by Vehicle_Type!PivotTable2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t>
            </a:r>
            <a:r>
              <a:rPr lang="en-IN" sz="1400" b="0" i="0" u="none" strike="noStrike" baseline="0"/>
              <a:t>Sales by Vehicle_type</a:t>
            </a:r>
            <a:endParaRPr lang="en-US"/>
          </a:p>
        </c:rich>
      </c:tx>
      <c:layout>
        <c:manualLayout>
          <c:xMode val="edge"/>
          <c:yMode val="edge"/>
          <c:x val="0.28759033245844268"/>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'Pivot-Sales by Vehicle_Type'!$B$3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43966338582677167"/>
                  <c:y val="-0.2355070720326625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'Pivot-Sales by Vehicle_Type'!$A$4:$A$9</c:f>
              <c:strCache>
                <c:ptCount val="5"/>
                <c:pt idx="0">
                  <c:v>Electric</c:v>
                </c:pt>
                <c:pt idx="1">
                  <c:v>Hatchback</c:v>
                </c:pt>
                <c:pt idx="2">
                  <c:v>Sedan</c:v>
                </c:pt>
                <c:pt idx="3">
                  <c:v>SUV</c:v>
                </c:pt>
                <c:pt idx="4">
                  <c:v>Truck</c:v>
                </c:pt>
              </c:strCache>
            </c:strRef>
          </c:cat>
          <c:val>
            <c:numRef>
              <c:f>'Pivot-Sales by Vehicle_Type'!$B$4:$B$9</c:f>
              <c:numCache>
                <c:formatCode>General</c:formatCode>
                <c:ptCount val="5"/>
                <c:pt idx="0">
                  <c:v>10140</c:v>
                </c:pt>
                <c:pt idx="1">
                  <c:v>9703</c:v>
                </c:pt>
                <c:pt idx="2">
                  <c:v>10540</c:v>
                </c:pt>
                <c:pt idx="3">
                  <c:v>10691</c:v>
                </c:pt>
                <c:pt idx="4">
                  <c:v>8610</c:v>
                </c:pt>
              </c:numCache>
            </c:numRef>
          </c:val>
          <c:extLst>
            <c:ext xmlns:c16="http://schemas.microsoft.com/office/drawing/2014/chart" uri="{C3380CC4-5D6E-409C-BE32-E72D297353CC}">
              <c16:uniqueId val="{00000001-3DF8-4FE5-B3D9-F3CF303C5559}"/>
            </c:ext>
          </c:extLst>
        </c:ser>
        <c:dLbls>
          <c:dLblPos val="outEnd"/>
          <c:showLegendKey val="0"/>
          <c:showVal val="1"/>
          <c:showCatName val="0"/>
          <c:showSerName val="0"/>
          <c:showPercent val="0"/>
          <c:showBubbleSize val="0"/>
        </c:dLbls>
        <c:gapWidth val="182"/>
        <c:axId val="215972431"/>
        <c:axId val="215968591"/>
      </c:barChart>
      <c:catAx>
        <c:axId val="21597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68591"/>
        <c:crosses val="autoZero"/>
        <c:auto val="1"/>
        <c:lblAlgn val="ctr"/>
        <c:lblOffset val="100"/>
        <c:noMultiLvlLbl val="0"/>
      </c:catAx>
      <c:valAx>
        <c:axId val="215968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97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[Automotive_market_Demand_Forecasting_Dataset_Analysis.xlsx]Pivot-Trends Over Time!PivotTable5</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Trends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'Pivot-Trends Over Time'!$B$3</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1"/>
            <c:dispEq val="1"/>
            <c:trendlineLbl>
              <c:layout>
                <c:manualLayout>
                  <c:x val="0.25867672153225751"/>
                  <c:y val="-0.2714891442680910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'Pivot-Trends Over Time'!$A$4:$A$16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'Pivot-Trends Over Time'!$B$4:$B$16</c:f>
              <c:numCache>
                <c:formatCode>General</c:formatCode>
                <c:ptCount val="12"/>
                <c:pt idx="0">
                  <c:v>4164476.7531077531</c:v>
                </c:pt>
                <c:pt idx="1">
                  <c:v>3667503.7599228304</c:v>
                </c:pt>
                <c:pt idx="2">
                  <c:v>4277693.8426096905</c:v>
                </c:pt>
                <c:pt idx="3">
                  <c:v>4303804.7125104489</c:v>
                </c:pt>
                <c:pt idx="4">
                  <c:v>4300990.9778818125</c:v>
                </c:pt>
                <c:pt idx="5">
                  <c:v>4119554.9067660584</c:v>
                </c:pt>
                <c:pt idx="6">
                  <c:v>4091309.0277573518</c:v>
                </c:pt>
                <c:pt idx="7">
                  <c:v>4140149.0737484908</c:v>
                </c:pt>
                <c:pt idx="8">
                  <c:v>4241835.263752332</c:v>
                </c:pt>
                <c:pt idx="9">
                  <c:v>3964248.2504839646</c:v>
                </c:pt>
                <c:pt idx="10">
                  <c:v>4149827.9278136292</c:v>
                </c:pt>
                <c:pt idx="11">
                  <c:v>4136143.29328568</c:v>
                </c:pt>
              </c:numCache>
            </c:numRef>
          </c:val>
          <c:smooth val="0"/>
          <c:extLst>
            <c:ext xmlns:c16="http://schemas.microsoft.com/office/drawing/2014/chart" uri="{C3380CC4-5D6E-409C-BE32-E72D297353CC}">
              <c16:uniqueId val="{00000001-6684-4BEB-8AA4-9A6777D287D9}"/>
            </c:ext>
          </c:extLst>
        </c:ser>
        <c:dLbls>
          <c:dLblPos val="t"/>
          <c:showLegendKey val="0"/>
          <c:showVal val="1"/>
          <c:showCatName val="0"/>
          <c:showSerName val="0"/>
          <c:showPercent val="0"/>
          <c:showBubbleSize val="0"/>
        </c:dLbls>
        <c:marker val="1"/>
        <c:smooth val="0"/>
        <c:axId val="215896111"/>
        <c:axId val="215879791"/>
      </c:lineChart>
      <c:catAx>
        <c:axId val="2158961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879791"/>
        <c:crosses val="autoZero"/>
        <c:auto val="1"/>
        <c:lblAlgn val="ctr"/>
        <c:lblOffset val="100"/>
        <c:noMultiLvlLbl val="0"/>
      </c:catAx>
      <c:valAx>
        <c:axId val="21587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89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[Automotive_market_Demand_Forecasting_Dataset_Analysis.xlsx]Pivot-Seasonal Demand Trend!PivotTable7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Seasonal Demand Trend by Vehicle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'Pivot-Seasonal Demand Trend'!$B$3:$B$4</c:f>
              <c:strCache>
                <c:ptCount val="1"/>
                <c:pt idx="0">
                  <c:v>Electric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31750" cap="rnd">
                <a:solidFill>
                  <a:schemeClr val="accent1"/>
                </a:solidFill>
                <a:prstDash val="sysDot"/>
              </a:ln>
              <a:effectLst/>
            </c:spPr>
            <c:trendlineType val="linear"/>
            <c:dispRSqr val="1"/>
            <c:dispEq val="1"/>
            <c:trendlineLbl>
              <c:layout>
                <c:manualLayout>
                  <c:x val="0.43958158355205612"/>
                  <c:y val="-0.3360691892680081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'Pivot-Seasonal Demand Trend'!$A$5:$A$9</c:f>
              <c:strCache>
                <c:ptCount val="4"/>
                <c:pt idx="0">
                  <c:v>Autumn</c:v>
                </c:pt>
                <c:pt idx="1">
                  <c:v>Spring</c:v>
                </c:pt>
                <c:pt idx="2">
                  <c:v>Summer</c:v>
                </c:pt>
                <c:pt idx="3">
                  <c:v>Winter</c:v>
                </c:pt>
              </c:strCache>
            </c:strRef>
          </c:cat>
          <c:val>
            <c:numRef>
              <c:f>'Pivot-Seasonal Demand Trend'!$B$5:$B$9</c:f>
              <c:numCache>
                <c:formatCode>General</c:formatCode>
                <c:ptCount val="4"/>
                <c:pt idx="0">
                  <c:v>2006</c:v>
                </c:pt>
                <c:pt idx="1">
                  <c:v>5397</c:v>
                </c:pt>
                <c:pt idx="2">
                  <c:v>2898</c:v>
                </c:pt>
                <c:pt idx="3">
                  <c:v>2268</c:v>
                </c:pt>
              </c:numCache>
            </c:numRef>
          </c:val>
          <c:extLst>
            <c:ext xmlns:c16="http://schemas.microsoft.com/office/drawing/2014/chart" uri="{C3380CC4-5D6E-409C-BE32-E72D297353CC}">
              <c16:uniqueId val="{00000000-38CC-4F49-B95A-3AD6F4A92708}"/>
            </c:ext>
          </c:extLst>
        </c:ser>
        <c:ser>
          <c:idx val="1"/>
          <c:order val="1"/>
          <c:tx>
            <c:strRef>
              <c:f>'Pivot-Seasonal Demand Trend'!$C$3:$C$4</c:f>
              <c:strCache>
                <c:ptCount val="1"/>
                <c:pt idx="0">
                  <c:v>Hatchback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'Pivot-Seasonal Demand Trend'!$A$5:$A$9</c:f>
              <c:strCache>
                <c:ptCount val="4"/>
                <c:pt idx="0">
                  <c:v>Autumn</c:v>
                </c:pt>
                <c:pt idx="1">
                  <c:v>Spring</c:v>
                </c:pt>
                <c:pt idx="2">
                  <c:v>Summer</c:v>
                </c:pt>
                <c:pt idx="3">
                  <c:v>Winter</c:v>
                </c:pt>
              </c:strCache>
            </c:strRef>
          </c:cat>
          <c:val>
            <c:numRef>
              <c:f>'Pivot-Seasonal Demand Trend'!$C$5:$C$9</c:f>
              <c:numCache>
                <c:formatCode>General</c:formatCode>
                <c:ptCount val="4"/>
                <c:pt idx="0">
                  <c:v>2263</c:v>
                </c:pt>
                <c:pt idx="1">
                  <c:v>2256</c:v>
                </c:pt>
                <c:pt idx="2">
                  <c:v>1897</c:v>
                </c:pt>
                <c:pt idx="3">
                  <c:v>2606</c:v>
                </c:pt>
              </c:numCache>
            </c:numRef>
          </c:val>
          <c:extLst>
            <c:ext xmlns:c16="http://schemas.microsoft.com/office/drawing/2014/chart" uri="{C3380CC4-5D6E-409C-BE32-E72D297353CC}">
              <c16:uniqueId val="{00000001-38CC-4F49-B95A-3AD6F4A92708}"/>
            </c:ext>
          </c:extLst>
        </c:ser>
        <c:ser>
          <c:idx val="2"/>
          <c:order val="2"/>
          <c:tx>
            <c:strRef>
              <c:f>'Pivot-Seasonal Demand Trend'!$D$3:$D$4</c:f>
              <c:strCache>
                <c:ptCount val="1"/>
                <c:pt idx="0">
                  <c:v>Sedan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'Pivot-Seasonal Demand Trend'!$A$5:$A$9</c:f>
              <c:strCache>
                <c:ptCount val="4"/>
                <c:pt idx="0">
                  <c:v>Autumn</c:v>
                </c:pt>
                <c:pt idx="1">
                  <c:v>Spring</c:v>
                </c:pt>
                <c:pt idx="2">
                  <c:v>Summer</c:v>
                </c:pt>
                <c:pt idx="3">
                  <c:v>Winter</c:v>
                </c:pt>
              </c:strCache>
            </c:strRef>
          </c:cat>
          <c:val>
            <c:numRef>
              <c:f>'Pivot-Seasonal Demand Trend'!$D$5:$D$9</c:f>
              <c:numCache>
                <c:formatCode>General</c:formatCode>
                <c:ptCount val="4"/>
                <c:pt idx="0">
                  <c:v>3673</c:v>
                </c:pt>
                <c:pt idx="1">
                  <c:v>2286</c:v>
                </c:pt>
                <c:pt idx="2">
                  <c:v>3428</c:v>
                </c:pt>
                <c:pt idx="3">
                  <c:v>3985</c:v>
                </c:pt>
              </c:numCache>
            </c:numRef>
          </c:val>
          <c:extLst>
            <c:ext xmlns:c16="http://schemas.microsoft.com/office/drawing/2014/chart" uri="{C3380CC4-5D6E-409C-BE32-E72D297353CC}">
              <c16:uniqueId val="{00000002-38CC-4F49-B95A-3AD6F4A92708}"/>
            </c:ext>
          </c:extLst>
        </c:ser>
        <c:ser>
          <c:idx val="3"/>
          <c:order val="3"/>
          <c:tx>
            <c:strRef>
              <c:f>'Pivot-Seasonal Demand Trend'!$E$3:$E$4</c:f>
              <c:strCache>
                <c:ptCount val="1"/>
                <c:pt idx="0">
                  <c:v>SUV</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'Pivot-Seasonal Demand Trend'!$A$5:$A$9</c:f>
              <c:strCache>
                <c:ptCount val="4"/>
                <c:pt idx="0">
                  <c:v>Autumn</c:v>
                </c:pt>
                <c:pt idx="1">
                  <c:v>Spring</c:v>
                </c:pt>
                <c:pt idx="2">
                  <c:v>Summer</c:v>
                </c:pt>
                <c:pt idx="3">
                  <c:v>Winter</c:v>
                </c:pt>
              </c:strCache>
            </c:strRef>
          </c:cat>
          <c:val>
            <c:numRef>
              <c:f>'Pivot-Seasonal Demand Trend'!$E$5:$E$9</c:f>
              <c:numCache>
                <c:formatCode>General</c:formatCode>
                <c:ptCount val="4"/>
                <c:pt idx="0">
                  <c:v>3232</c:v>
                </c:pt>
                <c:pt idx="1">
                  <c:v>3849</c:v>
                </c:pt>
                <c:pt idx="2">
                  <c:v>3177</c:v>
                </c:pt>
                <c:pt idx="3">
                  <c:v>5389</c:v>
                </c:pt>
              </c:numCache>
            </c:numRef>
          </c:val>
          <c:extLst>
            <c:ext xmlns:c16="http://schemas.microsoft.com/office/drawing/2014/chart" uri="{C3380CC4-5D6E-409C-BE32-E72D297353CC}">
              <c16:uniqueId val="{00000003-38CC-4F49-B95A-3AD6F4A92708}"/>
            </c:ext>
          </c:extLst>
        </c:ser>
        <c:ser>
          <c:idx val="4"/>
          <c:order val="4"/>
          <c:tx>
            <c:strRef>
              <c:f>'Pivot-Seasonal Demand Trend'!$F$3:$F$4</c:f>
              <c:strCache>
                <c:ptCount val="1"/>
                <c:pt idx="0">
                  <c:v>Truck</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'Pivot-Seasonal Demand Trend'!$A$5:$A$9</c:f>
              <c:strCache>
                <c:ptCount val="4"/>
                <c:pt idx="0">
                  <c:v>Autumn</c:v>
                </c:pt>
                <c:pt idx="1">
                  <c:v>Spring</c:v>
                </c:pt>
                <c:pt idx="2">
                  <c:v>Summer</c:v>
                </c:pt>
                <c:pt idx="3">
                  <c:v>Winter</c:v>
                </c:pt>
              </c:strCache>
            </c:strRef>
          </c:cat>
          <c:val>
            <c:numRef>
              <c:f>'Pivot-Seasonal Demand Trend'!$F$5:$F$9</c:f>
              <c:numCache>
                <c:formatCode>General</c:formatCode>
                <c:ptCount val="4"/>
                <c:pt idx="0">
                  <c:v>3205</c:v>
                </c:pt>
                <c:pt idx="1">
                  <c:v>1818</c:v>
                </c:pt>
                <c:pt idx="2">
                  <c:v>2350</c:v>
                </c:pt>
                <c:pt idx="3">
                  <c:v>2827</c:v>
                </c:pt>
              </c:numCache>
            </c:numRef>
          </c:val>
          <c:extLst>
            <c:ext xmlns:c16="http://schemas.microsoft.com/office/drawing/2014/chart" uri="{C3380CC4-5D6E-409C-BE32-E72D297353CC}">
              <c16:uniqueId val="{00000004-38CC-4F49-B95A-3AD6F4A92708}"/>
            </c:ext>
          </c:extLst>
        </c:ser>
        <c:dLbls>
          <c:dLblPos val="outEnd"/>
          <c:showLegendKey val="0"/>
          <c:showVal val="1"/>
          <c:showCatName val="0"/>
          <c:showSerName val="0"/>
          <c:showPercent val="0"/>
          <c:showBubbleSize val="0"/>
        </c:dLbls>
        <c:gapWidth val="219"/>
        <c:overlap val="-27"/>
        <c:axId val="545168720"/>
        <c:axId val="545169200"/>
      </c:barChart>
      <c:catAx>
        <c:axId val="5451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69200"/>
        <c:crosses val="autoZero"/>
        <c:auto val="1"/>
        <c:lblAlgn val="ctr"/>
        <c:lblOffset val="100"/>
        <c:noMultiLvlLbl val="0"/>
      </c:catAx>
      <c:valAx>
        <c:axId val="54516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6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[Automotive_market_Demand_Forecasting_Dataset_Analysis.xlsx]Pivot-Seasonal Demand Trend!PivotTable7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Seasonal Demand Trend by Vehicle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'Pivot-Seasonal Demand Trend'!$B$3:$B$4</c:f>
              <c:strCache>
                <c:ptCount val="1"/>
                <c:pt idx="0">
                  <c:v>Electric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31750" cap="rnd">
                <a:solidFill>
                  <a:schemeClr val="accent1"/>
                </a:solidFill>
                <a:prstDash val="sysDot"/>
              </a:ln>
              <a:effectLst/>
            </c:spPr>
            <c:trendlineType val="linear"/>
            <c:dispRSqr val="1"/>
            <c:dispEq val="1"/>
            <c:trendlineLbl>
              <c:layout>
                <c:manualLayout>
                  <c:x val="0.43958158355205612"/>
                  <c:y val="-0.3360691892680081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'Pivot-Seasonal Demand Trend'!$A$5:$A$9</c:f>
              <c:strCache>
                <c:ptCount val="4"/>
                <c:pt idx="0">
                  <c:v>Autumn</c:v>
                </c:pt>
                <c:pt idx="1">
                  <c:v>Spring</c:v>
                </c:pt>
                <c:pt idx="2">
                  <c:v>Summer</c:v>
                </c:pt>
                <c:pt idx="3">
                  <c:v>Winter</c:v>
                </c:pt>
              </c:strCache>
            </c:strRef>
          </c:cat>
          <c:val>
            <c:numRef>
              <c:f>'Pivot-Seasonal Demand Trend'!$B$5:$B$9</c:f>
              <c:numCache>
                <c:formatCode>General</c:formatCode>
                <c:ptCount val="4"/>
                <c:pt idx="0">
                  <c:v>2006</c:v>
                </c:pt>
                <c:pt idx="1">
                  <c:v>5397</c:v>
                </c:pt>
                <c:pt idx="2">
                  <c:v>2898</c:v>
                </c:pt>
                <c:pt idx="3">
                  <c:v>2268</c:v>
                </c:pt>
              </c:numCache>
            </c:numRef>
          </c:val>
          <c:extLst>
            <c:ext xmlns:c16="http://schemas.microsoft.com/office/drawing/2014/chart" uri="{C3380CC4-5D6E-409C-BE32-E72D297353CC}">
              <c16:uniqueId val="{00000001-CF27-4282-8717-6714BD31D3AF}"/>
            </c:ext>
          </c:extLst>
        </c:ser>
        <c:ser>
          <c:idx val="1"/>
          <c:order val="1"/>
          <c:tx>
            <c:strRef>
              <c:f>'Pivot-Seasonal Demand Trend'!$C$3:$C$4</c:f>
              <c:strCache>
                <c:ptCount val="1"/>
                <c:pt idx="0">
                  <c:v>Hatchback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'Pivot-Seasonal Demand Trend'!$A$5:$A$9</c:f>
              <c:strCache>
                <c:ptCount val="4"/>
                <c:pt idx="0">
                  <c:v>Autumn</c:v>
                </c:pt>
                <c:pt idx="1">
                  <c:v>Spring</c:v>
                </c:pt>
                <c:pt idx="2">
                  <c:v>Summer</c:v>
                </c:pt>
                <c:pt idx="3">
                  <c:v>Winter</c:v>
                </c:pt>
              </c:strCache>
            </c:strRef>
          </c:cat>
          <c:val>
            <c:numRef>
              <c:f>'Pivot-Seasonal Demand Trend'!$C$5:$C$9</c:f>
              <c:numCache>
                <c:formatCode>General</c:formatCode>
                <c:ptCount val="4"/>
                <c:pt idx="0">
                  <c:v>2263</c:v>
                </c:pt>
                <c:pt idx="1">
                  <c:v>2256</c:v>
                </c:pt>
                <c:pt idx="2">
                  <c:v>1897</c:v>
                </c:pt>
                <c:pt idx="3">
                  <c:v>2606</c:v>
                </c:pt>
              </c:numCache>
            </c:numRef>
          </c:val>
          <c:extLst>
            <c:ext xmlns:c16="http://schemas.microsoft.com/office/drawing/2014/chart" uri="{C3380CC4-5D6E-409C-BE32-E72D297353CC}">
              <c16:uniqueId val="{00000002-CF27-4282-8717-6714BD31D3AF}"/>
            </c:ext>
          </c:extLst>
        </c:ser>
        <c:ser>
          <c:idx val="2"/>
          <c:order val="2"/>
          <c:tx>
            <c:strRef>
              <c:f>'Pivot-Seasonal Demand Trend'!$D$3:$D$4</c:f>
              <c:strCache>
                <c:ptCount val="1"/>
                <c:pt idx="0">
                  <c:v>Sedan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'Pivot-Seasonal Demand Trend'!$A$5:$A$9</c:f>
              <c:strCache>
                <c:ptCount val="4"/>
                <c:pt idx="0">
                  <c:v>Autumn</c:v>
                </c:pt>
                <c:pt idx="1">
                  <c:v>Spring</c:v>
                </c:pt>
                <c:pt idx="2">
                  <c:v>Summer</c:v>
                </c:pt>
                <c:pt idx="3">
                  <c:v>Winter</c:v>
                </c:pt>
              </c:strCache>
            </c:strRef>
          </c:cat>
          <c:val>
            <c:numRef>
              <c:f>'Pivot-Seasonal Demand Trend'!$D$5:$D$9</c:f>
              <c:numCache>
                <c:formatCode>General</c:formatCode>
                <c:ptCount val="4"/>
                <c:pt idx="0">
                  <c:v>3673</c:v>
                </c:pt>
                <c:pt idx="1">
                  <c:v>2286</c:v>
                </c:pt>
                <c:pt idx="2">
                  <c:v>3428</c:v>
                </c:pt>
                <c:pt idx="3">
                  <c:v>3985</c:v>
                </c:pt>
              </c:numCache>
            </c:numRef>
          </c:val>
          <c:extLst>
            <c:ext xmlns:c16="http://schemas.microsoft.com/office/drawing/2014/chart" uri="{C3380CC4-5D6E-409C-BE32-E72D297353CC}">
              <c16:uniqueId val="{00000003-CF27-4282-8717-6714BD31D3AF}"/>
            </c:ext>
          </c:extLst>
        </c:ser>
        <c:ser>
          <c:idx val="3"/>
          <c:order val="3"/>
          <c:tx>
            <c:strRef>
              <c:f>'Pivot-Seasonal Demand Trend'!$E$3:$E$4</c:f>
              <c:strCache>
                <c:ptCount val="1"/>
                <c:pt idx="0">
                  <c:v>SUV</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'Pivot-Seasonal Demand Trend'!$A$5:$A$9</c:f>
              <c:strCache>
                <c:ptCount val="4"/>
                <c:pt idx="0">
                  <c:v>Autumn</c:v>
                </c:pt>
                <c:pt idx="1">
                  <c:v>Spring</c:v>
                </c:pt>
                <c:pt idx="2">
                  <c:v>Summer</c:v>
                </c:pt>
                <c:pt idx="3">
                  <c:v>Winter</c:v>
                </c:pt>
              </c:strCache>
            </c:strRef>
          </c:cat>
          <c:val>
            <c:numRef>
              <c:f>'Pivot-Seasonal Demand Trend'!$E$5:$E$9</c:f>
              <c:numCache>
                <c:formatCode>General</c:formatCode>
                <c:ptCount val="4"/>
                <c:pt idx="0">
                  <c:v>3232</c:v>
                </c:pt>
                <c:pt idx="1">
                  <c:v>3849</c:v>
                </c:pt>
                <c:pt idx="2">
                  <c:v>3177</c:v>
                </c:pt>
                <c:pt idx="3">
                  <c:v>5389</c:v>
                </c:pt>
              </c:numCache>
            </c:numRef>
          </c:val>
          <c:extLst>
            <c:ext xmlns:c16="http://schemas.microsoft.com/office/drawing/2014/chart" uri="{C3380CC4-5D6E-409C-BE32-E72D297353CC}">
              <c16:uniqueId val="{00000004-CF27-4282-8717-6714BD31D3AF}"/>
            </c:ext>
          </c:extLst>
        </c:ser>
        <c:ser>
          <c:idx val="4"/>
          <c:order val="4"/>
          <c:tx>
            <c:strRef>
              <c:f>'Pivot-Seasonal Demand Trend'!$F$3:$F$4</c:f>
              <c:strCache>
                <c:ptCount val="1"/>
                <c:pt idx="0">
                  <c:v>Truck</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'Pivot-Seasonal Demand Trend'!$A$5:$A$9</c:f>
              <c:strCache>
                <c:ptCount val="4"/>
                <c:pt idx="0">
                  <c:v>Autumn</c:v>
                </c:pt>
                <c:pt idx="1">
                  <c:v>Spring</c:v>
                </c:pt>
                <c:pt idx="2">
                  <c:v>Summer</c:v>
                </c:pt>
                <c:pt idx="3">
                  <c:v>Winter</c:v>
                </c:pt>
              </c:strCache>
            </c:strRef>
          </c:cat>
          <c:val>
            <c:numRef>
              <c:f>'Pivot-Seasonal Demand Trend'!$F$5:$F$9</c:f>
              <c:numCache>
                <c:formatCode>General</c:formatCode>
                <c:ptCount val="4"/>
                <c:pt idx="0">
                  <c:v>3205</c:v>
                </c:pt>
                <c:pt idx="1">
                  <c:v>1818</c:v>
                </c:pt>
                <c:pt idx="2">
                  <c:v>2350</c:v>
                </c:pt>
                <c:pt idx="3">
                  <c:v>2827</c:v>
                </c:pt>
              </c:numCache>
            </c:numRef>
          </c:val>
          <c:extLst>
            <c:ext xmlns:c16="http://schemas.microsoft.com/office/drawing/2014/chart" uri="{C3380CC4-5D6E-409C-BE32-E72D297353CC}">
              <c16:uniqueId val="{00000005-CF27-4282-8717-6714BD31D3AF}"/>
            </c:ext>
          </c:extLst>
        </c:ser>
        <c:dLbls>
          <c:dLblPos val="outEnd"/>
          <c:showLegendKey val="0"/>
          <c:showVal val="1"/>
          <c:showCatName val="0"/>
          <c:showSerName val="0"/>
          <c:showPercent val="0"/>
          <c:showBubbleSize val="0"/>
        </c:dLbls>
        <c:gapWidth val="219"/>
        <c:overlap val="-27"/>
        <c:axId val="545168720"/>
        <c:axId val="545169200"/>
      </c:barChart>
      <c:catAx>
        <c:axId val="5451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69200"/>
        <c:crosses val="autoZero"/>
        <c:auto val="1"/>
        <c:lblAlgn val="ctr"/>
        <c:lblOffset val="100"/>
        <c:noMultiLvlLbl val="0"/>
      </c:catAx>
      <c:valAx>
        <c:axId val="54516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6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[Automotive_market_Demand_Forecasting_Dataset_Analysis.xlsx]Pivot-Production Capacity !PivotTable2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Production Capacity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'Pivot-Production Capacity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'Pivot-Production Capacity '!$A$4:$A$16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'Pivot-Production Capacity '!$B$4:$B$16</c:f>
              <c:numCache>
                <c:formatCode>General</c:formatCode>
                <c:ptCount val="12"/>
                <c:pt idx="0">
                  <c:v>182600</c:v>
                </c:pt>
                <c:pt idx="1">
                  <c:v>170390</c:v>
                </c:pt>
                <c:pt idx="2">
                  <c:v>182710</c:v>
                </c:pt>
                <c:pt idx="3">
                  <c:v>180070</c:v>
                </c:pt>
                <c:pt idx="4">
                  <c:v>192720</c:v>
                </c:pt>
                <c:pt idx="5">
                  <c:v>181390</c:v>
                </c:pt>
                <c:pt idx="6">
                  <c:v>175450</c:v>
                </c:pt>
                <c:pt idx="7">
                  <c:v>191070</c:v>
                </c:pt>
                <c:pt idx="8">
                  <c:v>167310</c:v>
                </c:pt>
                <c:pt idx="9">
                  <c:v>187660</c:v>
                </c:pt>
                <c:pt idx="10">
                  <c:v>176440</c:v>
                </c:pt>
                <c:pt idx="11">
                  <c:v>177430</c:v>
                </c:pt>
              </c:numCache>
            </c:numRef>
          </c:val>
          <c:extLst>
            <c:ext xmlns:c16="http://schemas.microsoft.com/office/drawing/2014/chart" uri="{C3380CC4-5D6E-409C-BE32-E72D297353CC}">
              <c16:uniqueId val="{00000000-D8CF-4D50-9E02-477198CD2975}"/>
            </c:ext>
          </c:extLst>
        </c:ser>
        <c:dLbls>
          <c:dLblPos val="outEnd"/>
          <c:showLegendKey val="0"/>
          <c:showVal val="1"/>
          <c:showCatName val="0"/>
          <c:showSerName val="0"/>
          <c:showPercent val="0"/>
          <c:showBubbleSize val="0"/>
        </c:dLbls>
        <c:gapWidth val="115"/>
        <c:overlap val="-20"/>
        <c:axId val="946305984"/>
        <c:axId val="946305504"/>
      </c:barChart>
      <c:catAx>
        <c:axId val="946305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6305504"/>
        <c:crosses val="autoZero"/>
        <c:auto val="1"/>
        <c:lblAlgn val="ctr"/>
        <c:lblOffset val="100"/>
        <c:noMultiLvlLbl val="0"/>
      </c:catAx>
      <c:valAx>
        <c:axId val="9463055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630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[Automotive_market_Demand_Forecasting_Dataset_Analysis.xlsx]Pivot-Total Forecasted vs. Prod!PivotTable1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Total Forecasted vs. Units_Sold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'Pivot-Total Forecasted vs. Prod'!$B$3</c:f>
              <c:strCache>
                <c:ptCount val="1"/>
                <c:pt idx="0">
                  <c:v>Sum of Units_Sold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'Pivot-Total Forecasted vs. Prod'!$A$4:$A$16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'Pivot-Total Forecasted vs. Prod'!$B$4:$B$16</c:f>
              <c:numCache>
                <c:formatCode>General</c:formatCode>
                <c:ptCount val="12"/>
                <c:pt idx="0">
                  <c:v>1010</c:v>
                </c:pt>
                <c:pt idx="1">
                  <c:v>495</c:v>
                </c:pt>
                <c:pt idx="2">
                  <c:v>763</c:v>
                </c:pt>
                <c:pt idx="3">
                  <c:v>610</c:v>
                </c:pt>
                <c:pt idx="4">
                  <c:v>1270</c:v>
                </c:pt>
                <c:pt idx="5">
                  <c:v>886</c:v>
                </c:pt>
                <c:pt idx="6">
                  <c:v>1370</c:v>
                </c:pt>
                <c:pt idx="7">
                  <c:v>939</c:v>
                </c:pt>
                <c:pt idx="8">
                  <c:v>689</c:v>
                </c:pt>
                <c:pt idx="9">
                  <c:v>1031</c:v>
                </c:pt>
                <c:pt idx="10">
                  <c:v>604</c:v>
                </c:pt>
                <c:pt idx="11">
                  <c:v>473</c:v>
                </c:pt>
              </c:numCache>
            </c:numRef>
          </c:val>
          <c:extLst>
            <c:ext xmlns:c16="http://schemas.microsoft.com/office/drawing/2014/chart" uri="{C3380CC4-5D6E-409C-BE32-E72D297353CC}">
              <c16:uniqueId val="{00000000-5FD0-418A-966A-C42B5EC9BED9}"/>
            </c:ext>
          </c:extLst>
        </c:ser>
        <c:dLbls>
          <c:showLegendKey val="0"/>
          <c:showVal val="1"/>
          <c:showCatName val="0"/>
          <c:showSerName val="0"/>
          <c:showPercent val="0"/>
          <c:showBubbleSize val="0"/>
        </c:dLbls>
        <c:gapWidth val="150"/>
        <c:axId val="1909446815"/>
        <c:axId val="1909447295"/>
      </c:barChart>
      <c:lineChart>
        <c:grouping val="standard"/>
        <c:varyColors val="0"/>
        <c:ser>
          <c:idx val="1"/>
          <c:order val="1"/>
          <c:tx>
            <c:strRef>
              <c:f>'Pivot-Total Forecasted vs. Prod'!$C$3</c:f>
              <c:strCache>
                <c:ptCount val="1"/>
                <c:pt idx="0">
                  <c:v>Sum of Forecasted_Units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ysDot"/>
              </a:ln>
              <a:effectLst/>
            </c:spPr>
            <c:trendlineType val="linear"/>
            <c:dispRSqr val="1"/>
            <c:dispEq val="1"/>
            <c:trendlineLbl>
              <c:layout>
                <c:manualLayout>
                  <c:x val="0.42433508311461066"/>
                  <c:y val="-0.380304024496937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'Pivot-Total Forecasted vs. Prod'!$A$4:$A$16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'Pivot-Total Forecasted vs. Prod'!$C$4:$C$16</c:f>
              <c:numCache>
                <c:formatCode>0</c:formatCode>
                <c:ptCount val="12"/>
                <c:pt idx="0">
                  <c:v>993.64390990363961</c:v>
                </c:pt>
                <c:pt idx="1">
                  <c:v>496.85571665486657</c:v>
                </c:pt>
                <c:pt idx="2">
                  <c:v>795.17916772467083</c:v>
                </c:pt>
                <c:pt idx="3">
                  <c:v>595.5816621986487</c:v>
                </c:pt>
                <c:pt idx="4">
                  <c:v>1192.4404481297925</c:v>
                </c:pt>
                <c:pt idx="5">
                  <c:v>894.03899588398349</c:v>
                </c:pt>
                <c:pt idx="6">
                  <c:v>1391.0204457777829</c:v>
                </c:pt>
                <c:pt idx="7">
                  <c:v>894.96802481609916</c:v>
                </c:pt>
                <c:pt idx="8">
                  <c:v>694.76048024192085</c:v>
                </c:pt>
                <c:pt idx="9">
                  <c:v>994.40063773055078</c:v>
                </c:pt>
                <c:pt idx="10">
                  <c:v>596.58170712682841</c:v>
                </c:pt>
                <c:pt idx="11">
                  <c:v>496.90112032448121</c:v>
                </c:pt>
              </c:numCache>
            </c:numRef>
          </c:val>
          <c:smooth val="0"/>
          <c:extLst>
            <c:ext xmlns:c16="http://schemas.microsoft.com/office/drawing/2014/chart" uri="{C3380CC4-5D6E-409C-BE32-E72D297353CC}">
              <c16:uniqueId val="{00000001-5FD0-418A-966A-C42B5EC9BED9}"/>
            </c:ext>
          </c:extLst>
        </c:ser>
        <c:dLbls>
          <c:showLegendKey val="0"/>
          <c:showVal val="1"/>
          <c:showCatName val="0"/>
          <c:showSerName val="0"/>
          <c:showPercent val="0"/>
          <c:showBubbleSize val="0"/>
        </c:dLbls>
        <c:marker val="1"/>
        <c:smooth val="0"/>
        <c:axId val="1909449215"/>
        <c:axId val="1909448735"/>
      </c:lineChart>
      <c:catAx>
        <c:axId val="190944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7295"/>
        <c:crosses val="autoZero"/>
        <c:auto val="1"/>
        <c:lblAlgn val="ctr"/>
        <c:lblOffset val="100"/>
        <c:noMultiLvlLbl val="0"/>
      </c:catAx>
      <c:valAx>
        <c:axId val="190944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6815"/>
        <c:crosses val="autoZero"/>
        <c:crossBetween val="between"/>
      </c:valAx>
      <c:valAx>
        <c:axId val="190944873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9215"/>
        <c:crosses val="max"/>
        <c:crossBetween val="between"/>
      </c:valAx>
      <c:catAx>
        <c:axId val="1909449215"/>
        <c:scaling>
          <c:orientation val="minMax"/>
        </c:scaling>
        <c:delete val="1"/>
        <c:axPos val="b"/>
        <c:numFmt formatCode="General" sourceLinked="1"/>
        <c:majorTickMark val="none"/>
        <c:minorTickMark val="none"/>
        <c:tickLblPos val="nextTo"/>
        <c:crossAx val="1909448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[Automotive_market_Demand_Forecasting_Dataset_Analysis.xlsx]Pivot-Total Planned Production!PivotTable1</c:name>
    <c:fmtId val="7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Planned Production by Vehicle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C000"/>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'Pivot-Total Planned Production'!$B$3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'Pivot-Total Planned Production'!$A$4:$A$9</c:f>
              <c:strCache>
                <c:ptCount val="5"/>
                <c:pt idx="0">
                  <c:v>Electric</c:v>
                </c:pt>
                <c:pt idx="1">
                  <c:v>Hatchback</c:v>
                </c:pt>
                <c:pt idx="2">
                  <c:v>Sedan</c:v>
                </c:pt>
                <c:pt idx="3">
                  <c:v>SUV</c:v>
                </c:pt>
                <c:pt idx="4">
                  <c:v>Truck</c:v>
                </c:pt>
              </c:strCache>
            </c:strRef>
          </c:cat>
          <c:val>
            <c:numRef>
              <c:f>'Pivot-Total Planned Production'!$B$4:$B$9</c:f>
              <c:numCache>
                <c:formatCode>0</c:formatCode>
                <c:ptCount val="5"/>
                <c:pt idx="0">
                  <c:v>176.74154701258794</c:v>
                </c:pt>
                <c:pt idx="1">
                  <c:v>237.54701234804918</c:v>
                </c:pt>
                <c:pt idx="2">
                  <c:v>-121.89631120924494</c:v>
                </c:pt>
                <c:pt idx="3">
                  <c:v>-248.45949703478823</c:v>
                </c:pt>
                <c:pt idx="4">
                  <c:v>410.43455853983403</c:v>
                </c:pt>
              </c:numCache>
            </c:numRef>
          </c:val>
          <c:smooth val="0"/>
          <c:extLst>
            <c:ext xmlns:c16="http://schemas.microsoft.com/office/drawing/2014/chart" uri="{C3380CC4-5D6E-409C-BE32-E72D297353CC}">
              <c16:uniqueId val="{00000000-29C7-48DA-BB06-06E73BF2691A}"/>
            </c:ext>
          </c:extLst>
        </c:ser>
        <c:dLbls>
          <c:dLblPos val="t"/>
          <c:showLegendKey val="0"/>
          <c:showVal val="1"/>
          <c:showCatName val="0"/>
          <c:showSerName val="0"/>
          <c:showPercent val="0"/>
          <c:showBubbleSize val="0"/>
        </c:dLbls>
        <c:marker val="1"/>
        <c:smooth val="0"/>
        <c:axId val="271869616"/>
        <c:axId val="271856176"/>
      </c:lineChart>
      <c:catAx>
        <c:axId val="27186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56176"/>
        <c:crosses val="autoZero"/>
        <c:auto val="1"/>
        <c:lblAlgn val="ctr"/>
        <c:lblOffset val="100"/>
        <c:noMultiLvlLbl val="0"/>
      </c:catAx>
      <c:valAx>
        <c:axId val="271856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6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[Automotive_market_Demand_Forecasting_Dataset_Analysis.xlsx]Pivot-Inventory Level Over Time!PivotTable3</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Inventory Levels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'Pivot-Inventory Level Over Time'!$B$3</c:f>
              <c:strCache>
                <c:ptCount val="1"/>
                <c:pt idx="0">
                  <c:v>Sum of Inventory_On_Hand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'Pivot-Inventory Level Over 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'Pivot-Inventory Level Over Time'!$B$4:$B$16</c:f>
              <c:numCache>
                <c:formatCode>0</c:formatCode>
                <c:ptCount val="12"/>
                <c:pt idx="0">
                  <c:v>906.35609009636039</c:v>
                </c:pt>
                <c:pt idx="1">
                  <c:v>453.14428334513343</c:v>
                </c:pt>
                <c:pt idx="2">
                  <c:v>724.82083227532917</c:v>
                </c:pt>
                <c:pt idx="3">
                  <c:v>544.4183378013513</c:v>
                </c:pt>
                <c:pt idx="4">
                  <c:v>1087.5595518702075</c:v>
                </c:pt>
                <c:pt idx="5">
                  <c:v>815.96100411601651</c:v>
                </c:pt>
                <c:pt idx="6">
                  <c:v>1268.9795542222168</c:v>
                </c:pt>
                <c:pt idx="7">
                  <c:v>815.03197518390084</c:v>
                </c:pt>
                <c:pt idx="8">
                  <c:v>635.23951975807915</c:v>
                </c:pt>
                <c:pt idx="9">
                  <c:v>905.59936226944922</c:v>
                </c:pt>
                <c:pt idx="10">
                  <c:v>543.41829287317159</c:v>
                </c:pt>
                <c:pt idx="11">
                  <c:v>453.09887967551879</c:v>
                </c:pt>
              </c:numCache>
            </c:numRef>
          </c:val>
          <c:extLst>
            <c:ext xmlns:c16="http://schemas.microsoft.com/office/drawing/2014/chart" uri="{C3380CC4-5D6E-409C-BE32-E72D297353CC}">
              <c16:uniqueId val="{00000000-9FBF-45FD-9F0A-21FC04C82007}"/>
            </c:ext>
          </c:extLst>
        </c:ser>
        <c:ser>
          <c:idx val="1"/>
          <c:order val="1"/>
          <c:tx>
            <c:strRef>
              <c:f>'Pivot-Inventory Level Over Time'!$C$3</c:f>
              <c:strCache>
                <c:ptCount val="1"/>
                <c:pt idx="0">
                  <c:v>Sum of Inventory_After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'Pivot-Inventory Level Over 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'Pivot-Inventory Level Over Time'!$C$4:$C$16</c:f>
              <c:numCache>
                <c:formatCode>0</c:formatCode>
                <c:ptCount val="12"/>
                <c:pt idx="0">
                  <c:v>89.453727205308823</c:v>
                </c:pt>
                <c:pt idx="1">
                  <c:v>49.685571665486663</c:v>
                </c:pt>
                <c:pt idx="2">
                  <c:v>79.517916772467103</c:v>
                </c:pt>
                <c:pt idx="3">
                  <c:v>49.648550211800853</c:v>
                </c:pt>
                <c:pt idx="4">
                  <c:v>109.33431238524956</c:v>
                </c:pt>
                <c:pt idx="5">
                  <c:v>89.403899588398346</c:v>
                </c:pt>
                <c:pt idx="6">
                  <c:v>119.28351107964433</c:v>
                </c:pt>
                <c:pt idx="7">
                  <c:v>89.496802481609933</c:v>
                </c:pt>
                <c:pt idx="8">
                  <c:v>49.657048847395387</c:v>
                </c:pt>
                <c:pt idx="9">
                  <c:v>99.440063773055101</c:v>
                </c:pt>
                <c:pt idx="10">
                  <c:v>59.658170712682846</c:v>
                </c:pt>
                <c:pt idx="11">
                  <c:v>49.690112032448155</c:v>
                </c:pt>
              </c:numCache>
            </c:numRef>
          </c:val>
          <c:extLst>
            <c:ext xmlns:c16="http://schemas.microsoft.com/office/drawing/2014/chart" uri="{C3380CC4-5D6E-409C-BE32-E72D297353CC}">
              <c16:uniqueId val="{00000001-9FBF-45FD-9F0A-21FC04C82007}"/>
            </c:ext>
          </c:extLst>
        </c:ser>
        <c:dLbls>
          <c:dLblPos val="outEnd"/>
          <c:showLegendKey val="0"/>
          <c:showVal val="1"/>
          <c:showCatName val="0"/>
          <c:showSerName val="0"/>
          <c:showPercent val="0"/>
          <c:showBubbleSize val="0"/>
        </c:dLbls>
        <c:gapWidth val="219"/>
        <c:overlap val="-27"/>
        <c:axId val="271870576"/>
        <c:axId val="271857616"/>
      </c:barChart>
      <c:catAx>
        <c:axId val="27187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57616"/>
        <c:crosses val="autoZero"/>
        <c:auto val="1"/>
        <c:lblAlgn val="ctr"/>
        <c:lblOffset val="100"/>
        <c:noMultiLvlLbl val="0"/>
      </c:catAx>
      <c:valAx>
        <c:axId val="271857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7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[Automotive_market_Demand_Forecasting_Dataset_Analysis.xlsx]Pivot-Inventory Level Over Time!PivotTable3</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Inventory Levels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'Pivot-Inventory Level Over Time'!$B$3</c:f>
              <c:strCache>
                <c:ptCount val="1"/>
                <c:pt idx="0">
                  <c:v>Sum of Inventory_On_Hand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'Pivot-Inventory Level Over 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'Pivot-Inventory Level Over Time'!$B$4:$B$16</c:f>
              <c:numCache>
                <c:formatCode>0</c:formatCode>
                <c:ptCount val="12"/>
                <c:pt idx="0">
                  <c:v>906.35609009636039</c:v>
                </c:pt>
                <c:pt idx="1">
                  <c:v>453.14428334513343</c:v>
                </c:pt>
                <c:pt idx="2">
                  <c:v>724.82083227532917</c:v>
                </c:pt>
                <c:pt idx="3">
                  <c:v>544.4183378013513</c:v>
                </c:pt>
                <c:pt idx="4">
                  <c:v>1087.5595518702075</c:v>
                </c:pt>
                <c:pt idx="5">
                  <c:v>815.96100411601651</c:v>
                </c:pt>
                <c:pt idx="6">
                  <c:v>1268.9795542222168</c:v>
                </c:pt>
                <c:pt idx="7">
                  <c:v>815.03197518390084</c:v>
                </c:pt>
                <c:pt idx="8">
                  <c:v>635.23951975807915</c:v>
                </c:pt>
                <c:pt idx="9">
                  <c:v>905.59936226944922</c:v>
                </c:pt>
                <c:pt idx="10">
                  <c:v>543.41829287317159</c:v>
                </c:pt>
                <c:pt idx="11">
                  <c:v>453.09887967551879</c:v>
                </c:pt>
              </c:numCache>
            </c:numRef>
          </c:val>
          <c:extLst>
            <c:ext xmlns:c16="http://schemas.microsoft.com/office/drawing/2014/chart" uri="{C3380CC4-5D6E-409C-BE32-E72D297353CC}">
              <c16:uniqueId val="{00000000-20D3-49B1-91F3-E6A2F59B9867}"/>
            </c:ext>
          </c:extLst>
        </c:ser>
        <c:ser>
          <c:idx val="1"/>
          <c:order val="1"/>
          <c:tx>
            <c:strRef>
              <c:f>'Pivot-Inventory Level Over Time'!$C$3</c:f>
              <c:strCache>
                <c:ptCount val="1"/>
                <c:pt idx="0">
                  <c:v>Sum of Inventory_After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'Pivot-Inventory Level Over Time'!$A$4:$A$16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'Pivot-Inventory Level Over Time'!$C$4:$C$16</c:f>
              <c:numCache>
                <c:formatCode>0</c:formatCode>
                <c:ptCount val="12"/>
                <c:pt idx="0">
                  <c:v>89.453727205308823</c:v>
                </c:pt>
                <c:pt idx="1">
                  <c:v>49.685571665486663</c:v>
                </c:pt>
                <c:pt idx="2">
                  <c:v>79.517916772467103</c:v>
                </c:pt>
                <c:pt idx="3">
                  <c:v>49.648550211800853</c:v>
                </c:pt>
                <c:pt idx="4">
                  <c:v>109.33431238524956</c:v>
                </c:pt>
                <c:pt idx="5">
                  <c:v>89.403899588398346</c:v>
                </c:pt>
                <c:pt idx="6">
                  <c:v>119.28351107964433</c:v>
                </c:pt>
                <c:pt idx="7">
                  <c:v>89.496802481609933</c:v>
                </c:pt>
                <c:pt idx="8">
                  <c:v>49.657048847395387</c:v>
                </c:pt>
                <c:pt idx="9">
                  <c:v>99.440063773055101</c:v>
                </c:pt>
                <c:pt idx="10">
                  <c:v>59.658170712682846</c:v>
                </c:pt>
                <c:pt idx="11">
                  <c:v>49.690112032448155</c:v>
                </c:pt>
              </c:numCache>
            </c:numRef>
          </c:val>
          <c:extLst>
            <c:ext xmlns:c16="http://schemas.microsoft.com/office/drawing/2014/chart" uri="{C3380CC4-5D6E-409C-BE32-E72D297353CC}">
              <c16:uniqueId val="{00000001-20D3-49B1-91F3-E6A2F59B9867}"/>
            </c:ext>
          </c:extLst>
        </c:ser>
        <c:dLbls>
          <c:dLblPos val="outEnd"/>
          <c:showLegendKey val="0"/>
          <c:showVal val="1"/>
          <c:showCatName val="0"/>
          <c:showSerName val="0"/>
          <c:showPercent val="0"/>
          <c:showBubbleSize val="0"/>
        </c:dLbls>
        <c:gapWidth val="219"/>
        <c:overlap val="-27"/>
        <c:axId val="271870576"/>
        <c:axId val="271857616"/>
      </c:barChart>
      <c:catAx>
        <c:axId val="27187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57616"/>
        <c:crosses val="autoZero"/>
        <c:auto val="1"/>
        <c:lblAlgn val="ctr"/>
        <c:lblOffset val="100"/>
        <c:noMultiLvlLbl val="0"/>
      </c:catAx>
      <c:valAx>
        <c:axId val="271857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7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[Automotive_market_Demand_Forecasting_Dataset_Analysis.xlsx]Pivot-Total Planned Production!PivotTable1</c:name>
    <c:fmtId val="7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Planned Production by Vehicle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'Pivot-Total Planned Production'!$B$3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'Pivot-Total Planned Production'!$A$4:$A$9</c:f>
              <c:strCache>
                <c:ptCount val="5"/>
                <c:pt idx="0">
                  <c:v>Electric</c:v>
                </c:pt>
                <c:pt idx="1">
                  <c:v>Hatchback</c:v>
                </c:pt>
                <c:pt idx="2">
                  <c:v>Sedan</c:v>
                </c:pt>
                <c:pt idx="3">
                  <c:v>SUV</c:v>
                </c:pt>
                <c:pt idx="4">
                  <c:v>Truck</c:v>
                </c:pt>
              </c:strCache>
            </c:strRef>
          </c:cat>
          <c:val>
            <c:numRef>
              <c:f>'Pivot-Total Planned Production'!$B$4:$B$9</c:f>
              <c:numCache>
                <c:formatCode>0</c:formatCode>
                <c:ptCount val="5"/>
                <c:pt idx="0">
                  <c:v>176.74154701258794</c:v>
                </c:pt>
                <c:pt idx="1">
                  <c:v>237.54701234804918</c:v>
                </c:pt>
                <c:pt idx="2">
                  <c:v>-121.89631120924494</c:v>
                </c:pt>
                <c:pt idx="3">
                  <c:v>-248.45949703478823</c:v>
                </c:pt>
                <c:pt idx="4">
                  <c:v>410.43455853983403</c:v>
                </c:pt>
              </c:numCache>
            </c:numRef>
          </c:val>
          <c:smooth val="0"/>
          <c:extLst>
            <c:ext xmlns:c16="http://schemas.microsoft.com/office/drawing/2014/chart" uri="{C3380CC4-5D6E-409C-BE32-E72D297353CC}">
              <c16:uniqueId val="{00000001-889C-4C5A-BAF0-44EE49928381}"/>
            </c:ext>
          </c:extLst>
        </c:ser>
        <c:dLbls>
          <c:dLblPos val="t"/>
          <c:showLegendKey val="0"/>
          <c:showVal val="1"/>
          <c:showCatName val="0"/>
          <c:showSerName val="0"/>
          <c:showPercent val="0"/>
          <c:showBubbleSize val="0"/>
        </c:dLbls>
        <c:marker val="1"/>
        <c:smooth val="0"/>
        <c:axId val="271869616"/>
        <c:axId val="271856176"/>
      </c:lineChart>
      <c:catAx>
        <c:axId val="27186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56176"/>
        <c:crosses val="autoZero"/>
        <c:auto val="1"/>
        <c:lblAlgn val="ctr"/>
        <c:lblOffset val="100"/>
        <c:noMultiLvlLbl val="0"/>
      </c:catAx>
      <c:valAx>
        <c:axId val="271856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86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[Automotive_market_Demand_Forecasting_Dataset_Analysis.xlsx]Pivot-Production Capacity !PivotTable2</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Production Capacity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'Pivot-Production Capacity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'Pivot-Production Capacity '!$A$4:$A$16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'Pivot-Production Capacity '!$B$4:$B$16</c:f>
              <c:numCache>
                <c:formatCode>General</c:formatCode>
                <c:ptCount val="12"/>
                <c:pt idx="0">
                  <c:v>182600</c:v>
                </c:pt>
                <c:pt idx="1">
                  <c:v>170390</c:v>
                </c:pt>
                <c:pt idx="2">
                  <c:v>182710</c:v>
                </c:pt>
                <c:pt idx="3">
                  <c:v>180070</c:v>
                </c:pt>
                <c:pt idx="4">
                  <c:v>192720</c:v>
                </c:pt>
                <c:pt idx="5">
                  <c:v>181390</c:v>
                </c:pt>
                <c:pt idx="6">
                  <c:v>175450</c:v>
                </c:pt>
                <c:pt idx="7">
                  <c:v>191070</c:v>
                </c:pt>
                <c:pt idx="8">
                  <c:v>167310</c:v>
                </c:pt>
                <c:pt idx="9">
                  <c:v>187660</c:v>
                </c:pt>
                <c:pt idx="10">
                  <c:v>176440</c:v>
                </c:pt>
                <c:pt idx="11">
                  <c:v>177430</c:v>
                </c:pt>
              </c:numCache>
            </c:numRef>
          </c:val>
          <c:extLst>
            <c:ext xmlns:c16="http://schemas.microsoft.com/office/drawing/2014/chart" uri="{C3380CC4-5D6E-409C-BE32-E72D297353CC}">
              <c16:uniqueId val="{00000000-7DD7-4366-8703-B85D762EF429}"/>
            </c:ext>
          </c:extLst>
        </c:ser>
        <c:dLbls>
          <c:dLblPos val="outEnd"/>
          <c:showLegendKey val="0"/>
          <c:showVal val="1"/>
          <c:showCatName val="0"/>
          <c:showSerName val="0"/>
          <c:showPercent val="0"/>
          <c:showBubbleSize val="0"/>
        </c:dLbls>
        <c:gapWidth val="115"/>
        <c:overlap val="-20"/>
        <c:axId val="946305984"/>
        <c:axId val="946305504"/>
      </c:barChart>
      <c:catAx>
        <c:axId val="946305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6305504"/>
        <c:crosses val="autoZero"/>
        <c:auto val="1"/>
        <c:lblAlgn val="ctr"/>
        <c:lblOffset val="100"/>
        <c:noMultiLvlLbl val="0"/>
      </c:catAx>
      <c:valAx>
        <c:axId val="9463055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630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[Automotive_market_Demand_Forecasting_Dataset_Analysis.xlsx]Pivot-Total Forecasted vs. Prod!PivotTable1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Total Forecasted vs. Produced units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'Pivot-Total Forecasted vs. Prod'!$B$3</c:f>
              <c:strCache>
                <c:ptCount val="1"/>
                <c:pt idx="0">
                  <c:v>Sum of Units_Sold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'Pivot-Total Forecasted vs. Prod'!$A$4:$A$16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'Pivot-Total Forecasted vs. Prod'!$B$4:$B$16</c:f>
              <c:numCache>
                <c:formatCode>General</c:formatCode>
                <c:ptCount val="12"/>
                <c:pt idx="0">
                  <c:v>1010</c:v>
                </c:pt>
                <c:pt idx="1">
                  <c:v>495</c:v>
                </c:pt>
                <c:pt idx="2">
                  <c:v>763</c:v>
                </c:pt>
                <c:pt idx="3">
                  <c:v>610</c:v>
                </c:pt>
                <c:pt idx="4">
                  <c:v>1270</c:v>
                </c:pt>
                <c:pt idx="5">
                  <c:v>886</c:v>
                </c:pt>
                <c:pt idx="6">
                  <c:v>1370</c:v>
                </c:pt>
                <c:pt idx="7">
                  <c:v>939</c:v>
                </c:pt>
                <c:pt idx="8">
                  <c:v>689</c:v>
                </c:pt>
                <c:pt idx="9">
                  <c:v>1031</c:v>
                </c:pt>
                <c:pt idx="10">
                  <c:v>604</c:v>
                </c:pt>
                <c:pt idx="11">
                  <c:v>473</c:v>
                </c:pt>
              </c:numCache>
            </c:numRef>
          </c:val>
          <c:extLst>
            <c:ext xmlns:c16="http://schemas.microsoft.com/office/drawing/2014/chart" uri="{C3380CC4-5D6E-409C-BE32-E72D297353CC}">
              <c16:uniqueId val="{00000000-F46D-4AF0-B2A0-E4DEE9A247C6}"/>
            </c:ext>
          </c:extLst>
        </c:ser>
        <c:dLbls>
          <c:showLegendKey val="0"/>
          <c:showVal val="1"/>
          <c:showCatName val="0"/>
          <c:showSerName val="0"/>
          <c:showPercent val="0"/>
          <c:showBubbleSize val="0"/>
        </c:dLbls>
        <c:gapWidth val="150"/>
        <c:axId val="1909446815"/>
        <c:axId val="1909447295"/>
      </c:barChart>
      <c:lineChart>
        <c:grouping val="standard"/>
        <c:varyColors val="0"/>
        <c:ser>
          <c:idx val="1"/>
          <c:order val="1"/>
          <c:tx>
            <c:strRef>
              <c:f>'Pivot-Total Forecasted vs. Prod'!$C$3</c:f>
              <c:strCache>
                <c:ptCount val="1"/>
                <c:pt idx="0">
                  <c:v>Sum of Forecasted_Units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ysDot"/>
              </a:ln>
              <a:effectLst/>
            </c:spPr>
            <c:trendlineType val="linear"/>
            <c:dispRSqr val="1"/>
            <c:dispEq val="1"/>
            <c:trendlineLbl>
              <c:layout>
                <c:manualLayout>
                  <c:x val="0.42433508311461066"/>
                  <c:y val="-0.380304024496937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'Pivot-Total Forecasted vs. Prod'!$A$4:$A$16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'Pivot-Total Forecasted vs. Prod'!$C$4:$C$16</c:f>
              <c:numCache>
                <c:formatCode>0</c:formatCode>
                <c:ptCount val="12"/>
                <c:pt idx="0">
                  <c:v>993.64390990363961</c:v>
                </c:pt>
                <c:pt idx="1">
                  <c:v>496.85571665486657</c:v>
                </c:pt>
                <c:pt idx="2">
                  <c:v>795.17916772467083</c:v>
                </c:pt>
                <c:pt idx="3">
                  <c:v>595.5816621986487</c:v>
                </c:pt>
                <c:pt idx="4">
                  <c:v>1192.4404481297925</c:v>
                </c:pt>
                <c:pt idx="5">
                  <c:v>894.03899588398349</c:v>
                </c:pt>
                <c:pt idx="6">
                  <c:v>1391.0204457777829</c:v>
                </c:pt>
                <c:pt idx="7">
                  <c:v>894.96802481609916</c:v>
                </c:pt>
                <c:pt idx="8">
                  <c:v>694.76048024192085</c:v>
                </c:pt>
                <c:pt idx="9">
                  <c:v>994.40063773055078</c:v>
                </c:pt>
                <c:pt idx="10">
                  <c:v>596.58170712682841</c:v>
                </c:pt>
                <c:pt idx="11">
                  <c:v>496.90112032448121</c:v>
                </c:pt>
              </c:numCache>
            </c:numRef>
          </c:val>
          <c:smooth val="0"/>
          <c:extLst>
            <c:ext xmlns:c16="http://schemas.microsoft.com/office/drawing/2014/chart" uri="{C3380CC4-5D6E-409C-BE32-E72D297353CC}">
              <c16:uniqueId val="{00000002-F46D-4AF0-B2A0-E4DEE9A247C6}"/>
            </c:ext>
          </c:extLst>
        </c:ser>
        <c:dLbls>
          <c:showLegendKey val="0"/>
          <c:showVal val="1"/>
          <c:showCatName val="0"/>
          <c:showSerName val="0"/>
          <c:showPercent val="0"/>
          <c:showBubbleSize val="0"/>
        </c:dLbls>
        <c:marker val="1"/>
        <c:smooth val="0"/>
        <c:axId val="1909449215"/>
        <c:axId val="1909448735"/>
      </c:lineChart>
      <c:catAx>
        <c:axId val="190944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7295"/>
        <c:crosses val="autoZero"/>
        <c:auto val="1"/>
        <c:lblAlgn val="ctr"/>
        <c:lblOffset val="100"/>
        <c:noMultiLvlLbl val="0"/>
      </c:catAx>
      <c:valAx>
        <c:axId val="190944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6815"/>
        <c:crosses val="autoZero"/>
        <c:crossBetween val="between"/>
      </c:valAx>
      <c:valAx>
        <c:axId val="190944873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9215"/>
        <c:crosses val="max"/>
        <c:crossBetween val="between"/>
      </c:valAx>
      <c:catAx>
        <c:axId val="1909449215"/>
        <c:scaling>
          <c:orientation val="minMax"/>
        </c:scaling>
        <c:delete val="1"/>
        <c:axPos val="b"/>
        <c:numFmt formatCode="General" sourceLinked="1"/>
        <c:majorTickMark val="none"/>
        <c:minorTickMark val="none"/>
        <c:tickLblPos val="nextTo"/>
        <c:crossAx val="1909448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[Automotive_market_Demand_Forecasting_Dataset_Analysis.xlsx]Pivot-Feedback_Adjustment!PivotTable1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Feedback_Adjustment by Feedback_Type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C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'Pivot-Feedback_Adjustment'!$B$3</c:f>
              <c:strCache>
                <c:ptCount val="1"/>
                <c:pt idx="0">
                  <c:v>Total</c:v>
                </c:pt>
              </c:strCache>
            </c:strRef>
          </c:tx>
          <c:spPr>
            <a:ln w="28575" cap="rnd">
              <a:solidFill>
                <a:srgbClr val="FFC00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35838867016622922"/>
                  <c:y val="-0.26791447944006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'Pivot-Feedback_Adjustment'!$A$4:$A$10</c:f>
              <c:strCache>
                <c:ptCount val="6"/>
                <c:pt idx="0">
                  <c:v>Competitor Price Drop</c:v>
                </c:pt>
                <c:pt idx="1">
                  <c:v>Demand Drop</c:v>
                </c:pt>
                <c:pt idx="2">
                  <c:v>Demand Spike</c:v>
                </c:pt>
                <c:pt idx="3">
                  <c:v>Seasonal Trend</c:v>
                </c:pt>
                <c:pt idx="4">
                  <c:v>Stock Shortage</c:v>
                </c:pt>
                <c:pt idx="5">
                  <c:v>(blank)</c:v>
                </c:pt>
              </c:strCache>
            </c:strRef>
          </c:cat>
          <c:val>
            <c:numRef>
              <c:f>'Pivot-Feedback_Adjustment'!$B$4:$B$10</c:f>
              <c:numCache>
                <c:formatCode>General</c:formatCode>
                <c:ptCount val="6"/>
                <c:pt idx="0">
                  <c:v>-0.7</c:v>
                </c:pt>
                <c:pt idx="1">
                  <c:v>-6.3000000000000007</c:v>
                </c:pt>
                <c:pt idx="2">
                  <c:v>1.05</c:v>
                </c:pt>
                <c:pt idx="3">
                  <c:v>-0.36</c:v>
                </c:pt>
                <c:pt idx="4">
                  <c:v>0.4</c:v>
                </c:pt>
              </c:numCache>
            </c:numRef>
          </c:val>
          <c:smooth val="0"/>
          <c:extLst>
            <c:ext xmlns:c16="http://schemas.microsoft.com/office/drawing/2014/chart" uri="{C3380CC4-5D6E-409C-BE32-E72D297353CC}">
              <c16:uniqueId val="{00000000-1D8F-4C35-BA4F-E4BF8DAB18DE}"/>
            </c:ext>
          </c:extLst>
        </c:ser>
        <c:dLbls>
          <c:showLegendKey val="0"/>
          <c:showVal val="0"/>
          <c:showCatName val="0"/>
          <c:showSerName val="0"/>
          <c:showPercent val="0"/>
          <c:showBubbleSize val="0"/>
        </c:dLbls>
        <c:marker val="1"/>
        <c:smooth val="0"/>
        <c:axId val="1778917279"/>
        <c:axId val="1778917759"/>
      </c:lineChart>
      <c:catAx>
        <c:axId val="177891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917759"/>
        <c:crosses val="autoZero"/>
        <c:auto val="1"/>
        <c:lblAlgn val="ctr"/>
        <c:lblOffset val="100"/>
        <c:noMultiLvlLbl val="0"/>
      </c:catAx>
      <c:valAx>
        <c:axId val="177891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91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[Automotive_market_Demand_Forecasting_Dataset_Analysis.xlsx]Pivot-Tracking Accuracy!PivotTable2</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Tracking</a:t>
            </a:r>
            <a:r>
              <a:rPr lang="en-IN" baseline="0"/>
              <a:t> Accuracy by Adjusted_Forecast over Time</a:t>
            </a:r>
            <a:endParaRPr lang="en-IN"/>
          </a:p>
        </c:rich>
      </c:tx>
      <c:layout>
        <c:manualLayout>
          <c:xMode val="edge"/>
          <c:yMode val="edge"/>
          <c:x val="0.1187531806615776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'Pivot-Tracking Accuracy'!$B$3</c:f>
              <c:strCache>
                <c:ptCount val="1"/>
                <c:pt idx="0">
                  <c:v>Sum of Adjusted_Forecast</c:v>
                </c:pt>
              </c:strCache>
            </c:strRef>
          </c:tx>
          <c:spPr>
            <a:solidFill>
              <a:schemeClr val="accent1"/>
            </a:solidFill>
            <a:ln>
              <a:noFill/>
            </a:ln>
            <a:effectLst/>
          </c:spPr>
          <c:invertIfNegative val="0"/>
          <c:cat>
            <c:strRef>
              <c:f>'Pivot-Tracking Accuracy'!$A$4:$A$16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'Pivot-Tracking Accuracy'!$B$4:$B$16</c:f>
              <c:numCache>
                <c:formatCode>0</c:formatCode>
                <c:ptCount val="12"/>
                <c:pt idx="0">
                  <c:v>4054.5637754167014</c:v>
                </c:pt>
                <c:pt idx="1">
                  <c:v>3810.4274822579287</c:v>
                </c:pt>
                <c:pt idx="2">
                  <c:v>4138.6295552518213</c:v>
                </c:pt>
                <c:pt idx="3">
                  <c:v>4078.920043466574</c:v>
                </c:pt>
                <c:pt idx="4">
                  <c:v>4391.888351059004</c:v>
                </c:pt>
                <c:pt idx="5">
                  <c:v>3935.3383577502309</c:v>
                </c:pt>
                <c:pt idx="6">
                  <c:v>4153.8633206532813</c:v>
                </c:pt>
                <c:pt idx="7">
                  <c:v>4118.9102695186784</c:v>
                </c:pt>
                <c:pt idx="8">
                  <c:v>4054.3929877671503</c:v>
                </c:pt>
                <c:pt idx="9">
                  <c:v>4249.1229974449489</c:v>
                </c:pt>
                <c:pt idx="10">
                  <c:v>4019.8121885135538</c:v>
                </c:pt>
                <c:pt idx="11">
                  <c:v>4092.5043103798016</c:v>
                </c:pt>
              </c:numCache>
            </c:numRef>
          </c:val>
          <c:extLst>
            <c:ext xmlns:c16="http://schemas.microsoft.com/office/drawing/2014/chart" uri="{C3380CC4-5D6E-409C-BE32-E72D297353CC}">
              <c16:uniqueId val="{00000000-4205-4187-8AFE-A98289582048}"/>
            </c:ext>
          </c:extLst>
        </c:ser>
        <c:dLbls>
          <c:showLegendKey val="0"/>
          <c:showVal val="0"/>
          <c:showCatName val="0"/>
          <c:showSerName val="0"/>
          <c:showPercent val="0"/>
          <c:showBubbleSize val="0"/>
        </c:dLbls>
        <c:gapWidth val="150"/>
        <c:axId val="1977502880"/>
        <c:axId val="1977503360"/>
      </c:barChart>
      <c:lineChart>
        <c:grouping val="standard"/>
        <c:varyColors val="0"/>
        <c:ser>
          <c:idx val="1"/>
          <c:order val="1"/>
          <c:tx>
            <c:strRef>
              <c:f>'Pivot-Tracking Accuracy'!$C$3</c:f>
              <c:strCache>
                <c:ptCount val="1"/>
                <c:pt idx="0">
                  <c:v>Sum of Accuracy (%)</c:v>
                </c:pt>
              </c:strCache>
            </c:strRef>
          </c:tx>
          <c:spPr>
            <a:ln w="28575" cap="rnd">
              <a:solidFill>
                <a:schemeClr val="accent2"/>
              </a:solidFill>
              <a:round/>
            </a:ln>
            <a:effectLst/>
          </c:spPr>
          <c:marker>
            <c:symbol val="none"/>
          </c:marker>
          <c:trendline>
            <c:spPr>
              <a:ln w="25400" cap="rnd">
                <a:solidFill>
                  <a:schemeClr val="accent2"/>
                </a:solidFill>
                <a:prstDash val="sysDot"/>
              </a:ln>
              <a:effectLst/>
            </c:spPr>
            <c:trendlineType val="linear"/>
            <c:dispRSqr val="1"/>
            <c:dispEq val="1"/>
            <c:trendlineLbl>
              <c:layout>
                <c:manualLayout>
                  <c:x val="0.45106549658391926"/>
                  <c:y val="-0.292937809857101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'Pivot-Tracking Accuracy'!$A$4:$A$16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'Pivot-Tracking Accuracy'!$C$4:$C$16</c:f>
              <c:numCache>
                <c:formatCode>0.00</c:formatCode>
                <c:ptCount val="12"/>
                <c:pt idx="0">
                  <c:v>37.121753942238435</c:v>
                </c:pt>
                <c:pt idx="1">
                  <c:v>34.439773377027123</c:v>
                </c:pt>
                <c:pt idx="2">
                  <c:v>37.539348052139026</c:v>
                </c:pt>
                <c:pt idx="3">
                  <c:v>37.617768442544488</c:v>
                </c:pt>
                <c:pt idx="4">
                  <c:v>39.804022424171713</c:v>
                </c:pt>
                <c:pt idx="5">
                  <c:v>36.056755289129633</c:v>
                </c:pt>
                <c:pt idx="6">
                  <c:v>38.741668263607515</c:v>
                </c:pt>
                <c:pt idx="7">
                  <c:v>38.102348567242181</c:v>
                </c:pt>
                <c:pt idx="8">
                  <c:v>37.83015525424873</c:v>
                </c:pt>
                <c:pt idx="9">
                  <c:v>39.399232889110856</c:v>
                </c:pt>
                <c:pt idx="10">
                  <c:v>37.076197838196947</c:v>
                </c:pt>
                <c:pt idx="11">
                  <c:v>37.521871581728306</c:v>
                </c:pt>
              </c:numCache>
            </c:numRef>
          </c:val>
          <c:smooth val="0"/>
          <c:extLst>
            <c:ext xmlns:c16="http://schemas.microsoft.com/office/drawing/2014/chart" uri="{C3380CC4-5D6E-409C-BE32-E72D297353CC}">
              <c16:uniqueId val="{00000001-4205-4187-8AFE-A98289582048}"/>
            </c:ext>
          </c:extLst>
        </c:ser>
        <c:dLbls>
          <c:showLegendKey val="0"/>
          <c:showVal val="0"/>
          <c:showCatName val="0"/>
          <c:showSerName val="0"/>
          <c:showPercent val="0"/>
          <c:showBubbleSize val="0"/>
        </c:dLbls>
        <c:marker val="1"/>
        <c:smooth val="0"/>
        <c:axId val="1977505760"/>
        <c:axId val="1977488960"/>
      </c:lineChart>
      <c:catAx>
        <c:axId val="197750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03360"/>
        <c:crosses val="autoZero"/>
        <c:auto val="1"/>
        <c:lblAlgn val="ctr"/>
        <c:lblOffset val="100"/>
        <c:noMultiLvlLbl val="0"/>
      </c:catAx>
      <c:valAx>
        <c:axId val="19775033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02880"/>
        <c:crosses val="autoZero"/>
        <c:crossBetween val="between"/>
      </c:valAx>
      <c:valAx>
        <c:axId val="197748896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05760"/>
        <c:crosses val="max"/>
        <c:crossBetween val="between"/>
      </c:valAx>
      <c:catAx>
        <c:axId val="1977505760"/>
        <c:scaling>
          <c:orientation val="minMax"/>
        </c:scaling>
        <c:delete val="1"/>
        <c:axPos val="b"/>
        <c:numFmt formatCode="General" sourceLinked="1"/>
        <c:majorTickMark val="none"/>
        <c:minorTickMark val="none"/>
        <c:tickLblPos val="nextTo"/>
        <c:crossAx val="19774889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[Automotive_market_Demand_Forecasting_Dataset_Analysis.xlsx]Pivot-Feedback_Adjustment!PivotTable1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Feedback_Adjustment by Feedback_Type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C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C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'Pivot-Feedback_Adjustment'!$B$3</c:f>
              <c:strCache>
                <c:ptCount val="1"/>
                <c:pt idx="0">
                  <c:v>Total</c:v>
                </c:pt>
              </c:strCache>
            </c:strRef>
          </c:tx>
          <c:spPr>
            <a:ln w="28575" cap="rnd">
              <a:solidFill>
                <a:srgbClr val="FFC00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35838867016622922"/>
                  <c:y val="-0.26791447944006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'Pivot-Feedback_Adjustment'!$A$4:$A$10</c:f>
              <c:strCache>
                <c:ptCount val="6"/>
                <c:pt idx="0">
                  <c:v>Competitor Price Drop</c:v>
                </c:pt>
                <c:pt idx="1">
                  <c:v>Demand Drop</c:v>
                </c:pt>
                <c:pt idx="2">
                  <c:v>Demand Spike</c:v>
                </c:pt>
                <c:pt idx="3">
                  <c:v>Seasonal Trend</c:v>
                </c:pt>
                <c:pt idx="4">
                  <c:v>Stock Shortage</c:v>
                </c:pt>
                <c:pt idx="5">
                  <c:v>(blank)</c:v>
                </c:pt>
              </c:strCache>
            </c:strRef>
          </c:cat>
          <c:val>
            <c:numRef>
              <c:f>'Pivot-Feedback_Adjustment'!$B$4:$B$10</c:f>
              <c:numCache>
                <c:formatCode>General</c:formatCode>
                <c:ptCount val="6"/>
                <c:pt idx="0">
                  <c:v>-0.7</c:v>
                </c:pt>
                <c:pt idx="1">
                  <c:v>-6.3000000000000007</c:v>
                </c:pt>
                <c:pt idx="2">
                  <c:v>1.05</c:v>
                </c:pt>
                <c:pt idx="3">
                  <c:v>-0.36</c:v>
                </c:pt>
                <c:pt idx="4">
                  <c:v>0.4</c:v>
                </c:pt>
              </c:numCache>
            </c:numRef>
          </c:val>
          <c:smooth val="0"/>
          <c:extLst>
            <c:ext xmlns:c16="http://schemas.microsoft.com/office/drawing/2014/chart" uri="{C3380CC4-5D6E-409C-BE32-E72D297353CC}">
              <c16:uniqueId val="{00000001-F15A-45D4-8F66-193305DDEC42}"/>
            </c:ext>
          </c:extLst>
        </c:ser>
        <c:dLbls>
          <c:showLegendKey val="0"/>
          <c:showVal val="0"/>
          <c:showCatName val="0"/>
          <c:showSerName val="0"/>
          <c:showPercent val="0"/>
          <c:showBubbleSize val="0"/>
        </c:dLbls>
        <c:marker val="1"/>
        <c:smooth val="0"/>
        <c:axId val="1778917279"/>
        <c:axId val="1778917759"/>
      </c:lineChart>
      <c:catAx>
        <c:axId val="177891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917759"/>
        <c:crosses val="autoZero"/>
        <c:auto val="1"/>
        <c:lblAlgn val="ctr"/>
        <c:lblOffset val="100"/>
        <c:noMultiLvlLbl val="0"/>
      </c:catAx>
      <c:valAx>
        <c:axId val="177891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91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[Automotive_market_Demand_Forecasting_Dataset_Analysis.xlsx]Pivot-Tracking Accuracy!PivotTable2</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Tracking</a:t>
            </a:r>
            <a:r>
              <a:rPr lang="en-IN" baseline="0"/>
              <a:t> Accuracy by Adjusted_Forecast over Time</a:t>
            </a:r>
            <a:endParaRPr lang="en-IN"/>
          </a:p>
        </c:rich>
      </c:tx>
      <c:layout>
        <c:manualLayout>
          <c:xMode val="edge"/>
          <c:yMode val="edge"/>
          <c:x val="0.1187531806615776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'Pivot-Tracking Accuracy'!$B$3</c:f>
              <c:strCache>
                <c:ptCount val="1"/>
                <c:pt idx="0">
                  <c:v>Sum of Adjusted_Forecast</c:v>
                </c:pt>
              </c:strCache>
            </c:strRef>
          </c:tx>
          <c:spPr>
            <a:solidFill>
              <a:schemeClr val="accent1"/>
            </a:solidFill>
            <a:ln>
              <a:noFill/>
            </a:ln>
            <a:effectLst/>
          </c:spPr>
          <c:invertIfNegative val="0"/>
          <c:cat>
            <c:strRef>
              <c:f>'Pivot-Tracking Accuracy'!$A$4:$A$16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'Pivot-Tracking Accuracy'!$B$4:$B$16</c:f>
              <c:numCache>
                <c:formatCode>0</c:formatCode>
                <c:ptCount val="12"/>
                <c:pt idx="0">
                  <c:v>4054.5637754167014</c:v>
                </c:pt>
                <c:pt idx="1">
                  <c:v>3810.4274822579287</c:v>
                </c:pt>
                <c:pt idx="2">
                  <c:v>4138.6295552518213</c:v>
                </c:pt>
                <c:pt idx="3">
                  <c:v>4078.920043466574</c:v>
                </c:pt>
                <c:pt idx="4">
                  <c:v>4391.888351059004</c:v>
                </c:pt>
                <c:pt idx="5">
                  <c:v>3935.3383577502309</c:v>
                </c:pt>
                <c:pt idx="6">
                  <c:v>4153.8633206532813</c:v>
                </c:pt>
                <c:pt idx="7">
                  <c:v>4118.9102695186784</c:v>
                </c:pt>
                <c:pt idx="8">
                  <c:v>4054.3929877671503</c:v>
                </c:pt>
                <c:pt idx="9">
                  <c:v>4249.1229974449489</c:v>
                </c:pt>
                <c:pt idx="10">
                  <c:v>4019.8121885135538</c:v>
                </c:pt>
                <c:pt idx="11">
                  <c:v>4092.5043103798016</c:v>
                </c:pt>
              </c:numCache>
            </c:numRef>
          </c:val>
          <c:extLst>
            <c:ext xmlns:c16="http://schemas.microsoft.com/office/drawing/2014/chart" uri="{C3380CC4-5D6E-409C-BE32-E72D297353CC}">
              <c16:uniqueId val="{00000000-6D15-45AC-A2F7-65B115CDB92C}"/>
            </c:ext>
          </c:extLst>
        </c:ser>
        <c:dLbls>
          <c:showLegendKey val="0"/>
          <c:showVal val="0"/>
          <c:showCatName val="0"/>
          <c:showSerName val="0"/>
          <c:showPercent val="0"/>
          <c:showBubbleSize val="0"/>
        </c:dLbls>
        <c:gapWidth val="150"/>
        <c:axId val="1977502880"/>
        <c:axId val="1977503360"/>
      </c:barChart>
      <c:lineChart>
        <c:grouping val="standard"/>
        <c:varyColors val="0"/>
        <c:ser>
          <c:idx val="1"/>
          <c:order val="1"/>
          <c:tx>
            <c:strRef>
              <c:f>'Pivot-Tracking Accuracy'!$C$3</c:f>
              <c:strCache>
                <c:ptCount val="1"/>
                <c:pt idx="0">
                  <c:v>Sum of Accuracy (%)</c:v>
                </c:pt>
              </c:strCache>
            </c:strRef>
          </c:tx>
          <c:spPr>
            <a:ln w="28575" cap="rnd">
              <a:solidFill>
                <a:schemeClr val="accent2"/>
              </a:solidFill>
              <a:round/>
            </a:ln>
            <a:effectLst/>
          </c:spPr>
          <c:marker>
            <c:symbol val="none"/>
          </c:marker>
          <c:trendline>
            <c:spPr>
              <a:ln w="25400" cap="rnd">
                <a:solidFill>
                  <a:schemeClr val="accent2"/>
                </a:solidFill>
                <a:prstDash val="sysDot"/>
              </a:ln>
              <a:effectLst/>
            </c:spPr>
            <c:trendlineType val="linear"/>
            <c:dispRSqr val="1"/>
            <c:dispEq val="1"/>
            <c:trendlineLbl>
              <c:layout>
                <c:manualLayout>
                  <c:x val="0.45106549658391926"/>
                  <c:y val="-0.292937809857101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'Pivot-Tracking Accuracy'!$A$4:$A$16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'Pivot-Tracking Accuracy'!$C$4:$C$16</c:f>
              <c:numCache>
                <c:formatCode>0.00</c:formatCode>
                <c:ptCount val="12"/>
                <c:pt idx="0">
                  <c:v>37.121753942238435</c:v>
                </c:pt>
                <c:pt idx="1">
                  <c:v>34.439773377027123</c:v>
                </c:pt>
                <c:pt idx="2">
                  <c:v>37.539348052139026</c:v>
                </c:pt>
                <c:pt idx="3">
                  <c:v>37.617768442544488</c:v>
                </c:pt>
                <c:pt idx="4">
                  <c:v>39.804022424171713</c:v>
                </c:pt>
                <c:pt idx="5">
                  <c:v>36.056755289129633</c:v>
                </c:pt>
                <c:pt idx="6">
                  <c:v>38.741668263607515</c:v>
                </c:pt>
                <c:pt idx="7">
                  <c:v>38.102348567242181</c:v>
                </c:pt>
                <c:pt idx="8">
                  <c:v>37.83015525424873</c:v>
                </c:pt>
                <c:pt idx="9">
                  <c:v>39.399232889110856</c:v>
                </c:pt>
                <c:pt idx="10">
                  <c:v>37.076197838196947</c:v>
                </c:pt>
                <c:pt idx="11">
                  <c:v>37.521871581728306</c:v>
                </c:pt>
              </c:numCache>
            </c:numRef>
          </c:val>
          <c:smooth val="0"/>
          <c:extLst>
            <c:ext xmlns:c16="http://schemas.microsoft.com/office/drawing/2014/chart" uri="{C3380CC4-5D6E-409C-BE32-E72D297353CC}">
              <c16:uniqueId val="{00000002-6D15-45AC-A2F7-65B115CDB92C}"/>
            </c:ext>
          </c:extLst>
        </c:ser>
        <c:dLbls>
          <c:showLegendKey val="0"/>
          <c:showVal val="0"/>
          <c:showCatName val="0"/>
          <c:showSerName val="0"/>
          <c:showPercent val="0"/>
          <c:showBubbleSize val="0"/>
        </c:dLbls>
        <c:marker val="1"/>
        <c:smooth val="0"/>
        <c:axId val="1977505760"/>
        <c:axId val="1977488960"/>
      </c:lineChart>
      <c:catAx>
        <c:axId val="197750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03360"/>
        <c:crosses val="autoZero"/>
        <c:auto val="1"/>
        <c:lblAlgn val="ctr"/>
        <c:lblOffset val="100"/>
        <c:noMultiLvlLbl val="0"/>
      </c:catAx>
      <c:valAx>
        <c:axId val="19775033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02880"/>
        <c:crosses val="autoZero"/>
        <c:crossBetween val="between"/>
      </c:valAx>
      <c:valAx>
        <c:axId val="197748896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05760"/>
        <c:crosses val="max"/>
        <c:crossBetween val="between"/>
      </c:valAx>
      <c:catAx>
        <c:axId val="1977505760"/>
        <c:scaling>
          <c:orientation val="minMax"/>
        </c:scaling>
        <c:delete val="1"/>
        <c:axPos val="b"/>
        <c:numFmt formatCode="General" sourceLinked="1"/>
        <c:majorTickMark val="none"/>
        <c:minorTickMark val="none"/>
        <c:tickLblPos val="nextTo"/>
        <c:crossAx val="19774889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[Automotive_market_Demand_Forecasting_Dataset_Analysis.xlsx]Pivot-Units Sold by Region!PivotTable1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Units Sold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'Pivot-Units Sold by Region'!$B$3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3869232283464567"/>
                  <c:y val="-0.2540255905511811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'Pivot-Units Sold by Region'!$A$4:$A$8</c:f>
              <c:strCache>
                <c:ptCount val="4"/>
                <c:pt idx="0">
                  <c:v>East</c:v>
                </c:pt>
                <c:pt idx="1">
                  <c:v>North</c:v>
                </c:pt>
                <c:pt idx="2">
                  <c:v>South</c:v>
                </c:pt>
                <c:pt idx="3">
                  <c:v>West</c:v>
                </c:pt>
              </c:strCache>
            </c:strRef>
          </c:cat>
          <c:val>
            <c:numRef>
              <c:f>'Pivot-Units Sold by Region'!$B$4:$B$8</c:f>
              <c:numCache>
                <c:formatCode>General</c:formatCode>
                <c:ptCount val="4"/>
                <c:pt idx="0">
                  <c:v>2156</c:v>
                </c:pt>
                <c:pt idx="1">
                  <c:v>3854</c:v>
                </c:pt>
                <c:pt idx="2">
                  <c:v>1868</c:v>
                </c:pt>
                <c:pt idx="3">
                  <c:v>4691</c:v>
                </c:pt>
              </c:numCache>
            </c:numRef>
          </c:val>
          <c:extLst>
            <c:ext xmlns:c16="http://schemas.microsoft.com/office/drawing/2014/chart" uri="{C3380CC4-5D6E-409C-BE32-E72D297353CC}">
              <c16:uniqueId val="{00000000-5A64-415C-966C-D2F6CBC4B432}"/>
            </c:ext>
          </c:extLst>
        </c:ser>
        <c:dLbls>
          <c:dLblPos val="outEnd"/>
          <c:showLegendKey val="0"/>
          <c:showVal val="1"/>
          <c:showCatName val="0"/>
          <c:showSerName val="0"/>
          <c:showPercent val="0"/>
          <c:showBubbleSize val="0"/>
        </c:dLbls>
        <c:gapWidth val="182"/>
        <c:axId val="1492390223"/>
        <c:axId val="1492387823"/>
      </c:barChart>
      <c:catAx>
        <c:axId val="149239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87823"/>
        <c:crosses val="autoZero"/>
        <c:auto val="1"/>
        <c:lblAlgn val="ctr"/>
        <c:lblOffset val="100"/>
        <c:noMultiLvlLbl val="0"/>
      </c:catAx>
      <c:valAx>
        <c:axId val="1492387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9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[Automotive_market_Demand_Forecasting_Dataset_Analysis.xlsx]Pivot-Sales Trend!PivotTable1</c:name>
    <c:fmtId val="9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Monthly Demand Trend</a:t>
            </a:r>
            <a:endParaRPr lang="en-IN"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'Pivot-Sales Trend'!$B$3:$B$4</c:f>
              <c:strCache>
                <c:ptCount val="1"/>
                <c:pt idx="0">
                  <c:v>Electric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Trend'!$B$5:$B$17</c:f>
              <c:numCache>
                <c:formatCode>General</c:formatCode>
                <c:ptCount val="12"/>
                <c:pt idx="0">
                  <c:v>114</c:v>
                </c:pt>
                <c:pt idx="1">
                  <c:v>196</c:v>
                </c:pt>
                <c:pt idx="2">
                  <c:v>98</c:v>
                </c:pt>
                <c:pt idx="3">
                  <c:v>86</c:v>
                </c:pt>
                <c:pt idx="4">
                  <c:v>435</c:v>
                </c:pt>
                <c:pt idx="5">
                  <c:v>103</c:v>
                </c:pt>
                <c:pt idx="6">
                  <c:v>293</c:v>
                </c:pt>
                <c:pt idx="7">
                  <c:v>226</c:v>
                </c:pt>
                <c:pt idx="8">
                  <c:v>84</c:v>
                </c:pt>
                <c:pt idx="9">
                  <c:v>226</c:v>
                </c:pt>
                <c:pt idx="10">
                  <c:v>204</c:v>
                </c:pt>
                <c:pt idx="11">
                  <c:v>91</c:v>
                </c:pt>
              </c:numCache>
            </c:numRef>
          </c:val>
          <c:smooth val="0"/>
          <c:extLst>
            <c:ext xmlns:c16="http://schemas.microsoft.com/office/drawing/2014/chart" uri="{C3380CC4-5D6E-409C-BE32-E72D297353CC}">
              <c16:uniqueId val="{00000000-9D7D-4C8C-9F7B-B068D195E6A7}"/>
            </c:ext>
          </c:extLst>
        </c:ser>
        <c:ser>
          <c:idx val="1"/>
          <c:order val="1"/>
          <c:tx>
            <c:strRef>
              <c:f>'Pivot-Sales Trend'!$C$3:$C$4</c:f>
              <c:strCache>
                <c:ptCount val="1"/>
                <c:pt idx="0">
                  <c:v>Hatchback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Trend'!$C$5:$C$17</c:f>
              <c:numCache>
                <c:formatCode>General</c:formatCode>
                <c:ptCount val="12"/>
                <c:pt idx="0">
                  <c:v>186</c:v>
                </c:pt>
                <c:pt idx="1">
                  <c:v>270</c:v>
                </c:pt>
                <c:pt idx="2">
                  <c:v>218</c:v>
                </c:pt>
                <c:pt idx="4">
                  <c:v>192</c:v>
                </c:pt>
                <c:pt idx="5">
                  <c:v>210</c:v>
                </c:pt>
                <c:pt idx="7">
                  <c:v>279</c:v>
                </c:pt>
                <c:pt idx="8">
                  <c:v>106</c:v>
                </c:pt>
                <c:pt idx="9">
                  <c:v>390</c:v>
                </c:pt>
                <c:pt idx="10">
                  <c:v>203</c:v>
                </c:pt>
                <c:pt idx="11">
                  <c:v>101</c:v>
                </c:pt>
              </c:numCache>
            </c:numRef>
          </c:val>
          <c:smooth val="0"/>
          <c:extLst>
            <c:ext xmlns:c16="http://schemas.microsoft.com/office/drawing/2014/chart" uri="{C3380CC4-5D6E-409C-BE32-E72D297353CC}">
              <c16:uniqueId val="{0000000C-3198-48EC-93CC-306B71BD2369}"/>
            </c:ext>
          </c:extLst>
        </c:ser>
        <c:ser>
          <c:idx val="2"/>
          <c:order val="2"/>
          <c:tx>
            <c:strRef>
              <c:f>'Pivot-Sales Trend'!$D$3:$D$4</c:f>
              <c:strCache>
                <c:ptCount val="1"/>
                <c:pt idx="0">
                  <c:v>Sedan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Trend'!$D$5:$D$17</c:f>
              <c:numCache>
                <c:formatCode>General</c:formatCode>
                <c:ptCount val="12"/>
                <c:pt idx="0">
                  <c:v>397</c:v>
                </c:pt>
                <c:pt idx="1">
                  <c:v>87</c:v>
                </c:pt>
                <c:pt idx="2">
                  <c:v>99</c:v>
                </c:pt>
                <c:pt idx="3">
                  <c:v>300</c:v>
                </c:pt>
                <c:pt idx="4">
                  <c:v>306</c:v>
                </c:pt>
                <c:pt idx="5">
                  <c:v>176</c:v>
                </c:pt>
                <c:pt idx="6">
                  <c:v>121</c:v>
                </c:pt>
                <c:pt idx="7">
                  <c:v>189</c:v>
                </c:pt>
                <c:pt idx="8">
                  <c:v>286</c:v>
                </c:pt>
                <c:pt idx="10">
                  <c:v>291</c:v>
                </c:pt>
                <c:pt idx="11">
                  <c:v>1123</c:v>
                </c:pt>
              </c:numCache>
            </c:numRef>
          </c:val>
          <c:smooth val="0"/>
          <c:extLst>
            <c:ext xmlns:c16="http://schemas.microsoft.com/office/drawing/2014/chart" uri="{C3380CC4-5D6E-409C-BE32-E72D297353CC}">
              <c16:uniqueId val="{0000000D-3198-48EC-93CC-306B71BD2369}"/>
            </c:ext>
          </c:extLst>
        </c:ser>
        <c:ser>
          <c:idx val="3"/>
          <c:order val="3"/>
          <c:tx>
            <c:strRef>
              <c:f>'Pivot-Sales Trend'!$E$3:$E$4</c:f>
              <c:strCache>
                <c:ptCount val="1"/>
                <c:pt idx="0">
                  <c:v>SUV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Trend'!$E$5:$E$17</c:f>
              <c:numCache>
                <c:formatCode>General</c:formatCode>
                <c:ptCount val="12"/>
                <c:pt idx="1">
                  <c:v>1099</c:v>
                </c:pt>
                <c:pt idx="2">
                  <c:v>87</c:v>
                </c:pt>
                <c:pt idx="3">
                  <c:v>287</c:v>
                </c:pt>
                <c:pt idx="4">
                  <c:v>203</c:v>
                </c:pt>
                <c:pt idx="5">
                  <c:v>350</c:v>
                </c:pt>
                <c:pt idx="7">
                  <c:v>403</c:v>
                </c:pt>
                <c:pt idx="8">
                  <c:v>232</c:v>
                </c:pt>
                <c:pt idx="9">
                  <c:v>186</c:v>
                </c:pt>
                <c:pt idx="10">
                  <c:v>297</c:v>
                </c:pt>
                <c:pt idx="11">
                  <c:v>98</c:v>
                </c:pt>
              </c:numCache>
            </c:numRef>
          </c:val>
          <c:smooth val="0"/>
          <c:extLst>
            <c:ext xmlns:c16="http://schemas.microsoft.com/office/drawing/2014/chart" uri="{C3380CC4-5D6E-409C-BE32-E72D297353CC}">
              <c16:uniqueId val="{0000000E-3198-48EC-93CC-306B71BD2369}"/>
            </c:ext>
          </c:extLst>
        </c:ser>
        <c:ser>
          <c:idx val="4"/>
          <c:order val="4"/>
          <c:tx>
            <c:strRef>
              <c:f>'Pivot-Sales Trend'!$F$3:$F$4</c:f>
              <c:strCache>
                <c:ptCount val="1"/>
                <c:pt idx="0">
                  <c:v>Truck</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Trend'!$F$5:$F$17</c:f>
              <c:numCache>
                <c:formatCode>General</c:formatCode>
                <c:ptCount val="12"/>
                <c:pt idx="0">
                  <c:v>202</c:v>
                </c:pt>
                <c:pt idx="1">
                  <c:v>222</c:v>
                </c:pt>
                <c:pt idx="2">
                  <c:v>268</c:v>
                </c:pt>
                <c:pt idx="3">
                  <c:v>291</c:v>
                </c:pt>
                <c:pt idx="4">
                  <c:v>83</c:v>
                </c:pt>
                <c:pt idx="5">
                  <c:v>108</c:v>
                </c:pt>
                <c:pt idx="7">
                  <c:v>104</c:v>
                </c:pt>
                <c:pt idx="8">
                  <c:v>277</c:v>
                </c:pt>
                <c:pt idx="9">
                  <c:v>310</c:v>
                </c:pt>
                <c:pt idx="10">
                  <c:v>186</c:v>
                </c:pt>
              </c:numCache>
            </c:numRef>
          </c:val>
          <c:smooth val="0"/>
          <c:extLst>
            <c:ext xmlns:c16="http://schemas.microsoft.com/office/drawing/2014/chart" uri="{C3380CC4-5D6E-409C-BE32-E72D297353CC}">
              <c16:uniqueId val="{0000000F-3198-48EC-93CC-306B71BD2369}"/>
            </c:ext>
          </c:extLst>
        </c:ser>
        <c:dLbls>
          <c:dLblPos val="t"/>
          <c:showLegendKey val="0"/>
          <c:showVal val="1"/>
          <c:showCatName val="0"/>
          <c:showSerName val="0"/>
          <c:showPercent val="0"/>
          <c:showBubbleSize val="0"/>
        </c:dLbls>
        <c:marker val="1"/>
        <c:smooth val="0"/>
        <c:axId val="1577177583"/>
        <c:axId val="1577181423"/>
      </c:lineChart>
      <c:catAx>
        <c:axId val="157717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81423"/>
        <c:crosses val="autoZero"/>
        <c:auto val="1"/>
        <c:lblAlgn val="ctr"/>
        <c:lblOffset val="100"/>
        <c:noMultiLvlLbl val="0"/>
      </c:catAx>
      <c:valAx>
        <c:axId val="1577181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7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[Automotive_market_Demand_Forecasting_Dataset_Analysis.xlsx]Pivot-Competitor Sales Comparis!PivotTable4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Competitor Sales Comparison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'Pivot-Competitor Sales Comparis'!$B$3</c:f>
              <c:strCache>
                <c:ptCount val="1"/>
                <c:pt idx="0">
                  <c:v>Sum of Units_Sold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'Pivot-Competitor Sales Comparis'!$A$4:$A$9</c:f>
              <c:strCache>
                <c:ptCount val="5"/>
                <c:pt idx="0">
                  <c:v>Electric</c:v>
                </c:pt>
                <c:pt idx="1">
                  <c:v>Hatchback</c:v>
                </c:pt>
                <c:pt idx="2">
                  <c:v>Sedan</c:v>
                </c:pt>
                <c:pt idx="3">
                  <c:v>SUV</c:v>
                </c:pt>
                <c:pt idx="4">
                  <c:v>Truck</c:v>
                </c:pt>
              </c:strCache>
            </c:strRef>
          </c:cat>
          <c:val>
            <c:numRef>
              <c:f>'Pivot-Competitor Sales Comparis'!$B$4:$B$9</c:f>
              <c:numCache>
                <c:formatCode>General</c:formatCode>
                <c:ptCount val="5"/>
                <c:pt idx="0">
                  <c:v>12569</c:v>
                </c:pt>
                <c:pt idx="1">
                  <c:v>9022</c:v>
                </c:pt>
                <c:pt idx="2">
                  <c:v>13372</c:v>
                </c:pt>
                <c:pt idx="3">
                  <c:v>15647</c:v>
                </c:pt>
                <c:pt idx="4">
                  <c:v>10200</c:v>
                </c:pt>
              </c:numCache>
            </c:numRef>
          </c:val>
          <c:extLst>
            <c:ext xmlns:c16="http://schemas.microsoft.com/office/drawing/2014/chart" uri="{C3380CC4-5D6E-409C-BE32-E72D297353CC}">
              <c16:uniqueId val="{00000000-6911-4C28-A8B2-C5CE754DB15D}"/>
            </c:ext>
          </c:extLst>
        </c:ser>
        <c:dLbls>
          <c:showLegendKey val="0"/>
          <c:showVal val="1"/>
          <c:showCatName val="0"/>
          <c:showSerName val="0"/>
          <c:showPercent val="0"/>
          <c:showBubbleSize val="0"/>
        </c:dLbls>
        <c:gapWidth val="150"/>
        <c:axId val="1577183823"/>
        <c:axId val="1577185263"/>
      </c:barChart>
      <c:lineChart>
        <c:grouping val="standard"/>
        <c:varyColors val="0"/>
        <c:ser>
          <c:idx val="1"/>
          <c:order val="1"/>
          <c:tx>
            <c:strRef>
              <c:f>'Pivot-Competitor Sales Comparis'!$C$3</c:f>
              <c:strCache>
                <c:ptCount val="1"/>
                <c:pt idx="0">
                  <c:v>Sum of Competitor_Sales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ysDot"/>
              </a:ln>
              <a:effectLst/>
            </c:spPr>
            <c:trendlineType val="linear"/>
            <c:dispRSqr val="1"/>
            <c:dispEq val="1"/>
            <c:trendlineLbl>
              <c:layout>
                <c:manualLayout>
                  <c:x val="0.46086132983377076"/>
                  <c:y val="-0.3449223534558180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'Pivot-Competitor Sales Comparis'!$A$4:$A$9</c:f>
              <c:strCache>
                <c:ptCount val="5"/>
                <c:pt idx="0">
                  <c:v>Electric</c:v>
                </c:pt>
                <c:pt idx="1">
                  <c:v>Hatchback</c:v>
                </c:pt>
                <c:pt idx="2">
                  <c:v>Sedan</c:v>
                </c:pt>
                <c:pt idx="3">
                  <c:v>SUV</c:v>
                </c:pt>
                <c:pt idx="4">
                  <c:v>Truck</c:v>
                </c:pt>
              </c:strCache>
            </c:strRef>
          </c:cat>
          <c:val>
            <c:numRef>
              <c:f>'Pivot-Competitor Sales Comparis'!$C$4:$C$9</c:f>
              <c:numCache>
                <c:formatCode>General</c:formatCode>
                <c:ptCount val="5"/>
                <c:pt idx="0">
                  <c:v>11112</c:v>
                </c:pt>
                <c:pt idx="1">
                  <c:v>9278</c:v>
                </c:pt>
                <c:pt idx="2">
                  <c:v>13554</c:v>
                </c:pt>
                <c:pt idx="3">
                  <c:v>10987</c:v>
                </c:pt>
                <c:pt idx="4">
                  <c:v>8228</c:v>
                </c:pt>
              </c:numCache>
            </c:numRef>
          </c:val>
          <c:smooth val="0"/>
          <c:extLst>
            <c:ext xmlns:c16="http://schemas.microsoft.com/office/drawing/2014/chart" uri="{C3380CC4-5D6E-409C-BE32-E72D297353CC}">
              <c16:uniqueId val="{00000001-6911-4C28-A8B2-C5CE754DB15D}"/>
            </c:ext>
          </c:extLst>
        </c:ser>
        <c:dLbls>
          <c:showLegendKey val="0"/>
          <c:showVal val="1"/>
          <c:showCatName val="0"/>
          <c:showSerName val="0"/>
          <c:showPercent val="0"/>
          <c:showBubbleSize val="0"/>
        </c:dLbls>
        <c:marker val="1"/>
        <c:smooth val="0"/>
        <c:axId val="1577191983"/>
        <c:axId val="1577175183"/>
      </c:lineChart>
      <c:catAx>
        <c:axId val="157718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85263"/>
        <c:crosses val="autoZero"/>
        <c:auto val="1"/>
        <c:lblAlgn val="ctr"/>
        <c:lblOffset val="100"/>
        <c:noMultiLvlLbl val="0"/>
      </c:catAx>
      <c:valAx>
        <c:axId val="157718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83823"/>
        <c:crosses val="autoZero"/>
        <c:crossBetween val="between"/>
      </c:valAx>
      <c:valAx>
        <c:axId val="157717518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91983"/>
        <c:crosses val="max"/>
        <c:crossBetween val="between"/>
      </c:valAx>
      <c:catAx>
        <c:axId val="1577191983"/>
        <c:scaling>
          <c:orientation val="minMax"/>
        </c:scaling>
        <c:delete val="1"/>
        <c:axPos val="b"/>
        <c:numFmt formatCode="General" sourceLinked="1"/>
        <c:majorTickMark val="none"/>
        <c:minorTickMark val="none"/>
        <c:tickLblPos val="nextTo"/>
        <c:crossAx val="15771751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[Automotive_market_Demand_Forecasting_Dataset_Analysis.xlsx]Pivot-Average Price VS UnitSold!PivotTable2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 Price vs. Units Sold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'Pivot-Average Price VS UnitSold'!$B$3</c:f>
              <c:strCache>
                <c:ptCount val="1"/>
                <c:pt idx="0">
                  <c:v>Sum of Average_Price</c:v>
                </c:pt>
              </c:strCache>
            </c:strRef>
          </c:tx>
          <c:spPr>
            <a:solidFill>
              <a:schemeClr val="accent1"/>
            </a:solidFill>
            <a:ln>
              <a:noFill/>
            </a:ln>
            <a:effectLst/>
          </c:spPr>
          <c:invertIfNegative val="0"/>
          <c:trendline>
            <c:spPr>
              <a:ln w="22225" cap="rnd">
                <a:solidFill>
                  <a:schemeClr val="accent1"/>
                </a:solidFill>
                <a:prstDash val="sysDot"/>
              </a:ln>
              <a:effectLst/>
            </c:spPr>
            <c:trendlineType val="linear"/>
            <c:dispRSqr val="1"/>
            <c:dispEq val="1"/>
            <c:trendlineLbl>
              <c:layout>
                <c:manualLayout>
                  <c:x val="0.38071972253468317"/>
                  <c:y val="-0.2540255905511811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'Pivot-Average Price VS UnitSold'!$A$4:$A$16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'Pivot-Average Price VS UnitSold'!$B$4:$B$16</c:f>
              <c:numCache>
                <c:formatCode>General</c:formatCode>
                <c:ptCount val="12"/>
                <c:pt idx="0">
                  <c:v>1510964.109513277</c:v>
                </c:pt>
                <c:pt idx="1">
                  <c:v>1530311.79836983</c:v>
                </c:pt>
                <c:pt idx="2">
                  <c:v>1136212.0413990379</c:v>
                </c:pt>
                <c:pt idx="3">
                  <c:v>1794956.0077521685</c:v>
                </c:pt>
                <c:pt idx="4">
                  <c:v>1236415.7902482918</c:v>
                </c:pt>
                <c:pt idx="5">
                  <c:v>1691846.0618689926</c:v>
                </c:pt>
                <c:pt idx="6">
                  <c:v>1417073.2560505674</c:v>
                </c:pt>
                <c:pt idx="7">
                  <c:v>1771380.0878674947</c:v>
                </c:pt>
                <c:pt idx="8">
                  <c:v>1778231.0761216686</c:v>
                </c:pt>
                <c:pt idx="9">
                  <c:v>1186869.5589668078</c:v>
                </c:pt>
                <c:pt idx="10">
                  <c:v>1208660.0509476541</c:v>
                </c:pt>
                <c:pt idx="11">
                  <c:v>1837570.561772401</c:v>
                </c:pt>
              </c:numCache>
            </c:numRef>
          </c:val>
          <c:extLst>
            <c:ext xmlns:c16="http://schemas.microsoft.com/office/drawing/2014/chart" uri="{C3380CC4-5D6E-409C-BE32-E72D297353CC}">
              <c16:uniqueId val="{00000000-766A-411D-9757-F706D40BFBE1}"/>
            </c:ext>
          </c:extLst>
        </c:ser>
        <c:dLbls>
          <c:showLegendKey val="0"/>
          <c:showVal val="0"/>
          <c:showCatName val="0"/>
          <c:showSerName val="0"/>
          <c:showPercent val="0"/>
          <c:showBubbleSize val="0"/>
        </c:dLbls>
        <c:gapWidth val="150"/>
        <c:axId val="1221290783"/>
        <c:axId val="1221285023"/>
      </c:barChart>
      <c:lineChart>
        <c:grouping val="standard"/>
        <c:varyColors val="0"/>
        <c:ser>
          <c:idx val="1"/>
          <c:order val="1"/>
          <c:tx>
            <c:strRef>
              <c:f>'Pivot-Average Price VS UnitSold'!$C$3</c:f>
              <c:strCache>
                <c:ptCount val="1"/>
                <c:pt idx="0">
                  <c:v>Sum of Units_Sold</c:v>
                </c:pt>
              </c:strCache>
            </c:strRef>
          </c:tx>
          <c:spPr>
            <a:ln w="28575" cap="rnd">
              <a:solidFill>
                <a:schemeClr val="accent2"/>
              </a:solidFill>
              <a:round/>
            </a:ln>
            <a:effectLst/>
          </c:spPr>
          <c:marker>
            <c:symbol val="none"/>
          </c:marker>
          <c:cat>
            <c:strRef>
              <c:f>'Pivot-Average Price VS UnitSold'!$A$4:$A$16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'Pivot-Average Price VS UnitSold'!$C$4:$C$16</c:f>
              <c:numCache>
                <c:formatCode>General</c:formatCode>
                <c:ptCount val="12"/>
                <c:pt idx="0">
                  <c:v>4796</c:v>
                </c:pt>
                <c:pt idx="1">
                  <c:v>7164</c:v>
                </c:pt>
                <c:pt idx="2">
                  <c:v>5115</c:v>
                </c:pt>
                <c:pt idx="3">
                  <c:v>5740</c:v>
                </c:pt>
                <c:pt idx="4">
                  <c:v>5271</c:v>
                </c:pt>
                <c:pt idx="5">
                  <c:v>4595</c:v>
                </c:pt>
                <c:pt idx="6">
                  <c:v>4072</c:v>
                </c:pt>
                <c:pt idx="7">
                  <c:v>4909</c:v>
                </c:pt>
                <c:pt idx="8">
                  <c:v>4769</c:v>
                </c:pt>
                <c:pt idx="9">
                  <c:v>4290</c:v>
                </c:pt>
                <c:pt idx="10">
                  <c:v>4256</c:v>
                </c:pt>
                <c:pt idx="11">
                  <c:v>5833</c:v>
                </c:pt>
              </c:numCache>
            </c:numRef>
          </c:val>
          <c:smooth val="0"/>
          <c:extLst>
            <c:ext xmlns:c16="http://schemas.microsoft.com/office/drawing/2014/chart" uri="{C3380CC4-5D6E-409C-BE32-E72D297353CC}">
              <c16:uniqueId val="{00000001-766A-411D-9757-F706D40BFBE1}"/>
            </c:ext>
          </c:extLst>
        </c:ser>
        <c:dLbls>
          <c:showLegendKey val="0"/>
          <c:showVal val="0"/>
          <c:showCatName val="0"/>
          <c:showSerName val="0"/>
          <c:showPercent val="0"/>
          <c:showBubbleSize val="0"/>
        </c:dLbls>
        <c:marker val="1"/>
        <c:smooth val="0"/>
        <c:axId val="1221288863"/>
        <c:axId val="1221287903"/>
      </c:lineChart>
      <c:catAx>
        <c:axId val="122129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85023"/>
        <c:crosses val="autoZero"/>
        <c:auto val="1"/>
        <c:lblAlgn val="ctr"/>
        <c:lblOffset val="100"/>
        <c:noMultiLvlLbl val="0"/>
      </c:catAx>
      <c:valAx>
        <c:axId val="122128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90783"/>
        <c:crosses val="autoZero"/>
        <c:crossBetween val="between"/>
      </c:valAx>
      <c:valAx>
        <c:axId val="122128790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88863"/>
        <c:crosses val="max"/>
        <c:crossBetween val="between"/>
      </c:valAx>
      <c:catAx>
        <c:axId val="1221288863"/>
        <c:scaling>
          <c:orientation val="minMax"/>
        </c:scaling>
        <c:delete val="1"/>
        <c:axPos val="b"/>
        <c:numFmt formatCode="General" sourceLinked="1"/>
        <c:majorTickMark val="none"/>
        <c:minorTickMark val="none"/>
        <c:tickLblPos val="nextTo"/>
        <c:crossAx val="12212879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[Automotive_market_Demand_Forecasting_Dataset_Analysis.xlsx]Pivot-Marketing Spend vs. Deman!PivotTable3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Marketing Spend vs. Demand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'Pivot-Marketing Spend vs. Deman'!$B$3</c:f>
              <c:strCache>
                <c:ptCount val="1"/>
                <c:pt idx="0">
                  <c:v>Sum of Marketing_Spend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43747627956924701"/>
                  <c:y val="-0.2507764654418197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'Pivot-Marketing Spend vs. Deman'!$A$4:$A$9</c:f>
              <c:strCache>
                <c:ptCount val="5"/>
                <c:pt idx="0">
                  <c:v>Electric</c:v>
                </c:pt>
                <c:pt idx="1">
                  <c:v>Hatchback</c:v>
                </c:pt>
                <c:pt idx="2">
                  <c:v>Sedan</c:v>
                </c:pt>
                <c:pt idx="3">
                  <c:v>SUV</c:v>
                </c:pt>
                <c:pt idx="4">
                  <c:v>Truck</c:v>
                </c:pt>
              </c:strCache>
            </c:strRef>
          </c:cat>
          <c:val>
            <c:numRef>
              <c:f>'Pivot-Marketing Spend vs. Deman'!$B$4:$B$9</c:f>
              <c:numCache>
                <c:formatCode>General</c:formatCode>
                <c:ptCount val="5"/>
                <c:pt idx="0">
                  <c:v>10747350.710823013</c:v>
                </c:pt>
                <c:pt idx="1">
                  <c:v>10906035.748521531</c:v>
                </c:pt>
                <c:pt idx="2">
                  <c:v>14635516.742584277</c:v>
                </c:pt>
                <c:pt idx="3">
                  <c:v>14199248.640529215</c:v>
                </c:pt>
                <c:pt idx="4">
                  <c:v>10738060.589382561</c:v>
                </c:pt>
              </c:numCache>
            </c:numRef>
          </c:val>
          <c:extLst>
            <c:ext xmlns:c16="http://schemas.microsoft.com/office/drawing/2014/chart" uri="{C3380CC4-5D6E-409C-BE32-E72D297353CC}">
              <c16:uniqueId val="{00000000-5FE9-4872-ACDC-BB34C79758BB}"/>
            </c:ext>
          </c:extLst>
        </c:ser>
        <c:dLbls>
          <c:showLegendKey val="0"/>
          <c:showVal val="1"/>
          <c:showCatName val="0"/>
          <c:showSerName val="0"/>
          <c:showPercent val="0"/>
          <c:showBubbleSize val="0"/>
        </c:dLbls>
        <c:gapWidth val="150"/>
        <c:axId val="1492276943"/>
        <c:axId val="1492278383"/>
      </c:barChart>
      <c:lineChart>
        <c:grouping val="standard"/>
        <c:varyColors val="0"/>
        <c:ser>
          <c:idx val="1"/>
          <c:order val="1"/>
          <c:tx>
            <c:strRef>
              <c:f>'Pivot-Marketing Spend vs. Deman'!$C$3</c:f>
              <c:strCache>
                <c:ptCount val="1"/>
                <c:pt idx="0">
                  <c:v>Sum of Units_Sold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'Pivot-Marketing Spend vs. Deman'!$A$4:$A$9</c:f>
              <c:strCache>
                <c:ptCount val="5"/>
                <c:pt idx="0">
                  <c:v>Electric</c:v>
                </c:pt>
                <c:pt idx="1">
                  <c:v>Hatchback</c:v>
                </c:pt>
                <c:pt idx="2">
                  <c:v>Sedan</c:v>
                </c:pt>
                <c:pt idx="3">
                  <c:v>SUV</c:v>
                </c:pt>
                <c:pt idx="4">
                  <c:v>Truck</c:v>
                </c:pt>
              </c:strCache>
            </c:strRef>
          </c:cat>
          <c:val>
            <c:numRef>
              <c:f>'Pivot-Marketing Spend vs. Deman'!$C$4:$C$9</c:f>
              <c:numCache>
                <c:formatCode>General</c:formatCode>
                <c:ptCount val="5"/>
                <c:pt idx="0">
                  <c:v>12569</c:v>
                </c:pt>
                <c:pt idx="1">
                  <c:v>9022</c:v>
                </c:pt>
                <c:pt idx="2">
                  <c:v>13372</c:v>
                </c:pt>
                <c:pt idx="3">
                  <c:v>15647</c:v>
                </c:pt>
                <c:pt idx="4">
                  <c:v>10200</c:v>
                </c:pt>
              </c:numCache>
            </c:numRef>
          </c:val>
          <c:smooth val="0"/>
          <c:extLst>
            <c:ext xmlns:c16="http://schemas.microsoft.com/office/drawing/2014/chart" uri="{C3380CC4-5D6E-409C-BE32-E72D297353CC}">
              <c16:uniqueId val="{00000001-5FE9-4872-ACDC-BB34C79758BB}"/>
            </c:ext>
          </c:extLst>
        </c:ser>
        <c:dLbls>
          <c:showLegendKey val="0"/>
          <c:showVal val="1"/>
          <c:showCatName val="0"/>
          <c:showSerName val="0"/>
          <c:showPercent val="0"/>
          <c:showBubbleSize val="0"/>
        </c:dLbls>
        <c:marker val="1"/>
        <c:smooth val="0"/>
        <c:axId val="720801855"/>
        <c:axId val="720800415"/>
      </c:lineChart>
      <c:catAx>
        <c:axId val="149227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278383"/>
        <c:crosses val="autoZero"/>
        <c:auto val="1"/>
        <c:lblAlgn val="ctr"/>
        <c:lblOffset val="100"/>
        <c:noMultiLvlLbl val="0"/>
      </c:catAx>
      <c:valAx>
        <c:axId val="1492278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276943"/>
        <c:crosses val="autoZero"/>
        <c:crossBetween val="between"/>
      </c:valAx>
      <c:valAx>
        <c:axId val="7208004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01855"/>
        <c:crosses val="max"/>
        <c:crossBetween val="between"/>
      </c:valAx>
      <c:catAx>
        <c:axId val="720801855"/>
        <c:scaling>
          <c:orientation val="minMax"/>
        </c:scaling>
        <c:delete val="1"/>
        <c:axPos val="b"/>
        <c:numFmt formatCode="General" sourceLinked="1"/>
        <c:majorTickMark val="none"/>
        <c:minorTickMark val="none"/>
        <c:tickLblPos val="nextTo"/>
        <c:crossAx val="7208004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[Automotive_market_Demand_Forecasting_Dataset_Analysis.xlsx]Pivot-Units Sold by Region!PivotTable1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Units Sold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'Pivot-Units Sold by Region'!$B$3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3869232283464567"/>
                  <c:y val="-0.2540255905511811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'Pivot-Units Sold by Region'!$A$4:$A$8</c:f>
              <c:strCache>
                <c:ptCount val="4"/>
                <c:pt idx="0">
                  <c:v>East</c:v>
                </c:pt>
                <c:pt idx="1">
                  <c:v>North</c:v>
                </c:pt>
                <c:pt idx="2">
                  <c:v>South</c:v>
                </c:pt>
                <c:pt idx="3">
                  <c:v>West</c:v>
                </c:pt>
              </c:strCache>
            </c:strRef>
          </c:cat>
          <c:val>
            <c:numRef>
              <c:f>'Pivot-Units Sold by Region'!$B$4:$B$8</c:f>
              <c:numCache>
                <c:formatCode>General</c:formatCode>
                <c:ptCount val="4"/>
                <c:pt idx="0">
                  <c:v>2156</c:v>
                </c:pt>
                <c:pt idx="1">
                  <c:v>3854</c:v>
                </c:pt>
                <c:pt idx="2">
                  <c:v>1868</c:v>
                </c:pt>
                <c:pt idx="3">
                  <c:v>4691</c:v>
                </c:pt>
              </c:numCache>
            </c:numRef>
          </c:val>
          <c:extLst>
            <c:ext xmlns:c16="http://schemas.microsoft.com/office/drawing/2014/chart" uri="{C3380CC4-5D6E-409C-BE32-E72D297353CC}">
              <c16:uniqueId val="{00000001-443F-49E9-B2EB-D4013CBE191C}"/>
            </c:ext>
          </c:extLst>
        </c:ser>
        <c:dLbls>
          <c:dLblPos val="outEnd"/>
          <c:showLegendKey val="0"/>
          <c:showVal val="1"/>
          <c:showCatName val="0"/>
          <c:showSerName val="0"/>
          <c:showPercent val="0"/>
          <c:showBubbleSize val="0"/>
        </c:dLbls>
        <c:gapWidth val="182"/>
        <c:axId val="1492390223"/>
        <c:axId val="1492387823"/>
      </c:barChart>
      <c:catAx>
        <c:axId val="149239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87823"/>
        <c:crosses val="autoZero"/>
        <c:auto val="1"/>
        <c:lblAlgn val="ctr"/>
        <c:lblOffset val="100"/>
        <c:noMultiLvlLbl val="0"/>
      </c:catAx>
      <c:valAx>
        <c:axId val="1492387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9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[Automotive_market_Demand_Forecasting_Dataset_Analysis.xlsx]Pivot-Sales Trend!PivotTable1</c:name>
    <c:fmtId val="9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Monthly Demand Trend</a:t>
            </a:r>
            <a:endParaRPr lang="en-IN"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'Pivot-Sales Trend'!$B$3:$B$4</c:f>
              <c:strCache>
                <c:ptCount val="1"/>
                <c:pt idx="0">
                  <c:v>Electric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Trend'!$B$5:$B$17</c:f>
              <c:numCache>
                <c:formatCode>General</c:formatCode>
                <c:ptCount val="12"/>
                <c:pt idx="0">
                  <c:v>114</c:v>
                </c:pt>
                <c:pt idx="1">
                  <c:v>196</c:v>
                </c:pt>
                <c:pt idx="2">
                  <c:v>98</c:v>
                </c:pt>
                <c:pt idx="3">
                  <c:v>86</c:v>
                </c:pt>
                <c:pt idx="4">
                  <c:v>435</c:v>
                </c:pt>
                <c:pt idx="5">
                  <c:v>103</c:v>
                </c:pt>
                <c:pt idx="6">
                  <c:v>293</c:v>
                </c:pt>
                <c:pt idx="7">
                  <c:v>226</c:v>
                </c:pt>
                <c:pt idx="8">
                  <c:v>84</c:v>
                </c:pt>
                <c:pt idx="9">
                  <c:v>226</c:v>
                </c:pt>
                <c:pt idx="10">
                  <c:v>204</c:v>
                </c:pt>
                <c:pt idx="11">
                  <c:v>91</c:v>
                </c:pt>
              </c:numCache>
            </c:numRef>
          </c:val>
          <c:smooth val="0"/>
          <c:extLst>
            <c:ext xmlns:c16="http://schemas.microsoft.com/office/drawing/2014/chart" uri="{C3380CC4-5D6E-409C-BE32-E72D297353CC}">
              <c16:uniqueId val="{00000000-E34B-4286-AA39-BFC300CB59C3}"/>
            </c:ext>
          </c:extLst>
        </c:ser>
        <c:ser>
          <c:idx val="1"/>
          <c:order val="1"/>
          <c:tx>
            <c:strRef>
              <c:f>'Pivot-Sales Trend'!$C$3:$C$4</c:f>
              <c:strCache>
                <c:ptCount val="1"/>
                <c:pt idx="0">
                  <c:v>Hatchback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Trend'!$C$5:$C$17</c:f>
              <c:numCache>
                <c:formatCode>General</c:formatCode>
                <c:ptCount val="12"/>
                <c:pt idx="0">
                  <c:v>186</c:v>
                </c:pt>
                <c:pt idx="1">
                  <c:v>270</c:v>
                </c:pt>
                <c:pt idx="2">
                  <c:v>218</c:v>
                </c:pt>
                <c:pt idx="4">
                  <c:v>192</c:v>
                </c:pt>
                <c:pt idx="5">
                  <c:v>210</c:v>
                </c:pt>
                <c:pt idx="7">
                  <c:v>279</c:v>
                </c:pt>
                <c:pt idx="8">
                  <c:v>106</c:v>
                </c:pt>
                <c:pt idx="9">
                  <c:v>390</c:v>
                </c:pt>
                <c:pt idx="10">
                  <c:v>203</c:v>
                </c:pt>
                <c:pt idx="11">
                  <c:v>101</c:v>
                </c:pt>
              </c:numCache>
            </c:numRef>
          </c:val>
          <c:smooth val="0"/>
          <c:extLst>
            <c:ext xmlns:c16="http://schemas.microsoft.com/office/drawing/2014/chart" uri="{C3380CC4-5D6E-409C-BE32-E72D297353CC}">
              <c16:uniqueId val="{0000000D-48BC-4BC6-918C-A635DDE20CB3}"/>
            </c:ext>
          </c:extLst>
        </c:ser>
        <c:ser>
          <c:idx val="2"/>
          <c:order val="2"/>
          <c:tx>
            <c:strRef>
              <c:f>'Pivot-Sales Trend'!$D$3:$D$4</c:f>
              <c:strCache>
                <c:ptCount val="1"/>
                <c:pt idx="0">
                  <c:v>Sedan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Trend'!$D$5:$D$17</c:f>
              <c:numCache>
                <c:formatCode>General</c:formatCode>
                <c:ptCount val="12"/>
                <c:pt idx="0">
                  <c:v>397</c:v>
                </c:pt>
                <c:pt idx="1">
                  <c:v>87</c:v>
                </c:pt>
                <c:pt idx="2">
                  <c:v>99</c:v>
                </c:pt>
                <c:pt idx="3">
                  <c:v>300</c:v>
                </c:pt>
                <c:pt idx="4">
                  <c:v>306</c:v>
                </c:pt>
                <c:pt idx="5">
                  <c:v>176</c:v>
                </c:pt>
                <c:pt idx="6">
                  <c:v>121</c:v>
                </c:pt>
                <c:pt idx="7">
                  <c:v>189</c:v>
                </c:pt>
                <c:pt idx="8">
                  <c:v>286</c:v>
                </c:pt>
                <c:pt idx="10">
                  <c:v>291</c:v>
                </c:pt>
                <c:pt idx="11">
                  <c:v>1123</c:v>
                </c:pt>
              </c:numCache>
            </c:numRef>
          </c:val>
          <c:smooth val="0"/>
          <c:extLst>
            <c:ext xmlns:c16="http://schemas.microsoft.com/office/drawing/2014/chart" uri="{C3380CC4-5D6E-409C-BE32-E72D297353CC}">
              <c16:uniqueId val="{0000000E-48BC-4BC6-918C-A635DDE20CB3}"/>
            </c:ext>
          </c:extLst>
        </c:ser>
        <c:ser>
          <c:idx val="3"/>
          <c:order val="3"/>
          <c:tx>
            <c:strRef>
              <c:f>'Pivot-Sales Trend'!$E$3:$E$4</c:f>
              <c:strCache>
                <c:ptCount val="1"/>
                <c:pt idx="0">
                  <c:v>SUV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Trend'!$E$5:$E$17</c:f>
              <c:numCache>
                <c:formatCode>General</c:formatCode>
                <c:ptCount val="12"/>
                <c:pt idx="1">
                  <c:v>1099</c:v>
                </c:pt>
                <c:pt idx="2">
                  <c:v>87</c:v>
                </c:pt>
                <c:pt idx="3">
                  <c:v>287</c:v>
                </c:pt>
                <c:pt idx="4">
                  <c:v>203</c:v>
                </c:pt>
                <c:pt idx="5">
                  <c:v>350</c:v>
                </c:pt>
                <c:pt idx="7">
                  <c:v>403</c:v>
                </c:pt>
                <c:pt idx="8">
                  <c:v>232</c:v>
                </c:pt>
                <c:pt idx="9">
                  <c:v>186</c:v>
                </c:pt>
                <c:pt idx="10">
                  <c:v>297</c:v>
                </c:pt>
                <c:pt idx="11">
                  <c:v>98</c:v>
                </c:pt>
              </c:numCache>
            </c:numRef>
          </c:val>
          <c:smooth val="0"/>
          <c:extLst>
            <c:ext xmlns:c16="http://schemas.microsoft.com/office/drawing/2014/chart" uri="{C3380CC4-5D6E-409C-BE32-E72D297353CC}">
              <c16:uniqueId val="{0000000F-48BC-4BC6-918C-A635DDE20CB3}"/>
            </c:ext>
          </c:extLst>
        </c:ser>
        <c:ser>
          <c:idx val="4"/>
          <c:order val="4"/>
          <c:tx>
            <c:strRef>
              <c:f>'Pivot-Sales Trend'!$F$3:$F$4</c:f>
              <c:strCache>
                <c:ptCount val="1"/>
                <c:pt idx="0">
                  <c:v>Truck</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Trend'!$F$5:$F$17</c:f>
              <c:numCache>
                <c:formatCode>General</c:formatCode>
                <c:ptCount val="12"/>
                <c:pt idx="0">
                  <c:v>202</c:v>
                </c:pt>
                <c:pt idx="1">
                  <c:v>222</c:v>
                </c:pt>
                <c:pt idx="2">
                  <c:v>268</c:v>
                </c:pt>
                <c:pt idx="3">
                  <c:v>291</c:v>
                </c:pt>
                <c:pt idx="4">
                  <c:v>83</c:v>
                </c:pt>
                <c:pt idx="5">
                  <c:v>108</c:v>
                </c:pt>
                <c:pt idx="7">
                  <c:v>104</c:v>
                </c:pt>
                <c:pt idx="8">
                  <c:v>277</c:v>
                </c:pt>
                <c:pt idx="9">
                  <c:v>310</c:v>
                </c:pt>
                <c:pt idx="10">
                  <c:v>186</c:v>
                </c:pt>
              </c:numCache>
            </c:numRef>
          </c:val>
          <c:smooth val="0"/>
          <c:extLst>
            <c:ext xmlns:c16="http://schemas.microsoft.com/office/drawing/2014/chart" uri="{C3380CC4-5D6E-409C-BE32-E72D297353CC}">
              <c16:uniqueId val="{00000010-48BC-4BC6-918C-A635DDE20CB3}"/>
            </c:ext>
          </c:extLst>
        </c:ser>
        <c:dLbls>
          <c:dLblPos val="t"/>
          <c:showLegendKey val="0"/>
          <c:showVal val="1"/>
          <c:showCatName val="0"/>
          <c:showSerName val="0"/>
          <c:showPercent val="0"/>
          <c:showBubbleSize val="0"/>
        </c:dLbls>
        <c:marker val="1"/>
        <c:smooth val="0"/>
        <c:axId val="1577177583"/>
        <c:axId val="1577181423"/>
      </c:lineChart>
      <c:catAx>
        <c:axId val="157717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81423"/>
        <c:crosses val="autoZero"/>
        <c:auto val="1"/>
        <c:lblAlgn val="ctr"/>
        <c:lblOffset val="100"/>
        <c:noMultiLvlLbl val="0"/>
      </c:catAx>
      <c:valAx>
        <c:axId val="1577181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7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[Automotive_market_Demand_Forecasting_Dataset_Analysis.xlsx]Pivot-Competitor Sales Comparis!PivotTable4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Competitor Sales Comparison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'Pivot-Competitor Sales Comparis'!$B$3</c:f>
              <c:strCache>
                <c:ptCount val="1"/>
                <c:pt idx="0">
                  <c:v>Sum of Units_Sold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'Pivot-Competitor Sales Comparis'!$A$4:$A$9</c:f>
              <c:strCache>
                <c:ptCount val="5"/>
                <c:pt idx="0">
                  <c:v>Electric</c:v>
                </c:pt>
                <c:pt idx="1">
                  <c:v>Hatchback</c:v>
                </c:pt>
                <c:pt idx="2">
                  <c:v>Sedan</c:v>
                </c:pt>
                <c:pt idx="3">
                  <c:v>SUV</c:v>
                </c:pt>
                <c:pt idx="4">
                  <c:v>Truck</c:v>
                </c:pt>
              </c:strCache>
            </c:strRef>
          </c:cat>
          <c:val>
            <c:numRef>
              <c:f>'Pivot-Competitor Sales Comparis'!$B$4:$B$9</c:f>
              <c:numCache>
                <c:formatCode>General</c:formatCode>
                <c:ptCount val="5"/>
                <c:pt idx="0">
                  <c:v>12569</c:v>
                </c:pt>
                <c:pt idx="1">
                  <c:v>9022</c:v>
                </c:pt>
                <c:pt idx="2">
                  <c:v>13372</c:v>
                </c:pt>
                <c:pt idx="3">
                  <c:v>15647</c:v>
                </c:pt>
                <c:pt idx="4">
                  <c:v>10200</c:v>
                </c:pt>
              </c:numCache>
            </c:numRef>
          </c:val>
          <c:extLst>
            <c:ext xmlns:c16="http://schemas.microsoft.com/office/drawing/2014/chart" uri="{C3380CC4-5D6E-409C-BE32-E72D297353CC}">
              <c16:uniqueId val="{00000000-3ACC-4A33-A69C-BABB864B30F0}"/>
            </c:ext>
          </c:extLst>
        </c:ser>
        <c:dLbls>
          <c:showLegendKey val="0"/>
          <c:showVal val="1"/>
          <c:showCatName val="0"/>
          <c:showSerName val="0"/>
          <c:showPercent val="0"/>
          <c:showBubbleSize val="0"/>
        </c:dLbls>
        <c:gapWidth val="150"/>
        <c:axId val="1577183823"/>
        <c:axId val="1577185263"/>
      </c:barChart>
      <c:lineChart>
        <c:grouping val="standard"/>
        <c:varyColors val="0"/>
        <c:ser>
          <c:idx val="1"/>
          <c:order val="1"/>
          <c:tx>
            <c:strRef>
              <c:f>'Pivot-Competitor Sales Comparis'!$C$3</c:f>
              <c:strCache>
                <c:ptCount val="1"/>
                <c:pt idx="0">
                  <c:v>Sum of Competitor_Sales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ysDot"/>
              </a:ln>
              <a:effectLst/>
            </c:spPr>
            <c:trendlineType val="linear"/>
            <c:dispRSqr val="1"/>
            <c:dispEq val="1"/>
            <c:trendlineLbl>
              <c:layout>
                <c:manualLayout>
                  <c:x val="0.46086132983377076"/>
                  <c:y val="-0.3449223534558180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'Pivot-Competitor Sales Comparis'!$A$4:$A$9</c:f>
              <c:strCache>
                <c:ptCount val="5"/>
                <c:pt idx="0">
                  <c:v>Electric</c:v>
                </c:pt>
                <c:pt idx="1">
                  <c:v>Hatchback</c:v>
                </c:pt>
                <c:pt idx="2">
                  <c:v>Sedan</c:v>
                </c:pt>
                <c:pt idx="3">
                  <c:v>SUV</c:v>
                </c:pt>
                <c:pt idx="4">
                  <c:v>Truck</c:v>
                </c:pt>
              </c:strCache>
            </c:strRef>
          </c:cat>
          <c:val>
            <c:numRef>
              <c:f>'Pivot-Competitor Sales Comparis'!$C$4:$C$9</c:f>
              <c:numCache>
                <c:formatCode>General</c:formatCode>
                <c:ptCount val="5"/>
                <c:pt idx="0">
                  <c:v>11112</c:v>
                </c:pt>
                <c:pt idx="1">
                  <c:v>9278</c:v>
                </c:pt>
                <c:pt idx="2">
                  <c:v>13554</c:v>
                </c:pt>
                <c:pt idx="3">
                  <c:v>10987</c:v>
                </c:pt>
                <c:pt idx="4">
                  <c:v>8228</c:v>
                </c:pt>
              </c:numCache>
            </c:numRef>
          </c:val>
          <c:smooth val="0"/>
          <c:extLst>
            <c:ext xmlns:c16="http://schemas.microsoft.com/office/drawing/2014/chart" uri="{C3380CC4-5D6E-409C-BE32-E72D297353CC}">
              <c16:uniqueId val="{00000002-3ACC-4A33-A69C-BABB864B30F0}"/>
            </c:ext>
          </c:extLst>
        </c:ser>
        <c:dLbls>
          <c:showLegendKey val="0"/>
          <c:showVal val="1"/>
          <c:showCatName val="0"/>
          <c:showSerName val="0"/>
          <c:showPercent val="0"/>
          <c:showBubbleSize val="0"/>
        </c:dLbls>
        <c:marker val="1"/>
        <c:smooth val="0"/>
        <c:axId val="1577191983"/>
        <c:axId val="1577175183"/>
      </c:lineChart>
      <c:catAx>
        <c:axId val="157718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85263"/>
        <c:crosses val="autoZero"/>
        <c:auto val="1"/>
        <c:lblAlgn val="ctr"/>
        <c:lblOffset val="100"/>
        <c:noMultiLvlLbl val="0"/>
      </c:catAx>
      <c:valAx>
        <c:axId val="157718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83823"/>
        <c:crosses val="autoZero"/>
        <c:crossBetween val="between"/>
      </c:valAx>
      <c:valAx>
        <c:axId val="157717518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91983"/>
        <c:crosses val="max"/>
        <c:crossBetween val="between"/>
      </c:valAx>
      <c:catAx>
        <c:axId val="1577191983"/>
        <c:scaling>
          <c:orientation val="minMax"/>
        </c:scaling>
        <c:delete val="1"/>
        <c:axPos val="b"/>
        <c:numFmt formatCode="General" sourceLinked="1"/>
        <c:majorTickMark val="none"/>
        <c:minorTickMark val="none"/>
        <c:tickLblPos val="nextTo"/>
        <c:crossAx val="15771751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[Automotive_market_Demand_Forecasting_Dataset_Analysis.xlsx]Pivot-Marketing Spend vs. Deman!PivotTable3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Marketing Spend vs. Demand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'Pivot-Marketing Spend vs. Deman'!$B$3</c:f>
              <c:strCache>
                <c:ptCount val="1"/>
                <c:pt idx="0">
                  <c:v>Sum of Marketing_Spend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43747627956924701"/>
                  <c:y val="-0.2507764654418197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'Pivot-Marketing Spend vs. Deman'!$A$4:$A$9</c:f>
              <c:strCache>
                <c:ptCount val="5"/>
                <c:pt idx="0">
                  <c:v>Electric</c:v>
                </c:pt>
                <c:pt idx="1">
                  <c:v>Hatchback</c:v>
                </c:pt>
                <c:pt idx="2">
                  <c:v>Sedan</c:v>
                </c:pt>
                <c:pt idx="3">
                  <c:v>SUV</c:v>
                </c:pt>
                <c:pt idx="4">
                  <c:v>Truck</c:v>
                </c:pt>
              </c:strCache>
            </c:strRef>
          </c:cat>
          <c:val>
            <c:numRef>
              <c:f>'Pivot-Marketing Spend vs. Deman'!$B$4:$B$9</c:f>
              <c:numCache>
                <c:formatCode>General</c:formatCode>
                <c:ptCount val="5"/>
                <c:pt idx="0">
                  <c:v>10747350.710823013</c:v>
                </c:pt>
                <c:pt idx="1">
                  <c:v>10906035.748521531</c:v>
                </c:pt>
                <c:pt idx="2">
                  <c:v>14635516.742584277</c:v>
                </c:pt>
                <c:pt idx="3">
                  <c:v>14199248.640529215</c:v>
                </c:pt>
                <c:pt idx="4">
                  <c:v>10738060.589382561</c:v>
                </c:pt>
              </c:numCache>
            </c:numRef>
          </c:val>
          <c:extLst>
            <c:ext xmlns:c16="http://schemas.microsoft.com/office/drawing/2014/chart" uri="{C3380CC4-5D6E-409C-BE32-E72D297353CC}">
              <c16:uniqueId val="{00000001-B40F-4C2A-9058-69A59750FE0A}"/>
            </c:ext>
          </c:extLst>
        </c:ser>
        <c:dLbls>
          <c:showLegendKey val="0"/>
          <c:showVal val="1"/>
          <c:showCatName val="0"/>
          <c:showSerName val="0"/>
          <c:showPercent val="0"/>
          <c:showBubbleSize val="0"/>
        </c:dLbls>
        <c:gapWidth val="150"/>
        <c:axId val="1492276943"/>
        <c:axId val="1492278383"/>
      </c:barChart>
      <c:lineChart>
        <c:grouping val="standard"/>
        <c:varyColors val="0"/>
        <c:ser>
          <c:idx val="1"/>
          <c:order val="1"/>
          <c:tx>
            <c:strRef>
              <c:f>'Pivot-Marketing Spend vs. Deman'!$C$3</c:f>
              <c:strCache>
                <c:ptCount val="1"/>
                <c:pt idx="0">
                  <c:v>Sum of Units_Sold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'Pivot-Marketing Spend vs. Deman'!$A$4:$A$9</c:f>
              <c:strCache>
                <c:ptCount val="5"/>
                <c:pt idx="0">
                  <c:v>Electric</c:v>
                </c:pt>
                <c:pt idx="1">
                  <c:v>Hatchback</c:v>
                </c:pt>
                <c:pt idx="2">
                  <c:v>Sedan</c:v>
                </c:pt>
                <c:pt idx="3">
                  <c:v>SUV</c:v>
                </c:pt>
                <c:pt idx="4">
                  <c:v>Truck</c:v>
                </c:pt>
              </c:strCache>
            </c:strRef>
          </c:cat>
          <c:val>
            <c:numRef>
              <c:f>'Pivot-Marketing Spend vs. Deman'!$C$4:$C$9</c:f>
              <c:numCache>
                <c:formatCode>General</c:formatCode>
                <c:ptCount val="5"/>
                <c:pt idx="0">
                  <c:v>12569</c:v>
                </c:pt>
                <c:pt idx="1">
                  <c:v>9022</c:v>
                </c:pt>
                <c:pt idx="2">
                  <c:v>13372</c:v>
                </c:pt>
                <c:pt idx="3">
                  <c:v>15647</c:v>
                </c:pt>
                <c:pt idx="4">
                  <c:v>10200</c:v>
                </c:pt>
              </c:numCache>
            </c:numRef>
          </c:val>
          <c:smooth val="0"/>
          <c:extLst>
            <c:ext xmlns:c16="http://schemas.microsoft.com/office/drawing/2014/chart" uri="{C3380CC4-5D6E-409C-BE32-E72D297353CC}">
              <c16:uniqueId val="{00000002-B40F-4C2A-9058-69A59750FE0A}"/>
            </c:ext>
          </c:extLst>
        </c:ser>
        <c:dLbls>
          <c:showLegendKey val="0"/>
          <c:showVal val="1"/>
          <c:showCatName val="0"/>
          <c:showSerName val="0"/>
          <c:showPercent val="0"/>
          <c:showBubbleSize val="0"/>
        </c:dLbls>
        <c:marker val="1"/>
        <c:smooth val="0"/>
        <c:axId val="720801855"/>
        <c:axId val="720800415"/>
      </c:lineChart>
      <c:catAx>
        <c:axId val="149227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278383"/>
        <c:crosses val="autoZero"/>
        <c:auto val="1"/>
        <c:lblAlgn val="ctr"/>
        <c:lblOffset val="100"/>
        <c:noMultiLvlLbl val="0"/>
      </c:catAx>
      <c:valAx>
        <c:axId val="1492278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276943"/>
        <c:crosses val="autoZero"/>
        <c:crossBetween val="between"/>
      </c:valAx>
      <c:valAx>
        <c:axId val="7208004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01855"/>
        <c:crosses val="max"/>
        <c:crossBetween val="between"/>
      </c:valAx>
      <c:catAx>
        <c:axId val="720801855"/>
        <c:scaling>
          <c:orientation val="minMax"/>
        </c:scaling>
        <c:delete val="1"/>
        <c:axPos val="b"/>
        <c:numFmt formatCode="General" sourceLinked="1"/>
        <c:majorTickMark val="none"/>
        <c:minorTickMark val="none"/>
        <c:tickLblPos val="nextTo"/>
        <c:crossAx val="7208004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[Automotive_market_Demand_Forecasting_Dataset_Analysis.xlsx]Pivot-Average Price VS UnitSold!PivotTable2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 Price vs. Units Sold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'Pivot-Average Price VS UnitSold'!$B$3</c:f>
              <c:strCache>
                <c:ptCount val="1"/>
                <c:pt idx="0">
                  <c:v>Sum of Average_Price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2225" cap="rnd">
                <a:solidFill>
                  <a:schemeClr val="accent1"/>
                </a:solidFill>
                <a:prstDash val="sysDot"/>
              </a:ln>
              <a:effectLst/>
            </c:spPr>
            <c:trendlineType val="linear"/>
            <c:dispRSqr val="1"/>
            <c:dispEq val="1"/>
            <c:trendlineLbl>
              <c:layout>
                <c:manualLayout>
                  <c:x val="0.38071972253468317"/>
                  <c:y val="-0.2540255905511811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'Pivot-Average Price VS UnitSold'!$A$4:$A$16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'Pivot-Average Price VS UnitSold'!$B$4:$B$16</c:f>
              <c:numCache>
                <c:formatCode>General</c:formatCode>
                <c:ptCount val="12"/>
                <c:pt idx="0">
                  <c:v>1510964.109513277</c:v>
                </c:pt>
                <c:pt idx="1">
                  <c:v>1530311.79836983</c:v>
                </c:pt>
                <c:pt idx="2">
                  <c:v>1136212.0413990379</c:v>
                </c:pt>
                <c:pt idx="3">
                  <c:v>1794956.0077521685</c:v>
                </c:pt>
                <c:pt idx="4">
                  <c:v>1236415.7902482918</c:v>
                </c:pt>
                <c:pt idx="5">
                  <c:v>1691846.0618689926</c:v>
                </c:pt>
                <c:pt idx="6">
                  <c:v>1417073.2560505674</c:v>
                </c:pt>
                <c:pt idx="7">
                  <c:v>1771380.0878674947</c:v>
                </c:pt>
                <c:pt idx="8">
                  <c:v>1778231.0761216686</c:v>
                </c:pt>
                <c:pt idx="9">
                  <c:v>1186869.5589668078</c:v>
                </c:pt>
                <c:pt idx="10">
                  <c:v>1208660.0509476541</c:v>
                </c:pt>
                <c:pt idx="11">
                  <c:v>1837570.561772401</c:v>
                </c:pt>
              </c:numCache>
            </c:numRef>
          </c:val>
          <c:extLst>
            <c:ext xmlns:c16="http://schemas.microsoft.com/office/drawing/2014/chart" uri="{C3380CC4-5D6E-409C-BE32-E72D297353CC}">
              <c16:uniqueId val="{00000001-B68B-4960-9940-56D318402CC5}"/>
            </c:ext>
          </c:extLst>
        </c:ser>
        <c:dLbls>
          <c:showLegendKey val="0"/>
          <c:showVal val="1"/>
          <c:showCatName val="0"/>
          <c:showSerName val="0"/>
          <c:showPercent val="0"/>
          <c:showBubbleSize val="0"/>
        </c:dLbls>
        <c:gapWidth val="150"/>
        <c:axId val="1221290783"/>
        <c:axId val="1221285023"/>
      </c:barChart>
      <c:lineChart>
        <c:grouping val="standard"/>
        <c:varyColors val="0"/>
        <c:ser>
          <c:idx val="1"/>
          <c:order val="1"/>
          <c:tx>
            <c:strRef>
              <c:f>'Pivot-Average Price VS UnitSold'!$C$3</c:f>
              <c:strCache>
                <c:ptCount val="1"/>
                <c:pt idx="0">
                  <c:v>Sum of Units_Sold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'Pivot-Average Price VS UnitSold'!$A$4:$A$16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'Pivot-Average Price VS UnitSold'!$C$4:$C$16</c:f>
              <c:numCache>
                <c:formatCode>General</c:formatCode>
                <c:ptCount val="12"/>
                <c:pt idx="0">
                  <c:v>4796</c:v>
                </c:pt>
                <c:pt idx="1">
                  <c:v>7164</c:v>
                </c:pt>
                <c:pt idx="2">
                  <c:v>5115</c:v>
                </c:pt>
                <c:pt idx="3">
                  <c:v>5740</c:v>
                </c:pt>
                <c:pt idx="4">
                  <c:v>5271</c:v>
                </c:pt>
                <c:pt idx="5">
                  <c:v>4595</c:v>
                </c:pt>
                <c:pt idx="6">
                  <c:v>4072</c:v>
                </c:pt>
                <c:pt idx="7">
                  <c:v>4909</c:v>
                </c:pt>
                <c:pt idx="8">
                  <c:v>4769</c:v>
                </c:pt>
                <c:pt idx="9">
                  <c:v>4290</c:v>
                </c:pt>
                <c:pt idx="10">
                  <c:v>4256</c:v>
                </c:pt>
                <c:pt idx="11">
                  <c:v>5833</c:v>
                </c:pt>
              </c:numCache>
            </c:numRef>
          </c:val>
          <c:smooth val="0"/>
          <c:extLst>
            <c:ext xmlns:c16="http://schemas.microsoft.com/office/drawing/2014/chart" uri="{C3380CC4-5D6E-409C-BE32-E72D297353CC}">
              <c16:uniqueId val="{00000002-B68B-4960-9940-56D318402CC5}"/>
            </c:ext>
          </c:extLst>
        </c:ser>
        <c:dLbls>
          <c:showLegendKey val="0"/>
          <c:showVal val="1"/>
          <c:showCatName val="0"/>
          <c:showSerName val="0"/>
          <c:showPercent val="0"/>
          <c:showBubbleSize val="0"/>
        </c:dLbls>
        <c:marker val="1"/>
        <c:smooth val="0"/>
        <c:axId val="1221288863"/>
        <c:axId val="1221287903"/>
      </c:lineChart>
      <c:catAx>
        <c:axId val="122129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85023"/>
        <c:crosses val="autoZero"/>
        <c:auto val="1"/>
        <c:lblAlgn val="ctr"/>
        <c:lblOffset val="100"/>
        <c:noMultiLvlLbl val="0"/>
      </c:catAx>
      <c:valAx>
        <c:axId val="122128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90783"/>
        <c:crosses val="autoZero"/>
        <c:crossBetween val="between"/>
      </c:valAx>
      <c:valAx>
        <c:axId val="122128790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88863"/>
        <c:crosses val="max"/>
        <c:crossBetween val="between"/>
      </c:valAx>
      <c:catAx>
        <c:axId val="1221288863"/>
        <c:scaling>
          <c:orientation val="minMax"/>
        </c:scaling>
        <c:delete val="1"/>
        <c:axPos val="b"/>
        <c:numFmt formatCode="General" sourceLinked="1"/>
        <c:majorTickMark val="none"/>
        <c:minorTickMark val="none"/>
        <c:tickLblPos val="nextTo"/>
        <c:crossAx val="12212879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[Automotive_market_Demand_Forecasting_Dataset_Analysis.xlsx]Pivot-Units Sold by Region!PivotTable1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Units Sold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'Pivot-Units Sold by Region'!$B$3</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1"/>
            <c:trendlineLbl>
              <c:layout>
                <c:manualLayout>
                  <c:x val="0.3869232283464567"/>
                  <c:y val="-0.2540255905511811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'Pivot-Units Sold by Region'!$A$4:$A$8</c:f>
              <c:strCache>
                <c:ptCount val="4"/>
                <c:pt idx="0">
                  <c:v>East</c:v>
                </c:pt>
                <c:pt idx="1">
                  <c:v>North</c:v>
                </c:pt>
                <c:pt idx="2">
                  <c:v>South</c:v>
                </c:pt>
                <c:pt idx="3">
                  <c:v>West</c:v>
                </c:pt>
              </c:strCache>
            </c:strRef>
          </c:cat>
          <c:val>
            <c:numRef>
              <c:f>'Pivot-Units Sold by Region'!$B$4:$B$8</c:f>
              <c:numCache>
                <c:formatCode>General</c:formatCode>
                <c:ptCount val="4"/>
                <c:pt idx="0">
                  <c:v>2156</c:v>
                </c:pt>
                <c:pt idx="1">
                  <c:v>3854</c:v>
                </c:pt>
                <c:pt idx="2">
                  <c:v>1868</c:v>
                </c:pt>
                <c:pt idx="3">
                  <c:v>4691</c:v>
                </c:pt>
              </c:numCache>
            </c:numRef>
          </c:val>
          <c:extLst>
            <c:ext xmlns:c16="http://schemas.microsoft.com/office/drawing/2014/chart" uri="{C3380CC4-5D6E-409C-BE32-E72D297353CC}">
              <c16:uniqueId val="{00000001-264D-470E-BFAE-62023D2E07BA}"/>
            </c:ext>
          </c:extLst>
        </c:ser>
        <c:dLbls>
          <c:dLblPos val="outEnd"/>
          <c:showLegendKey val="0"/>
          <c:showVal val="1"/>
          <c:showCatName val="0"/>
          <c:showSerName val="0"/>
          <c:showPercent val="0"/>
          <c:showBubbleSize val="0"/>
        </c:dLbls>
        <c:gapWidth val="182"/>
        <c:axId val="1492390223"/>
        <c:axId val="1492387823"/>
      </c:barChart>
      <c:catAx>
        <c:axId val="149239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87823"/>
        <c:crosses val="autoZero"/>
        <c:auto val="1"/>
        <c:lblAlgn val="ctr"/>
        <c:lblOffset val="100"/>
        <c:noMultiLvlLbl val="0"/>
      </c:catAx>
      <c:valAx>
        <c:axId val="1492387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39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[Automotive_market_Demand_Forecasting_Dataset_Analysis.xlsx]Pivot-Total Forecasted vs. Prod!PivotTable1</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Total Forecasted vs. Units_Sold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'Pivot-Total Forecasted vs. Prod'!$B$3</c:f>
              <c:strCache>
                <c:ptCount val="1"/>
                <c:pt idx="0">
                  <c:v>Sum of Units_Sold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'Pivot-Total Forecasted vs. Prod'!$A$4:$A$16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'Pivot-Total Forecasted vs. Prod'!$B$4:$B$16</c:f>
              <c:numCache>
                <c:formatCode>General</c:formatCode>
                <c:ptCount val="12"/>
                <c:pt idx="0">
                  <c:v>1010</c:v>
                </c:pt>
                <c:pt idx="1">
                  <c:v>495</c:v>
                </c:pt>
                <c:pt idx="2">
                  <c:v>763</c:v>
                </c:pt>
                <c:pt idx="3">
                  <c:v>610</c:v>
                </c:pt>
                <c:pt idx="4">
                  <c:v>1270</c:v>
                </c:pt>
                <c:pt idx="5">
                  <c:v>886</c:v>
                </c:pt>
                <c:pt idx="6">
                  <c:v>1370</c:v>
                </c:pt>
                <c:pt idx="7">
                  <c:v>939</c:v>
                </c:pt>
                <c:pt idx="8">
                  <c:v>689</c:v>
                </c:pt>
                <c:pt idx="9">
                  <c:v>1031</c:v>
                </c:pt>
                <c:pt idx="10">
                  <c:v>604</c:v>
                </c:pt>
                <c:pt idx="11">
                  <c:v>473</c:v>
                </c:pt>
              </c:numCache>
            </c:numRef>
          </c:val>
          <c:extLst>
            <c:ext xmlns:c16="http://schemas.microsoft.com/office/drawing/2014/chart" uri="{C3380CC4-5D6E-409C-BE32-E72D297353CC}">
              <c16:uniqueId val="{00000000-D1BA-4323-85D4-BA850A9AEAC7}"/>
            </c:ext>
          </c:extLst>
        </c:ser>
        <c:dLbls>
          <c:showLegendKey val="0"/>
          <c:showVal val="1"/>
          <c:showCatName val="0"/>
          <c:showSerName val="0"/>
          <c:showPercent val="0"/>
          <c:showBubbleSize val="0"/>
        </c:dLbls>
        <c:gapWidth val="150"/>
        <c:axId val="1909446815"/>
        <c:axId val="1909447295"/>
      </c:barChart>
      <c:lineChart>
        <c:grouping val="standard"/>
        <c:varyColors val="0"/>
        <c:ser>
          <c:idx val="1"/>
          <c:order val="1"/>
          <c:tx>
            <c:strRef>
              <c:f>'Pivot-Total Forecasted vs. Prod'!$C$3</c:f>
              <c:strCache>
                <c:ptCount val="1"/>
                <c:pt idx="0">
                  <c:v>Sum of Forecasted_Units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2"/>
                </a:solidFill>
                <a:prstDash val="sysDot"/>
              </a:ln>
              <a:effectLst/>
            </c:spPr>
            <c:trendlineType val="linear"/>
            <c:dispRSqr val="1"/>
            <c:dispEq val="1"/>
            <c:trendlineLbl>
              <c:layout>
                <c:manualLayout>
                  <c:x val="0.42433508311461066"/>
                  <c:y val="-0.380304024496937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'Pivot-Total Forecasted vs. Prod'!$A$4:$A$16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'Pivot-Total Forecasted vs. Prod'!$C$4:$C$16</c:f>
              <c:numCache>
                <c:formatCode>0</c:formatCode>
                <c:ptCount val="12"/>
                <c:pt idx="0">
                  <c:v>993.64390990363961</c:v>
                </c:pt>
                <c:pt idx="1">
                  <c:v>496.85571665486657</c:v>
                </c:pt>
                <c:pt idx="2">
                  <c:v>795.17916772467083</c:v>
                </c:pt>
                <c:pt idx="3">
                  <c:v>595.5816621986487</c:v>
                </c:pt>
                <c:pt idx="4">
                  <c:v>1192.4404481297925</c:v>
                </c:pt>
                <c:pt idx="5">
                  <c:v>894.03899588398349</c:v>
                </c:pt>
                <c:pt idx="6">
                  <c:v>1391.0204457777829</c:v>
                </c:pt>
                <c:pt idx="7">
                  <c:v>894.96802481609916</c:v>
                </c:pt>
                <c:pt idx="8">
                  <c:v>694.76048024192085</c:v>
                </c:pt>
                <c:pt idx="9">
                  <c:v>994.40063773055078</c:v>
                </c:pt>
                <c:pt idx="10">
                  <c:v>596.58170712682841</c:v>
                </c:pt>
                <c:pt idx="11">
                  <c:v>496.90112032448121</c:v>
                </c:pt>
              </c:numCache>
            </c:numRef>
          </c:val>
          <c:smooth val="0"/>
          <c:extLst>
            <c:ext xmlns:c16="http://schemas.microsoft.com/office/drawing/2014/chart" uri="{C3380CC4-5D6E-409C-BE32-E72D297353CC}">
              <c16:uniqueId val="{00000002-D1BA-4323-85D4-BA850A9AEAC7}"/>
            </c:ext>
          </c:extLst>
        </c:ser>
        <c:dLbls>
          <c:showLegendKey val="0"/>
          <c:showVal val="1"/>
          <c:showCatName val="0"/>
          <c:showSerName val="0"/>
          <c:showPercent val="0"/>
          <c:showBubbleSize val="0"/>
        </c:dLbls>
        <c:marker val="1"/>
        <c:smooth val="0"/>
        <c:axId val="1909449215"/>
        <c:axId val="1909448735"/>
      </c:lineChart>
      <c:catAx>
        <c:axId val="190944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7295"/>
        <c:crosses val="autoZero"/>
        <c:auto val="1"/>
        <c:lblAlgn val="ctr"/>
        <c:lblOffset val="100"/>
        <c:noMultiLvlLbl val="0"/>
      </c:catAx>
      <c:valAx>
        <c:axId val="190944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6815"/>
        <c:crosses val="autoZero"/>
        <c:crossBetween val="between"/>
      </c:valAx>
      <c:valAx>
        <c:axId val="190944873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49215"/>
        <c:crosses val="max"/>
        <c:crossBetween val="between"/>
      </c:valAx>
      <c:catAx>
        <c:axId val="1909449215"/>
        <c:scaling>
          <c:orientation val="minMax"/>
        </c:scaling>
        <c:delete val="1"/>
        <c:axPos val="b"/>
        <c:numFmt formatCode="General" sourceLinked="1"/>
        <c:majorTickMark val="none"/>
        <c:minorTickMark val="none"/>
        <c:tickLblPos val="nextTo"/>
        <c:crossAx val="1909448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[Automotive_market_Demand_Forecasting_Dataset_Analysis.xlsx]Pivot-Demand across regions!PivotTable1</c:name>
    <c:fmtId val="1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800" b="1" i="0" u="none" strike="noStrike" cap="all" baseline="0"/>
              <a:t>Regional Sales Comparison</a:t>
            </a:r>
            <a:endParaRPr lang="en-IN"/>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N"/>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'Pivot-Demand across regions'!$B$3:$B$4</c:f>
              <c:strCache>
                <c:ptCount val="1"/>
                <c:pt idx="0">
                  <c:v>Electric</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regions'!$B$5:$B$9</c:f>
              <c:numCache>
                <c:formatCode>General</c:formatCode>
                <c:ptCount val="4"/>
                <c:pt idx="0">
                  <c:v>2156</c:v>
                </c:pt>
                <c:pt idx="1">
                  <c:v>3854</c:v>
                </c:pt>
                <c:pt idx="2">
                  <c:v>1868</c:v>
                </c:pt>
                <c:pt idx="3">
                  <c:v>4691</c:v>
                </c:pt>
              </c:numCache>
            </c:numRef>
          </c:val>
          <c:extLst>
            <c:ext xmlns:c16="http://schemas.microsoft.com/office/drawing/2014/chart" uri="{C3380CC4-5D6E-409C-BE32-E72D297353CC}">
              <c16:uniqueId val="{00000000-90A2-4919-B5C6-AE986FF23B1B}"/>
            </c:ext>
          </c:extLst>
        </c:ser>
        <c:ser>
          <c:idx val="1"/>
          <c:order val="1"/>
          <c:tx>
            <c:strRef>
              <c:f>'Pivot-Demand across regions'!$C$3:$C$4</c:f>
              <c:strCache>
                <c:ptCount val="1"/>
                <c:pt idx="0">
                  <c:v>Hatchback</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regions'!$C$5:$C$9</c:f>
              <c:numCache>
                <c:formatCode>General</c:formatCode>
                <c:ptCount val="4"/>
                <c:pt idx="0">
                  <c:v>2155</c:v>
                </c:pt>
                <c:pt idx="1">
                  <c:v>2144</c:v>
                </c:pt>
                <c:pt idx="2">
                  <c:v>2775</c:v>
                </c:pt>
                <c:pt idx="3">
                  <c:v>1948</c:v>
                </c:pt>
              </c:numCache>
            </c:numRef>
          </c:val>
          <c:extLst>
            <c:ext xmlns:c16="http://schemas.microsoft.com/office/drawing/2014/chart" uri="{C3380CC4-5D6E-409C-BE32-E72D297353CC}">
              <c16:uniqueId val="{00000001-90A2-4919-B5C6-AE986FF23B1B}"/>
            </c:ext>
          </c:extLst>
        </c:ser>
        <c:ser>
          <c:idx val="2"/>
          <c:order val="2"/>
          <c:tx>
            <c:strRef>
              <c:f>'Pivot-Demand across regions'!$D$3:$D$4</c:f>
              <c:strCache>
                <c:ptCount val="1"/>
                <c:pt idx="0">
                  <c:v>Sedan</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regions'!$D$5:$D$9</c:f>
              <c:numCache>
                <c:formatCode>General</c:formatCode>
                <c:ptCount val="4"/>
                <c:pt idx="0">
                  <c:v>3375</c:v>
                </c:pt>
                <c:pt idx="1">
                  <c:v>3210</c:v>
                </c:pt>
                <c:pt idx="2">
                  <c:v>3566</c:v>
                </c:pt>
                <c:pt idx="3">
                  <c:v>3221</c:v>
                </c:pt>
              </c:numCache>
            </c:numRef>
          </c:val>
          <c:extLst>
            <c:ext xmlns:c16="http://schemas.microsoft.com/office/drawing/2014/chart" uri="{C3380CC4-5D6E-409C-BE32-E72D297353CC}">
              <c16:uniqueId val="{00000002-90A2-4919-B5C6-AE986FF23B1B}"/>
            </c:ext>
          </c:extLst>
        </c:ser>
        <c:ser>
          <c:idx val="3"/>
          <c:order val="3"/>
          <c:tx>
            <c:strRef>
              <c:f>'Pivot-Demand across regions'!$E$3:$E$4</c:f>
              <c:strCache>
                <c:ptCount val="1"/>
                <c:pt idx="0">
                  <c:v>SUV</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regions'!$E$5:$E$9</c:f>
              <c:numCache>
                <c:formatCode>General</c:formatCode>
                <c:ptCount val="4"/>
                <c:pt idx="0">
                  <c:v>3242</c:v>
                </c:pt>
                <c:pt idx="1">
                  <c:v>4861</c:v>
                </c:pt>
                <c:pt idx="2">
                  <c:v>5593</c:v>
                </c:pt>
                <c:pt idx="3">
                  <c:v>1951</c:v>
                </c:pt>
              </c:numCache>
            </c:numRef>
          </c:val>
          <c:extLst>
            <c:ext xmlns:c16="http://schemas.microsoft.com/office/drawing/2014/chart" uri="{C3380CC4-5D6E-409C-BE32-E72D297353CC}">
              <c16:uniqueId val="{00000003-90A2-4919-B5C6-AE986FF23B1B}"/>
            </c:ext>
          </c:extLst>
        </c:ser>
        <c:ser>
          <c:idx val="4"/>
          <c:order val="4"/>
          <c:tx>
            <c:strRef>
              <c:f>'Pivot-Demand across regions'!$F$3:$F$4</c:f>
              <c:strCache>
                <c:ptCount val="1"/>
                <c:pt idx="0">
                  <c:v>Truck</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'Pivot-Demand across regions'!$A$5:$A$9</c:f>
              <c:strCache>
                <c:ptCount val="4"/>
                <c:pt idx="0">
                  <c:v>East</c:v>
                </c:pt>
                <c:pt idx="1">
                  <c:v>North</c:v>
                </c:pt>
                <c:pt idx="2">
                  <c:v>South</c:v>
                </c:pt>
                <c:pt idx="3">
                  <c:v>West</c:v>
                </c:pt>
              </c:strCache>
            </c:strRef>
          </c:cat>
          <c:val>
            <c:numRef>
              <c:f>'Pivot-Demand across regions'!$F$5:$F$9</c:f>
              <c:numCache>
                <c:formatCode>General</c:formatCode>
                <c:ptCount val="4"/>
                <c:pt idx="0">
                  <c:v>2051</c:v>
                </c:pt>
                <c:pt idx="1">
                  <c:v>3075</c:v>
                </c:pt>
                <c:pt idx="2">
                  <c:v>3050</c:v>
                </c:pt>
                <c:pt idx="3">
                  <c:v>2024</c:v>
                </c:pt>
              </c:numCache>
            </c:numRef>
          </c:val>
          <c:extLst>
            <c:ext xmlns:c16="http://schemas.microsoft.com/office/drawing/2014/chart" uri="{C3380CC4-5D6E-409C-BE32-E72D297353CC}">
              <c16:uniqueId val="{00000004-90A2-4919-B5C6-AE986FF23B1B}"/>
            </c:ext>
          </c:extLst>
        </c:ser>
        <c:dLbls>
          <c:dLblPos val="outEnd"/>
          <c:showLegendKey val="0"/>
          <c:showVal val="1"/>
          <c:showCatName val="0"/>
          <c:showSerName val="0"/>
          <c:showPercent val="0"/>
          <c:showBubbleSize val="0"/>
        </c:dLbls>
        <c:gapWidth val="164"/>
        <c:overlap val="-22"/>
        <c:axId val="542124719"/>
        <c:axId val="542126639"/>
      </c:barChart>
      <c:catAx>
        <c:axId val="54212471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26639"/>
        <c:crosses val="autoZero"/>
        <c:auto val="1"/>
        <c:lblAlgn val="ctr"/>
        <c:lblOffset val="100"/>
        <c:noMultiLvlLbl val="0"/>
      </c:catAx>
      <c:valAx>
        <c:axId val="542126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124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[Automotive_market_Demand_Forecasting_Dataset_Analysis.xlsx]Pivot-Sales Trend!PivotTable1</c:name>
    <c:fmtId val="10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Monthly Demand Trend</a:t>
            </a:r>
            <a:endParaRPr lang="en-IN"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'Pivot-Sales Trend'!$B$3:$B$4</c:f>
              <c:strCache>
                <c:ptCount val="1"/>
                <c:pt idx="0">
                  <c:v>Electric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Trend'!$B$5:$B$17</c:f>
              <c:numCache>
                <c:formatCode>General</c:formatCode>
                <c:ptCount val="12"/>
                <c:pt idx="0">
                  <c:v>114</c:v>
                </c:pt>
                <c:pt idx="1">
                  <c:v>196</c:v>
                </c:pt>
                <c:pt idx="2">
                  <c:v>98</c:v>
                </c:pt>
                <c:pt idx="3">
                  <c:v>86</c:v>
                </c:pt>
                <c:pt idx="4">
                  <c:v>435</c:v>
                </c:pt>
                <c:pt idx="5">
                  <c:v>103</c:v>
                </c:pt>
                <c:pt idx="6">
                  <c:v>293</c:v>
                </c:pt>
                <c:pt idx="7">
                  <c:v>226</c:v>
                </c:pt>
                <c:pt idx="8">
                  <c:v>84</c:v>
                </c:pt>
                <c:pt idx="9">
                  <c:v>226</c:v>
                </c:pt>
                <c:pt idx="10">
                  <c:v>204</c:v>
                </c:pt>
                <c:pt idx="11">
                  <c:v>91</c:v>
                </c:pt>
              </c:numCache>
            </c:numRef>
          </c:val>
          <c:smooth val="0"/>
          <c:extLst>
            <c:ext xmlns:c16="http://schemas.microsoft.com/office/drawing/2014/chart" uri="{C3380CC4-5D6E-409C-BE32-E72D297353CC}">
              <c16:uniqueId val="{00000000-7556-44E3-AF12-01B37F1D6E3B}"/>
            </c:ext>
          </c:extLst>
        </c:ser>
        <c:ser>
          <c:idx val="1"/>
          <c:order val="1"/>
          <c:tx>
            <c:strRef>
              <c:f>'Pivot-Sales Trend'!$C$3:$C$4</c:f>
              <c:strCache>
                <c:ptCount val="1"/>
                <c:pt idx="0">
                  <c:v>Hatchback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Trend'!$C$5:$C$17</c:f>
              <c:numCache>
                <c:formatCode>General</c:formatCode>
                <c:ptCount val="12"/>
                <c:pt idx="0">
                  <c:v>186</c:v>
                </c:pt>
                <c:pt idx="1">
                  <c:v>270</c:v>
                </c:pt>
                <c:pt idx="2">
                  <c:v>218</c:v>
                </c:pt>
                <c:pt idx="4">
                  <c:v>192</c:v>
                </c:pt>
                <c:pt idx="5">
                  <c:v>210</c:v>
                </c:pt>
                <c:pt idx="7">
                  <c:v>279</c:v>
                </c:pt>
                <c:pt idx="8">
                  <c:v>106</c:v>
                </c:pt>
                <c:pt idx="9">
                  <c:v>390</c:v>
                </c:pt>
                <c:pt idx="10">
                  <c:v>203</c:v>
                </c:pt>
                <c:pt idx="11">
                  <c:v>101</c:v>
                </c:pt>
              </c:numCache>
            </c:numRef>
          </c:val>
          <c:smooth val="0"/>
          <c:extLst>
            <c:ext xmlns:c16="http://schemas.microsoft.com/office/drawing/2014/chart" uri="{C3380CC4-5D6E-409C-BE32-E72D297353CC}">
              <c16:uniqueId val="{0000000C-56D9-49BF-A198-A9AB5AD44B17}"/>
            </c:ext>
          </c:extLst>
        </c:ser>
        <c:ser>
          <c:idx val="2"/>
          <c:order val="2"/>
          <c:tx>
            <c:strRef>
              <c:f>'Pivot-Sales Trend'!$D$3:$D$4</c:f>
              <c:strCache>
                <c:ptCount val="1"/>
                <c:pt idx="0">
                  <c:v>Sedan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Trend'!$D$5:$D$17</c:f>
              <c:numCache>
                <c:formatCode>General</c:formatCode>
                <c:ptCount val="12"/>
                <c:pt idx="0">
                  <c:v>397</c:v>
                </c:pt>
                <c:pt idx="1">
                  <c:v>87</c:v>
                </c:pt>
                <c:pt idx="2">
                  <c:v>99</c:v>
                </c:pt>
                <c:pt idx="3">
                  <c:v>300</c:v>
                </c:pt>
                <c:pt idx="4">
                  <c:v>306</c:v>
                </c:pt>
                <c:pt idx="5">
                  <c:v>176</c:v>
                </c:pt>
                <c:pt idx="6">
                  <c:v>121</c:v>
                </c:pt>
                <c:pt idx="7">
                  <c:v>189</c:v>
                </c:pt>
                <c:pt idx="8">
                  <c:v>286</c:v>
                </c:pt>
                <c:pt idx="10">
                  <c:v>291</c:v>
                </c:pt>
                <c:pt idx="11">
                  <c:v>1123</c:v>
                </c:pt>
              </c:numCache>
            </c:numRef>
          </c:val>
          <c:smooth val="0"/>
          <c:extLst>
            <c:ext xmlns:c16="http://schemas.microsoft.com/office/drawing/2014/chart" uri="{C3380CC4-5D6E-409C-BE32-E72D297353CC}">
              <c16:uniqueId val="{0000000D-56D9-49BF-A198-A9AB5AD44B17}"/>
            </c:ext>
          </c:extLst>
        </c:ser>
        <c:ser>
          <c:idx val="3"/>
          <c:order val="3"/>
          <c:tx>
            <c:strRef>
              <c:f>'Pivot-Sales Trend'!$E$3:$E$4</c:f>
              <c:strCache>
                <c:ptCount val="1"/>
                <c:pt idx="0">
                  <c:v>SUV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Trend'!$E$5:$E$17</c:f>
              <c:numCache>
                <c:formatCode>General</c:formatCode>
                <c:ptCount val="12"/>
                <c:pt idx="1">
                  <c:v>1099</c:v>
                </c:pt>
                <c:pt idx="2">
                  <c:v>87</c:v>
                </c:pt>
                <c:pt idx="3">
                  <c:v>287</c:v>
                </c:pt>
                <c:pt idx="4">
                  <c:v>203</c:v>
                </c:pt>
                <c:pt idx="5">
                  <c:v>350</c:v>
                </c:pt>
                <c:pt idx="7">
                  <c:v>403</c:v>
                </c:pt>
                <c:pt idx="8">
                  <c:v>232</c:v>
                </c:pt>
                <c:pt idx="9">
                  <c:v>186</c:v>
                </c:pt>
                <c:pt idx="10">
                  <c:v>297</c:v>
                </c:pt>
                <c:pt idx="11">
                  <c:v>98</c:v>
                </c:pt>
              </c:numCache>
            </c:numRef>
          </c:val>
          <c:smooth val="0"/>
          <c:extLst>
            <c:ext xmlns:c16="http://schemas.microsoft.com/office/drawing/2014/chart" uri="{C3380CC4-5D6E-409C-BE32-E72D297353CC}">
              <c16:uniqueId val="{0000000E-56D9-49BF-A198-A9AB5AD44B17}"/>
            </c:ext>
          </c:extLst>
        </c:ser>
        <c:ser>
          <c:idx val="4"/>
          <c:order val="4"/>
          <c:tx>
            <c:strRef>
              <c:f>'Pivot-Sales Trend'!$F$3:$F$4</c:f>
              <c:strCache>
                <c:ptCount val="1"/>
                <c:pt idx="0">
                  <c:v>Truck</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'Pivot-Sales Trend'!$A$5:$A$17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'Pivot-Sales Trend'!$F$5:$F$17</c:f>
              <c:numCache>
                <c:formatCode>General</c:formatCode>
                <c:ptCount val="12"/>
                <c:pt idx="0">
                  <c:v>202</c:v>
                </c:pt>
                <c:pt idx="1">
                  <c:v>222</c:v>
                </c:pt>
                <c:pt idx="2">
                  <c:v>268</c:v>
                </c:pt>
                <c:pt idx="3">
                  <c:v>291</c:v>
                </c:pt>
                <c:pt idx="4">
                  <c:v>83</c:v>
                </c:pt>
                <c:pt idx="5">
                  <c:v>108</c:v>
                </c:pt>
                <c:pt idx="7">
                  <c:v>104</c:v>
                </c:pt>
                <c:pt idx="8">
                  <c:v>277</c:v>
                </c:pt>
                <c:pt idx="9">
                  <c:v>310</c:v>
                </c:pt>
                <c:pt idx="10">
                  <c:v>186</c:v>
                </c:pt>
              </c:numCache>
            </c:numRef>
          </c:val>
          <c:smooth val="0"/>
          <c:extLst>
            <c:ext xmlns:c16="http://schemas.microsoft.com/office/drawing/2014/chart" uri="{C3380CC4-5D6E-409C-BE32-E72D297353CC}">
              <c16:uniqueId val="{0000000F-56D9-49BF-A198-A9AB5AD44B17}"/>
            </c:ext>
          </c:extLst>
        </c:ser>
        <c:dLbls>
          <c:dLblPos val="t"/>
          <c:showLegendKey val="0"/>
          <c:showVal val="1"/>
          <c:showCatName val="0"/>
          <c:showSerName val="0"/>
          <c:showPercent val="0"/>
          <c:showBubbleSize val="0"/>
        </c:dLbls>
        <c:marker val="1"/>
        <c:smooth val="0"/>
        <c:axId val="1577177583"/>
        <c:axId val="1577181423"/>
      </c:lineChart>
      <c:catAx>
        <c:axId val="157717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81423"/>
        <c:crosses val="autoZero"/>
        <c:auto val="1"/>
        <c:lblAlgn val="ctr"/>
        <c:lblOffset val="100"/>
        <c:noMultiLvlLbl val="0"/>
      </c:catAx>
      <c:valAx>
        <c:axId val="1577181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7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Outline_Interest_Index</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Outline_Interest_Index</a:t>
          </a:r>
        </a:p>
      </cx:txPr>
    </cx:title>
    <cx:plotArea>
      <cx:plotAreaRegion>
        <cx:series layoutId="boxWhisker" uniqueId="{DA9DFE77-B9B3-4E57-9901-2C1FF425D9A8}">
          <cx:dataLabels>
            <cx:visibility seriesName="0" categoryName="0" value="1"/>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Competitor_Sales</cx:v>
        </cx:txData>
      </cx:tx>
      <cx:txPr>
        <a:bodyPr spcFirstLastPara="1" vertOverflow="ellipsis" horzOverflow="overflow" wrap="square" lIns="0" tIns="0" rIns="0" bIns="0" anchor="ctr" anchorCtr="1"/>
        <a:lstStyle/>
        <a:p>
          <a:pPr algn="ctr" rtl="0">
            <a:defRPr>
              <a:solidFill>
                <a:schemeClr val="accent2"/>
              </a:solidFill>
            </a:defRPr>
          </a:pPr>
          <a:r>
            <a:rPr lang="en-US" sz="1400" b="0" i="0" u="none" strike="noStrike" baseline="0">
              <a:solidFill>
                <a:schemeClr val="accent2"/>
              </a:solidFill>
              <a:latin typeface="Calibri" panose="020F0502020204030204"/>
            </a:rPr>
            <a:t>Competitor_Sales</a:t>
          </a:r>
        </a:p>
      </cx:txPr>
    </cx:title>
    <cx:plotArea>
      <cx:plotAreaRegion>
        <cx:series layoutId="boxWhisker" uniqueId="{147D8F1A-8D18-43E2-A1EB-DDC58B55379A}">
          <cx:spPr>
            <a:solidFill>
              <a:schemeClr val="accent1"/>
            </a:solidFill>
          </cx:spPr>
          <cx:dataLabels>
            <cx:visibility seriesName="0" categoryName="0" value="1"/>
          </cx:dataLabels>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spPr>
    <a:solidFill>
      <a:schemeClr val="tx1"/>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Marketing_Spend</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Marketing_Spend</a:t>
          </a:r>
        </a:p>
      </cx:txPr>
    </cx:title>
    <cx:plotArea>
      <cx:plotAreaRegion>
        <cx:series layoutId="boxWhisker" uniqueId="{DC61E564-2D3E-4C1A-8C50-8F8C58DA3293}">
          <cx:dataLabels>
            <cx:visibility seriesName="0" categoryName="0" value="1"/>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spPr>
    <a:solidFill>
      <a:srgbClr val="FFFF00"/>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_xlchart.v1.4</cx:f>
      </cx:numDim>
    </cx:data>
  </cx:chartData>
  <cx:chart>
    <cx:plotArea>
      <cx:plotAreaRegion>
        <cx:series layoutId="boxWhisker" uniqueId="{35074F8F-8E4E-4830-9E65-405FFD629965}">
          <cx:tx>
            <cx:txData>
              <cx:f>_xlchart.v1.1</cx:f>
              <cx:v>GDP_Growth_Rate</cx:v>
            </cx:txData>
          </cx:tx>
          <cx:dataLabels>
            <cx:visibility seriesName="0" categoryName="0" value="1"/>
          </cx:dataLabels>
          <cx:dataId val="0"/>
          <cx:layoutPr>
            <cx:visibility meanLine="0" meanMarker="1" nonoutliers="0" outliers="1"/>
            <cx:statistics quartileMethod="exclusive"/>
          </cx:layoutPr>
        </cx:series>
        <cx:series layoutId="boxWhisker" uniqueId="{EE252ACD-F6F0-48E9-BD93-2358DB0AE5C6}">
          <cx:tx>
            <cx:txData>
              <cx:f>_xlchart.v1.3</cx:f>
              <cx:v>Unemployment_Rate</cx:v>
            </cx:txData>
          </cx:tx>
          <cx:dataLabels>
            <cx:visibility seriesName="0" categoryName="0" value="1"/>
          </cx:dataLabels>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Unit_Sold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Unit_Sold</a:t>
          </a:r>
        </a:p>
      </cx:txPr>
    </cx:title>
    <cx:plotArea>
      <cx:plotAreaRegion>
        <cx:series layoutId="boxWhisker" uniqueId="{947085B7-5AD0-461A-B73D-F4BCB7D85FCF}">
          <cx:dataLabels>
            <cx:visibility seriesName="0" categoryName="0" value="1"/>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Average price</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Average price</a:t>
          </a:r>
        </a:p>
      </cx:txPr>
    </cx:title>
    <cx:plotArea>
      <cx:plotAreaRegion>
        <cx:series layoutId="boxWhisker" uniqueId="{859BBB73-2384-475A-91D1-947539720926}">
          <cx:dataLabels>
            <cx:visibility seriesName="0" categoryName="0" value="1"/>
            <cx:separator>, </cx:separator>
          </cx:dataLabels>
          <cx:dataId val="0"/>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Outline_Interest_Index</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Outline_Interest_Index</a:t>
          </a:r>
        </a:p>
      </cx:txPr>
    </cx:title>
    <cx:plotArea>
      <cx:plotAreaRegion>
        <cx:series layoutId="boxWhisker" uniqueId="{DA9DFE77-B9B3-4E57-9901-2C1FF425D9A8}">
          <cx:dataLabels>
            <cx:visibility seriesName="0" categoryName="0" value="1"/>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Competitor_Sales</cx:v>
        </cx:txData>
      </cx:tx>
      <cx:txPr>
        <a:bodyPr spcFirstLastPara="1" vertOverflow="ellipsis" horzOverflow="overflow" wrap="square" lIns="0" tIns="0" rIns="0" bIns="0" anchor="ctr" anchorCtr="1"/>
        <a:lstStyle/>
        <a:p>
          <a:pPr algn="ctr" rtl="0">
            <a:defRPr>
              <a:solidFill>
                <a:schemeClr val="accent2"/>
              </a:solidFill>
            </a:defRPr>
          </a:pPr>
          <a:r>
            <a:rPr lang="en-US" sz="1400" b="0" i="0" u="none" strike="noStrike" baseline="0">
              <a:solidFill>
                <a:schemeClr val="accent2"/>
              </a:solidFill>
              <a:latin typeface="Calibri" panose="020F0502020204030204"/>
            </a:rPr>
            <a:t>Competitor_Sales</a:t>
          </a:r>
        </a:p>
      </cx:txPr>
    </cx:title>
    <cx:plotArea>
      <cx:plotAreaRegion>
        <cx:series layoutId="boxWhisker" uniqueId="{147D8F1A-8D18-43E2-A1EB-DDC58B55379A}">
          <cx:spPr>
            <a:solidFill>
              <a:schemeClr val="accent1"/>
            </a:solidFill>
          </cx:spPr>
          <cx:dataLabels>
            <cx:visibility seriesName="0" categoryName="0" value="1"/>
          </cx:dataLabels>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spPr>
    <a:solidFill>
      <a:schemeClr val="tx1"/>
    </a:solidFill>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Marketing_Spend</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Marketing_Spend</a:t>
          </a:r>
        </a:p>
      </cx:txPr>
    </cx:title>
    <cx:plotArea>
      <cx:plotAreaRegion>
        <cx:series layoutId="boxWhisker" uniqueId="{DC61E564-2D3E-4C1A-8C50-8F8C58DA3293}">
          <cx:dataLabels>
            <cx:visibility seriesName="0" categoryName="0" value="1"/>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spPr>
    <a:solidFill>
      <a:srgbClr val="FFFF00"/>
    </a:solidFill>
  </cx:spPr>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data id="1">
      <cx:numDim type="val">
        <cx:f>_xlchart.v1.16</cx:f>
      </cx:numDim>
    </cx:data>
  </cx:chartData>
  <cx:chart>
    <cx:plotArea>
      <cx:plotAreaRegion>
        <cx:series layoutId="boxWhisker" uniqueId="{35074F8F-8E4E-4830-9E65-405FFD629965}">
          <cx:tx>
            <cx:txData>
              <cx:f>_xlchart.v1.13</cx:f>
              <cx:v>GDP_Growth_Rate</cx:v>
            </cx:txData>
          </cx:tx>
          <cx:dataLabels>
            <cx:visibility seriesName="0" categoryName="0" value="1"/>
          </cx:dataLabels>
          <cx:dataId val="0"/>
          <cx:layoutPr>
            <cx:visibility meanLine="0" meanMarker="1" nonoutliers="0" outliers="1"/>
            <cx:statistics quartileMethod="exclusive"/>
          </cx:layoutPr>
        </cx:series>
        <cx:series layoutId="boxWhisker" uniqueId="{EE252ACD-F6F0-48E9-BD93-2358DB0AE5C6}">
          <cx:tx>
            <cx:txData>
              <cx:f>_xlchart.v1.15</cx:f>
              <cx:v>Unemployment_Rate</cx:v>
            </cx:txData>
          </cx:tx>
          <cx:dataLabels>
            <cx:visibility seriesName="0" categoryName="0" value="1"/>
          </cx:dataLabels>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Unit_Sold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Unit_Sold</a:t>
          </a:r>
        </a:p>
      </cx:txPr>
    </cx:title>
    <cx:plotArea>
      <cx:plotAreaRegion>
        <cx:series layoutId="boxWhisker" uniqueId="{947085B7-5AD0-461A-B73D-F4BCB7D85FCF}">
          <cx:dataLabels>
            <cx:visibility seriesName="0" categoryName="0" value="1"/>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Average price</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Average price</a:t>
          </a:r>
        </a:p>
      </cx:txPr>
    </cx:title>
    <cx:plotArea>
      <cx:plotAreaRegion>
        <cx:series layoutId="boxWhisker" uniqueId="{859BBB73-2384-475A-91D1-947539720926}">
          <cx:dataLabels>
            <cx:visibility seriesName="0" categoryName="0" value="1"/>
            <cx:separator>, </cx:separator>
          </cx:dataLabels>
          <cx:dataId val="0"/>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Outline_Interest_Index</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Outline_Interest_Index</a:t>
          </a:r>
        </a:p>
      </cx:txPr>
    </cx:title>
    <cx:plotArea>
      <cx:plotAreaRegion>
        <cx:series layoutId="boxWhisker" uniqueId="{DA9DFE77-B9B3-4E57-9901-2C1FF425D9A8}">
          <cx:dataLabels>
            <cx:visibility seriesName="0" categoryName="0" value="1"/>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chartData>
  <cx:chart>
    <cx:title pos="t" align="ctr" overlay="0">
      <cx:tx>
        <cx:txData>
          <cx:v>Competitor_Sales</cx:v>
        </cx:txData>
      </cx:tx>
      <cx:txPr>
        <a:bodyPr spcFirstLastPara="1" vertOverflow="ellipsis" horzOverflow="overflow" wrap="square" lIns="0" tIns="0" rIns="0" bIns="0" anchor="ctr" anchorCtr="1"/>
        <a:lstStyle/>
        <a:p>
          <a:pPr algn="ctr" rtl="0">
            <a:defRPr>
              <a:solidFill>
                <a:schemeClr val="accent2"/>
              </a:solidFill>
            </a:defRPr>
          </a:pPr>
          <a:r>
            <a:rPr lang="en-US" sz="1400" b="0" i="0" u="none" strike="noStrike" baseline="0">
              <a:solidFill>
                <a:schemeClr val="accent2"/>
              </a:solidFill>
              <a:latin typeface="Calibri" panose="020F0502020204030204"/>
            </a:rPr>
            <a:t>Competitor_Sales</a:t>
          </a:r>
        </a:p>
      </cx:txPr>
    </cx:title>
    <cx:plotArea>
      <cx:plotAreaRegion>
        <cx:series layoutId="boxWhisker" uniqueId="{147D8F1A-8D18-43E2-A1EB-DDC58B55379A}">
          <cx:spPr>
            <a:solidFill>
              <a:schemeClr val="accent1"/>
            </a:solidFill>
          </cx:spPr>
          <cx:dataLabels>
            <cx:visibility seriesName="0" categoryName="0" value="1"/>
          </cx:dataLabels>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spPr>
    <a:solidFill>
      <a:schemeClr val="tx1"/>
    </a:solidFill>
  </cx:spPr>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_xlchart.v1.26</cx:f>
      </cx:numDim>
    </cx:data>
  </cx:chartData>
  <cx:chart>
    <cx:title pos="t" align="ctr" overlay="0">
      <cx:tx>
        <cx:txData>
          <cx:v>Average_Price</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Average_Price</a:t>
          </a:r>
        </a:p>
      </cx:txPr>
    </cx:title>
    <cx:plotArea>
      <cx:plotAreaRegion>
        <cx:series layoutId="boxWhisker" uniqueId="{DEDF0BD7-797E-481D-97E2-7BC146445EFF}">
          <cx:dataLabels>
            <cx:visibility seriesName="0" categoryName="0" value="1"/>
          </cx:dataLabels>
          <cx:dataId val="0"/>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Units_Sold</cx:v>
        </cx:txData>
      </cx:tx>
      <cx:txPr>
        <a:bodyPr spcFirstLastPara="1" vertOverflow="ellipsis" horzOverflow="overflow" wrap="square" lIns="0" tIns="0" rIns="0" bIns="0" anchor="ctr" anchorCtr="1"/>
        <a:lstStyle/>
        <a:p>
          <a:pPr algn="ctr" rtl="0">
            <a:defRPr/>
          </a:pPr>
          <a:r>
            <a:rPr lang="en-US" sz="1800" b="1" i="0" u="none" strike="noStrike" baseline="0">
              <a:solidFill>
                <a:srgbClr val="FFFF00"/>
              </a:solidFill>
              <a:latin typeface="Calibri" panose="020F0502020204030204"/>
            </a:rPr>
            <a:t>Units_Sold</a:t>
          </a:r>
        </a:p>
      </cx:txPr>
    </cx:title>
    <cx:plotArea>
      <cx:plotAreaRegion>
        <cx:series layoutId="boxWhisker" uniqueId="{7A5E211B-8155-4251-B1EB-8D1F18517066}">
          <cx:dataLabels>
            <cx:visibility seriesName="0" categoryName="0" value="1"/>
          </cx:dataLabels>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data id="1">
      <cx:numDim type="val">
        <cx:f>_xlchart.v1.24</cx:f>
      </cx:numDim>
    </cx:data>
  </cx:chartData>
  <cx:chart>
    <cx:plotArea>
      <cx:plotAreaRegion>
        <cx:series layoutId="boxWhisker" uniqueId="{24E3677D-912F-447C-8521-4BBED2640376}">
          <cx:tx>
            <cx:txData>
              <cx:f>_xlchart.v1.21</cx:f>
              <cx:v>GDP_Growth_Rate</cx:v>
            </cx:txData>
          </cx:tx>
          <cx:dataLabels>
            <cx:visibility seriesName="0" categoryName="0" value="1"/>
          </cx:dataLabels>
          <cx:dataId val="0"/>
          <cx:layoutPr>
            <cx:visibility meanLine="0" meanMarker="1" nonoutliers="0" outliers="1"/>
            <cx:statistics quartileMethod="exclusive"/>
          </cx:layoutPr>
        </cx:series>
        <cx:series layoutId="boxWhisker" uniqueId="{2954C6B8-BC13-4E65-8E2C-CA11710D2A6D}">
          <cx:tx>
            <cx:txData>
              <cx:f>_xlchart.v1.23</cx:f>
              <cx:v>Unemployment_Rate</cx:v>
            </cx:txData>
          </cx:tx>
          <cx:dataLabels>
            <cx:visibility seriesName="0" categoryName="0" value="1"/>
          </cx:dataLabels>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Marketing_Spend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Marketing_Spend</a:t>
          </a:r>
        </a:p>
      </cx:txPr>
    </cx:title>
    <cx:plotArea>
      <cx:plotAreaRegion>
        <cx:series layoutId="boxWhisker" uniqueId="{8F4E6542-F7B1-4879-9DFE-E07DA1758966}">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spPr>
    <a:solidFill>
      <a:schemeClr val="accent2">
        <a:lumMod val="20000"/>
        <a:lumOff val="80000"/>
      </a:schemeClr>
    </a:solidFill>
  </cx:spPr>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Outline_Interest_Index</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Outline_Interest_Index</a:t>
          </a:r>
        </a:p>
      </cx:txPr>
    </cx:title>
    <cx:plotArea>
      <cx:plotAreaRegion>
        <cx:series layoutId="boxWhisker" uniqueId="{DA9DFE77-B9B3-4E57-9901-2C1FF425D9A8}">
          <cx:dataLabels>
            <cx:visibility seriesName="0" categoryName="0" value="1"/>
          </cx:dataLabels>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tx>
        <cx:txData>
          <cx:v>Competitor_Sales</cx:v>
        </cx:txData>
      </cx:tx>
      <cx:txPr>
        <a:bodyPr spcFirstLastPara="1" vertOverflow="ellipsis" horzOverflow="overflow" wrap="square" lIns="0" tIns="0" rIns="0" bIns="0" anchor="ctr" anchorCtr="1"/>
        <a:lstStyle/>
        <a:p>
          <a:pPr algn="ctr" rtl="0">
            <a:defRPr>
              <a:solidFill>
                <a:schemeClr val="accent2"/>
              </a:solidFill>
            </a:defRPr>
          </a:pPr>
          <a:r>
            <a:rPr lang="en-US" sz="1400" b="0" i="0" u="none" strike="noStrike" baseline="0">
              <a:solidFill>
                <a:schemeClr val="accent2"/>
              </a:solidFill>
              <a:latin typeface="Calibri" panose="020F0502020204030204"/>
            </a:rPr>
            <a:t>Competitor_Sales</a:t>
          </a:r>
        </a:p>
      </cx:txPr>
    </cx:title>
    <cx:plotArea>
      <cx:plotAreaRegion>
        <cx:series layoutId="boxWhisker" uniqueId="{147D8F1A-8D18-43E2-A1EB-DDC58B55379A}">
          <cx:spPr>
            <a:solidFill>
              <a:schemeClr val="accent1"/>
            </a:solidFill>
          </cx:spPr>
          <cx:dataLabels>
            <cx:visibility seriesName="0" categoryName="0" value="1"/>
          </cx:dataLabels>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spPr>
    <a:solidFill>
      <a:schemeClr val="tx1"/>
    </a:solidFill>
  </cx:spPr>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Average_Price</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Average_Price</a:t>
          </a:r>
        </a:p>
      </cx:txPr>
    </cx:title>
    <cx:plotArea>
      <cx:plotAreaRegion>
        <cx:series layoutId="boxWhisker" uniqueId="{DEDF0BD7-797E-481D-97E2-7BC146445EFF}">
          <cx:dataLabels>
            <cx:visibility seriesName="0" categoryName="0" value="1"/>
          </cx:dataLabels>
          <cx:dataId val="0"/>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chartData>
  <cx:chart>
    <cx:title pos="t" align="ctr" overlay="0">
      <cx:tx>
        <cx:txData>
          <cx:v>Units_Sold</cx:v>
        </cx:txData>
      </cx:tx>
      <cx:txPr>
        <a:bodyPr spcFirstLastPara="1" vertOverflow="ellipsis" horzOverflow="overflow" wrap="square" lIns="0" tIns="0" rIns="0" bIns="0" anchor="ctr" anchorCtr="1"/>
        <a:lstStyle/>
        <a:p>
          <a:pPr algn="ctr" rtl="0">
            <a:defRPr/>
          </a:pPr>
          <a:r>
            <a:rPr lang="en-US" sz="1800" b="1" i="0" u="none" strike="noStrike" baseline="0">
              <a:solidFill>
                <a:srgbClr val="FFFF00"/>
              </a:solidFill>
              <a:latin typeface="Calibri" panose="020F0502020204030204"/>
            </a:rPr>
            <a:t>Units_Sold</a:t>
          </a:r>
        </a:p>
      </cx:txPr>
    </cx:title>
    <cx:plotArea>
      <cx:plotAreaRegion>
        <cx:series layoutId="boxWhisker" uniqueId="{7A5E211B-8155-4251-B1EB-8D1F18517066}">
          <cx:dataLabels>
            <cx:visibility seriesName="0" categoryName="0" value="1"/>
          </cx:dataLabels>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data id="1">
      <cx:numDim type="val">
        <cx:f>_xlchart.v1.33</cx:f>
      </cx:numDim>
    </cx:data>
  </cx:chartData>
  <cx:chart>
    <cx:plotArea>
      <cx:plotAreaRegion>
        <cx:series layoutId="boxWhisker" uniqueId="{24E3677D-912F-447C-8521-4BBED2640376}">
          <cx:tx>
            <cx:txData>
              <cx:f>_xlchart.v1.30</cx:f>
              <cx:v>GDP_Growth_Rate</cx:v>
            </cx:txData>
          </cx:tx>
          <cx:dataLabels>
            <cx:visibility seriesName="0" categoryName="0" value="1"/>
          </cx:dataLabels>
          <cx:dataId val="0"/>
          <cx:layoutPr>
            <cx:visibility meanLine="0" meanMarker="1" nonoutliers="0" outliers="1"/>
            <cx:statistics quartileMethod="exclusive"/>
          </cx:layoutPr>
        </cx:series>
        <cx:series layoutId="boxWhisker" uniqueId="{2954C6B8-BC13-4E65-8E2C-CA11710D2A6D}">
          <cx:tx>
            <cx:txData>
              <cx:f>_xlchart.v1.32</cx:f>
              <cx:v>Unemployment_Rate</cx:v>
            </cx:txData>
          </cx:tx>
          <cx:dataLabels>
            <cx:visibility seriesName="0" categoryName="0" value="1"/>
          </cx:dataLabels>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_xlchart.v1.34</cx:f>
      </cx:numDim>
    </cx:data>
  </cx:chartData>
  <cx:chart>
    <cx:title pos="t" align="ctr" overlay="0">
      <cx:tx>
        <cx:txData>
          <cx:v>Marketing_Spend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Marketing_Spend</a:t>
          </a:r>
        </a:p>
      </cx:txPr>
    </cx:title>
    <cx:plotArea>
      <cx:plotAreaRegion>
        <cx:series layoutId="boxWhisker" uniqueId="{6F20E85E-B37A-443C-BBAA-196DB5E337E5}">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spPr>
    <a:solidFill>
      <a:schemeClr val="accent2">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withinLinear" id="15">
  <a:schemeClr val="accent2"/>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withinLinear" id="15">
  <a:schemeClr val="accent2"/>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0.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 Id="rId6" Type="http://schemas.microsoft.com/office/2014/relationships/chartEx" Target="../charts/chartEx12.xml"/><Relationship Id="rId5" Type="http://schemas.microsoft.com/office/2014/relationships/chartEx" Target="../charts/chartEx11.xml"/><Relationship Id="rId4" Type="http://schemas.microsoft.com/office/2014/relationships/chartEx" Target="../charts/chartEx10.xml"/></Relationships>
</file>

<file path=xl/drawings/_rels/drawing3.xml.rels><?xml version="1.0" encoding="UTF-8" standalone="yes"?>
<Relationships xmlns="http://schemas.openxmlformats.org/package/2006/relationships"><Relationship Id="rId3" Type="http://schemas.microsoft.com/office/2014/relationships/chartEx" Target="../charts/chartEx15.xml"/><Relationship Id="rId2" Type="http://schemas.microsoft.com/office/2014/relationships/chartEx" Target="../charts/chartEx14.xml"/><Relationship Id="rId1" Type="http://schemas.microsoft.com/office/2014/relationships/chartEx" Target="../charts/chartEx13.xml"/><Relationship Id="rId6" Type="http://schemas.microsoft.com/office/2014/relationships/chartEx" Target="../charts/chartEx18.xml"/><Relationship Id="rId5" Type="http://schemas.microsoft.com/office/2014/relationships/chartEx" Target="../charts/chartEx17.xml"/><Relationship Id="rId4" Type="http://schemas.microsoft.com/office/2014/relationships/chartEx" Target="../charts/chartEx16.xml"/></Relationships>
</file>

<file path=xl/drawings/_rels/drawing4.xml.rels><?xml version="1.0" encoding="UTF-8" standalone="yes"?>
<Relationships xmlns="http://schemas.openxmlformats.org/package/2006/relationships"><Relationship Id="rId3" Type="http://schemas.microsoft.com/office/2014/relationships/chartEx" Target="../charts/chartEx21.xml"/><Relationship Id="rId2" Type="http://schemas.microsoft.com/office/2014/relationships/chartEx" Target="../charts/chartEx20.xml"/><Relationship Id="rId1" Type="http://schemas.microsoft.com/office/2014/relationships/chartEx" Target="../charts/chartEx19.xml"/><Relationship Id="rId6" Type="http://schemas.microsoft.com/office/2014/relationships/chartEx" Target="../charts/chartEx24.xml"/><Relationship Id="rId5" Type="http://schemas.microsoft.com/office/2014/relationships/chartEx" Target="../charts/chartEx23.xml"/><Relationship Id="rId4" Type="http://schemas.microsoft.com/office/2014/relationships/chartEx" Target="../charts/chartEx2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hyperlink" Target="#'Dashboard-Automate Demand Trend'!A1"/><Relationship Id="rId13" Type="http://schemas.openxmlformats.org/officeDocument/2006/relationships/hyperlink" Target="#Report!A1"/><Relationship Id="rId3" Type="http://schemas.openxmlformats.org/officeDocument/2006/relationships/image" Target="../media/image1.png"/><Relationship Id="rId7" Type="http://schemas.openxmlformats.org/officeDocument/2006/relationships/hyperlink" Target="#'Dashboard-Automate Market Data'!A1"/><Relationship Id="rId12" Type="http://schemas.openxmlformats.org/officeDocument/2006/relationships/hyperlink" Target="#'Dashboard-Monitoring Demand Tre'!A1"/><Relationship Id="rId2" Type="http://schemas.openxmlformats.org/officeDocument/2006/relationships/hyperlink" Target="#'Dashboard-Vehicle_type Trends'!A1"/><Relationship Id="rId1" Type="http://schemas.openxmlformats.org/officeDocument/2006/relationships/hyperlink" Target="#'Dashbord-Market Demand Trends'!A1"/><Relationship Id="rId6" Type="http://schemas.openxmlformats.org/officeDocument/2006/relationships/hyperlink" Target="#'Dashboard-Optimizing Production'!A1"/><Relationship Id="rId11" Type="http://schemas.openxmlformats.org/officeDocument/2006/relationships/hyperlink" Target="#'Dashboard-Improvement Automotiv'!A1"/><Relationship Id="rId5" Type="http://schemas.openxmlformats.org/officeDocument/2006/relationships/hyperlink" Target="#'Dashboard-market demand by seas'!A1"/><Relationship Id="rId10" Type="http://schemas.openxmlformats.org/officeDocument/2006/relationships/hyperlink" Target="#'Dashboard-Marketing Campaign'!A1"/><Relationship Id="rId4" Type="http://schemas.openxmlformats.org/officeDocument/2006/relationships/hyperlink" Target="#'Dashboard-Automate Forecaste'!A1"/><Relationship Id="rId9" Type="http://schemas.openxmlformats.org/officeDocument/2006/relationships/hyperlink" Target="#'Dashboard-Real-Time Demand'!A1"/></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hyperlink" Target="#'Dashboard Home'!A1"/></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hyperlink" Target="#'Dashboard Home'!A1"/><Relationship Id="rId4" Type="http://schemas.openxmlformats.org/officeDocument/2006/relationships/chart" Target="../charts/chart2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1.xml.rels><?xml version="1.0" encoding="UTF-8" standalone="yes"?>
<Relationships xmlns="http://schemas.openxmlformats.org/package/2006/relationships"><Relationship Id="rId2" Type="http://schemas.openxmlformats.org/officeDocument/2006/relationships/hyperlink" Target="#'Dashboard Home'!A1"/><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5.xml.rels><?xml version="1.0" encoding="UTF-8" standalone="yes"?>
<Relationships xmlns="http://schemas.openxmlformats.org/package/2006/relationships"><Relationship Id="rId8" Type="http://schemas.openxmlformats.org/officeDocument/2006/relationships/image" Target="../media/image10.png"/><Relationship Id="rId3" Type="http://schemas.microsoft.com/office/2017/06/relationships/model3d" Target="../media/model3d2.glb"/><Relationship Id="rId7" Type="http://schemas.openxmlformats.org/officeDocument/2006/relationships/image" Target="../media/image9.jpeg"/><Relationship Id="rId2" Type="http://schemas.openxmlformats.org/officeDocument/2006/relationships/image" Target="../media/image6.png"/><Relationship Id="rId1" Type="http://schemas.microsoft.com/office/2017/06/relationships/model3d" Target="../media/model3d1.glb"/><Relationship Id="rId6" Type="http://schemas.openxmlformats.org/officeDocument/2006/relationships/image" Target="../media/image8.png"/><Relationship Id="rId5" Type="http://schemas.microsoft.com/office/2017/06/relationships/model3d" Target="../media/model3d3.glb"/><Relationship Id="rId4" Type="http://schemas.openxmlformats.org/officeDocument/2006/relationships/image" Target="../media/image7.png"/></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hyperlink" Target="#'Dashboard Home'!A1"/><Relationship Id="rId5" Type="http://schemas.openxmlformats.org/officeDocument/2006/relationships/chart" Target="../charts/chart32.xml"/><Relationship Id="rId4" Type="http://schemas.openxmlformats.org/officeDocument/2006/relationships/chart" Target="../charts/chart31.xml"/></Relationships>
</file>

<file path=xl/drawings/_rels/drawing27.xml.rels><?xml version="1.0" encoding="UTF-8" standalone="yes"?>
<Relationships xmlns="http://schemas.openxmlformats.org/package/2006/relationships"><Relationship Id="rId1" Type="http://schemas.openxmlformats.org/officeDocument/2006/relationships/hyperlink" Target="#'Dashboard Home'!A1"/></Relationships>
</file>

<file path=xl/drawings/_rels/drawing28.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0.xml.rels><?xml version="1.0" encoding="UTF-8" standalone="yes"?>
<Relationships xmlns="http://schemas.openxmlformats.org/package/2006/relationships"><Relationship Id="rId3" Type="http://schemas.openxmlformats.org/officeDocument/2006/relationships/hyperlink" Target="#'Dashboard Home'!A1"/><Relationship Id="rId2" Type="http://schemas.openxmlformats.org/officeDocument/2006/relationships/chart" Target="../charts/chart36.xml"/><Relationship Id="rId1" Type="http://schemas.openxmlformats.org/officeDocument/2006/relationships/chart" Target="../charts/chart3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hyperlink" Target="#'Dashboard Home'!A1"/></Relationships>
</file>

<file path=xl/drawings/_rels/drawing36.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7.xml.rels><?xml version="1.0" encoding="UTF-8" standalone="yes"?>
<Relationships xmlns="http://schemas.openxmlformats.org/package/2006/relationships"><Relationship Id="rId2" Type="http://schemas.openxmlformats.org/officeDocument/2006/relationships/hyperlink" Target="#'Dashboard Home'!A1"/><Relationship Id="rId1" Type="http://schemas.openxmlformats.org/officeDocument/2006/relationships/chart" Target="../charts/chart45.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42.xml.rels><?xml version="1.0" encoding="UTF-8" standalone="yes"?>
<Relationships xmlns="http://schemas.openxmlformats.org/package/2006/relationships"><Relationship Id="rId3" Type="http://schemas.openxmlformats.org/officeDocument/2006/relationships/chart" Target="../charts/chart52.xml"/><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Dashboard Home'!A1"/><Relationship Id="rId4" Type="http://schemas.openxmlformats.org/officeDocument/2006/relationships/chart" Target="../charts/chart53.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45.xml.rels><?xml version="1.0" encoding="UTF-8" standalone="yes"?>
<Relationships xmlns="http://schemas.openxmlformats.org/package/2006/relationships"><Relationship Id="rId3" Type="http://schemas.openxmlformats.org/officeDocument/2006/relationships/hyperlink" Target="#'Dashboard Home'!A1"/><Relationship Id="rId2" Type="http://schemas.openxmlformats.org/officeDocument/2006/relationships/chart" Target="../charts/chart57.xml"/><Relationship Id="rId1" Type="http://schemas.openxmlformats.org/officeDocument/2006/relationships/chart" Target="../charts/chart56.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51.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hyperlink" Target="#'Dashboard Home'!A1"/><Relationship Id="rId5" Type="http://schemas.openxmlformats.org/officeDocument/2006/relationships/chart" Target="../charts/chart67.xml"/><Relationship Id="rId4" Type="http://schemas.openxmlformats.org/officeDocument/2006/relationships/chart" Target="../charts/chart66.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70.xml"/><Relationship Id="rId2" Type="http://schemas.openxmlformats.org/officeDocument/2006/relationships/chart" Target="../charts/chart69.xml"/><Relationship Id="rId1" Type="http://schemas.openxmlformats.org/officeDocument/2006/relationships/chart" Target="../charts/chart68.xml"/><Relationship Id="rId5" Type="http://schemas.openxmlformats.org/officeDocument/2006/relationships/hyperlink" Target="#'Dashboard Home'!A1"/><Relationship Id="rId4" Type="http://schemas.openxmlformats.org/officeDocument/2006/relationships/chart" Target="../charts/chart71.xml"/></Relationships>
</file>

<file path=xl/drawings/drawing1.xml><?xml version="1.0" encoding="utf-8"?>
<xdr:wsDr xmlns:xdr="http://schemas.openxmlformats.org/drawingml/2006/spreadsheetDrawing" xmlns:a="http://schemas.openxmlformats.org/drawingml/2006/main">
  <xdr:twoCellAnchor>
    <xdr:from>
      <xdr:col>13</xdr:col>
      <xdr:colOff>22860</xdr:colOff>
      <xdr:row>0</xdr:row>
      <xdr:rowOff>22860</xdr:rowOff>
    </xdr:from>
    <xdr:to>
      <xdr:col>18</xdr:col>
      <xdr:colOff>464820</xdr:colOff>
      <xdr:row>10</xdr:row>
      <xdr:rowOff>125730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EFC9E46-C70F-CFE6-7015-425231B4F3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013180" y="22860"/>
              <a:ext cx="4282440" cy="19316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579120</xdr:colOff>
      <xdr:row>11</xdr:row>
      <xdr:rowOff>106680</xdr:rowOff>
    </xdr:from>
    <xdr:to>
      <xdr:col>18</xdr:col>
      <xdr:colOff>198120</xdr:colOff>
      <xdr:row>25</xdr:row>
      <xdr:rowOff>83820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8ECC28C-3E8C-A026-C84D-6C8C9106B7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959840" y="2118360"/>
              <a:ext cx="4069080" cy="2537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7620</xdr:colOff>
      <xdr:row>27</xdr:row>
      <xdr:rowOff>15240</xdr:rowOff>
    </xdr:from>
    <xdr:to>
      <xdr:col>18</xdr:col>
      <xdr:colOff>53340</xdr:colOff>
      <xdr:row>42</xdr:row>
      <xdr:rowOff>68580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609180C-D27F-421B-EA0D-4D9EE94D0E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388340" y="4953000"/>
              <a:ext cx="4495800" cy="2796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22860</xdr:colOff>
      <xdr:row>0</xdr:row>
      <xdr:rowOff>0</xdr:rowOff>
    </xdr:from>
    <xdr:to>
      <xdr:col>28</xdr:col>
      <xdr:colOff>289560</xdr:colOff>
      <xdr:row>19</xdr:row>
      <xdr:rowOff>91440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B1E449C-4E7C-65E3-AFF6-A96DF2CD11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072860" y="0"/>
              <a:ext cx="5143500" cy="3566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373380</xdr:colOff>
      <xdr:row>21</xdr:row>
      <xdr:rowOff>114300</xdr:rowOff>
    </xdr:from>
    <xdr:to>
      <xdr:col>26</xdr:col>
      <xdr:colOff>68580</xdr:colOff>
      <xdr:row>36</xdr:row>
      <xdr:rowOff>114300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2F86BD3-DE54-4AA4-BD96-08D77642B5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204180" y="39547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419100</xdr:colOff>
      <xdr:row>0</xdr:row>
      <xdr:rowOff>53340</xdr:rowOff>
    </xdr:from>
    <xdr:to>
      <xdr:col>36</xdr:col>
      <xdr:colOff>144780</xdr:colOff>
      <xdr:row>16</xdr:row>
      <xdr:rowOff>15240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D5D04D6-5AFC-49DB-991A-017F8E206C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345900" y="53340"/>
              <a:ext cx="4602480" cy="288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22860</xdr:colOff>
      <xdr:row>0</xdr:row>
      <xdr:rowOff>22860</xdr:rowOff>
    </xdr:from>
    <xdr:to>
      <xdr:col>18</xdr:col>
      <xdr:colOff>464820</xdr:colOff>
      <xdr:row>10</xdr:row>
      <xdr:rowOff>125730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44624A4-02EB-4319-8DD2-1B46394D6A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013180" y="22860"/>
              <a:ext cx="4282440" cy="19316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266700</xdr:colOff>
      <xdr:row>11</xdr:row>
      <xdr:rowOff>121920</xdr:rowOff>
    </xdr:from>
    <xdr:to>
      <xdr:col>17</xdr:col>
      <xdr:colOff>495300</xdr:colOff>
      <xdr:row>25</xdr:row>
      <xdr:rowOff>99060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7406067-75B1-40FB-A685-44255CA373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647420" y="2133600"/>
              <a:ext cx="4069080" cy="2537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7620</xdr:colOff>
      <xdr:row>27</xdr:row>
      <xdr:rowOff>15240</xdr:rowOff>
    </xdr:from>
    <xdr:to>
      <xdr:col>18</xdr:col>
      <xdr:colOff>53340</xdr:colOff>
      <xdr:row>42</xdr:row>
      <xdr:rowOff>68580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6B54022-A3D9-4DDF-A7C0-9F2BBF6DF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388340" y="4953000"/>
              <a:ext cx="4495800" cy="2796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30480</xdr:colOff>
      <xdr:row>0</xdr:row>
      <xdr:rowOff>30480</xdr:rowOff>
    </xdr:from>
    <xdr:to>
      <xdr:col>27</xdr:col>
      <xdr:colOff>297180</xdr:colOff>
      <xdr:row>19</xdr:row>
      <xdr:rowOff>121920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B99F605-EB4A-4617-8945-AAF901E69D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470880" y="30480"/>
              <a:ext cx="5143500" cy="3566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373380</xdr:colOff>
      <xdr:row>21</xdr:row>
      <xdr:rowOff>114300</xdr:rowOff>
    </xdr:from>
    <xdr:to>
      <xdr:col>26</xdr:col>
      <xdr:colOff>68580</xdr:colOff>
      <xdr:row>36</xdr:row>
      <xdr:rowOff>114300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8C39C1C-49F0-43DA-9EC6-E5D8374DF9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204180" y="39547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22860</xdr:colOff>
      <xdr:row>0</xdr:row>
      <xdr:rowOff>99060</xdr:rowOff>
    </xdr:from>
    <xdr:to>
      <xdr:col>35</xdr:col>
      <xdr:colOff>358140</xdr:colOff>
      <xdr:row>16</xdr:row>
      <xdr:rowOff>60960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9581D82D-BDBF-4D63-98B1-1AAEC1EB21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3949660" y="99060"/>
              <a:ext cx="4602480" cy="288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34</xdr:col>
      <xdr:colOff>220980</xdr:colOff>
      <xdr:row>18</xdr:row>
      <xdr:rowOff>30480</xdr:rowOff>
    </xdr:from>
    <xdr:to>
      <xdr:col>41</xdr:col>
      <xdr:colOff>236220</xdr:colOff>
      <xdr:row>28</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CDB13FB-D475-4EF7-AA91-0818431B71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236160" y="3322320"/>
              <a:ext cx="4282440" cy="19316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129540</xdr:colOff>
      <xdr:row>1</xdr:row>
      <xdr:rowOff>99060</xdr:rowOff>
    </xdr:from>
    <xdr:to>
      <xdr:col>24</xdr:col>
      <xdr:colOff>381000</xdr:colOff>
      <xdr:row>15</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3EEBECD-E613-4F44-83B6-CA59F59D2D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000720" y="281940"/>
              <a:ext cx="3299460" cy="2537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33</xdr:col>
      <xdr:colOff>53340</xdr:colOff>
      <xdr:row>1</xdr:row>
      <xdr:rowOff>38100</xdr:rowOff>
    </xdr:from>
    <xdr:to>
      <xdr:col>40</xdr:col>
      <xdr:colOff>358140</xdr:colOff>
      <xdr:row>16</xdr:row>
      <xdr:rowOff>38100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D607B8FF-9E3B-413F-B950-2D188313E8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458920" y="2209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426720</xdr:colOff>
      <xdr:row>17</xdr:row>
      <xdr:rowOff>34290</xdr:rowOff>
    </xdr:from>
    <xdr:to>
      <xdr:col>34</xdr:col>
      <xdr:colOff>121920</xdr:colOff>
      <xdr:row>32</xdr:row>
      <xdr:rowOff>34290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7D9636A7-4EC8-3AC6-6195-D172549435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565100" y="3143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556260</xdr:colOff>
      <xdr:row>1</xdr:row>
      <xdr:rowOff>11430</xdr:rowOff>
    </xdr:from>
    <xdr:to>
      <xdr:col>32</xdr:col>
      <xdr:colOff>251460</xdr:colOff>
      <xdr:row>16</xdr:row>
      <xdr:rowOff>11430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1A3AFE1-B9B9-E324-77A3-D8B5B1B15B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475440" y="194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76200</xdr:colOff>
      <xdr:row>16</xdr:row>
      <xdr:rowOff>87630</xdr:rowOff>
    </xdr:from>
    <xdr:to>
      <xdr:col>26</xdr:col>
      <xdr:colOff>381000</xdr:colOff>
      <xdr:row>31</xdr:row>
      <xdr:rowOff>87630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9B0B493-3C24-89FD-3423-1A9EB714CE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0947380" y="3013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34</xdr:col>
      <xdr:colOff>137160</xdr:colOff>
      <xdr:row>18</xdr:row>
      <xdr:rowOff>53340</xdr:rowOff>
    </xdr:from>
    <xdr:to>
      <xdr:col>41</xdr:col>
      <xdr:colOff>152400</xdr:colOff>
      <xdr:row>28</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3DF0AC4-9CF0-4513-A873-53CD1E9C98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893260" y="3345180"/>
              <a:ext cx="4282440" cy="19316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388620</xdr:colOff>
      <xdr:row>1</xdr:row>
      <xdr:rowOff>137160</xdr:rowOff>
    </xdr:from>
    <xdr:to>
      <xdr:col>25</xdr:col>
      <xdr:colOff>7620</xdr:colOff>
      <xdr:row>15</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99857E2-FD8F-4860-A27D-575C3FF440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000720" y="320040"/>
              <a:ext cx="3276600" cy="2537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53340</xdr:colOff>
      <xdr:row>1</xdr:row>
      <xdr:rowOff>38100</xdr:rowOff>
    </xdr:from>
    <xdr:to>
      <xdr:col>41</xdr:col>
      <xdr:colOff>358140</xdr:colOff>
      <xdr:row>16</xdr:row>
      <xdr:rowOff>38100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C7C64EC-1747-4B52-B6B9-E64E2F6575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809440" y="2209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297180</xdr:colOff>
      <xdr:row>17</xdr:row>
      <xdr:rowOff>102870</xdr:rowOff>
    </xdr:from>
    <xdr:to>
      <xdr:col>33</xdr:col>
      <xdr:colOff>601980</xdr:colOff>
      <xdr:row>32</xdr:row>
      <xdr:rowOff>102870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ECAC435-E66F-46ED-820D-AA2CED1EAE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176480" y="3211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556260</xdr:colOff>
      <xdr:row>1</xdr:row>
      <xdr:rowOff>11430</xdr:rowOff>
    </xdr:from>
    <xdr:to>
      <xdr:col>33</xdr:col>
      <xdr:colOff>251460</xdr:colOff>
      <xdr:row>16</xdr:row>
      <xdr:rowOff>11430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0D841B6-54E9-4F5A-96C6-28042F3F97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825960" y="194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160020</xdr:colOff>
      <xdr:row>16</xdr:row>
      <xdr:rowOff>118110</xdr:rowOff>
    </xdr:from>
    <xdr:to>
      <xdr:col>26</xdr:col>
      <xdr:colOff>152400</xdr:colOff>
      <xdr:row>31</xdr:row>
      <xdr:rowOff>118110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AC332BF-0C54-256C-DDD0-894D6F8440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0772120" y="3044190"/>
              <a:ext cx="42595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240030</xdr:colOff>
      <xdr:row>1</xdr:row>
      <xdr:rowOff>91440</xdr:rowOff>
    </xdr:from>
    <xdr:to>
      <xdr:col>15</xdr:col>
      <xdr:colOff>544830</xdr:colOff>
      <xdr:row>17</xdr:row>
      <xdr:rowOff>53340</xdr:rowOff>
    </xdr:to>
    <xdr:graphicFrame macro="">
      <xdr:nvGraphicFramePr>
        <xdr:cNvPr id="7" name="Chart 6">
          <a:extLst>
            <a:ext uri="{FF2B5EF4-FFF2-40B4-BE49-F238E27FC236}">
              <a16:creationId xmlns:a16="http://schemas.microsoft.com/office/drawing/2014/main" id="{7DAFD2B8-A001-D9E7-742E-9C10C100D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579120</xdr:colOff>
      <xdr:row>10</xdr:row>
      <xdr:rowOff>121920</xdr:rowOff>
    </xdr:from>
    <xdr:to>
      <xdr:col>19</xdr:col>
      <xdr:colOff>548640</xdr:colOff>
      <xdr:row>27</xdr:row>
      <xdr:rowOff>53340</xdr:rowOff>
    </xdr:to>
    <xdr:graphicFrame macro="">
      <xdr:nvGraphicFramePr>
        <xdr:cNvPr id="7" name="Chart 6">
          <a:extLst>
            <a:ext uri="{FF2B5EF4-FFF2-40B4-BE49-F238E27FC236}">
              <a16:creationId xmlns:a16="http://schemas.microsoft.com/office/drawing/2014/main" id="{E06A8A23-8091-F4C9-AA52-A74720F87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457200</xdr:colOff>
      <xdr:row>10</xdr:row>
      <xdr:rowOff>76200</xdr:rowOff>
    </xdr:from>
    <xdr:to>
      <xdr:col>30</xdr:col>
      <xdr:colOff>76200</xdr:colOff>
      <xdr:row>26</xdr:row>
      <xdr:rowOff>99060</xdr:rowOff>
    </xdr:to>
    <xdr:graphicFrame macro="">
      <xdr:nvGraphicFramePr>
        <xdr:cNvPr id="8" name="Chart 7">
          <a:extLst>
            <a:ext uri="{FF2B5EF4-FFF2-40B4-BE49-F238E27FC236}">
              <a16:creationId xmlns:a16="http://schemas.microsoft.com/office/drawing/2014/main" id="{BC63C203-4990-FB24-2AB9-8DD62A6CB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137160</xdr:colOff>
      <xdr:row>10</xdr:row>
      <xdr:rowOff>129540</xdr:rowOff>
    </xdr:from>
    <xdr:to>
      <xdr:col>11</xdr:col>
      <xdr:colOff>38100</xdr:colOff>
      <xdr:row>25</xdr:row>
      <xdr:rowOff>106680</xdr:rowOff>
    </xdr:to>
    <xdr:graphicFrame macro="">
      <xdr:nvGraphicFramePr>
        <xdr:cNvPr id="10" name="Chart 9">
          <a:extLst>
            <a:ext uri="{FF2B5EF4-FFF2-40B4-BE49-F238E27FC236}">
              <a16:creationId xmlns:a16="http://schemas.microsoft.com/office/drawing/2014/main" id="{4B978B10-BB2A-CC01-D248-0546D1887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502920</xdr:colOff>
      <xdr:row>10</xdr:row>
      <xdr:rowOff>129540</xdr:rowOff>
    </xdr:from>
    <xdr:to>
      <xdr:col>37</xdr:col>
      <xdr:colOff>449581</xdr:colOff>
      <xdr:row>25</xdr:row>
      <xdr:rowOff>53340</xdr:rowOff>
    </xdr:to>
    <xdr:graphicFrame macro="">
      <xdr:nvGraphicFramePr>
        <xdr:cNvPr id="11" name="Chart 10">
          <a:extLst>
            <a:ext uri="{FF2B5EF4-FFF2-40B4-BE49-F238E27FC236}">
              <a16:creationId xmlns:a16="http://schemas.microsoft.com/office/drawing/2014/main" id="{00722DF7-5AF7-A0F3-600F-935A3D08F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99060</xdr:colOff>
      <xdr:row>9</xdr:row>
      <xdr:rowOff>121920</xdr:rowOff>
    </xdr:from>
    <xdr:to>
      <xdr:col>47</xdr:col>
      <xdr:colOff>274320</xdr:colOff>
      <xdr:row>25</xdr:row>
      <xdr:rowOff>7620</xdr:rowOff>
    </xdr:to>
    <xdr:graphicFrame macro="">
      <xdr:nvGraphicFramePr>
        <xdr:cNvPr id="12" name="Chart 11">
          <a:extLst>
            <a:ext uri="{FF2B5EF4-FFF2-40B4-BE49-F238E27FC236}">
              <a16:creationId xmlns:a16="http://schemas.microsoft.com/office/drawing/2014/main" id="{07127265-0BE7-BFEB-B905-38D326438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541020</xdr:colOff>
      <xdr:row>5</xdr:row>
      <xdr:rowOff>137160</xdr:rowOff>
    </xdr:from>
    <xdr:to>
      <xdr:col>14</xdr:col>
      <xdr:colOff>160020</xdr:colOff>
      <xdr:row>7</xdr:row>
      <xdr:rowOff>22860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570434-9013-8B16-F957-B2CA323CD38C}"/>
            </a:ext>
          </a:extLst>
        </xdr:cNvPr>
        <xdr:cNvSpPr/>
      </xdr:nvSpPr>
      <xdr:spPr>
        <a:xfrm>
          <a:off x="8084820" y="1196340"/>
          <a:ext cx="868680" cy="29718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Dashboard</a:t>
          </a:r>
        </a:p>
      </xdr:txBody>
    </xdr:sp>
    <xdr:clientData/>
  </xdr:twoCellAnchor>
  <xdr:twoCellAnchor editAs="oneCell">
    <xdr:from>
      <xdr:col>12</xdr:col>
      <xdr:colOff>548640</xdr:colOff>
      <xdr:row>7</xdr:row>
      <xdr:rowOff>129540</xdr:rowOff>
    </xdr:from>
    <xdr:to>
      <xdr:col>14</xdr:col>
      <xdr:colOff>176860</xdr:colOff>
      <xdr:row>9</xdr:row>
      <xdr:rowOff>28983</xdr:rowOff>
    </xdr:to>
    <xdr:pic>
      <xdr:nvPicPr>
        <xdr:cNvPr id="16" name="Picture 15">
          <a:hlinkClick xmlns:r="http://schemas.openxmlformats.org/officeDocument/2006/relationships" r:id="rId2"/>
          <a:extLst>
            <a:ext uri="{FF2B5EF4-FFF2-40B4-BE49-F238E27FC236}">
              <a16:creationId xmlns:a16="http://schemas.microsoft.com/office/drawing/2014/main" id="{96E59005-0E16-5E67-AC1D-276A82CB7700}"/>
            </a:ext>
          </a:extLst>
        </xdr:cNvPr>
        <xdr:cNvPicPr>
          <a:picLocks noChangeAspect="1"/>
        </xdr:cNvPicPr>
      </xdr:nvPicPr>
      <xdr:blipFill>
        <a:blip xmlns:r="http://schemas.openxmlformats.org/officeDocument/2006/relationships" r:embed="rId3"/>
        <a:stretch>
          <a:fillRect/>
        </a:stretch>
      </xdr:blipFill>
      <xdr:spPr>
        <a:xfrm>
          <a:off x="8092440" y="1600200"/>
          <a:ext cx="877900" cy="310923"/>
        </a:xfrm>
        <a:prstGeom prst="rect">
          <a:avLst/>
        </a:prstGeom>
      </xdr:spPr>
    </xdr:pic>
    <xdr:clientData/>
  </xdr:twoCellAnchor>
  <xdr:twoCellAnchor editAs="oneCell">
    <xdr:from>
      <xdr:col>12</xdr:col>
      <xdr:colOff>548640</xdr:colOff>
      <xdr:row>9</xdr:row>
      <xdr:rowOff>121920</xdr:rowOff>
    </xdr:from>
    <xdr:to>
      <xdr:col>14</xdr:col>
      <xdr:colOff>176860</xdr:colOff>
      <xdr:row>11</xdr:row>
      <xdr:rowOff>21363</xdr:rowOff>
    </xdr:to>
    <xdr:pic>
      <xdr:nvPicPr>
        <xdr:cNvPr id="19" name="Picture 18">
          <a:hlinkClick xmlns:r="http://schemas.openxmlformats.org/officeDocument/2006/relationships" r:id="rId4"/>
          <a:extLst>
            <a:ext uri="{FF2B5EF4-FFF2-40B4-BE49-F238E27FC236}">
              <a16:creationId xmlns:a16="http://schemas.microsoft.com/office/drawing/2014/main" id="{F6DF6DA9-E219-B2C5-2DC8-B23627931BB5}"/>
            </a:ext>
          </a:extLst>
        </xdr:cNvPr>
        <xdr:cNvPicPr>
          <a:picLocks noChangeAspect="1"/>
        </xdr:cNvPicPr>
      </xdr:nvPicPr>
      <xdr:blipFill>
        <a:blip xmlns:r="http://schemas.openxmlformats.org/officeDocument/2006/relationships" r:embed="rId3"/>
        <a:stretch>
          <a:fillRect/>
        </a:stretch>
      </xdr:blipFill>
      <xdr:spPr>
        <a:xfrm>
          <a:off x="8092440" y="2004060"/>
          <a:ext cx="877900" cy="310923"/>
        </a:xfrm>
        <a:prstGeom prst="rect">
          <a:avLst/>
        </a:prstGeom>
      </xdr:spPr>
    </xdr:pic>
    <xdr:clientData/>
  </xdr:twoCellAnchor>
  <xdr:twoCellAnchor editAs="oneCell">
    <xdr:from>
      <xdr:col>12</xdr:col>
      <xdr:colOff>548640</xdr:colOff>
      <xdr:row>11</xdr:row>
      <xdr:rowOff>137160</xdr:rowOff>
    </xdr:from>
    <xdr:to>
      <xdr:col>14</xdr:col>
      <xdr:colOff>176860</xdr:colOff>
      <xdr:row>13</xdr:row>
      <xdr:rowOff>36603</xdr:rowOff>
    </xdr:to>
    <xdr:pic>
      <xdr:nvPicPr>
        <xdr:cNvPr id="21" name="Picture 20">
          <a:hlinkClick xmlns:r="http://schemas.openxmlformats.org/officeDocument/2006/relationships" r:id="rId5"/>
          <a:extLst>
            <a:ext uri="{FF2B5EF4-FFF2-40B4-BE49-F238E27FC236}">
              <a16:creationId xmlns:a16="http://schemas.microsoft.com/office/drawing/2014/main" id="{8AEB34BC-77FB-01FD-2BAE-DD27F193239D}"/>
            </a:ext>
          </a:extLst>
        </xdr:cNvPr>
        <xdr:cNvPicPr>
          <a:picLocks noChangeAspect="1"/>
        </xdr:cNvPicPr>
      </xdr:nvPicPr>
      <xdr:blipFill>
        <a:blip xmlns:r="http://schemas.openxmlformats.org/officeDocument/2006/relationships" r:embed="rId3"/>
        <a:stretch>
          <a:fillRect/>
        </a:stretch>
      </xdr:blipFill>
      <xdr:spPr>
        <a:xfrm>
          <a:off x="8092440" y="2430780"/>
          <a:ext cx="877900" cy="310923"/>
        </a:xfrm>
        <a:prstGeom prst="rect">
          <a:avLst/>
        </a:prstGeom>
      </xdr:spPr>
    </xdr:pic>
    <xdr:clientData/>
  </xdr:twoCellAnchor>
  <xdr:twoCellAnchor editAs="oneCell">
    <xdr:from>
      <xdr:col>12</xdr:col>
      <xdr:colOff>563880</xdr:colOff>
      <xdr:row>13</xdr:row>
      <xdr:rowOff>144780</xdr:rowOff>
    </xdr:from>
    <xdr:to>
      <xdr:col>14</xdr:col>
      <xdr:colOff>192100</xdr:colOff>
      <xdr:row>15</xdr:row>
      <xdr:rowOff>44223</xdr:rowOff>
    </xdr:to>
    <xdr:pic>
      <xdr:nvPicPr>
        <xdr:cNvPr id="23" name="Picture 22">
          <a:hlinkClick xmlns:r="http://schemas.openxmlformats.org/officeDocument/2006/relationships" r:id="rId6"/>
          <a:extLst>
            <a:ext uri="{FF2B5EF4-FFF2-40B4-BE49-F238E27FC236}">
              <a16:creationId xmlns:a16="http://schemas.microsoft.com/office/drawing/2014/main" id="{66C63CAD-46AD-A7C2-6299-AB89BE91DA26}"/>
            </a:ext>
          </a:extLst>
        </xdr:cNvPr>
        <xdr:cNvPicPr>
          <a:picLocks noChangeAspect="1"/>
        </xdr:cNvPicPr>
      </xdr:nvPicPr>
      <xdr:blipFill>
        <a:blip xmlns:r="http://schemas.openxmlformats.org/officeDocument/2006/relationships" r:embed="rId3"/>
        <a:stretch>
          <a:fillRect/>
        </a:stretch>
      </xdr:blipFill>
      <xdr:spPr>
        <a:xfrm>
          <a:off x="8107680" y="2849880"/>
          <a:ext cx="877900" cy="310923"/>
        </a:xfrm>
        <a:prstGeom prst="rect">
          <a:avLst/>
        </a:prstGeom>
      </xdr:spPr>
    </xdr:pic>
    <xdr:clientData/>
  </xdr:twoCellAnchor>
  <xdr:twoCellAnchor editAs="oneCell">
    <xdr:from>
      <xdr:col>12</xdr:col>
      <xdr:colOff>571500</xdr:colOff>
      <xdr:row>15</xdr:row>
      <xdr:rowOff>152400</xdr:rowOff>
    </xdr:from>
    <xdr:to>
      <xdr:col>14</xdr:col>
      <xdr:colOff>199720</xdr:colOff>
      <xdr:row>17</xdr:row>
      <xdr:rowOff>51843</xdr:rowOff>
    </xdr:to>
    <xdr:pic>
      <xdr:nvPicPr>
        <xdr:cNvPr id="25" name="Picture 24">
          <a:hlinkClick xmlns:r="http://schemas.openxmlformats.org/officeDocument/2006/relationships" r:id="rId7"/>
          <a:extLst>
            <a:ext uri="{FF2B5EF4-FFF2-40B4-BE49-F238E27FC236}">
              <a16:creationId xmlns:a16="http://schemas.microsoft.com/office/drawing/2014/main" id="{3219EC79-8F7E-24EB-017E-2E1B0DCC2760}"/>
            </a:ext>
          </a:extLst>
        </xdr:cNvPr>
        <xdr:cNvPicPr>
          <a:picLocks noChangeAspect="1"/>
        </xdr:cNvPicPr>
      </xdr:nvPicPr>
      <xdr:blipFill>
        <a:blip xmlns:r="http://schemas.openxmlformats.org/officeDocument/2006/relationships" r:embed="rId3"/>
        <a:stretch>
          <a:fillRect/>
        </a:stretch>
      </xdr:blipFill>
      <xdr:spPr>
        <a:xfrm>
          <a:off x="8115300" y="3268980"/>
          <a:ext cx="877900" cy="310923"/>
        </a:xfrm>
        <a:prstGeom prst="rect">
          <a:avLst/>
        </a:prstGeom>
      </xdr:spPr>
    </xdr:pic>
    <xdr:clientData/>
  </xdr:twoCellAnchor>
  <xdr:twoCellAnchor editAs="oneCell">
    <xdr:from>
      <xdr:col>13</xdr:col>
      <xdr:colOff>0</xdr:colOff>
      <xdr:row>19</xdr:row>
      <xdr:rowOff>167640</xdr:rowOff>
    </xdr:from>
    <xdr:to>
      <xdr:col>14</xdr:col>
      <xdr:colOff>237820</xdr:colOff>
      <xdr:row>21</xdr:row>
      <xdr:rowOff>67083</xdr:rowOff>
    </xdr:to>
    <xdr:pic>
      <xdr:nvPicPr>
        <xdr:cNvPr id="29" name="Picture 28">
          <a:hlinkClick xmlns:r="http://schemas.openxmlformats.org/officeDocument/2006/relationships" r:id="rId8"/>
          <a:extLst>
            <a:ext uri="{FF2B5EF4-FFF2-40B4-BE49-F238E27FC236}">
              <a16:creationId xmlns:a16="http://schemas.microsoft.com/office/drawing/2014/main" id="{3F90F37F-70AF-2CC7-1218-2E58D054F450}"/>
            </a:ext>
          </a:extLst>
        </xdr:cNvPr>
        <xdr:cNvPicPr>
          <a:picLocks noChangeAspect="1"/>
        </xdr:cNvPicPr>
      </xdr:nvPicPr>
      <xdr:blipFill>
        <a:blip xmlns:r="http://schemas.openxmlformats.org/officeDocument/2006/relationships" r:embed="rId3"/>
        <a:stretch>
          <a:fillRect/>
        </a:stretch>
      </xdr:blipFill>
      <xdr:spPr>
        <a:xfrm>
          <a:off x="8153400" y="4107180"/>
          <a:ext cx="877900" cy="310923"/>
        </a:xfrm>
        <a:prstGeom prst="rect">
          <a:avLst/>
        </a:prstGeom>
      </xdr:spPr>
    </xdr:pic>
    <xdr:clientData/>
  </xdr:twoCellAnchor>
  <xdr:twoCellAnchor editAs="oneCell">
    <xdr:from>
      <xdr:col>12</xdr:col>
      <xdr:colOff>594360</xdr:colOff>
      <xdr:row>17</xdr:row>
      <xdr:rowOff>167640</xdr:rowOff>
    </xdr:from>
    <xdr:to>
      <xdr:col>14</xdr:col>
      <xdr:colOff>222580</xdr:colOff>
      <xdr:row>19</xdr:row>
      <xdr:rowOff>67083</xdr:rowOff>
    </xdr:to>
    <xdr:pic>
      <xdr:nvPicPr>
        <xdr:cNvPr id="4" name="Picture 3">
          <a:hlinkClick xmlns:r="http://schemas.openxmlformats.org/officeDocument/2006/relationships" r:id="rId9"/>
          <a:extLst>
            <a:ext uri="{FF2B5EF4-FFF2-40B4-BE49-F238E27FC236}">
              <a16:creationId xmlns:a16="http://schemas.microsoft.com/office/drawing/2014/main" id="{C9831578-9F33-EBB7-4482-1B5B14780FA6}"/>
            </a:ext>
          </a:extLst>
        </xdr:cNvPr>
        <xdr:cNvPicPr>
          <a:picLocks noChangeAspect="1"/>
        </xdr:cNvPicPr>
      </xdr:nvPicPr>
      <xdr:blipFill>
        <a:blip xmlns:r="http://schemas.openxmlformats.org/officeDocument/2006/relationships" r:embed="rId3"/>
        <a:stretch>
          <a:fillRect/>
        </a:stretch>
      </xdr:blipFill>
      <xdr:spPr>
        <a:xfrm>
          <a:off x="8138160" y="3695700"/>
          <a:ext cx="877900" cy="310923"/>
        </a:xfrm>
        <a:prstGeom prst="rect">
          <a:avLst/>
        </a:prstGeom>
      </xdr:spPr>
    </xdr:pic>
    <xdr:clientData/>
  </xdr:twoCellAnchor>
  <xdr:twoCellAnchor editAs="oneCell">
    <xdr:from>
      <xdr:col>13</xdr:col>
      <xdr:colOff>7620</xdr:colOff>
      <xdr:row>21</xdr:row>
      <xdr:rowOff>167640</xdr:rowOff>
    </xdr:from>
    <xdr:to>
      <xdr:col>14</xdr:col>
      <xdr:colOff>245440</xdr:colOff>
      <xdr:row>23</xdr:row>
      <xdr:rowOff>67083</xdr:rowOff>
    </xdr:to>
    <xdr:pic>
      <xdr:nvPicPr>
        <xdr:cNvPr id="6" name="Picture 5">
          <a:hlinkClick xmlns:r="http://schemas.openxmlformats.org/officeDocument/2006/relationships" r:id="rId10"/>
          <a:extLst>
            <a:ext uri="{FF2B5EF4-FFF2-40B4-BE49-F238E27FC236}">
              <a16:creationId xmlns:a16="http://schemas.microsoft.com/office/drawing/2014/main" id="{03036DE0-749B-A1F6-0959-088E99F1E3D6}"/>
            </a:ext>
          </a:extLst>
        </xdr:cNvPr>
        <xdr:cNvPicPr>
          <a:picLocks noChangeAspect="1"/>
        </xdr:cNvPicPr>
      </xdr:nvPicPr>
      <xdr:blipFill>
        <a:blip xmlns:r="http://schemas.openxmlformats.org/officeDocument/2006/relationships" r:embed="rId3"/>
        <a:stretch>
          <a:fillRect/>
        </a:stretch>
      </xdr:blipFill>
      <xdr:spPr>
        <a:xfrm>
          <a:off x="8161020" y="4518660"/>
          <a:ext cx="877900" cy="310923"/>
        </a:xfrm>
        <a:prstGeom prst="rect">
          <a:avLst/>
        </a:prstGeom>
      </xdr:spPr>
    </xdr:pic>
    <xdr:clientData/>
  </xdr:twoCellAnchor>
  <xdr:twoCellAnchor editAs="oneCell">
    <xdr:from>
      <xdr:col>13</xdr:col>
      <xdr:colOff>22860</xdr:colOff>
      <xdr:row>24</xdr:row>
      <xdr:rowOff>7620</xdr:rowOff>
    </xdr:from>
    <xdr:to>
      <xdr:col>14</xdr:col>
      <xdr:colOff>260680</xdr:colOff>
      <xdr:row>25</xdr:row>
      <xdr:rowOff>89943</xdr:rowOff>
    </xdr:to>
    <xdr:pic>
      <xdr:nvPicPr>
        <xdr:cNvPr id="8" name="Picture 7">
          <a:hlinkClick xmlns:r="http://schemas.openxmlformats.org/officeDocument/2006/relationships" r:id="rId11"/>
          <a:extLst>
            <a:ext uri="{FF2B5EF4-FFF2-40B4-BE49-F238E27FC236}">
              <a16:creationId xmlns:a16="http://schemas.microsoft.com/office/drawing/2014/main" id="{EC014429-F84F-15A3-B9AD-383E7FB5AD63}"/>
            </a:ext>
          </a:extLst>
        </xdr:cNvPr>
        <xdr:cNvPicPr>
          <a:picLocks noChangeAspect="1"/>
        </xdr:cNvPicPr>
      </xdr:nvPicPr>
      <xdr:blipFill>
        <a:blip xmlns:r="http://schemas.openxmlformats.org/officeDocument/2006/relationships" r:embed="rId3"/>
        <a:stretch>
          <a:fillRect/>
        </a:stretch>
      </xdr:blipFill>
      <xdr:spPr>
        <a:xfrm>
          <a:off x="8176260" y="4953000"/>
          <a:ext cx="877900" cy="310923"/>
        </a:xfrm>
        <a:prstGeom prst="rect">
          <a:avLst/>
        </a:prstGeom>
      </xdr:spPr>
    </xdr:pic>
    <xdr:clientData/>
  </xdr:twoCellAnchor>
  <xdr:twoCellAnchor editAs="oneCell">
    <xdr:from>
      <xdr:col>13</xdr:col>
      <xdr:colOff>45720</xdr:colOff>
      <xdr:row>26</xdr:row>
      <xdr:rowOff>30480</xdr:rowOff>
    </xdr:from>
    <xdr:to>
      <xdr:col>14</xdr:col>
      <xdr:colOff>283540</xdr:colOff>
      <xdr:row>27</xdr:row>
      <xdr:rowOff>112803</xdr:rowOff>
    </xdr:to>
    <xdr:pic>
      <xdr:nvPicPr>
        <xdr:cNvPr id="10" name="Picture 9">
          <a:hlinkClick xmlns:r="http://schemas.openxmlformats.org/officeDocument/2006/relationships" r:id="rId8"/>
          <a:extLst>
            <a:ext uri="{FF2B5EF4-FFF2-40B4-BE49-F238E27FC236}">
              <a16:creationId xmlns:a16="http://schemas.microsoft.com/office/drawing/2014/main" id="{662C1A97-6A6D-029A-C861-164FFF95370F}"/>
            </a:ext>
          </a:extLst>
        </xdr:cNvPr>
        <xdr:cNvPicPr>
          <a:picLocks noChangeAspect="1"/>
        </xdr:cNvPicPr>
      </xdr:nvPicPr>
      <xdr:blipFill>
        <a:blip xmlns:r="http://schemas.openxmlformats.org/officeDocument/2006/relationships" r:embed="rId3"/>
        <a:stretch>
          <a:fillRect/>
        </a:stretch>
      </xdr:blipFill>
      <xdr:spPr>
        <a:xfrm>
          <a:off x="8199120" y="5387340"/>
          <a:ext cx="877900" cy="310923"/>
        </a:xfrm>
        <a:prstGeom prst="rect">
          <a:avLst/>
        </a:prstGeom>
      </xdr:spPr>
    </xdr:pic>
    <xdr:clientData/>
  </xdr:twoCellAnchor>
  <xdr:twoCellAnchor editAs="oneCell">
    <xdr:from>
      <xdr:col>13</xdr:col>
      <xdr:colOff>68580</xdr:colOff>
      <xdr:row>28</xdr:row>
      <xdr:rowOff>53340</xdr:rowOff>
    </xdr:from>
    <xdr:to>
      <xdr:col>14</xdr:col>
      <xdr:colOff>306400</xdr:colOff>
      <xdr:row>29</xdr:row>
      <xdr:rowOff>135663</xdr:rowOff>
    </xdr:to>
    <xdr:pic>
      <xdr:nvPicPr>
        <xdr:cNvPr id="12" name="Picture 11">
          <a:hlinkClick xmlns:r="http://schemas.openxmlformats.org/officeDocument/2006/relationships" r:id="rId12"/>
          <a:extLst>
            <a:ext uri="{FF2B5EF4-FFF2-40B4-BE49-F238E27FC236}">
              <a16:creationId xmlns:a16="http://schemas.microsoft.com/office/drawing/2014/main" id="{FE492446-1328-87E8-A4A5-AD4DCC4BE443}"/>
            </a:ext>
          </a:extLst>
        </xdr:cNvPr>
        <xdr:cNvPicPr>
          <a:picLocks noChangeAspect="1"/>
        </xdr:cNvPicPr>
      </xdr:nvPicPr>
      <xdr:blipFill>
        <a:blip xmlns:r="http://schemas.openxmlformats.org/officeDocument/2006/relationships" r:embed="rId3"/>
        <a:stretch>
          <a:fillRect/>
        </a:stretch>
      </xdr:blipFill>
      <xdr:spPr>
        <a:xfrm>
          <a:off x="8221980" y="5821680"/>
          <a:ext cx="877900" cy="310923"/>
        </a:xfrm>
        <a:prstGeom prst="rect">
          <a:avLst/>
        </a:prstGeom>
      </xdr:spPr>
    </xdr:pic>
    <xdr:clientData/>
  </xdr:twoCellAnchor>
  <xdr:twoCellAnchor editAs="oneCell">
    <xdr:from>
      <xdr:col>13</xdr:col>
      <xdr:colOff>76200</xdr:colOff>
      <xdr:row>30</xdr:row>
      <xdr:rowOff>76200</xdr:rowOff>
    </xdr:from>
    <xdr:to>
      <xdr:col>14</xdr:col>
      <xdr:colOff>314020</xdr:colOff>
      <xdr:row>31</xdr:row>
      <xdr:rowOff>158523</xdr:rowOff>
    </xdr:to>
    <xdr:pic>
      <xdr:nvPicPr>
        <xdr:cNvPr id="14" name="Picture 13">
          <a:hlinkClick xmlns:r="http://schemas.openxmlformats.org/officeDocument/2006/relationships" r:id="rId13"/>
          <a:extLst>
            <a:ext uri="{FF2B5EF4-FFF2-40B4-BE49-F238E27FC236}">
              <a16:creationId xmlns:a16="http://schemas.microsoft.com/office/drawing/2014/main" id="{B8647757-D73A-1816-475D-BF7B3521C144}"/>
            </a:ext>
          </a:extLst>
        </xdr:cNvPr>
        <xdr:cNvPicPr>
          <a:picLocks noChangeAspect="1"/>
        </xdr:cNvPicPr>
      </xdr:nvPicPr>
      <xdr:blipFill>
        <a:blip xmlns:r="http://schemas.openxmlformats.org/officeDocument/2006/relationships" r:embed="rId3"/>
        <a:stretch>
          <a:fillRect/>
        </a:stretch>
      </xdr:blipFill>
      <xdr:spPr>
        <a:xfrm>
          <a:off x="8229600" y="6256020"/>
          <a:ext cx="877900" cy="31092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15240</xdr:colOff>
          <xdr:row>1</xdr:row>
          <xdr:rowOff>15240</xdr:rowOff>
        </xdr:from>
        <xdr:to>
          <xdr:col>7</xdr:col>
          <xdr:colOff>7620</xdr:colOff>
          <xdr:row>2</xdr:row>
          <xdr:rowOff>167640</xdr:rowOff>
        </xdr:to>
        <xdr:sp macro="" textlink="">
          <xdr:nvSpPr>
            <xdr:cNvPr id="100353" name="Button 1" hidden="1">
              <a:extLst>
                <a:ext uri="{63B3BB69-23CF-44E3-9099-C40C66FF867C}">
                  <a14:compatExt spid="_x0000_s100353"/>
                </a:ext>
                <a:ext uri="{FF2B5EF4-FFF2-40B4-BE49-F238E27FC236}">
                  <a16:creationId xmlns:a16="http://schemas.microsoft.com/office/drawing/2014/main" id="{00000000-0008-0000-1100-0000018801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0" i="0" u="none" strike="noStrike" baseline="0">
                  <a:solidFill>
                    <a:srgbClr val="000000"/>
                  </a:solidFill>
                  <a:latin typeface="Calibri"/>
                  <a:ea typeface="Calibri"/>
                  <a:cs typeface="Calibri"/>
                </a:rPr>
                <a:t>Forecaste Demand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388620</xdr:colOff>
          <xdr:row>6</xdr:row>
          <xdr:rowOff>144780</xdr:rowOff>
        </xdr:from>
        <xdr:to>
          <xdr:col>8</xdr:col>
          <xdr:colOff>22860</xdr:colOff>
          <xdr:row>9</xdr:row>
          <xdr:rowOff>7620</xdr:rowOff>
        </xdr:to>
        <xdr:sp macro="" textlink="">
          <xdr:nvSpPr>
            <xdr:cNvPr id="100354" name="Button 2" hidden="1">
              <a:extLst>
                <a:ext uri="{63B3BB69-23CF-44E3-9099-C40C66FF867C}">
                  <a14:compatExt spid="_x0000_s100354"/>
                </a:ext>
                <a:ext uri="{FF2B5EF4-FFF2-40B4-BE49-F238E27FC236}">
                  <a16:creationId xmlns:a16="http://schemas.microsoft.com/office/drawing/2014/main" id="{00000000-0008-0000-1100-0000028801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0" i="0" u="none" strike="noStrike" baseline="0">
                  <a:solidFill>
                    <a:srgbClr val="000000"/>
                  </a:solidFill>
                  <a:latin typeface="Calibri"/>
                  <a:ea typeface="Calibri"/>
                  <a:cs typeface="Calibri"/>
                </a:rPr>
                <a:t>Refresh All</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5</xdr:col>
      <xdr:colOff>220980</xdr:colOff>
      <xdr:row>2</xdr:row>
      <xdr:rowOff>99060</xdr:rowOff>
    </xdr:from>
    <xdr:to>
      <xdr:col>17</xdr:col>
      <xdr:colOff>573405</xdr:colOff>
      <xdr:row>24</xdr:row>
      <xdr:rowOff>99060</xdr:rowOff>
    </xdr:to>
    <xdr:graphicFrame macro="">
      <xdr:nvGraphicFramePr>
        <xdr:cNvPr id="2" name="Chart 1">
          <a:extLst>
            <a:ext uri="{FF2B5EF4-FFF2-40B4-BE49-F238E27FC236}">
              <a16:creationId xmlns:a16="http://schemas.microsoft.com/office/drawing/2014/main" id="{59946CCD-7E36-8A02-08C9-2327446CC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198120</xdr:colOff>
      <xdr:row>3</xdr:row>
      <xdr:rowOff>26670</xdr:rowOff>
    </xdr:from>
    <xdr:to>
      <xdr:col>16</xdr:col>
      <xdr:colOff>129540</xdr:colOff>
      <xdr:row>28</xdr:row>
      <xdr:rowOff>7620</xdr:rowOff>
    </xdr:to>
    <xdr:graphicFrame macro="">
      <xdr:nvGraphicFramePr>
        <xdr:cNvPr id="2" name="Chart 1">
          <a:extLst>
            <a:ext uri="{FF2B5EF4-FFF2-40B4-BE49-F238E27FC236}">
              <a16:creationId xmlns:a16="http://schemas.microsoft.com/office/drawing/2014/main" id="{25BA5ED8-3A71-0E66-4D16-0BCD88CCDE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38100</xdr:colOff>
      <xdr:row>3</xdr:row>
      <xdr:rowOff>121920</xdr:rowOff>
    </xdr:from>
    <xdr:to>
      <xdr:col>20</xdr:col>
      <xdr:colOff>38100</xdr:colOff>
      <xdr:row>17</xdr:row>
      <xdr:rowOff>28575</xdr:rowOff>
    </xdr:to>
    <mc:AlternateContent xmlns:mc="http://schemas.openxmlformats.org/markup-compatibility/2006" xmlns:a14="http://schemas.microsoft.com/office/drawing/2010/main">
      <mc:Choice Requires="a14">
        <xdr:graphicFrame macro="">
          <xdr:nvGraphicFramePr>
            <xdr:cNvPr id="3" name="Vehicle_Type 19">
              <a:extLst>
                <a:ext uri="{FF2B5EF4-FFF2-40B4-BE49-F238E27FC236}">
                  <a16:creationId xmlns:a16="http://schemas.microsoft.com/office/drawing/2014/main" id="{BE7381A6-E5EF-5138-3002-4DF97347B46F}"/>
                </a:ext>
              </a:extLst>
            </xdr:cNvPr>
            <xdr:cNvGraphicFramePr/>
          </xdr:nvGraphicFramePr>
          <xdr:xfrm>
            <a:off x="0" y="0"/>
            <a:ext cx="0" cy="0"/>
          </xdr:xfrm>
          <a:graphic>
            <a:graphicData uri="http://schemas.microsoft.com/office/drawing/2010/slicer">
              <sle:slicer xmlns:sle="http://schemas.microsoft.com/office/drawing/2010/slicer" name="Vehicle_Type 19"/>
            </a:graphicData>
          </a:graphic>
        </xdr:graphicFrame>
      </mc:Choice>
      <mc:Fallback xmlns="">
        <xdr:sp macro="" textlink="">
          <xdr:nvSpPr>
            <xdr:cNvPr id="0" name=""/>
            <xdr:cNvSpPr>
              <a:spLocks noTextEdit="1"/>
            </xdr:cNvSpPr>
          </xdr:nvSpPr>
          <xdr:spPr>
            <a:xfrm>
              <a:off x="11178540" y="670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83820</xdr:colOff>
      <xdr:row>1</xdr:row>
      <xdr:rowOff>156210</xdr:rowOff>
    </xdr:from>
    <xdr:to>
      <xdr:col>15</xdr:col>
      <xdr:colOff>15240</xdr:colOff>
      <xdr:row>24</xdr:row>
      <xdr:rowOff>99060</xdr:rowOff>
    </xdr:to>
    <xdr:graphicFrame macro="">
      <xdr:nvGraphicFramePr>
        <xdr:cNvPr id="3" name="Chart 2">
          <a:extLst>
            <a:ext uri="{FF2B5EF4-FFF2-40B4-BE49-F238E27FC236}">
              <a16:creationId xmlns:a16="http://schemas.microsoft.com/office/drawing/2014/main" id="{B978430B-2903-C4F8-5017-5C7995EFE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434340</xdr:colOff>
      <xdr:row>1</xdr:row>
      <xdr:rowOff>45720</xdr:rowOff>
    </xdr:from>
    <xdr:to>
      <xdr:col>19</xdr:col>
      <xdr:colOff>434340</xdr:colOff>
      <xdr:row>14</xdr:row>
      <xdr:rowOff>135255</xdr:rowOff>
    </xdr:to>
    <mc:AlternateContent xmlns:mc="http://schemas.openxmlformats.org/markup-compatibility/2006" xmlns:a14="http://schemas.microsoft.com/office/drawing/2010/main">
      <mc:Choice Requires="a14">
        <xdr:graphicFrame macro="">
          <xdr:nvGraphicFramePr>
            <xdr:cNvPr id="4" name="Region 9">
              <a:extLst>
                <a:ext uri="{FF2B5EF4-FFF2-40B4-BE49-F238E27FC236}">
                  <a16:creationId xmlns:a16="http://schemas.microsoft.com/office/drawing/2014/main" id="{95F174DD-BF30-9744-B2DB-94FBAF98D783}"/>
                </a:ext>
              </a:extLst>
            </xdr:cNvPr>
            <xdr:cNvGraphicFramePr/>
          </xdr:nvGraphicFramePr>
          <xdr:xfrm>
            <a:off x="0" y="0"/>
            <a:ext cx="0" cy="0"/>
          </xdr:xfrm>
          <a:graphic>
            <a:graphicData uri="http://schemas.microsoft.com/office/drawing/2010/slicer">
              <sle:slicer xmlns:sle="http://schemas.microsoft.com/office/drawing/2010/slicer" name="Region 9"/>
            </a:graphicData>
          </a:graphic>
        </xdr:graphicFrame>
      </mc:Choice>
      <mc:Fallback xmlns="">
        <xdr:sp macro="" textlink="">
          <xdr:nvSpPr>
            <xdr:cNvPr id="0" name=""/>
            <xdr:cNvSpPr>
              <a:spLocks noTextEdit="1"/>
            </xdr:cNvSpPr>
          </xdr:nvSpPr>
          <xdr:spPr>
            <a:xfrm>
              <a:off x="11178540" y="228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274320</xdr:colOff>
      <xdr:row>3</xdr:row>
      <xdr:rowOff>72390</xdr:rowOff>
    </xdr:from>
    <xdr:to>
      <xdr:col>17</xdr:col>
      <xdr:colOff>83820</xdr:colOff>
      <xdr:row>26</xdr:row>
      <xdr:rowOff>167640</xdr:rowOff>
    </xdr:to>
    <xdr:graphicFrame macro="">
      <xdr:nvGraphicFramePr>
        <xdr:cNvPr id="2" name="Chart 1">
          <a:extLst>
            <a:ext uri="{FF2B5EF4-FFF2-40B4-BE49-F238E27FC236}">
              <a16:creationId xmlns:a16="http://schemas.microsoft.com/office/drawing/2014/main" id="{0636DC78-91A1-0772-6832-65393CC16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6</xdr:row>
      <xdr:rowOff>0</xdr:rowOff>
    </xdr:from>
    <xdr:to>
      <xdr:col>9</xdr:col>
      <xdr:colOff>304800</xdr:colOff>
      <xdr:row>21</xdr:row>
      <xdr:rowOff>38100</xdr:rowOff>
    </xdr:to>
    <xdr:graphicFrame macro="">
      <xdr:nvGraphicFramePr>
        <xdr:cNvPr id="2" name="Chart 1">
          <a:extLst>
            <a:ext uri="{FF2B5EF4-FFF2-40B4-BE49-F238E27FC236}">
              <a16:creationId xmlns:a16="http://schemas.microsoft.com/office/drawing/2014/main" id="{CF19EE98-71E1-4DB3-9DA7-3AE676560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335280</xdr:colOff>
      <xdr:row>6</xdr:row>
      <xdr:rowOff>0</xdr:rowOff>
    </xdr:from>
    <xdr:to>
      <xdr:col>16</xdr:col>
      <xdr:colOff>624840</xdr:colOff>
      <xdr:row>21</xdr:row>
      <xdr:rowOff>38100</xdr:rowOff>
    </xdr:to>
    <xdr:graphicFrame macro="">
      <xdr:nvGraphicFramePr>
        <xdr:cNvPr id="3" name="Chart 2">
          <a:extLst>
            <a:ext uri="{FF2B5EF4-FFF2-40B4-BE49-F238E27FC236}">
              <a16:creationId xmlns:a16="http://schemas.microsoft.com/office/drawing/2014/main" id="{3A2F14C7-38D9-45A3-8573-0FB6819EA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693420</xdr:colOff>
      <xdr:row>21</xdr:row>
      <xdr:rowOff>83820</xdr:rowOff>
    </xdr:from>
    <xdr:to>
      <xdr:col>13</xdr:col>
      <xdr:colOff>601980</xdr:colOff>
      <xdr:row>36</xdr:row>
      <xdr:rowOff>83820</xdr:rowOff>
    </xdr:to>
    <xdr:graphicFrame macro="">
      <xdr:nvGraphicFramePr>
        <xdr:cNvPr id="4" name="Chart 3">
          <a:extLst>
            <a:ext uri="{FF2B5EF4-FFF2-40B4-BE49-F238E27FC236}">
              <a16:creationId xmlns:a16="http://schemas.microsoft.com/office/drawing/2014/main" id="{82608E05-E216-4681-A685-155A202F7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30480</xdr:colOff>
      <xdr:row>21</xdr:row>
      <xdr:rowOff>60960</xdr:rowOff>
    </xdr:from>
    <xdr:to>
      <xdr:col>16</xdr:col>
      <xdr:colOff>640080</xdr:colOff>
      <xdr:row>36</xdr:row>
      <xdr:rowOff>83820</xdr:rowOff>
    </xdr:to>
    <mc:AlternateContent xmlns:mc="http://schemas.openxmlformats.org/markup-compatibility/2006" xmlns:a14="http://schemas.microsoft.com/office/drawing/2010/main">
      <mc:Choice Requires="a14">
        <xdr:graphicFrame macro="">
          <xdr:nvGraphicFramePr>
            <xdr:cNvPr id="5" name="Region 10">
              <a:extLst>
                <a:ext uri="{FF2B5EF4-FFF2-40B4-BE49-F238E27FC236}">
                  <a16:creationId xmlns:a16="http://schemas.microsoft.com/office/drawing/2014/main" id="{DD34BA81-AA4F-4F51-9378-69BC4810FC41}"/>
                </a:ext>
              </a:extLst>
            </xdr:cNvPr>
            <xdr:cNvGraphicFramePr/>
          </xdr:nvGraphicFramePr>
          <xdr:xfrm>
            <a:off x="0" y="0"/>
            <a:ext cx="0" cy="0"/>
          </xdr:xfrm>
          <a:graphic>
            <a:graphicData uri="http://schemas.microsoft.com/office/drawing/2010/slicer">
              <sle:slicer xmlns:sle="http://schemas.microsoft.com/office/drawing/2010/slicer" name="Region 10"/>
            </a:graphicData>
          </a:graphic>
        </xdr:graphicFrame>
      </mc:Choice>
      <mc:Fallback xmlns="">
        <xdr:sp macro="" textlink="">
          <xdr:nvSpPr>
            <xdr:cNvPr id="0" name=""/>
            <xdr:cNvSpPr>
              <a:spLocks noTextEdit="1"/>
            </xdr:cNvSpPr>
          </xdr:nvSpPr>
          <xdr:spPr>
            <a:xfrm>
              <a:off x="10203180" y="4061460"/>
              <a:ext cx="1828800" cy="2766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22860</xdr:colOff>
      <xdr:row>21</xdr:row>
      <xdr:rowOff>91440</xdr:rowOff>
    </xdr:from>
    <xdr:to>
      <xdr:col>4</xdr:col>
      <xdr:colOff>662940</xdr:colOff>
      <xdr:row>36</xdr:row>
      <xdr:rowOff>68580</xdr:rowOff>
    </xdr:to>
    <mc:AlternateContent xmlns:mc="http://schemas.openxmlformats.org/markup-compatibility/2006" xmlns:a14="http://schemas.microsoft.com/office/drawing/2010/main">
      <mc:Choice Requires="a14">
        <xdr:graphicFrame macro="">
          <xdr:nvGraphicFramePr>
            <xdr:cNvPr id="6" name="Vehicle_Type 20">
              <a:extLst>
                <a:ext uri="{FF2B5EF4-FFF2-40B4-BE49-F238E27FC236}">
                  <a16:creationId xmlns:a16="http://schemas.microsoft.com/office/drawing/2014/main" id="{722F7BA7-55B3-4461-BA0C-2E5103F7D6A3}"/>
                </a:ext>
              </a:extLst>
            </xdr:cNvPr>
            <xdr:cNvGraphicFramePr/>
          </xdr:nvGraphicFramePr>
          <xdr:xfrm>
            <a:off x="0" y="0"/>
            <a:ext cx="0" cy="0"/>
          </xdr:xfrm>
          <a:graphic>
            <a:graphicData uri="http://schemas.microsoft.com/office/drawing/2010/slicer">
              <sle:slicer xmlns:sle="http://schemas.microsoft.com/office/drawing/2010/slicer" name="Vehicle_Type 20"/>
            </a:graphicData>
          </a:graphic>
        </xdr:graphicFrame>
      </mc:Choice>
      <mc:Fallback xmlns="">
        <xdr:sp macro="" textlink="">
          <xdr:nvSpPr>
            <xdr:cNvPr id="0" name=""/>
            <xdr:cNvSpPr>
              <a:spLocks noTextEdit="1"/>
            </xdr:cNvSpPr>
          </xdr:nvSpPr>
          <xdr:spPr>
            <a:xfrm>
              <a:off x="1242060" y="4091940"/>
              <a:ext cx="1828800" cy="2720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xdr:from>
          <xdr:col>16</xdr:col>
          <xdr:colOff>1097280</xdr:colOff>
          <xdr:row>6</xdr:row>
          <xdr:rowOff>121920</xdr:rowOff>
        </xdr:from>
        <xdr:to>
          <xdr:col>18</xdr:col>
          <xdr:colOff>251460</xdr:colOff>
          <xdr:row>9</xdr:row>
          <xdr:rowOff>38100</xdr:rowOff>
        </xdr:to>
        <xdr:sp macro="" textlink="">
          <xdr:nvSpPr>
            <xdr:cNvPr id="165889" name="Button 1" hidden="1">
              <a:extLst>
                <a:ext uri="{63B3BB69-23CF-44E3-9099-C40C66FF867C}">
                  <a14:compatExt spid="_x0000_s165889"/>
                </a:ext>
                <a:ext uri="{FF2B5EF4-FFF2-40B4-BE49-F238E27FC236}">
                  <a16:creationId xmlns:a16="http://schemas.microsoft.com/office/drawing/2014/main" id="{00000000-0008-0000-1C00-0000018802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0" i="0" u="none" strike="noStrike" baseline="0">
                  <a:solidFill>
                    <a:srgbClr val="000000"/>
                  </a:solidFill>
                  <a:latin typeface="Calibri"/>
                  <a:ea typeface="Calibri"/>
                  <a:cs typeface="Calibri"/>
                </a:rPr>
                <a:t>Refresh</a:t>
              </a:r>
            </a:p>
          </xdr:txBody>
        </xdr:sp>
        <xdr:clientData fPrintsWithSheet="0"/>
      </xdr:twoCellAnchor>
    </mc:Choice>
    <mc:Fallback/>
  </mc:AlternateContent>
  <xdr:twoCellAnchor>
    <xdr:from>
      <xdr:col>15</xdr:col>
      <xdr:colOff>0</xdr:colOff>
      <xdr:row>1</xdr:row>
      <xdr:rowOff>0</xdr:rowOff>
    </xdr:from>
    <xdr:to>
      <xdr:col>16</xdr:col>
      <xdr:colOff>548640</xdr:colOff>
      <xdr:row>2</xdr:row>
      <xdr:rowOff>76200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A44566E1-1E0F-4156-BCEE-AA916680C177}"/>
            </a:ext>
          </a:extLst>
        </xdr:cNvPr>
        <xdr:cNvSpPr/>
      </xdr:nvSpPr>
      <xdr:spPr>
        <a:xfrm>
          <a:off x="10782300" y="182880"/>
          <a:ext cx="1158240" cy="37338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106680</xdr:colOff>
      <xdr:row>3</xdr:row>
      <xdr:rowOff>99060</xdr:rowOff>
    </xdr:from>
    <xdr:to>
      <xdr:col>15</xdr:col>
      <xdr:colOff>106680</xdr:colOff>
      <xdr:row>17</xdr:row>
      <xdr:rowOff>5715</xdr:rowOff>
    </xdr:to>
    <mc:AlternateContent xmlns:mc="http://schemas.openxmlformats.org/markup-compatibility/2006" xmlns:a14="http://schemas.microsoft.com/office/drawing/2010/main">
      <mc:Choice Requires="a14">
        <xdr:graphicFrame macro="">
          <xdr:nvGraphicFramePr>
            <xdr:cNvPr id="2" name="Campaign_Channel">
              <a:extLst>
                <a:ext uri="{FF2B5EF4-FFF2-40B4-BE49-F238E27FC236}">
                  <a16:creationId xmlns:a16="http://schemas.microsoft.com/office/drawing/2014/main" id="{73EE93BA-53F6-3E2B-5B28-3AFCCF9012AD}"/>
                </a:ext>
              </a:extLst>
            </xdr:cNvPr>
            <xdr:cNvGraphicFramePr/>
          </xdr:nvGraphicFramePr>
          <xdr:xfrm>
            <a:off x="0" y="0"/>
            <a:ext cx="0" cy="0"/>
          </xdr:xfrm>
          <a:graphic>
            <a:graphicData uri="http://schemas.microsoft.com/office/drawing/2010/slicer">
              <sle:slicer xmlns:sle="http://schemas.microsoft.com/office/drawing/2010/slicer" name="Campaign_Channel"/>
            </a:graphicData>
          </a:graphic>
        </xdr:graphicFrame>
      </mc:Choice>
      <mc:Fallback xmlns="">
        <xdr:sp macro="" textlink="">
          <xdr:nvSpPr>
            <xdr:cNvPr id="0" name=""/>
            <xdr:cNvSpPr>
              <a:spLocks noTextEdit="1"/>
            </xdr:cNvSpPr>
          </xdr:nvSpPr>
          <xdr:spPr>
            <a:xfrm>
              <a:off x="7802880" y="647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205740</xdr:colOff>
      <xdr:row>1</xdr:row>
      <xdr:rowOff>140970</xdr:rowOff>
    </xdr:from>
    <xdr:to>
      <xdr:col>11</xdr:col>
      <xdr:colOff>449580</xdr:colOff>
      <xdr:row>16</xdr:row>
      <xdr:rowOff>140970</xdr:rowOff>
    </xdr:to>
    <xdr:graphicFrame macro="">
      <xdr:nvGraphicFramePr>
        <xdr:cNvPr id="4" name="Chart 3">
          <a:extLst>
            <a:ext uri="{FF2B5EF4-FFF2-40B4-BE49-F238E27FC236}">
              <a16:creationId xmlns:a16="http://schemas.microsoft.com/office/drawing/2014/main" id="{9679E687-EBC7-C0E2-A4E1-BB9671DC6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502920</xdr:colOff>
      <xdr:row>1</xdr:row>
      <xdr:rowOff>34290</xdr:rowOff>
    </xdr:from>
    <xdr:to>
      <xdr:col>12</xdr:col>
      <xdr:colOff>274320</xdr:colOff>
      <xdr:row>16</xdr:row>
      <xdr:rowOff>34290</xdr:rowOff>
    </xdr:to>
    <xdr:graphicFrame macro="">
      <xdr:nvGraphicFramePr>
        <xdr:cNvPr id="2" name="Chart 1">
          <a:extLst>
            <a:ext uri="{FF2B5EF4-FFF2-40B4-BE49-F238E27FC236}">
              <a16:creationId xmlns:a16="http://schemas.microsoft.com/office/drawing/2014/main" id="{F332DE19-EA25-70CD-20A9-D4D169F16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426720</xdr:colOff>
      <xdr:row>1</xdr:row>
      <xdr:rowOff>83820</xdr:rowOff>
    </xdr:from>
    <xdr:to>
      <xdr:col>15</xdr:col>
      <xdr:colOff>426720</xdr:colOff>
      <xdr:row>14</xdr:row>
      <xdr:rowOff>173355</xdr:rowOff>
    </xdr:to>
    <mc:AlternateContent xmlns:mc="http://schemas.openxmlformats.org/markup-compatibility/2006" xmlns:a14="http://schemas.microsoft.com/office/drawing/2010/main">
      <mc:Choice Requires="a14">
        <xdr:graphicFrame macro="">
          <xdr:nvGraphicFramePr>
            <xdr:cNvPr id="3" name="Region 3">
              <a:extLst>
                <a:ext uri="{FF2B5EF4-FFF2-40B4-BE49-F238E27FC236}">
                  <a16:creationId xmlns:a16="http://schemas.microsoft.com/office/drawing/2014/main" id="{9EA3B2D9-7953-F75F-EF56-FD73014E9676}"/>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9265920" y="266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3</xdr:col>
      <xdr:colOff>99060</xdr:colOff>
      <xdr:row>5</xdr:row>
      <xdr:rowOff>80010</xdr:rowOff>
    </xdr:from>
    <xdr:to>
      <xdr:col>10</xdr:col>
      <xdr:colOff>403860</xdr:colOff>
      <xdr:row>20</xdr:row>
      <xdr:rowOff>80010</xdr:rowOff>
    </xdr:to>
    <xdr:graphicFrame macro="">
      <xdr:nvGraphicFramePr>
        <xdr:cNvPr id="2" name="Chart 1">
          <a:extLst>
            <a:ext uri="{FF2B5EF4-FFF2-40B4-BE49-F238E27FC236}">
              <a16:creationId xmlns:a16="http://schemas.microsoft.com/office/drawing/2014/main" id="{1538772A-0874-145F-021F-4B0952491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4</xdr:row>
      <xdr:rowOff>114300</xdr:rowOff>
    </xdr:from>
    <xdr:to>
      <xdr:col>15</xdr:col>
      <xdr:colOff>0</xdr:colOff>
      <xdr:row>18</xdr:row>
      <xdr:rowOff>20955</xdr:rowOff>
    </xdr:to>
    <mc:AlternateContent xmlns:mc="http://schemas.openxmlformats.org/markup-compatibility/2006" xmlns:a14="http://schemas.microsoft.com/office/drawing/2010/main">
      <mc:Choice Requires="a14">
        <xdr:graphicFrame macro="">
          <xdr:nvGraphicFramePr>
            <xdr:cNvPr id="3" name="Vehicle_Type 16">
              <a:extLst>
                <a:ext uri="{FF2B5EF4-FFF2-40B4-BE49-F238E27FC236}">
                  <a16:creationId xmlns:a16="http://schemas.microsoft.com/office/drawing/2014/main" id="{5E2C13E1-BDF5-7FD0-4381-41255D286E7C}"/>
                </a:ext>
              </a:extLst>
            </xdr:cNvPr>
            <xdr:cNvGraphicFramePr/>
          </xdr:nvGraphicFramePr>
          <xdr:xfrm>
            <a:off x="0" y="0"/>
            <a:ext cx="0" cy="0"/>
          </xdr:xfrm>
          <a:graphic>
            <a:graphicData uri="http://schemas.microsoft.com/office/drawing/2010/slicer">
              <sle:slicer xmlns:sle="http://schemas.microsoft.com/office/drawing/2010/slicer" name="Vehicle_Type 16"/>
            </a:graphicData>
          </a:graphic>
        </xdr:graphicFrame>
      </mc:Choice>
      <mc:Fallback xmlns="">
        <xdr:sp macro="" textlink="">
          <xdr:nvSpPr>
            <xdr:cNvPr id="0" name=""/>
            <xdr:cNvSpPr>
              <a:spLocks noTextEdit="1"/>
            </xdr:cNvSpPr>
          </xdr:nvSpPr>
          <xdr:spPr>
            <a:xfrm>
              <a:off x="8519160" y="845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106680</xdr:colOff>
      <xdr:row>3</xdr:row>
      <xdr:rowOff>0</xdr:rowOff>
    </xdr:from>
    <xdr:to>
      <xdr:col>16</xdr:col>
      <xdr:colOff>106680</xdr:colOff>
      <xdr:row>16</xdr:row>
      <xdr:rowOff>89535</xdr:rowOff>
    </xdr:to>
    <mc:AlternateContent xmlns:mc="http://schemas.openxmlformats.org/markup-compatibility/2006" xmlns:a14="http://schemas.microsoft.com/office/drawing/2010/main">
      <mc:Choice Requires="a14">
        <xdr:graphicFrame macro="">
          <xdr:nvGraphicFramePr>
            <xdr:cNvPr id="3" name="Vehicle_Type 17">
              <a:extLst>
                <a:ext uri="{FF2B5EF4-FFF2-40B4-BE49-F238E27FC236}">
                  <a16:creationId xmlns:a16="http://schemas.microsoft.com/office/drawing/2014/main" id="{31DFD2AB-7194-E17A-6087-938F4136EB36}"/>
                </a:ext>
              </a:extLst>
            </xdr:cNvPr>
            <xdr:cNvGraphicFramePr/>
          </xdr:nvGraphicFramePr>
          <xdr:xfrm>
            <a:off x="0" y="0"/>
            <a:ext cx="0" cy="0"/>
          </xdr:xfrm>
          <a:graphic>
            <a:graphicData uri="http://schemas.microsoft.com/office/drawing/2010/slicer">
              <sle:slicer xmlns:sle="http://schemas.microsoft.com/office/drawing/2010/slicer" name="Vehicle_Type 17"/>
            </a:graphicData>
          </a:graphic>
        </xdr:graphicFrame>
      </mc:Choice>
      <mc:Fallback xmlns="">
        <xdr:sp macro="" textlink="">
          <xdr:nvSpPr>
            <xdr:cNvPr id="0" name=""/>
            <xdr:cNvSpPr>
              <a:spLocks noTextEdit="1"/>
            </xdr:cNvSpPr>
          </xdr:nvSpPr>
          <xdr:spPr>
            <a:xfrm>
              <a:off x="9593580" y="548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297180</xdr:colOff>
      <xdr:row>2</xdr:row>
      <xdr:rowOff>49530</xdr:rowOff>
    </xdr:from>
    <xdr:to>
      <xdr:col>12</xdr:col>
      <xdr:colOff>350520</xdr:colOff>
      <xdr:row>17</xdr:row>
      <xdr:rowOff>49530</xdr:rowOff>
    </xdr:to>
    <xdr:graphicFrame macro="">
      <xdr:nvGraphicFramePr>
        <xdr:cNvPr id="4" name="Chart 3">
          <a:extLst>
            <a:ext uri="{FF2B5EF4-FFF2-40B4-BE49-F238E27FC236}">
              <a16:creationId xmlns:a16="http://schemas.microsoft.com/office/drawing/2014/main" id="{4F850D6D-CE49-0909-D4B0-A577BDC3A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510540</xdr:colOff>
      <xdr:row>6</xdr:row>
      <xdr:rowOff>160020</xdr:rowOff>
    </xdr:from>
    <xdr:to>
      <xdr:col>11</xdr:col>
      <xdr:colOff>274320</xdr:colOff>
      <xdr:row>21</xdr:row>
      <xdr:rowOff>160020</xdr:rowOff>
    </xdr:to>
    <xdr:graphicFrame macro="">
      <xdr:nvGraphicFramePr>
        <xdr:cNvPr id="2" name="Chart 1">
          <a:extLst>
            <a:ext uri="{FF2B5EF4-FFF2-40B4-BE49-F238E27FC236}">
              <a16:creationId xmlns:a16="http://schemas.microsoft.com/office/drawing/2014/main" id="{DD2329EE-951C-468F-8914-4CA8CA179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281940</xdr:colOff>
      <xdr:row>6</xdr:row>
      <xdr:rowOff>137160</xdr:rowOff>
    </xdr:from>
    <xdr:to>
      <xdr:col>18</xdr:col>
      <xdr:colOff>144780</xdr:colOff>
      <xdr:row>21</xdr:row>
      <xdr:rowOff>137160</xdr:rowOff>
    </xdr:to>
    <xdr:graphicFrame macro="">
      <xdr:nvGraphicFramePr>
        <xdr:cNvPr id="3" name="Chart 2">
          <a:extLst>
            <a:ext uri="{FF2B5EF4-FFF2-40B4-BE49-F238E27FC236}">
              <a16:creationId xmlns:a16="http://schemas.microsoft.com/office/drawing/2014/main" id="{78452B0B-69B6-439C-8A91-A70503321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586740</xdr:colOff>
      <xdr:row>7</xdr:row>
      <xdr:rowOff>7620</xdr:rowOff>
    </xdr:from>
    <xdr:to>
      <xdr:col>4</xdr:col>
      <xdr:colOff>464820</xdr:colOff>
      <xdr:row>22</xdr:row>
      <xdr:rowOff>0</xdr:rowOff>
    </xdr:to>
    <mc:AlternateContent xmlns:mc="http://schemas.openxmlformats.org/markup-compatibility/2006" xmlns:a14="http://schemas.microsoft.com/office/drawing/2010/main">
      <mc:Choice Requires="a14">
        <xdr:graphicFrame macro="">
          <xdr:nvGraphicFramePr>
            <xdr:cNvPr id="4" name="Campaign_Channel 1">
              <a:extLst>
                <a:ext uri="{FF2B5EF4-FFF2-40B4-BE49-F238E27FC236}">
                  <a16:creationId xmlns:a16="http://schemas.microsoft.com/office/drawing/2014/main" id="{EE0AA3E8-78A4-4343-9FFC-ACB6B3A7A9F9}"/>
                </a:ext>
              </a:extLst>
            </xdr:cNvPr>
            <xdr:cNvGraphicFramePr/>
          </xdr:nvGraphicFramePr>
          <xdr:xfrm>
            <a:off x="0" y="0"/>
            <a:ext cx="0" cy="0"/>
          </xdr:xfrm>
          <a:graphic>
            <a:graphicData uri="http://schemas.microsoft.com/office/drawing/2010/slicer">
              <sle:slicer xmlns:sle="http://schemas.microsoft.com/office/drawing/2010/slicer" name="Campaign_Channel 1"/>
            </a:graphicData>
          </a:graphic>
        </xdr:graphicFrame>
      </mc:Choice>
      <mc:Fallback xmlns="">
        <xdr:sp macro="" textlink="">
          <xdr:nvSpPr>
            <xdr:cNvPr id="0" name=""/>
            <xdr:cNvSpPr>
              <a:spLocks noTextEdit="1"/>
            </xdr:cNvSpPr>
          </xdr:nvSpPr>
          <xdr:spPr>
            <a:xfrm>
              <a:off x="1196340" y="1333500"/>
              <a:ext cx="1828800" cy="2735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213360</xdr:colOff>
      <xdr:row>6</xdr:row>
      <xdr:rowOff>106680</xdr:rowOff>
    </xdr:from>
    <xdr:to>
      <xdr:col>20</xdr:col>
      <xdr:colOff>342901</xdr:colOff>
      <xdr:row>21</xdr:row>
      <xdr:rowOff>129540</xdr:rowOff>
    </xdr:to>
    <mc:AlternateContent xmlns:mc="http://schemas.openxmlformats.org/markup-compatibility/2006" xmlns:a14="http://schemas.microsoft.com/office/drawing/2010/main">
      <mc:Choice Requires="a14">
        <xdr:graphicFrame macro="">
          <xdr:nvGraphicFramePr>
            <xdr:cNvPr id="5" name="Region 8">
              <a:extLst>
                <a:ext uri="{FF2B5EF4-FFF2-40B4-BE49-F238E27FC236}">
                  <a16:creationId xmlns:a16="http://schemas.microsoft.com/office/drawing/2014/main" id="{992350BD-63DB-4143-B128-5E3BA422719C}"/>
                </a:ext>
              </a:extLst>
            </xdr:cNvPr>
            <xdr:cNvGraphicFramePr/>
          </xdr:nvGraphicFramePr>
          <xdr:xfrm>
            <a:off x="0" y="0"/>
            <a:ext cx="0" cy="0"/>
          </xdr:xfrm>
          <a:graphic>
            <a:graphicData uri="http://schemas.microsoft.com/office/drawing/2010/slicer">
              <sle:slicer xmlns:sle="http://schemas.microsoft.com/office/drawing/2010/slicer" name="Region 8"/>
            </a:graphicData>
          </a:graphic>
        </xdr:graphicFrame>
      </mc:Choice>
      <mc:Fallback xmlns="">
        <xdr:sp macro="" textlink="">
          <xdr:nvSpPr>
            <xdr:cNvPr id="0" name=""/>
            <xdr:cNvSpPr>
              <a:spLocks noTextEdit="1"/>
            </xdr:cNvSpPr>
          </xdr:nvSpPr>
          <xdr:spPr>
            <a:xfrm>
              <a:off x="12496800" y="1249680"/>
              <a:ext cx="1828800" cy="2766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510540</xdr:colOff>
      <xdr:row>22</xdr:row>
      <xdr:rowOff>22860</xdr:rowOff>
    </xdr:from>
    <xdr:to>
      <xdr:col>11</xdr:col>
      <xdr:colOff>274320</xdr:colOff>
      <xdr:row>37</xdr:row>
      <xdr:rowOff>22860</xdr:rowOff>
    </xdr:to>
    <xdr:graphicFrame macro="">
      <xdr:nvGraphicFramePr>
        <xdr:cNvPr id="6" name="Chart 5">
          <a:extLst>
            <a:ext uri="{FF2B5EF4-FFF2-40B4-BE49-F238E27FC236}">
              <a16:creationId xmlns:a16="http://schemas.microsoft.com/office/drawing/2014/main" id="{40777C75-5B84-4B7C-BDCB-FBAAEAFD9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571500</xdr:colOff>
      <xdr:row>22</xdr:row>
      <xdr:rowOff>30480</xdr:rowOff>
    </xdr:from>
    <xdr:to>
      <xdr:col>4</xdr:col>
      <xdr:colOff>449580</xdr:colOff>
      <xdr:row>37</xdr:row>
      <xdr:rowOff>30480</xdr:rowOff>
    </xdr:to>
    <mc:AlternateContent xmlns:mc="http://schemas.openxmlformats.org/markup-compatibility/2006" xmlns:a14="http://schemas.microsoft.com/office/drawing/2010/main">
      <mc:Choice Requires="a14">
        <xdr:graphicFrame macro="">
          <xdr:nvGraphicFramePr>
            <xdr:cNvPr id="7" name="Vehicle_Type 18">
              <a:extLst>
                <a:ext uri="{FF2B5EF4-FFF2-40B4-BE49-F238E27FC236}">
                  <a16:creationId xmlns:a16="http://schemas.microsoft.com/office/drawing/2014/main" id="{C94D81BF-CDE5-41C6-9DCB-540E7B213F34}"/>
                </a:ext>
              </a:extLst>
            </xdr:cNvPr>
            <xdr:cNvGraphicFramePr/>
          </xdr:nvGraphicFramePr>
          <xdr:xfrm>
            <a:off x="0" y="0"/>
            <a:ext cx="0" cy="0"/>
          </xdr:xfrm>
          <a:graphic>
            <a:graphicData uri="http://schemas.microsoft.com/office/drawing/2010/slicer">
              <sle:slicer xmlns:sle="http://schemas.microsoft.com/office/drawing/2010/slicer" name="Vehicle_Type 18"/>
            </a:graphicData>
          </a:graphic>
        </xdr:graphicFrame>
      </mc:Choice>
      <mc:Fallback xmlns="">
        <xdr:sp macro="" textlink="">
          <xdr:nvSpPr>
            <xdr:cNvPr id="0" name=""/>
            <xdr:cNvSpPr>
              <a:spLocks noTextEdit="1"/>
            </xdr:cNvSpPr>
          </xdr:nvSpPr>
          <xdr:spPr>
            <a:xfrm>
              <a:off x="1181100" y="4099560"/>
              <a:ext cx="182880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327660</xdr:colOff>
      <xdr:row>22</xdr:row>
      <xdr:rowOff>0</xdr:rowOff>
    </xdr:from>
    <xdr:to>
      <xdr:col>20</xdr:col>
      <xdr:colOff>297180</xdr:colOff>
      <xdr:row>37</xdr:row>
      <xdr:rowOff>0</xdr:rowOff>
    </xdr:to>
    <xdr:graphicFrame macro="">
      <xdr:nvGraphicFramePr>
        <xdr:cNvPr id="8" name="Chart 7">
          <a:extLst>
            <a:ext uri="{FF2B5EF4-FFF2-40B4-BE49-F238E27FC236}">
              <a16:creationId xmlns:a16="http://schemas.microsoft.com/office/drawing/2014/main" id="{D0B45807-19E6-4C3C-93E4-1F58C2BEE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1</xdr:row>
      <xdr:rowOff>0</xdr:rowOff>
    </xdr:from>
    <xdr:to>
      <xdr:col>18</xdr:col>
      <xdr:colOff>137160</xdr:colOff>
      <xdr:row>2</xdr:row>
      <xdr:rowOff>76200</xdr:rowOff>
    </xdr:to>
    <xdr:sp macro="" textlink="">
      <xdr:nvSpPr>
        <xdr:cNvPr id="10" name="Rectangle: Rounded Corners 9">
          <a:hlinkClick xmlns:r="http://schemas.openxmlformats.org/officeDocument/2006/relationships" r:id="rId5"/>
          <a:extLst>
            <a:ext uri="{FF2B5EF4-FFF2-40B4-BE49-F238E27FC236}">
              <a16:creationId xmlns:a16="http://schemas.microsoft.com/office/drawing/2014/main" id="{F10C6A20-5323-4D87-A618-98AFA31846C9}"/>
            </a:ext>
          </a:extLst>
        </xdr:cNvPr>
        <xdr:cNvSpPr/>
      </xdr:nvSpPr>
      <xdr:spPr>
        <a:xfrm>
          <a:off x="11148060" y="182880"/>
          <a:ext cx="1272540" cy="37338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281940</xdr:colOff>
      <xdr:row>1</xdr:row>
      <xdr:rowOff>167640</xdr:rowOff>
    </xdr:from>
    <xdr:to>
      <xdr:col>11</xdr:col>
      <xdr:colOff>91440</xdr:colOff>
      <xdr:row>16</xdr:row>
      <xdr:rowOff>167640</xdr:rowOff>
    </xdr:to>
    <xdr:graphicFrame macro="">
      <xdr:nvGraphicFramePr>
        <xdr:cNvPr id="2" name="Chart 1">
          <a:extLst>
            <a:ext uri="{FF2B5EF4-FFF2-40B4-BE49-F238E27FC236}">
              <a16:creationId xmlns:a16="http://schemas.microsoft.com/office/drawing/2014/main" id="{2D31AF58-3247-A2EE-1162-7C53181CEA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518160</xdr:colOff>
      <xdr:row>4</xdr:row>
      <xdr:rowOff>7620</xdr:rowOff>
    </xdr:from>
    <xdr:to>
      <xdr:col>15</xdr:col>
      <xdr:colOff>518160</xdr:colOff>
      <xdr:row>17</xdr:row>
      <xdr:rowOff>97155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44CDD40-1BC8-8DA1-AB9E-9F39A30123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45780" y="739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2</xdr:col>
      <xdr:colOff>502920</xdr:colOff>
      <xdr:row>1</xdr:row>
      <xdr:rowOff>167640</xdr:rowOff>
    </xdr:from>
    <xdr:to>
      <xdr:col>10</xdr:col>
      <xdr:colOff>198120</xdr:colOff>
      <xdr:row>16</xdr:row>
      <xdr:rowOff>167640</xdr:rowOff>
    </xdr:to>
    <xdr:graphicFrame macro="">
      <xdr:nvGraphicFramePr>
        <xdr:cNvPr id="2" name="Chart 1">
          <a:extLst>
            <a:ext uri="{FF2B5EF4-FFF2-40B4-BE49-F238E27FC236}">
              <a16:creationId xmlns:a16="http://schemas.microsoft.com/office/drawing/2014/main" id="{ECD301F9-77F4-B8EC-EB85-BDE344A46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160020</xdr:colOff>
      <xdr:row>2</xdr:row>
      <xdr:rowOff>129540</xdr:rowOff>
    </xdr:from>
    <xdr:to>
      <xdr:col>14</xdr:col>
      <xdr:colOff>160020</xdr:colOff>
      <xdr:row>16</xdr:row>
      <xdr:rowOff>36195</xdr:rowOff>
    </xdr:to>
    <mc:AlternateContent xmlns:mc="http://schemas.openxmlformats.org/markup-compatibility/2006" xmlns:a14="http://schemas.microsoft.com/office/drawing/2010/main">
      <mc:Choice Requires="a14">
        <xdr:graphicFrame macro="">
          <xdr:nvGraphicFramePr>
            <xdr:cNvPr id="3" name="Vehicle_Type 21">
              <a:extLst>
                <a:ext uri="{FF2B5EF4-FFF2-40B4-BE49-F238E27FC236}">
                  <a16:creationId xmlns:a16="http://schemas.microsoft.com/office/drawing/2014/main" id="{D4F33277-D902-3BA5-D82C-7A5ADA2F9380}"/>
                </a:ext>
              </a:extLst>
            </xdr:cNvPr>
            <xdr:cNvGraphicFramePr/>
          </xdr:nvGraphicFramePr>
          <xdr:xfrm>
            <a:off x="0" y="0"/>
            <a:ext cx="0" cy="0"/>
          </xdr:xfrm>
          <a:graphic>
            <a:graphicData uri="http://schemas.microsoft.com/office/drawing/2010/slicer">
              <sle:slicer xmlns:sle="http://schemas.microsoft.com/office/drawing/2010/slicer" name="Vehicle_Type 21"/>
            </a:graphicData>
          </a:graphic>
        </xdr:graphicFrame>
      </mc:Choice>
      <mc:Fallback xmlns="">
        <xdr:sp macro="" textlink="">
          <xdr:nvSpPr>
            <xdr:cNvPr id="0" name=""/>
            <xdr:cNvSpPr>
              <a:spLocks noTextEdit="1"/>
            </xdr:cNvSpPr>
          </xdr:nvSpPr>
          <xdr:spPr>
            <a:xfrm>
              <a:off x="7642860" y="495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1.xml><?xml version="1.0" encoding="utf-8"?>
<xdr:wsDr xmlns:xdr="http://schemas.openxmlformats.org/drawingml/2006/spreadsheetDrawing" xmlns:a="http://schemas.openxmlformats.org/drawingml/2006/main">
  <xdr:twoCellAnchor>
    <xdr:from>
      <xdr:col>3</xdr:col>
      <xdr:colOff>0</xdr:colOff>
      <xdr:row>7</xdr:row>
      <xdr:rowOff>0</xdr:rowOff>
    </xdr:from>
    <xdr:to>
      <xdr:col>10</xdr:col>
      <xdr:colOff>304800</xdr:colOff>
      <xdr:row>22</xdr:row>
      <xdr:rowOff>0</xdr:rowOff>
    </xdr:to>
    <xdr:graphicFrame macro="">
      <xdr:nvGraphicFramePr>
        <xdr:cNvPr id="2" name="Chart 1">
          <a:extLst>
            <a:ext uri="{FF2B5EF4-FFF2-40B4-BE49-F238E27FC236}">
              <a16:creationId xmlns:a16="http://schemas.microsoft.com/office/drawing/2014/main" id="{9623F6BE-A322-4AC9-9B6C-B5B520CA1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373380</xdr:colOff>
      <xdr:row>7</xdr:row>
      <xdr:rowOff>7620</xdr:rowOff>
    </xdr:from>
    <xdr:to>
      <xdr:col>13</xdr:col>
      <xdr:colOff>373380</xdr:colOff>
      <xdr:row>22</xdr:row>
      <xdr:rowOff>7620</xdr:rowOff>
    </xdr:to>
    <mc:AlternateContent xmlns:mc="http://schemas.openxmlformats.org/markup-compatibility/2006" xmlns:a14="http://schemas.microsoft.com/office/drawing/2010/main">
      <mc:Choice Requires="a14">
        <xdr:graphicFrame macro="">
          <xdr:nvGraphicFramePr>
            <xdr:cNvPr id="3" name="Vehicle_Type 22">
              <a:extLst>
                <a:ext uri="{FF2B5EF4-FFF2-40B4-BE49-F238E27FC236}">
                  <a16:creationId xmlns:a16="http://schemas.microsoft.com/office/drawing/2014/main" id="{DD5C7680-7A38-460C-94AF-1E6A1235C24A}"/>
                </a:ext>
              </a:extLst>
            </xdr:cNvPr>
            <xdr:cNvGraphicFramePr/>
          </xdr:nvGraphicFramePr>
          <xdr:xfrm>
            <a:off x="0" y="0"/>
            <a:ext cx="0" cy="0"/>
          </xdr:xfrm>
          <a:graphic>
            <a:graphicData uri="http://schemas.microsoft.com/office/drawing/2010/slicer">
              <sle:slicer xmlns:sle="http://schemas.microsoft.com/office/drawing/2010/slicer" name="Vehicle_Type 22"/>
            </a:graphicData>
          </a:graphic>
        </xdr:graphicFrame>
      </mc:Choice>
      <mc:Fallback xmlns="">
        <xdr:sp macro="" textlink="">
          <xdr:nvSpPr>
            <xdr:cNvPr id="0" name=""/>
            <xdr:cNvSpPr>
              <a:spLocks noTextEdit="1"/>
            </xdr:cNvSpPr>
          </xdr:nvSpPr>
          <xdr:spPr>
            <a:xfrm>
              <a:off x="7459980" y="1478280"/>
              <a:ext cx="182880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38100</xdr:colOff>
      <xdr:row>1</xdr:row>
      <xdr:rowOff>106680</xdr:rowOff>
    </xdr:from>
    <xdr:to>
      <xdr:col>13</xdr:col>
      <xdr:colOff>586740</xdr:colOff>
      <xdr:row>2</xdr:row>
      <xdr:rowOff>304800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7225BFDB-6768-4035-9404-413A9F4AD596}"/>
            </a:ext>
          </a:extLst>
        </xdr:cNvPr>
        <xdr:cNvSpPr/>
      </xdr:nvSpPr>
      <xdr:spPr>
        <a:xfrm>
          <a:off x="8343900" y="289560"/>
          <a:ext cx="1158240" cy="38100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3</xdr:col>
      <xdr:colOff>99060</xdr:colOff>
      <xdr:row>4</xdr:row>
      <xdr:rowOff>91440</xdr:rowOff>
    </xdr:from>
    <xdr:to>
      <xdr:col>12</xdr:col>
      <xdr:colOff>297180</xdr:colOff>
      <xdr:row>24</xdr:row>
      <xdr:rowOff>45720</xdr:rowOff>
    </xdr:to>
    <xdr:graphicFrame macro="">
      <xdr:nvGraphicFramePr>
        <xdr:cNvPr id="2" name="Chart 1">
          <a:extLst>
            <a:ext uri="{FF2B5EF4-FFF2-40B4-BE49-F238E27FC236}">
              <a16:creationId xmlns:a16="http://schemas.microsoft.com/office/drawing/2014/main" id="{58CFF8FD-253A-7B05-2AE9-1D874AFA8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403860</xdr:colOff>
      <xdr:row>1</xdr:row>
      <xdr:rowOff>7620</xdr:rowOff>
    </xdr:from>
    <xdr:to>
      <xdr:col>10</xdr:col>
      <xdr:colOff>99060</xdr:colOff>
      <xdr:row>16</xdr:row>
      <xdr:rowOff>7620</xdr:rowOff>
    </xdr:to>
    <xdr:graphicFrame macro="">
      <xdr:nvGraphicFramePr>
        <xdr:cNvPr id="2" name="Chart 1">
          <a:extLst>
            <a:ext uri="{FF2B5EF4-FFF2-40B4-BE49-F238E27FC236}">
              <a16:creationId xmlns:a16="http://schemas.microsoft.com/office/drawing/2014/main" id="{A841B42B-E594-4793-0A3D-CEA3F7A0D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594360</xdr:colOff>
      <xdr:row>2</xdr:row>
      <xdr:rowOff>137160</xdr:rowOff>
    </xdr:from>
    <xdr:to>
      <xdr:col>13</xdr:col>
      <xdr:colOff>594360</xdr:colOff>
      <xdr:row>16</xdr:row>
      <xdr:rowOff>43815</xdr:rowOff>
    </xdr:to>
    <mc:AlternateContent xmlns:mc="http://schemas.openxmlformats.org/markup-compatibility/2006" xmlns:a14="http://schemas.microsoft.com/office/drawing/2010/main">
      <mc:Choice Requires="a14">
        <xdr:graphicFrame macro="">
          <xdr:nvGraphicFramePr>
            <xdr:cNvPr id="4" name="Vehicle_Type">
              <a:extLst>
                <a:ext uri="{FF2B5EF4-FFF2-40B4-BE49-F238E27FC236}">
                  <a16:creationId xmlns:a16="http://schemas.microsoft.com/office/drawing/2014/main" id="{5802990D-3DC6-CEAF-A7FD-B8DFCAD07E29}"/>
                </a:ext>
              </a:extLst>
            </xdr:cNvPr>
            <xdr:cNvGraphicFramePr/>
          </xdr:nvGraphicFramePr>
          <xdr:xfrm>
            <a:off x="0" y="0"/>
            <a:ext cx="0" cy="0"/>
          </xdr:xfrm>
          <a:graphic>
            <a:graphicData uri="http://schemas.microsoft.com/office/drawing/2010/slicer">
              <sle:slicer xmlns:sle="http://schemas.microsoft.com/office/drawing/2010/slicer" name="Vehicle_Type"/>
            </a:graphicData>
          </a:graphic>
        </xdr:graphicFrame>
      </mc:Choice>
      <mc:Fallback xmlns="">
        <xdr:sp macro="" textlink="">
          <xdr:nvSpPr>
            <xdr:cNvPr id="0" name=""/>
            <xdr:cNvSpPr>
              <a:spLocks noTextEdit="1"/>
            </xdr:cNvSpPr>
          </xdr:nvSpPr>
          <xdr:spPr>
            <a:xfrm>
              <a:off x="7467600" y="502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4.xml><?xml version="1.0" encoding="utf-8"?>
<xdr:wsDr xmlns:xdr="http://schemas.openxmlformats.org/drawingml/2006/spreadsheetDrawing" xmlns:a="http://schemas.openxmlformats.org/drawingml/2006/main">
  <xdr:twoCellAnchor>
    <xdr:from>
      <xdr:col>4</xdr:col>
      <xdr:colOff>449580</xdr:colOff>
      <xdr:row>10</xdr:row>
      <xdr:rowOff>7620</xdr:rowOff>
    </xdr:from>
    <xdr:to>
      <xdr:col>7</xdr:col>
      <xdr:colOff>312420</xdr:colOff>
      <xdr:row>25</xdr:row>
      <xdr:rowOff>7620</xdr:rowOff>
    </xdr:to>
    <xdr:graphicFrame macro="">
      <xdr:nvGraphicFramePr>
        <xdr:cNvPr id="9" name="Chart 8">
          <a:extLst>
            <a:ext uri="{FF2B5EF4-FFF2-40B4-BE49-F238E27FC236}">
              <a16:creationId xmlns:a16="http://schemas.microsoft.com/office/drawing/2014/main" id="{5C7A9821-F77C-3B20-E6A0-5468370AE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1104900</xdr:colOff>
      <xdr:row>1</xdr:row>
      <xdr:rowOff>106680</xdr:rowOff>
    </xdr:from>
    <xdr:to>
      <xdr:col>6</xdr:col>
      <xdr:colOff>1303020</xdr:colOff>
      <xdr:row>9</xdr:row>
      <xdr:rowOff>15240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1CC58B52-044E-A17C-8809-8E0B9914F954}"/>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6240780" y="2895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15247</xdr:colOff>
      <xdr:row>2</xdr:row>
      <xdr:rowOff>297180</xdr:rowOff>
    </xdr:from>
    <xdr:to>
      <xdr:col>4</xdr:col>
      <xdr:colOff>137145</xdr:colOff>
      <xdr:row>8</xdr:row>
      <xdr:rowOff>81275</xdr:rowOff>
    </xdr:to>
    <mc:AlternateContent xmlns:mc="http://schemas.openxmlformats.org/markup-compatibility/2006">
      <mc:Choice xmlns:am3d="http://schemas.microsoft.com/office/drawing/2017/model3d" Requires="am3d">
        <xdr:graphicFrame macro="">
          <xdr:nvGraphicFramePr>
            <xdr:cNvPr id="2" name="3D Model 1" descr="Shift Tuner Black Car">
              <a:extLst>
                <a:ext uri="{FF2B5EF4-FFF2-40B4-BE49-F238E27FC236}">
                  <a16:creationId xmlns:a16="http://schemas.microsoft.com/office/drawing/2014/main" id="{2783F0AA-D045-AC1D-2BCE-3778F397B9C2}"/>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2895578" cy="995675"/>
                  </a:xfrm>
                  <a:prstGeom prst="rect">
                    <a:avLst/>
                  </a:prstGeom>
                </am3d:spPr>
                <am3d:camera>
                  <am3d:pos x="0" y="0" z="54217967"/>
                  <am3d:up dx="0" dy="36000000" dz="0"/>
                  <am3d:lookAt x="0" y="0" z="0"/>
                  <am3d:perspective fov="2700000"/>
                </am3d:camera>
                <am3d:trans>
                  <am3d:meterPerModelUnit n="28036858" d="1000000"/>
                  <am3d:preTrans dx="0" dy="-2673923" dz="109456"/>
                  <am3d:scale>
                    <am3d:sx n="1000000" d="1000000"/>
                    <am3d:sy n="1000000" d="1000000"/>
                    <am3d:sz n="1000000" d="1000000"/>
                  </am3d:scale>
                  <am3d:rot ax="6298772" ay="-4579641" az="-6323711"/>
                  <am3d:postTrans dx="0" dy="0" dz="0"/>
                </am3d:trans>
                <am3d:raster rName="Office3DRenderer" rVer="16.0.8326">
                  <am3d:blip r:embed="rId2"/>
                </am3d:raster>
                <am3d:objViewport viewportSz="2661696"/>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3D Model 1" descr="Shift Tuner Black Car">
              <a:extLst>
                <a:ext uri="{FF2B5EF4-FFF2-40B4-BE49-F238E27FC236}">
                  <a16:creationId xmlns:a16="http://schemas.microsoft.com/office/drawing/2014/main" id="{2783F0AA-D045-AC1D-2BCE-3778F397B9C2}"/>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624847" y="594360"/>
              <a:ext cx="2895578" cy="995675"/>
            </a:xfrm>
            <a:prstGeom prst="rect">
              <a:avLst/>
            </a:prstGeom>
          </xdr:spPr>
        </xdr:pic>
      </mc:Fallback>
    </mc:AlternateContent>
    <xdr:clientData/>
  </xdr:twoCellAnchor>
  <xdr:twoCellAnchor>
    <xdr:from>
      <xdr:col>7</xdr:col>
      <xdr:colOff>179070</xdr:colOff>
      <xdr:row>3</xdr:row>
      <xdr:rowOff>118109</xdr:rowOff>
    </xdr:from>
    <xdr:to>
      <xdr:col>10</xdr:col>
      <xdr:colOff>26670</xdr:colOff>
      <xdr:row>10</xdr:row>
      <xdr:rowOff>171449</xdr:rowOff>
    </xdr:to>
    <mc:AlternateContent xmlns:mc="http://schemas.openxmlformats.org/markup-compatibility/2006">
      <mc:Choice xmlns:am3d="http://schemas.microsoft.com/office/drawing/2017/model3d" Requires="am3d">
        <xdr:graphicFrame macro="">
          <xdr:nvGraphicFramePr>
            <xdr:cNvPr id="3" name="3D Model 2" descr="Gold coins">
              <a:extLst>
                <a:ext uri="{FF2B5EF4-FFF2-40B4-BE49-F238E27FC236}">
                  <a16:creationId xmlns:a16="http://schemas.microsoft.com/office/drawing/2014/main" id="{80F455C6-8DA9-5D11-C086-D169A66A007E}"/>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3">
                <am3d:spPr>
                  <a:xfrm>
                    <a:off x="0" y="0"/>
                    <a:ext cx="3002280" cy="1333500"/>
                  </a:xfrm>
                  <a:prstGeom prst="rect">
                    <a:avLst/>
                  </a:prstGeom>
                </am3d:spPr>
                <am3d:camera>
                  <am3d:pos x="0" y="0" z="66316102"/>
                  <am3d:up dx="0" dy="36000000" dz="0"/>
                  <am3d:lookAt x="0" y="0" z="0"/>
                  <am3d:perspective fov="2700000"/>
                </am3d:camera>
                <am3d:trans>
                  <am3d:meterPerModelUnit n="173461" d="1000000"/>
                  <am3d:preTrans dx="723681" dy="-10108787" dz="6133181"/>
                  <am3d:scale>
                    <am3d:sx n="1000000" d="1000000"/>
                    <am3d:sy n="1000000" d="1000000"/>
                    <am3d:sz n="1000000" d="1000000"/>
                  </am3d:scale>
                  <am3d:rot ax="48253" ay="-359950" az="-5051"/>
                  <am3d:postTrans dx="0" dy="0" dz="0"/>
                </am3d:trans>
                <am3d:raster rName="Office3DRenderer" rVer="16.0.8326">
                  <am3d:blip r:embed="rId4"/>
                </am3d:raster>
                <am3d:objViewport viewportSz="2717132"/>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 name="3D Model 2" descr="Gold coins">
              <a:extLst>
                <a:ext uri="{FF2B5EF4-FFF2-40B4-BE49-F238E27FC236}">
                  <a16:creationId xmlns:a16="http://schemas.microsoft.com/office/drawing/2014/main" id="{80F455C6-8DA9-5D11-C086-D169A66A007E}"/>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a:stretch>
              <a:fillRect/>
            </a:stretch>
          </xdr:blipFill>
          <xdr:spPr>
            <a:xfrm>
              <a:off x="5391150" y="712469"/>
              <a:ext cx="3002280" cy="1333500"/>
            </a:xfrm>
            <a:prstGeom prst="rect">
              <a:avLst/>
            </a:prstGeom>
          </xdr:spPr>
        </xdr:pic>
      </mc:Fallback>
    </mc:AlternateContent>
    <xdr:clientData/>
  </xdr:twoCellAnchor>
  <xdr:twoCellAnchor>
    <xdr:from>
      <xdr:col>13</xdr:col>
      <xdr:colOff>1642</xdr:colOff>
      <xdr:row>4</xdr:row>
      <xdr:rowOff>37221</xdr:rowOff>
    </xdr:from>
    <xdr:to>
      <xdr:col>16</xdr:col>
      <xdr:colOff>463176</xdr:colOff>
      <xdr:row>8</xdr:row>
      <xdr:rowOff>107555</xdr:rowOff>
    </xdr:to>
    <mc:AlternateContent xmlns:mc="http://schemas.openxmlformats.org/markup-compatibility/2006">
      <mc:Choice xmlns:am3d="http://schemas.microsoft.com/office/drawing/2017/model3d" Requires="am3d">
        <xdr:graphicFrame macro="">
          <xdr:nvGraphicFramePr>
            <xdr:cNvPr id="4" name="3D Model 3" descr="Semi Truck">
              <a:extLst>
                <a:ext uri="{FF2B5EF4-FFF2-40B4-BE49-F238E27FC236}">
                  <a16:creationId xmlns:a16="http://schemas.microsoft.com/office/drawing/2014/main" id="{867D6D76-D1C9-24C3-26C5-3C6B594C8DC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5">
                <am3d:spPr>
                  <a:xfrm>
                    <a:off x="0" y="0"/>
                    <a:ext cx="2854214" cy="801854"/>
                  </a:xfrm>
                  <a:prstGeom prst="rect">
                    <a:avLst/>
                  </a:prstGeom>
                </am3d:spPr>
                <am3d:camera>
                  <am3d:pos x="0" y="0" z="49894044"/>
                  <am3d:up dx="0" dy="36000000" dz="0"/>
                  <am3d:lookAt x="0" y="0" z="0"/>
                  <am3d:perspective fov="2700000"/>
                </am3d:camera>
                <am3d:trans>
                  <am3d:meterPerModelUnit n="99674" d="1000000"/>
                  <am3d:preTrans dx="0" dy="-5223861" dz="0"/>
                  <am3d:scale>
                    <am3d:sx n="1000000" d="1000000"/>
                    <am3d:sy n="1000000" d="1000000"/>
                    <am3d:sz n="1000000" d="1000000"/>
                  </am3d:scale>
                  <am3d:rot ax="6353962" ay="5050643" az="6358655"/>
                  <am3d:postTrans dx="0" dy="0" dz="0"/>
                </am3d:trans>
                <am3d:raster rName="Office3DRenderer" rVer="16.0.8326">
                  <am3d:blip r:embed="rId6"/>
                </am3d:raster>
                <am3d:objViewport viewportSz="274319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Semi Truck">
              <a:extLst>
                <a:ext uri="{FF2B5EF4-FFF2-40B4-BE49-F238E27FC236}">
                  <a16:creationId xmlns:a16="http://schemas.microsoft.com/office/drawing/2014/main" id="{867D6D76-D1C9-24C3-26C5-3C6B594C8DC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6"/>
            <a:stretch>
              <a:fillRect/>
            </a:stretch>
          </xdr:blipFill>
          <xdr:spPr>
            <a:xfrm>
              <a:off x="10197202" y="814461"/>
              <a:ext cx="2854214" cy="801854"/>
            </a:xfrm>
            <a:prstGeom prst="rect">
              <a:avLst/>
            </a:prstGeom>
          </xdr:spPr>
        </xdr:pic>
      </mc:Fallback>
    </mc:AlternateContent>
    <xdr:clientData/>
  </xdr:twoCellAnchor>
  <xdr:twoCellAnchor editAs="oneCell">
    <xdr:from>
      <xdr:col>0</xdr:col>
      <xdr:colOff>586740</xdr:colOff>
      <xdr:row>17</xdr:row>
      <xdr:rowOff>53341</xdr:rowOff>
    </xdr:from>
    <xdr:to>
      <xdr:col>3</xdr:col>
      <xdr:colOff>937260</xdr:colOff>
      <xdr:row>25</xdr:row>
      <xdr:rowOff>28915</xdr:rowOff>
    </xdr:to>
    <xdr:pic>
      <xdr:nvPicPr>
        <xdr:cNvPr id="9" name="Picture 8">
          <a:extLst>
            <a:ext uri="{FF2B5EF4-FFF2-40B4-BE49-F238E27FC236}">
              <a16:creationId xmlns:a16="http://schemas.microsoft.com/office/drawing/2014/main" id="{FEB77431-6165-54A7-C362-C864E41BA5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86740" y="3253741"/>
          <a:ext cx="2743200" cy="1484334"/>
        </a:xfrm>
        <a:prstGeom prst="rect">
          <a:avLst/>
        </a:prstGeom>
      </xdr:spPr>
    </xdr:pic>
    <xdr:clientData/>
  </xdr:twoCellAnchor>
  <xdr:twoCellAnchor editAs="oneCell">
    <xdr:from>
      <xdr:col>6</xdr:col>
      <xdr:colOff>525780</xdr:colOff>
      <xdr:row>17</xdr:row>
      <xdr:rowOff>83821</xdr:rowOff>
    </xdr:from>
    <xdr:to>
      <xdr:col>10</xdr:col>
      <xdr:colOff>480060</xdr:colOff>
      <xdr:row>29</xdr:row>
      <xdr:rowOff>131327</xdr:rowOff>
    </xdr:to>
    <xdr:pic>
      <xdr:nvPicPr>
        <xdr:cNvPr id="11" name="Picture 10">
          <a:extLst>
            <a:ext uri="{FF2B5EF4-FFF2-40B4-BE49-F238E27FC236}">
              <a16:creationId xmlns:a16="http://schemas.microsoft.com/office/drawing/2014/main" id="{B46873EB-ADD1-6AF7-D9B5-97406AECFD5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128260" y="3284221"/>
          <a:ext cx="3718560" cy="228778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9</xdr:col>
      <xdr:colOff>324812</xdr:colOff>
      <xdr:row>20</xdr:row>
      <xdr:rowOff>111539</xdr:rowOff>
    </xdr:from>
    <xdr:to>
      <xdr:col>16</xdr:col>
      <xdr:colOff>632349</xdr:colOff>
      <xdr:row>35</xdr:row>
      <xdr:rowOff>111539</xdr:rowOff>
    </xdr:to>
    <xdr:graphicFrame macro="">
      <xdr:nvGraphicFramePr>
        <xdr:cNvPr id="2" name="Chart 1">
          <a:extLst>
            <a:ext uri="{FF2B5EF4-FFF2-40B4-BE49-F238E27FC236}">
              <a16:creationId xmlns:a16="http://schemas.microsoft.com/office/drawing/2014/main" id="{6A6DE5D5-452D-41D1-BB0E-36895F879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798596</xdr:colOff>
      <xdr:row>20</xdr:row>
      <xdr:rowOff>91442</xdr:rowOff>
    </xdr:from>
    <xdr:to>
      <xdr:col>23</xdr:col>
      <xdr:colOff>572570</xdr:colOff>
      <xdr:row>35</xdr:row>
      <xdr:rowOff>91442</xdr:rowOff>
    </xdr:to>
    <xdr:graphicFrame macro="">
      <xdr:nvGraphicFramePr>
        <xdr:cNvPr id="3" name="Chart 2">
          <a:extLst>
            <a:ext uri="{FF2B5EF4-FFF2-40B4-BE49-F238E27FC236}">
              <a16:creationId xmlns:a16="http://schemas.microsoft.com/office/drawing/2014/main" id="{62738A71-A255-43F8-8963-8A67E1D37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531092</xdr:colOff>
      <xdr:row>10</xdr:row>
      <xdr:rowOff>146164</xdr:rowOff>
    </xdr:from>
    <xdr:to>
      <xdr:col>17</xdr:col>
      <xdr:colOff>669636</xdr:colOff>
      <xdr:row>18</xdr:row>
      <xdr:rowOff>52877</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9C00A0B0-022C-4858-A2B8-F5A07A6D6C99}"/>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6049819" y="2536073"/>
              <a:ext cx="10102272" cy="138453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16</xdr:col>
      <xdr:colOff>771836</xdr:colOff>
      <xdr:row>36</xdr:row>
      <xdr:rowOff>73123</xdr:rowOff>
    </xdr:from>
    <xdr:to>
      <xdr:col>23</xdr:col>
      <xdr:colOff>594379</xdr:colOff>
      <xdr:row>55</xdr:row>
      <xdr:rowOff>139401</xdr:rowOff>
    </xdr:to>
    <xdr:graphicFrame macro="">
      <xdr:nvGraphicFramePr>
        <xdr:cNvPr id="6" name="Chart 5">
          <a:extLst>
            <a:ext uri="{FF2B5EF4-FFF2-40B4-BE49-F238E27FC236}">
              <a16:creationId xmlns:a16="http://schemas.microsoft.com/office/drawing/2014/main" id="{71AC4CD2-467D-43EB-AD51-72050B30E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295478</xdr:colOff>
      <xdr:row>36</xdr:row>
      <xdr:rowOff>68844</xdr:rowOff>
    </xdr:from>
    <xdr:to>
      <xdr:col>16</xdr:col>
      <xdr:colOff>640131</xdr:colOff>
      <xdr:row>55</xdr:row>
      <xdr:rowOff>144104</xdr:rowOff>
    </xdr:to>
    <xdr:graphicFrame macro="">
      <xdr:nvGraphicFramePr>
        <xdr:cNvPr id="7" name="Chart 6">
          <a:extLst>
            <a:ext uri="{FF2B5EF4-FFF2-40B4-BE49-F238E27FC236}">
              <a16:creationId xmlns:a16="http://schemas.microsoft.com/office/drawing/2014/main" id="{FBBB952B-B2A9-4406-9ACF-FED5238F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92365</xdr:colOff>
      <xdr:row>36</xdr:row>
      <xdr:rowOff>124862</xdr:rowOff>
    </xdr:from>
    <xdr:to>
      <xdr:col>9</xdr:col>
      <xdr:colOff>236899</xdr:colOff>
      <xdr:row>55</xdr:row>
      <xdr:rowOff>103909</xdr:rowOff>
    </xdr:to>
    <mc:AlternateContent xmlns:mc="http://schemas.openxmlformats.org/markup-compatibility/2006" xmlns:a14="http://schemas.microsoft.com/office/drawing/2010/main">
      <mc:Choice Requires="a14">
        <xdr:graphicFrame macro="">
          <xdr:nvGraphicFramePr>
            <xdr:cNvPr id="9" name="Vehicle_Type 1">
              <a:extLst>
                <a:ext uri="{FF2B5EF4-FFF2-40B4-BE49-F238E27FC236}">
                  <a16:creationId xmlns:a16="http://schemas.microsoft.com/office/drawing/2014/main" id="{6DADAA28-3994-4EE3-B941-CD54989BC899}"/>
                </a:ext>
              </a:extLst>
            </xdr:cNvPr>
            <xdr:cNvGraphicFramePr/>
          </xdr:nvGraphicFramePr>
          <xdr:xfrm>
            <a:off x="0" y="0"/>
            <a:ext cx="0" cy="0"/>
          </xdr:xfrm>
          <a:graphic>
            <a:graphicData uri="http://schemas.microsoft.com/office/drawing/2010/slicer">
              <sle:slicer xmlns:sle="http://schemas.microsoft.com/office/drawing/2010/slicer" name="Vehicle_Type 1"/>
            </a:graphicData>
          </a:graphic>
        </xdr:graphicFrame>
      </mc:Choice>
      <mc:Fallback xmlns="">
        <xdr:sp macro="" textlink="">
          <xdr:nvSpPr>
            <xdr:cNvPr id="0" name=""/>
            <xdr:cNvSpPr>
              <a:spLocks noTextEdit="1"/>
            </xdr:cNvSpPr>
          </xdr:nvSpPr>
          <xdr:spPr>
            <a:xfrm>
              <a:off x="4387274" y="7317680"/>
              <a:ext cx="3065534" cy="3488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88945</xdr:colOff>
      <xdr:row>20</xdr:row>
      <xdr:rowOff>107330</xdr:rowOff>
    </xdr:from>
    <xdr:to>
      <xdr:col>9</xdr:col>
      <xdr:colOff>225181</xdr:colOff>
      <xdr:row>35</xdr:row>
      <xdr:rowOff>165058</xdr:rowOff>
    </xdr:to>
    <xdr:graphicFrame macro="">
      <xdr:nvGraphicFramePr>
        <xdr:cNvPr id="10" name="Chart 9">
          <a:extLst>
            <a:ext uri="{FF2B5EF4-FFF2-40B4-BE49-F238E27FC236}">
              <a16:creationId xmlns:a16="http://schemas.microsoft.com/office/drawing/2014/main" id="{3725937B-97DF-429F-9E9A-C8170B369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103909</xdr:colOff>
      <xdr:row>36</xdr:row>
      <xdr:rowOff>136407</xdr:rowOff>
    </xdr:from>
    <xdr:to>
      <xdr:col>5</xdr:col>
      <xdr:colOff>692727</xdr:colOff>
      <xdr:row>55</xdr:row>
      <xdr:rowOff>69272</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FDD4E5A7-1BCC-413D-A33D-A6C5E53C423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27727" y="7329225"/>
              <a:ext cx="2909455" cy="3442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375920</xdr:colOff>
      <xdr:row>11</xdr:row>
      <xdr:rowOff>101600</xdr:rowOff>
    </xdr:from>
    <xdr:to>
      <xdr:col>20</xdr:col>
      <xdr:colOff>1351280</xdr:colOff>
      <xdr:row>14</xdr:row>
      <xdr:rowOff>30480</xdr:rowOff>
    </xdr:to>
    <xdr:sp macro="" textlink="">
      <xdr:nvSpPr>
        <xdr:cNvPr id="5" name="Rectangle: Rounded Corners 4">
          <a:hlinkClick xmlns:r="http://schemas.openxmlformats.org/officeDocument/2006/relationships" r:id="rId6"/>
          <a:extLst>
            <a:ext uri="{FF2B5EF4-FFF2-40B4-BE49-F238E27FC236}">
              <a16:creationId xmlns:a16="http://schemas.microsoft.com/office/drawing/2014/main" id="{2A8C96DA-DF1A-CA5C-6EF1-74F2F693FB64}"/>
            </a:ext>
          </a:extLst>
        </xdr:cNvPr>
        <xdr:cNvSpPr/>
      </xdr:nvSpPr>
      <xdr:spPr>
        <a:xfrm>
          <a:off x="17871440" y="2661920"/>
          <a:ext cx="1584960" cy="4775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         </a:t>
          </a:r>
          <a:r>
            <a:rPr lang="en-IN" sz="2000"/>
            <a:t>Home</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15</xdr:col>
      <xdr:colOff>876300</xdr:colOff>
      <xdr:row>0</xdr:row>
      <xdr:rowOff>121920</xdr:rowOff>
    </xdr:from>
    <xdr:to>
      <xdr:col>17</xdr:col>
      <xdr:colOff>434340</xdr:colOff>
      <xdr:row>2</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F4A32B60-152B-4A06-AC45-77CDF2914C6F}"/>
            </a:ext>
          </a:extLst>
        </xdr:cNvPr>
        <xdr:cNvSpPr/>
      </xdr:nvSpPr>
      <xdr:spPr>
        <a:xfrm>
          <a:off x="12816840" y="121920"/>
          <a:ext cx="1158240" cy="40386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4</xdr:col>
      <xdr:colOff>701040</xdr:colOff>
      <xdr:row>2</xdr:row>
      <xdr:rowOff>68580</xdr:rowOff>
    </xdr:from>
    <xdr:to>
      <xdr:col>13</xdr:col>
      <xdr:colOff>335280</xdr:colOff>
      <xdr:row>23</xdr:row>
      <xdr:rowOff>129540</xdr:rowOff>
    </xdr:to>
    <xdr:graphicFrame macro="">
      <xdr:nvGraphicFramePr>
        <xdr:cNvPr id="3" name="Chart 2">
          <a:extLst>
            <a:ext uri="{FF2B5EF4-FFF2-40B4-BE49-F238E27FC236}">
              <a16:creationId xmlns:a16="http://schemas.microsoft.com/office/drawing/2014/main" id="{3C7A318D-2361-DE82-7B01-CDD75C60D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266700</xdr:colOff>
      <xdr:row>2</xdr:row>
      <xdr:rowOff>60960</xdr:rowOff>
    </xdr:from>
    <xdr:to>
      <xdr:col>17</xdr:col>
      <xdr:colOff>266700</xdr:colOff>
      <xdr:row>22</xdr:row>
      <xdr:rowOff>160020</xdr:rowOff>
    </xdr:to>
    <mc:AlternateContent xmlns:mc="http://schemas.openxmlformats.org/markup-compatibility/2006" xmlns:a14="http://schemas.microsoft.com/office/drawing/2010/main">
      <mc:Choice Requires="a14">
        <xdr:graphicFrame macro="">
          <xdr:nvGraphicFramePr>
            <xdr:cNvPr id="6" name="Years (Date)">
              <a:extLst>
                <a:ext uri="{FF2B5EF4-FFF2-40B4-BE49-F238E27FC236}">
                  <a16:creationId xmlns:a16="http://schemas.microsoft.com/office/drawing/2014/main" id="{6B1C03B0-ED4C-F97D-09FD-6C0D4F8FC324}"/>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11765280" y="426720"/>
              <a:ext cx="1828800" cy="3756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9.xml><?xml version="1.0" encoding="utf-8"?>
<xdr:wsDr xmlns:xdr="http://schemas.openxmlformats.org/drawingml/2006/spreadsheetDrawing" xmlns:a="http://schemas.openxmlformats.org/drawingml/2006/main">
  <xdr:twoCellAnchor editAs="oneCell">
    <xdr:from>
      <xdr:col>15</xdr:col>
      <xdr:colOff>198120</xdr:colOff>
      <xdr:row>1</xdr:row>
      <xdr:rowOff>60960</xdr:rowOff>
    </xdr:from>
    <xdr:to>
      <xdr:col>18</xdr:col>
      <xdr:colOff>198120</xdr:colOff>
      <xdr:row>14</xdr:row>
      <xdr:rowOff>150495</xdr:rowOff>
    </xdr:to>
    <mc:AlternateContent xmlns:mc="http://schemas.openxmlformats.org/markup-compatibility/2006" xmlns:a14="http://schemas.microsoft.com/office/drawing/2010/main">
      <mc:Choice Requires="a14">
        <xdr:graphicFrame macro="">
          <xdr:nvGraphicFramePr>
            <xdr:cNvPr id="7" name="Region 4">
              <a:extLst>
                <a:ext uri="{FF2B5EF4-FFF2-40B4-BE49-F238E27FC236}">
                  <a16:creationId xmlns:a16="http://schemas.microsoft.com/office/drawing/2014/main" id="{1117CEF2-8708-AEE6-A53B-C131D12324DD}"/>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9921240" y="243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167640</xdr:colOff>
      <xdr:row>2</xdr:row>
      <xdr:rowOff>156210</xdr:rowOff>
    </xdr:from>
    <xdr:to>
      <xdr:col>14</xdr:col>
      <xdr:colOff>472440</xdr:colOff>
      <xdr:row>17</xdr:row>
      <xdr:rowOff>156210</xdr:rowOff>
    </xdr:to>
    <xdr:graphicFrame macro="">
      <xdr:nvGraphicFramePr>
        <xdr:cNvPr id="9" name="Chart 8">
          <a:extLst>
            <a:ext uri="{FF2B5EF4-FFF2-40B4-BE49-F238E27FC236}">
              <a16:creationId xmlns:a16="http://schemas.microsoft.com/office/drawing/2014/main" id="{FDE19631-1625-D016-A1A6-8C53809A5F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3</xdr:col>
      <xdr:colOff>213360</xdr:colOff>
      <xdr:row>6</xdr:row>
      <xdr:rowOff>22860</xdr:rowOff>
    </xdr:from>
    <xdr:to>
      <xdr:col>10</xdr:col>
      <xdr:colOff>167640</xdr:colOff>
      <xdr:row>22</xdr:row>
      <xdr:rowOff>60960</xdr:rowOff>
    </xdr:to>
    <xdr:graphicFrame macro="">
      <xdr:nvGraphicFramePr>
        <xdr:cNvPr id="2" name="Chart 1">
          <a:extLst>
            <a:ext uri="{FF2B5EF4-FFF2-40B4-BE49-F238E27FC236}">
              <a16:creationId xmlns:a16="http://schemas.microsoft.com/office/drawing/2014/main" id="{9666F16D-73BE-447E-B8A1-3F3D67FA6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6</xdr:row>
      <xdr:rowOff>15240</xdr:rowOff>
    </xdr:from>
    <xdr:to>
      <xdr:col>17</xdr:col>
      <xdr:colOff>259080</xdr:colOff>
      <xdr:row>22</xdr:row>
      <xdr:rowOff>15240</xdr:rowOff>
    </xdr:to>
    <xdr:graphicFrame macro="">
      <xdr:nvGraphicFramePr>
        <xdr:cNvPr id="3" name="Chart 2">
          <a:extLst>
            <a:ext uri="{FF2B5EF4-FFF2-40B4-BE49-F238E27FC236}">
              <a16:creationId xmlns:a16="http://schemas.microsoft.com/office/drawing/2014/main" id="{49915BF4-42D6-4177-991B-C91D2649B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0</xdr:colOff>
      <xdr:row>6</xdr:row>
      <xdr:rowOff>0</xdr:rowOff>
    </xdr:from>
    <xdr:to>
      <xdr:col>3</xdr:col>
      <xdr:colOff>38100</xdr:colOff>
      <xdr:row>22</xdr:row>
      <xdr:rowOff>160020</xdr:rowOff>
    </xdr:to>
    <mc:AlternateContent xmlns:mc="http://schemas.openxmlformats.org/markup-compatibility/2006" xmlns:a14="http://schemas.microsoft.com/office/drawing/2010/main">
      <mc:Choice Requires="a14">
        <xdr:graphicFrame macro="">
          <xdr:nvGraphicFramePr>
            <xdr:cNvPr id="4" name="Years (Date) 1">
              <a:extLst>
                <a:ext uri="{FF2B5EF4-FFF2-40B4-BE49-F238E27FC236}">
                  <a16:creationId xmlns:a16="http://schemas.microsoft.com/office/drawing/2014/main" id="{48B5CBE9-EDA4-44DD-8EAF-4FC887D50C9D}"/>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mlns="">
        <xdr:sp macro="" textlink="">
          <xdr:nvSpPr>
            <xdr:cNvPr id="0" name=""/>
            <xdr:cNvSpPr>
              <a:spLocks noTextEdit="1"/>
            </xdr:cNvSpPr>
          </xdr:nvSpPr>
          <xdr:spPr>
            <a:xfrm>
              <a:off x="1219200" y="1143000"/>
              <a:ext cx="1341120" cy="3086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6</xdr:row>
      <xdr:rowOff>0</xdr:rowOff>
    </xdr:from>
    <xdr:to>
      <xdr:col>21</xdr:col>
      <xdr:colOff>0</xdr:colOff>
      <xdr:row>22</xdr:row>
      <xdr:rowOff>45720</xdr:rowOff>
    </xdr:to>
    <mc:AlternateContent xmlns:mc="http://schemas.openxmlformats.org/markup-compatibility/2006" xmlns:a14="http://schemas.microsoft.com/office/drawing/2010/main">
      <mc:Choice Requires="a14">
        <xdr:graphicFrame macro="">
          <xdr:nvGraphicFramePr>
            <xdr:cNvPr id="5" name="Region 5">
              <a:extLst>
                <a:ext uri="{FF2B5EF4-FFF2-40B4-BE49-F238E27FC236}">
                  <a16:creationId xmlns:a16="http://schemas.microsoft.com/office/drawing/2014/main" id="{778D8BDF-723D-4A3E-A1A4-3E2A1132D632}"/>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12694920" y="1143000"/>
              <a:ext cx="1828800" cy="2971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38100</xdr:colOff>
      <xdr:row>0</xdr:row>
      <xdr:rowOff>137160</xdr:rowOff>
    </xdr:from>
    <xdr:to>
      <xdr:col>20</xdr:col>
      <xdr:colOff>304800</xdr:colOff>
      <xdr:row>2</xdr:row>
      <xdr:rowOff>38100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B5F62AB0-0A39-4F4D-BABF-33E5DE10B42F}"/>
            </a:ext>
          </a:extLst>
        </xdr:cNvPr>
        <xdr:cNvSpPr/>
      </xdr:nvSpPr>
      <xdr:spPr>
        <a:xfrm>
          <a:off x="12938760" y="137160"/>
          <a:ext cx="1485900" cy="41148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         </a:t>
          </a:r>
          <a:r>
            <a:rPr lang="en-IN" sz="2000">
              <a:solidFill>
                <a:schemeClr val="tx1"/>
              </a:solidFill>
            </a:rPr>
            <a:t>Home</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3</xdr:col>
      <xdr:colOff>228600</xdr:colOff>
      <xdr:row>10</xdr:row>
      <xdr:rowOff>156210</xdr:rowOff>
    </xdr:from>
    <xdr:to>
      <xdr:col>15</xdr:col>
      <xdr:colOff>182880</xdr:colOff>
      <xdr:row>25</xdr:row>
      <xdr:rowOff>156210</xdr:rowOff>
    </xdr:to>
    <xdr:graphicFrame macro="">
      <xdr:nvGraphicFramePr>
        <xdr:cNvPr id="2" name="Chart 1">
          <a:extLst>
            <a:ext uri="{FF2B5EF4-FFF2-40B4-BE49-F238E27FC236}">
              <a16:creationId xmlns:a16="http://schemas.microsoft.com/office/drawing/2014/main" id="{7FB6A8E5-487A-DE7E-9327-BD2D5EB2C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541020</xdr:colOff>
      <xdr:row>10</xdr:row>
      <xdr:rowOff>60960</xdr:rowOff>
    </xdr:from>
    <xdr:to>
      <xdr:col>18</xdr:col>
      <xdr:colOff>541020</xdr:colOff>
      <xdr:row>23</xdr:row>
      <xdr:rowOff>150495</xdr:rowOff>
    </xdr:to>
    <mc:AlternateContent xmlns:mc="http://schemas.openxmlformats.org/markup-compatibility/2006" xmlns:a14="http://schemas.microsoft.com/office/drawing/2010/main">
      <mc:Choice Requires="a14">
        <xdr:graphicFrame macro="">
          <xdr:nvGraphicFramePr>
            <xdr:cNvPr id="3" name="Monthy_Sale 2">
              <a:extLst>
                <a:ext uri="{FF2B5EF4-FFF2-40B4-BE49-F238E27FC236}">
                  <a16:creationId xmlns:a16="http://schemas.microsoft.com/office/drawing/2014/main" id="{75EF928A-C7B8-3CCC-A6B6-E61FEF7A4CA6}"/>
                </a:ext>
              </a:extLst>
            </xdr:cNvPr>
            <xdr:cNvGraphicFramePr/>
          </xdr:nvGraphicFramePr>
          <xdr:xfrm>
            <a:off x="0" y="0"/>
            <a:ext cx="0" cy="0"/>
          </xdr:xfrm>
          <a:graphic>
            <a:graphicData uri="http://schemas.microsoft.com/office/drawing/2010/slicer">
              <sle:slicer xmlns:sle="http://schemas.microsoft.com/office/drawing/2010/slicer" name="Monthy_Sale 2"/>
            </a:graphicData>
          </a:graphic>
        </xdr:graphicFrame>
      </mc:Choice>
      <mc:Fallback xmlns="">
        <xdr:sp macro="" textlink="">
          <xdr:nvSpPr>
            <xdr:cNvPr id="0" name=""/>
            <xdr:cNvSpPr>
              <a:spLocks noTextEdit="1"/>
            </xdr:cNvSpPr>
          </xdr:nvSpPr>
          <xdr:spPr>
            <a:xfrm>
              <a:off x="10287000" y="1889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2.xml><?xml version="1.0" encoding="utf-8"?>
<xdr:wsDr xmlns:xdr="http://schemas.openxmlformats.org/drawingml/2006/spreadsheetDrawing" xmlns:a="http://schemas.openxmlformats.org/drawingml/2006/main">
  <xdr:twoCellAnchor>
    <xdr:from>
      <xdr:col>3</xdr:col>
      <xdr:colOff>190500</xdr:colOff>
      <xdr:row>1</xdr:row>
      <xdr:rowOff>163830</xdr:rowOff>
    </xdr:from>
    <xdr:to>
      <xdr:col>12</xdr:col>
      <xdr:colOff>426720</xdr:colOff>
      <xdr:row>16</xdr:row>
      <xdr:rowOff>163830</xdr:rowOff>
    </xdr:to>
    <xdr:graphicFrame macro="">
      <xdr:nvGraphicFramePr>
        <xdr:cNvPr id="3" name="Chart 2">
          <a:extLst>
            <a:ext uri="{FF2B5EF4-FFF2-40B4-BE49-F238E27FC236}">
              <a16:creationId xmlns:a16="http://schemas.microsoft.com/office/drawing/2014/main" id="{EF48D7FD-0B99-46CA-0479-AF410A17F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579120</xdr:colOff>
      <xdr:row>2</xdr:row>
      <xdr:rowOff>7620</xdr:rowOff>
    </xdr:from>
    <xdr:to>
      <xdr:col>15</xdr:col>
      <xdr:colOff>579120</xdr:colOff>
      <xdr:row>16</xdr:row>
      <xdr:rowOff>144780</xdr:rowOff>
    </xdr:to>
    <mc:AlternateContent xmlns:mc="http://schemas.openxmlformats.org/markup-compatibility/2006" xmlns:a14="http://schemas.microsoft.com/office/drawing/2010/main">
      <mc:Choice Requires="a14">
        <xdr:graphicFrame macro="">
          <xdr:nvGraphicFramePr>
            <xdr:cNvPr id="4" name="Vehicle_Type 10">
              <a:extLst>
                <a:ext uri="{FF2B5EF4-FFF2-40B4-BE49-F238E27FC236}">
                  <a16:creationId xmlns:a16="http://schemas.microsoft.com/office/drawing/2014/main" id="{F1625C65-67C1-121C-83B5-C2A5FC444C93}"/>
                </a:ext>
              </a:extLst>
            </xdr:cNvPr>
            <xdr:cNvGraphicFramePr/>
          </xdr:nvGraphicFramePr>
          <xdr:xfrm>
            <a:off x="0" y="0"/>
            <a:ext cx="0" cy="0"/>
          </xdr:xfrm>
          <a:graphic>
            <a:graphicData uri="http://schemas.microsoft.com/office/drawing/2010/slicer">
              <sle:slicer xmlns:sle="http://schemas.microsoft.com/office/drawing/2010/slicer" name="Vehicle_Type 10"/>
            </a:graphicData>
          </a:graphic>
        </xdr:graphicFrame>
      </mc:Choice>
      <mc:Fallback xmlns="">
        <xdr:sp macro="" textlink="">
          <xdr:nvSpPr>
            <xdr:cNvPr id="0" name=""/>
            <xdr:cNvSpPr>
              <a:spLocks noTextEdit="1"/>
            </xdr:cNvSpPr>
          </xdr:nvSpPr>
          <xdr:spPr>
            <a:xfrm>
              <a:off x="9585960" y="373380"/>
              <a:ext cx="1828800" cy="2697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3.xml><?xml version="1.0" encoding="utf-8"?>
<xdr:wsDr xmlns:xdr="http://schemas.openxmlformats.org/drawingml/2006/spreadsheetDrawing" xmlns:a="http://schemas.openxmlformats.org/drawingml/2006/main">
  <xdr:twoCellAnchor>
    <xdr:from>
      <xdr:col>3</xdr:col>
      <xdr:colOff>99060</xdr:colOff>
      <xdr:row>3</xdr:row>
      <xdr:rowOff>38100</xdr:rowOff>
    </xdr:from>
    <xdr:to>
      <xdr:col>11</xdr:col>
      <xdr:colOff>449580</xdr:colOff>
      <xdr:row>20</xdr:row>
      <xdr:rowOff>80010</xdr:rowOff>
    </xdr:to>
    <xdr:graphicFrame macro="">
      <xdr:nvGraphicFramePr>
        <xdr:cNvPr id="2" name="Chart 1">
          <a:extLst>
            <a:ext uri="{FF2B5EF4-FFF2-40B4-BE49-F238E27FC236}">
              <a16:creationId xmlns:a16="http://schemas.microsoft.com/office/drawing/2014/main" id="{E2B13437-9855-0869-271B-B8A95BEF2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3</xdr:col>
      <xdr:colOff>525780</xdr:colOff>
      <xdr:row>5</xdr:row>
      <xdr:rowOff>80010</xdr:rowOff>
    </xdr:from>
    <xdr:to>
      <xdr:col>11</xdr:col>
      <xdr:colOff>220980</xdr:colOff>
      <xdr:row>20</xdr:row>
      <xdr:rowOff>80010</xdr:rowOff>
    </xdr:to>
    <xdr:graphicFrame macro="">
      <xdr:nvGraphicFramePr>
        <xdr:cNvPr id="2" name="Chart 1">
          <a:extLst>
            <a:ext uri="{FF2B5EF4-FFF2-40B4-BE49-F238E27FC236}">
              <a16:creationId xmlns:a16="http://schemas.microsoft.com/office/drawing/2014/main" id="{AC2DBDAB-4D72-B4AA-F607-455C60FC6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350520</xdr:colOff>
      <xdr:row>5</xdr:row>
      <xdr:rowOff>60960</xdr:rowOff>
    </xdr:from>
    <xdr:to>
      <xdr:col>14</xdr:col>
      <xdr:colOff>350520</xdr:colOff>
      <xdr:row>20</xdr:row>
      <xdr:rowOff>45720</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48C97346-E031-F840-6D4E-E7C1C571640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833360" y="975360"/>
              <a:ext cx="1828800" cy="2727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xdr:from>
      <xdr:col>4</xdr:col>
      <xdr:colOff>609600</xdr:colOff>
      <xdr:row>7</xdr:row>
      <xdr:rowOff>7620</xdr:rowOff>
    </xdr:from>
    <xdr:to>
      <xdr:col>12</xdr:col>
      <xdr:colOff>396240</xdr:colOff>
      <xdr:row>22</xdr:row>
      <xdr:rowOff>7620</xdr:rowOff>
    </xdr:to>
    <xdr:graphicFrame macro="">
      <xdr:nvGraphicFramePr>
        <xdr:cNvPr id="2" name="Chart 1">
          <a:extLst>
            <a:ext uri="{FF2B5EF4-FFF2-40B4-BE49-F238E27FC236}">
              <a16:creationId xmlns:a16="http://schemas.microsoft.com/office/drawing/2014/main" id="{10A75A49-965F-4AFB-AB37-6115C9DE7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571500</xdr:colOff>
      <xdr:row>7</xdr:row>
      <xdr:rowOff>15240</xdr:rowOff>
    </xdr:from>
    <xdr:to>
      <xdr:col>4</xdr:col>
      <xdr:colOff>571500</xdr:colOff>
      <xdr:row>22</xdr:row>
      <xdr:rowOff>15240</xdr:rowOff>
    </xdr:to>
    <mc:AlternateContent xmlns:mc="http://schemas.openxmlformats.org/markup-compatibility/2006" xmlns:a14="http://schemas.microsoft.com/office/drawing/2010/main">
      <mc:Choice Requires="a14">
        <xdr:graphicFrame macro="">
          <xdr:nvGraphicFramePr>
            <xdr:cNvPr id="3" name="Vehicle_Type 11">
              <a:extLst>
                <a:ext uri="{FF2B5EF4-FFF2-40B4-BE49-F238E27FC236}">
                  <a16:creationId xmlns:a16="http://schemas.microsoft.com/office/drawing/2014/main" id="{7E0EFDA5-DC9C-4046-990C-AFB95C6AD8C0}"/>
                </a:ext>
              </a:extLst>
            </xdr:cNvPr>
            <xdr:cNvGraphicFramePr/>
          </xdr:nvGraphicFramePr>
          <xdr:xfrm>
            <a:off x="0" y="0"/>
            <a:ext cx="0" cy="0"/>
          </xdr:xfrm>
          <a:graphic>
            <a:graphicData uri="http://schemas.microsoft.com/office/drawing/2010/slicer">
              <sle:slicer xmlns:sle="http://schemas.microsoft.com/office/drawing/2010/slicer" name="Vehicle_Type 11"/>
            </a:graphicData>
          </a:graphic>
        </xdr:graphicFrame>
      </mc:Choice>
      <mc:Fallback xmlns="">
        <xdr:sp macro="" textlink="">
          <xdr:nvSpPr>
            <xdr:cNvPr id="0" name=""/>
            <xdr:cNvSpPr>
              <a:spLocks noTextEdit="1"/>
            </xdr:cNvSpPr>
          </xdr:nvSpPr>
          <xdr:spPr>
            <a:xfrm>
              <a:off x="1181100" y="1485900"/>
              <a:ext cx="182880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434340</xdr:colOff>
      <xdr:row>6</xdr:row>
      <xdr:rowOff>167640</xdr:rowOff>
    </xdr:from>
    <xdr:to>
      <xdr:col>19</xdr:col>
      <xdr:colOff>243840</xdr:colOff>
      <xdr:row>22</xdr:row>
      <xdr:rowOff>0</xdr:rowOff>
    </xdr:to>
    <xdr:graphicFrame macro="">
      <xdr:nvGraphicFramePr>
        <xdr:cNvPr id="4" name="Chart 3">
          <a:extLst>
            <a:ext uri="{FF2B5EF4-FFF2-40B4-BE49-F238E27FC236}">
              <a16:creationId xmlns:a16="http://schemas.microsoft.com/office/drawing/2014/main" id="{58988E22-6F67-4818-A734-F3150673F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655320</xdr:colOff>
      <xdr:row>22</xdr:row>
      <xdr:rowOff>91440</xdr:rowOff>
    </xdr:from>
    <xdr:to>
      <xdr:col>14</xdr:col>
      <xdr:colOff>403860</xdr:colOff>
      <xdr:row>39</xdr:row>
      <xdr:rowOff>133350</xdr:rowOff>
    </xdr:to>
    <xdr:graphicFrame macro="">
      <xdr:nvGraphicFramePr>
        <xdr:cNvPr id="5" name="Chart 4">
          <a:extLst>
            <a:ext uri="{FF2B5EF4-FFF2-40B4-BE49-F238E27FC236}">
              <a16:creationId xmlns:a16="http://schemas.microsoft.com/office/drawing/2014/main" id="{C9C493B2-4678-44E4-A158-510E4F43B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297180</xdr:colOff>
      <xdr:row>6</xdr:row>
      <xdr:rowOff>175260</xdr:rowOff>
    </xdr:from>
    <xdr:to>
      <xdr:col>21</xdr:col>
      <xdr:colOff>411480</xdr:colOff>
      <xdr:row>21</xdr:row>
      <xdr:rowOff>160020</xdr:rowOff>
    </xdr:to>
    <mc:AlternateContent xmlns:mc="http://schemas.openxmlformats.org/markup-compatibility/2006" xmlns:a14="http://schemas.microsoft.com/office/drawing/2010/main">
      <mc:Choice Requires="a14">
        <xdr:graphicFrame macro="">
          <xdr:nvGraphicFramePr>
            <xdr:cNvPr id="6" name="Month 1">
              <a:extLst>
                <a:ext uri="{FF2B5EF4-FFF2-40B4-BE49-F238E27FC236}">
                  <a16:creationId xmlns:a16="http://schemas.microsoft.com/office/drawing/2014/main" id="{52026D14-7F80-4623-A6B5-AAE4A5E04A1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434060" y="1463040"/>
              <a:ext cx="1828800" cy="2727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17</xdr:col>
          <xdr:colOff>396240</xdr:colOff>
          <xdr:row>1</xdr:row>
          <xdr:rowOff>45720</xdr:rowOff>
        </xdr:from>
        <xdr:to>
          <xdr:col>19</xdr:col>
          <xdr:colOff>876300</xdr:colOff>
          <xdr:row>2</xdr:row>
          <xdr:rowOff>99060</xdr:rowOff>
        </xdr:to>
        <xdr:sp macro="" textlink="">
          <xdr:nvSpPr>
            <xdr:cNvPr id="52225" name="Button 1" hidden="1">
              <a:extLst>
                <a:ext uri="{63B3BB69-23CF-44E3-9099-C40C66FF867C}">
                  <a14:compatExt spid="_x0000_s52225"/>
                </a:ext>
                <a:ext uri="{FF2B5EF4-FFF2-40B4-BE49-F238E27FC236}">
                  <a16:creationId xmlns:a16="http://schemas.microsoft.com/office/drawing/2014/main" id="{00000000-0008-0000-3900-000001C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0" i="0" u="none" strike="noStrike" baseline="0">
                  <a:solidFill>
                    <a:srgbClr val="000000"/>
                  </a:solidFill>
                  <a:latin typeface="Calibri"/>
                  <a:ea typeface="Calibri"/>
                  <a:cs typeface="Calibri"/>
                </a:rPr>
                <a:t>Refresh Forecast_Report</a:t>
              </a:r>
            </a:p>
          </xdr:txBody>
        </xdr:sp>
        <xdr:clientData fPrintsWithSheet="0"/>
      </xdr:twoCellAnchor>
    </mc:Choice>
    <mc:Fallback/>
  </mc:AlternateContent>
  <xdr:twoCellAnchor>
    <xdr:from>
      <xdr:col>16</xdr:col>
      <xdr:colOff>0</xdr:colOff>
      <xdr:row>24</xdr:row>
      <xdr:rowOff>68580</xdr:rowOff>
    </xdr:from>
    <xdr:to>
      <xdr:col>17</xdr:col>
      <xdr:colOff>266700</xdr:colOff>
      <xdr:row>26</xdr:row>
      <xdr:rowOff>106680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83401ADB-C412-4D85-9312-23D06BE5DEF9}"/>
            </a:ext>
          </a:extLst>
        </xdr:cNvPr>
        <xdr:cNvSpPr/>
      </xdr:nvSpPr>
      <xdr:spPr>
        <a:xfrm>
          <a:off x="11026140" y="4648200"/>
          <a:ext cx="1158240" cy="403860"/>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xdr:col>
      <xdr:colOff>304800</xdr:colOff>
      <xdr:row>9</xdr:row>
      <xdr:rowOff>148590</xdr:rowOff>
    </xdr:from>
    <xdr:to>
      <xdr:col>8</xdr:col>
      <xdr:colOff>556260</xdr:colOff>
      <xdr:row>24</xdr:row>
      <xdr:rowOff>148590</xdr:rowOff>
    </xdr:to>
    <xdr:graphicFrame macro="">
      <xdr:nvGraphicFramePr>
        <xdr:cNvPr id="2" name="Chart 1">
          <a:extLst>
            <a:ext uri="{FF2B5EF4-FFF2-40B4-BE49-F238E27FC236}">
              <a16:creationId xmlns:a16="http://schemas.microsoft.com/office/drawing/2014/main" id="{175DB119-E52E-1F89-FBDB-A684236F5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243840</xdr:colOff>
      <xdr:row>10</xdr:row>
      <xdr:rowOff>15240</xdr:rowOff>
    </xdr:from>
    <xdr:to>
      <xdr:col>12</xdr:col>
      <xdr:colOff>243840</xdr:colOff>
      <xdr:row>24</xdr:row>
      <xdr:rowOff>114300</xdr:rowOff>
    </xdr:to>
    <mc:AlternateContent xmlns:mc="http://schemas.openxmlformats.org/markup-compatibility/2006" xmlns:a14="http://schemas.microsoft.com/office/drawing/2010/main">
      <mc:Choice Requires="a14">
        <xdr:graphicFrame macro="">
          <xdr:nvGraphicFramePr>
            <xdr:cNvPr id="3" name="Region 6">
              <a:extLst>
                <a:ext uri="{FF2B5EF4-FFF2-40B4-BE49-F238E27FC236}">
                  <a16:creationId xmlns:a16="http://schemas.microsoft.com/office/drawing/2014/main" id="{F647D865-5E17-6998-1409-9E4FD1C2952B}"/>
                </a:ext>
              </a:extLst>
            </xdr:cNvPr>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6309360" y="1844040"/>
              <a:ext cx="1828800" cy="2659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502920</xdr:colOff>
      <xdr:row>9</xdr:row>
      <xdr:rowOff>60960</xdr:rowOff>
    </xdr:from>
    <xdr:to>
      <xdr:col>12</xdr:col>
      <xdr:colOff>45720</xdr:colOff>
      <xdr:row>24</xdr:row>
      <xdr:rowOff>60960</xdr:rowOff>
    </xdr:to>
    <xdr:graphicFrame macro="">
      <xdr:nvGraphicFramePr>
        <xdr:cNvPr id="2" name="Chart 1">
          <a:extLst>
            <a:ext uri="{FF2B5EF4-FFF2-40B4-BE49-F238E27FC236}">
              <a16:creationId xmlns:a16="http://schemas.microsoft.com/office/drawing/2014/main" id="{745903E4-3770-4EE5-8A31-AC62940FF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220980</xdr:colOff>
      <xdr:row>9</xdr:row>
      <xdr:rowOff>60960</xdr:rowOff>
    </xdr:from>
    <xdr:to>
      <xdr:col>15</xdr:col>
      <xdr:colOff>350520</xdr:colOff>
      <xdr:row>24</xdr:row>
      <xdr:rowOff>15240</xdr:rowOff>
    </xdr:to>
    <mc:AlternateContent xmlns:mc="http://schemas.openxmlformats.org/markup-compatibility/2006" xmlns:a14="http://schemas.microsoft.com/office/drawing/2010/main">
      <mc:Choice Requires="a14">
        <xdr:graphicFrame macro="">
          <xdr:nvGraphicFramePr>
            <xdr:cNvPr id="3" name="Region 7">
              <a:extLst>
                <a:ext uri="{FF2B5EF4-FFF2-40B4-BE49-F238E27FC236}">
                  <a16:creationId xmlns:a16="http://schemas.microsoft.com/office/drawing/2014/main" id="{70D05208-2437-43D8-A773-27F36BC078F3}"/>
                </a:ext>
              </a:extLst>
            </xdr:cNvPr>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8267700" y="1897380"/>
              <a:ext cx="182880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0</xdr:colOff>
      <xdr:row>2</xdr:row>
      <xdr:rowOff>0</xdr:rowOff>
    </xdr:from>
    <xdr:to>
      <xdr:col>17</xdr:col>
      <xdr:colOff>548640</xdr:colOff>
      <xdr:row>3</xdr:row>
      <xdr:rowOff>76200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2CF70A60-583F-47A6-8741-822D5F1C50B1}"/>
            </a:ext>
          </a:extLst>
        </xdr:cNvPr>
        <xdr:cNvSpPr/>
      </xdr:nvSpPr>
      <xdr:spPr>
        <a:xfrm>
          <a:off x="10355580" y="365760"/>
          <a:ext cx="1158240" cy="40386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11</xdr:col>
      <xdr:colOff>381000</xdr:colOff>
      <xdr:row>4</xdr:row>
      <xdr:rowOff>60960</xdr:rowOff>
    </xdr:from>
    <xdr:to>
      <xdr:col>14</xdr:col>
      <xdr:colOff>381000</xdr:colOff>
      <xdr:row>17</xdr:row>
      <xdr:rowOff>150495</xdr:rowOff>
    </xdr:to>
    <mc:AlternateContent xmlns:mc="http://schemas.openxmlformats.org/markup-compatibility/2006" xmlns:a14="http://schemas.microsoft.com/office/drawing/2010/main">
      <mc:Choice Requires="a14">
        <xdr:graphicFrame macro="">
          <xdr:nvGraphicFramePr>
            <xdr:cNvPr id="2" name="Vehicle_Type 5">
              <a:extLst>
                <a:ext uri="{FF2B5EF4-FFF2-40B4-BE49-F238E27FC236}">
                  <a16:creationId xmlns:a16="http://schemas.microsoft.com/office/drawing/2014/main" id="{58E20573-7FE2-B772-62F4-D079807BB4B5}"/>
                </a:ext>
              </a:extLst>
            </xdr:cNvPr>
            <xdr:cNvGraphicFramePr/>
          </xdr:nvGraphicFramePr>
          <xdr:xfrm>
            <a:off x="0" y="0"/>
            <a:ext cx="0" cy="0"/>
          </xdr:xfrm>
          <a:graphic>
            <a:graphicData uri="http://schemas.microsoft.com/office/drawing/2010/slicer">
              <sle:slicer xmlns:sle="http://schemas.microsoft.com/office/drawing/2010/slicer" name="Vehicle_Type 5"/>
            </a:graphicData>
          </a:graphic>
        </xdr:graphicFrame>
      </mc:Choice>
      <mc:Fallback xmlns="">
        <xdr:sp macro="" textlink="">
          <xdr:nvSpPr>
            <xdr:cNvPr id="0" name=""/>
            <xdr:cNvSpPr>
              <a:spLocks noTextEdit="1"/>
            </xdr:cNvSpPr>
          </xdr:nvSpPr>
          <xdr:spPr>
            <a:xfrm>
              <a:off x="8473440" y="792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525780</xdr:colOff>
      <xdr:row>5</xdr:row>
      <xdr:rowOff>80010</xdr:rowOff>
    </xdr:from>
    <xdr:to>
      <xdr:col>11</xdr:col>
      <xdr:colOff>22860</xdr:colOff>
      <xdr:row>20</xdr:row>
      <xdr:rowOff>80010</xdr:rowOff>
    </xdr:to>
    <xdr:graphicFrame macro="">
      <xdr:nvGraphicFramePr>
        <xdr:cNvPr id="3" name="Chart 2">
          <a:extLst>
            <a:ext uri="{FF2B5EF4-FFF2-40B4-BE49-F238E27FC236}">
              <a16:creationId xmlns:a16="http://schemas.microsoft.com/office/drawing/2014/main" id="{DE997804-BBBA-1A87-C084-32EE7B0AA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3</xdr:col>
      <xdr:colOff>304800</xdr:colOff>
      <xdr:row>2</xdr:row>
      <xdr:rowOff>11430</xdr:rowOff>
    </xdr:from>
    <xdr:to>
      <xdr:col>11</xdr:col>
      <xdr:colOff>0</xdr:colOff>
      <xdr:row>17</xdr:row>
      <xdr:rowOff>11430</xdr:rowOff>
    </xdr:to>
    <xdr:graphicFrame macro="">
      <xdr:nvGraphicFramePr>
        <xdr:cNvPr id="3" name="Chart 2">
          <a:extLst>
            <a:ext uri="{FF2B5EF4-FFF2-40B4-BE49-F238E27FC236}">
              <a16:creationId xmlns:a16="http://schemas.microsoft.com/office/drawing/2014/main" id="{CF0B2751-695C-6C27-E2C2-31E4AD821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190500</xdr:colOff>
      <xdr:row>2</xdr:row>
      <xdr:rowOff>7620</xdr:rowOff>
    </xdr:from>
    <xdr:to>
      <xdr:col>14</xdr:col>
      <xdr:colOff>190500</xdr:colOff>
      <xdr:row>15</xdr:row>
      <xdr:rowOff>97155</xdr:rowOff>
    </xdr:to>
    <mc:AlternateContent xmlns:mc="http://schemas.openxmlformats.org/markup-compatibility/2006" xmlns:a14="http://schemas.microsoft.com/office/drawing/2010/main">
      <mc:Choice Requires="a14">
        <xdr:graphicFrame macro="">
          <xdr:nvGraphicFramePr>
            <xdr:cNvPr id="2" name="Vehicle_Type 14">
              <a:extLst>
                <a:ext uri="{FF2B5EF4-FFF2-40B4-BE49-F238E27FC236}">
                  <a16:creationId xmlns:a16="http://schemas.microsoft.com/office/drawing/2014/main" id="{E11ABB3C-CF84-6AAE-BFF0-89BB659C1869}"/>
                </a:ext>
              </a:extLst>
            </xdr:cNvPr>
            <xdr:cNvGraphicFramePr/>
          </xdr:nvGraphicFramePr>
          <xdr:xfrm>
            <a:off x="0" y="0"/>
            <a:ext cx="0" cy="0"/>
          </xdr:xfrm>
          <a:graphic>
            <a:graphicData uri="http://schemas.microsoft.com/office/drawing/2010/slicer">
              <sle:slicer xmlns:sle="http://schemas.microsoft.com/office/drawing/2010/slicer" name="Vehicle_Type 14"/>
            </a:graphicData>
          </a:graphic>
        </xdr:graphicFrame>
      </mc:Choice>
      <mc:Fallback xmlns="">
        <xdr:sp macro="" textlink="">
          <xdr:nvSpPr>
            <xdr:cNvPr id="0" name=""/>
            <xdr:cNvSpPr>
              <a:spLocks noTextEdit="1"/>
            </xdr:cNvSpPr>
          </xdr:nvSpPr>
          <xdr:spPr>
            <a:xfrm>
              <a:off x="8587740" y="37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editAs="oneCell">
    <xdr:from>
      <xdr:col>10</xdr:col>
      <xdr:colOff>304800</xdr:colOff>
      <xdr:row>2</xdr:row>
      <xdr:rowOff>7620</xdr:rowOff>
    </xdr:from>
    <xdr:to>
      <xdr:col>13</xdr:col>
      <xdr:colOff>304800</xdr:colOff>
      <xdr:row>15</xdr:row>
      <xdr:rowOff>97155</xdr:rowOff>
    </xdr:to>
    <mc:AlternateContent xmlns:mc="http://schemas.openxmlformats.org/markup-compatibility/2006" xmlns:a14="http://schemas.microsoft.com/office/drawing/2010/main">
      <mc:Choice Requires="a14">
        <xdr:graphicFrame macro="">
          <xdr:nvGraphicFramePr>
            <xdr:cNvPr id="5" name="Monthy_Sale">
              <a:extLst>
                <a:ext uri="{FF2B5EF4-FFF2-40B4-BE49-F238E27FC236}">
                  <a16:creationId xmlns:a16="http://schemas.microsoft.com/office/drawing/2014/main" id="{5B992D47-155D-429D-15E8-643E48F7E253}"/>
                </a:ext>
              </a:extLst>
            </xdr:cNvPr>
            <xdr:cNvGraphicFramePr/>
          </xdr:nvGraphicFramePr>
          <xdr:xfrm>
            <a:off x="0" y="0"/>
            <a:ext cx="0" cy="0"/>
          </xdr:xfrm>
          <a:graphic>
            <a:graphicData uri="http://schemas.microsoft.com/office/drawing/2010/slicer">
              <sle:slicer xmlns:sle="http://schemas.microsoft.com/office/drawing/2010/slicer" name="Monthy_Sale"/>
            </a:graphicData>
          </a:graphic>
        </xdr:graphicFrame>
      </mc:Choice>
      <mc:Fallback xmlns="">
        <xdr:sp macro="" textlink="">
          <xdr:nvSpPr>
            <xdr:cNvPr id="0" name=""/>
            <xdr:cNvSpPr>
              <a:spLocks noTextEdit="1"/>
            </xdr:cNvSpPr>
          </xdr:nvSpPr>
          <xdr:spPr>
            <a:xfrm>
              <a:off x="7757160" y="37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274320</xdr:colOff>
      <xdr:row>2</xdr:row>
      <xdr:rowOff>49530</xdr:rowOff>
    </xdr:from>
    <xdr:to>
      <xdr:col>9</xdr:col>
      <xdr:colOff>579120</xdr:colOff>
      <xdr:row>17</xdr:row>
      <xdr:rowOff>49530</xdr:rowOff>
    </xdr:to>
    <xdr:graphicFrame macro="">
      <xdr:nvGraphicFramePr>
        <xdr:cNvPr id="6" name="Chart 5">
          <a:extLst>
            <a:ext uri="{FF2B5EF4-FFF2-40B4-BE49-F238E27FC236}">
              <a16:creationId xmlns:a16="http://schemas.microsoft.com/office/drawing/2014/main" id="{5EEA7FCF-4477-0FD8-3A70-499437F59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3</xdr:col>
      <xdr:colOff>152400</xdr:colOff>
      <xdr:row>2</xdr:row>
      <xdr:rowOff>11430</xdr:rowOff>
    </xdr:from>
    <xdr:to>
      <xdr:col>12</xdr:col>
      <xdr:colOff>144780</xdr:colOff>
      <xdr:row>19</xdr:row>
      <xdr:rowOff>53340</xdr:rowOff>
    </xdr:to>
    <xdr:graphicFrame macro="">
      <xdr:nvGraphicFramePr>
        <xdr:cNvPr id="4" name="Chart 3">
          <a:extLst>
            <a:ext uri="{FF2B5EF4-FFF2-40B4-BE49-F238E27FC236}">
              <a16:creationId xmlns:a16="http://schemas.microsoft.com/office/drawing/2014/main" id="{21D7B565-CC42-6414-D231-F247A9327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434340</xdr:colOff>
      <xdr:row>2</xdr:row>
      <xdr:rowOff>99060</xdr:rowOff>
    </xdr:from>
    <xdr:to>
      <xdr:col>15</xdr:col>
      <xdr:colOff>434340</xdr:colOff>
      <xdr:row>16</xdr:row>
      <xdr:rowOff>5715</xdr:rowOff>
    </xdr:to>
    <mc:AlternateContent xmlns:mc="http://schemas.openxmlformats.org/markup-compatibility/2006" xmlns:a14="http://schemas.microsoft.com/office/drawing/2010/main">
      <mc:Choice Requires="a14">
        <xdr:graphicFrame macro="">
          <xdr:nvGraphicFramePr>
            <xdr:cNvPr id="5" name="Vehicle_Type 2">
              <a:extLst>
                <a:ext uri="{FF2B5EF4-FFF2-40B4-BE49-F238E27FC236}">
                  <a16:creationId xmlns:a16="http://schemas.microsoft.com/office/drawing/2014/main" id="{B8175901-E0C2-58B1-CE36-BB7BAA635AE9}"/>
                </a:ext>
              </a:extLst>
            </xdr:cNvPr>
            <xdr:cNvGraphicFramePr/>
          </xdr:nvGraphicFramePr>
          <xdr:xfrm>
            <a:off x="0" y="0"/>
            <a:ext cx="0" cy="0"/>
          </xdr:xfrm>
          <a:graphic>
            <a:graphicData uri="http://schemas.microsoft.com/office/drawing/2010/slicer">
              <sle:slicer xmlns:sle="http://schemas.microsoft.com/office/drawing/2010/slicer" name="Vehicle_Type 2"/>
            </a:graphicData>
          </a:graphic>
        </xdr:graphicFrame>
      </mc:Choice>
      <mc:Fallback xmlns="">
        <xdr:sp macro="" textlink="">
          <xdr:nvSpPr>
            <xdr:cNvPr id="0" name=""/>
            <xdr:cNvSpPr>
              <a:spLocks noTextEdit="1"/>
            </xdr:cNvSpPr>
          </xdr:nvSpPr>
          <xdr:spPr>
            <a:xfrm>
              <a:off x="9936480" y="464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12</xdr:col>
      <xdr:colOff>342900</xdr:colOff>
      <xdr:row>7</xdr:row>
      <xdr:rowOff>129540</xdr:rowOff>
    </xdr:from>
    <xdr:to>
      <xdr:col>20</xdr:col>
      <xdr:colOff>289560</xdr:colOff>
      <xdr:row>24</xdr:row>
      <xdr:rowOff>137160</xdr:rowOff>
    </xdr:to>
    <xdr:graphicFrame macro="">
      <xdr:nvGraphicFramePr>
        <xdr:cNvPr id="2" name="Chart 1">
          <a:extLst>
            <a:ext uri="{FF2B5EF4-FFF2-40B4-BE49-F238E27FC236}">
              <a16:creationId xmlns:a16="http://schemas.microsoft.com/office/drawing/2014/main" id="{4F76D298-D648-4DFC-97C4-79379B59C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365760</xdr:colOff>
      <xdr:row>7</xdr:row>
      <xdr:rowOff>99060</xdr:rowOff>
    </xdr:from>
    <xdr:to>
      <xdr:col>23</xdr:col>
      <xdr:colOff>0</xdr:colOff>
      <xdr:row>24</xdr:row>
      <xdr:rowOff>137160</xdr:rowOff>
    </xdr:to>
    <mc:AlternateContent xmlns:mc="http://schemas.openxmlformats.org/markup-compatibility/2006" xmlns:a14="http://schemas.microsoft.com/office/drawing/2010/main">
      <mc:Choice Requires="a14">
        <xdr:graphicFrame macro="">
          <xdr:nvGraphicFramePr>
            <xdr:cNvPr id="3" name="Vehicle_Type 3">
              <a:extLst>
                <a:ext uri="{FF2B5EF4-FFF2-40B4-BE49-F238E27FC236}">
                  <a16:creationId xmlns:a16="http://schemas.microsoft.com/office/drawing/2014/main" id="{B9B9CFC6-8C4A-4D65-9EDA-21B685644C26}"/>
                </a:ext>
              </a:extLst>
            </xdr:cNvPr>
            <xdr:cNvGraphicFramePr/>
          </xdr:nvGraphicFramePr>
          <xdr:xfrm>
            <a:off x="0" y="0"/>
            <a:ext cx="0" cy="0"/>
          </xdr:xfrm>
          <a:graphic>
            <a:graphicData uri="http://schemas.microsoft.com/office/drawing/2010/slicer">
              <sle:slicer xmlns:sle="http://schemas.microsoft.com/office/drawing/2010/slicer" name="Vehicle_Type 3"/>
            </a:graphicData>
          </a:graphic>
        </xdr:graphicFrame>
      </mc:Choice>
      <mc:Fallback xmlns="">
        <xdr:sp macro="" textlink="">
          <xdr:nvSpPr>
            <xdr:cNvPr id="0" name=""/>
            <xdr:cNvSpPr>
              <a:spLocks noTextEdit="1"/>
            </xdr:cNvSpPr>
          </xdr:nvSpPr>
          <xdr:spPr>
            <a:xfrm>
              <a:off x="14424660" y="1569720"/>
              <a:ext cx="1828800" cy="3192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220980</xdr:colOff>
      <xdr:row>7</xdr:row>
      <xdr:rowOff>121920</xdr:rowOff>
    </xdr:from>
    <xdr:to>
      <xdr:col>12</xdr:col>
      <xdr:colOff>243840</xdr:colOff>
      <xdr:row>24</xdr:row>
      <xdr:rowOff>137160</xdr:rowOff>
    </xdr:to>
    <xdr:graphicFrame macro="">
      <xdr:nvGraphicFramePr>
        <xdr:cNvPr id="4" name="Chart 3">
          <a:extLst>
            <a:ext uri="{FF2B5EF4-FFF2-40B4-BE49-F238E27FC236}">
              <a16:creationId xmlns:a16="http://schemas.microsoft.com/office/drawing/2014/main" id="{B07DBDDB-6A55-4839-AC22-99DEA4F60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601980</xdr:colOff>
      <xdr:row>7</xdr:row>
      <xdr:rowOff>114300</xdr:rowOff>
    </xdr:from>
    <xdr:to>
      <xdr:col>4</xdr:col>
      <xdr:colOff>198120</xdr:colOff>
      <xdr:row>24</xdr:row>
      <xdr:rowOff>114300</xdr:rowOff>
    </xdr:to>
    <mc:AlternateContent xmlns:mc="http://schemas.openxmlformats.org/markup-compatibility/2006" xmlns:a14="http://schemas.microsoft.com/office/drawing/2010/main">
      <mc:Choice Requires="a14">
        <xdr:graphicFrame macro="">
          <xdr:nvGraphicFramePr>
            <xdr:cNvPr id="5" name="Monthy_Sale 1">
              <a:extLst>
                <a:ext uri="{FF2B5EF4-FFF2-40B4-BE49-F238E27FC236}">
                  <a16:creationId xmlns:a16="http://schemas.microsoft.com/office/drawing/2014/main" id="{F93741B3-DA08-4F6A-911D-9983413B2800}"/>
                </a:ext>
              </a:extLst>
            </xdr:cNvPr>
            <xdr:cNvGraphicFramePr/>
          </xdr:nvGraphicFramePr>
          <xdr:xfrm>
            <a:off x="0" y="0"/>
            <a:ext cx="0" cy="0"/>
          </xdr:xfrm>
          <a:graphic>
            <a:graphicData uri="http://schemas.microsoft.com/office/drawing/2010/slicer">
              <sle:slicer xmlns:sle="http://schemas.microsoft.com/office/drawing/2010/slicer" name="Monthy_Sale 1"/>
            </a:graphicData>
          </a:graphic>
        </xdr:graphicFrame>
      </mc:Choice>
      <mc:Fallback xmlns="">
        <xdr:sp macro="" textlink="">
          <xdr:nvSpPr>
            <xdr:cNvPr id="0" name=""/>
            <xdr:cNvSpPr>
              <a:spLocks noTextEdit="1"/>
            </xdr:cNvSpPr>
          </xdr:nvSpPr>
          <xdr:spPr>
            <a:xfrm>
              <a:off x="1211580" y="1584960"/>
              <a:ext cx="1851660" cy="3154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236220</xdr:colOff>
      <xdr:row>25</xdr:row>
      <xdr:rowOff>53340</xdr:rowOff>
    </xdr:from>
    <xdr:to>
      <xdr:col>12</xdr:col>
      <xdr:colOff>281940</xdr:colOff>
      <xdr:row>42</xdr:row>
      <xdr:rowOff>53340</xdr:rowOff>
    </xdr:to>
    <xdr:graphicFrame macro="">
      <xdr:nvGraphicFramePr>
        <xdr:cNvPr id="7" name="Chart 6">
          <a:extLst>
            <a:ext uri="{FF2B5EF4-FFF2-40B4-BE49-F238E27FC236}">
              <a16:creationId xmlns:a16="http://schemas.microsoft.com/office/drawing/2014/main" id="{5D181ADD-AEC7-4C59-AC41-AADF760AD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0</xdr:colOff>
      <xdr:row>25</xdr:row>
      <xdr:rowOff>0</xdr:rowOff>
    </xdr:from>
    <xdr:to>
      <xdr:col>4</xdr:col>
      <xdr:colOff>182880</xdr:colOff>
      <xdr:row>42</xdr:row>
      <xdr:rowOff>22860</xdr:rowOff>
    </xdr:to>
    <mc:AlternateContent xmlns:mc="http://schemas.openxmlformats.org/markup-compatibility/2006" xmlns:a14="http://schemas.microsoft.com/office/drawing/2010/main">
      <mc:Choice Requires="a14">
        <xdr:graphicFrame macro="">
          <xdr:nvGraphicFramePr>
            <xdr:cNvPr id="9" name="Vehicle_Type 6">
              <a:extLst>
                <a:ext uri="{FF2B5EF4-FFF2-40B4-BE49-F238E27FC236}">
                  <a16:creationId xmlns:a16="http://schemas.microsoft.com/office/drawing/2014/main" id="{2D9ED377-152C-44AA-AE6F-3EAB529459E3}"/>
                </a:ext>
              </a:extLst>
            </xdr:cNvPr>
            <xdr:cNvGraphicFramePr/>
          </xdr:nvGraphicFramePr>
          <xdr:xfrm>
            <a:off x="0" y="0"/>
            <a:ext cx="0" cy="0"/>
          </xdr:xfrm>
          <a:graphic>
            <a:graphicData uri="http://schemas.microsoft.com/office/drawing/2010/slicer">
              <sle:slicer xmlns:sle="http://schemas.microsoft.com/office/drawing/2010/slicer" name="Vehicle_Type 6"/>
            </a:graphicData>
          </a:graphic>
        </xdr:graphicFrame>
      </mc:Choice>
      <mc:Fallback xmlns="">
        <xdr:sp macro="" textlink="">
          <xdr:nvSpPr>
            <xdr:cNvPr id="0" name=""/>
            <xdr:cNvSpPr>
              <a:spLocks noTextEdit="1"/>
            </xdr:cNvSpPr>
          </xdr:nvSpPr>
          <xdr:spPr>
            <a:xfrm>
              <a:off x="1219200" y="4808220"/>
              <a:ext cx="1828800" cy="3131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335280</xdr:colOff>
      <xdr:row>25</xdr:row>
      <xdr:rowOff>38100</xdr:rowOff>
    </xdr:from>
    <xdr:to>
      <xdr:col>23</xdr:col>
      <xdr:colOff>22860</xdr:colOff>
      <xdr:row>42</xdr:row>
      <xdr:rowOff>45720</xdr:rowOff>
    </xdr:to>
    <xdr:graphicFrame macro="">
      <xdr:nvGraphicFramePr>
        <xdr:cNvPr id="8" name="Chart 7">
          <a:extLst>
            <a:ext uri="{FF2B5EF4-FFF2-40B4-BE49-F238E27FC236}">
              <a16:creationId xmlns:a16="http://schemas.microsoft.com/office/drawing/2014/main" id="{09AE089E-D8F4-41DC-AE42-DB222070E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0</xdr:colOff>
      <xdr:row>1</xdr:row>
      <xdr:rowOff>0</xdr:rowOff>
    </xdr:from>
    <xdr:to>
      <xdr:col>21</xdr:col>
      <xdr:colOff>548640</xdr:colOff>
      <xdr:row>2</xdr:row>
      <xdr:rowOff>76200</xdr:rowOff>
    </xdr:to>
    <xdr:sp macro="" textlink="">
      <xdr:nvSpPr>
        <xdr:cNvPr id="10" name="Rectangle: Rounded Corners 9">
          <a:hlinkClick xmlns:r="http://schemas.openxmlformats.org/officeDocument/2006/relationships" r:id="rId5"/>
          <a:extLst>
            <a:ext uri="{FF2B5EF4-FFF2-40B4-BE49-F238E27FC236}">
              <a16:creationId xmlns:a16="http://schemas.microsoft.com/office/drawing/2014/main" id="{097A899E-63B3-45AE-9F8D-76A43C16C312}"/>
            </a:ext>
          </a:extLst>
        </xdr:cNvPr>
        <xdr:cNvSpPr/>
      </xdr:nvSpPr>
      <xdr:spPr>
        <a:xfrm>
          <a:off x="14058900" y="182880"/>
          <a:ext cx="1158240" cy="40386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2</xdr:col>
      <xdr:colOff>289560</xdr:colOff>
      <xdr:row>1</xdr:row>
      <xdr:rowOff>125730</xdr:rowOff>
    </xdr:from>
    <xdr:to>
      <xdr:col>9</xdr:col>
      <xdr:colOff>594360</xdr:colOff>
      <xdr:row>16</xdr:row>
      <xdr:rowOff>125730</xdr:rowOff>
    </xdr:to>
    <xdr:graphicFrame macro="">
      <xdr:nvGraphicFramePr>
        <xdr:cNvPr id="2" name="Chart 1">
          <a:extLst>
            <a:ext uri="{FF2B5EF4-FFF2-40B4-BE49-F238E27FC236}">
              <a16:creationId xmlns:a16="http://schemas.microsoft.com/office/drawing/2014/main" id="{40A9DCDB-56AF-3354-6C7C-4164DE745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243840</xdr:colOff>
      <xdr:row>2</xdr:row>
      <xdr:rowOff>0</xdr:rowOff>
    </xdr:from>
    <xdr:to>
      <xdr:col>13</xdr:col>
      <xdr:colOff>243840</xdr:colOff>
      <xdr:row>16</xdr:row>
      <xdr:rowOff>167640</xdr:rowOff>
    </xdr:to>
    <mc:AlternateContent xmlns:mc="http://schemas.openxmlformats.org/markup-compatibility/2006" xmlns:a14="http://schemas.microsoft.com/office/drawing/2010/main">
      <mc:Choice Requires="a14">
        <xdr:graphicFrame macro="">
          <xdr:nvGraphicFramePr>
            <xdr:cNvPr id="3" name="Vehicle_Type 4">
              <a:extLst>
                <a:ext uri="{FF2B5EF4-FFF2-40B4-BE49-F238E27FC236}">
                  <a16:creationId xmlns:a16="http://schemas.microsoft.com/office/drawing/2014/main" id="{A46E3C3C-CD74-F868-74C6-0C3413C276CD}"/>
                </a:ext>
              </a:extLst>
            </xdr:cNvPr>
            <xdr:cNvGraphicFramePr/>
          </xdr:nvGraphicFramePr>
          <xdr:xfrm>
            <a:off x="0" y="0"/>
            <a:ext cx="0" cy="0"/>
          </xdr:xfrm>
          <a:graphic>
            <a:graphicData uri="http://schemas.microsoft.com/office/drawing/2010/slicer">
              <sle:slicer xmlns:sle="http://schemas.microsoft.com/office/drawing/2010/slicer" name="Vehicle_Type 4"/>
            </a:graphicData>
          </a:graphic>
        </xdr:graphicFrame>
      </mc:Choice>
      <mc:Fallback xmlns="">
        <xdr:sp macro="" textlink="">
          <xdr:nvSpPr>
            <xdr:cNvPr id="0" name=""/>
            <xdr:cNvSpPr>
              <a:spLocks noTextEdit="1"/>
            </xdr:cNvSpPr>
          </xdr:nvSpPr>
          <xdr:spPr>
            <a:xfrm>
              <a:off x="8290560" y="365760"/>
              <a:ext cx="1828800" cy="2727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3</xdr:col>
      <xdr:colOff>327660</xdr:colOff>
      <xdr:row>1</xdr:row>
      <xdr:rowOff>171450</xdr:rowOff>
    </xdr:from>
    <xdr:to>
      <xdr:col>11</xdr:col>
      <xdr:colOff>441960</xdr:colOff>
      <xdr:row>16</xdr:row>
      <xdr:rowOff>171450</xdr:rowOff>
    </xdr:to>
    <xdr:graphicFrame macro="">
      <xdr:nvGraphicFramePr>
        <xdr:cNvPr id="4" name="Chart 3">
          <a:extLst>
            <a:ext uri="{FF2B5EF4-FFF2-40B4-BE49-F238E27FC236}">
              <a16:creationId xmlns:a16="http://schemas.microsoft.com/office/drawing/2014/main" id="{FBD02954-254C-2853-EB50-61FC853F3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601980</xdr:colOff>
      <xdr:row>1</xdr:row>
      <xdr:rowOff>175260</xdr:rowOff>
    </xdr:from>
    <xdr:to>
      <xdr:col>14</xdr:col>
      <xdr:colOff>601980</xdr:colOff>
      <xdr:row>15</xdr:row>
      <xdr:rowOff>81915</xdr:rowOff>
    </xdr:to>
    <mc:AlternateContent xmlns:mc="http://schemas.openxmlformats.org/markup-compatibility/2006" xmlns:a14="http://schemas.microsoft.com/office/drawing/2010/main">
      <mc:Choice Requires="a14">
        <xdr:graphicFrame macro="">
          <xdr:nvGraphicFramePr>
            <xdr:cNvPr id="5" name="Vehicle_type 8">
              <a:extLst>
                <a:ext uri="{FF2B5EF4-FFF2-40B4-BE49-F238E27FC236}">
                  <a16:creationId xmlns:a16="http://schemas.microsoft.com/office/drawing/2014/main" id="{14FBFD4F-31F5-5A22-3917-3129F445916E}"/>
                </a:ext>
              </a:extLst>
            </xdr:cNvPr>
            <xdr:cNvGraphicFramePr/>
          </xdr:nvGraphicFramePr>
          <xdr:xfrm>
            <a:off x="0" y="0"/>
            <a:ext cx="0" cy="0"/>
          </xdr:xfrm>
          <a:graphic>
            <a:graphicData uri="http://schemas.microsoft.com/office/drawing/2010/slicer">
              <sle:slicer xmlns:sle="http://schemas.microsoft.com/office/drawing/2010/slicer" name="Vehicle_type 8"/>
            </a:graphicData>
          </a:graphic>
        </xdr:graphicFrame>
      </mc:Choice>
      <mc:Fallback xmlns="">
        <xdr:sp macro="" textlink="">
          <xdr:nvSpPr>
            <xdr:cNvPr id="0" name=""/>
            <xdr:cNvSpPr>
              <a:spLocks noTextEdit="1"/>
            </xdr:cNvSpPr>
          </xdr:nvSpPr>
          <xdr:spPr>
            <a:xfrm>
              <a:off x="921258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5.xml><?xml version="1.0" encoding="utf-8"?>
<xdr:wsDr xmlns:xdr="http://schemas.openxmlformats.org/drawingml/2006/spreadsheetDrawing" xmlns:a="http://schemas.openxmlformats.org/drawingml/2006/main">
  <xdr:twoCellAnchor>
    <xdr:from>
      <xdr:col>4</xdr:col>
      <xdr:colOff>60960</xdr:colOff>
      <xdr:row>7</xdr:row>
      <xdr:rowOff>0</xdr:rowOff>
    </xdr:from>
    <xdr:to>
      <xdr:col>11</xdr:col>
      <xdr:colOff>167640</xdr:colOff>
      <xdr:row>22</xdr:row>
      <xdr:rowOff>0</xdr:rowOff>
    </xdr:to>
    <xdr:graphicFrame macro="">
      <xdr:nvGraphicFramePr>
        <xdr:cNvPr id="2" name="Chart 1">
          <a:extLst>
            <a:ext uri="{FF2B5EF4-FFF2-40B4-BE49-F238E27FC236}">
              <a16:creationId xmlns:a16="http://schemas.microsoft.com/office/drawing/2014/main" id="{DCD8197B-1F9E-4270-A75D-1F32BE2E2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205740</xdr:colOff>
      <xdr:row>7</xdr:row>
      <xdr:rowOff>15240</xdr:rowOff>
    </xdr:from>
    <xdr:to>
      <xdr:col>18</xdr:col>
      <xdr:colOff>388620</xdr:colOff>
      <xdr:row>21</xdr:row>
      <xdr:rowOff>167640</xdr:rowOff>
    </xdr:to>
    <xdr:graphicFrame macro="">
      <xdr:nvGraphicFramePr>
        <xdr:cNvPr id="3" name="Chart 2">
          <a:extLst>
            <a:ext uri="{FF2B5EF4-FFF2-40B4-BE49-F238E27FC236}">
              <a16:creationId xmlns:a16="http://schemas.microsoft.com/office/drawing/2014/main" id="{A691C3C3-83A1-4AFF-B667-BC99EC154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464820</xdr:colOff>
      <xdr:row>7</xdr:row>
      <xdr:rowOff>15240</xdr:rowOff>
    </xdr:from>
    <xdr:to>
      <xdr:col>20</xdr:col>
      <xdr:colOff>358140</xdr:colOff>
      <xdr:row>21</xdr:row>
      <xdr:rowOff>137160</xdr:rowOff>
    </xdr:to>
    <mc:AlternateContent xmlns:mc="http://schemas.openxmlformats.org/markup-compatibility/2006" xmlns:a14="http://schemas.microsoft.com/office/drawing/2010/main">
      <mc:Choice Requires="a14">
        <xdr:graphicFrame macro="">
          <xdr:nvGraphicFramePr>
            <xdr:cNvPr id="5" name="Vehicle_type 9">
              <a:extLst>
                <a:ext uri="{FF2B5EF4-FFF2-40B4-BE49-F238E27FC236}">
                  <a16:creationId xmlns:a16="http://schemas.microsoft.com/office/drawing/2014/main" id="{D8B14BC9-18D2-49A5-87F4-B435CA78242E}"/>
                </a:ext>
              </a:extLst>
            </xdr:cNvPr>
            <xdr:cNvGraphicFramePr/>
          </xdr:nvGraphicFramePr>
          <xdr:xfrm>
            <a:off x="0" y="0"/>
            <a:ext cx="0" cy="0"/>
          </xdr:xfrm>
          <a:graphic>
            <a:graphicData uri="http://schemas.microsoft.com/office/drawing/2010/slicer">
              <sle:slicer xmlns:sle="http://schemas.microsoft.com/office/drawing/2010/slicer" name="Vehicle_type 9"/>
            </a:graphicData>
          </a:graphic>
        </xdr:graphicFrame>
      </mc:Choice>
      <mc:Fallback xmlns="">
        <xdr:sp macro="" textlink="">
          <xdr:nvSpPr>
            <xdr:cNvPr id="0" name=""/>
            <xdr:cNvSpPr>
              <a:spLocks noTextEdit="1"/>
            </xdr:cNvSpPr>
          </xdr:nvSpPr>
          <xdr:spPr>
            <a:xfrm>
              <a:off x="12626340" y="1485900"/>
              <a:ext cx="1706880" cy="2682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525780</xdr:colOff>
      <xdr:row>7</xdr:row>
      <xdr:rowOff>0</xdr:rowOff>
    </xdr:from>
    <xdr:to>
      <xdr:col>4</xdr:col>
      <xdr:colOff>22860</xdr:colOff>
      <xdr:row>21</xdr:row>
      <xdr:rowOff>167640</xdr:rowOff>
    </xdr:to>
    <mc:AlternateContent xmlns:mc="http://schemas.openxmlformats.org/markup-compatibility/2006" xmlns:a14="http://schemas.microsoft.com/office/drawing/2010/main">
      <mc:Choice Requires="a14">
        <xdr:graphicFrame macro="">
          <xdr:nvGraphicFramePr>
            <xdr:cNvPr id="6" name="Vehicle_Type 7">
              <a:extLst>
                <a:ext uri="{FF2B5EF4-FFF2-40B4-BE49-F238E27FC236}">
                  <a16:creationId xmlns:a16="http://schemas.microsoft.com/office/drawing/2014/main" id="{82D6088A-763B-494C-84DC-AC6FB5B7E47F}"/>
                </a:ext>
              </a:extLst>
            </xdr:cNvPr>
            <xdr:cNvGraphicFramePr/>
          </xdr:nvGraphicFramePr>
          <xdr:xfrm>
            <a:off x="0" y="0"/>
            <a:ext cx="0" cy="0"/>
          </xdr:xfrm>
          <a:graphic>
            <a:graphicData uri="http://schemas.microsoft.com/office/drawing/2010/slicer">
              <sle:slicer xmlns:sle="http://schemas.microsoft.com/office/drawing/2010/slicer" name="Vehicle_Type 7"/>
            </a:graphicData>
          </a:graphic>
        </xdr:graphicFrame>
      </mc:Choice>
      <mc:Fallback xmlns="">
        <xdr:sp macro="" textlink="">
          <xdr:nvSpPr>
            <xdr:cNvPr id="0" name=""/>
            <xdr:cNvSpPr>
              <a:spLocks noTextEdit="1"/>
            </xdr:cNvSpPr>
          </xdr:nvSpPr>
          <xdr:spPr>
            <a:xfrm>
              <a:off x="1135380" y="1470660"/>
              <a:ext cx="1775460" cy="2727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53340</xdr:colOff>
      <xdr:row>1</xdr:row>
      <xdr:rowOff>0</xdr:rowOff>
    </xdr:from>
    <xdr:to>
      <xdr:col>23</xdr:col>
      <xdr:colOff>601980</xdr:colOff>
      <xdr:row>2</xdr:row>
      <xdr:rowOff>76200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C9622766-5C9A-46AB-8CD1-7F7FF2069DB9}"/>
            </a:ext>
          </a:extLst>
        </xdr:cNvPr>
        <xdr:cNvSpPr/>
      </xdr:nvSpPr>
      <xdr:spPr>
        <a:xfrm>
          <a:off x="15247620" y="182880"/>
          <a:ext cx="1158240" cy="403860"/>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bg1"/>
              </a:solidFill>
            </a:rPr>
            <a:t>   Home</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548640</xdr:colOff>
      <xdr:row>2</xdr:row>
      <xdr:rowOff>102870</xdr:rowOff>
    </xdr:from>
    <xdr:to>
      <xdr:col>10</xdr:col>
      <xdr:colOff>243840</xdr:colOff>
      <xdr:row>17</xdr:row>
      <xdr:rowOff>102870</xdr:rowOff>
    </xdr:to>
    <xdr:graphicFrame macro="">
      <xdr:nvGraphicFramePr>
        <xdr:cNvPr id="2" name="Chart 1">
          <a:extLst>
            <a:ext uri="{FF2B5EF4-FFF2-40B4-BE49-F238E27FC236}">
              <a16:creationId xmlns:a16="http://schemas.microsoft.com/office/drawing/2014/main" id="{5780D1CF-67A1-A931-A741-124B768F8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403860</xdr:colOff>
      <xdr:row>2</xdr:row>
      <xdr:rowOff>152400</xdr:rowOff>
    </xdr:from>
    <xdr:to>
      <xdr:col>13</xdr:col>
      <xdr:colOff>403860</xdr:colOff>
      <xdr:row>16</xdr:row>
      <xdr:rowOff>59055</xdr:rowOff>
    </xdr:to>
    <mc:AlternateContent xmlns:mc="http://schemas.openxmlformats.org/markup-compatibility/2006" xmlns:a14="http://schemas.microsoft.com/office/drawing/2010/main">
      <mc:Choice Requires="a14">
        <xdr:graphicFrame macro="">
          <xdr:nvGraphicFramePr>
            <xdr:cNvPr id="3" name="Vehicle_Type 13">
              <a:extLst>
                <a:ext uri="{FF2B5EF4-FFF2-40B4-BE49-F238E27FC236}">
                  <a16:creationId xmlns:a16="http://schemas.microsoft.com/office/drawing/2014/main" id="{0327946E-4324-6059-4436-3F6FD4273694}"/>
                </a:ext>
              </a:extLst>
            </xdr:cNvPr>
            <xdr:cNvGraphicFramePr/>
          </xdr:nvGraphicFramePr>
          <xdr:xfrm>
            <a:off x="0" y="0"/>
            <a:ext cx="0" cy="0"/>
          </xdr:xfrm>
          <a:graphic>
            <a:graphicData uri="http://schemas.microsoft.com/office/drawing/2010/slicer">
              <sle:slicer xmlns:sle="http://schemas.microsoft.com/office/drawing/2010/slicer" name="Vehicle_Type 13"/>
            </a:graphicData>
          </a:graphic>
        </xdr:graphicFrame>
      </mc:Choice>
      <mc:Fallback xmlns="">
        <xdr:sp macro="" textlink="">
          <xdr:nvSpPr>
            <xdr:cNvPr id="0" name=""/>
            <xdr:cNvSpPr>
              <a:spLocks noTextEdit="1"/>
            </xdr:cNvSpPr>
          </xdr:nvSpPr>
          <xdr:spPr>
            <a:xfrm>
              <a:off x="7277100" y="518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7.xml><?xml version="1.0" encoding="utf-8"?>
<xdr:wsDr xmlns:xdr="http://schemas.openxmlformats.org/drawingml/2006/spreadsheetDrawing" xmlns:a="http://schemas.openxmlformats.org/drawingml/2006/main">
  <xdr:twoCellAnchor editAs="oneCell">
    <xdr:from>
      <xdr:col>15</xdr:col>
      <xdr:colOff>586740</xdr:colOff>
      <xdr:row>2</xdr:row>
      <xdr:rowOff>160020</xdr:rowOff>
    </xdr:from>
    <xdr:to>
      <xdr:col>18</xdr:col>
      <xdr:colOff>586740</xdr:colOff>
      <xdr:row>16</xdr:row>
      <xdr:rowOff>66675</xdr:rowOff>
    </xdr:to>
    <mc:AlternateContent xmlns:mc="http://schemas.openxmlformats.org/markup-compatibility/2006" xmlns:a14="http://schemas.microsoft.com/office/drawing/2010/main">
      <mc:Choice Requires="a14">
        <xdr:graphicFrame macro="">
          <xdr:nvGraphicFramePr>
            <xdr:cNvPr id="4" name="Region 2">
              <a:extLst>
                <a:ext uri="{FF2B5EF4-FFF2-40B4-BE49-F238E27FC236}">
                  <a16:creationId xmlns:a16="http://schemas.microsoft.com/office/drawing/2014/main" id="{D86D4993-FA32-6669-625C-516B1381717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241280" y="525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419100</xdr:colOff>
      <xdr:row>4</xdr:row>
      <xdr:rowOff>110490</xdr:rowOff>
    </xdr:from>
    <xdr:to>
      <xdr:col>15</xdr:col>
      <xdr:colOff>114300</xdr:colOff>
      <xdr:row>19</xdr:row>
      <xdr:rowOff>110490</xdr:rowOff>
    </xdr:to>
    <xdr:graphicFrame macro="">
      <xdr:nvGraphicFramePr>
        <xdr:cNvPr id="2" name="Chart 1">
          <a:extLst>
            <a:ext uri="{FF2B5EF4-FFF2-40B4-BE49-F238E27FC236}">
              <a16:creationId xmlns:a16="http://schemas.microsoft.com/office/drawing/2014/main" id="{26332BA3-BD20-9425-DA0A-6E9CFB7B6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4</xdr:col>
      <xdr:colOff>83820</xdr:colOff>
      <xdr:row>3</xdr:row>
      <xdr:rowOff>11430</xdr:rowOff>
    </xdr:from>
    <xdr:to>
      <xdr:col>11</xdr:col>
      <xdr:colOff>388620</xdr:colOff>
      <xdr:row>18</xdr:row>
      <xdr:rowOff>11430</xdr:rowOff>
    </xdr:to>
    <xdr:graphicFrame macro="">
      <xdr:nvGraphicFramePr>
        <xdr:cNvPr id="2" name="Chart 1">
          <a:extLst>
            <a:ext uri="{FF2B5EF4-FFF2-40B4-BE49-F238E27FC236}">
              <a16:creationId xmlns:a16="http://schemas.microsoft.com/office/drawing/2014/main" id="{B145CAD2-5ECF-4AC0-5DAA-C93166118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3</xdr:col>
      <xdr:colOff>525780</xdr:colOff>
      <xdr:row>2</xdr:row>
      <xdr:rowOff>34290</xdr:rowOff>
    </xdr:from>
    <xdr:to>
      <xdr:col>12</xdr:col>
      <xdr:colOff>373380</xdr:colOff>
      <xdr:row>17</xdr:row>
      <xdr:rowOff>34290</xdr:rowOff>
    </xdr:to>
    <xdr:graphicFrame macro="">
      <xdr:nvGraphicFramePr>
        <xdr:cNvPr id="2" name="Chart 1">
          <a:extLst>
            <a:ext uri="{FF2B5EF4-FFF2-40B4-BE49-F238E27FC236}">
              <a16:creationId xmlns:a16="http://schemas.microsoft.com/office/drawing/2014/main" id="{F85AA830-4E99-D886-B500-55ED01B74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3</xdr:col>
      <xdr:colOff>243840</xdr:colOff>
      <xdr:row>2</xdr:row>
      <xdr:rowOff>11430</xdr:rowOff>
    </xdr:from>
    <xdr:to>
      <xdr:col>13</xdr:col>
      <xdr:colOff>144780</xdr:colOff>
      <xdr:row>17</xdr:row>
      <xdr:rowOff>11430</xdr:rowOff>
    </xdr:to>
    <xdr:graphicFrame macro="">
      <xdr:nvGraphicFramePr>
        <xdr:cNvPr id="2" name="Chart 1">
          <a:extLst>
            <a:ext uri="{FF2B5EF4-FFF2-40B4-BE49-F238E27FC236}">
              <a16:creationId xmlns:a16="http://schemas.microsoft.com/office/drawing/2014/main" id="{D8161C7F-144B-E39C-BF65-AD85034C1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4</xdr:col>
      <xdr:colOff>358140</xdr:colOff>
      <xdr:row>7</xdr:row>
      <xdr:rowOff>152400</xdr:rowOff>
    </xdr:from>
    <xdr:to>
      <xdr:col>11</xdr:col>
      <xdr:colOff>83820</xdr:colOff>
      <xdr:row>22</xdr:row>
      <xdr:rowOff>152400</xdr:rowOff>
    </xdr:to>
    <xdr:graphicFrame macro="">
      <xdr:nvGraphicFramePr>
        <xdr:cNvPr id="2" name="Chart 1">
          <a:extLst>
            <a:ext uri="{FF2B5EF4-FFF2-40B4-BE49-F238E27FC236}">
              <a16:creationId xmlns:a16="http://schemas.microsoft.com/office/drawing/2014/main" id="{14624FE6-2990-4ADF-BE44-74C8291F7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106680</xdr:colOff>
      <xdr:row>7</xdr:row>
      <xdr:rowOff>160020</xdr:rowOff>
    </xdr:from>
    <xdr:to>
      <xdr:col>17</xdr:col>
      <xdr:colOff>556260</xdr:colOff>
      <xdr:row>22</xdr:row>
      <xdr:rowOff>160020</xdr:rowOff>
    </xdr:to>
    <xdr:graphicFrame macro="">
      <xdr:nvGraphicFramePr>
        <xdr:cNvPr id="3" name="Chart 2">
          <a:extLst>
            <a:ext uri="{FF2B5EF4-FFF2-40B4-BE49-F238E27FC236}">
              <a16:creationId xmlns:a16="http://schemas.microsoft.com/office/drawing/2014/main" id="{0846F4FB-6E9A-4AA8-8EEA-3A2EC3A8A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594360</xdr:colOff>
      <xdr:row>38</xdr:row>
      <xdr:rowOff>21857</xdr:rowOff>
    </xdr:from>
    <xdr:to>
      <xdr:col>9</xdr:col>
      <xdr:colOff>441158</xdr:colOff>
      <xdr:row>53</xdr:row>
      <xdr:rowOff>21857</xdr:rowOff>
    </xdr:to>
    <xdr:graphicFrame macro="">
      <xdr:nvGraphicFramePr>
        <xdr:cNvPr id="4" name="Chart 3">
          <a:extLst>
            <a:ext uri="{FF2B5EF4-FFF2-40B4-BE49-F238E27FC236}">
              <a16:creationId xmlns:a16="http://schemas.microsoft.com/office/drawing/2014/main" id="{24C3F7FC-B761-44A1-B79D-F329D8DC8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476250</xdr:colOff>
      <xdr:row>38</xdr:row>
      <xdr:rowOff>15240</xdr:rowOff>
    </xdr:from>
    <xdr:to>
      <xdr:col>17</xdr:col>
      <xdr:colOff>556260</xdr:colOff>
      <xdr:row>53</xdr:row>
      <xdr:rowOff>15240</xdr:rowOff>
    </xdr:to>
    <xdr:graphicFrame macro="">
      <xdr:nvGraphicFramePr>
        <xdr:cNvPr id="5" name="Chart 4">
          <a:extLst>
            <a:ext uri="{FF2B5EF4-FFF2-40B4-BE49-F238E27FC236}">
              <a16:creationId xmlns:a16="http://schemas.microsoft.com/office/drawing/2014/main" id="{2D7076E2-02AE-4CEA-A6FD-E7F2370F0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396240</xdr:colOff>
      <xdr:row>23</xdr:row>
      <xdr:rowOff>0</xdr:rowOff>
    </xdr:from>
    <xdr:to>
      <xdr:col>17</xdr:col>
      <xdr:colOff>533400</xdr:colOff>
      <xdr:row>38</xdr:row>
      <xdr:rowOff>0</xdr:rowOff>
    </xdr:to>
    <xdr:graphicFrame macro="">
      <xdr:nvGraphicFramePr>
        <xdr:cNvPr id="6" name="Chart 5">
          <a:extLst>
            <a:ext uri="{FF2B5EF4-FFF2-40B4-BE49-F238E27FC236}">
              <a16:creationId xmlns:a16="http://schemas.microsoft.com/office/drawing/2014/main" id="{86C9314E-861E-452E-BEDD-943AB693F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12</xdr:col>
          <xdr:colOff>419100</xdr:colOff>
          <xdr:row>1</xdr:row>
          <xdr:rowOff>121920</xdr:rowOff>
        </xdr:from>
        <xdr:to>
          <xdr:col>14</xdr:col>
          <xdr:colOff>510540</xdr:colOff>
          <xdr:row>3</xdr:row>
          <xdr:rowOff>68580</xdr:rowOff>
        </xdr:to>
        <xdr:sp macro="" textlink="">
          <xdr:nvSpPr>
            <xdr:cNvPr id="99329" name="Button 1" hidden="1">
              <a:extLst>
                <a:ext uri="{63B3BB69-23CF-44E3-9099-C40C66FF867C}">
                  <a14:compatExt spid="_x0000_s99329"/>
                </a:ext>
                <a:ext uri="{FF2B5EF4-FFF2-40B4-BE49-F238E27FC236}">
                  <a16:creationId xmlns:a16="http://schemas.microsoft.com/office/drawing/2014/main" id="{00000000-0008-0000-5000-0000018401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0" i="0" u="none" strike="noStrike" baseline="0">
                  <a:solidFill>
                    <a:srgbClr val="000000"/>
                  </a:solidFill>
                  <a:latin typeface="Calibri"/>
                  <a:ea typeface="Calibri"/>
                  <a:cs typeface="Calibri"/>
                </a:rPr>
                <a:t>Refresh</a:t>
              </a:r>
            </a:p>
          </xdr:txBody>
        </xdr:sp>
        <xdr:clientData fPrintsWithSheet="0"/>
      </xdr:twoCellAnchor>
    </mc:Choice>
    <mc:Fallback/>
  </mc:AlternateContent>
  <xdr:twoCellAnchor>
    <xdr:from>
      <xdr:col>17</xdr:col>
      <xdr:colOff>0</xdr:colOff>
      <xdr:row>1</xdr:row>
      <xdr:rowOff>144780</xdr:rowOff>
    </xdr:from>
    <xdr:to>
      <xdr:col>18</xdr:col>
      <xdr:colOff>548640</xdr:colOff>
      <xdr:row>3</xdr:row>
      <xdr:rowOff>38100</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359C501A-240D-4429-8CBE-08B4A051257E}"/>
            </a:ext>
          </a:extLst>
        </xdr:cNvPr>
        <xdr:cNvSpPr/>
      </xdr:nvSpPr>
      <xdr:spPr>
        <a:xfrm>
          <a:off x="11513820" y="327660"/>
          <a:ext cx="1158240" cy="40386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twoCellAnchor editAs="oneCell">
    <xdr:from>
      <xdr:col>1</xdr:col>
      <xdr:colOff>579120</xdr:colOff>
      <xdr:row>7</xdr:row>
      <xdr:rowOff>144780</xdr:rowOff>
    </xdr:from>
    <xdr:to>
      <xdr:col>4</xdr:col>
      <xdr:colOff>324548</xdr:colOff>
      <xdr:row>22</xdr:row>
      <xdr:rowOff>129540</xdr:rowOff>
    </xdr:to>
    <mc:AlternateContent xmlns:mc="http://schemas.openxmlformats.org/markup-compatibility/2006" xmlns:a14="http://schemas.microsoft.com/office/drawing/2010/main">
      <mc:Choice Requires="a14">
        <xdr:graphicFrame macro="">
          <xdr:nvGraphicFramePr>
            <xdr:cNvPr id="7" name="Vehicle_Type 23">
              <a:extLst>
                <a:ext uri="{FF2B5EF4-FFF2-40B4-BE49-F238E27FC236}">
                  <a16:creationId xmlns:a16="http://schemas.microsoft.com/office/drawing/2014/main" id="{C45B43A1-2CB5-9537-1452-D892A69A21A9}"/>
                </a:ext>
              </a:extLst>
            </xdr:cNvPr>
            <xdr:cNvGraphicFramePr/>
          </xdr:nvGraphicFramePr>
          <xdr:xfrm>
            <a:off x="0" y="0"/>
            <a:ext cx="0" cy="0"/>
          </xdr:xfrm>
          <a:graphic>
            <a:graphicData uri="http://schemas.microsoft.com/office/drawing/2010/slicer">
              <sle:slicer xmlns:sle="http://schemas.microsoft.com/office/drawing/2010/slicer" name="Vehicle_Type 23"/>
            </a:graphicData>
          </a:graphic>
        </xdr:graphicFrame>
      </mc:Choice>
      <mc:Fallback xmlns="">
        <xdr:sp macro="" textlink="">
          <xdr:nvSpPr>
            <xdr:cNvPr id="0" name=""/>
            <xdr:cNvSpPr>
              <a:spLocks noTextEdit="1"/>
            </xdr:cNvSpPr>
          </xdr:nvSpPr>
          <xdr:spPr>
            <a:xfrm>
              <a:off x="1188720" y="1615440"/>
              <a:ext cx="1828800" cy="2727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601979</xdr:colOff>
      <xdr:row>23</xdr:row>
      <xdr:rowOff>0</xdr:rowOff>
    </xdr:from>
    <xdr:to>
      <xdr:col>4</xdr:col>
      <xdr:colOff>360240</xdr:colOff>
      <xdr:row>38</xdr:row>
      <xdr:rowOff>0</xdr:rowOff>
    </xdr:to>
    <mc:AlternateContent xmlns:mc="http://schemas.openxmlformats.org/markup-compatibility/2006" xmlns:a14="http://schemas.microsoft.com/office/drawing/2010/main">
      <mc:Choice Requires="a14">
        <xdr:graphicFrame macro="">
          <xdr:nvGraphicFramePr>
            <xdr:cNvPr id="9" name="Region 11">
              <a:extLst>
                <a:ext uri="{FF2B5EF4-FFF2-40B4-BE49-F238E27FC236}">
                  <a16:creationId xmlns:a16="http://schemas.microsoft.com/office/drawing/2014/main" id="{B4F009E8-FD68-617F-687D-8703D264F2BB}"/>
                </a:ext>
              </a:extLst>
            </xdr:cNvPr>
            <xdr:cNvGraphicFramePr/>
          </xdr:nvGraphicFramePr>
          <xdr:xfrm>
            <a:off x="0" y="0"/>
            <a:ext cx="0" cy="0"/>
          </xdr:xfrm>
          <a:graphic>
            <a:graphicData uri="http://schemas.microsoft.com/office/drawing/2010/slicer">
              <sle:slicer xmlns:sle="http://schemas.microsoft.com/office/drawing/2010/slicer" name="Region 11"/>
            </a:graphicData>
          </a:graphic>
        </xdr:graphicFrame>
      </mc:Choice>
      <mc:Fallback xmlns="">
        <xdr:sp macro="" textlink="">
          <xdr:nvSpPr>
            <xdr:cNvPr id="0" name=""/>
            <xdr:cNvSpPr>
              <a:spLocks noTextEdit="1"/>
            </xdr:cNvSpPr>
          </xdr:nvSpPr>
          <xdr:spPr>
            <a:xfrm>
              <a:off x="1211580" y="4396740"/>
              <a:ext cx="182880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2.xml><?xml version="1.0" encoding="utf-8"?>
<xdr:wsDr xmlns:xdr="http://schemas.openxmlformats.org/drawingml/2006/spreadsheetDrawing" xmlns:a="http://schemas.openxmlformats.org/drawingml/2006/main">
  <xdr:twoCellAnchor>
    <xdr:from>
      <xdr:col>6</xdr:col>
      <xdr:colOff>93760</xdr:colOff>
      <xdr:row>7</xdr:row>
      <xdr:rowOff>15902</xdr:rowOff>
    </xdr:from>
    <xdr:to>
      <xdr:col>13</xdr:col>
      <xdr:colOff>455544</xdr:colOff>
      <xdr:row>22</xdr:row>
      <xdr:rowOff>15902</xdr:rowOff>
    </xdr:to>
    <xdr:graphicFrame macro="">
      <xdr:nvGraphicFramePr>
        <xdr:cNvPr id="2" name="Chart 1">
          <a:extLst>
            <a:ext uri="{FF2B5EF4-FFF2-40B4-BE49-F238E27FC236}">
              <a16:creationId xmlns:a16="http://schemas.microsoft.com/office/drawing/2014/main" id="{FDD288D3-4F39-488B-B100-7B0E0E2CB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1045265</xdr:colOff>
      <xdr:row>7</xdr:row>
      <xdr:rowOff>23521</xdr:rowOff>
    </xdr:from>
    <xdr:to>
      <xdr:col>6</xdr:col>
      <xdr:colOff>59634</xdr:colOff>
      <xdr:row>22</xdr:row>
      <xdr:rowOff>16565</xdr:rowOff>
    </xdr:to>
    <mc:AlternateContent xmlns:mc="http://schemas.openxmlformats.org/markup-compatibility/2006" xmlns:a14="http://schemas.microsoft.com/office/drawing/2010/main">
      <mc:Choice Requires="a14">
        <xdr:graphicFrame macro="">
          <xdr:nvGraphicFramePr>
            <xdr:cNvPr id="3" name="Vehicle_Type 12">
              <a:extLst>
                <a:ext uri="{FF2B5EF4-FFF2-40B4-BE49-F238E27FC236}">
                  <a16:creationId xmlns:a16="http://schemas.microsoft.com/office/drawing/2014/main" id="{E285D28E-62D3-0618-FF5E-C924D973F602}"/>
                </a:ext>
              </a:extLst>
            </xdr:cNvPr>
            <xdr:cNvGraphicFramePr/>
          </xdr:nvGraphicFramePr>
          <xdr:xfrm>
            <a:off x="0" y="0"/>
            <a:ext cx="0" cy="0"/>
          </xdr:xfrm>
          <a:graphic>
            <a:graphicData uri="http://schemas.microsoft.com/office/drawing/2010/slicer">
              <sle:slicer xmlns:sle="http://schemas.microsoft.com/office/drawing/2010/slicer" name="Vehicle_Type 12"/>
            </a:graphicData>
          </a:graphic>
        </xdr:graphicFrame>
      </mc:Choice>
      <mc:Fallback xmlns="">
        <xdr:sp macro="" textlink="">
          <xdr:nvSpPr>
            <xdr:cNvPr id="0" name=""/>
            <xdr:cNvSpPr>
              <a:spLocks noTextEdit="1"/>
            </xdr:cNvSpPr>
          </xdr:nvSpPr>
          <xdr:spPr>
            <a:xfrm>
              <a:off x="2884004" y="1497825"/>
              <a:ext cx="1838739" cy="2726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496957</xdr:colOff>
      <xdr:row>7</xdr:row>
      <xdr:rowOff>8283</xdr:rowOff>
    </xdr:from>
    <xdr:to>
      <xdr:col>21</xdr:col>
      <xdr:colOff>248479</xdr:colOff>
      <xdr:row>22</xdr:row>
      <xdr:rowOff>8283</xdr:rowOff>
    </xdr:to>
    <xdr:graphicFrame macro="">
      <xdr:nvGraphicFramePr>
        <xdr:cNvPr id="4" name="Chart 3">
          <a:extLst>
            <a:ext uri="{FF2B5EF4-FFF2-40B4-BE49-F238E27FC236}">
              <a16:creationId xmlns:a16="http://schemas.microsoft.com/office/drawing/2014/main" id="{ED2E8618-1804-46FC-A665-C0238815D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287905</xdr:colOff>
      <xdr:row>7</xdr:row>
      <xdr:rowOff>7620</xdr:rowOff>
    </xdr:from>
    <xdr:to>
      <xdr:col>24</xdr:col>
      <xdr:colOff>39426</xdr:colOff>
      <xdr:row>21</xdr:row>
      <xdr:rowOff>175259</xdr:rowOff>
    </xdr:to>
    <mc:AlternateContent xmlns:mc="http://schemas.openxmlformats.org/markup-compatibility/2006" xmlns:a14="http://schemas.microsoft.com/office/drawing/2010/main">
      <mc:Choice Requires="a14">
        <xdr:graphicFrame macro="">
          <xdr:nvGraphicFramePr>
            <xdr:cNvPr id="6" name="Vehicle_Type 15">
              <a:extLst>
                <a:ext uri="{FF2B5EF4-FFF2-40B4-BE49-F238E27FC236}">
                  <a16:creationId xmlns:a16="http://schemas.microsoft.com/office/drawing/2014/main" id="{18BE6FD8-9290-4D13-86B5-0C27975C0D28}"/>
                </a:ext>
              </a:extLst>
            </xdr:cNvPr>
            <xdr:cNvGraphicFramePr/>
          </xdr:nvGraphicFramePr>
          <xdr:xfrm>
            <a:off x="0" y="0"/>
            <a:ext cx="0" cy="0"/>
          </xdr:xfrm>
          <a:graphic>
            <a:graphicData uri="http://schemas.microsoft.com/office/drawing/2010/slicer">
              <sle:slicer xmlns:sle="http://schemas.microsoft.com/office/drawing/2010/slicer" name="Vehicle_Type 15"/>
            </a:graphicData>
          </a:graphic>
        </xdr:graphicFrame>
      </mc:Choice>
      <mc:Fallback xmlns="">
        <xdr:sp macro="" textlink="">
          <xdr:nvSpPr>
            <xdr:cNvPr id="0" name=""/>
            <xdr:cNvSpPr>
              <a:spLocks noTextEdit="1"/>
            </xdr:cNvSpPr>
          </xdr:nvSpPr>
          <xdr:spPr>
            <a:xfrm>
              <a:off x="16248492" y="1481924"/>
              <a:ext cx="1838739" cy="2718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284260</xdr:colOff>
      <xdr:row>22</xdr:row>
      <xdr:rowOff>60960</xdr:rowOff>
    </xdr:from>
    <xdr:to>
      <xdr:col>21</xdr:col>
      <xdr:colOff>233239</xdr:colOff>
      <xdr:row>37</xdr:row>
      <xdr:rowOff>60960</xdr:rowOff>
    </xdr:to>
    <xdr:graphicFrame macro="">
      <xdr:nvGraphicFramePr>
        <xdr:cNvPr id="7" name="Chart 6">
          <a:extLst>
            <a:ext uri="{FF2B5EF4-FFF2-40B4-BE49-F238E27FC236}">
              <a16:creationId xmlns:a16="http://schemas.microsoft.com/office/drawing/2014/main" id="{3B3D4C50-0761-4201-BB36-E483ECD8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277634</xdr:colOff>
      <xdr:row>22</xdr:row>
      <xdr:rowOff>45057</xdr:rowOff>
    </xdr:from>
    <xdr:to>
      <xdr:col>24</xdr:col>
      <xdr:colOff>29155</xdr:colOff>
      <xdr:row>37</xdr:row>
      <xdr:rowOff>90776</xdr:rowOff>
    </xdr:to>
    <mc:AlternateContent xmlns:mc="http://schemas.openxmlformats.org/markup-compatibility/2006" xmlns:a14="http://schemas.microsoft.com/office/drawing/2010/main">
      <mc:Choice Requires="a14">
        <xdr:graphicFrame macro="">
          <xdr:nvGraphicFramePr>
            <xdr:cNvPr id="8" name="Monthy_Sale 3">
              <a:extLst>
                <a:ext uri="{FF2B5EF4-FFF2-40B4-BE49-F238E27FC236}">
                  <a16:creationId xmlns:a16="http://schemas.microsoft.com/office/drawing/2014/main" id="{1B9B896A-326C-4B05-AAF8-B06D064E3B18}"/>
                </a:ext>
              </a:extLst>
            </xdr:cNvPr>
            <xdr:cNvGraphicFramePr/>
          </xdr:nvGraphicFramePr>
          <xdr:xfrm>
            <a:off x="0" y="0"/>
            <a:ext cx="0" cy="0"/>
          </xdr:xfrm>
          <a:graphic>
            <a:graphicData uri="http://schemas.microsoft.com/office/drawing/2010/slicer">
              <sle:slicer xmlns:sle="http://schemas.microsoft.com/office/drawing/2010/slicer" name="Monthy_Sale 3"/>
            </a:graphicData>
          </a:graphic>
        </xdr:graphicFrame>
      </mc:Choice>
      <mc:Fallback xmlns="">
        <xdr:sp macro="" textlink="">
          <xdr:nvSpPr>
            <xdr:cNvPr id="0" name=""/>
            <xdr:cNvSpPr>
              <a:spLocks noTextEdit="1"/>
            </xdr:cNvSpPr>
          </xdr:nvSpPr>
          <xdr:spPr>
            <a:xfrm>
              <a:off x="16238221" y="4252622"/>
              <a:ext cx="1838739" cy="2778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969067</xdr:colOff>
      <xdr:row>22</xdr:row>
      <xdr:rowOff>54665</xdr:rowOff>
    </xdr:from>
    <xdr:to>
      <xdr:col>11</xdr:col>
      <xdr:colOff>237878</xdr:colOff>
      <xdr:row>37</xdr:row>
      <xdr:rowOff>54665</xdr:rowOff>
    </xdr:to>
    <xdr:graphicFrame macro="">
      <xdr:nvGraphicFramePr>
        <xdr:cNvPr id="9" name="Chart 8">
          <a:extLst>
            <a:ext uri="{FF2B5EF4-FFF2-40B4-BE49-F238E27FC236}">
              <a16:creationId xmlns:a16="http://schemas.microsoft.com/office/drawing/2014/main" id="{7C33B8C0-E07C-4477-9172-8E714A6C1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24</xdr:col>
          <xdr:colOff>556260</xdr:colOff>
          <xdr:row>7</xdr:row>
          <xdr:rowOff>167640</xdr:rowOff>
        </xdr:from>
        <xdr:to>
          <xdr:col>25</xdr:col>
          <xdr:colOff>586740</xdr:colOff>
          <xdr:row>10</xdr:row>
          <xdr:rowOff>60960</xdr:rowOff>
        </xdr:to>
        <xdr:sp macro="" textlink="">
          <xdr:nvSpPr>
            <xdr:cNvPr id="135169" name="Button 1" hidden="1">
              <a:extLst>
                <a:ext uri="{63B3BB69-23CF-44E3-9099-C40C66FF867C}">
                  <a14:compatExt spid="_x0000_s135169"/>
                </a:ext>
                <a:ext uri="{FF2B5EF4-FFF2-40B4-BE49-F238E27FC236}">
                  <a16:creationId xmlns:a16="http://schemas.microsoft.com/office/drawing/2014/main" id="{00000000-0008-0000-5200-0000011002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0" i="0" u="none" strike="noStrike" baseline="0">
                  <a:solidFill>
                    <a:srgbClr val="000000"/>
                  </a:solidFill>
                  <a:latin typeface="Calibri"/>
                  <a:ea typeface="Calibri"/>
                  <a:cs typeface="Calibri"/>
                </a:rPr>
                <a:t>Refresh</a:t>
              </a:r>
            </a:p>
          </xdr:txBody>
        </xdr:sp>
        <xdr:clientData fPrintsWithSheet="0"/>
      </xdr:twoCellAnchor>
    </mc:Choice>
    <mc:Fallback/>
  </mc:AlternateContent>
  <xdr:twoCellAnchor>
    <xdr:from>
      <xdr:col>18</xdr:col>
      <xdr:colOff>0</xdr:colOff>
      <xdr:row>1</xdr:row>
      <xdr:rowOff>0</xdr:rowOff>
    </xdr:from>
    <xdr:to>
      <xdr:col>19</xdr:col>
      <xdr:colOff>545327</xdr:colOff>
      <xdr:row>2</xdr:row>
      <xdr:rowOff>72555</xdr:rowOff>
    </xdr:to>
    <xdr:sp macro="" textlink="">
      <xdr:nvSpPr>
        <xdr:cNvPr id="10" name="Rectangle: Rounded Corners 9">
          <a:hlinkClick xmlns:r="http://schemas.openxmlformats.org/officeDocument/2006/relationships" r:id="rId5"/>
          <a:extLst>
            <a:ext uri="{FF2B5EF4-FFF2-40B4-BE49-F238E27FC236}">
              <a16:creationId xmlns:a16="http://schemas.microsoft.com/office/drawing/2014/main" id="{8883F094-BFFE-4CB4-965B-7827BA6B4308}"/>
            </a:ext>
          </a:extLst>
        </xdr:cNvPr>
        <xdr:cNvSpPr/>
      </xdr:nvSpPr>
      <xdr:spPr>
        <a:xfrm>
          <a:off x="13865087" y="182217"/>
          <a:ext cx="1158240" cy="40386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tx1"/>
              </a:solidFill>
            </a:rPr>
            <a:t>   Home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785.746597569443" createdVersion="8" refreshedVersion="8" minRefreshableVersion="3" recordCount="500" xr:uid="{2887CDA9-4DD7-48AF-BFF9-07BF0940DBA5}">
  <cacheSource type="worksheet">
    <worksheetSource name="automotive_demand_forecasting_dataset58"/>
  </cacheSource>
  <cacheFields count="12">
    <cacheField name="Date" numFmtId="14">
      <sharedItems containsSemiMixedTypes="0" containsNonDate="0" containsDate="1" containsString="0" minDate="2015-01-01T00:00:00" maxDate="2055-12-28T00:00:00"/>
    </cacheField>
    <cacheField name="Vehicle_Type" numFmtId="0">
      <sharedItems count="5">
        <s v="Sedan"/>
        <s v="Hatchback"/>
        <s v="SUV"/>
        <s v="Electric"/>
        <s v="Truck"/>
      </sharedItems>
    </cacheField>
    <cacheField name="Units_Sold" numFmtId="0">
      <sharedItems containsSemiMixedTypes="0" containsString="0" containsNumber="1" containsInteger="1" minValue="75" maxValue="127" count="50">
        <n v="96"/>
        <n v="107"/>
        <n v="88"/>
        <n v="103"/>
        <n v="111"/>
        <n v="90"/>
        <n v="94"/>
        <n v="98"/>
        <n v="99"/>
        <n v="100"/>
        <n v="105"/>
        <n v="86"/>
        <n v="92"/>
        <n v="101"/>
        <n v="84"/>
        <n v="76"/>
        <n v="93"/>
        <n v="87"/>
        <n v="108"/>
        <n v="106"/>
        <n v="113"/>
        <n v="95"/>
        <n v="114"/>
        <n v="116"/>
        <n v="97"/>
        <n v="118"/>
        <n v="104"/>
        <n v="115"/>
        <n v="91"/>
        <n v="110"/>
        <n v="121"/>
        <n v="127"/>
        <n v="78"/>
        <n v="120"/>
        <n v="89"/>
        <n v="85"/>
        <n v="109"/>
        <n v="102"/>
        <n v="117"/>
        <n v="112"/>
        <n v="119"/>
        <n v="81"/>
        <n v="123"/>
        <n v="79"/>
        <n v="83"/>
        <n v="82"/>
        <n v="122"/>
        <n v="124"/>
        <n v="80"/>
        <n v="75"/>
      </sharedItems>
    </cacheField>
    <cacheField name="Unit_Sold Z Score" numFmtId="0">
      <sharedItems containsSemiMixedTypes="0" containsString="0" containsNumber="1" minValue="-2.3826413250006087" maxValue="2.7017869785134949"/>
    </cacheField>
    <cacheField name="Average_Price" numFmtId="0">
      <sharedItems containsMixedTypes="1" containsNumber="1" minValue="17230.394325490226" maxValue="42898.546688271592"/>
    </cacheField>
    <cacheField name="Fuel_Price" numFmtId="0">
      <sharedItems containsMixedTypes="1" containsNumber="1" minValue="2.1483838535003814" maxValue="4.8008415570901972"/>
    </cacheField>
    <cacheField name="GDP_Growth_Rate" numFmtId="0">
      <sharedItems containsSemiMixedTypes="0" containsString="0" containsNumber="1" minValue="0.28813808867049318" maxValue="4.5895387216947734"/>
    </cacheField>
    <cacheField name="Unemployment_Rate" numFmtId="0">
      <sharedItems containsMixedTypes="1" containsNumber="1" minValue="2.8037327992184737" maxValue="8.3366469935432335"/>
    </cacheField>
    <cacheField name="Marketing_Spend" numFmtId="0">
      <sharedItems containsMixedTypes="1" containsNumber="1" minValue="40177.280581985535" maxValue="148233.53351156841"/>
    </cacheField>
    <cacheField name="Competitor_Sales" numFmtId="0">
      <sharedItems containsMixedTypes="1" containsNumber="1" containsInteger="1" minValue="65" maxValue="113"/>
    </cacheField>
    <cacheField name="Online_Interest_Index" numFmtId="0">
      <sharedItems containsMixedTypes="1" containsNumber="1" minValue="20.567345021949677" maxValue="99.948024037776008"/>
    </cacheField>
    <cacheField name="Missing Data"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799.028129166669" createdVersion="8" refreshedVersion="8" minRefreshableVersion="3" recordCount="500" xr:uid="{0C4C6E2F-95A5-47C4-AC6E-05C891FC2ED4}">
  <cacheSource type="worksheet">
    <worksheetSource name="automotive_demand_forecasting_dataset567"/>
  </cacheSource>
  <cacheFields count="19">
    <cacheField name="Date" numFmtId="14">
      <sharedItems containsSemiMixedTypes="0" containsNonDate="0" containsDate="1" containsString="0" minDate="2015-01-01T00:00:00" maxDate="2055-12-28T00:00:00" count="500">
        <d v="2015-01-01T00:00:00"/>
        <d v="2015-01-31T00:00:00"/>
        <d v="2015-03-02T00:00:00"/>
        <d v="2015-04-01T00:00:00"/>
        <d v="2015-05-01T00:00:00"/>
        <d v="2015-05-31T00:00:00"/>
        <d v="2015-06-30T00:00:00"/>
        <d v="2015-07-30T00:00:00"/>
        <d v="2015-08-29T00:00:00"/>
        <d v="2015-09-28T00:00:00"/>
        <d v="2015-10-28T00:00:00"/>
        <d v="2015-11-27T00:00:00"/>
        <d v="2015-12-27T00:00:00"/>
        <d v="2016-01-26T00:00:00"/>
        <d v="2016-02-25T00:00:00"/>
        <d v="2016-03-26T00:00:00"/>
        <d v="2016-04-25T00:00:00"/>
        <d v="2016-05-25T00:00:00"/>
        <d v="2016-06-24T00:00:00"/>
        <d v="2016-07-24T00:00:00"/>
        <d v="2016-08-23T00:00:00"/>
        <d v="2016-09-22T00:00:00"/>
        <d v="2016-10-22T00:00:00"/>
        <d v="2016-11-21T00:00:00"/>
        <d v="2016-12-21T00:00:00"/>
        <d v="2017-01-20T00:00:00"/>
        <d v="2017-02-19T00:00:00"/>
        <d v="2017-03-21T00:00:00"/>
        <d v="2017-04-20T00:00:00"/>
        <d v="2017-05-20T00:00:00"/>
        <d v="2017-06-19T00:00:00"/>
        <d v="2017-07-19T00:00:00"/>
        <d v="2017-08-18T00:00:00"/>
        <d v="2017-09-17T00:00:00"/>
        <d v="2017-10-17T00:00:00"/>
        <d v="2017-11-16T00:00:00"/>
        <d v="2017-12-16T00:00:00"/>
        <d v="2018-01-15T00:00:00"/>
        <d v="2018-02-14T00:00:00"/>
        <d v="2018-03-16T00:00:00"/>
        <d v="2018-04-15T00:00:00"/>
        <d v="2018-05-15T00:00:00"/>
        <d v="2018-06-14T00:00:00"/>
        <d v="2018-07-14T00:00:00"/>
        <d v="2018-08-13T00:00:00"/>
        <d v="2018-09-12T00:00:00"/>
        <d v="2018-10-12T00:00:00"/>
        <d v="2018-11-11T00:00:00"/>
        <d v="2018-12-11T00:00:00"/>
        <d v="2019-01-10T00:00:00"/>
        <d v="2019-02-09T00:00:00"/>
        <d v="2019-03-11T00:00:00"/>
        <d v="2019-04-10T00:00:00"/>
        <d v="2019-05-10T00:00:00"/>
        <d v="2019-06-09T00:00:00"/>
        <d v="2019-07-09T00:00:00"/>
        <d v="2019-08-08T00:00:00"/>
        <d v="2019-09-07T00:00:00"/>
        <d v="2019-10-07T00:00:00"/>
        <d v="2019-11-06T00:00:00"/>
        <d v="2019-12-06T00:00:00"/>
        <d v="2020-01-05T00:00:00"/>
        <d v="2020-02-04T00:00:00"/>
        <d v="2020-03-05T00:00:00"/>
        <d v="2020-04-04T00:00:00"/>
        <d v="2020-05-04T00:00:00"/>
        <d v="2020-06-03T00:00:00"/>
        <d v="2020-07-03T00:00:00"/>
        <d v="2020-08-02T00:00:00"/>
        <d v="2020-09-01T00:00:00"/>
        <d v="2020-10-01T00:00:00"/>
        <d v="2020-10-31T00:00:00"/>
        <d v="2020-11-30T00:00:00"/>
        <d v="2020-12-30T00:00:00"/>
        <d v="2021-01-29T00:00:00"/>
        <d v="2021-02-28T00:00:00"/>
        <d v="2021-03-30T00:00:00"/>
        <d v="2021-04-29T00:00:00"/>
        <d v="2021-05-29T00:00:00"/>
        <d v="2021-06-28T00:00:00"/>
        <d v="2021-07-28T00:00:00"/>
        <d v="2021-08-27T00:00:00"/>
        <d v="2021-09-26T00:00:00"/>
        <d v="2021-10-26T00:00:00"/>
        <d v="2021-11-25T00:00:00"/>
        <d v="2021-12-25T00:00:00"/>
        <d v="2022-01-24T00:00:00"/>
        <d v="2022-02-23T00:00:00"/>
        <d v="2022-03-25T00:00:00"/>
        <d v="2022-04-24T00:00:00"/>
        <d v="2022-05-24T00:00:00"/>
        <d v="2022-06-23T00:00:00"/>
        <d v="2022-07-23T00:00:00"/>
        <d v="2022-08-22T00:00:00"/>
        <d v="2022-09-21T00:00:00"/>
        <d v="2022-10-21T00:00:00"/>
        <d v="2022-11-20T00:00:00"/>
        <d v="2022-12-20T00:00:00"/>
        <d v="2023-01-19T00:00:00"/>
        <d v="2023-02-18T00:00:00"/>
        <d v="2023-03-20T00:00:00"/>
        <d v="2023-04-19T00:00:00"/>
        <d v="2023-05-19T00:00:00"/>
        <d v="2023-06-18T00:00:00"/>
        <d v="2023-07-18T00:00:00"/>
        <d v="2023-08-17T00:00:00"/>
        <d v="2023-09-16T00:00:00"/>
        <d v="2023-10-16T00:00:00"/>
        <d v="2023-11-15T00:00:00"/>
        <d v="2023-12-15T00:00:00"/>
        <d v="2024-01-14T00:00:00"/>
        <d v="2024-02-13T00:00:00"/>
        <d v="2024-03-14T00:00:00"/>
        <d v="2024-04-13T00:00:00"/>
        <d v="2024-05-13T00:00:00"/>
        <d v="2024-06-12T00:00:00"/>
        <d v="2024-07-12T00:00:00"/>
        <d v="2024-08-11T00:00:00"/>
        <d v="2024-09-10T00:00:00"/>
        <d v="2024-10-10T00:00:00"/>
        <d v="2024-11-09T00:00:00"/>
        <d v="2024-12-09T00:00:00"/>
        <d v="2025-01-08T00:00:00"/>
        <d v="2025-02-07T00:00:00"/>
        <d v="2025-03-09T00:00:00"/>
        <d v="2025-04-08T00:00:00"/>
        <d v="2025-05-08T00:00:00"/>
        <d v="2025-06-07T00:00:00"/>
        <d v="2025-07-07T00:00:00"/>
        <d v="2025-08-06T00:00:00"/>
        <d v="2025-09-05T00:00:00"/>
        <d v="2025-10-05T00:00:00"/>
        <d v="2025-11-04T00:00:00"/>
        <d v="2025-12-04T00:00:00"/>
        <d v="2026-01-03T00:00:00"/>
        <d v="2026-02-02T00:00:00"/>
        <d v="2026-03-04T00:00:00"/>
        <d v="2026-04-03T00:00:00"/>
        <d v="2026-05-03T00:00:00"/>
        <d v="2026-06-02T00:00:00"/>
        <d v="2026-07-02T00:00:00"/>
        <d v="2026-08-01T00:00:00"/>
        <d v="2026-08-31T00:00:00"/>
        <d v="2026-09-30T00:00:00"/>
        <d v="2026-10-30T00:00:00"/>
        <d v="2026-11-29T00:00:00"/>
        <d v="2026-12-29T00:00:00"/>
        <d v="2027-01-28T00:00:00"/>
        <d v="2027-02-27T00:00:00"/>
        <d v="2027-03-29T00:00:00"/>
        <d v="2027-04-28T00:00:00"/>
        <d v="2027-05-28T00:00:00"/>
        <d v="2027-06-27T00:00:00"/>
        <d v="2027-07-27T00:00:00"/>
        <d v="2027-08-26T00:00:00"/>
        <d v="2027-09-25T00:00:00"/>
        <d v="2027-10-25T00:00:00"/>
        <d v="2027-11-24T00:00:00"/>
        <d v="2027-12-24T00:00:00"/>
        <d v="2028-01-23T00:00:00"/>
        <d v="2028-02-22T00:00:00"/>
        <d v="2028-03-23T00:00:00"/>
        <d v="2028-04-22T00:00:00"/>
        <d v="2028-05-22T00:00:00"/>
        <d v="2028-06-21T00:00:00"/>
        <d v="2028-07-21T00:00:00"/>
        <d v="2028-08-20T00:00:00"/>
        <d v="2028-09-19T00:00:00"/>
        <d v="2028-10-19T00:00:00"/>
        <d v="2028-11-18T00:00:00"/>
        <d v="2028-12-18T00:00:00"/>
        <d v="2029-01-17T00:00:00"/>
        <d v="2029-02-16T00:00:00"/>
        <d v="2029-03-18T00:00:00"/>
        <d v="2029-04-17T00:00:00"/>
        <d v="2029-05-17T00:00:00"/>
        <d v="2029-06-16T00:00:00"/>
        <d v="2029-07-16T00:00:00"/>
        <d v="2029-08-15T00:00:00"/>
        <d v="2029-09-14T00:00:00"/>
        <d v="2029-10-14T00:00:00"/>
        <d v="2029-11-13T00:00:00"/>
        <d v="2029-12-13T00:00:00"/>
        <d v="2030-01-12T00:00:00"/>
        <d v="2030-02-11T00:00:00"/>
        <d v="2030-03-13T00:00:00"/>
        <d v="2030-04-12T00:00:00"/>
        <d v="2030-05-12T00:00:00"/>
        <d v="2030-06-11T00:00:00"/>
        <d v="2030-07-11T00:00:00"/>
        <d v="2030-08-10T00:00:00"/>
        <d v="2030-09-09T00:00:00"/>
        <d v="2030-10-09T00:00:00"/>
        <d v="2030-11-08T00:00:00"/>
        <d v="2030-12-08T00:00:00"/>
        <d v="2031-01-07T00:00:00"/>
        <d v="2031-02-06T00:00:00"/>
        <d v="2031-03-08T00:00:00"/>
        <d v="2031-04-07T00:00:00"/>
        <d v="2031-05-07T00:00:00"/>
        <d v="2031-06-06T00:00:00"/>
        <d v="2031-07-06T00:00:00"/>
        <d v="2031-08-05T00:00:00"/>
        <d v="2031-09-04T00:00:00"/>
        <d v="2031-10-04T00:00:00"/>
        <d v="2031-11-03T00:00:00"/>
        <d v="2031-12-03T00:00:00"/>
        <d v="2032-01-02T00:00:00"/>
        <d v="2032-02-01T00:00:00"/>
        <d v="2032-03-02T00:00:00"/>
        <d v="2032-04-01T00:00:00"/>
        <d v="2032-05-01T00:00:00"/>
        <d v="2032-05-31T00:00:00"/>
        <d v="2032-06-30T00:00:00"/>
        <d v="2032-07-30T00:00:00"/>
        <d v="2032-08-29T00:00:00"/>
        <d v="2032-09-28T00:00:00"/>
        <d v="2032-10-28T00:00:00"/>
        <d v="2032-11-27T00:00:00"/>
        <d v="2032-12-27T00:00:00"/>
        <d v="2033-01-26T00:00:00"/>
        <d v="2033-02-25T00:00:00"/>
        <d v="2033-03-27T00:00:00"/>
        <d v="2033-04-26T00:00:00"/>
        <d v="2033-05-26T00:00:00"/>
        <d v="2033-06-25T00:00:00"/>
        <d v="2033-07-25T00:00:00"/>
        <d v="2033-08-24T00:00:00"/>
        <d v="2033-09-23T00:00:00"/>
        <d v="2033-10-23T00:00:00"/>
        <d v="2033-11-22T00:00:00"/>
        <d v="2033-12-22T00:00:00"/>
        <d v="2034-01-21T00:00:00"/>
        <d v="2034-02-20T00:00:00"/>
        <d v="2034-03-22T00:00:00"/>
        <d v="2034-04-21T00:00:00"/>
        <d v="2034-05-21T00:00:00"/>
        <d v="2034-06-20T00:00:00"/>
        <d v="2034-07-20T00:00:00"/>
        <d v="2034-08-19T00:00:00"/>
        <d v="2034-09-18T00:00:00"/>
        <d v="2034-10-18T00:00:00"/>
        <d v="2034-11-17T00:00:00"/>
        <d v="2034-12-17T00:00:00"/>
        <d v="2035-01-16T00:00:00"/>
        <d v="2035-02-15T00:00:00"/>
        <d v="2035-03-17T00:00:00"/>
        <d v="2035-04-16T00:00:00"/>
        <d v="2035-05-16T00:00:00"/>
        <d v="2035-06-15T00:00:00"/>
        <d v="2035-07-15T00:00:00"/>
        <d v="2035-08-14T00:00:00"/>
        <d v="2035-09-13T00:00:00"/>
        <d v="2035-10-13T00:00:00"/>
        <d v="2035-11-12T00:00:00"/>
        <d v="2035-12-12T00:00:00"/>
        <d v="2036-01-11T00:00:00"/>
        <d v="2036-02-10T00:00:00"/>
        <d v="2036-03-11T00:00:00"/>
        <d v="2036-04-10T00:00:00"/>
        <d v="2036-05-10T00:00:00"/>
        <d v="2036-06-09T00:00:00"/>
        <d v="2036-07-09T00:00:00"/>
        <d v="2036-08-08T00:00:00"/>
        <d v="2036-09-07T00:00:00"/>
        <d v="2036-10-07T00:00:00"/>
        <d v="2036-11-06T00:00:00"/>
        <d v="2036-12-06T00:00:00"/>
        <d v="2037-01-05T00:00:00"/>
        <d v="2037-02-04T00:00:00"/>
        <d v="2037-03-06T00:00:00"/>
        <d v="2037-04-05T00:00:00"/>
        <d v="2037-05-05T00:00:00"/>
        <d v="2037-06-04T00:00:00"/>
        <d v="2037-07-04T00:00:00"/>
        <d v="2037-08-03T00:00:00"/>
        <d v="2037-09-02T00:00:00"/>
        <d v="2037-10-02T00:00:00"/>
        <d v="2037-11-01T00:00:00"/>
        <d v="2037-12-01T00:00:00"/>
        <d v="2037-12-31T00:00:00"/>
        <d v="2038-01-30T00:00:00"/>
        <d v="2038-03-01T00:00:00"/>
        <d v="2038-03-31T00:00:00"/>
        <d v="2038-04-30T00:00:00"/>
        <d v="2038-05-30T00:00:00"/>
        <d v="2038-06-29T00:00:00"/>
        <d v="2038-07-29T00:00:00"/>
        <d v="2038-08-28T00:00:00"/>
        <d v="2038-09-27T00:00:00"/>
        <d v="2038-10-27T00:00:00"/>
        <d v="2038-11-26T00:00:00"/>
        <d v="2038-12-26T00:00:00"/>
        <d v="2039-01-25T00:00:00"/>
        <d v="2039-02-24T00:00:00"/>
        <d v="2039-03-26T00:00:00"/>
        <d v="2039-04-25T00:00:00"/>
        <d v="2039-05-25T00:00:00"/>
        <d v="2039-06-24T00:00:00"/>
        <d v="2039-07-24T00:00:00"/>
        <d v="2039-08-23T00:00:00"/>
        <d v="2039-09-22T00:00:00"/>
        <d v="2039-10-22T00:00:00"/>
        <d v="2039-11-21T00:00:00"/>
        <d v="2039-12-21T00:00:00"/>
        <d v="2040-01-20T00:00:00"/>
        <d v="2040-02-19T00:00:00"/>
        <d v="2040-03-20T00:00:00"/>
        <d v="2040-04-19T00:00:00"/>
        <d v="2040-05-19T00:00:00"/>
        <d v="2040-06-18T00:00:00"/>
        <d v="2040-07-18T00:00:00"/>
        <d v="2040-08-17T00:00:00"/>
        <d v="2040-09-16T00:00:00"/>
        <d v="2040-10-16T00:00:00"/>
        <d v="2040-11-15T00:00:00"/>
        <d v="2040-12-15T00:00:00"/>
        <d v="2041-01-14T00:00:00"/>
        <d v="2041-02-13T00:00:00"/>
        <d v="2041-03-15T00:00:00"/>
        <d v="2041-04-14T00:00:00"/>
        <d v="2041-05-14T00:00:00"/>
        <d v="2041-06-13T00:00:00"/>
        <d v="2041-07-13T00:00:00"/>
        <d v="2041-08-12T00:00:00"/>
        <d v="2041-09-11T00:00:00"/>
        <d v="2041-10-11T00:00:00"/>
        <d v="2041-11-10T00:00:00"/>
        <d v="2041-12-10T00:00:00"/>
        <d v="2042-01-09T00:00:00"/>
        <d v="2042-02-08T00:00:00"/>
        <d v="2042-03-10T00:00:00"/>
        <d v="2042-04-09T00:00:00"/>
        <d v="2042-05-09T00:00:00"/>
        <d v="2042-06-08T00:00:00"/>
        <d v="2042-07-08T00:00:00"/>
        <d v="2042-08-07T00:00:00"/>
        <d v="2042-09-06T00:00:00"/>
        <d v="2042-10-06T00:00:00"/>
        <d v="2042-11-05T00:00:00"/>
        <d v="2042-12-05T00:00:00"/>
        <d v="2043-01-04T00:00:00"/>
        <d v="2043-02-03T00:00:00"/>
        <d v="2043-03-05T00:00:00"/>
        <d v="2043-04-04T00:00:00"/>
        <d v="2043-05-04T00:00:00"/>
        <d v="2043-06-03T00:00:00"/>
        <d v="2043-07-03T00:00:00"/>
        <d v="2043-08-02T00:00:00"/>
        <d v="2043-09-01T00:00:00"/>
        <d v="2043-10-01T00:00:00"/>
        <d v="2043-10-31T00:00:00"/>
        <d v="2043-11-30T00:00:00"/>
        <d v="2043-12-30T00:00:00"/>
        <d v="2044-01-29T00:00:00"/>
        <d v="2044-02-28T00:00:00"/>
        <d v="2044-03-29T00:00:00"/>
        <d v="2044-04-28T00:00:00"/>
        <d v="2044-05-28T00:00:00"/>
        <d v="2044-06-27T00:00:00"/>
        <d v="2044-07-27T00:00:00"/>
        <d v="2044-08-26T00:00:00"/>
        <d v="2044-09-25T00:00:00"/>
        <d v="2044-10-25T00:00:00"/>
        <d v="2044-11-24T00:00:00"/>
        <d v="2044-12-24T00:00:00"/>
        <d v="2045-01-23T00:00:00"/>
        <d v="2045-02-22T00:00:00"/>
        <d v="2045-03-24T00:00:00"/>
        <d v="2045-04-23T00:00:00"/>
        <d v="2045-05-23T00:00:00"/>
        <d v="2045-06-22T00:00:00"/>
        <d v="2045-07-22T00:00:00"/>
        <d v="2045-08-21T00:00:00"/>
        <d v="2045-09-20T00:00:00"/>
        <d v="2045-10-20T00:00:00"/>
        <d v="2045-11-19T00:00:00"/>
        <d v="2045-12-19T00:00:00"/>
        <d v="2046-01-18T00:00:00"/>
        <d v="2046-02-17T00:00:00"/>
        <d v="2046-03-19T00:00:00"/>
        <d v="2046-04-18T00:00:00"/>
        <d v="2046-05-18T00:00:00"/>
        <d v="2046-06-17T00:00:00"/>
        <d v="2046-07-17T00:00:00"/>
        <d v="2046-08-16T00:00:00"/>
        <d v="2046-09-15T00:00:00"/>
        <d v="2046-10-15T00:00:00"/>
        <d v="2046-11-14T00:00:00"/>
        <d v="2046-12-14T00:00:00"/>
        <d v="2047-01-13T00:00:00"/>
        <d v="2047-02-12T00:00:00"/>
        <d v="2047-03-14T00:00:00"/>
        <d v="2047-04-13T00:00:00"/>
        <d v="2047-05-13T00:00:00"/>
        <d v="2047-06-12T00:00:00"/>
        <d v="2047-07-12T00:00:00"/>
        <d v="2047-08-11T00:00:00"/>
        <d v="2047-09-10T00:00:00"/>
        <d v="2047-10-10T00:00:00"/>
        <d v="2047-11-09T00:00:00"/>
        <d v="2047-12-09T00:00:00"/>
        <d v="2048-01-08T00:00:00"/>
        <d v="2048-02-07T00:00:00"/>
        <d v="2048-03-08T00:00:00"/>
        <d v="2048-04-07T00:00:00"/>
        <d v="2048-05-07T00:00:00"/>
        <d v="2048-06-06T00:00:00"/>
        <d v="2048-07-06T00:00:00"/>
        <d v="2048-08-05T00:00:00"/>
        <d v="2048-09-04T00:00:00"/>
        <d v="2048-10-04T00:00:00"/>
        <d v="2048-11-03T00:00:00"/>
        <d v="2048-12-03T00:00:00"/>
        <d v="2049-01-02T00:00:00"/>
        <d v="2049-02-01T00:00:00"/>
        <d v="2049-03-03T00:00:00"/>
        <d v="2049-04-02T00:00:00"/>
        <d v="2049-05-02T00:00:00"/>
        <d v="2049-06-01T00:00:00"/>
        <d v="2049-07-01T00:00:00"/>
        <d v="2049-07-31T00:00:00"/>
        <d v="2049-08-30T00:00:00"/>
        <d v="2049-09-29T00:00:00"/>
        <d v="2049-10-29T00:00:00"/>
        <d v="2049-11-28T00:00:00"/>
        <d v="2049-12-28T00:00:00"/>
        <d v="2050-01-27T00:00:00"/>
        <d v="2050-02-26T00:00:00"/>
        <d v="2050-03-28T00:00:00"/>
        <d v="2050-04-27T00:00:00"/>
        <d v="2050-05-27T00:00:00"/>
        <d v="2050-06-26T00:00:00"/>
        <d v="2050-07-26T00:00:00"/>
        <d v="2050-08-25T00:00:00"/>
        <d v="2050-09-24T00:00:00"/>
        <d v="2050-10-24T00:00:00"/>
        <d v="2050-11-23T00:00:00"/>
        <d v="2050-12-23T00:00:00"/>
        <d v="2051-01-22T00:00:00"/>
        <d v="2051-02-21T00:00:00"/>
        <d v="2051-03-23T00:00:00"/>
        <d v="2051-04-22T00:00:00"/>
        <d v="2051-05-22T00:00:00"/>
        <d v="2051-06-21T00:00:00"/>
        <d v="2051-07-21T00:00:00"/>
        <d v="2051-08-20T00:00:00"/>
        <d v="2051-09-19T00:00:00"/>
        <d v="2051-10-19T00:00:00"/>
        <d v="2051-11-18T00:00:00"/>
        <d v="2051-12-18T00:00:00"/>
        <d v="2052-01-17T00:00:00"/>
        <d v="2052-02-16T00:00:00"/>
        <d v="2052-03-17T00:00:00"/>
        <d v="2052-04-16T00:00:00"/>
        <d v="2052-05-16T00:00:00"/>
        <d v="2052-06-15T00:00:00"/>
        <d v="2052-07-15T00:00:00"/>
        <d v="2052-08-14T00:00:00"/>
        <d v="2052-09-13T00:00:00"/>
        <d v="2052-10-13T00:00:00"/>
        <d v="2052-11-12T00:00:00"/>
        <d v="2052-12-12T00:00:00"/>
        <d v="2053-01-11T00:00:00"/>
        <d v="2053-02-10T00:00:00"/>
        <d v="2053-03-12T00:00:00"/>
        <d v="2053-04-11T00:00:00"/>
        <d v="2053-05-11T00:00:00"/>
        <d v="2053-06-10T00:00:00"/>
        <d v="2053-07-10T00:00:00"/>
        <d v="2053-08-09T00:00:00"/>
        <d v="2053-09-08T00:00:00"/>
        <d v="2053-10-08T00:00:00"/>
        <d v="2053-11-07T00:00:00"/>
        <d v="2053-12-07T00:00:00"/>
        <d v="2054-01-06T00:00:00"/>
        <d v="2054-02-05T00:00:00"/>
        <d v="2054-03-07T00:00:00"/>
        <d v="2054-04-06T00:00:00"/>
        <d v="2054-05-06T00:00:00"/>
        <d v="2054-06-05T00:00:00"/>
        <d v="2054-07-05T00:00:00"/>
        <d v="2054-08-04T00:00:00"/>
        <d v="2054-09-03T00:00:00"/>
        <d v="2054-10-03T00:00:00"/>
        <d v="2054-11-02T00:00:00"/>
        <d v="2054-12-02T00:00:00"/>
        <d v="2055-01-01T00:00:00"/>
        <d v="2055-01-31T00:00:00"/>
        <d v="2055-03-02T00:00:00"/>
        <d v="2055-04-01T00:00:00"/>
        <d v="2055-05-01T00:00:00"/>
        <d v="2055-05-31T00:00:00"/>
        <d v="2055-06-30T00:00:00"/>
        <d v="2055-07-30T00:00:00"/>
        <d v="2055-08-29T00:00:00"/>
        <d v="2055-09-28T00:00:00"/>
        <d v="2055-10-28T00:00:00"/>
        <d v="2055-11-27T00:00:00"/>
        <d v="2055-12-27T00:00:00"/>
      </sharedItems>
      <fieldGroup par="18"/>
    </cacheField>
    <cacheField name="Vehicle_Type" numFmtId="0">
      <sharedItems count="5">
        <s v="Sedan"/>
        <s v="Hatchback"/>
        <s v="SUV"/>
        <s v="Electric"/>
        <s v="Truck"/>
      </sharedItems>
    </cacheField>
    <cacheField name="Monthy_Sale" numFmtId="0">
      <sharedItems count="12">
        <s v="January"/>
        <s v="March"/>
        <s v="April"/>
        <s v="May"/>
        <s v="June"/>
        <s v="July"/>
        <s v="August"/>
        <s v="September"/>
        <s v="October"/>
        <s v="November"/>
        <s v="December"/>
        <s v="February"/>
      </sharedItems>
    </cacheField>
    <cacheField name="Season" numFmtId="0">
      <sharedItems/>
    </cacheField>
    <cacheField name="Units_Sold" numFmtId="0">
      <sharedItems containsString="0" containsBlank="1" containsNumber="1" containsInteger="1" minValue="69" maxValue="1160" count="66">
        <n v="96"/>
        <n v="107"/>
        <n v="88"/>
        <n v="103"/>
        <n v="111"/>
        <n v="90"/>
        <n v="94"/>
        <n v="98"/>
        <n v="99"/>
        <n v="1030"/>
        <n v="105"/>
        <n v="86"/>
        <n v="92"/>
        <n v="101"/>
        <n v="84"/>
        <n v="76"/>
        <n v="970"/>
        <n v="93"/>
        <n v="87"/>
        <n v="108"/>
        <n v="106"/>
        <n v="113"/>
        <n v="95"/>
        <n v="114"/>
        <n v="1080"/>
        <n v="116"/>
        <n v="97"/>
        <m/>
        <n v="118"/>
        <n v="104"/>
        <n v="115"/>
        <n v="91"/>
        <n v="110"/>
        <n v="121"/>
        <n v="100"/>
        <n v="127"/>
        <n v="78"/>
        <n v="120"/>
        <n v="89"/>
        <n v="85"/>
        <n v="109"/>
        <n v="102"/>
        <n v="900"/>
        <n v="117"/>
        <n v="112"/>
        <n v="119"/>
        <n v="69"/>
        <n v="81"/>
        <n v="123"/>
        <n v="79"/>
        <n v="83"/>
        <n v="82"/>
        <n v="1160"/>
        <n v="122"/>
        <n v="124"/>
        <n v="1060"/>
        <n v="1040"/>
        <n v="80"/>
        <n v="1010"/>
        <n v="990"/>
        <n v="920"/>
        <n v="960"/>
        <n v="870"/>
        <n v="950"/>
        <n v="75"/>
        <n v="1090"/>
      </sharedItems>
    </cacheField>
    <cacheField name="Unit_Sold Z Score" numFmtId="0">
      <sharedItems containsSemiMixedTypes="0" containsString="0" containsNumber="1" minValue="-0.80070290024809565" maxValue="6.454473847600954"/>
    </cacheField>
    <cacheField name="Region" numFmtId="0">
      <sharedItems count="4">
        <s v="East"/>
        <s v="South"/>
        <s v="West"/>
        <s v="North"/>
      </sharedItems>
    </cacheField>
    <cacheField name="Average_Price" numFmtId="0">
      <sharedItems containsString="0" containsBlank="1" containsNumber="1" minValue="15518.723109031554" maxValue="369510.37745086564"/>
    </cacheField>
    <cacheField name="Fuel_Price" numFmtId="0">
      <sharedItems containsString="0" containsBlank="1" containsNumber="1" minValue="2.0393247582526963" maxValue="45.28747734855849" count="477">
        <n v="4.5281035649701611"/>
        <n v="2.9483958171391587"/>
        <n v="3.3893731882071139"/>
        <n v="3.3615933500555397"/>
        <n v="3.6537033489045503"/>
        <n v="3.9078686062696484"/>
        <n v="3.9302367441798727"/>
        <n v="3.2084612807155306"/>
        <n v="3.4164391431067944"/>
        <n v="3.6412899752441499"/>
        <n v="3.3756544369082264"/>
        <n v="4.3036727880099965"/>
        <n v="3.7454874758191257"/>
        <n v="3.8674388930249086"/>
        <n v="3.8314406343337062"/>
        <n v="4.0867369287426625"/>
        <n v="3.5905107793518534"/>
        <n v="2.8515840260220768"/>
        <n v="3.6998439758763206"/>
        <n v="3.1743215531040856"/>
        <n v="3.2356916591251217"/>
        <n v="3.7931820093775466"/>
        <n v="4.1191415357168175"/>
        <n v="3.510635788368031"/>
        <n v="3.6544165062994818"/>
        <n v="4.3511074723176186"/>
        <n v="3.6203765897442843"/>
        <n v="4.8008415570901972"/>
        <n v="3.7827548228157721"/>
        <n v="2.619618620422091"/>
        <n v="3.876670810552266"/>
        <n v="3.6905791924413887"/>
        <n v="4.1448763770413724"/>
        <n v="3.8365906756349792"/>
        <n v="3.430772008008113"/>
        <n v="2.887850881855317"/>
        <n v="3.3954883713569872"/>
        <n v="3.0747397728953501"/>
        <n v="3.2097382750976386"/>
        <n v="37.942892022103052"/>
        <n v="4.3349522521757029"/>
        <n v="3.6973357649114904"/>
        <n v="2.9020584689824078"/>
        <n v="3.7223013341100701"/>
        <n v="4.0983157433228259"/>
        <n v="3.195108547840309"/>
        <n v="3.4329914166635414"/>
        <n v="3.5073440973645984"/>
        <n v="3.1075508434588799"/>
        <n v="3.8241402169219296"/>
        <n v="3.4395259256961093"/>
        <n v="3.7097662219535139"/>
        <n v="3.0562539110989499"/>
        <n v="3.281270849838295"/>
        <n v="3.8611906789138857"/>
        <n v="3.3135834239541166"/>
        <n v="4.3634819256167026"/>
        <n v="3.300181907192699"/>
        <n v="3.612342362875943"/>
        <n v="3.9662954159365449"/>
        <n v="2.7908171335334844"/>
        <n v="2.6195955940096121"/>
        <n v="2.7371718427149525"/>
        <n v="4.1312920517135909"/>
        <n v="3.2240709270537766"/>
        <n v="4.7790996428341259"/>
        <n v="3.2178762006713058"/>
        <n v="3.5922756515985186"/>
        <n v="4.2710549762839376"/>
        <n v="4.5030464440795619"/>
        <n v="4.5307517883181987"/>
        <n v="4.1041831152965713"/>
        <n v="4.0120312629057313"/>
        <n v="3.7962634746005914"/>
        <n v="3.8891805380833189"/>
        <n v="3.2244071418357332"/>
        <n v="3.0909005582888462"/>
        <n v="3.4983127712945241"/>
        <n v="3.4149076887375358"/>
        <n v="3.2733859753363626"/>
        <n v="3.8481937237283574"/>
        <m/>
        <n v="3.5442034431459235"/>
        <n v="4.2387650405276309"/>
        <n v="2.9291554429332476"/>
        <n v="3.4031702703601407"/>
        <n v="3.1415888396985974"/>
        <n v="2.5667316914634699"/>
        <n v="3.4586596570786505"/>
        <n v="3.439126245808358"/>
        <n v="4.2567248716210653"/>
        <n v="3.8154058422773889"/>
        <n v="2.9879065878353974"/>
        <n v="4.427046283167094"/>
        <n v="4.1105168477626766"/>
        <n v="3.7910488517343079"/>
        <n v="3.3867579505750842"/>
        <n v="3.0202803816382602"/>
        <n v="3.3138966119644735"/>
        <n v="4.0443743098520928"/>
        <n v="4.4422931529673049"/>
        <n v="4.2716217641360945"/>
        <n v="3.2555752891068628"/>
        <n v="2.9401912833554942"/>
        <n v="3.5704431234556018"/>
        <n v="2.6157803172185741"/>
        <n v="3.6615838570923906"/>
        <n v="3.4261987068506659"/>
        <n v="3.266981749065879"/>
        <n v="2.7026484663666022"/>
        <n v="3.7568000532848584"/>
        <n v="3.2336495801690441"/>
        <n v="2.9150415821448559"/>
        <n v="2.0638688933591753"/>
        <n v="3.4862425474746819"/>
        <n v="4.3861257983348718"/>
        <n v="4.3306296072739352"/>
        <n v="3.2714518717068639"/>
        <n v="3.1988939698191099"/>
        <n v="3.734387128037512"/>
        <n v="30.008072804058543"/>
        <n v="3.6508959499097329"/>
        <n v="38.830401391923452"/>
        <n v="4.1134666119421537"/>
        <n v="3.4499229617600236"/>
        <n v="3.398163124911517"/>
        <n v="3.0865598229800701"/>
        <n v="3.3867605540492365"/>
        <n v="3.6836827534080889"/>
        <n v="3.9567923131166247"/>
        <n v="3.0984105246598275"/>
        <n v="3.3644381994787156"/>
        <n v="3.489316352825782"/>
        <n v="3.1263941604260883"/>
        <n v="2.287879869863529"/>
        <n v="3.9420226981805246"/>
        <n v="3.8684219485462168"/>
        <n v="33.593362214408934"/>
        <n v="35.334953586124357"/>
        <n v="2.7187270715567289"/>
        <n v="3.2354736613268527"/>
        <n v="3.8971323398109137"/>
        <n v="2.8728552884153755"/>
        <n v="36.467789660833148"/>
        <n v="2.8217090976882977"/>
        <n v="3.7332149912167631"/>
        <n v="3.4821792588512581"/>
        <n v="2.6924340920472454"/>
        <n v="4.082369677228586"/>
        <n v="3.1327042116009753"/>
        <n v="3.0948737814928093"/>
        <n v="3.6002845986154712"/>
        <n v="4.0743186747143572"/>
        <n v="2.9920890905108015"/>
        <n v="3.5308399249239857"/>
        <n v="3.7144082501652864"/>
        <n v="3.8465528036315719"/>
        <n v="3.5882207776386128"/>
        <n v="3.3164860804583389"/>
        <n v="3.0862048896756402"/>
        <n v="35.43071941523187"/>
        <n v="2.9639304940071964"/>
        <n v="2.0393247582526963"/>
        <n v="3.7182799020788337"/>
        <n v="3.9519674205430975"/>
        <n v="2.318533782229081"/>
        <n v="2.9951346476450311"/>
        <n v="3.8095771305025989"/>
        <n v="45.28747734855849"/>
        <n v="3.5103968538377042"/>
        <n v="3.1359985293854327"/>
        <n v="3.4085517794475799"/>
        <n v="4.1874382095740925"/>
        <n v="3.1770179104377325"/>
        <n v="3.1004039966748733"/>
        <n v="3.258628238908984"/>
        <n v="3.0233356958706437"/>
        <n v="3.561335157997398"/>
        <n v="4.3123392292347802"/>
        <n v="3.6615396365580146"/>
        <n v="3.3738232489368563"/>
        <n v="3.354094365542228"/>
        <n v="2.7184045956516716"/>
        <n v="3.9415548885735796"/>
        <n v="3.4610814014935989"/>
        <n v="3.4097600432046873"/>
        <n v="5.0965537839224302"/>
        <n v="3.6493764541828431"/>
        <n v="3.1241044749524081"/>
        <n v="3.2868212018972285"/>
        <n v="4.0742228545983776"/>
        <n v="3.5566352052688823"/>
        <n v="2.7808610108413165"/>
        <n v="3.9596144672876017"/>
        <n v="3.1659279572305028"/>
        <n v="4.4366488881087731"/>
        <n v="4.0400240328573247"/>
        <n v="3.2763390521706244"/>
        <n v="4.1405081808675561"/>
        <n v="3.5339277552637016"/>
        <n v="3.9263868375611097"/>
        <n v="3.7423664086472375"/>
        <n v="3.0768216725045634"/>
        <n v="3.1782250838412689"/>
        <n v="4.0149804087905805"/>
        <n v="3.3326123339467295"/>
        <n v="3.2981757683790018"/>
        <n v="3.0224387103253236"/>
        <n v="3.7117995327967304"/>
        <n v="4.5312624596215727"/>
        <n v="2.9662335428728634"/>
        <n v="3.5121097283363789"/>
        <n v="4.2061102777077144"/>
        <n v="3.4601793043771423"/>
        <n v="3.726185898124867"/>
        <n v="3.7141535486038242"/>
        <n v="3.4064278674977255"/>
        <n v="3.9928649978399315"/>
        <n v="4.0936930257823754"/>
        <n v="4.7947818210093072"/>
        <n v="3.7898165866067877"/>
        <n v="36.628981582910832"/>
        <n v="3.3234168535946558"/>
        <n v="3.3522992949304853"/>
        <n v="4.1587987678039795"/>
        <n v="2.9967287173601793"/>
        <n v="4.0699392805645225"/>
        <n v="4.1585575336699323"/>
        <n v="3.4409657365044608"/>
        <n v="2.4390725504957027"/>
        <n v="3.1960890064527838"/>
        <n v="4.1484972732805545"/>
        <n v="3.4885659688505588"/>
        <n v="3.0003488838525447"/>
        <n v="3.2476125393858912"/>
        <n v="3.9203100132522763"/>
        <n v="3.380533950415153"/>
        <n v="3.3165877940926562"/>
        <n v="3.304120925478089"/>
        <n v="3.0387949077507486"/>
        <n v="43.076878447347212"/>
        <n v="3.3388397653943303"/>
        <n v="4.108579260412748"/>
        <n v="4.2606580259612254"/>
        <n v="3.9991554490739802"/>
        <n v="3.2841898436409758"/>
        <n v="3.7018650451683048"/>
        <n v="3.4879021968045421"/>
        <n v="3.048149069634936"/>
        <n v="3.6621796408608014"/>
        <n v="4.0938396942307822"/>
        <n v="3.2676913513508037"/>
        <n v="3.6005798279364196"/>
        <n v="3.6416439357730712"/>
        <n v="3.3705475131479612"/>
        <n v="3.7933469007376375"/>
        <n v="3.2625481716887377"/>
        <n v="39.356486487286219"/>
        <n v="2.8270101598766257"/>
        <n v="3.5631897897732059"/>
        <n v="4.4694644995291419"/>
        <n v="2.9998343376972127"/>
        <n v="3.1611275147375744"/>
        <n v="3.7569539248294577"/>
        <n v="3.5897908909697991"/>
        <n v="3.6753150496367795"/>
        <n v="3.7445935650738318"/>
        <n v="38.17360734280885"/>
        <n v="4.0548499209781115"/>
        <n v="3.7049093284642565"/>
        <n v="3.3793711726907287"/>
        <n v="4.449940967447608"/>
        <n v="3.4336831268087131"/>
        <n v="3.0127353476646794"/>
        <n v="4.0535403346434862"/>
        <n v="3.4398094180232008"/>
        <n v="2.4136652269929817"/>
        <n v="3.9237108385752109"/>
        <n v="3.2323359070230389"/>
        <n v="3.4547333588479194"/>
        <n v="3.6659901652845073"/>
        <n v="3.5952498398895334"/>
        <n v="3.8547259085695198"/>
        <n v="3.2822568147150784"/>
        <n v="3.7565528990880415"/>
        <n v="3.3702266612080414"/>
        <n v="3.8694052404437516"/>
        <n v="3.8076837420065268"/>
        <n v="3.0322806489777023"/>
        <n v="4.0429910580875159"/>
        <n v="3.2320182774429762"/>
        <n v="3.9040288991405725"/>
        <n v="3.6836436567006703"/>
        <n v="4.419091838397561"/>
        <n v="3.3882670088140738"/>
        <n v="3.3253416019409014"/>
        <n v="3.4902901970561335"/>
        <n v="3.3484101085828621"/>
        <n v="3.8999709509710252"/>
        <n v="2.6918446957817062"/>
        <n v="2.9731587904268229"/>
        <n v="2.9660985392104036"/>
        <n v="3.9751537959867878"/>
        <n v="3.4477753907312643"/>
        <n v="3.4155891384049948"/>
        <n v="3.5350260815565906"/>
        <n v="4.0809391513040953"/>
        <n v="3.0363234329047128"/>
        <n v="3.6191844913673927"/>
        <n v="39.87598814891215"/>
        <n v="3.7505470849699227"/>
        <n v="3.5947908082993716"/>
        <n v="4.0005230462835701"/>
        <n v="2.1483838535003814"/>
        <n v="3.8389376597654539"/>
        <n v="2.5846835515717714"/>
        <n v="3.7556012997624904"/>
        <n v="4.1868292725814786"/>
        <n v="3.4312757426861542"/>
        <n v="3.9764372736014693"/>
        <n v="4.3061391289943227"/>
        <n v="4.1574572267920233"/>
        <n v="4.3199822646856969"/>
        <n v="3.8710637455359462"/>
        <n v="3.5377168194507962"/>
        <n v="2.699017094051416"/>
        <n v="3.3769687559350259"/>
        <n v="3.0783767023419042"/>
        <n v="4.5854713587489071"/>
        <n v="3.4120570937838317"/>
        <n v="3.5616024033922429"/>
        <n v="3.7757426880202338"/>
        <n v="3.5218012231862268"/>
        <n v="4.3475255202153766"/>
        <n v="3.1886753191327739"/>
        <n v="3.5973037276186215"/>
        <n v="3.1287647071509759"/>
        <n v="2.8399887443896472"/>
        <n v="3.1941154545473571"/>
        <n v="3.4814816014757941"/>
        <n v="3.2853488877413701"/>
        <n v="3.153789510063072"/>
        <n v="2.7968412681640831"/>
        <n v="3.4584472136856528"/>
        <n v="2.7476398129844988"/>
        <n v="3.8800279818448011"/>
        <n v="3.5412198764672516"/>
        <n v="2.7712242502675348"/>
        <n v="3.3453954614750683"/>
        <n v="3.1239217972047086"/>
        <n v="3.6595872552095901"/>
        <n v="4.1702252230115722"/>
        <n v="2.5624137651771277"/>
        <n v="35.575130395737084"/>
        <n v="3.41993360221668"/>
        <n v="3.8356700382252327"/>
        <n v="3.1240153341305903"/>
        <n v="3.3404730321666909"/>
        <n v="3.1019870715982556"/>
        <n v="4.038003569299299"/>
        <n v="3.5106558243359709"/>
        <n v="4.4505953428765039"/>
        <n v="3.4696695930926897"/>
        <n v="3.1457966165447688"/>
        <n v="2.7431428036935865"/>
        <n v="2.5984301618720274"/>
        <n v="2.7079320284972552"/>
        <n v="3.7543625116149668"/>
        <n v="2.7094046489839334"/>
        <n v="3.9475191570380579"/>
        <n v="3.5733965059927746"/>
        <n v="4.3061103141277126"/>
        <n v="3.9484196579327659"/>
        <n v="3.3657346760470839"/>
        <n v="3.0544038872923562"/>
        <n v="2.4240922993353475"/>
        <n v="3.1404233403787898"/>
        <n v="3.0064102364244079"/>
        <n v="3.4343715164538478"/>
        <n v="3.5384259414793839"/>
        <n v="3.3875720090959609"/>
        <n v="3.1749987095882704"/>
        <n v="3.7209703247847044"/>
        <n v="2.9548004612785768"/>
        <n v="4.2054661898731354"/>
        <n v="3.4507059338578689"/>
        <n v="3.509424811472424"/>
        <n v="3.8541072116282784"/>
        <n v="3.616608065631751"/>
        <n v="3.9765683169566226"/>
        <n v="3.6435620826009121"/>
        <n v="3.1937813126797812"/>
        <n v="3.6807517626030508"/>
        <n v="2.928136896339669"/>
        <n v="3.5542798528882615"/>
        <n v="3.4833850046777695"/>
        <n v="3.3959415713637302"/>
        <n v="3.4357312442805346"/>
        <n v="2.5590754772511803"/>
        <n v="3.2256375461295193"/>
        <n v="3.5799281959987002"/>
        <n v="2.9861624295370208"/>
        <n v="4.1328539204323507"/>
        <n v="3.0669125758927498"/>
        <n v="3.9847286002633684"/>
        <n v="3.7135971809358423"/>
        <n v="3.1768863450780986"/>
        <n v="2.9031815841217599"/>
        <n v="3.9595770868050009"/>
        <n v="4.0002911590214891"/>
        <n v="3.1646898954616773"/>
        <n v="3.3749767427005235"/>
        <n v="3.6443468146399285"/>
        <n v="3.6301609193856104"/>
        <n v="3.432845629264726"/>
        <n v="3.9054041365798913"/>
        <n v="3.8967443602761067"/>
        <n v="2.6257340133809097"/>
        <n v="4.1521701214390765"/>
        <n v="2.6687540059821631"/>
        <n v="4.0162731021708282"/>
        <n v="2.9545167848924008"/>
        <n v="3.2945928560227076"/>
        <n v="2.9471476657570319"/>
        <n v="3.3925394848556323"/>
        <n v="3.3459828579071296"/>
        <n v="3.8898302661346698"/>
        <n v="4.155154373059804"/>
        <n v="4.197841905394978"/>
        <n v="3.218915986710849"/>
        <n v="3.3953890631277361"/>
        <n v="2.658280903889525"/>
        <n v="3.0970649667519057"/>
        <n v="3.9824258165487287"/>
        <n v="4.3077914117741161"/>
        <n v="32.037678704235532"/>
        <n v="3.4867971215205364"/>
        <n v="3.0951982400391769"/>
        <n v="3.7120305222320447"/>
        <n v="3.263080326464542"/>
        <n v="3.4927738645608604"/>
        <n v="3.5032111349054689"/>
        <n v="3.2818070547367157"/>
        <n v="3.4451950980370847"/>
        <n v="3.4558185203973322"/>
        <n v="3.3149944850589361"/>
        <n v="3.370601968666449"/>
        <n v="4.2993235852523588"/>
        <n v="3.7804597239706195"/>
        <n v="3.3522598409854196"/>
        <n v="3.8484772022553679"/>
        <n v="3.333090255121995"/>
        <n v="4.0865623187933204"/>
        <n v="3.6848210960990468"/>
        <n v="3.4463489279978856"/>
        <n v="3.723858462905139"/>
        <n v="2.7145619239657504"/>
        <n v="2.9366162655450974"/>
        <n v="2.9030374968004722"/>
        <n v="3.5714715473818535"/>
        <n v="4.3662574997425461"/>
        <n v="4.6156500730963161"/>
        <n v="3.8190255507203785"/>
        <n v="3.7504222374722285"/>
        <n v="2.5994711329236306"/>
        <n v="3.2286631001329891"/>
        <n v="3.1061081240458805"/>
        <n v="3.1895762008744422"/>
        <n v="3.4159280907076051"/>
        <n v="3.2639547111514364"/>
        <n v="2.510350094812106"/>
        <n v="3.8739551280587667"/>
        <n v="2.9636284871300966"/>
        <n v="3.6196234320555747"/>
        <n v="4.5370413348749867"/>
        <n v="3.0403077042067883"/>
        <n v="3.4915320310000002" u="1"/>
      </sharedItems>
    </cacheField>
    <cacheField name="GDP_Growth_Rate" numFmtId="0">
      <sharedItems containsSemiMixedTypes="0" containsString="0" containsNumber="1" minValue="0.28813808867049318" maxValue="4.5895387216947734"/>
    </cacheField>
    <cacheField name="GDP_Growth_Rate2" numFmtId="0">
      <sharedItems containsString="0" containsBlank="1" containsNumber="1" minValue="-0.51951215582082533" maxValue="49.126154216129159"/>
    </cacheField>
    <cacheField name="Unemployment_Rate" numFmtId="0">
      <sharedItems containsString="0" containsBlank="1" containsNumber="1" minValue="2.2029941887297184" maxValue="70.947199834424907"/>
    </cacheField>
    <cacheField name="Marketing_Spend" numFmtId="0">
      <sharedItems containsString="0" containsBlank="1" containsNumber="1" minValue="40177.280581985535" maxValue="1417209.4099074227"/>
    </cacheField>
    <cacheField name="Competitor_Sales" numFmtId="0">
      <sharedItems containsString="0" containsBlank="1" containsNumber="1" containsInteger="1" minValue="65" maxValue="1050"/>
    </cacheField>
    <cacheField name="Online_Interest_Index" numFmtId="0">
      <sharedItems containsString="0" containsBlank="1" containsNumber="1" minValue="20.567345021949677" maxValue="987.27157117321144"/>
    </cacheField>
    <cacheField name="Estimated Revenue" numFmtId="0">
      <sharedItems containsSemiMixedTypes="0" containsString="0" containsNumber="1" minValue="0" maxValue="300783936.674043"/>
    </cacheField>
    <cacheField name="Missing Data" numFmtId="0">
      <sharedItems/>
    </cacheField>
    <cacheField name="Months (Date)" numFmtId="0" databaseField="0">
      <fieldGroup base="0">
        <rangePr groupBy="months" startDate="2015-01-01T00:00:00" endDate="2055-12-28T00:00:00"/>
        <groupItems count="14">
          <s v="&lt;01-01-2015"/>
          <s v="Jan"/>
          <s v="Feb"/>
          <s v="Mar"/>
          <s v="Apr"/>
          <s v="May"/>
          <s v="Jun"/>
          <s v="Jul"/>
          <s v="Aug"/>
          <s v="Sep"/>
          <s v="Oct"/>
          <s v="Nov"/>
          <s v="Dec"/>
          <s v="&gt;28-12-2055"/>
        </groupItems>
      </fieldGroup>
    </cacheField>
    <cacheField name="Years (Date)" numFmtId="0" databaseField="0">
      <fieldGroup base="0">
        <rangePr groupBy="years" startDate="2015-01-01T00:00:00" endDate="2055-12-28T00:00:00"/>
        <groupItems count="43">
          <s v="&lt;01-01-2015"/>
          <s v="2015"/>
          <s v="2016"/>
          <s v="2017"/>
          <s v="2018"/>
          <s v="2019"/>
          <s v="202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gt;28-12-2055"/>
        </groupItems>
      </fieldGroup>
    </cacheField>
  </cacheFields>
  <extLst>
    <ext xmlns:x14="http://schemas.microsoft.com/office/spreadsheetml/2009/9/main" uri="{725AE2AE-9491-48be-B2B4-4EB974FC3084}">
      <x14:pivotCacheDefinition pivotCacheId="62769007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799.028131250001" createdVersion="8" refreshedVersion="8" minRefreshableVersion="3" recordCount="500" xr:uid="{C9933F77-8971-49D1-A22F-2C8340E199D6}">
  <cacheSource type="worksheet">
    <worksheetSource name="automotive_demand_forecasting_dataset5678"/>
  </cacheSource>
  <cacheFields count="17">
    <cacheField name="Date" numFmtId="14">
      <sharedItems containsSemiMixedTypes="0" containsNonDate="0" containsDate="1" containsString="0" minDate="2015-01-01T00:00:00" maxDate="2055-12-28T00:00:00"/>
    </cacheField>
    <cacheField name="Vehicle_Type" numFmtId="0">
      <sharedItems count="5">
        <s v="Sedan"/>
        <s v="Hatchback"/>
        <s v="SUV"/>
        <s v="Electric"/>
        <s v="Truck"/>
      </sharedItems>
    </cacheField>
    <cacheField name="Monthy_Sale" numFmtId="0">
      <sharedItems/>
    </cacheField>
    <cacheField name="Season" numFmtId="0">
      <sharedItems count="4">
        <s v="Winter"/>
        <s v="Spring"/>
        <s v="Summer"/>
        <s v="Autumn"/>
      </sharedItems>
    </cacheField>
    <cacheField name="Units_Sold" numFmtId="0">
      <sharedItems containsString="0" containsBlank="1" containsNumber="1" containsInteger="1" minValue="69" maxValue="1160"/>
    </cacheField>
    <cacheField name="Unit_Sold Z Score" numFmtId="0">
      <sharedItems containsSemiMixedTypes="0" containsString="0" containsNumber="1" minValue="-0.80070290024809565" maxValue="6.454473847600954"/>
    </cacheField>
    <cacheField name="Region" numFmtId="0">
      <sharedItems count="4">
        <s v="South"/>
        <s v="East"/>
        <s v="North"/>
        <s v="West"/>
      </sharedItems>
    </cacheField>
    <cacheField name="Average_Price" numFmtId="0">
      <sharedItems containsString="0" containsBlank="1" containsNumber="1" minValue="15518.723109031554" maxValue="369510.37745086564"/>
    </cacheField>
    <cacheField name="Fuel_Price" numFmtId="0">
      <sharedItems containsString="0" containsBlank="1" containsNumber="1" minValue="2.0393247582526963" maxValue="45.28747734855849"/>
    </cacheField>
    <cacheField name="GDP_Growth_Rate" numFmtId="0">
      <sharedItems containsSemiMixedTypes="0" containsString="0" containsNumber="1" minValue="0.28813808867049318" maxValue="4.5895387216947734"/>
    </cacheField>
    <cacheField name="GDP_Growth_Rate2" numFmtId="0">
      <sharedItems containsString="0" containsBlank="1" containsNumber="1" minValue="-0.51951215582082533" maxValue="49.126154216129159"/>
    </cacheField>
    <cacheField name="Unemployment_Rate" numFmtId="0">
      <sharedItems containsString="0" containsBlank="1" containsNumber="1" minValue="2.2029941887297184" maxValue="70.947199834424907"/>
    </cacheField>
    <cacheField name="Marketing_Spend" numFmtId="0">
      <sharedItems containsString="0" containsBlank="1" containsNumber="1" minValue="40177.280581985535" maxValue="1417209.4099074227"/>
    </cacheField>
    <cacheField name="Competitor_Sales" numFmtId="0">
      <sharedItems containsString="0" containsBlank="1" containsNumber="1" containsInteger="1" minValue="65" maxValue="1050"/>
    </cacheField>
    <cacheField name="Online_Interest_Index" numFmtId="0">
      <sharedItems containsString="0" containsBlank="1" containsNumber="1" minValue="20.567345021949677" maxValue="987.27157117321144"/>
    </cacheField>
    <cacheField name="Estimated Revenue" numFmtId="0">
      <sharedItems containsSemiMixedTypes="0" containsString="0" containsNumber="1" minValue="0" maxValue="300783936.674043"/>
    </cacheField>
    <cacheField name="Missing Data" numFmtId="0">
      <sharedItems/>
    </cacheField>
  </cacheFields>
  <extLst>
    <ext xmlns:x14="http://schemas.microsoft.com/office/spreadsheetml/2009/9/main" uri="{725AE2AE-9491-48be-B2B4-4EB974FC3084}">
      <x14:pivotCacheDefinition pivotCacheId="78638119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799.028131597224" createdVersion="8" refreshedVersion="8" minRefreshableVersion="3" recordCount="500" xr:uid="{32084FF0-2F56-405C-AE49-DCA7066451BF}">
  <cacheSource type="worksheet">
    <worksheetSource name="Table11"/>
  </cacheSource>
  <cacheFields count="16">
    <cacheField name="Date" numFmtId="14">
      <sharedItems containsSemiMixedTypes="0" containsNonDate="0" containsDate="1" containsString="0" minDate="2015-01-01T00:00:00" maxDate="2055-12-28T00:00:00"/>
    </cacheField>
    <cacheField name="Vehicle_Type" numFmtId="0">
      <sharedItems count="5">
        <s v="Sedan"/>
        <s v="Hatchback"/>
        <s v="SUV"/>
        <s v="Electric"/>
        <s v="Truck"/>
      </sharedItems>
    </cacheField>
    <cacheField name="Monthy_Sale" numFmtId="0">
      <sharedItems count="12">
        <s v="January"/>
        <s v="March"/>
        <s v="April"/>
        <s v="May"/>
        <s v="June"/>
        <s v="July"/>
        <s v="August"/>
        <s v="September"/>
        <s v="October"/>
        <s v="November"/>
        <s v="December"/>
        <s v="February"/>
      </sharedItems>
    </cacheField>
    <cacheField name="Units_Sold" numFmtId="0">
      <sharedItems containsSemiMixedTypes="0" containsString="0" containsNumber="1" containsInteger="1" minValue="75" maxValue="127"/>
    </cacheField>
    <cacheField name="Forecasted_Units" numFmtId="1">
      <sharedItems containsSemiMixedTypes="0" containsString="0" containsNumber="1" minValue="99.077532934131725" maxValue="99.658467065868251"/>
    </cacheField>
    <cacheField name="Daily_Production" numFmtId="0">
      <sharedItems containsSemiMixedTypes="0" containsString="0" containsNumber="1" containsInteger="1" minValue="150" maxValue="250"/>
    </cacheField>
    <cacheField name="Inventory_On_Hand" numFmtId="1">
      <sharedItems containsSemiMixedTypes="0" containsString="0" containsNumber="1" minValue="50.341532934131749" maxValue="150.91897447589793"/>
    </cacheField>
    <cacheField name="Lead_Time" numFmtId="0">
      <sharedItems containsSemiMixedTypes="0" containsString="0" containsNumber="1" containsInteger="1" minValue="5" maxValue="13"/>
    </cacheField>
    <cacheField name="Production_Capacity" numFmtId="0">
      <sharedItems containsSemiMixedTypes="0" containsString="0" containsNumber="1" containsInteger="1" minValue="3300" maxValue="5500"/>
    </cacheField>
    <cacheField name="Safety_Stock" numFmtId="2">
      <sharedItems containsSemiMixedTypes="0" containsString="0" containsNumber="1" minValue="9.9077532934131725" maxValue="9.9658467065868255"/>
    </cacheField>
    <cacheField name="Production_Needed" numFmtId="1">
      <sharedItems containsSemiMixedTypes="0" containsString="0" containsNumber="1" minValue="-61.291453892215586" maxValue="59.282780838323333"/>
    </cacheField>
    <cacheField name="Planned_Production" numFmtId="1">
      <sharedItems containsSemiMixedTypes="0" containsString="0" containsNumber="1" minValue="-61.291453892215586" maxValue="59.282780838323333"/>
    </cacheField>
    <cacheField name="Backlog" numFmtId="1">
      <sharedItems containsSemiMixedTypes="0" containsString="0" containsNumber="1" containsInteger="1" minValue="0" maxValue="0"/>
    </cacheField>
    <cacheField name="Inventory_After" numFmtId="1">
      <sharedItems containsSemiMixedTypes="0" containsString="0" containsNumber="1" minValue="-59.46537974631898" maxValue="29.732340614162453"/>
    </cacheField>
    <cacheField name="Adjustment_Percentage" numFmtId="0">
      <sharedItems containsSemiMixedTypes="0" containsString="0" containsNumber="1" minValue="-0.7" maxValue="0.2"/>
    </cacheField>
    <cacheField name="Adjusted_Forecast" numFmtId="1">
      <sharedItems containsSemiMixedTypes="0" containsString="0" containsNumber="1" minValue="29.723259880239521" maxValue="118.92936245664981"/>
    </cacheField>
  </cacheFields>
  <extLst>
    <ext xmlns:x14="http://schemas.microsoft.com/office/spreadsheetml/2009/9/main" uri="{725AE2AE-9491-48be-B2B4-4EB974FC3084}">
      <x14:pivotCacheDefinition pivotCacheId="65757163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799.028132291663" createdVersion="8" refreshedVersion="8" minRefreshableVersion="3" recordCount="500" xr:uid="{7D7D539D-3B0C-459F-B62B-0A4F2E8C6246}">
  <cacheSource type="worksheet">
    <worksheetSource name="Table12"/>
  </cacheSource>
  <cacheFields count="8">
    <cacheField name="Date" numFmtId="14">
      <sharedItems containsSemiMixedTypes="0" containsNonDate="0" containsDate="1" containsString="0" minDate="2015-01-01T00:00:00" maxDate="2055-12-28T00:00:00"/>
    </cacheField>
    <cacheField name="Vehicle_Type" numFmtId="0">
      <sharedItems count="5">
        <s v="Sedan"/>
        <s v="Hatchback"/>
        <s v="SUV"/>
        <s v="Electric"/>
        <s v="Truck"/>
      </sharedItems>
    </cacheField>
    <cacheField name="Region" numFmtId="0">
      <sharedItems/>
    </cacheField>
    <cacheField name="Sales_Rep_Name" numFmtId="0">
      <sharedItems containsBlank="1"/>
    </cacheField>
    <cacheField name="Feedback_Type" numFmtId="0">
      <sharedItems containsBlank="1" count="6">
        <s v="Demand Drop"/>
        <s v="Stock Shortage"/>
        <s v="Demand Spike"/>
        <s v="Competitor Price Drop"/>
        <s v="Seasonal Trend"/>
        <m/>
      </sharedItems>
    </cacheField>
    <cacheField name="Feedback_Comment" numFmtId="0">
      <sharedItems containsBlank="1"/>
    </cacheField>
    <cacheField name="Adjustment_Suggestion" numFmtId="0">
      <sharedItems containsBlank="1"/>
    </cacheField>
    <cacheField name="Feedback_Adjustment" numFmtId="0">
      <sharedItems containsString="0" containsBlank="1" containsNumber="1" minValue="-0.7" maxValue="0.2"/>
    </cacheField>
  </cacheFields>
  <extLst>
    <ext xmlns:x14="http://schemas.microsoft.com/office/spreadsheetml/2009/9/main" uri="{725AE2AE-9491-48be-B2B4-4EB974FC3084}">
      <x14:pivotCacheDefinition pivotCacheId="144699981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799.028132523148" createdVersion="8" refreshedVersion="8" minRefreshableVersion="3" recordCount="500" xr:uid="{E98FB3EC-DD94-493D-8D7B-7194A23D79F1}">
  <cacheSource type="worksheet">
    <worksheetSource name="Table13"/>
  </cacheSource>
  <cacheFields count="7">
    <cacheField name="Date" numFmtId="14">
      <sharedItems containsSemiMixedTypes="0" containsNonDate="0" containsDate="1" containsString="0" minDate="2015-01-01T00:00:00" maxDate="2055-12-28T00:00:00"/>
    </cacheField>
    <cacheField name="Month" numFmtId="0">
      <sharedItems count="12">
        <s v="January"/>
        <s v="March"/>
        <s v="April"/>
        <s v="May"/>
        <s v="June"/>
        <s v="July"/>
        <s v="August"/>
        <s v="September"/>
        <s v="October"/>
        <s v="November"/>
        <s v="December"/>
        <s v="February"/>
      </sharedItems>
    </cacheField>
    <cacheField name="Vehicle_type" numFmtId="0">
      <sharedItems count="5">
        <s v="Sedan"/>
        <s v="Hatchback"/>
        <s v="SUV"/>
        <s v="Electric"/>
        <s v="Truck"/>
      </sharedItems>
    </cacheField>
    <cacheField name="Units_Sold" numFmtId="0">
      <sharedItems containsSemiMixedTypes="0" containsString="0" containsNumber="1" containsInteger="1" minValue="75" maxValue="127"/>
    </cacheField>
    <cacheField name="Forecasted_Units" numFmtId="1">
      <sharedItems containsSemiMixedTypes="0" containsString="0" containsNumber="1" minValue="99.077532934131725" maxValue="99.658467065868251"/>
    </cacheField>
    <cacheField name="Adjusted_Forecast" numFmtId="1">
      <sharedItems containsSemiMixedTypes="0" containsString="0" containsNumber="1" minValue="29.723259880239521" maxValue="118.92936245664981"/>
    </cacheField>
    <cacheField name="Accuracy (%)" numFmtId="10">
      <sharedItems containsSemiMixedTypes="0" containsString="0" containsNumber="1" minValue="0.2753026840107361" maxValue="0.99754698121822793"/>
    </cacheField>
  </cacheFields>
  <extLst>
    <ext xmlns:x14="http://schemas.microsoft.com/office/spreadsheetml/2009/9/main" uri="{725AE2AE-9491-48be-B2B4-4EB974FC3084}">
      <x14:pivotCacheDefinition pivotCacheId="28874454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799.028132754633" createdVersion="8" refreshedVersion="8" minRefreshableVersion="3" recordCount="500" xr:uid="{CD203ABA-0E35-4A40-AB38-36BDF74388FB}">
  <cacheSource type="worksheet">
    <worksheetSource name="Table9"/>
  </cacheSource>
  <cacheFields count="9">
    <cacheField name="Date" numFmtId="14">
      <sharedItems containsSemiMixedTypes="0" containsNonDate="0" containsDate="1" containsString="0" minDate="2015-01-01T00:00:00" maxDate="2055-12-28T00:00:00"/>
    </cacheField>
    <cacheField name="Month" numFmtId="0">
      <sharedItems count="12">
        <s v="Jan"/>
        <s v="Mar"/>
        <s v="Apr"/>
        <s v="May"/>
        <s v="Jun"/>
        <s v="Jul"/>
        <s v="Aug"/>
        <s v="Sep"/>
        <s v="Oct"/>
        <s v="Nov"/>
        <s v="Dec"/>
        <s v="Feb"/>
      </sharedItems>
    </cacheField>
    <cacheField name="Year" numFmtId="0">
      <sharedItems containsSemiMixedTypes="0" containsString="0" containsNumber="1" containsInteger="1" minValue="2015" maxValue="2055"/>
    </cacheField>
    <cacheField name="Vehicle_Type" numFmtId="0">
      <sharedItems count="5">
        <s v="Sedan"/>
        <s v="Hatchback"/>
        <s v="SUV"/>
        <s v="Electric"/>
        <s v="Truck"/>
      </sharedItems>
    </cacheField>
    <cacheField name="Units_Sold" numFmtId="0">
      <sharedItems containsSemiMixedTypes="0" containsString="0" containsNumber="1" containsInteger="1" minValue="75" maxValue="127"/>
    </cacheField>
    <cacheField name="Marketing_Spend" numFmtId="0">
      <sharedItems containsSemiMixedTypes="0" containsString="0" containsNumber="1" minValue="40177.280581985535" maxValue="148233.53351156841"/>
    </cacheField>
    <cacheField name="Forecasted_Units" numFmtId="1">
      <sharedItems containsSemiMixedTypes="0" containsString="0" containsNumber="1" minValue="99.077532934131725" maxValue="99.658467065868251"/>
    </cacheField>
    <cacheField name="Error" numFmtId="0">
      <sharedItems containsSemiMixedTypes="0" containsString="0" containsNumber="1" minValue="-24.602585626342503" maxValue="27.856107856431436"/>
    </cacheField>
    <cacheField name="% Error" numFmtId="10">
      <sharedItems containsSemiMixedTypes="0" containsString="0" containsNumber="1" minValue="-0.32803447501790006" maxValue="0.21933943194040501"/>
    </cacheField>
  </cacheFields>
  <extLst>
    <ext xmlns:x14="http://schemas.microsoft.com/office/spreadsheetml/2009/9/main" uri="{725AE2AE-9491-48be-B2B4-4EB974FC3084}">
      <x14:pivotCacheDefinition pivotCacheId="974106100"/>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799.028133449072" createdVersion="8" refreshedVersion="8" minRefreshableVersion="3" recordCount="500" xr:uid="{C600BC1F-7597-46BE-A499-326D081E1857}">
  <cacheSource type="worksheet">
    <worksheetSource name="automotive_demand_forecasting_dataset56"/>
  </cacheSource>
  <cacheFields count="12">
    <cacheField name="Date" numFmtId="14">
      <sharedItems containsSemiMixedTypes="0" containsNonDate="0" containsDate="1" containsString="0" minDate="2015-01-01T00:00:00" maxDate="2055-12-28T00:00:00"/>
    </cacheField>
    <cacheField name="Vehicle_Type" numFmtId="0">
      <sharedItems count="5">
        <s v="Sedan"/>
        <s v="Hatchback"/>
        <s v="SUV"/>
        <s v="Electric"/>
        <s v="Truck"/>
      </sharedItems>
    </cacheField>
    <cacheField name="Units_Sold" numFmtId="0">
      <sharedItems containsString="0" containsBlank="1" containsNumber="1" containsInteger="1" minValue="69" maxValue="1160"/>
    </cacheField>
    <cacheField name="Unit_Sold Z Score" numFmtId="0">
      <sharedItems containsSemiMixedTypes="0" containsString="0" containsNumber="1" minValue="-0.80070290024809565" maxValue="6.454473847600954"/>
    </cacheField>
    <cacheField name="Average_Price" numFmtId="0">
      <sharedItems containsString="0" containsBlank="1" containsNumber="1" minValue="15518.723109031554" maxValue="369510.37745086564"/>
    </cacheField>
    <cacheField name="Fuel_Price" numFmtId="0">
      <sharedItems containsString="0" containsBlank="1" containsNumber="1" minValue="2.0393247582526963" maxValue="45.28747734855849"/>
    </cacheField>
    <cacheField name="GDP_Growth_Rate" numFmtId="0">
      <sharedItems containsString="0" containsBlank="1" containsNumber="1" minValue="-0.51951215582082533" maxValue="49.126154216129159"/>
    </cacheField>
    <cacheField name="Unemployment_Rate" numFmtId="0">
      <sharedItems containsString="0" containsBlank="1" containsNumber="1" minValue="2.2029941887297184" maxValue="70.947199834424907"/>
    </cacheField>
    <cacheField name="Marketing_Spend" numFmtId="0">
      <sharedItems containsString="0" containsBlank="1" containsNumber="1" minValue="40177.280581985535" maxValue="1417209.4099074227"/>
    </cacheField>
    <cacheField name="Competitor_Sales" numFmtId="0">
      <sharedItems containsString="0" containsBlank="1" containsNumber="1" containsInteger="1" minValue="65" maxValue="1050"/>
    </cacheField>
    <cacheField name="Online_Interest_Index" numFmtId="0">
      <sharedItems containsString="0" containsBlank="1" containsNumber="1" minValue="20.567345021949677" maxValue="987.27157117321144"/>
    </cacheField>
    <cacheField name="Missing Data" numFmtId="0">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800.486005439816" createdVersion="8" refreshedVersion="8" minRefreshableVersion="3" recordCount="500" xr:uid="{1787CB7D-64D2-4457-B01A-1F07C3B8A130}">
  <cacheSource type="worksheet">
    <worksheetSource name="Table16"/>
  </cacheSource>
  <cacheFields count="10">
    <cacheField name="Date" numFmtId="14">
      <sharedItems containsSemiMixedTypes="0" containsNonDate="0" containsDate="1" containsString="0" minDate="2015-01-01T00:00:00" maxDate="2055-12-28T00:00:00"/>
    </cacheField>
    <cacheField name="Vehicle_Type" numFmtId="0">
      <sharedItems count="5">
        <s v="Sedan"/>
        <s v="Hatchback"/>
        <s v="SUV"/>
        <s v="Electric"/>
        <s v="Truck"/>
      </sharedItems>
    </cacheField>
    <cacheField name="Region" numFmtId="0">
      <sharedItems count="4">
        <s v="South"/>
        <s v="North"/>
        <s v="East"/>
        <s v="West"/>
      </sharedItems>
    </cacheField>
    <cacheField name="Month" numFmtId="0">
      <sharedItems/>
    </cacheField>
    <cacheField name="Units_Sold" numFmtId="0">
      <sharedItems containsSemiMixedTypes="0" containsString="0" containsNumber="1" containsInteger="1" minValue="75" maxValue="124"/>
    </cacheField>
    <cacheField name="Marketing_Campaign" numFmtId="0">
      <sharedItems count="12">
        <s v="NewYearSale"/>
        <s v="SpringPromo"/>
        <s v="BloomingDeal"/>
        <s v="Savings Be Wid You"/>
        <s v="SunshineSavings"/>
        <s v="SummerSale"/>
        <s v="SummerFinale"/>
        <s v="Autumn Arrivals"/>
        <s v="Halloween Haul"/>
        <s v="November Nirvana"/>
        <s v="Winter Wonderland"/>
        <s v="Valentine'sDrive"/>
      </sharedItems>
    </cacheField>
    <cacheField name="Marketing_Spend" numFmtId="0">
      <sharedItems containsSemiMixedTypes="0" containsString="0" containsNumber="1" minValue="40177.280581985535" maxValue="148233.53351156841"/>
    </cacheField>
    <cacheField name="Campaign_Channel" numFmtId="0">
      <sharedItems count="5">
        <s v="Billboards"/>
        <s v="Online"/>
        <s v="Radio"/>
        <s v="TV"/>
        <s v="Print"/>
      </sharedItems>
    </cacheField>
    <cacheField name="Online_Interest_Index" numFmtId="0">
      <sharedItems containsSemiMixedTypes="0" containsString="0" containsNumber="1" minValue="20.567345021949677" maxValue="99.948024037776008"/>
    </cacheField>
    <cacheField name="Cost per Unit Sold:" numFmtId="0">
      <sharedItems containsSemiMixedTypes="0" containsString="0" containsNumber="1" minValue="456.38829513461707" maxValue="1777.6139662229582"/>
    </cacheField>
  </cacheFields>
  <extLst>
    <ext xmlns:x14="http://schemas.microsoft.com/office/spreadsheetml/2009/9/main" uri="{725AE2AE-9491-48be-B2B4-4EB974FC3084}">
      <x14:pivotCacheDefinition pivotCacheId="1642479623"/>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hya Singh" refreshedDate="45805.393191898147" createdVersion="8" refreshedVersion="8" minRefreshableVersion="3" recordCount="500" xr:uid="{06CD92AA-76B7-4D81-942D-2DB0DAD9533A}">
  <cacheSource type="worksheet">
    <worksheetSource name="Table17"/>
  </cacheSource>
  <cacheFields count="8">
    <cacheField name="Date" numFmtId="14">
      <sharedItems containsSemiMixedTypes="0" containsNonDate="0" containsDate="1" containsString="0" minDate="2015-01-01T00:00:00" maxDate="2055-12-28T00:00:00" count="500">
        <d v="2015-01-01T00:00:00"/>
        <d v="2015-01-31T00:00:00"/>
        <d v="2015-03-02T00:00:00"/>
        <d v="2015-04-01T00:00:00"/>
        <d v="2015-05-01T00:00:00"/>
        <d v="2015-05-31T00:00:00"/>
        <d v="2015-06-30T00:00:00"/>
        <d v="2015-07-30T00:00:00"/>
        <d v="2015-08-29T00:00:00"/>
        <d v="2015-09-28T00:00:00"/>
        <d v="2015-10-28T00:00:00"/>
        <d v="2015-11-27T00:00:00"/>
        <d v="2015-12-27T00:00:00"/>
        <d v="2016-01-26T00:00:00"/>
        <d v="2016-02-25T00:00:00"/>
        <d v="2016-03-26T00:00:00"/>
        <d v="2016-04-25T00:00:00"/>
        <d v="2016-05-25T00:00:00"/>
        <d v="2016-06-24T00:00:00"/>
        <d v="2016-07-24T00:00:00"/>
        <d v="2016-08-23T00:00:00"/>
        <d v="2016-09-22T00:00:00"/>
        <d v="2016-10-22T00:00:00"/>
        <d v="2016-11-21T00:00:00"/>
        <d v="2016-12-21T00:00:00"/>
        <d v="2017-01-20T00:00:00"/>
        <d v="2017-02-19T00:00:00"/>
        <d v="2017-03-21T00:00:00"/>
        <d v="2017-04-20T00:00:00"/>
        <d v="2017-05-20T00:00:00"/>
        <d v="2017-06-19T00:00:00"/>
        <d v="2017-07-19T00:00:00"/>
        <d v="2017-08-18T00:00:00"/>
        <d v="2017-09-17T00:00:00"/>
        <d v="2017-10-17T00:00:00"/>
        <d v="2017-11-16T00:00:00"/>
        <d v="2017-12-16T00:00:00"/>
        <d v="2018-01-15T00:00:00"/>
        <d v="2018-02-14T00:00:00"/>
        <d v="2018-03-16T00:00:00"/>
        <d v="2018-04-15T00:00:00"/>
        <d v="2018-05-15T00:00:00"/>
        <d v="2018-06-14T00:00:00"/>
        <d v="2018-07-14T00:00:00"/>
        <d v="2018-08-13T00:00:00"/>
        <d v="2018-09-12T00:00:00"/>
        <d v="2018-10-12T00:00:00"/>
        <d v="2018-11-11T00:00:00"/>
        <d v="2018-12-11T00:00:00"/>
        <d v="2019-01-10T00:00:00"/>
        <d v="2019-02-09T00:00:00"/>
        <d v="2019-03-11T00:00:00"/>
        <d v="2019-04-10T00:00:00"/>
        <d v="2019-05-10T00:00:00"/>
        <d v="2019-06-09T00:00:00"/>
        <d v="2019-07-09T00:00:00"/>
        <d v="2019-08-08T00:00:00"/>
        <d v="2019-09-07T00:00:00"/>
        <d v="2019-10-07T00:00:00"/>
        <d v="2019-11-06T00:00:00"/>
        <d v="2019-12-06T00:00:00"/>
        <d v="2020-01-05T00:00:00"/>
        <d v="2020-02-04T00:00:00"/>
        <d v="2020-03-05T00:00:00"/>
        <d v="2020-04-04T00:00:00"/>
        <d v="2020-05-04T00:00:00"/>
        <d v="2020-06-03T00:00:00"/>
        <d v="2020-07-03T00:00:00"/>
        <d v="2020-08-02T00:00:00"/>
        <d v="2020-09-01T00:00:00"/>
        <d v="2020-10-01T00:00:00"/>
        <d v="2020-10-31T00:00:00"/>
        <d v="2020-11-30T00:00:00"/>
        <d v="2020-12-30T00:00:00"/>
        <d v="2021-01-29T00:00:00"/>
        <d v="2021-02-28T00:00:00"/>
        <d v="2021-03-30T00:00:00"/>
        <d v="2021-04-29T00:00:00"/>
        <d v="2021-05-29T00:00:00"/>
        <d v="2021-06-28T00:00:00"/>
        <d v="2021-07-28T00:00:00"/>
        <d v="2021-08-27T00:00:00"/>
        <d v="2021-09-26T00:00:00"/>
        <d v="2021-10-26T00:00:00"/>
        <d v="2021-11-25T00:00:00"/>
        <d v="2021-12-25T00:00:00"/>
        <d v="2022-01-24T00:00:00"/>
        <d v="2022-02-23T00:00:00"/>
        <d v="2022-03-25T00:00:00"/>
        <d v="2022-04-24T00:00:00"/>
        <d v="2022-05-24T00:00:00"/>
        <d v="2022-06-23T00:00:00"/>
        <d v="2022-07-23T00:00:00"/>
        <d v="2022-08-22T00:00:00"/>
        <d v="2022-09-21T00:00:00"/>
        <d v="2022-10-21T00:00:00"/>
        <d v="2022-11-20T00:00:00"/>
        <d v="2022-12-20T00:00:00"/>
        <d v="2023-01-19T00:00:00"/>
        <d v="2023-02-18T00:00:00"/>
        <d v="2023-03-20T00:00:00"/>
        <d v="2023-04-19T00:00:00"/>
        <d v="2023-05-19T00:00:00"/>
        <d v="2023-06-18T00:00:00"/>
        <d v="2023-07-18T00:00:00"/>
        <d v="2023-08-17T00:00:00"/>
        <d v="2023-09-16T00:00:00"/>
        <d v="2023-10-16T00:00:00"/>
        <d v="2023-11-15T00:00:00"/>
        <d v="2023-12-15T00:00:00"/>
        <d v="2024-01-14T00:00:00"/>
        <d v="2024-02-13T00:00:00"/>
        <d v="2024-03-14T00:00:00"/>
        <d v="2024-04-13T00:00:00"/>
        <d v="2024-05-13T00:00:00"/>
        <d v="2024-06-12T00:00:00"/>
        <d v="2024-07-12T00:00:00"/>
        <d v="2024-08-11T00:00:00"/>
        <d v="2024-09-10T00:00:00"/>
        <d v="2024-10-10T00:00:00"/>
        <d v="2024-11-09T00:00:00"/>
        <d v="2024-12-09T00:00:00"/>
        <d v="2025-01-08T00:00:00"/>
        <d v="2025-02-07T00:00:00"/>
        <d v="2025-03-09T00:00:00"/>
        <d v="2025-04-08T00:00:00"/>
        <d v="2025-05-08T00:00:00"/>
        <d v="2025-06-07T00:00:00"/>
        <d v="2025-07-07T00:00:00"/>
        <d v="2025-08-06T00:00:00"/>
        <d v="2025-09-05T00:00:00"/>
        <d v="2025-10-05T00:00:00"/>
        <d v="2025-11-04T00:00:00"/>
        <d v="2025-12-04T00:00:00"/>
        <d v="2026-01-03T00:00:00"/>
        <d v="2026-02-02T00:00:00"/>
        <d v="2026-03-04T00:00:00"/>
        <d v="2026-04-03T00:00:00"/>
        <d v="2026-05-03T00:00:00"/>
        <d v="2026-06-02T00:00:00"/>
        <d v="2026-07-02T00:00:00"/>
        <d v="2026-08-01T00:00:00"/>
        <d v="2026-08-31T00:00:00"/>
        <d v="2026-09-30T00:00:00"/>
        <d v="2026-10-30T00:00:00"/>
        <d v="2026-11-29T00:00:00"/>
        <d v="2026-12-29T00:00:00"/>
        <d v="2027-01-28T00:00:00"/>
        <d v="2027-02-27T00:00:00"/>
        <d v="2027-03-29T00:00:00"/>
        <d v="2027-04-28T00:00:00"/>
        <d v="2027-05-28T00:00:00"/>
        <d v="2027-06-27T00:00:00"/>
        <d v="2027-07-27T00:00:00"/>
        <d v="2027-08-26T00:00:00"/>
        <d v="2027-09-25T00:00:00"/>
        <d v="2027-10-25T00:00:00"/>
        <d v="2027-11-24T00:00:00"/>
        <d v="2027-12-24T00:00:00"/>
        <d v="2028-01-23T00:00:00"/>
        <d v="2028-02-22T00:00:00"/>
        <d v="2028-03-23T00:00:00"/>
        <d v="2028-04-22T00:00:00"/>
        <d v="2028-05-22T00:00:00"/>
        <d v="2028-06-21T00:00:00"/>
        <d v="2028-07-21T00:00:00"/>
        <d v="2028-08-20T00:00:00"/>
        <d v="2028-09-19T00:00:00"/>
        <d v="2028-10-19T00:00:00"/>
        <d v="2028-11-18T00:00:00"/>
        <d v="2028-12-18T00:00:00"/>
        <d v="2029-01-17T00:00:00"/>
        <d v="2029-02-16T00:00:00"/>
        <d v="2029-03-18T00:00:00"/>
        <d v="2029-04-17T00:00:00"/>
        <d v="2029-05-17T00:00:00"/>
        <d v="2029-06-16T00:00:00"/>
        <d v="2029-07-16T00:00:00"/>
        <d v="2029-08-15T00:00:00"/>
        <d v="2029-09-14T00:00:00"/>
        <d v="2029-10-14T00:00:00"/>
        <d v="2029-11-13T00:00:00"/>
        <d v="2029-12-13T00:00:00"/>
        <d v="2030-01-12T00:00:00"/>
        <d v="2030-02-11T00:00:00"/>
        <d v="2030-03-13T00:00:00"/>
        <d v="2030-04-12T00:00:00"/>
        <d v="2030-05-12T00:00:00"/>
        <d v="2030-06-11T00:00:00"/>
        <d v="2030-07-11T00:00:00"/>
        <d v="2030-08-10T00:00:00"/>
        <d v="2030-09-09T00:00:00"/>
        <d v="2030-10-09T00:00:00"/>
        <d v="2030-11-08T00:00:00"/>
        <d v="2030-12-08T00:00:00"/>
        <d v="2031-01-07T00:00:00"/>
        <d v="2031-02-06T00:00:00"/>
        <d v="2031-03-08T00:00:00"/>
        <d v="2031-04-07T00:00:00"/>
        <d v="2031-05-07T00:00:00"/>
        <d v="2031-06-06T00:00:00"/>
        <d v="2031-07-06T00:00:00"/>
        <d v="2031-08-05T00:00:00"/>
        <d v="2031-09-04T00:00:00"/>
        <d v="2031-10-04T00:00:00"/>
        <d v="2031-11-03T00:00:00"/>
        <d v="2031-12-03T00:00:00"/>
        <d v="2032-01-02T00:00:00"/>
        <d v="2032-02-01T00:00:00"/>
        <d v="2032-03-02T00:00:00"/>
        <d v="2032-04-01T00:00:00"/>
        <d v="2032-05-01T00:00:00"/>
        <d v="2032-05-31T00:00:00"/>
        <d v="2032-06-30T00:00:00"/>
        <d v="2032-07-30T00:00:00"/>
        <d v="2032-08-29T00:00:00"/>
        <d v="2032-09-28T00:00:00"/>
        <d v="2032-10-28T00:00:00"/>
        <d v="2032-11-27T00:00:00"/>
        <d v="2032-12-27T00:00:00"/>
        <d v="2033-01-26T00:00:00"/>
        <d v="2033-02-25T00:00:00"/>
        <d v="2033-03-27T00:00:00"/>
        <d v="2033-04-26T00:00:00"/>
        <d v="2033-05-26T00:00:00"/>
        <d v="2033-06-25T00:00:00"/>
        <d v="2033-07-25T00:00:00"/>
        <d v="2033-08-24T00:00:00"/>
        <d v="2033-09-23T00:00:00"/>
        <d v="2033-10-23T00:00:00"/>
        <d v="2033-11-22T00:00:00"/>
        <d v="2033-12-22T00:00:00"/>
        <d v="2034-01-21T00:00:00"/>
        <d v="2034-02-20T00:00:00"/>
        <d v="2034-03-22T00:00:00"/>
        <d v="2034-04-21T00:00:00"/>
        <d v="2034-05-21T00:00:00"/>
        <d v="2034-06-20T00:00:00"/>
        <d v="2034-07-20T00:00:00"/>
        <d v="2034-08-19T00:00:00"/>
        <d v="2034-09-18T00:00:00"/>
        <d v="2034-10-18T00:00:00"/>
        <d v="2034-11-17T00:00:00"/>
        <d v="2034-12-17T00:00:00"/>
        <d v="2035-01-16T00:00:00"/>
        <d v="2035-02-15T00:00:00"/>
        <d v="2035-03-17T00:00:00"/>
        <d v="2035-04-16T00:00:00"/>
        <d v="2035-05-16T00:00:00"/>
        <d v="2035-06-15T00:00:00"/>
        <d v="2035-07-15T00:00:00"/>
        <d v="2035-08-14T00:00:00"/>
        <d v="2035-09-13T00:00:00"/>
        <d v="2035-10-13T00:00:00"/>
        <d v="2035-11-12T00:00:00"/>
        <d v="2035-12-12T00:00:00"/>
        <d v="2036-01-11T00:00:00"/>
        <d v="2036-02-10T00:00:00"/>
        <d v="2036-03-11T00:00:00"/>
        <d v="2036-04-10T00:00:00"/>
        <d v="2036-05-10T00:00:00"/>
        <d v="2036-06-09T00:00:00"/>
        <d v="2036-07-09T00:00:00"/>
        <d v="2036-08-08T00:00:00"/>
        <d v="2036-09-07T00:00:00"/>
        <d v="2036-10-07T00:00:00"/>
        <d v="2036-11-06T00:00:00"/>
        <d v="2036-12-06T00:00:00"/>
        <d v="2037-01-05T00:00:00"/>
        <d v="2037-02-04T00:00:00"/>
        <d v="2037-03-06T00:00:00"/>
        <d v="2037-04-05T00:00:00"/>
        <d v="2037-05-05T00:00:00"/>
        <d v="2037-06-04T00:00:00"/>
        <d v="2037-07-04T00:00:00"/>
        <d v="2037-08-03T00:00:00"/>
        <d v="2037-09-02T00:00:00"/>
        <d v="2037-10-02T00:00:00"/>
        <d v="2037-11-01T00:00:00"/>
        <d v="2037-12-01T00:00:00"/>
        <d v="2037-12-31T00:00:00"/>
        <d v="2038-01-30T00:00:00"/>
        <d v="2038-03-01T00:00:00"/>
        <d v="2038-03-31T00:00:00"/>
        <d v="2038-04-30T00:00:00"/>
        <d v="2038-05-30T00:00:00"/>
        <d v="2038-06-29T00:00:00"/>
        <d v="2038-07-29T00:00:00"/>
        <d v="2038-08-28T00:00:00"/>
        <d v="2038-09-27T00:00:00"/>
        <d v="2038-10-27T00:00:00"/>
        <d v="2038-11-26T00:00:00"/>
        <d v="2038-12-26T00:00:00"/>
        <d v="2039-01-25T00:00:00"/>
        <d v="2039-02-24T00:00:00"/>
        <d v="2039-03-26T00:00:00"/>
        <d v="2039-04-25T00:00:00"/>
        <d v="2039-05-25T00:00:00"/>
        <d v="2039-06-24T00:00:00"/>
        <d v="2039-07-24T00:00:00"/>
        <d v="2039-08-23T00:00:00"/>
        <d v="2039-09-22T00:00:00"/>
        <d v="2039-10-22T00:00:00"/>
        <d v="2039-11-21T00:00:00"/>
        <d v="2039-12-21T00:00:00"/>
        <d v="2040-01-20T00:00:00"/>
        <d v="2040-02-19T00:00:00"/>
        <d v="2040-03-20T00:00:00"/>
        <d v="2040-04-19T00:00:00"/>
        <d v="2040-05-19T00:00:00"/>
        <d v="2040-06-18T00:00:00"/>
        <d v="2040-07-18T00:00:00"/>
        <d v="2040-08-17T00:00:00"/>
        <d v="2040-09-16T00:00:00"/>
        <d v="2040-10-16T00:00:00"/>
        <d v="2040-11-15T00:00:00"/>
        <d v="2040-12-15T00:00:00"/>
        <d v="2041-01-14T00:00:00"/>
        <d v="2041-02-13T00:00:00"/>
        <d v="2041-03-15T00:00:00"/>
        <d v="2041-04-14T00:00:00"/>
        <d v="2041-05-14T00:00:00"/>
        <d v="2041-06-13T00:00:00"/>
        <d v="2041-07-13T00:00:00"/>
        <d v="2041-08-12T00:00:00"/>
        <d v="2041-09-11T00:00:00"/>
        <d v="2041-10-11T00:00:00"/>
        <d v="2041-11-10T00:00:00"/>
        <d v="2041-12-10T00:00:00"/>
        <d v="2042-01-09T00:00:00"/>
        <d v="2042-02-08T00:00:00"/>
        <d v="2042-03-10T00:00:00"/>
        <d v="2042-04-09T00:00:00"/>
        <d v="2042-05-09T00:00:00"/>
        <d v="2042-06-08T00:00:00"/>
        <d v="2042-07-08T00:00:00"/>
        <d v="2042-08-07T00:00:00"/>
        <d v="2042-09-06T00:00:00"/>
        <d v="2042-10-06T00:00:00"/>
        <d v="2042-11-05T00:00:00"/>
        <d v="2042-12-05T00:00:00"/>
        <d v="2043-01-04T00:00:00"/>
        <d v="2043-02-03T00:00:00"/>
        <d v="2043-03-05T00:00:00"/>
        <d v="2043-04-04T00:00:00"/>
        <d v="2043-05-04T00:00:00"/>
        <d v="2043-06-03T00:00:00"/>
        <d v="2043-07-03T00:00:00"/>
        <d v="2043-08-02T00:00:00"/>
        <d v="2043-09-01T00:00:00"/>
        <d v="2043-10-01T00:00:00"/>
        <d v="2043-10-31T00:00:00"/>
        <d v="2043-11-30T00:00:00"/>
        <d v="2043-12-30T00:00:00"/>
        <d v="2044-01-29T00:00:00"/>
        <d v="2044-02-28T00:00:00"/>
        <d v="2044-03-29T00:00:00"/>
        <d v="2044-04-28T00:00:00"/>
        <d v="2044-05-28T00:00:00"/>
        <d v="2044-06-27T00:00:00"/>
        <d v="2044-07-27T00:00:00"/>
        <d v="2044-08-26T00:00:00"/>
        <d v="2044-09-25T00:00:00"/>
        <d v="2044-10-25T00:00:00"/>
        <d v="2044-11-24T00:00:00"/>
        <d v="2044-12-24T00:00:00"/>
        <d v="2045-01-23T00:00:00"/>
        <d v="2045-02-22T00:00:00"/>
        <d v="2045-03-24T00:00:00"/>
        <d v="2045-04-23T00:00:00"/>
        <d v="2045-05-23T00:00:00"/>
        <d v="2045-06-22T00:00:00"/>
        <d v="2045-07-22T00:00:00"/>
        <d v="2045-08-21T00:00:00"/>
        <d v="2045-09-20T00:00:00"/>
        <d v="2045-10-20T00:00:00"/>
        <d v="2045-11-19T00:00:00"/>
        <d v="2045-12-19T00:00:00"/>
        <d v="2046-01-18T00:00:00"/>
        <d v="2046-02-17T00:00:00"/>
        <d v="2046-03-19T00:00:00"/>
        <d v="2046-04-18T00:00:00"/>
        <d v="2046-05-18T00:00:00"/>
        <d v="2046-06-17T00:00:00"/>
        <d v="2046-07-17T00:00:00"/>
        <d v="2046-08-16T00:00:00"/>
        <d v="2046-09-15T00:00:00"/>
        <d v="2046-10-15T00:00:00"/>
        <d v="2046-11-14T00:00:00"/>
        <d v="2046-12-14T00:00:00"/>
        <d v="2047-01-13T00:00:00"/>
        <d v="2047-02-12T00:00:00"/>
        <d v="2047-03-14T00:00:00"/>
        <d v="2047-04-13T00:00:00"/>
        <d v="2047-05-13T00:00:00"/>
        <d v="2047-06-12T00:00:00"/>
        <d v="2047-07-12T00:00:00"/>
        <d v="2047-08-11T00:00:00"/>
        <d v="2047-09-10T00:00:00"/>
        <d v="2047-10-10T00:00:00"/>
        <d v="2047-11-09T00:00:00"/>
        <d v="2047-12-09T00:00:00"/>
        <d v="2048-01-08T00:00:00"/>
        <d v="2048-02-07T00:00:00"/>
        <d v="2048-03-08T00:00:00"/>
        <d v="2048-04-07T00:00:00"/>
        <d v="2048-05-07T00:00:00"/>
        <d v="2048-06-06T00:00:00"/>
        <d v="2048-07-06T00:00:00"/>
        <d v="2048-08-05T00:00:00"/>
        <d v="2048-09-04T00:00:00"/>
        <d v="2048-10-04T00:00:00"/>
        <d v="2048-11-03T00:00:00"/>
        <d v="2048-12-03T00:00:00"/>
        <d v="2049-01-02T00:00:00"/>
        <d v="2049-02-01T00:00:00"/>
        <d v="2049-03-03T00:00:00"/>
        <d v="2049-04-02T00:00:00"/>
        <d v="2049-05-02T00:00:00"/>
        <d v="2049-06-01T00:00:00"/>
        <d v="2049-07-01T00:00:00"/>
        <d v="2049-07-31T00:00:00"/>
        <d v="2049-08-30T00:00:00"/>
        <d v="2049-09-29T00:00:00"/>
        <d v="2049-10-29T00:00:00"/>
        <d v="2049-11-28T00:00:00"/>
        <d v="2049-12-28T00:00:00"/>
        <d v="2050-01-27T00:00:00"/>
        <d v="2050-02-26T00:00:00"/>
        <d v="2050-03-28T00:00:00"/>
        <d v="2050-04-27T00:00:00"/>
        <d v="2050-05-27T00:00:00"/>
        <d v="2050-06-26T00:00:00"/>
        <d v="2050-07-26T00:00:00"/>
        <d v="2050-08-25T00:00:00"/>
        <d v="2050-09-24T00:00:00"/>
        <d v="2050-10-24T00:00:00"/>
        <d v="2050-11-23T00:00:00"/>
        <d v="2050-12-23T00:00:00"/>
        <d v="2051-01-22T00:00:00"/>
        <d v="2051-02-21T00:00:00"/>
        <d v="2051-03-23T00:00:00"/>
        <d v="2051-04-22T00:00:00"/>
        <d v="2051-05-22T00:00:00"/>
        <d v="2051-06-21T00:00:00"/>
        <d v="2051-07-21T00:00:00"/>
        <d v="2051-08-20T00:00:00"/>
        <d v="2051-09-19T00:00:00"/>
        <d v="2051-10-19T00:00:00"/>
        <d v="2051-11-18T00:00:00"/>
        <d v="2051-12-18T00:00:00"/>
        <d v="2052-01-17T00:00:00"/>
        <d v="2052-02-16T00:00:00"/>
        <d v="2052-03-17T00:00:00"/>
        <d v="2052-04-16T00:00:00"/>
        <d v="2052-05-16T00:00:00"/>
        <d v="2052-06-15T00:00:00"/>
        <d v="2052-07-15T00:00:00"/>
        <d v="2052-08-14T00:00:00"/>
        <d v="2052-09-13T00:00:00"/>
        <d v="2052-10-13T00:00:00"/>
        <d v="2052-11-12T00:00:00"/>
        <d v="2052-12-12T00:00:00"/>
        <d v="2053-01-11T00:00:00"/>
        <d v="2053-02-10T00:00:00"/>
        <d v="2053-03-12T00:00:00"/>
        <d v="2053-04-11T00:00:00"/>
        <d v="2053-05-11T00:00:00"/>
        <d v="2053-06-10T00:00:00"/>
        <d v="2053-07-10T00:00:00"/>
        <d v="2053-08-09T00:00:00"/>
        <d v="2053-09-08T00:00:00"/>
        <d v="2053-10-08T00:00:00"/>
        <d v="2053-11-07T00:00:00"/>
        <d v="2053-12-07T00:00:00"/>
        <d v="2054-01-06T00:00:00"/>
        <d v="2054-02-05T00:00:00"/>
        <d v="2054-03-07T00:00:00"/>
        <d v="2054-04-06T00:00:00"/>
        <d v="2054-05-06T00:00:00"/>
        <d v="2054-06-05T00:00:00"/>
        <d v="2054-07-05T00:00:00"/>
        <d v="2054-08-04T00:00:00"/>
        <d v="2054-09-03T00:00:00"/>
        <d v="2054-10-03T00:00:00"/>
        <d v="2054-11-02T00:00:00"/>
        <d v="2054-12-02T00:00:00"/>
        <d v="2055-01-01T00:00:00"/>
        <d v="2055-01-31T00:00:00"/>
        <d v="2055-03-02T00:00:00"/>
        <d v="2055-04-01T00:00:00"/>
        <d v="2055-05-01T00:00:00"/>
        <d v="2055-05-31T00:00:00"/>
        <d v="2055-06-30T00:00:00"/>
        <d v="2055-07-30T00:00:00"/>
        <d v="2055-08-29T00:00:00"/>
        <d v="2055-09-28T00:00:00"/>
        <d v="2055-10-28T00:00:00"/>
        <d v="2055-11-27T00:00:00"/>
        <d v="2055-12-27T00:00:00"/>
      </sharedItems>
      <fieldGroup par="7"/>
    </cacheField>
    <cacheField name="Vehicle_Type" numFmtId="0">
      <sharedItems count="5">
        <s v="Sedan"/>
        <s v="Hatchback"/>
        <s v="SUV"/>
        <s v="Electric"/>
        <s v="Truck"/>
      </sharedItems>
    </cacheField>
    <cacheField name="Monthy_Sale" numFmtId="0">
      <sharedItems/>
    </cacheField>
    <cacheField name="Season" numFmtId="0">
      <sharedItems/>
    </cacheField>
    <cacheField name="Year" numFmtId="0">
      <sharedItems containsSemiMixedTypes="0" containsString="0" containsNumber="1" containsInteger="1" minValue="2015" maxValue="2055"/>
    </cacheField>
    <cacheField name="Units_Sold" numFmtId="0">
      <sharedItems containsSemiMixedTypes="0" containsString="0" containsNumber="1" containsInteger="1" minValue="75" maxValue="124"/>
    </cacheField>
    <cacheField name="Months (Date)" numFmtId="0" databaseField="0">
      <fieldGroup base="0">
        <rangePr groupBy="months" startDate="2015-01-01T00:00:00" endDate="2055-12-28T00:00:00"/>
        <groupItems count="14">
          <s v="&lt;01-01-2015"/>
          <s v="Jan"/>
          <s v="Feb"/>
          <s v="Mar"/>
          <s v="Apr"/>
          <s v="May"/>
          <s v="Jun"/>
          <s v="Jul"/>
          <s v="Aug"/>
          <s v="Sep"/>
          <s v="Oct"/>
          <s v="Nov"/>
          <s v="Dec"/>
          <s v="&gt;28-12-2055"/>
        </groupItems>
      </fieldGroup>
    </cacheField>
    <cacheField name="Years (Date)" numFmtId="0" databaseField="0">
      <fieldGroup base="0">
        <rangePr groupBy="years" startDate="2015-01-01T00:00:00" endDate="2055-12-28T00:00:00"/>
        <groupItems count="43">
          <s v="&lt;01-01-2015"/>
          <s v="2015"/>
          <s v="2016"/>
          <s v="2017"/>
          <s v="2018"/>
          <s v="2019"/>
          <s v="202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gt;28-12-205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d v="2015-01-01T00:00:00"/>
    <x v="0"/>
    <x v="0"/>
    <n v="-0.32931451011991297"/>
    <n v="27205.390763642099"/>
    <n v="4.5281035649701611"/>
    <n v="2.5869878667632307"/>
    <n v="6.1864689300569733"/>
    <n v="97675.419137560835"/>
    <n v="99"/>
    <n v="62.296585590724206"/>
    <s v="OK"/>
  </r>
  <r>
    <d v="2015-01-31T00:00:00"/>
    <x v="0"/>
    <x v="1"/>
    <n v="0.7462376310080705"/>
    <n v="31886.059375322606"/>
    <n v="2.9483958171391587"/>
    <n v="2.2139957781198891"/>
    <n v="5.4253707796008266"/>
    <n v="104294.26366341053"/>
    <n v="100"/>
    <n v="22.750148668138017"/>
    <s v="OK"/>
  </r>
  <r>
    <d v="2015-03-02T00:00:00"/>
    <x v="1"/>
    <x v="2"/>
    <n v="-1.1115342491220828"/>
    <n v="27205.390763642099"/>
    <n v="3.3893731882071139"/>
    <n v="3.6009596349985711"/>
    <n v="6.8492240318446029"/>
    <n v="131562.36115124368"/>
    <n v="98"/>
    <n v="71.117041757862765"/>
    <s v="OK"/>
  </r>
  <r>
    <d v="2015-04-01T00:00:00"/>
    <x v="2"/>
    <x v="3"/>
    <n v="0.35512776150698561"/>
    <n v="29671.248694635098"/>
    <n v="3.3615933500555397"/>
    <n v="2.5869878667632307"/>
    <n v="5.0991073228240715"/>
    <n v="119708.99371230436"/>
    <n v="88"/>
    <n v="26.515777031292735"/>
    <s v="OK"/>
  </r>
  <r>
    <d v="2015-05-01T00:00:00"/>
    <x v="2"/>
    <x v="4"/>
    <n v="1.1373475005091553"/>
    <n v="27224.002366534009"/>
    <n v="3.6537033489045503"/>
    <n v="1.2704504055475832"/>
    <n v="6.1775271110723207"/>
    <n v="117383.09184993793"/>
    <n v="91"/>
    <n v="54.801167547217872"/>
    <s v="OK"/>
  </r>
  <r>
    <d v="2015-05-31T00:00:00"/>
    <x v="2"/>
    <x v="5"/>
    <n v="-0.91597931437154034"/>
    <n v="39405.785347202953"/>
    <n v="3.9078686062696484"/>
    <n v="2.9966992232365217"/>
    <n v="4.2764027935694617"/>
    <n v="90889.209479522586"/>
    <n v="82"/>
    <n v="43.412407813392626"/>
    <s v="OK"/>
  </r>
  <r>
    <d v="2015-06-30T00:00:00"/>
    <x v="0"/>
    <x v="6"/>
    <n v="-0.5248694448704555"/>
    <n v="22759.93049791878"/>
    <n v="3.9302367441798727"/>
    <n v="2.0346895432199466"/>
    <n v="5.471737418950914"/>
    <n v="82215.183435433515"/>
    <n v="92"/>
    <e v="#REF!"/>
    <s v="OK"/>
  </r>
  <r>
    <d v="2015-07-30T00:00:00"/>
    <x v="3"/>
    <x v="7"/>
    <n v="-0.13375957536937055"/>
    <n v="19005.97021689959"/>
    <n v="3.2084612807155306"/>
    <n v="2.3940516456958645"/>
    <n v="5.2907748905165972"/>
    <n v="119106.01116475507"/>
    <n v="71"/>
    <n v="30.673306841856565"/>
    <s v="OK"/>
  </r>
  <r>
    <d v="2015-08-29T00:00:00"/>
    <x v="0"/>
    <x v="3"/>
    <n v="0.35512776150698561"/>
    <n v="32200.072250266661"/>
    <n v="3.4164391431067944"/>
    <n v="2.5869878667632307"/>
    <n v="5.7703695064491303"/>
    <n v="117520.93585059588"/>
    <n v="98"/>
    <n v="75.331472157865448"/>
    <s v="OK"/>
  </r>
  <r>
    <d v="2015-09-28T00:00:00"/>
    <x v="3"/>
    <x v="6"/>
    <n v="-0.5248694448704555"/>
    <n v="27489.728878236943"/>
    <n v="3.6412899752441499"/>
    <n v="0.99702967160484679"/>
    <n v="5.0565676853999699"/>
    <n v="97675.419137560835"/>
    <n v="82"/>
    <n v="83.600922954277621"/>
    <s v="OK"/>
  </r>
  <r>
    <d v="2015-10-28T00:00:00"/>
    <x v="4"/>
    <x v="8"/>
    <n v="-3.5982107994099323E-2"/>
    <n v="24893.835914346433"/>
    <n v="3.3756544369082264"/>
    <n v="2.5869878667632307"/>
    <n v="5.3422328851939991"/>
    <n v="87920.387480615405"/>
    <n v="99"/>
    <n v="33.068355979452519"/>
    <s v="OK"/>
  </r>
  <r>
    <d v="2015-11-27T00:00:00"/>
    <x v="0"/>
    <x v="5"/>
    <n v="-0.91597931437154034"/>
    <n v="33541.782236496765"/>
    <n v="4.3036727880099965"/>
    <n v="2.9676931717654331"/>
    <n v="6.4912566057298076"/>
    <n v="95409.026892793059"/>
    <n v="79"/>
    <n v="28.345046988150571"/>
    <s v="OK"/>
  </r>
  <r>
    <d v="2015-12-27T00:00:00"/>
    <x v="0"/>
    <x v="9"/>
    <n v="6.1795359381171901E-2"/>
    <n v="31219.003568855995"/>
    <n v="3.7454874758191257"/>
    <n v="3.5857863249393471"/>
    <n v="4.9758829153141395"/>
    <n v="67210.316749491321"/>
    <n v="81"/>
    <n v="31.64123862298873"/>
    <s v="OK"/>
  </r>
  <r>
    <d v="2016-01-26T00:00:00"/>
    <x v="0"/>
    <x v="3"/>
    <n v="0.35512776150698561"/>
    <n v="27179.606846316357"/>
    <n v="3.8674388930249086"/>
    <n v="2.5979831534708953"/>
    <e v="#REF!"/>
    <n v="92150.57787878254"/>
    <e v="#REF!"/>
    <n v="90.170204951880137"/>
    <s v="OK"/>
  </r>
  <r>
    <d v="2016-02-25T00:00:00"/>
    <x v="2"/>
    <x v="6"/>
    <n v="-0.5248694448704555"/>
    <n v="23598.478006645528"/>
    <n v="3.8314406343337062"/>
    <n v="2.8080505395041024"/>
    <n v="6.1864689300569733"/>
    <n v="119931.41021158894"/>
    <n v="90"/>
    <n v="62.255140940508497"/>
    <s v="OK"/>
  </r>
  <r>
    <d v="2016-03-26T00:00:00"/>
    <x v="2"/>
    <x v="10"/>
    <n v="0.55068269625752808"/>
    <n v="34362.286641400722"/>
    <n v="4.0867369287426625"/>
    <n v="2.1083514325782087"/>
    <n v="7.1577448944285837"/>
    <e v="#REF!"/>
    <n v="87"/>
    <n v="57.380879680600209"/>
    <s v="OK"/>
  </r>
  <r>
    <d v="2016-04-25T00:00:00"/>
    <x v="3"/>
    <x v="11"/>
    <n v="-1.3070891838726253"/>
    <n v="33251.005889793305"/>
    <n v="3.5905107793518534"/>
    <n v="2.7691269412451072"/>
    <n v="3.9492847658732577"/>
    <n v="112809.59590401647"/>
    <n v="78"/>
    <n v="28.53694552818834"/>
    <s v="OK"/>
  </r>
  <r>
    <d v="2016-05-25T00:00:00"/>
    <x v="3"/>
    <x v="12"/>
    <n v="-0.72042437962099792"/>
    <n v="29504.120681103086"/>
    <n v="2.8515840260220768"/>
    <n v="2.1568077245025896"/>
    <n v="6.3276493662942332"/>
    <n v="96189.93788004377"/>
    <n v="71"/>
    <n v="71.964480540556934"/>
    <s v="OK"/>
  </r>
  <r>
    <d v="2016-06-24T00:00:00"/>
    <x v="0"/>
    <x v="6"/>
    <n v="-0.5248694448704555"/>
    <n v="39233.184980238329"/>
    <n v="3.6998439758763206"/>
    <n v="3.1215718898560509"/>
    <n v="4.8964302753383881"/>
    <n v="106481.14056443122"/>
    <n v="92"/>
    <n v="89.439967351607194"/>
    <s v="OK"/>
  </r>
  <r>
    <d v="2016-07-24T00:00:00"/>
    <x v="3"/>
    <x v="13"/>
    <n v="0.15957282675644313"/>
    <n v="24649.576168369236"/>
    <n v="3.1743215531040856"/>
    <n v="2.130389663956366"/>
    <n v="5.8161846583972716"/>
    <n v="77046.172203686656"/>
    <n v="103"/>
    <n v="86.254869545876232"/>
    <s v="OK"/>
  </r>
  <r>
    <d v="2016-08-23T00:00:00"/>
    <x v="2"/>
    <x v="3"/>
    <n v="0.35512776150698561"/>
    <n v="22372.374145376307"/>
    <n v="3.2356916591251217"/>
    <n v="2.8771003939021864"/>
    <n v="5.8530689548161927"/>
    <e v="#REF!"/>
    <n v="89"/>
    <n v="70.0843767184641"/>
    <s v="OK"/>
  </r>
  <r>
    <d v="2016-09-22T00:00:00"/>
    <x v="3"/>
    <x v="14"/>
    <n v="-1.5026441186231676"/>
    <n v="26540.459650593777"/>
    <n v="3.7931820093775466"/>
    <n v="2.4707371863150218"/>
    <n v="5.2187106396204133"/>
    <n v="40177.280581985535"/>
    <n v="75"/>
    <n v="62.296585590724206"/>
    <s v="OK"/>
  </r>
  <r>
    <d v="2016-10-22T00:00:00"/>
    <x v="4"/>
    <x v="15"/>
    <n v="-2.2848638576253375"/>
    <n v="29772.069918222511"/>
    <n v="4.1191415357168175"/>
    <n v="3.6260502507721681"/>
    <n v="4.5594812012963244"/>
    <n v="96262.076836760301"/>
    <n v="80"/>
    <n v="28.991762174081039"/>
    <s v="OK"/>
  </r>
  <r>
    <d v="2016-11-21T00:00:00"/>
    <x v="2"/>
    <x v="9"/>
    <n v="6.1795359381171901E-2"/>
    <n v="31216.697246613458"/>
    <n v="3.510635788368031"/>
    <n v="2.448606276411514"/>
    <n v="4.6713507372204885"/>
    <n v="67390.535125697206"/>
    <n v="94"/>
    <n v="23.944718968785974"/>
    <s v="OK"/>
  </r>
  <r>
    <d v="2016-12-21T00:00:00"/>
    <x v="4"/>
    <x v="4"/>
    <n v="1.1373475005091553"/>
    <n v="28793.819710718351"/>
    <n v="3.6544165062994818"/>
    <n v="0.72696753179311857"/>
    <n v="4.4005697014225094"/>
    <n v="124119.89033093632"/>
    <n v="110"/>
    <n v="40.598337319397544"/>
    <s v="OK"/>
  </r>
  <r>
    <d v="2017-01-20T00:00:00"/>
    <x v="3"/>
    <x v="16"/>
    <n v="-0.62264691224572666"/>
    <n v="27205.390763642099"/>
    <n v="4.3511074723176186"/>
    <n v="3.7619215007139917"/>
    <n v="4.5018133501234665"/>
    <n v="112809.59590401647"/>
    <n v="84"/>
    <n v="30.85291737283022"/>
    <s v="OK"/>
  </r>
  <r>
    <d v="2017-02-19T00:00:00"/>
    <x v="1"/>
    <x v="17"/>
    <n v="-1.2093117164973541"/>
    <n v="23742.30287904778"/>
    <n v="3.6203765897442843"/>
    <n v="1.5942676991373812"/>
    <n v="5.4193860519407737"/>
    <n v="96189.93788004377"/>
    <n v="80"/>
    <n v="40.803843220194707"/>
    <s v="OK"/>
  </r>
  <r>
    <d v="2017-03-21T00:00:00"/>
    <x v="0"/>
    <x v="18"/>
    <n v="0.84401509838334177"/>
    <n v="37218.823020366297"/>
    <n v="4.8008415570901972"/>
    <n v="1.8462336613511803"/>
    <n v="4.6410880130670975"/>
    <n v="130420.1245431876"/>
    <n v="77"/>
    <n v="50.804644457516936"/>
    <s v="OK"/>
  </r>
  <r>
    <d v="2017-04-20T00:00:00"/>
    <x v="2"/>
    <x v="19"/>
    <n v="0.64846016363279924"/>
    <n v="29589.244108037157"/>
    <n v="3.7827548228157721"/>
    <n v="1.904338705956508"/>
    <n v="6.3184624788551442"/>
    <n v="81021.669583503259"/>
    <n v="82"/>
    <n v="95.438622725690848"/>
    <s v="OK"/>
  </r>
  <r>
    <d v="2017-05-20T00:00:00"/>
    <x v="4"/>
    <x v="18"/>
    <n v="0.84401509838334177"/>
    <n v="35586.479157940637"/>
    <n v="2.619618620422091"/>
    <n v="3.8744380931708173"/>
    <n v="7.2846953864031132"/>
    <n v="134947.26395831117"/>
    <n v="111"/>
    <n v="68.830084782535366"/>
    <s v="OK"/>
  </r>
  <r>
    <d v="2017-06-19T00:00:00"/>
    <x v="1"/>
    <x v="0"/>
    <n v="-0.32931451011991297"/>
    <n v="31713.626731888522"/>
    <n v="3.876670810552266"/>
    <n v="0.3643257860213045"/>
    <n v="4.8039361103559486"/>
    <n v="118643.83128520769"/>
    <n v="87"/>
    <n v="86.797902854636988"/>
    <s v="OK"/>
  </r>
  <r>
    <d v="2017-07-19T00:00:00"/>
    <x v="1"/>
    <x v="20"/>
    <n v="1.3329024352596979"/>
    <n v="32283.766095768919"/>
    <n v="3.6905791924413887"/>
    <n v="2.5869878667632307"/>
    <n v="5.7872854006424523"/>
    <n v="95268.894255621082"/>
    <n v="73"/>
    <n v="76.828120056986577"/>
    <s v="OK"/>
  </r>
  <r>
    <d v="2017-08-18T00:00:00"/>
    <x v="2"/>
    <x v="21"/>
    <n v="-0.42709197749518424"/>
    <n v="32848.836401161017"/>
    <n v="4.1448763770413724"/>
    <n v="2.2139957781198891"/>
    <n v="6.0996221323635202"/>
    <n v="122712.40294365888"/>
    <n v="95"/>
    <n v="29.00025044213054"/>
    <s v="OK"/>
  </r>
  <r>
    <d v="2017-09-17T00:00:00"/>
    <x v="2"/>
    <x v="6"/>
    <n v="-0.5248694448704555"/>
    <n v="32238.542800086576"/>
    <n v="3.8365906756349792"/>
    <n v="2.7232389141291597"/>
    <n v="6.0664027251031296"/>
    <n v="77874.129751767323"/>
    <n v="87"/>
    <n v="78.873632509915907"/>
    <s v="OK"/>
  </r>
  <r>
    <d v="2017-10-17T00:00:00"/>
    <x v="1"/>
    <x v="1"/>
    <n v="0.7462376310080705"/>
    <n v="33213.61379933772"/>
    <n v="3.430772008008113"/>
    <n v="2.4451059993837134"/>
    <n v="5.5911463214993047"/>
    <n v="83509.716769446532"/>
    <n v="88"/>
    <n v="42.007910524729951"/>
    <s v="OK"/>
  </r>
  <r>
    <d v="2017-11-16T00:00:00"/>
    <x v="0"/>
    <x v="22"/>
    <n v="1.430679902634969"/>
    <n v="36645.76265066216"/>
    <n v="2.887850881855317"/>
    <n v="2.7855540748576568"/>
    <n v="6.3912189020316665"/>
    <e v="#REF!"/>
    <n v="85"/>
    <n v="62.255140940508497"/>
    <s v="OK"/>
  </r>
  <r>
    <d v="2017-12-16T00:00:00"/>
    <x v="0"/>
    <x v="11"/>
    <n v="-1.3070891838726253"/>
    <n v="30982.605848507352"/>
    <n v="3.3954883713569872"/>
    <n v="3.0211224283793383"/>
    <n v="6.0786987432167887"/>
    <n v="89420.445838719694"/>
    <n v="93"/>
    <n v="47.276957891439082"/>
    <s v="OK"/>
  </r>
  <r>
    <d v="2018-01-15T00:00:00"/>
    <x v="4"/>
    <x v="9"/>
    <n v="6.1795359381171901E-2"/>
    <n v="33545.018787942565"/>
    <n v="3.0747397728953501"/>
    <n v="3.1452155859500568"/>
    <n v="4.0148050932072428"/>
    <n v="78868.847144794941"/>
    <n v="85"/>
    <n v="99.813781061172733"/>
    <s v="OK"/>
  </r>
  <r>
    <d v="2018-02-14T00:00:00"/>
    <x v="0"/>
    <x v="18"/>
    <n v="0.84401509838334177"/>
    <n v="29551.321528563865"/>
    <n v="3.2097382750976386"/>
    <n v="3.0556044660034485"/>
    <n v="6.5429872772671276"/>
    <n v="124461.6613419065"/>
    <e v="#REF!"/>
    <n v="41.084118359742227"/>
    <s v="OK"/>
  </r>
  <r>
    <d v="2018-03-16T00:00:00"/>
    <x v="1"/>
    <x v="13"/>
    <n v="0.15957282675644313"/>
    <n v="37200.586077247368"/>
    <e v="#REF!"/>
    <n v="2.5895806812552489"/>
    <n v="6.56474900472009"/>
    <n v="94822.91199260336"/>
    <n v="80"/>
    <n v="42.330437661941573"/>
    <s v="OK"/>
  </r>
  <r>
    <d v="2018-04-15T00:00:00"/>
    <x v="1"/>
    <x v="6"/>
    <n v="-0.5248694448704555"/>
    <n v="26618.038489703653"/>
    <n v="4.3349522521757029"/>
    <n v="2.3026615796926739"/>
    <n v="4.5840566749857024"/>
    <n v="107050.09936713759"/>
    <n v="95"/>
    <n v="94.453780444991864"/>
    <s v="OK"/>
  </r>
  <r>
    <d v="2018-05-15T00:00:00"/>
    <x v="3"/>
    <x v="23"/>
    <n v="1.6262348373855116"/>
    <n v="39004.702164554081"/>
    <n v="3.6973357649114904"/>
    <n v="2.5869878667632307"/>
    <n v="5.5455254025371223"/>
    <n v="122712.40294365888"/>
    <n v="89"/>
    <n v="21.971552370905812"/>
    <s v="OK"/>
  </r>
  <r>
    <d v="2018-06-14T00:00:00"/>
    <x v="1"/>
    <x v="24"/>
    <n v="-0.23153704274464176"/>
    <n v="29799.210246778282"/>
    <n v="2.9020584689824078"/>
    <n v="2.3050917196473191"/>
    <e v="#REF!"/>
    <n v="63587.933989029654"/>
    <n v="73"/>
    <n v="75.735119029855753"/>
    <s v="OK"/>
  </r>
  <r>
    <d v="2018-07-14T00:00:00"/>
    <x v="0"/>
    <x v="0"/>
    <n v="-0.32931451011991297"/>
    <n v="22846.124489409758"/>
    <n v="3.7223013341100701"/>
    <n v="3.6337700968670648"/>
    <n v="5.2488234165047665"/>
    <n v="105401.14716782844"/>
    <n v="86"/>
    <n v="78.026111258870259"/>
    <s v="OK"/>
  </r>
  <r>
    <d v="2018-08-13T00:00:00"/>
    <x v="4"/>
    <x v="6"/>
    <n v="-0.5248694448704555"/>
    <n v="30640.522074553948"/>
    <n v="4.0983157433228259"/>
    <n v="3.0935567222808618"/>
    <n v="6.7875736573192142"/>
    <n v="61754.900491604465"/>
    <n v="82"/>
    <n v="86.910286192831947"/>
    <s v="OK"/>
  </r>
  <r>
    <d v="2018-09-12T00:00:00"/>
    <x v="3"/>
    <x v="25"/>
    <n v="1.8217897721360539"/>
    <n v="26594.741712625597"/>
    <n v="3.195108547840309"/>
    <n v="2.5869878667632307"/>
    <n v="8.3366469935432335"/>
    <n v="98627.319078290631"/>
    <n v="80"/>
    <n v="97.955144851078032"/>
    <s v="OK"/>
  </r>
  <r>
    <d v="2018-10-12T00:00:00"/>
    <x v="0"/>
    <x v="26"/>
    <n v="0.45290522888225682"/>
    <n v="34203.21774494362"/>
    <n v="3.4329914166635414"/>
    <n v="3.1559007765297609"/>
    <n v="4.5568167608380215"/>
    <n v="72633.699223343792"/>
    <n v="85"/>
    <n v="98.048153532532197"/>
    <s v="OK"/>
  </r>
  <r>
    <d v="2018-11-11T00:00:00"/>
    <x v="4"/>
    <x v="0"/>
    <n v="-0.32931451011991297"/>
    <n v="26736.880103488045"/>
    <n v="3.5073440973645984"/>
    <n v="2.6947361947187747"/>
    <n v="3.8427464762154702"/>
    <n v="139745.51998461617"/>
    <n v="88"/>
    <n v="25.222140605317112"/>
    <s v="OK"/>
  </r>
  <r>
    <d v="2018-12-11T00:00:00"/>
    <x v="0"/>
    <x v="27"/>
    <n v="1.5284573700102404"/>
    <n v="27769.082833926102"/>
    <n v="3.1075508434588799"/>
    <n v="2.4812912435541028"/>
    <n v="5.8645823147258511"/>
    <n v="118227.25444349443"/>
    <n v="100"/>
    <n v="85.747145820232205"/>
    <s v="OK"/>
  </r>
  <r>
    <d v="2019-01-10T00:00:00"/>
    <x v="3"/>
    <x v="6"/>
    <n v="-0.5248694448704555"/>
    <n v="20552.296345272345"/>
    <n v="3.8241402169219296"/>
    <n v="2.1114815469111141"/>
    <n v="6.3658750061513718"/>
    <n v="102115.07582542961"/>
    <n v="102"/>
    <n v="71.704794692590497"/>
    <s v="OK"/>
  </r>
  <r>
    <d v="2019-02-09T00:00:00"/>
    <x v="1"/>
    <x v="28"/>
    <n v="-0.81820184699626908"/>
    <n v="27738.468403754618"/>
    <n v="3.4395259256961093"/>
    <n v="3.6241127199860133"/>
    <n v="5.222960351386277"/>
    <n v="125274.13355309337"/>
    <n v="95"/>
    <n v="71.787370749847298"/>
    <s v="OK"/>
  </r>
  <r>
    <d v="2019-03-11T00:00:00"/>
    <x v="3"/>
    <x v="29"/>
    <n v="1.0395700331338842"/>
    <n v="17880.603366855219"/>
    <n v="3.7097662219535139"/>
    <n v="3.4475264621228581"/>
    <n v="7.2439127959852412"/>
    <n v="83073.680450685279"/>
    <n v="88"/>
    <n v="30.267994129175584"/>
    <s v="OK"/>
  </r>
  <r>
    <d v="2019-04-10T00:00:00"/>
    <x v="1"/>
    <x v="7"/>
    <n v="-0.13375957536937055"/>
    <n v="22080.485882571382"/>
    <n v="3.0562539110989499"/>
    <n v="1.7271223321763909"/>
    <n v="3.8936730403321018"/>
    <n v="110869.58757340186"/>
    <n v="87"/>
    <n v="76.828120056986577"/>
    <s v="OK"/>
  </r>
  <r>
    <d v="2019-05-10T00:00:00"/>
    <x v="3"/>
    <x v="11"/>
    <n v="-1.3070891838726253"/>
    <n v="33802.073280721488"/>
    <n v="3.281270849838295"/>
    <n v="2.907052287124535"/>
    <n v="6.3315023476379331"/>
    <n v="103996.20867437427"/>
    <n v="95"/>
    <n v="98.598606448099829"/>
    <s v="OK"/>
  </r>
  <r>
    <d v="2019-06-09T00:00:00"/>
    <x v="2"/>
    <x v="30"/>
    <n v="2.1151221742618675"/>
    <n v="35586.479157940637"/>
    <n v="3.8611906789138857"/>
    <n v="1.5283432654587141"/>
    <n v="4.7729670150893284"/>
    <n v="105280.4016266734"/>
    <n v="78"/>
    <e v="#REF!"/>
    <s v="OK"/>
  </r>
  <r>
    <d v="2019-07-09T00:00:00"/>
    <x v="0"/>
    <x v="9"/>
    <n v="6.1795359381171901E-2"/>
    <n v="32127.287808924822"/>
    <n v="3.3135834239541166"/>
    <n v="1.1203818352110695"/>
    <n v="7.5632534874487565"/>
    <n v="125447.07000213536"/>
    <e v="#REF!"/>
    <n v="55.13045286438804"/>
    <s v="OK"/>
  </r>
  <r>
    <d v="2019-08-08T00:00:00"/>
    <x v="0"/>
    <x v="0"/>
    <n v="-0.32931451011991297"/>
    <n v="25165.119284353936"/>
    <n v="4.3634819256167026"/>
    <n v="1.873282775410035"/>
    <n v="7.891018423801742"/>
    <n v="114649.84205559605"/>
    <n v="95"/>
    <n v="23.195837862887547"/>
    <s v="OK"/>
  </r>
  <r>
    <d v="2019-09-07T00:00:00"/>
    <x v="2"/>
    <x v="31"/>
    <n v="2.7017869785134949"/>
    <n v="29761.4432192901"/>
    <n v="3.300181907192699"/>
    <n v="3.3623934723827587"/>
    <n v="4.5800120946599829"/>
    <n v="105774.47325650047"/>
    <n v="88"/>
    <n v="48.98347920001639"/>
    <s v="OK"/>
  </r>
  <r>
    <d v="2019-10-07T00:00:00"/>
    <x v="1"/>
    <x v="9"/>
    <n v="6.1795359381171901E-2"/>
    <n v="29981.987304547158"/>
    <n v="3.612342362875943"/>
    <n v="3.4531250453760869"/>
    <n v="4.8405314369097034"/>
    <n v="66902.251275434071"/>
    <n v="100"/>
    <n v="86.111224928044422"/>
    <s v="OK"/>
  </r>
  <r>
    <d v="2019-11-06T00:00:00"/>
    <x v="0"/>
    <x v="16"/>
    <n v="-0.62264691224572666"/>
    <n v="24208.176554037287"/>
    <n v="3.9662954159365449"/>
    <n v="3.0130854200972932"/>
    <n v="6.531505464375762"/>
    <n v="80799.074094410724"/>
    <n v="79"/>
    <n v="76.119928117213277"/>
    <s v="OK"/>
  </r>
  <r>
    <d v="2019-12-06T00:00:00"/>
    <x v="2"/>
    <x v="3"/>
    <n v="0.35512776150698561"/>
    <n v="37516.991508835752"/>
    <n v="2.7908171335334844"/>
    <n v="3.225095786847997"/>
    <n v="5.0354432202525823"/>
    <n v="97545.821328085513"/>
    <n v="91"/>
    <n v="56.747492447516514"/>
    <s v="OK"/>
  </r>
  <r>
    <d v="2020-01-05T00:00:00"/>
    <x v="0"/>
    <x v="32"/>
    <n v="-2.0893089228747952"/>
    <n v="34386.811452878355"/>
    <n v="2.6195955940096121"/>
    <n v="3.0161782871149585"/>
    <n v="5.4455065384813137"/>
    <n v="101867.44748553302"/>
    <n v="81"/>
    <n v="94.453780444991864"/>
    <s v="OK"/>
  </r>
  <r>
    <d v="2020-02-04T00:00:00"/>
    <x v="4"/>
    <x v="23"/>
    <n v="1.6262348373855116"/>
    <e v="#REF!"/>
    <n v="2.7371718427149525"/>
    <n v="1.8585184047770478"/>
    <n v="5.5304661046508921"/>
    <n v="77395.925506521526"/>
    <n v="98"/>
    <n v="54.151578225864213"/>
    <s v="OK"/>
  </r>
  <r>
    <d v="2020-03-05T00:00:00"/>
    <x v="1"/>
    <x v="2"/>
    <n v="-1.1115342491220828"/>
    <n v="30134.429194972654"/>
    <n v="4.1312920517135909"/>
    <n v="2.9319225446739408"/>
    <n v="3.1963922125628126"/>
    <n v="148233.53351156841"/>
    <n v="83"/>
    <n v="57.521995177430682"/>
    <s v="OK"/>
  </r>
  <r>
    <d v="2020-04-04T00:00:00"/>
    <x v="4"/>
    <x v="10"/>
    <n v="0.55068269625752808"/>
    <n v="31041.914039737763"/>
    <n v="3.2240709270537766"/>
    <n v="3.3004095252276824"/>
    <n v="5.4833947046869156"/>
    <n v="130327.88110507146"/>
    <n v="78"/>
    <n v="94.284442631530879"/>
    <s v="OK"/>
  </r>
  <r>
    <d v="2020-05-04T00:00:00"/>
    <x v="1"/>
    <x v="12"/>
    <n v="-0.72042437962099792"/>
    <n v="19791.325657878548"/>
    <n v="4.7790996428341259"/>
    <n v="3.2542913298135741"/>
    <e v="#REF!"/>
    <n v="112042.36640784967"/>
    <n v="97"/>
    <n v="71.286888286572747"/>
    <s v="OK"/>
  </r>
  <r>
    <d v="2020-06-03T00:00:00"/>
    <x v="2"/>
    <x v="0"/>
    <n v="-0.32931451011991297"/>
    <n v="28764.113087397014"/>
    <n v="3.2178762006713058"/>
    <n v="3.6889133714746429"/>
    <n v="4.9082526131202737"/>
    <n v="101440.73722567489"/>
    <n v="90"/>
    <n v="44.932233332371908"/>
    <s v="OK"/>
  </r>
  <r>
    <d v="2020-07-03T00:00:00"/>
    <x v="1"/>
    <x v="26"/>
    <n v="0.45290522888225682"/>
    <n v="26590.078760011005"/>
    <n v="3.5922756515985186"/>
    <n v="3.2083038472010639"/>
    <n v="7.2323584041625768"/>
    <n v="95755.820601976971"/>
    <n v="83"/>
    <n v="62.025461156057709"/>
    <s v="OK"/>
  </r>
  <r>
    <d v="2020-08-02T00:00:00"/>
    <x v="1"/>
    <x v="14"/>
    <n v="-1.5026441186231676"/>
    <e v="#REF!"/>
    <n v="4.2710549762839376"/>
    <n v="2.851448207541583"/>
    <n v="3.9921917268648928"/>
    <n v="80961.630799555292"/>
    <n v="93"/>
    <n v="25.284424625772807"/>
    <s v="OK"/>
  </r>
  <r>
    <d v="2020-09-01T00:00:00"/>
    <x v="2"/>
    <x v="21"/>
    <n v="-0.42709197749518424"/>
    <n v="28594.498535570227"/>
    <n v="4.5030464440795619"/>
    <n v="3.5701502383164274"/>
    <e v="#REF!"/>
    <n v="101549.61037037725"/>
    <n v="84"/>
    <n v="97.805458851978941"/>
    <s v="OK"/>
  </r>
  <r>
    <d v="2020-10-01T00:00:00"/>
    <x v="1"/>
    <x v="10"/>
    <n v="0.55068269625752808"/>
    <n v="38988.432634247612"/>
    <n v="4.5307517883181987"/>
    <n v="2.5895806812552489"/>
    <n v="5.1652444836018301"/>
    <n v="105155.05080285501"/>
    <n v="90"/>
    <n v="48.804792154458084"/>
    <s v="OK"/>
  </r>
  <r>
    <d v="2020-10-31T00:00:00"/>
    <x v="0"/>
    <x v="9"/>
    <n v="6.1795359381171901E-2"/>
    <n v="33204.214306335052"/>
    <n v="4.1041831152965713"/>
    <n v="1.6181253487722822"/>
    <n v="5.1642877978049988"/>
    <n v="75164.788490367515"/>
    <n v="97"/>
    <n v="58.229388393050868"/>
    <s v="OK"/>
  </r>
  <r>
    <d v="2020-11-30T00:00:00"/>
    <x v="3"/>
    <x v="26"/>
    <n v="0.45290522888225682"/>
    <n v="27144.105051086015"/>
    <n v="4.0120312629057313"/>
    <n v="2.3369330360562359"/>
    <n v="6.4484462752620537"/>
    <n v="106683.52834489795"/>
    <n v="92"/>
    <n v="48.422717938953809"/>
    <s v="OK"/>
  </r>
  <r>
    <d v="2020-12-30T00:00:00"/>
    <x v="2"/>
    <x v="19"/>
    <n v="0.64846016363279924"/>
    <n v="32862.913906780792"/>
    <n v="3.7962634746005914"/>
    <n v="1.7550973551935509"/>
    <n v="5.9080615534826686"/>
    <n v="96894.819023505028"/>
    <n v="80"/>
    <n v="74.60093840929602"/>
    <s v="OK"/>
  </r>
  <r>
    <d v="2021-01-29T00:00:00"/>
    <x v="3"/>
    <x v="33"/>
    <n v="2.0173447068865964"/>
    <n v="36996.777182930011"/>
    <n v="3.8891805380833189"/>
    <n v="1.8248217250256185"/>
    <n v="6.1847355966634368"/>
    <n v="61843.848842452178"/>
    <n v="75"/>
    <n v="72.978572666367441"/>
    <s v="OK"/>
  </r>
  <r>
    <d v="2021-02-28T00:00:00"/>
    <x v="2"/>
    <x v="19"/>
    <n v="0.64846016363279924"/>
    <n v="27738.468403754618"/>
    <n v="3.2244071418357332"/>
    <n v="2.3554813292844821"/>
    <n v="6.6618215926394333"/>
    <n v="82792.299784409959"/>
    <n v="91"/>
    <n v="77.225784842330853"/>
    <s v="OK"/>
  </r>
  <r>
    <d v="2021-03-30T00:00:00"/>
    <x v="2"/>
    <x v="25"/>
    <n v="1.8217897721360539"/>
    <n v="30298.151849600872"/>
    <n v="3.0909005582888462"/>
    <n v="1.7075800790000386"/>
    <n v="5.1024299401800128"/>
    <n v="91727.889331567116"/>
    <n v="91"/>
    <n v="41.451458368953666"/>
    <s v="OK"/>
  </r>
  <r>
    <d v="2021-04-29T00:00:00"/>
    <x v="4"/>
    <x v="12"/>
    <n v="-0.72042437962099792"/>
    <n v="26765.31611147213"/>
    <n v="3.4983127712945241"/>
    <n v="3.1559007765297609"/>
    <n v="4.7653159185906997"/>
    <n v="137753.75314680382"/>
    <n v="81"/>
    <n v="45.253478493125279"/>
    <s v="OK"/>
  </r>
  <r>
    <d v="2021-05-29T00:00:00"/>
    <x v="4"/>
    <x v="29"/>
    <n v="1.0395700331338842"/>
    <n v="33491.116568067948"/>
    <n v="3.4149076887375358"/>
    <n v="2.6947361947187747"/>
    <n v="4.1978193681306424"/>
    <n v="111131.06249067516"/>
    <n v="93"/>
    <n v="30.020098487696636"/>
    <s v="OK"/>
  </r>
  <r>
    <d v="2021-06-28T00:00:00"/>
    <x v="1"/>
    <x v="13"/>
    <n v="0.15957282675644313"/>
    <n v="31967.426927108747"/>
    <n v="3.2733859753363626"/>
    <n v="2.7132937073729386"/>
    <n v="4.5095073640252537"/>
    <n v="73290.368618002176"/>
    <n v="104"/>
    <n v="72.440797747689004"/>
    <s v="OK"/>
  </r>
  <r>
    <d v="2021-07-28T00:00:00"/>
    <x v="3"/>
    <x v="14"/>
    <n v="-1.5026441186231676"/>
    <n v="34475.966100138663"/>
    <n v="3.8481937237283574"/>
    <n v="2.5012054753622244"/>
    <e v="#REF!"/>
    <n v="109720.72578835273"/>
    <n v="99"/>
    <n v="23.183770186852204"/>
    <s v="OK"/>
  </r>
  <r>
    <d v="2021-08-27T00:00:00"/>
    <x v="2"/>
    <x v="27"/>
    <n v="1.5284573700102404"/>
    <n v="33175.859008409847"/>
    <n v="4.5281035649701611"/>
    <n v="1.6829113689318094"/>
    <n v="6.9936154968841437"/>
    <n v="69053.920221232693"/>
    <n v="92"/>
    <n v="67.814586841876718"/>
    <s v="OK"/>
  </r>
  <r>
    <d v="2021-09-26T00:00:00"/>
    <x v="1"/>
    <x v="21"/>
    <n v="-0.42709197749518424"/>
    <n v="35247.763576596677"/>
    <n v="3.5442034431459235"/>
    <n v="3.1592456684324048"/>
    <n v="3.8787107605503746"/>
    <n v="121653.82107774146"/>
    <n v="83"/>
    <n v="89.575670788130708"/>
    <s v="OK"/>
  </r>
  <r>
    <d v="2021-10-26T00:00:00"/>
    <x v="0"/>
    <x v="22"/>
    <n v="1.430679902634969"/>
    <n v="27323.823942197159"/>
    <n v="4.2387650405276309"/>
    <n v="3.4375701376265582"/>
    <n v="3.9130504519077158"/>
    <n v="90577.50696364243"/>
    <n v="80"/>
    <n v="91.266571863170682"/>
    <s v="OK"/>
  </r>
  <r>
    <d v="2021-11-25T00:00:00"/>
    <x v="2"/>
    <x v="26"/>
    <n v="0.45290522888225682"/>
    <n v="36586.970328171628"/>
    <n v="2.9291554429332476"/>
    <n v="0.89244013563102587"/>
    <n v="5.1652444836018301"/>
    <n v="98127.276225216585"/>
    <n v="91"/>
    <n v="55.923020829596936"/>
    <s v="OK"/>
  </r>
  <r>
    <d v="2021-12-25T00:00:00"/>
    <x v="0"/>
    <x v="34"/>
    <n v="-1.0137567817468116"/>
    <n v="30987.998023461998"/>
    <n v="3.4031702703601407"/>
    <n v="1.7372752214337859"/>
    <n v="6.1567177568535607"/>
    <n v="126515.93295084379"/>
    <n v="91"/>
    <n v="56.744295057045903"/>
    <s v="OK"/>
  </r>
  <r>
    <d v="2022-01-24T00:00:00"/>
    <x v="1"/>
    <x v="13"/>
    <n v="0.15957282675644313"/>
    <n v="40376.304363126328"/>
    <n v="3.1415888396985974"/>
    <n v="1.7308576502127018"/>
    <n v="6.158660602380837"/>
    <n v="74256.728628315002"/>
    <n v="74"/>
    <n v="26.157534640641387"/>
    <s v="OK"/>
  </r>
  <r>
    <d v="2022-02-23T00:00:00"/>
    <x v="4"/>
    <x v="35"/>
    <n v="-1.4048666512478964"/>
    <n v="26554.060909552161"/>
    <n v="2.5667316914634699"/>
    <n v="1.5600968988911355"/>
    <n v="5.1940530477355624"/>
    <n v="72057.636297740173"/>
    <n v="80"/>
    <n v="73.661202035442855"/>
    <s v="OK"/>
  </r>
  <r>
    <d v="2022-03-25T00:00:00"/>
    <x v="1"/>
    <x v="13"/>
    <n v="0.15957282675644313"/>
    <n v="38679.819015826244"/>
    <n v="3.4586596570786505"/>
    <n v="3.3294748419317486"/>
    <n v="5.3494548879965196"/>
    <n v="88328.013473079904"/>
    <n v="81"/>
    <n v="85.700753629827645"/>
    <s v="OK"/>
  </r>
  <r>
    <d v="2022-04-24T00:00:00"/>
    <x v="0"/>
    <x v="26"/>
    <n v="0.45290522888225682"/>
    <n v="30989.553917313238"/>
    <n v="3.439126245808358"/>
    <n v="2.3061738612271965"/>
    <n v="5.8934554289912287"/>
    <n v="120767.57702038634"/>
    <n v="87"/>
    <n v="39.572404368377043"/>
    <s v="OK"/>
  </r>
  <r>
    <d v="2022-05-24T00:00:00"/>
    <x v="2"/>
    <x v="19"/>
    <n v="0.64846016363279924"/>
    <n v="19791.325657878548"/>
    <n v="4.2567248716210653"/>
    <n v="2.2354851586893894"/>
    <n v="5.6030716075519962"/>
    <n v="69613.078490463144"/>
    <n v="95"/>
    <n v="53.704070530669171"/>
    <s v="OK"/>
  </r>
  <r>
    <d v="2022-06-23T00:00:00"/>
    <x v="3"/>
    <x v="21"/>
    <n v="-0.42709197749518424"/>
    <n v="27580.570829728393"/>
    <n v="3.8154058422773889"/>
    <n v="0.49613763559324653"/>
    <n v="2.836839552702958"/>
    <n v="43356.888037788623"/>
    <n v="108"/>
    <n v="87.107146941221629"/>
    <s v="OK"/>
  </r>
  <r>
    <d v="2022-07-23T00:00:00"/>
    <x v="1"/>
    <x v="26"/>
    <n v="0.45290522888225682"/>
    <n v="28398.2634590284"/>
    <n v="2.9879065878353974"/>
    <n v="3.1354180302092263"/>
    <n v="5.2242404433097676"/>
    <n v="90976.822831820027"/>
    <n v="79"/>
    <n v="90.169637412983036"/>
    <s v="OK"/>
  </r>
  <r>
    <d v="2022-08-22T00:00:00"/>
    <x v="2"/>
    <x v="10"/>
    <n v="0.55068269625752808"/>
    <n v="32120.829732009581"/>
    <n v="4.427046283167094"/>
    <n v="1.2607416051465274"/>
    <n v="4.478312278887624"/>
    <n v="98127.276225216585"/>
    <n v="89"/>
    <n v="39.454398421138073"/>
    <s v="OK"/>
  </r>
  <r>
    <d v="2022-09-21T00:00:00"/>
    <x v="4"/>
    <x v="14"/>
    <n v="-1.5026441186231676"/>
    <n v="32614.177440177496"/>
    <n v="4.1105168477626766"/>
    <n v="2.5599326302663283"/>
    <n v="5.7102537026902143"/>
    <n v="124005.23499477659"/>
    <n v="95"/>
    <n v="64.045650763309141"/>
    <s v="OK"/>
  </r>
  <r>
    <d v="2022-10-21T00:00:00"/>
    <x v="4"/>
    <x v="16"/>
    <n v="-0.62264691224572666"/>
    <n v="27131.499980307104"/>
    <n v="3.7910488517343079"/>
    <n v="2.7773769379581918"/>
    <e v="#REF!"/>
    <n v="90736.77275829202"/>
    <n v="96"/>
    <n v="35.399452050866167"/>
    <s v="OK"/>
  </r>
  <r>
    <d v="2022-11-20T00:00:00"/>
    <x v="4"/>
    <x v="27"/>
    <n v="1.5284573700102404"/>
    <n v="29878.227038695084"/>
    <n v="3.3867579505750842"/>
    <n v="3.8606585958386512"/>
    <n v="5.9409779985691653"/>
    <n v="91771.467857679949"/>
    <n v="103"/>
    <n v="28.150301131164525"/>
    <s v="OK"/>
  </r>
  <r>
    <d v="2022-12-20T00:00:00"/>
    <x v="2"/>
    <x v="36"/>
    <n v="0.94179256575861292"/>
    <n v="40711.351793059323"/>
    <n v="3.0202803816382602"/>
    <n v="1.1911796008808879"/>
    <n v="5.1237643765931224"/>
    <n v="123078.01468511495"/>
    <n v="82"/>
    <n v="92.889640111356599"/>
    <s v="OK"/>
  </r>
  <r>
    <d v="2023-01-19T00:00:00"/>
    <x v="1"/>
    <x v="37"/>
    <n v="0.25735029413171434"/>
    <n v="38637.715850503555"/>
    <n v="3.3138966119644735"/>
    <n v="2.5869878667632307"/>
    <n v="6.6061618023727027"/>
    <n v="62605.166006091589"/>
    <n v="83"/>
    <n v="85.640600338568731"/>
    <s v="OK"/>
  </r>
  <r>
    <d v="2023-02-18T00:00:00"/>
    <x v="2"/>
    <x v="9"/>
    <n v="6.1795359381171901E-2"/>
    <n v="32181.618348370161"/>
    <n v="4.0443743098520928"/>
    <n v="2.683849544753695"/>
    <n v="6.0792254646510555"/>
    <n v="92229.584496339812"/>
    <n v="78"/>
    <n v="80.802792144253914"/>
    <s v="OK"/>
  </r>
  <r>
    <d v="2023-03-20T00:00:00"/>
    <x v="2"/>
    <x v="16"/>
    <n v="-0.62264691224572666"/>
    <n v="30190.017390841"/>
    <n v="4.4422931529673049"/>
    <n v="4.3005111815108537"/>
    <n v="6.0041133885422093"/>
    <n v="103808.47779850116"/>
    <n v="90"/>
    <n v="23.901305505051234"/>
    <s v="OK"/>
  </r>
  <r>
    <d v="2023-04-19T00:00:00"/>
    <x v="3"/>
    <x v="30"/>
    <n v="2.1151221742618675"/>
    <n v="30600.156633591305"/>
    <n v="4.2716217641360945"/>
    <n v="3.7389463529394371"/>
    <n v="6.2282207118588051"/>
    <n v="108984.37442570069"/>
    <e v="#REF!"/>
    <n v="87.49830341682059"/>
    <s v="OK"/>
  </r>
  <r>
    <d v="2023-05-19T00:00:00"/>
    <x v="3"/>
    <x v="38"/>
    <n v="1.7240123047607827"/>
    <n v="33067.589863652087"/>
    <n v="3.2555752891068628"/>
    <n v="2.7096594152746256"/>
    <n v="7.9678522777954495"/>
    <e v="#REF!"/>
    <n v="98"/>
    <n v="55.043526072430701"/>
    <s v="OK"/>
  </r>
  <r>
    <d v="2023-06-18T00:00:00"/>
    <x v="1"/>
    <x v="7"/>
    <n v="-0.13375957536937055"/>
    <n v="24886.037174007972"/>
    <n v="2.9401912833554942"/>
    <n v="2.0083638143679527"/>
    <n v="4.1429338776089013"/>
    <n v="100688.82023411682"/>
    <n v="87"/>
    <n v="47.391609863668769"/>
    <s v="OK"/>
  </r>
  <r>
    <d v="2023-07-18T00:00:00"/>
    <x v="3"/>
    <x v="6"/>
    <n v="-0.5248694448704555"/>
    <n v="28713.117312883274"/>
    <n v="3.5704431234556018"/>
    <n v="3.3071225966373103"/>
    <n v="6.0683584921737452"/>
    <n v="50233.452931740212"/>
    <n v="108"/>
    <n v="63.718108882030116"/>
    <s v="OK"/>
  </r>
  <r>
    <d v="2023-08-17T00:00:00"/>
    <x v="4"/>
    <x v="39"/>
    <n v="1.2351249678844267"/>
    <n v="21657.079630612054"/>
    <n v="2.6157803172185741"/>
    <n v="1.8248217250256185"/>
    <n v="4.3883426440221545"/>
    <n v="86835.031753323041"/>
    <n v="98"/>
    <n v="27.308259417884464"/>
    <s v="OK"/>
  </r>
  <r>
    <d v="2023-09-16T00:00:00"/>
    <x v="3"/>
    <x v="34"/>
    <n v="-1.0137567817468116"/>
    <n v="31996.115613026395"/>
    <n v="3.6615838570923906"/>
    <n v="2.9763577693562193"/>
    <n v="6.1666151756106977"/>
    <n v="109070.17425108935"/>
    <n v="87"/>
    <n v="80.53172394819191"/>
    <s v="OK"/>
  </r>
  <r>
    <d v="2023-10-16T00:00:00"/>
    <x v="4"/>
    <x v="40"/>
    <n v="1.9195672395113252"/>
    <n v="33235.979698513707"/>
    <n v="3.4261987068506659"/>
    <n v="3.0054701591666269"/>
    <n v="4.3975761862166873"/>
    <n v="80354.119314906406"/>
    <n v="95"/>
    <n v="66.594806151063665"/>
    <s v="OK"/>
  </r>
  <r>
    <d v="2023-11-15T00:00:00"/>
    <x v="1"/>
    <x v="37"/>
    <n v="0.25735029413171434"/>
    <n v="27584.067688503128"/>
    <n v="3.266981749065879"/>
    <n v="3.56020990749888"/>
    <n v="4.9991598236738986"/>
    <n v="92229.584496339812"/>
    <n v="92"/>
    <n v="34.927207749853402"/>
    <s v="OK"/>
  </r>
  <r>
    <d v="2023-12-15T00:00:00"/>
    <x v="2"/>
    <x v="17"/>
    <n v="-1.2093117164973541"/>
    <n v="37869.933816450168"/>
    <n v="2.7026484663666022"/>
    <n v="2.6947361947187747"/>
    <n v="5.1458921029145124"/>
    <n v="108937.45001605396"/>
    <n v="90"/>
    <n v="35.058575981523646"/>
    <s v="OK"/>
  </r>
  <r>
    <d v="2024-01-14T00:00:00"/>
    <x v="2"/>
    <x v="20"/>
    <n v="1.3329024352596979"/>
    <n v="23871.171684988294"/>
    <n v="3.7568000532848584"/>
    <n v="2.892415967178767"/>
    <n v="6.6709800632136513"/>
    <n v="93149.015982844707"/>
    <n v="88"/>
    <n v="34.739892125813938"/>
    <s v="OK"/>
  </r>
  <r>
    <d v="2024-02-13T00:00:00"/>
    <x v="3"/>
    <x v="19"/>
    <n v="0.64846016363279924"/>
    <n v="22678.125598950901"/>
    <n v="3.2336495801690441"/>
    <n v="1.9910363742925012"/>
    <n v="6.6021453327308963"/>
    <n v="103409.27541993142"/>
    <e v="#REF!"/>
    <n v="24.560191004154717"/>
    <s v="OK"/>
  </r>
  <r>
    <d v="2024-03-14T00:00:00"/>
    <x v="4"/>
    <x v="0"/>
    <n v="-0.32931451011991297"/>
    <n v="26554.060909552161"/>
    <n v="2.9150415821448559"/>
    <n v="2.4744256878080058"/>
    <n v="6.6061618023727027"/>
    <n v="80745.348694307759"/>
    <n v="87"/>
    <n v="67.023875949734787"/>
    <s v="OK"/>
  </r>
  <r>
    <d v="2024-04-13T00:00:00"/>
    <x v="0"/>
    <x v="29"/>
    <n v="1.0395700331338842"/>
    <n v="35235.49151306077"/>
    <e v="#REF!"/>
    <n v="0.73092409511088174"/>
    <n v="5.5659209331998181"/>
    <n v="95867.774406079072"/>
    <n v="81"/>
    <n v="87.227854207080654"/>
    <s v="OK"/>
  </r>
  <r>
    <d v="2024-05-13T00:00:00"/>
    <x v="0"/>
    <x v="9"/>
    <n v="6.1795359381171901E-2"/>
    <n v="38419.638457289344"/>
    <n v="3.4862425474746819"/>
    <n v="1.8052868689109418"/>
    <n v="4.6485041743009932"/>
    <e v="#REF!"/>
    <n v="105"/>
    <n v="21.399857118991086"/>
    <s v="OK"/>
  </r>
  <r>
    <d v="2024-06-12T00:00:00"/>
    <x v="0"/>
    <x v="14"/>
    <n v="-1.5026441186231676"/>
    <n v="27705.578685655299"/>
    <n v="4.3861257983348718"/>
    <n v="2.0907175618868958"/>
    <n v="3.9897941071895984"/>
    <n v="103139.45921936868"/>
    <n v="101"/>
    <n v="23.920371597701884"/>
    <s v="OK"/>
  </r>
  <r>
    <d v="2024-07-12T00:00:00"/>
    <x v="2"/>
    <x v="19"/>
    <n v="0.64846016363279924"/>
    <n v="35393.404167156477"/>
    <n v="4.3306296072739352"/>
    <n v="1.9759116020654075"/>
    <n v="5.2395795394907552"/>
    <n v="88269.374608721293"/>
    <n v="113"/>
    <n v="65.82162213495566"/>
    <s v="OK"/>
  </r>
  <r>
    <d v="2024-08-11T00:00:00"/>
    <x v="2"/>
    <x v="22"/>
    <n v="1.430679902634969"/>
    <n v="29807.457652496465"/>
    <n v="3.2714518717068639"/>
    <n v="2.652354872033722"/>
    <n v="5.1298206538530167"/>
    <n v="104484.32808581585"/>
    <n v="85"/>
    <n v="85.559654830884185"/>
    <s v="OK"/>
  </r>
  <r>
    <d v="2024-09-10T00:00:00"/>
    <x v="4"/>
    <x v="0"/>
    <n v="-0.32931451011991297"/>
    <n v="29136.863500295902"/>
    <n v="3.1988939698191099"/>
    <n v="1.5600968988911355"/>
    <e v="#REF!"/>
    <n v="114292.19581273236"/>
    <n v="90"/>
    <n v="46.139111245490689"/>
    <s v="OK"/>
  </r>
  <r>
    <d v="2024-10-10T00:00:00"/>
    <x v="3"/>
    <x v="37"/>
    <n v="0.25735029413171434"/>
    <n v="34418.299687433362"/>
    <n v="3.734387128037512"/>
    <n v="3.6210306673244714"/>
    <n v="6.0195517904328355"/>
    <n v="59001.174428450438"/>
    <n v="83"/>
    <n v="47.969151904617775"/>
    <s v="OK"/>
  </r>
  <r>
    <d v="2024-11-09T00:00:00"/>
    <x v="0"/>
    <x v="19"/>
    <n v="0.64846016363279924"/>
    <n v="33261.614392067095"/>
    <e v="#REF!"/>
    <n v="2.5002070649181971"/>
    <n v="3.8468589990949154"/>
    <n v="123181.48129911795"/>
    <n v="99"/>
    <n v="67.70771979974208"/>
    <s v="OK"/>
  </r>
  <r>
    <d v="2024-12-09T00:00:00"/>
    <x v="4"/>
    <x v="16"/>
    <n v="-0.62264691224572666"/>
    <n v="22118.039215078752"/>
    <n v="3.6508959499097329"/>
    <n v="2.4906996788613855"/>
    <n v="4.8222711949948689"/>
    <n v="93274.905226378556"/>
    <n v="84"/>
    <n v="41.937031129931761"/>
    <s v="OK"/>
  </r>
  <r>
    <d v="2025-01-08T00:00:00"/>
    <x v="4"/>
    <x v="9"/>
    <n v="6.1795359381171901E-2"/>
    <n v="37382.701748629479"/>
    <e v="#REF!"/>
    <n v="2.172105283487082"/>
    <n v="6.7256599545152778"/>
    <n v="108509.79866480461"/>
    <n v="87"/>
    <n v="22.128669286214731"/>
    <s v="OK"/>
  </r>
  <r>
    <d v="2025-02-07T00:00:00"/>
    <x v="3"/>
    <x v="4"/>
    <n v="1.1373475005091553"/>
    <n v="36900.456770737255"/>
    <n v="4.1134666119421537"/>
    <n v="2.6551906838589789"/>
    <n v="8.0061313274439101"/>
    <n v="123944.93847290456"/>
    <n v="78"/>
    <n v="78.818281448127692"/>
    <s v="OK"/>
  </r>
  <r>
    <d v="2025-03-09T00:00:00"/>
    <x v="4"/>
    <x v="17"/>
    <n v="-1.2093117164973541"/>
    <n v="32181.618348370161"/>
    <n v="3.4499229617600236"/>
    <n v="3.3250982646676346"/>
    <n v="3.5968200253144502"/>
    <n v="72566.526055390685"/>
    <n v="110"/>
    <n v="47.391609863668769"/>
    <s v="OK"/>
  </r>
  <r>
    <d v="2025-04-08T00:00:00"/>
    <x v="3"/>
    <x v="9"/>
    <n v="6.1795359381171901E-2"/>
    <n v="31979.017667187047"/>
    <n v="3.398163124911517"/>
    <n v="1.6328697842890998"/>
    <n v="3.2440907378331461"/>
    <n v="85811.17995144907"/>
    <n v="85"/>
    <n v="66.460479924452727"/>
    <s v="OK"/>
  </r>
  <r>
    <d v="2025-05-08T00:00:00"/>
    <x v="1"/>
    <x v="26"/>
    <n v="0.45290522888225682"/>
    <n v="32470.150931413693"/>
    <n v="3.195108547840309"/>
    <n v="1.8418835109247433"/>
    <n v="7.7451582104461387"/>
    <e v="#REF!"/>
    <n v="94"/>
    <n v="79.334730319345852"/>
    <s v="OK"/>
  </r>
  <r>
    <d v="2025-06-07T00:00:00"/>
    <x v="3"/>
    <x v="32"/>
    <n v="-2.0893089228747952"/>
    <e v="#REF!"/>
    <n v="3.0865598229800701"/>
    <n v="2.1962739712233352"/>
    <n v="5.9675370128450851"/>
    <n v="84324.92957751143"/>
    <n v="77"/>
    <n v="74.018467004963"/>
    <s v="OK"/>
  </r>
  <r>
    <d v="2025-07-07T00:00:00"/>
    <x v="0"/>
    <x v="13"/>
    <n v="0.15957282675644313"/>
    <n v="27248.474230772899"/>
    <n v="3.3867605540492365"/>
    <n v="1.1541290765267851"/>
    <n v="4.4580487217483604"/>
    <n v="134698.73151673615"/>
    <n v="99"/>
    <n v="36.470559054265692"/>
    <s v="OK"/>
  </r>
  <r>
    <d v="2025-08-06T00:00:00"/>
    <x v="0"/>
    <x v="9"/>
    <n v="6.1795359381171901E-2"/>
    <n v="26641.883160309742"/>
    <n v="3.6836827534080889"/>
    <n v="1.6807421402785021"/>
    <n v="6.1415549033469219"/>
    <n v="123181.48129911795"/>
    <n v="85"/>
    <n v="48.198483755468089"/>
    <s v="OK"/>
  </r>
  <r>
    <d v="2025-09-05T00:00:00"/>
    <x v="3"/>
    <x v="36"/>
    <n v="0.94179256575861292"/>
    <n v="29872.229645042775"/>
    <n v="3.9567923131166247"/>
    <n v="2.0237791264553411"/>
    <e v="#REF!"/>
    <n v="88889.064410262668"/>
    <n v="97"/>
    <n v="30.08881133429"/>
    <s v="OK"/>
  </r>
  <r>
    <d v="2025-10-05T00:00:00"/>
    <x v="1"/>
    <x v="7"/>
    <n v="-0.13375957536937055"/>
    <n v="35863.645096296823"/>
    <n v="3.0984105246598275"/>
    <n v="3.3743891807127273"/>
    <n v="5.504050607916593"/>
    <n v="104087.78063205954"/>
    <n v="84"/>
    <n v="30.388561073430481"/>
    <s v="OK"/>
  </r>
  <r>
    <d v="2025-11-04T00:00:00"/>
    <x v="1"/>
    <x v="4"/>
    <n v="1.1373475005091553"/>
    <n v="32718.000772972162"/>
    <n v="3.7097662219535139"/>
    <n v="2.7625613290019251"/>
    <n v="5.893385407411702"/>
    <n v="75957.009478478227"/>
    <n v="102"/>
    <n v="74.095659708523129"/>
    <s v="OK"/>
  </r>
  <r>
    <d v="2025-12-04T00:00:00"/>
    <x v="0"/>
    <x v="24"/>
    <n v="-0.23153704274464176"/>
    <n v="28146.928339569469"/>
    <n v="3.3644381994787156"/>
    <n v="2.6935899113675443"/>
    <n v="6.6091241674453958"/>
    <n v="72566.526055390685"/>
    <n v="96"/>
    <n v="88.688008558599861"/>
    <s v="OK"/>
  </r>
  <r>
    <d v="2026-01-03T00:00:00"/>
    <x v="1"/>
    <x v="2"/>
    <n v="-1.1115342491220828"/>
    <n v="33858.493553241722"/>
    <n v="3.489316352825782"/>
    <n v="3.3508979621679722"/>
    <n v="4.2833248572489548"/>
    <n v="106349.06522500351"/>
    <n v="95"/>
    <n v="97.018606708891127"/>
    <s v="OK"/>
  </r>
  <r>
    <d v="2026-02-02T00:00:00"/>
    <x v="4"/>
    <x v="13"/>
    <n v="0.15957282675644313"/>
    <e v="#REF!"/>
    <n v="3.1263941604260883"/>
    <n v="2.3626282116006032"/>
    <n v="5.6028245936840309"/>
    <n v="93342.79191234977"/>
    <n v="103"/>
    <n v="70.267769403955555"/>
    <s v="OK"/>
  </r>
  <r>
    <d v="2026-03-04T00:00:00"/>
    <x v="2"/>
    <x v="10"/>
    <n v="0.55068269625752808"/>
    <n v="35743.828501860517"/>
    <n v="2.287879869863529"/>
    <n v="2.8904648499288896"/>
    <n v="4.3894904487284956"/>
    <n v="98132.262822001037"/>
    <n v="89"/>
    <n v="34.728105868876554"/>
    <s v="OK"/>
  </r>
  <r>
    <d v="2026-04-03T00:00:00"/>
    <x v="4"/>
    <x v="37"/>
    <n v="0.25735029413171434"/>
    <n v="21301.4311061095"/>
    <n v="3.9420226981805246"/>
    <n v="2.3967782470675036"/>
    <n v="5.8064605068091808"/>
    <n v="89413.357751032585"/>
    <n v="87"/>
    <n v="28.452027635914455"/>
    <s v="OK"/>
  </r>
  <r>
    <d v="2026-05-03T00:00:00"/>
    <x v="0"/>
    <x v="7"/>
    <n v="-0.13375957536937055"/>
    <n v="28187.795292984338"/>
    <n v="3.8684219485462168"/>
    <n v="2.7653623493996284"/>
    <n v="4.4255844131643709"/>
    <n v="69710.593816384659"/>
    <n v="101"/>
    <n v="85.028077722940623"/>
    <s v="OK"/>
  </r>
  <r>
    <d v="2026-06-02T00:00:00"/>
    <x v="1"/>
    <x v="0"/>
    <n v="-0.32931451011991297"/>
    <n v="24401.650526869282"/>
    <e v="#REF!"/>
    <n v="1.9172413423884178"/>
    <n v="3.2440907378331461"/>
    <n v="106431.86422678478"/>
    <n v="80"/>
    <n v="66.300518108799935"/>
    <s v="OK"/>
  </r>
  <r>
    <d v="2026-07-02T00:00:00"/>
    <x v="3"/>
    <x v="15"/>
    <n v="-2.2848638576253375"/>
    <n v="23526.59262139547"/>
    <e v="#REF!"/>
    <n v="2.5869878667632307"/>
    <n v="4.3050215262517249"/>
    <n v="135098.66143294482"/>
    <n v="90"/>
    <n v="69.462801681097588"/>
    <s v="OK"/>
  </r>
  <r>
    <d v="2026-08-01T00:00:00"/>
    <x v="2"/>
    <x v="39"/>
    <n v="1.2351249678844267"/>
    <n v="35804.133936892598"/>
    <n v="2.7908171335334844"/>
    <n v="2.3657208378136958"/>
    <n v="6.2813634901883884"/>
    <n v="100368.03261566877"/>
    <n v="89"/>
    <n v="82.516967100376746"/>
    <s v="OK"/>
  </r>
  <r>
    <d v="2026-08-31T00:00:00"/>
    <x v="3"/>
    <x v="8"/>
    <n v="-3.5982107994099323E-2"/>
    <n v="27661.493993440545"/>
    <n v="2.7187270715567289"/>
    <n v="3.9227481360999401"/>
    <n v="6.5301413399879982"/>
    <n v="72566.526055390685"/>
    <n v="100"/>
    <n v="76.262178218596119"/>
    <s v="OK"/>
  </r>
  <r>
    <d v="2026-09-30T00:00:00"/>
    <x v="0"/>
    <x v="9"/>
    <n v="6.1795359381171901E-2"/>
    <n v="31732.519408653578"/>
    <n v="3.2354736613268527"/>
    <n v="3.4262154022415925"/>
    <n v="5.2184553160511031"/>
    <n v="113854.45510233719"/>
    <n v="76"/>
    <n v="86.756660228487732"/>
    <s v="OK"/>
  </r>
  <r>
    <d v="2026-10-30T00:00:00"/>
    <x v="1"/>
    <x v="34"/>
    <n v="-1.0137567817468116"/>
    <n v="29765.397105604079"/>
    <n v="3.8971323398109137"/>
    <n v="3.4653974845911706"/>
    <n v="5.5458855939520344"/>
    <n v="74613.390069066023"/>
    <n v="95"/>
    <n v="24.497112436790278"/>
    <s v="OK"/>
  </r>
  <r>
    <d v="2026-11-29T00:00:00"/>
    <x v="3"/>
    <x v="37"/>
    <n v="0.25735029413171434"/>
    <n v="32385.204136115608"/>
    <n v="2.8728552884153755"/>
    <n v="3.7361307218062176"/>
    <n v="3.7616903024397468"/>
    <n v="134050.2931625921"/>
    <n v="86"/>
    <n v="79.801650939720389"/>
    <s v="OK"/>
  </r>
  <r>
    <d v="2026-12-29T00:00:00"/>
    <x v="3"/>
    <x v="26"/>
    <n v="0.45290522888225682"/>
    <n v="30384.109455301277"/>
    <e v="#REF!"/>
    <n v="2.5886575909614375"/>
    <n v="5.1403880223918552"/>
    <n v="104046.57592845603"/>
    <n v="96"/>
    <n v="88.068220585767634"/>
    <s v="OK"/>
  </r>
  <r>
    <d v="2027-01-28T00:00:00"/>
    <x v="2"/>
    <x v="0"/>
    <n v="-0.32931451011991297"/>
    <n v="23585.038879057152"/>
    <n v="2.8217090976882977"/>
    <n v="2.6973157074055956"/>
    <n v="5.4397544595499063"/>
    <n v="132637.13798178217"/>
    <n v="87"/>
    <n v="42.890803396665149"/>
    <s v="OK"/>
  </r>
  <r>
    <d v="2027-02-27T00:00:00"/>
    <x v="2"/>
    <x v="9"/>
    <n v="6.1795359381171901E-2"/>
    <n v="34981.334097235696"/>
    <n v="3.7332149912167631"/>
    <n v="1.8823481045656498"/>
    <e v="#REF!"/>
    <n v="85339.340089520207"/>
    <n v="95"/>
    <n v="71.235781919460237"/>
    <s v="OK"/>
  </r>
  <r>
    <d v="2027-03-29T00:00:00"/>
    <x v="1"/>
    <x v="10"/>
    <n v="0.55068269625752808"/>
    <n v="27531.217084193438"/>
    <n v="3.4821792588512581"/>
    <n v="2.1839271439729502"/>
    <n v="4.1656395690710042"/>
    <n v="136361.2384511565"/>
    <n v="83"/>
    <n v="45.132965106957769"/>
    <s v="OK"/>
  </r>
  <r>
    <d v="2027-04-28T00:00:00"/>
    <x v="2"/>
    <x v="41"/>
    <n v="-1.7959765207489813"/>
    <n v="22217.090506701243"/>
    <n v="2.6924340920472454"/>
    <n v="3.1157711497711418"/>
    <n v="7.2570126865029252"/>
    <n v="115503.10988069566"/>
    <n v="109"/>
    <n v="96.637685318596326"/>
    <s v="OK"/>
  </r>
  <r>
    <d v="2027-05-28T00:00:00"/>
    <x v="3"/>
    <x v="33"/>
    <n v="2.0173447068865964"/>
    <n v="27859.424195170439"/>
    <n v="4.082369677228586"/>
    <n v="3.7038844371688162"/>
    <n v="6.6962305281589698"/>
    <n v="111060.80171704717"/>
    <n v="98"/>
    <n v="22.673885794840302"/>
    <s v="OK"/>
  </r>
  <r>
    <d v="2027-06-27T00:00:00"/>
    <x v="3"/>
    <x v="24"/>
    <n v="-0.23153704274464176"/>
    <n v="37503.798953171558"/>
    <n v="3.1327042116009753"/>
    <n v="2.5869878667632307"/>
    <n v="5.8367636853881635"/>
    <n v="104680.48908706296"/>
    <n v="78"/>
    <n v="66.383427506636394"/>
    <s v="OK"/>
  </r>
  <r>
    <d v="2027-07-27T00:00:00"/>
    <x v="0"/>
    <x v="8"/>
    <n v="-3.5982107994099323E-2"/>
    <n v="34251.108710567467"/>
    <n v="3.0948737814928093"/>
    <n v="2.0498107351485886"/>
    <n v="7.6103445810341599"/>
    <n v="95029.427638511013"/>
    <n v="91"/>
    <n v="33.320283763961207"/>
    <s v="OK"/>
  </r>
  <r>
    <d v="2027-08-26T00:00:00"/>
    <x v="3"/>
    <x v="33"/>
    <n v="2.0173447068865964"/>
    <n v="28256.739327960706"/>
    <n v="3.6002845986154712"/>
    <n v="2.5005279588565972"/>
    <n v="5.9465265671282355"/>
    <n v="124010.63316947746"/>
    <n v="86"/>
    <n v="88.688008558599861"/>
    <s v="OK"/>
  </r>
  <r>
    <d v="2027-09-25T00:00:00"/>
    <x v="1"/>
    <x v="5"/>
    <n v="-0.91597931437154034"/>
    <n v="28253.711478407855"/>
    <n v="4.0743186747143572"/>
    <n v="3.1012067489291146"/>
    <n v="5.9669910348015147"/>
    <n v="102807.19739696094"/>
    <n v="86"/>
    <n v="34.071222673492969"/>
    <s v="OK"/>
  </r>
  <r>
    <d v="2027-10-25T00:00:00"/>
    <x v="4"/>
    <x v="35"/>
    <n v="-1.4048666512478964"/>
    <n v="28391.824743913086"/>
    <n v="2.9920890905108015"/>
    <n v="1.0561451838664582"/>
    <n v="5.4362552163789459"/>
    <n v="60658.605928256955"/>
    <n v="88"/>
    <n v="38.830660951868609"/>
    <s v="OK"/>
  </r>
  <r>
    <d v="2027-11-24T00:00:00"/>
    <x v="0"/>
    <x v="14"/>
    <n v="-1.5026441186231676"/>
    <n v="40383.739917804203"/>
    <n v="3.5308399249239857"/>
    <n v="2.5869878667632307"/>
    <n v="6.9682826589023534"/>
    <n v="77656.270765859954"/>
    <n v="90"/>
    <n v="59.549664883660647"/>
    <s v="OK"/>
  </r>
  <r>
    <d v="2027-12-24T00:00:00"/>
    <x v="0"/>
    <x v="19"/>
    <n v="0.64846016363279924"/>
    <n v="31909.677261157765"/>
    <n v="3.7144082501652864"/>
    <n v="1.9494631505084166"/>
    <n v="6.8157630805730607"/>
    <n v="96283.08495614506"/>
    <n v="83"/>
    <n v="93.186795999750245"/>
    <s v="OK"/>
  </r>
  <r>
    <d v="2028-01-23T00:00:00"/>
    <x v="1"/>
    <x v="39"/>
    <n v="1.2351249678844267"/>
    <n v="32150.20823595535"/>
    <n v="3.8465528036315719"/>
    <n v="1.2792875740858414"/>
    <n v="4.7491872550045446"/>
    <n v="106199.9796633111"/>
    <n v="83"/>
    <n v="36.937149771837667"/>
    <s v="OK"/>
  </r>
  <r>
    <d v="2028-02-22T00:00:00"/>
    <x v="1"/>
    <x v="29"/>
    <n v="1.0395700331338842"/>
    <n v="35151.417270159211"/>
    <n v="3.5882207776386128"/>
    <n v="1.991859802352689"/>
    <n v="3.9169033664814794"/>
    <n v="98868.230222002079"/>
    <n v="88"/>
    <n v="31.539201689448284"/>
    <s v="OK"/>
  </r>
  <r>
    <d v="2028-03-23T00:00:00"/>
    <x v="2"/>
    <x v="11"/>
    <n v="-1.3070891838726253"/>
    <n v="31193.945795132568"/>
    <n v="3.3164860804583389"/>
    <n v="2.3522196811825284"/>
    <n v="5.2564232351252116"/>
    <n v="124379.41579587327"/>
    <n v="99"/>
    <n v="80.718146548322451"/>
    <s v="OK"/>
  </r>
  <r>
    <d v="2028-04-22T00:00:00"/>
    <x v="0"/>
    <x v="26"/>
    <n v="0.45290522888225682"/>
    <e v="#REF!"/>
    <n v="3.0862048896756402"/>
    <n v="2.0467515909769864"/>
    <n v="4.5399537227228244"/>
    <n v="60977.9627192275"/>
    <n v="100"/>
    <n v="60.04956258671448"/>
    <s v="OK"/>
  </r>
  <r>
    <d v="2028-05-22T00:00:00"/>
    <x v="2"/>
    <x v="1"/>
    <n v="0.7462376310080705"/>
    <n v="29018.250754575107"/>
    <e v="#REF!"/>
    <n v="3.9524675344707454"/>
    <n v="5.4237705104615737"/>
    <n v="102871.7587301032"/>
    <n v="88"/>
    <n v="92.942808990541707"/>
    <s v="OK"/>
  </r>
  <r>
    <d v="2028-06-21T00:00:00"/>
    <x v="3"/>
    <x v="16"/>
    <n v="-0.62264691224572666"/>
    <n v="29641.993702929682"/>
    <n v="2.9639304940071964"/>
    <n v="2.8267447646023198"/>
    <n v="6.9849257616209668"/>
    <n v="63640.415492256907"/>
    <n v="83"/>
    <n v="31.729164572787383"/>
    <s v="OK"/>
  </r>
  <r>
    <d v="2028-07-21T00:00:00"/>
    <x v="0"/>
    <x v="18"/>
    <n v="0.84401509838334177"/>
    <n v="29813.888817450792"/>
    <e v="#REF!"/>
    <n v="2.8004743596108286"/>
    <n v="4.9512380138958516"/>
    <n v="115194.24590968336"/>
    <n v="90"/>
    <n v="71.674231441843148"/>
    <s v="OK"/>
  </r>
  <r>
    <d v="2028-08-20T00:00:00"/>
    <x v="0"/>
    <x v="0"/>
    <n v="-0.32931451011991297"/>
    <n v="33638.147718184897"/>
    <n v="3.7182799020788337"/>
    <n v="3.122207144043402"/>
    <n v="5.4486119424261101"/>
    <n v="98110.825711159938"/>
    <n v="88"/>
    <n v="38.630331692145205"/>
    <s v="OK"/>
  </r>
  <r>
    <d v="2028-09-19T00:00:00"/>
    <x v="4"/>
    <x v="21"/>
    <n v="-0.42709197749518424"/>
    <n v="30259.729429036499"/>
    <n v="3.9519674205430975"/>
    <n v="1.3611668822192309"/>
    <n v="5.5696272817700745"/>
    <n v="96283.08495614506"/>
    <n v="86"/>
    <n v="32.540834292131144"/>
    <s v="OK"/>
  </r>
  <r>
    <d v="2028-10-19T00:00:00"/>
    <x v="0"/>
    <x v="39"/>
    <n v="1.2351249678844267"/>
    <n v="33663.200386077893"/>
    <n v="2.318533782229081"/>
    <n v="3.5391117874202687"/>
    <n v="6.5181170586463413"/>
    <n v="82722.340788204674"/>
    <n v="81"/>
    <n v="74.67435321258165"/>
    <s v="OK"/>
  </r>
  <r>
    <d v="2028-11-18T00:00:00"/>
    <x v="3"/>
    <x v="18"/>
    <n v="0.84401509838334177"/>
    <n v="29596.417099457089"/>
    <n v="2.9951346476450311"/>
    <n v="2.7653623493996284"/>
    <n v="2.8037327992184737"/>
    <n v="125589.29863315502"/>
    <n v="82"/>
    <n v="67.49476959269866"/>
    <s v="OK"/>
  </r>
  <r>
    <d v="2028-12-18T00:00:00"/>
    <x v="2"/>
    <x v="35"/>
    <n v="-1.4048666512478964"/>
    <n v="30393.175951580452"/>
    <n v="3.8095771305025989"/>
    <n v="3.1704806172412123"/>
    <n v="4.771959646281644"/>
    <n v="120834.49328117703"/>
    <n v="106"/>
    <n v="80.3861966689865"/>
    <s v="OK"/>
  </r>
  <r>
    <d v="2029-01-17T00:00:00"/>
    <x v="2"/>
    <x v="17"/>
    <n v="-1.2093117164973541"/>
    <n v="20008.996577339462"/>
    <e v="#REF!"/>
    <n v="1.4281427669598445"/>
    <n v="5.7535404307353675"/>
    <n v="111670.88606023775"/>
    <n v="97"/>
    <n v="44.757006115694587"/>
    <s v="OK"/>
  </r>
  <r>
    <d v="2029-02-16T00:00:00"/>
    <x v="4"/>
    <x v="21"/>
    <n v="-0.42709197749518424"/>
    <n v="34581.638373512411"/>
    <n v="3.5103968538377042"/>
    <n v="0.94624123398393567"/>
    <n v="6.8157630805730607"/>
    <n v="102871.7587301032"/>
    <n v="77"/>
    <n v="55.837732510575194"/>
    <s v="OK"/>
  </r>
  <r>
    <d v="2029-03-18T00:00:00"/>
    <x v="3"/>
    <x v="24"/>
    <n v="-0.23153704274464176"/>
    <n v="31732.442379489963"/>
    <n v="3.1359985293854327"/>
    <n v="3.3178896580250288"/>
    <n v="4.9097170629925539"/>
    <n v="111597.14570590264"/>
    <n v="88"/>
    <n v="52.437734106433481"/>
    <s v="OK"/>
  </r>
  <r>
    <d v="2029-04-17T00:00:00"/>
    <x v="2"/>
    <x v="23"/>
    <n v="1.6262348373855116"/>
    <n v="34990.050549298263"/>
    <n v="3.4085517794475799"/>
    <n v="2.8764095260975164"/>
    <n v="3.2481367527497511"/>
    <n v="85862.148640253028"/>
    <n v="90"/>
    <e v="#REF!"/>
    <s v="OK"/>
  </r>
  <r>
    <d v="2029-05-17T00:00:00"/>
    <x v="1"/>
    <x v="21"/>
    <n v="-0.42709197749518424"/>
    <e v="#REF!"/>
    <n v="4.1874382095740925"/>
    <n v="1.5979484456424897"/>
    <n v="6.2436537351593637"/>
    <n v="117111.11318041425"/>
    <n v="86"/>
    <n v="43.379916539151033"/>
    <s v="OK"/>
  </r>
  <r>
    <d v="2029-06-16T00:00:00"/>
    <x v="3"/>
    <x v="42"/>
    <n v="2.3106771090124103"/>
    <n v="40441.87352390364"/>
    <n v="3.1770179104377325"/>
    <n v="1.6303369187253056"/>
    <n v="4.7375651334092446"/>
    <n v="132989.61788647843"/>
    <n v="96"/>
    <n v="43.58537906774135"/>
    <s v="OK"/>
  </r>
  <r>
    <d v="2029-07-16T00:00:00"/>
    <x v="3"/>
    <x v="26"/>
    <n v="0.45290522888225682"/>
    <n v="29302.051859224131"/>
    <n v="3.1004039966748733"/>
    <n v="3.6254347844147694"/>
    <n v="4.0724000090915666"/>
    <n v="121412.21119958372"/>
    <n v="82"/>
    <n v="38.830660951868609"/>
    <s v="OK"/>
  </r>
  <r>
    <d v="2029-08-15T00:00:00"/>
    <x v="4"/>
    <x v="6"/>
    <n v="-0.5248694448704555"/>
    <n v="35540.914083687581"/>
    <n v="3.258628238908984"/>
    <n v="1.3105881071326722"/>
    <n v="4.750785532344131"/>
    <n v="85407.950603851816"/>
    <n v="80"/>
    <n v="65.16752650322573"/>
    <s v="OK"/>
  </r>
  <r>
    <d v="2029-09-14T00:00:00"/>
    <x v="2"/>
    <x v="10"/>
    <n v="0.55068269625752808"/>
    <n v="24800.470364372348"/>
    <n v="3.0233356958706437"/>
    <n v="4.1426729532559632"/>
    <n v="5.2785695708129809"/>
    <e v="#REF!"/>
    <n v="87"/>
    <n v="40.185819541099619"/>
    <s v="OK"/>
  </r>
  <r>
    <d v="2029-10-14T00:00:00"/>
    <x v="3"/>
    <x v="36"/>
    <n v="0.94179256575861292"/>
    <n v="33063.869525312846"/>
    <n v="3.561335157997398"/>
    <n v="2.5869878667632307"/>
    <n v="4.7743064025541448"/>
    <n v="74137.169124827051"/>
    <n v="85"/>
    <n v="93.223195230341915"/>
    <s v="OK"/>
  </r>
  <r>
    <d v="2029-11-13T00:00:00"/>
    <x v="2"/>
    <x v="14"/>
    <n v="-1.5026441186231676"/>
    <n v="24732.922184131719"/>
    <n v="4.3123392292347802"/>
    <n v="3.1383919256083832"/>
    <n v="2.8533207314811171"/>
    <n v="111447.80622351351"/>
    <n v="95"/>
    <n v="41.254845189301079"/>
    <s v="OK"/>
  </r>
  <r>
    <d v="2029-12-13T00:00:00"/>
    <x v="1"/>
    <x v="43"/>
    <n v="-1.9915314554995238"/>
    <n v="26881.155196520973"/>
    <n v="3.6615396365580146"/>
    <n v="2.1713815242510153"/>
    <n v="6.5764794362645587"/>
    <n v="109012.06825725078"/>
    <n v="97"/>
    <n v="91.66525852481557"/>
    <s v="OK"/>
  </r>
  <r>
    <d v="2030-01-12T00:00:00"/>
    <x v="4"/>
    <x v="7"/>
    <n v="-0.13375957536937055"/>
    <n v="39570.156769333931"/>
    <n v="3.3738232489368563"/>
    <n v="3.1031874310823433"/>
    <n v="7.0298500495344669"/>
    <n v="62603.673209356719"/>
    <n v="102"/>
    <n v="28.278005091726772"/>
    <s v="OK"/>
  </r>
  <r>
    <d v="2030-02-11T00:00:00"/>
    <x v="1"/>
    <x v="0"/>
    <n v="-0.32931451011991297"/>
    <n v="29046.587996183269"/>
    <n v="3.354094365542228"/>
    <n v="1.9558859978858074"/>
    <n v="6.2818263896074065"/>
    <n v="76764.323121752721"/>
    <n v="96"/>
    <n v="72.525016191972185"/>
    <s v="OK"/>
  </r>
  <r>
    <d v="2030-03-13T00:00:00"/>
    <x v="4"/>
    <x v="2"/>
    <n v="-1.1115342491220828"/>
    <n v="31087.164365898614"/>
    <n v="2.7184045956516716"/>
    <n v="2.3372070939277059"/>
    <n v="4.1347771954902202"/>
    <n v="94337.222065124661"/>
    <n v="82"/>
    <e v="#REF!"/>
    <s v="OK"/>
  </r>
  <r>
    <d v="2030-04-12T00:00:00"/>
    <x v="3"/>
    <x v="3"/>
    <n v="0.35512776150698561"/>
    <n v="34350.338653443774"/>
    <n v="3.9415548885735796"/>
    <n v="2.5409191753957212"/>
    <n v="5.2582101592629789"/>
    <n v="93982.805057183476"/>
    <n v="85"/>
    <n v="33.499955071858366"/>
    <s v="OK"/>
  </r>
  <r>
    <d v="2030-05-12T00:00:00"/>
    <x v="4"/>
    <x v="44"/>
    <n v="-1.600421585998439"/>
    <n v="32478.409439863022"/>
    <n v="3.4610814014935989"/>
    <n v="1.4978125442185273"/>
    <n v="5.4921744217246502"/>
    <n v="75810.461291623898"/>
    <n v="82"/>
    <n v="97.466156807940393"/>
    <s v="OK"/>
  </r>
  <r>
    <d v="2030-06-11T00:00:00"/>
    <x v="0"/>
    <x v="45"/>
    <n v="-1.6981990533737101"/>
    <n v="30752.094525717883"/>
    <n v="3.4097600432046873"/>
    <n v="3.2408243454201258"/>
    <n v="6.2185532674742925"/>
    <n v="107779.57458704368"/>
    <n v="80"/>
    <n v="56.230668833240934"/>
    <s v="OK"/>
  </r>
  <r>
    <d v="2030-07-11T00:00:00"/>
    <x v="2"/>
    <x v="19"/>
    <n v="0.64846016363279924"/>
    <n v="31824.805012331126"/>
    <e v="#REF!"/>
    <n v="1.9867864335284149"/>
    <n v="6.3020085864616968"/>
    <n v="105029.47217881025"/>
    <n v="91"/>
    <n v="74.67435321258165"/>
    <s v="OK"/>
  </r>
  <r>
    <d v="2030-08-10T00:00:00"/>
    <x v="2"/>
    <x v="0"/>
    <n v="-0.32931451011991297"/>
    <n v="42017.077926191378"/>
    <n v="3.6493764541828431"/>
    <n v="2.2714000846599816"/>
    <n v="4.6189914414658055"/>
    <n v="96114.61736042962"/>
    <n v="88"/>
    <n v="74.145603490403758"/>
    <s v="OK"/>
  </r>
  <r>
    <d v="2030-09-09T00:00:00"/>
    <x v="0"/>
    <x v="0"/>
    <n v="-0.32931451011991297"/>
    <n v="29711.906014832071"/>
    <n v="3.1241044749524081"/>
    <n v="1.5056506253914876"/>
    <n v="5.5983946676962724"/>
    <n v="84884.169996832745"/>
    <n v="90"/>
    <n v="44.12694958988412"/>
    <s v="OK"/>
  </r>
  <r>
    <d v="2030-10-09T00:00:00"/>
    <x v="1"/>
    <x v="36"/>
    <n v="0.94179256575861292"/>
    <n v="31005.495233574838"/>
    <n v="3.2868212018972285"/>
    <n v="2.5869878667632307"/>
    <n v="6.0487364855382895"/>
    <n v="120974.14252833127"/>
    <e v="#REF!"/>
    <n v="35.064201993368513"/>
    <s v="OK"/>
  </r>
  <r>
    <d v="2030-11-08T00:00:00"/>
    <x v="0"/>
    <x v="7"/>
    <n v="-0.13375957536937055"/>
    <n v="35253.271980038058"/>
    <n v="4.0742228545983776"/>
    <n v="2.3089722373998312"/>
    <n v="7.2469867865761195"/>
    <n v="133108.1422617659"/>
    <n v="84"/>
    <n v="44.298803698007951"/>
    <s v="OK"/>
  </r>
  <r>
    <d v="2030-12-08T00:00:00"/>
    <x v="3"/>
    <x v="11"/>
    <n v="-1.3070891838726253"/>
    <n v="35527.629664789922"/>
    <n v="3.5566352052688823"/>
    <n v="2.5869878667632307"/>
    <n v="6.3454078477896676"/>
    <n v="94337.222065124661"/>
    <n v="79"/>
    <n v="27.441392741013999"/>
    <s v="OK"/>
  </r>
  <r>
    <d v="2031-01-07T00:00:00"/>
    <x v="3"/>
    <x v="43"/>
    <n v="-1.9915314554995238"/>
    <n v="35935.1515278019"/>
    <n v="2.7808610108413165"/>
    <n v="3.2846042878980239"/>
    <n v="6.4468680248506232"/>
    <n v="87756.661656903583"/>
    <n v="77"/>
    <n v="31.509437307466381"/>
    <s v="OK"/>
  </r>
  <r>
    <d v="2031-02-06T00:00:00"/>
    <x v="2"/>
    <x v="11"/>
    <n v="-1.3070891838726253"/>
    <n v="20008.996577339462"/>
    <n v="3.9596144672876017"/>
    <n v="2.8004743596108286"/>
    <n v="5.6005919535152335"/>
    <n v="109824.15330823993"/>
    <n v="77"/>
    <n v="28.37283522771849"/>
    <s v="OK"/>
  </r>
  <r>
    <d v="2031-03-08T00:00:00"/>
    <x v="3"/>
    <x v="18"/>
    <n v="0.84401509838334177"/>
    <n v="24284.97543634758"/>
    <n v="3.1659279572305028"/>
    <n v="2.2371091707917321"/>
    <n v="7.1925509742442042"/>
    <n v="92839.41240506027"/>
    <n v="105"/>
    <n v="53.835483499324617"/>
    <s v="OK"/>
  </r>
  <r>
    <d v="2031-04-07T00:00:00"/>
    <x v="2"/>
    <x v="31"/>
    <n v="2.7017869785134949"/>
    <n v="38167.15766150548"/>
    <n v="4.4366488881087731"/>
    <n v="2.5224658928120465"/>
    <n v="5.9917153551513973"/>
    <n v="97212.055986735315"/>
    <n v="100"/>
    <n v="83.646270100606912"/>
    <s v="OK"/>
  </r>
  <r>
    <d v="2031-05-07T00:00:00"/>
    <x v="0"/>
    <x v="16"/>
    <n v="-0.62264691224572666"/>
    <n v="24268.27303490656"/>
    <n v="4.0400240328573247"/>
    <n v="3.5391117874202687"/>
    <n v="4.1347771954902202"/>
    <n v="114793.06303449343"/>
    <n v="82"/>
    <n v="31.310684337307215"/>
    <s v="OK"/>
  </r>
  <r>
    <d v="2031-06-06T00:00:00"/>
    <x v="0"/>
    <x v="45"/>
    <n v="-1.6981990533737101"/>
    <n v="31513.177326195168"/>
    <n v="3.2763390521706244"/>
    <n v="1.3191871846911551"/>
    <n v="7.1840439641502289"/>
    <n v="61812.87824985414"/>
    <n v="105"/>
    <n v="30.425634653786872"/>
    <s v="OK"/>
  </r>
  <r>
    <d v="2031-07-06T00:00:00"/>
    <x v="0"/>
    <x v="26"/>
    <n v="0.45290522888225682"/>
    <n v="26228.62074990321"/>
    <n v="4.1405081808675561"/>
    <n v="3.6143216946688721"/>
    <e v="#REF!"/>
    <n v="126366.04649705338"/>
    <n v="103"/>
    <n v="71.474315961386452"/>
    <s v="OK"/>
  </r>
  <r>
    <d v="2031-08-05T00:00:00"/>
    <x v="2"/>
    <x v="8"/>
    <n v="-3.5982107994099323E-2"/>
    <n v="29679.308267035038"/>
    <n v="3.5339277552637016"/>
    <n v="3.2153813154412441"/>
    <n v="4.968347174645821"/>
    <n v="101453.61048658683"/>
    <n v="84"/>
    <n v="35.7746385574453"/>
    <s v="OK"/>
  </r>
  <r>
    <d v="2031-09-04T00:00:00"/>
    <x v="0"/>
    <x v="37"/>
    <n v="0.25735029413171434"/>
    <n v="31643.812051517401"/>
    <n v="3.9263868375611097"/>
    <n v="3.2181857257079347"/>
    <n v="4.9246084391209077"/>
    <n v="91770.137108756389"/>
    <e v="#REF!"/>
    <n v="27.808803048719327"/>
    <s v="OK"/>
  </r>
  <r>
    <d v="2031-10-04T00:00:00"/>
    <x v="0"/>
    <x v="15"/>
    <n v="-2.2848638576253375"/>
    <n v="24800.470364372348"/>
    <n v="3.7423664086472375"/>
    <n v="2.9384757388097271"/>
    <n v="5.8558906541689142"/>
    <n v="98215.31691557102"/>
    <n v="91"/>
    <n v="33.347886256446209"/>
    <s v="OK"/>
  </r>
  <r>
    <d v="2031-11-03T00:00:00"/>
    <x v="1"/>
    <x v="8"/>
    <n v="-3.5982107994099323E-2"/>
    <n v="32109.603771176422"/>
    <n v="3.0768216725045634"/>
    <n v="2.51961665769399"/>
    <n v="6.0558217543211015"/>
    <n v="99248.587100410368"/>
    <n v="95"/>
    <n v="93.898511670142085"/>
    <s v="OK"/>
  </r>
  <r>
    <d v="2031-12-03T00:00:00"/>
    <x v="0"/>
    <x v="16"/>
    <n v="-0.62264691224572666"/>
    <n v="38068.556345293233"/>
    <n v="3.1782250838412689"/>
    <n v="3.17286123596682"/>
    <n v="5.736750718757448"/>
    <n v="65375.973931101493"/>
    <n v="85"/>
    <n v="85.71770022209526"/>
    <s v="OK"/>
  </r>
  <r>
    <d v="2032-01-02T00:00:00"/>
    <x v="3"/>
    <x v="8"/>
    <n v="-3.5982107994099323E-2"/>
    <n v="32267.671507569899"/>
    <n v="4.0149804087905805"/>
    <n v="3.0918141337413783"/>
    <n v="7.2469867865761195"/>
    <n v="129898.76454906471"/>
    <n v="99"/>
    <n v="48.325164988407529"/>
    <s v="OK"/>
  </r>
  <r>
    <d v="2032-02-01T00:00:00"/>
    <x v="2"/>
    <x v="37"/>
    <n v="0.25735029413171434"/>
    <n v="28779.216823546758"/>
    <n v="3.3326123339467295"/>
    <n v="3.6254347844147694"/>
    <n v="7.5399488494916564"/>
    <n v="100826.51264541237"/>
    <n v="94"/>
    <n v="72.465661386191428"/>
    <s v="OK"/>
  </r>
  <r>
    <d v="2032-03-02T00:00:00"/>
    <x v="1"/>
    <x v="19"/>
    <n v="0.64846016363279924"/>
    <n v="34820.435841441787"/>
    <n v="3.2981757683790018"/>
    <n v="1.926398227103099"/>
    <n v="6.7858517826818625"/>
    <n v="108860.04260894751"/>
    <n v="91"/>
    <n v="62.982053893443045"/>
    <s v="OK"/>
  </r>
  <r>
    <d v="2032-04-01T00:00:00"/>
    <x v="4"/>
    <x v="6"/>
    <n v="-0.5248694448704555"/>
    <n v="35947.352444623204"/>
    <n v="3.0224387103253236"/>
    <n v="2.6018562952619866"/>
    <n v="5.7287627095180289"/>
    <n v="119030.99541148086"/>
    <n v="87"/>
    <n v="74.16994107860512"/>
    <s v="OK"/>
  </r>
  <r>
    <d v="2032-05-01T00:00:00"/>
    <x v="2"/>
    <x v="10"/>
    <n v="0.55068269625752808"/>
    <n v="23861.960924315037"/>
    <n v="3.7117995327967304"/>
    <n v="4.0490201514951876"/>
    <n v="6.6295726969209801"/>
    <n v="79576.750848793992"/>
    <n v="66"/>
    <n v="74.613692197020754"/>
    <s v="OK"/>
  </r>
  <r>
    <d v="2032-05-31T00:00:00"/>
    <x v="3"/>
    <x v="9"/>
    <n v="6.1795359381171901E-2"/>
    <n v="32987.000349249291"/>
    <n v="4.5312624596215727"/>
    <n v="3.1383919256083832"/>
    <n v="4.2609713157669526"/>
    <n v="109469.43798070456"/>
    <n v="86"/>
    <n v="70.298721204799435"/>
    <s v="OK"/>
  </r>
  <r>
    <d v="2032-06-30T00:00:00"/>
    <x v="2"/>
    <x v="46"/>
    <n v="2.2128996416371387"/>
    <n v="33505.863711554492"/>
    <n v="2.9662335428728634"/>
    <n v="1.03247473424756"/>
    <n v="5.9775124599361709"/>
    <n v="94647.17818202413"/>
    <n v="80"/>
    <n v="41.288109482984687"/>
    <s v="OK"/>
  </r>
  <r>
    <d v="2032-07-30T00:00:00"/>
    <x v="3"/>
    <x v="3"/>
    <n v="0.35512776150698561"/>
    <n v="28512.182483200042"/>
    <n v="3.5121097283363789"/>
    <n v="2.6647608412365167"/>
    <n v="7.1840439641502289"/>
    <n v="116935.41550432987"/>
    <n v="111"/>
    <n v="23.120513661025448"/>
    <s v="OK"/>
  </r>
  <r>
    <d v="2032-08-29T00:00:00"/>
    <x v="3"/>
    <x v="40"/>
    <n v="1.9195672395113252"/>
    <n v="36878.534066558095"/>
    <n v="4.2061102777077144"/>
    <n v="1.9558859978858074"/>
    <n v="5.2383449255291517"/>
    <n v="65375.973931101493"/>
    <n v="98"/>
    <e v="#REF!"/>
    <s v="OK"/>
  </r>
  <r>
    <d v="2032-09-28T00:00:00"/>
    <x v="4"/>
    <x v="15"/>
    <n v="-2.2848638576253375"/>
    <n v="29249.722064837366"/>
    <n v="3.4601793043771423"/>
    <n v="2.6733416643704082"/>
    <n v="4.4828392856570982"/>
    <n v="98018.113995174615"/>
    <n v="98"/>
    <n v="91.277910775256302"/>
    <s v="OK"/>
  </r>
  <r>
    <d v="2032-10-28T00:00:00"/>
    <x v="2"/>
    <x v="0"/>
    <n v="-0.32931451011991297"/>
    <n v="31005.495233574838"/>
    <n v="3.726185898124867"/>
    <n v="2.7439531979085001"/>
    <n v="4.7174933336883269"/>
    <n v="87943.586884320772"/>
    <n v="93"/>
    <n v="65.559780681486075"/>
    <s v="OK"/>
  </r>
  <r>
    <d v="2032-11-27T00:00:00"/>
    <x v="4"/>
    <x v="3"/>
    <n v="0.35512776150698561"/>
    <n v="29134.640878580652"/>
    <n v="3.9420226981805246"/>
    <n v="2.2767977453651951"/>
    <n v="4.1924403551891345"/>
    <n v="108645.25901268311"/>
    <n v="106"/>
    <n v="86.591283336152628"/>
    <s v="OK"/>
  </r>
  <r>
    <d v="2032-12-27T00:00:00"/>
    <x v="4"/>
    <x v="4"/>
    <n v="1.1373475005091553"/>
    <n v="30077.895237907338"/>
    <n v="3.7141535486038242"/>
    <n v="3.9898634386020824"/>
    <e v="#REF!"/>
    <n v="109400.88374736405"/>
    <n v="93"/>
    <n v="83.646270100606912"/>
    <s v="OK"/>
  </r>
  <r>
    <d v="2033-01-26T00:00:00"/>
    <x v="2"/>
    <x v="24"/>
    <n v="-0.23153704274464176"/>
    <n v="24518.624565523991"/>
    <n v="3.4064278674977255"/>
    <n v="0.89909602152348445"/>
    <n v="5.0553902816919649"/>
    <n v="85847.48210355948"/>
    <n v="72"/>
    <n v="33.089296331062101"/>
    <s v="OK"/>
  </r>
  <r>
    <d v="2033-02-25T00:00:00"/>
    <x v="0"/>
    <x v="39"/>
    <n v="1.2351249678844267"/>
    <n v="22799.745587028527"/>
    <n v="3.9928649978399315"/>
    <n v="1.6715029752197541"/>
    <n v="3.8133195769856298"/>
    <n v="85756.522716479129"/>
    <n v="85"/>
    <e v="#REF!"/>
    <s v="OK"/>
  </r>
  <r>
    <d v="2033-03-27T00:00:00"/>
    <x v="0"/>
    <x v="8"/>
    <n v="-3.5982107994099323E-2"/>
    <n v="37972.525316124862"/>
    <n v="4.0936930257823754"/>
    <n v="2.3967452398509526"/>
    <n v="5.5187420007395236"/>
    <n v="97786.692628853416"/>
    <n v="86"/>
    <n v="73.943485896001974"/>
    <s v="OK"/>
  </r>
  <r>
    <d v="2033-04-26T00:00:00"/>
    <x v="4"/>
    <x v="47"/>
    <n v="2.4084545763876815"/>
    <n v="25765.193258408362"/>
    <n v="4.7947818210093072"/>
    <n v="0.85681118884583274"/>
    <n v="6.7858517826818625"/>
    <n v="82067.155453695828"/>
    <n v="93"/>
    <n v="98.396435788662274"/>
    <s v="OK"/>
  </r>
  <r>
    <d v="2033-05-26T00:00:00"/>
    <x v="1"/>
    <x v="28"/>
    <n v="-0.81820184699626908"/>
    <n v="25043.038252718463"/>
    <n v="3.7898165866067877"/>
    <n v="2.3241455955679289"/>
    <n v="4.4106925838236961"/>
    <n v="116839.67390904254"/>
    <n v="87"/>
    <n v="98.848058716224031"/>
    <s v="OK"/>
  </r>
  <r>
    <d v="2033-06-25T00:00:00"/>
    <x v="4"/>
    <x v="3"/>
    <n v="0.35512776150698561"/>
    <n v="19233.049431981424"/>
    <e v="#REF!"/>
    <n v="4.1614701657280184"/>
    <n v="7.3231407083701221"/>
    <n v="92615.855991051081"/>
    <n v="81"/>
    <n v="74.934288937930361"/>
    <s v="OK"/>
  </r>
  <r>
    <d v="2033-07-25T00:00:00"/>
    <x v="4"/>
    <x v="11"/>
    <n v="-1.3070891838726253"/>
    <n v="26805.191261552489"/>
    <n v="2.8728552884153755"/>
    <n v="2.5208864882959618"/>
    <n v="6.1129505062331138"/>
    <n v="41860.235613567173"/>
    <n v="84"/>
    <n v="39.489183358575545"/>
    <s v="OK"/>
  </r>
  <r>
    <d v="2033-08-24T00:00:00"/>
    <x v="4"/>
    <x v="13"/>
    <n v="0.15957282675644313"/>
    <n v="23384.55103296251"/>
    <n v="3.3234168535946558"/>
    <n v="2.7307009057186833"/>
    <n v="6.7366967027488691"/>
    <n v="92503.558867563872"/>
    <n v="93"/>
    <n v="83.884467050447924"/>
    <s v="OK"/>
  </r>
  <r>
    <d v="2033-09-23T00:00:00"/>
    <x v="0"/>
    <x v="13"/>
    <n v="0.15957282675644313"/>
    <n v="38210.075800681843"/>
    <n v="2.8217090976882977"/>
    <n v="1.2398352348274198"/>
    <n v="4.7105985353774358"/>
    <n v="79229.123583120556"/>
    <n v="86"/>
    <n v="28.562330736883048"/>
    <s v="OK"/>
  </r>
  <r>
    <d v="2033-10-23T00:00:00"/>
    <x v="0"/>
    <x v="13"/>
    <n v="0.15957282675644313"/>
    <n v="35049.085446713172"/>
    <n v="3.3522992949304853"/>
    <n v="1.8836385919605225"/>
    <n v="6.5254302724799391"/>
    <n v="67374.483690781082"/>
    <n v="81"/>
    <n v="82.455944333730287"/>
    <s v="OK"/>
  </r>
  <r>
    <d v="2033-11-22T00:00:00"/>
    <x v="0"/>
    <x v="20"/>
    <n v="1.3329024352596979"/>
    <n v="26559.248274111382"/>
    <n v="3.4821792588512581"/>
    <n v="2.1248036196760629"/>
    <n v="4.1896793195256254"/>
    <n v="75251.467235548553"/>
    <n v="99"/>
    <n v="92.815689931575719"/>
    <s v="OK"/>
  </r>
  <r>
    <d v="2033-12-22T00:00:00"/>
    <x v="4"/>
    <x v="17"/>
    <n v="-1.2093117164973541"/>
    <n v="41262.17902672154"/>
    <n v="4.1587987678039795"/>
    <n v="2.1822849032437661"/>
    <n v="6.5682970010038106"/>
    <n v="102188.1694366594"/>
    <n v="86"/>
    <n v="50.626671581474824"/>
    <s v="OK"/>
  </r>
  <r>
    <d v="2034-01-21T00:00:00"/>
    <x v="1"/>
    <x v="18"/>
    <n v="0.84401509838334177"/>
    <n v="34908.827434957973"/>
    <n v="2.9967287173601793"/>
    <n v="3.7816437950037685"/>
    <n v="5.7062072077522377"/>
    <n v="82067.155453695828"/>
    <n v="85"/>
    <n v="70.450823598646437"/>
    <s v="OK"/>
  </r>
  <r>
    <d v="2034-02-20T00:00:00"/>
    <x v="0"/>
    <x v="9"/>
    <n v="6.1795359381171901E-2"/>
    <e v="#REF!"/>
    <n v="4.0699392805645225"/>
    <n v="3.0576910607251246"/>
    <n v="6.1639014639817402"/>
    <n v="106263.6894772996"/>
    <n v="93"/>
    <n v="54.411418567746104"/>
    <s v="OK"/>
  </r>
  <r>
    <d v="2034-03-22T00:00:00"/>
    <x v="2"/>
    <x v="17"/>
    <n v="-1.2093117164973541"/>
    <n v="17502.971425632135"/>
    <n v="4.1585575336699323"/>
    <n v="1.388542043062968"/>
    <n v="4.0892864732501781"/>
    <n v="87869.932235685206"/>
    <n v="87"/>
    <n v="55.021204399050276"/>
    <s v="OK"/>
  </r>
  <r>
    <d v="2034-04-21T00:00:00"/>
    <x v="2"/>
    <x v="0"/>
    <n v="-0.32931451011991297"/>
    <n v="41454.712862953711"/>
    <n v="3.4409657365044608"/>
    <n v="2.7465047784320049"/>
    <n v="4.4259161892680741"/>
    <n v="109118.08390341405"/>
    <n v="78"/>
    <e v="#REF!"/>
    <s v="OK"/>
  </r>
  <r>
    <d v="2034-05-21T00:00:00"/>
    <x v="2"/>
    <x v="24"/>
    <n v="-0.23153704274464176"/>
    <n v="23052.137666182018"/>
    <n v="2.4390725504957027"/>
    <n v="2.998221748496785"/>
    <n v="6.216673861904062"/>
    <n v="92503.558867563872"/>
    <n v="75"/>
    <n v="80.970369636025964"/>
    <s v="OK"/>
  </r>
  <r>
    <d v="2034-06-20T00:00:00"/>
    <x v="3"/>
    <x v="23"/>
    <n v="1.6262348373855116"/>
    <n v="32987.000349249291"/>
    <n v="3.1960890064527838"/>
    <n v="3.6401490385212663"/>
    <n v="4.3619823949309593"/>
    <n v="86107.992616737116"/>
    <n v="77"/>
    <n v="94.894125133320415"/>
    <s v="OK"/>
  </r>
  <r>
    <d v="2034-07-20T00:00:00"/>
    <x v="4"/>
    <x v="9"/>
    <n v="6.1795359381171901E-2"/>
    <n v="35112.852160048198"/>
    <n v="4.1484972732805545"/>
    <n v="3.0918141337413783"/>
    <n v="6.0558475505189477"/>
    <n v="76912.746635340314"/>
    <n v="86"/>
    <n v="95.260068738756885"/>
    <s v="OK"/>
  </r>
  <r>
    <d v="2034-08-19T00:00:00"/>
    <x v="2"/>
    <x v="24"/>
    <n v="-0.23153704274464176"/>
    <n v="42198.762031696366"/>
    <n v="3.4885659688505588"/>
    <n v="1.4849058081721314"/>
    <e v="#REF!"/>
    <n v="64963.423864965618"/>
    <e v="#REF!"/>
    <n v="33.982502789994705"/>
    <s v="OK"/>
  </r>
  <r>
    <d v="2034-09-18T00:00:00"/>
    <x v="4"/>
    <x v="9"/>
    <n v="6.1795359381171901E-2"/>
    <n v="36921.364092552591"/>
    <n v="3.0003488838525447"/>
    <n v="1.6891424887896618"/>
    <n v="6.5178090552000016"/>
    <n v="102188.1694366594"/>
    <n v="97"/>
    <n v="89.979491972525281"/>
    <s v="OK"/>
  </r>
  <r>
    <d v="2034-10-18T00:00:00"/>
    <x v="2"/>
    <x v="8"/>
    <n v="-3.5982107994099323E-2"/>
    <n v="32819.545600261801"/>
    <n v="3.2476125393858912"/>
    <n v="1.2424221410853837"/>
    <n v="4.0209720222777889"/>
    <n v="103161.06979840263"/>
    <n v="103"/>
    <n v="78.994515314169774"/>
    <s v="OK"/>
  </r>
  <r>
    <d v="2034-11-17T00:00:00"/>
    <x v="1"/>
    <x v="9"/>
    <n v="6.1795359381171901E-2"/>
    <n v="32973.771708326429"/>
    <n v="3.9203100132522763"/>
    <n v="2.2659801408930185"/>
    <n v="6.1627599252154281"/>
    <n v="98067.526599702207"/>
    <n v="85"/>
    <n v="40.226992055223143"/>
    <s v="OK"/>
  </r>
  <r>
    <d v="2034-12-17T00:00:00"/>
    <x v="4"/>
    <x v="9"/>
    <n v="6.1795359381171901E-2"/>
    <n v="34267.077793901539"/>
    <n v="3.0862048896756402"/>
    <n v="2.9663583744463344"/>
    <n v="6.2507571203752015"/>
    <n v="91680.661441052827"/>
    <n v="85"/>
    <n v="25.382769033721164"/>
    <s v="OK"/>
  </r>
  <r>
    <d v="2035-01-16T00:00:00"/>
    <x v="2"/>
    <x v="45"/>
    <n v="-1.6981990533737101"/>
    <n v="33794.642948933826"/>
    <n v="3.380533950415153"/>
    <n v="2.5869878667632307"/>
    <n v="4.6638738178845101"/>
    <n v="81085.078786064376"/>
    <n v="98"/>
    <n v="41.439781350750238"/>
    <s v="OK"/>
  </r>
  <r>
    <d v="2035-02-15T00:00:00"/>
    <x v="0"/>
    <x v="17"/>
    <n v="-1.2093117164973541"/>
    <n v="31405.95711984688"/>
    <n v="3.3165877940926562"/>
    <n v="2.4240489763574771"/>
    <n v="6.1984318805016727"/>
    <n v="112164.92383369937"/>
    <n v="93"/>
    <n v="92.97665894252205"/>
    <s v="OK"/>
  </r>
  <r>
    <d v="2035-03-17T00:00:00"/>
    <x v="4"/>
    <x v="17"/>
    <n v="-1.2093117164973541"/>
    <n v="30521.005519759379"/>
    <n v="3.304120925478089"/>
    <n v="2.1801524767451559"/>
    <n v="5.8125307160002668"/>
    <n v="73657.361601068304"/>
    <n v="69"/>
    <n v="70.654293991661774"/>
    <s v="OK"/>
  </r>
  <r>
    <d v="2035-04-16T00:00:00"/>
    <x v="3"/>
    <x v="5"/>
    <n v="-0.91597931437154034"/>
    <n v="29687.034360502388"/>
    <n v="3.0387949077507486"/>
    <n v="2.6517579922487404"/>
    <n v="4.8533897725687138"/>
    <n v="115520.5582768695"/>
    <n v="89"/>
    <n v="77.684372871829751"/>
    <s v="OK"/>
  </r>
  <r>
    <d v="2035-05-16T00:00:00"/>
    <x v="0"/>
    <x v="27"/>
    <n v="1.5284573700102404"/>
    <n v="26230.17705566662"/>
    <e v="#REF!"/>
    <n v="1.6648570983699771"/>
    <n v="4.0892864732501781"/>
    <n v="79955.6596214655"/>
    <n v="88"/>
    <n v="40.572188088727671"/>
    <s v="OK"/>
  </r>
  <r>
    <d v="2035-06-15T00:00:00"/>
    <x v="0"/>
    <x v="10"/>
    <n v="0.55068269625752808"/>
    <n v="28596.624615666129"/>
    <n v="3.3388397653943303"/>
    <n v="4.5895387216947734"/>
    <n v="4.4259161892680741"/>
    <n v="84951.295252939308"/>
    <n v="89"/>
    <n v="77.551052445985619"/>
    <s v="OK"/>
  </r>
  <r>
    <d v="2035-07-15T00:00:00"/>
    <x v="3"/>
    <x v="5"/>
    <n v="-0.91597931437154034"/>
    <n v="21535.21592902307"/>
    <n v="4.108579260412748"/>
    <n v="0.89233897288194131"/>
    <n v="5.9195800567596324"/>
    <n v="70664.296187686457"/>
    <n v="90"/>
    <e v="#REF!"/>
    <s v="OK"/>
  </r>
  <r>
    <d v="2035-08-14T00:00:00"/>
    <x v="0"/>
    <x v="34"/>
    <n v="-1.0137567817468116"/>
    <n v="29508.30186602625"/>
    <n v="4.2606580259612254"/>
    <n v="2.6847405788957244"/>
    <n v="3.6222366743655341"/>
    <n v="89971.957062287271"/>
    <n v="105"/>
    <n v="50.025707661841103"/>
    <s v="OK"/>
  </r>
  <r>
    <d v="2035-09-13T00:00:00"/>
    <x v="0"/>
    <x v="34"/>
    <n v="-1.0137567817468116"/>
    <n v="25057.044464245413"/>
    <n v="3.9991554490739802"/>
    <n v="4.5236062192296398"/>
    <n v="5.6144130393295697"/>
    <n v="119506.24916955958"/>
    <n v="98"/>
    <n v="70.1402678833865"/>
    <s v="OK"/>
  </r>
  <r>
    <d v="2035-10-13T00:00:00"/>
    <x v="2"/>
    <x v="11"/>
    <n v="-1.3070891838726253"/>
    <n v="38210.075800681843"/>
    <n v="3.2841898436409758"/>
    <n v="2.5067998445599979"/>
    <n v="5.1838621407013008"/>
    <n v="110312.56176887912"/>
    <n v="85"/>
    <n v="31.687725243305618"/>
    <s v="OK"/>
  </r>
  <r>
    <d v="2035-11-12T00:00:00"/>
    <x v="2"/>
    <x v="28"/>
    <n v="-0.81820184699626908"/>
    <n v="30899.470755767394"/>
    <n v="3.7018650451683048"/>
    <n v="2.3099609649985053"/>
    <n v="6.3149713305258341"/>
    <n v="119568.4422405607"/>
    <n v="101"/>
    <n v="85.84028595575478"/>
    <s v="OK"/>
  </r>
  <r>
    <d v="2035-12-12T00:00:00"/>
    <x v="4"/>
    <x v="9"/>
    <n v="6.1795359381171901E-2"/>
    <n v="36960.011431722996"/>
    <n v="3.4879021968045421"/>
    <n v="2.1425545771895727"/>
    <n v="5.1375454006121632"/>
    <n v="110442.85091867871"/>
    <n v="93"/>
    <n v="38.80250390495349"/>
    <s v="OK"/>
  </r>
  <r>
    <d v="2036-01-11T00:00:00"/>
    <x v="4"/>
    <x v="26"/>
    <n v="0.45290522888225682"/>
    <n v="34591.583030011563"/>
    <n v="3.048149069634936"/>
    <n v="2.3196083182375924"/>
    <n v="5.10466265638349"/>
    <n v="77926.60342939262"/>
    <n v="99"/>
    <n v="72.182489025475704"/>
    <s v="OK"/>
  </r>
  <r>
    <d v="2036-02-10T00:00:00"/>
    <x v="4"/>
    <x v="48"/>
    <n v="-1.8937539881242527"/>
    <n v="22147.496981884113"/>
    <n v="3.6621796408608014"/>
    <n v="3.8728484746765304"/>
    <n v="6.3782448451459546"/>
    <n v="93384.215513448857"/>
    <n v="87"/>
    <n v="52.415771406026373"/>
    <s v="OK"/>
  </r>
  <r>
    <d v="2036-03-11T00:00:00"/>
    <x v="2"/>
    <x v="29"/>
    <n v="1.0395700331338842"/>
    <n v="25051.859317148312"/>
    <n v="3.1004039966748733"/>
    <n v="0.28813808867049318"/>
    <n v="5.9020696349009407"/>
    <n v="84396.017417650743"/>
    <n v="87"/>
    <n v="67.683487638211773"/>
    <s v="OK"/>
  </r>
  <r>
    <d v="2036-04-10T00:00:00"/>
    <x v="4"/>
    <x v="5"/>
    <n v="-0.91597931437154034"/>
    <n v="34703.855939941081"/>
    <n v="4.0938396942307822"/>
    <n v="4.0334337012963255"/>
    <n v="5.8793871486193341"/>
    <n v="126611.4980807808"/>
    <n v="89"/>
    <n v="95.260068738756885"/>
    <s v="OK"/>
  </r>
  <r>
    <d v="2036-05-10T00:00:00"/>
    <x v="0"/>
    <x v="0"/>
    <n v="-0.32931451011991297"/>
    <n v="25087.563032308452"/>
    <n v="3.2676913513508037"/>
    <n v="1.0760428475498549"/>
    <n v="6.0631211077702316"/>
    <n v="76064.227071473768"/>
    <n v="86"/>
    <n v="21.353023993728584"/>
    <s v="OK"/>
  </r>
  <r>
    <d v="2036-06-09T00:00:00"/>
    <x v="2"/>
    <x v="3"/>
    <n v="0.35512776150698561"/>
    <n v="28876.834250014876"/>
    <n v="3.6005798279364196"/>
    <n v="2.233347670765585"/>
    <n v="3.657313452151473"/>
    <n v="117873.95378778221"/>
    <n v="80"/>
    <n v="92.765154190424099"/>
    <s v="OK"/>
  </r>
  <r>
    <d v="2036-07-09T00:00:00"/>
    <x v="4"/>
    <x v="8"/>
    <n v="-3.5982107994099323E-2"/>
    <n v="32750.260495122759"/>
    <n v="3.6416439357730712"/>
    <n v="2.0707555797013382"/>
    <n v="6.408146415984378"/>
    <n v="117859.07740217539"/>
    <n v="91"/>
    <n v="41.570400701374624"/>
    <s v="OK"/>
  </r>
  <r>
    <d v="2036-08-08T00:00:00"/>
    <x v="0"/>
    <x v="15"/>
    <n v="-2.2848638576253375"/>
    <n v="25158.277725681823"/>
    <n v="3.3705475131479612"/>
    <n v="3.0885532697707196"/>
    <n v="6.2349625528163228"/>
    <n v="136592.40403432175"/>
    <n v="84"/>
    <n v="85.574160222436731"/>
    <s v="OK"/>
  </r>
  <r>
    <d v="2036-09-07T00:00:00"/>
    <x v="4"/>
    <x v="19"/>
    <n v="0.64846016363279924"/>
    <n v="30526.877530729798"/>
    <n v="3.7933469007376375"/>
    <n v="0.90187564811625243"/>
    <n v="4.2799802457082032"/>
    <n v="91806.268147410054"/>
    <n v="89"/>
    <n v="99.948024037776008"/>
    <s v="OK"/>
  </r>
  <r>
    <d v="2036-10-07T00:00:00"/>
    <x v="1"/>
    <x v="9"/>
    <n v="6.1795359381171901E-2"/>
    <n v="36921.364092552591"/>
    <n v="3.2625481716887377"/>
    <n v="2.9621726660819427"/>
    <n v="5.2071034315909586"/>
    <n v="114246.44319160325"/>
    <n v="113"/>
    <n v="36.914500639912895"/>
    <s v="OK"/>
  </r>
  <r>
    <d v="2036-11-06T00:00:00"/>
    <x v="4"/>
    <x v="35"/>
    <n v="-1.4048666512478964"/>
    <n v="26993.161780243932"/>
    <e v="#REF!"/>
    <n v="4.524309623286852"/>
    <n v="5.4528312548468429"/>
    <n v="145633.03673077686"/>
    <n v="89"/>
    <n v="41.213659294668446"/>
    <s v="OK"/>
  </r>
  <r>
    <d v="2036-12-06T00:00:00"/>
    <x v="1"/>
    <x v="13"/>
    <n v="0.15957282675644313"/>
    <n v="31598.909670712685"/>
    <n v="2.8270101598766257"/>
    <n v="1.1368259954071895"/>
    <n v="5.3386038587179208"/>
    <n v="87647.166461326065"/>
    <n v="91"/>
    <n v="73.028783010773253"/>
    <s v="OK"/>
  </r>
  <r>
    <d v="2037-01-05T00:00:00"/>
    <x v="4"/>
    <x v="16"/>
    <n v="-0.62264691224572666"/>
    <n v="22035.031332341656"/>
    <n v="3.5631897897732059"/>
    <n v="2.6897061676103955"/>
    <n v="5.9006319598822419"/>
    <n v="69299.195049352798"/>
    <n v="83"/>
    <n v="97.2358907680497"/>
    <s v="OK"/>
  </r>
  <r>
    <d v="2037-02-04T00:00:00"/>
    <x v="3"/>
    <x v="28"/>
    <n v="-0.81820184699626908"/>
    <n v="32202.373689801996"/>
    <n v="4.4694644995291419"/>
    <n v="1.8380178222033909"/>
    <n v="7.21764013819742"/>
    <n v="62399.79932184473"/>
    <n v="77"/>
    <n v="93.265147855259514"/>
    <s v="OK"/>
  </r>
  <r>
    <d v="2037-03-06T00:00:00"/>
    <x v="4"/>
    <x v="3"/>
    <n v="0.35512776150698561"/>
    <n v="29901.811005366595"/>
    <n v="2.9998343376972127"/>
    <n v="2.9258872061930359"/>
    <n v="6.7981200732073948"/>
    <n v="114254.24057722662"/>
    <n v="95"/>
    <n v="60.23004160524679"/>
    <s v="OK"/>
  </r>
  <r>
    <d v="2037-04-05T00:00:00"/>
    <x v="2"/>
    <x v="36"/>
    <n v="0.94179256575861292"/>
    <e v="#REF!"/>
    <n v="3.1611275147375744"/>
    <n v="2.519147777415752"/>
    <n v="3.9253369678823127"/>
    <n v="62336.995838828327"/>
    <n v="91"/>
    <n v="83.608822602137977"/>
    <s v="OK"/>
  </r>
  <r>
    <d v="2037-05-05T00:00:00"/>
    <x v="2"/>
    <x v="44"/>
    <n v="-1.600421585998439"/>
    <n v="31119.570670323308"/>
    <n v="3.7569539248294577"/>
    <n v="1.8585130909556904"/>
    <n v="6.2464839883672587"/>
    <n v="92553.618941241541"/>
    <n v="97"/>
    <n v="50.025707661841103"/>
    <s v="OK"/>
  </r>
  <r>
    <d v="2037-06-04T00:00:00"/>
    <x v="1"/>
    <x v="37"/>
    <n v="0.25735029413171434"/>
    <n v="36820.702149869219"/>
    <n v="3.5897908909697991"/>
    <n v="2.9878722848710741"/>
    <e v="#REF!"/>
    <n v="108746.26374077922"/>
    <n v="97"/>
    <n v="98.195054736320984"/>
    <s v="OK"/>
  </r>
  <r>
    <d v="2037-07-04T00:00:00"/>
    <x v="2"/>
    <x v="7"/>
    <n v="-0.13375957536937055"/>
    <n v="30626.122513239538"/>
    <n v="3.6753150496367795"/>
    <n v="4.3043481097867433"/>
    <n v="5.9641702248270434"/>
    <n v="103703.51073659828"/>
    <n v="85"/>
    <n v="97.148258722878921"/>
    <s v="OK"/>
  </r>
  <r>
    <d v="2037-08-03T00:00:00"/>
    <x v="0"/>
    <x v="16"/>
    <n v="-0.62264691224572666"/>
    <n v="27852.972294373736"/>
    <n v="3.7445935650738318"/>
    <n v="2.3090962082727011"/>
    <n v="3.657313452151473"/>
    <n v="108508.89728368344"/>
    <n v="77"/>
    <n v="33.098316630333677"/>
    <s v="OK"/>
  </r>
  <r>
    <d v="2037-09-02T00:00:00"/>
    <x v="3"/>
    <x v="26"/>
    <n v="0.45290522888225682"/>
    <n v="30611.487515161418"/>
    <e v="#REF!"/>
    <n v="3.2197579421481821"/>
    <n v="7.9147245348409179"/>
    <n v="87647.166461326065"/>
    <n v="100"/>
    <n v="43.953849984248528"/>
    <s v="OK"/>
  </r>
  <r>
    <d v="2037-10-02T00:00:00"/>
    <x v="3"/>
    <x v="0"/>
    <n v="-0.32931451011991297"/>
    <n v="32716.490145181939"/>
    <n v="4.0548499209781115"/>
    <n v="2.1801524767451559"/>
    <n v="6.7284514553283774"/>
    <n v="125577.31626626787"/>
    <n v="87"/>
    <n v="28.012399800541353"/>
    <s v="OK"/>
  </r>
  <r>
    <d v="2037-11-01T00:00:00"/>
    <x v="0"/>
    <x v="3"/>
    <n v="0.35512776150698561"/>
    <n v="30244.300351628521"/>
    <n v="3.7049093284642565"/>
    <n v="1.5435636231819911"/>
    <n v="5.7991703147700751"/>
    <n v="80953.672385224054"/>
    <n v="102"/>
    <n v="41.737407911854376"/>
    <s v="OK"/>
  </r>
  <r>
    <d v="2037-12-01T00:00:00"/>
    <x v="1"/>
    <x v="35"/>
    <n v="-1.4048666512478964"/>
    <n v="30202.958456019413"/>
    <n v="3.3793711726907287"/>
    <n v="2.9724062778803773"/>
    <n v="5.2071034315909586"/>
    <n v="86460.097230829371"/>
    <n v="102"/>
    <n v="85.276463153216525"/>
    <s v="OK"/>
  </r>
  <r>
    <d v="2037-12-31T00:00:00"/>
    <x v="0"/>
    <x v="12"/>
    <n v="-0.72042437962099792"/>
    <n v="26490.041560966223"/>
    <n v="4.0400240328573247"/>
    <n v="3.9841160285359649"/>
    <n v="5.6738653997162691"/>
    <n v="84546.811094583521"/>
    <n v="98"/>
    <n v="50.265248573220759"/>
    <s v="OK"/>
  </r>
  <r>
    <d v="2038-01-30T00:00:00"/>
    <x v="0"/>
    <x v="5"/>
    <n v="-0.91597931437154034"/>
    <n v="26685.495412245258"/>
    <n v="4.449940967447608"/>
    <n v="2.8556133487856599"/>
    <n v="5.5286836519419467"/>
    <n v="116603.8362372522"/>
    <n v="80"/>
    <n v="27.07175737174067"/>
    <s v="OK"/>
  </r>
  <r>
    <d v="2038-03-01T00:00:00"/>
    <x v="3"/>
    <x v="44"/>
    <n v="-1.600421585998439"/>
    <n v="22986.973641001532"/>
    <n v="3.4336831268087131"/>
    <n v="2.1869419694768455"/>
    <n v="5.078302917143521"/>
    <n v="118007.97176790127"/>
    <n v="79"/>
    <n v="47.378041982312368"/>
    <s v="OK"/>
  </r>
  <r>
    <d v="2038-03-31T00:00:00"/>
    <x v="4"/>
    <x v="11"/>
    <n v="-1.3070891838726253"/>
    <n v="38747.883715934695"/>
    <n v="3.0127353476646794"/>
    <n v="2.4992914054233539"/>
    <n v="7.3760960305985295"/>
    <n v="109024.50638637017"/>
    <n v="91"/>
    <n v="98.510666739302408"/>
    <s v="OK"/>
  </r>
  <r>
    <d v="2038-04-30T00:00:00"/>
    <x v="3"/>
    <x v="29"/>
    <n v="1.0395700331338842"/>
    <n v="23780.683823043575"/>
    <n v="4.0535403346434862"/>
    <n v="1.2495922660302825"/>
    <n v="4.5178856008695982"/>
    <n v="123669.87333779855"/>
    <n v="81"/>
    <n v="70.374687620736239"/>
    <s v="OK"/>
  </r>
  <r>
    <d v="2038-05-30T00:00:00"/>
    <x v="3"/>
    <x v="34"/>
    <n v="-1.0137567817468116"/>
    <n v="25087.563032308452"/>
    <n v="3.4398094180232008"/>
    <n v="3.1045153263553669"/>
    <n v="7.3388412696137388"/>
    <n v="76439.182652472387"/>
    <n v="66"/>
    <n v="53.292875712492616"/>
    <s v="OK"/>
  </r>
  <r>
    <d v="2038-06-29T00:00:00"/>
    <x v="2"/>
    <x v="25"/>
    <n v="1.8217897721360539"/>
    <e v="#REF!"/>
    <n v="2.4136652269929817"/>
    <n v="3.3823330623234091"/>
    <n v="6.0998369484884458"/>
    <n v="133344.48223102273"/>
    <n v="92"/>
    <n v="33.323081079781602"/>
    <s v="OK"/>
  </r>
  <r>
    <d v="2038-07-29T00:00:00"/>
    <x v="0"/>
    <x v="37"/>
    <n v="0.25735029413171434"/>
    <n v="34474.621884722204"/>
    <n v="3.9237108385752109"/>
    <n v="2.0479096671669197"/>
    <n v="3.8208325902376705"/>
    <n v="130464.77243424517"/>
    <n v="95"/>
    <n v="98.894143782695579"/>
    <s v="OK"/>
  </r>
  <r>
    <d v="2038-08-28T00:00:00"/>
    <x v="3"/>
    <x v="18"/>
    <n v="0.84401509838334177"/>
    <n v="28525.25160853986"/>
    <n v="3.2323359070230389"/>
    <n v="2.0299578522404986"/>
    <e v="#REF!"/>
    <n v="114712.43994491494"/>
    <n v="102"/>
    <n v="85.667920741050295"/>
    <s v="OK"/>
  </r>
  <r>
    <d v="2038-09-27T00:00:00"/>
    <x v="0"/>
    <x v="21"/>
    <n v="-0.42709197749518424"/>
    <n v="36238.710363368671"/>
    <n v="3.4547333588479194"/>
    <n v="2.7658782296520483"/>
    <n v="2.9799681908180511"/>
    <n v="135635.97817542119"/>
    <n v="108"/>
    <n v="97.2358907680497"/>
    <s v="OK"/>
  </r>
  <r>
    <d v="2038-10-27T00:00:00"/>
    <x v="2"/>
    <x v="9"/>
    <n v="6.1795359381171901E-2"/>
    <n v="26632.546878780657"/>
    <n v="3.6659901652845073"/>
    <n v="2.0632802639594043"/>
    <n v="6.2506096201972428"/>
    <n v="66867.535846444516"/>
    <n v="83"/>
    <n v="25.605495657695158"/>
    <s v="OK"/>
  </r>
  <r>
    <d v="2038-11-26T00:00:00"/>
    <x v="0"/>
    <x v="11"/>
    <n v="-1.3070891838726253"/>
    <n v="31394.970811119008"/>
    <n v="3.5952498398895334"/>
    <n v="2.4338673853741777"/>
    <n v="6.5622777795867897"/>
    <n v="89511.037274746966"/>
    <n v="96"/>
    <n v="24.530044590204643"/>
    <s v="OK"/>
  </r>
  <r>
    <d v="2038-12-26T00:00:00"/>
    <x v="3"/>
    <x v="6"/>
    <n v="-0.5248694448704555"/>
    <n v="25823.264733701213"/>
    <n v="3.8547259085695198"/>
    <n v="2.5869878667632307"/>
    <n v="4.7891728532175355"/>
    <n v="85293.930786360957"/>
    <n v="84"/>
    <n v="29.630251960442706"/>
    <s v="OK"/>
  </r>
  <r>
    <d v="2039-01-25T00:00:00"/>
    <x v="0"/>
    <x v="2"/>
    <n v="-1.1115342491220828"/>
    <n v="40725.745638866938"/>
    <n v="3.2822568147150784"/>
    <n v="2.2529742992540034"/>
    <n v="5.6482572351466986"/>
    <n v="114429.58647514686"/>
    <n v="92"/>
    <n v="66.46148668915373"/>
    <s v="OK"/>
  </r>
  <r>
    <d v="2039-02-24T00:00:00"/>
    <x v="2"/>
    <x v="9"/>
    <n v="6.1795359381171901E-2"/>
    <n v="24062.007904852435"/>
    <n v="3.7565528990880415"/>
    <n v="2.5869878667632307"/>
    <n v="7.8449889205003434"/>
    <n v="78997.185207957082"/>
    <e v="#REF!"/>
    <n v="94.301073696439389"/>
    <s v="OK"/>
  </r>
  <r>
    <d v="2039-03-26T00:00:00"/>
    <x v="4"/>
    <x v="21"/>
    <n v="-0.42709197749518424"/>
    <n v="31549.103551135137"/>
    <n v="3.3702266612080414"/>
    <n v="1.8524581943648408"/>
    <n v="4.8931039548856763"/>
    <n v="115149.90298674972"/>
    <n v="98"/>
    <n v="59.739474240478756"/>
    <s v="OK"/>
  </r>
  <r>
    <d v="2039-04-25T00:00:00"/>
    <x v="0"/>
    <x v="21"/>
    <n v="-0.42709197749518424"/>
    <n v="33168.884404660494"/>
    <n v="3.8694052404437516"/>
    <n v="3.2441919714999368"/>
    <n v="4.2293108955320795"/>
    <n v="127410.72287993427"/>
    <e v="#REF!"/>
    <n v="87.435638596495778"/>
    <s v="OK"/>
  </r>
  <r>
    <d v="2039-05-25T00:00:00"/>
    <x v="3"/>
    <x v="12"/>
    <n v="-0.72042437962099792"/>
    <n v="32068.995487257493"/>
    <n v="3.8076837420065268"/>
    <n v="2.3187758267818972"/>
    <n v="7.2779960829551182"/>
    <n v="113904.05800167998"/>
    <n v="93"/>
    <n v="55.670929588784624"/>
    <s v="OK"/>
  </r>
  <r>
    <d v="2039-06-24T00:00:00"/>
    <x v="2"/>
    <x v="18"/>
    <n v="0.84401509838334177"/>
    <n v="29073.561705611457"/>
    <n v="3.0322806489777023"/>
    <n v="1.850626961678574"/>
    <n v="7.855104628636953"/>
    <n v="105675.02047323002"/>
    <n v="90"/>
    <n v="76.686683661426017"/>
    <s v="OK"/>
  </r>
  <r>
    <d v="2039-07-24T00:00:00"/>
    <x v="3"/>
    <x v="8"/>
    <n v="-3.5982107994099323E-2"/>
    <n v="29350.896501332871"/>
    <n v="4.0429910580875159"/>
    <n v="2.6897061676103955"/>
    <n v="5.5044348062174171"/>
    <n v="80242.533181985025"/>
    <n v="85"/>
    <n v="78.549818982920073"/>
    <s v="OK"/>
  </r>
  <r>
    <d v="2039-08-23T00:00:00"/>
    <x v="3"/>
    <x v="21"/>
    <n v="-0.42709197749518424"/>
    <n v="30219.057359895549"/>
    <n v="3.2320182774429762"/>
    <n v="3.919603004513637"/>
    <n v="6.7137556424900273"/>
    <n v="83062.980677492713"/>
    <n v="81"/>
    <n v="33.91709647226709"/>
    <s v="OK"/>
  </r>
  <r>
    <d v="2039-09-22T00:00:00"/>
    <x v="0"/>
    <x v="11"/>
    <n v="-1.3070891838726253"/>
    <n v="29264.989991857557"/>
    <n v="3.9040288991405725"/>
    <n v="1.8995764342612949"/>
    <n v="7.109771098637057"/>
    <n v="124992.37810593334"/>
    <n v="80"/>
    <n v="48.897284718064938"/>
    <s v="OK"/>
  </r>
  <r>
    <d v="2039-10-22T00:00:00"/>
    <x v="3"/>
    <x v="33"/>
    <n v="2.0173447068865964"/>
    <n v="34819.395583974547"/>
    <n v="3.6836436567006703"/>
    <n v="0.63346004863938377"/>
    <n v="4.6090189209539396"/>
    <n v="115586.98007810664"/>
    <n v="88"/>
    <n v="70.984172523041906"/>
    <s v="OK"/>
  </r>
  <r>
    <d v="2039-11-21T00:00:00"/>
    <x v="0"/>
    <x v="41"/>
    <n v="-1.7959765207489813"/>
    <n v="41052.61500795676"/>
    <n v="4.419091838397561"/>
    <n v="3.5075136898369221"/>
    <e v="#REF!"/>
    <n v="99219.609612449116"/>
    <n v="88"/>
    <n v="47.378041982312368"/>
    <s v="OK"/>
  </r>
  <r>
    <d v="2039-12-21T00:00:00"/>
    <x v="4"/>
    <x v="37"/>
    <n v="0.25735029413171434"/>
    <e v="#REF!"/>
    <n v="3.3882670088140738"/>
    <n v="1.8153701742399959"/>
    <n v="6.9770494157856824"/>
    <n v="91641.809084682187"/>
    <n v="92"/>
    <n v="48.923215021036526"/>
    <s v="OK"/>
  </r>
  <r>
    <d v="2040-01-20T00:00:00"/>
    <x v="3"/>
    <x v="17"/>
    <n v="-1.2093117164973541"/>
    <n v="23150.985102104612"/>
    <n v="3.3253416019409014"/>
    <n v="3.2906255991627686"/>
    <n v="7.5220171344502109"/>
    <n v="59483.842537772463"/>
    <n v="90"/>
    <n v="62.783957302495395"/>
    <s v="OK"/>
  </r>
  <r>
    <d v="2040-02-19T00:00:00"/>
    <x v="3"/>
    <x v="5"/>
    <n v="-0.91597931437154034"/>
    <n v="29558.589758243725"/>
    <n v="3.4902901970561335"/>
    <n v="0.52989618228816449"/>
    <n v="6.1754570322092253"/>
    <n v="78582.951626311231"/>
    <n v="97"/>
    <n v="99.697959443571094"/>
    <s v="OK"/>
  </r>
  <r>
    <d v="2040-03-20T00:00:00"/>
    <x v="3"/>
    <x v="34"/>
    <n v="-1.0137567817468116"/>
    <n v="42898.546688271592"/>
    <n v="3.3484101085828621"/>
    <n v="3.3925973382993093"/>
    <n v="4.4442227757975346"/>
    <n v="138228.38174279447"/>
    <n v="89"/>
    <n v="33.323081079781602"/>
    <s v="OK"/>
  </r>
  <r>
    <d v="2040-04-19T00:00:00"/>
    <x v="1"/>
    <x v="10"/>
    <n v="0.55068269625752808"/>
    <n v="25981.627160151347"/>
    <n v="3.8999709509710252"/>
    <n v="1.2888280707192188"/>
    <n v="7.8449889205003434"/>
    <n v="74390.888579950668"/>
    <n v="106"/>
    <n v="85.284540569145889"/>
    <s v="OK"/>
  </r>
  <r>
    <d v="2040-05-19T00:00:00"/>
    <x v="1"/>
    <x v="0"/>
    <n v="-0.32931451011991297"/>
    <n v="38195.584027220335"/>
    <n v="2.6918446957817062"/>
    <n v="3.2307641190665244"/>
    <n v="4.8628349226256429"/>
    <n v="103789.59642442162"/>
    <n v="91"/>
    <n v="54.565382805329421"/>
    <s v="OK"/>
  </r>
  <r>
    <d v="2040-06-18T00:00:00"/>
    <x v="2"/>
    <x v="24"/>
    <n v="-0.23153704274464176"/>
    <n v="38388.504070382201"/>
    <n v="2.9731587904268229"/>
    <n v="2.514273067836434"/>
    <n v="5.0978346625942574"/>
    <n v="120148.87946390397"/>
    <n v="81"/>
    <n v="83.711257809576708"/>
    <s v="OK"/>
  </r>
  <r>
    <d v="2040-07-18T00:00:00"/>
    <x v="1"/>
    <x v="7"/>
    <n v="-0.13375957536937055"/>
    <n v="27232.058791460026"/>
    <n v="2.9660985392104036"/>
    <n v="1.5460605806033552"/>
    <n v="5.9108054013875453"/>
    <n v="74901.546639954147"/>
    <n v="93"/>
    <n v="67.633184129608679"/>
    <s v="OK"/>
  </r>
  <r>
    <d v="2040-08-17T00:00:00"/>
    <x v="2"/>
    <x v="9"/>
    <n v="6.1795359381171901E-2"/>
    <n v="32844.915395926379"/>
    <n v="3.9751537959867878"/>
    <n v="2.0929636870732193"/>
    <n v="7.3649925048577289"/>
    <n v="103694.20949562166"/>
    <n v="89"/>
    <n v="90.927635320191868"/>
    <s v="OK"/>
  </r>
  <r>
    <d v="2040-09-16T00:00:00"/>
    <x v="1"/>
    <x v="18"/>
    <n v="0.84401509838334177"/>
    <n v="38141.983115642688"/>
    <n v="2.9967287173601793"/>
    <n v="3.1863184569567009"/>
    <n v="6.5247711718626684"/>
    <n v="118758.3107502131"/>
    <n v="73"/>
    <n v="52.875404188008794"/>
    <s v="OK"/>
  </r>
  <r>
    <d v="2040-10-16T00:00:00"/>
    <x v="4"/>
    <x v="12"/>
    <n v="-0.72042437962099792"/>
    <n v="28104.361295062565"/>
    <n v="3.4477753907312643"/>
    <n v="2.6058944531152344"/>
    <n v="5.9978386004342923"/>
    <n v="100249.986438145"/>
    <n v="101"/>
    <n v="68.344353585718309"/>
    <s v="OK"/>
  </r>
  <r>
    <d v="2040-11-15T00:00:00"/>
    <x v="2"/>
    <x v="24"/>
    <n v="-0.23153704274464176"/>
    <n v="28982.098199488191"/>
    <n v="3.4155891384049948"/>
    <n v="3.084412980472484"/>
    <n v="6.0559462361417271"/>
    <e v="#REF!"/>
    <n v="81"/>
    <n v="70.401494449506188"/>
    <s v="OK"/>
  </r>
  <r>
    <d v="2040-12-15T00:00:00"/>
    <x v="1"/>
    <x v="23"/>
    <n v="1.6262348373855116"/>
    <n v="27091.595430256781"/>
    <n v="3.5350260815565906"/>
    <n v="4.4764405845154851"/>
    <n v="5.552217602372159"/>
    <n v="66628.014822436089"/>
    <n v="98"/>
    <n v="53.390635344037861"/>
    <s v="OK"/>
  </r>
  <r>
    <d v="2041-01-14T00:00:00"/>
    <x v="4"/>
    <x v="3"/>
    <n v="0.35512776150698561"/>
    <n v="24926.216346535664"/>
    <n v="4.0809391513040953"/>
    <n v="0.93575838828894864"/>
    <n v="6.1697674174222072"/>
    <n v="121174.57059767758"/>
    <n v="92"/>
    <n v="31.54496349499852"/>
    <s v="OK"/>
  </r>
  <r>
    <d v="2041-02-13T00:00:00"/>
    <x v="1"/>
    <x v="17"/>
    <n v="-1.2093117164973541"/>
    <n v="26753.612274669966"/>
    <n v="3.0363234329047128"/>
    <n v="4.1172125749686241"/>
    <e v="#REF!"/>
    <n v="96543.965252070717"/>
    <n v="106"/>
    <n v="27.484752552986844"/>
    <s v="OK"/>
  </r>
  <r>
    <d v="2041-03-15T00:00:00"/>
    <x v="0"/>
    <x v="3"/>
    <n v="0.35512776150698561"/>
    <n v="23880.298666188719"/>
    <n v="3.6191844913673927"/>
    <n v="2.6043559375232128"/>
    <n v="5.144071049116242"/>
    <n v="115438.4030967335"/>
    <n v="101"/>
    <n v="21.333724047970648"/>
    <s v="OK"/>
  </r>
  <r>
    <d v="2041-04-14T00:00:00"/>
    <x v="0"/>
    <x v="27"/>
    <n v="1.5284573700102404"/>
    <n v="30170.417341296132"/>
    <e v="#REF!"/>
    <n v="1.6012159516768718"/>
    <n v="5.7895863219001376"/>
    <n v="108826.14303398492"/>
    <n v="67"/>
    <n v="89.882741139617167"/>
    <s v="OK"/>
  </r>
  <r>
    <d v="2041-05-14T00:00:00"/>
    <x v="4"/>
    <x v="2"/>
    <n v="-1.1115342491220828"/>
    <n v="26150.13384470679"/>
    <n v="3.7505470849699227"/>
    <n v="1.1696863742610102"/>
    <n v="4.1187830996565911"/>
    <n v="85336.876057800066"/>
    <n v="101"/>
    <n v="33.91709647226709"/>
    <s v="OK"/>
  </r>
  <r>
    <d v="2041-06-13T00:00:00"/>
    <x v="3"/>
    <x v="9"/>
    <n v="6.1795359381171901E-2"/>
    <n v="31168.92955895374"/>
    <n v="3.5947908082993716"/>
    <n v="2.3108796092229666"/>
    <n v="5.9635879813738724"/>
    <n v="104579.9278491868"/>
    <n v="88"/>
    <n v="36.920539942541446"/>
    <s v="OK"/>
  </r>
  <r>
    <d v="2041-07-13T00:00:00"/>
    <x v="3"/>
    <x v="18"/>
    <n v="0.84401509838334177"/>
    <n v="22220.521768981864"/>
    <n v="4.0005230462835701"/>
    <n v="3.4216501119244596"/>
    <n v="5.2546345348166543"/>
    <n v="62841.970972034258"/>
    <n v="89"/>
    <n v="78.88283203408524"/>
    <s v="OK"/>
  </r>
  <r>
    <d v="2041-08-12T00:00:00"/>
    <x v="0"/>
    <x v="0"/>
    <n v="-0.32931451011991297"/>
    <n v="31654.401161072285"/>
    <n v="2.1483838535003814"/>
    <n v="2.3724508796224657"/>
    <n v="7.6065708379785875"/>
    <n v="112064.95001142788"/>
    <n v="92"/>
    <n v="45.60128904699134"/>
    <s v="OK"/>
  </r>
  <r>
    <d v="2041-09-11T00:00:00"/>
    <x v="0"/>
    <x v="11"/>
    <n v="-1.3070891838726253"/>
    <n v="34167.644808044621"/>
    <n v="3.8389376597654539"/>
    <n v="4.011154930247347"/>
    <n v="7.3876236702578275"/>
    <n v="105963.16931981052"/>
    <n v="85"/>
    <e v="#REF!"/>
    <s v="OK"/>
  </r>
  <r>
    <d v="2041-10-11T00:00:00"/>
    <x v="3"/>
    <x v="17"/>
    <n v="-1.2093117164973541"/>
    <n v="20031.321787142722"/>
    <n v="3.3165877940926562"/>
    <n v="1.0488243099484411"/>
    <n v="4.9410333170582046"/>
    <n v="112773.20337286204"/>
    <n v="86"/>
    <n v="33.000885223796502"/>
    <s v="OK"/>
  </r>
  <r>
    <d v="2041-11-10T00:00:00"/>
    <x v="2"/>
    <x v="36"/>
    <n v="0.94179256575861292"/>
    <n v="31870.282849237861"/>
    <n v="2.5846835515717714"/>
    <n v="2.4879110521539456"/>
    <n v="5.3189947461199658"/>
    <n v="121162.366501743"/>
    <n v="93"/>
    <n v="96.779657716957544"/>
    <s v="OK"/>
  </r>
  <r>
    <d v="2041-12-10T00:00:00"/>
    <x v="3"/>
    <x v="28"/>
    <n v="-0.81820184699626908"/>
    <n v="36138.344962366464"/>
    <n v="3.7556012997624904"/>
    <n v="1.2476065555868809"/>
    <n v="5.4112629212699286"/>
    <n v="107352.39680419421"/>
    <n v="84"/>
    <n v="88.126512001378984"/>
    <s v="OK"/>
  </r>
  <r>
    <d v="2042-01-09T00:00:00"/>
    <x v="1"/>
    <x v="1"/>
    <n v="0.7462376310080705"/>
    <n v="23951.794906543972"/>
    <n v="4.1868292725814786"/>
    <n v="2.863631882624968"/>
    <e v="#REF!"/>
    <n v="102961.78839596553"/>
    <n v="89"/>
    <n v="89.103169837200255"/>
    <s v="OK"/>
  </r>
  <r>
    <d v="2042-02-08T00:00:00"/>
    <x v="2"/>
    <x v="19"/>
    <n v="0.64846016363279924"/>
    <n v="38362.861934188521"/>
    <n v="3.4312757426861542"/>
    <n v="3.3868873900973004"/>
    <n v="5.7340299808337525"/>
    <n v="82378.633266774152"/>
    <n v="98"/>
    <n v="52.541899885760415"/>
    <s v="OK"/>
  </r>
  <r>
    <d v="2042-03-10T00:00:00"/>
    <x v="1"/>
    <x v="12"/>
    <n v="-0.72042437962099792"/>
    <n v="32095.095046830225"/>
    <n v="3.9764372736014693"/>
    <n v="2.079238206318947"/>
    <n v="4.5900615173348918"/>
    <n v="85755.584727018984"/>
    <n v="85"/>
    <e v="#REF!"/>
    <s v="OK"/>
  </r>
  <r>
    <d v="2042-04-09T00:00:00"/>
    <x v="0"/>
    <x v="5"/>
    <n v="-0.91597931437154034"/>
    <n v="26474.940721207957"/>
    <n v="4.3061391289943227"/>
    <n v="2.5869878667632307"/>
    <n v="4.1432615980749681"/>
    <e v="#REF!"/>
    <n v="70"/>
    <n v="31.510092431182414"/>
    <s v="OK"/>
  </r>
  <r>
    <d v="2042-05-09T00:00:00"/>
    <x v="2"/>
    <x v="37"/>
    <n v="0.25735029413171434"/>
    <n v="29721.15461171147"/>
    <n v="4.1574572267920233"/>
    <n v="2.6989481467964946"/>
    <n v="6.2472534686803218"/>
    <e v="#REF!"/>
    <n v="106"/>
    <n v="20.689520207342422"/>
    <s v="OK"/>
  </r>
  <r>
    <d v="2042-06-08T00:00:00"/>
    <x v="1"/>
    <x v="8"/>
    <n v="-3.5982107994099323E-2"/>
    <n v="32791.634562608611"/>
    <n v="4.3199822646856969"/>
    <n v="2.9367385517335096"/>
    <n v="6.2554355010661729"/>
    <n v="95237.791273758921"/>
    <n v="91"/>
    <n v="21.597834606242252"/>
    <s v="OK"/>
  </r>
  <r>
    <d v="2042-07-08T00:00:00"/>
    <x v="1"/>
    <x v="2"/>
    <n v="-1.1115342491220828"/>
    <n v="38388.504070382201"/>
    <n v="3.8710637455359462"/>
    <n v="2.9042947549616978"/>
    <n v="4.5348210884080089"/>
    <n v="100920.05494506548"/>
    <n v="86"/>
    <n v="66.928138992364836"/>
    <s v="OK"/>
  </r>
  <r>
    <d v="2042-08-07T00:00:00"/>
    <x v="2"/>
    <x v="9"/>
    <n v="6.1795359381171901E-2"/>
    <n v="32693.779962231845"/>
    <n v="3.5377168194507962"/>
    <n v="3.7357821918221541"/>
    <n v="6.5744265169151195"/>
    <n v="81907.712500124675"/>
    <n v="92"/>
    <n v="56.431592419835262"/>
    <s v="OK"/>
  </r>
  <r>
    <d v="2042-09-06T00:00:00"/>
    <x v="4"/>
    <x v="9"/>
    <n v="6.1795359381171901E-2"/>
    <n v="25396.632034603168"/>
    <n v="2.699017094051416"/>
    <n v="1.4289463203509511"/>
    <n v="4.7421067250016025"/>
    <n v="123455.13690534889"/>
    <n v="75"/>
    <n v="61.441227912681583"/>
    <s v="OK"/>
  </r>
  <r>
    <d v="2042-10-06T00:00:00"/>
    <x v="3"/>
    <x v="19"/>
    <n v="0.64846016363279924"/>
    <n v="30846.80412018039"/>
    <n v="3.3769687559350259"/>
    <n v="3.1802161054504494"/>
    <n v="5.803798285645577"/>
    <n v="113308.33647383557"/>
    <e v="#REF!"/>
    <n v="31.54496349499852"/>
    <s v="OK"/>
  </r>
  <r>
    <d v="2042-11-05T00:00:00"/>
    <x v="1"/>
    <x v="6"/>
    <n v="-0.5248694448704555"/>
    <n v="22931.427515475101"/>
    <n v="3.0783767023419042"/>
    <n v="3.6925075124779747"/>
    <e v="#REF!"/>
    <n v="138824.34872927499"/>
    <n v="93"/>
    <n v="53.814929572594053"/>
    <s v="OK"/>
  </r>
  <r>
    <d v="2042-12-05T00:00:00"/>
    <x v="3"/>
    <x v="7"/>
    <n v="-0.13375957536937055"/>
    <n v="29443.8696932565"/>
    <n v="4.5854713587489071"/>
    <n v="0.72141241599348316"/>
    <n v="5.459664922355544"/>
    <n v="82433.538456405222"/>
    <n v="92"/>
    <n v="77.445452896068872"/>
    <s v="OK"/>
  </r>
  <r>
    <d v="2043-01-04T00:00:00"/>
    <x v="3"/>
    <x v="40"/>
    <n v="1.9195672395113252"/>
    <e v="#REF!"/>
    <n v="3.4120570937838317"/>
    <n v="2.8196518259189771"/>
    <n v="6.0456890945693615"/>
    <n v="92439.84201963566"/>
    <n v="92"/>
    <n v="55.41549615739487"/>
    <s v="OK"/>
  </r>
  <r>
    <d v="2043-02-03T00:00:00"/>
    <x v="0"/>
    <x v="8"/>
    <n v="-3.5982107994099323E-2"/>
    <n v="26322.350287051166"/>
    <n v="3.5616024033922429"/>
    <n v="1.9958201689923285"/>
    <n v="5.4112629212699286"/>
    <n v="104628.91845051144"/>
    <n v="70"/>
    <n v="78.577536504977786"/>
    <s v="OK"/>
  </r>
  <r>
    <d v="2043-03-05T00:00:00"/>
    <x v="3"/>
    <x v="17"/>
    <n v="-1.2093117164973541"/>
    <n v="36180.465876052185"/>
    <n v="3.7757426880202338"/>
    <n v="2.4184773268983539"/>
    <n v="5.2642400998862833"/>
    <n v="112929.79075451542"/>
    <n v="94"/>
    <n v="38.641517151746783"/>
    <s v="OK"/>
  </r>
  <r>
    <d v="2043-04-04T00:00:00"/>
    <x v="1"/>
    <x v="12"/>
    <n v="-0.72042437962099792"/>
    <n v="35456.550602971343"/>
    <n v="3.5218012231862268"/>
    <n v="2.8476764835383364"/>
    <n v="5.2529686829435915"/>
    <n v="95686.647249047353"/>
    <n v="93"/>
    <n v="85.051360358538034"/>
    <s v="OK"/>
  </r>
  <r>
    <d v="2043-05-04T00:00:00"/>
    <x v="0"/>
    <x v="3"/>
    <n v="0.35512776150698561"/>
    <n v="33045.690604535885"/>
    <n v="4.3475255202153766"/>
    <n v="2.0127714358864477"/>
    <n v="4.6041059841517136"/>
    <n v="82540.778190925994"/>
    <n v="84"/>
    <n v="67.074499236276182"/>
    <s v="OK"/>
  </r>
  <r>
    <d v="2043-06-03T00:00:00"/>
    <x v="2"/>
    <x v="43"/>
    <n v="-1.9915314554995238"/>
    <n v="24538.436176637104"/>
    <n v="3.1886753191327739"/>
    <n v="1.8242919208383883"/>
    <n v="5.2878710042610617"/>
    <n v="117628.15057847142"/>
    <e v="#REF!"/>
    <n v="36.861047954392497"/>
    <s v="OK"/>
  </r>
  <r>
    <d v="2043-07-03T00:00:00"/>
    <x v="1"/>
    <x v="29"/>
    <n v="1.0395700331338842"/>
    <n v="28417.957751525992"/>
    <n v="3.5973037276186215"/>
    <n v="2.5341524174880248"/>
    <n v="6.2472534686803218"/>
    <n v="114422.70725091163"/>
    <n v="95"/>
    <n v="38.937638068306633"/>
    <s v="OK"/>
  </r>
  <r>
    <d v="2043-08-02T00:00:00"/>
    <x v="0"/>
    <x v="21"/>
    <n v="-0.42709197749518424"/>
    <n v="36065.488499895917"/>
    <n v="3.1287647071509759"/>
    <n v="1.4127540611371974"/>
    <n v="4.9106155034294741"/>
    <n v="81674.517988725507"/>
    <n v="80"/>
    <n v="70.242437165562961"/>
    <s v="OK"/>
  </r>
  <r>
    <d v="2043-09-01T00:00:00"/>
    <x v="0"/>
    <x v="13"/>
    <n v="0.15957282675644313"/>
    <n v="30708.584568199523"/>
    <n v="2.8399887443896472"/>
    <n v="1.4141748711148145"/>
    <n v="5.1581494079563948"/>
    <n v="127108.85602210992"/>
    <n v="89"/>
    <n v="86.395167456995466"/>
    <s v="OK"/>
  </r>
  <r>
    <d v="2043-10-01T00:00:00"/>
    <x v="3"/>
    <x v="21"/>
    <n v="-0.42709197749518424"/>
    <n v="41596.64769990847"/>
    <n v="3.1941154545473571"/>
    <n v="3.1793732829565036"/>
    <n v="5.1925842970055438"/>
    <n v="123403.97418393208"/>
    <n v="93"/>
    <n v="89.103169837200255"/>
    <s v="OK"/>
  </r>
  <r>
    <d v="2043-10-31T00:00:00"/>
    <x v="2"/>
    <x v="1"/>
    <n v="0.7462376310080705"/>
    <n v="31966.589196971858"/>
    <n v="3.4814816014757941"/>
    <n v="1.3512059648413439"/>
    <n v="5.2102030649550652"/>
    <n v="102685.92994495586"/>
    <n v="85"/>
    <n v="40.664034330207379"/>
    <s v="OK"/>
  </r>
  <r>
    <d v="2043-11-30T00:00:00"/>
    <x v="1"/>
    <x v="28"/>
    <n v="-0.81820184699626908"/>
    <n v="31870.282849237861"/>
    <n v="3.2853488877413701"/>
    <n v="3.1663125009092119"/>
    <n v="5.4258829601678453"/>
    <n v="101591.95724752072"/>
    <n v="81"/>
    <n v="89.360928552848037"/>
    <s v="OK"/>
  </r>
  <r>
    <d v="2043-12-30T00:00:00"/>
    <x v="1"/>
    <x v="17"/>
    <n v="-1.2093117164973541"/>
    <n v="28454.417678987495"/>
    <n v="3.153789510063072"/>
    <n v="2.9625912928539511"/>
    <n v="6.075329821703277"/>
    <n v="111081.15542231814"/>
    <n v="81"/>
    <n v="31.510092431182414"/>
    <s v="OK"/>
  </r>
  <r>
    <d v="2044-01-29T00:00:00"/>
    <x v="3"/>
    <x v="9"/>
    <n v="6.1795359381171901E-2"/>
    <n v="30667.704523911412"/>
    <n v="2.7968412681640831"/>
    <n v="0.77419327120940329"/>
    <n v="6.5494204889590275"/>
    <n v="82765.938594874839"/>
    <n v="88"/>
    <n v="55.846838982646119"/>
    <s v="OK"/>
  </r>
  <r>
    <d v="2044-02-28T00:00:00"/>
    <x v="2"/>
    <x v="38"/>
    <n v="1.7240123047607827"/>
    <n v="29237.650818097281"/>
    <n v="3.4584472136856528"/>
    <n v="2.3724508796224657"/>
    <n v="4.7202817277820799"/>
    <n v="100600.62958328164"/>
    <n v="88"/>
    <n v="59.032015622344147"/>
    <s v="OK"/>
  </r>
  <r>
    <d v="2044-03-29T00:00:00"/>
    <x v="1"/>
    <x v="37"/>
    <n v="0.25735029413171434"/>
    <n v="32095.095046830225"/>
    <n v="2.7476398129844988"/>
    <n v="4.011154930247347"/>
    <n v="4.0561589735330266"/>
    <n v="56952.329107816389"/>
    <n v="103"/>
    <n v="66.928138992364836"/>
    <s v="OK"/>
  </r>
  <r>
    <d v="2044-04-28T00:00:00"/>
    <x v="2"/>
    <x v="2"/>
    <n v="-1.1115342491220828"/>
    <n v="34783.511583972919"/>
    <n v="3.8800279818448011"/>
    <n v="1.5188344688603184"/>
    <n v="4.2495467053082763"/>
    <n v="117529.11291005871"/>
    <n v="91"/>
    <n v="70.144210405187522"/>
    <s v="OK"/>
  </r>
  <r>
    <d v="2044-05-28T00:00:00"/>
    <x v="1"/>
    <x v="9"/>
    <n v="6.1795359381171901E-2"/>
    <n v="26070.052697460254"/>
    <n v="3.5412198764672516"/>
    <n v="2.0355957376906124"/>
    <n v="4.9153564945660877"/>
    <n v="68770.135551162821"/>
    <n v="80"/>
    <n v="48.699400843431093"/>
    <s v="OK"/>
  </r>
  <r>
    <d v="2044-06-27T00:00:00"/>
    <x v="3"/>
    <x v="41"/>
    <n v="-1.7959765207489813"/>
    <n v="23343.83523221111"/>
    <n v="2.7712242502675348"/>
    <n v="2.9620608932518966"/>
    <n v="5.0776944186201893"/>
    <n v="130068.39656857998"/>
    <n v="95"/>
    <n v="99.651614133947945"/>
    <s v="OK"/>
  </r>
  <r>
    <d v="2044-07-27T00:00:00"/>
    <x v="4"/>
    <x v="28"/>
    <n v="-0.81820184699626908"/>
    <n v="20818.973134483516"/>
    <n v="3.3453954614750683"/>
    <n v="3.2833905092825955"/>
    <n v="4.5760047205630512"/>
    <n v="93397.598120670998"/>
    <n v="109"/>
    <n v="58.414681220951024"/>
    <s v="OK"/>
  </r>
  <r>
    <d v="2044-08-26T00:00:00"/>
    <x v="1"/>
    <x v="5"/>
    <n v="-0.91597931437154034"/>
    <n v="32539.956634562717"/>
    <n v="3.1239217972047086"/>
    <n v="3.3868873900973004"/>
    <n v="3.9446600029001266"/>
    <n v="95766.66036137646"/>
    <n v="85"/>
    <n v="58.870848495169056"/>
    <s v="OK"/>
  </r>
  <r>
    <d v="2044-09-25T00:00:00"/>
    <x v="0"/>
    <x v="37"/>
    <n v="0.25735029413171434"/>
    <n v="24483.166969130631"/>
    <n v="3.6595872552095901"/>
    <n v="1.9024898053083583"/>
    <n v="4.9526550070309741"/>
    <n v="87445.321878309886"/>
    <n v="81"/>
    <n v="65.268142992853754"/>
    <s v="OK"/>
  </r>
  <r>
    <d v="2044-10-25T00:00:00"/>
    <x v="0"/>
    <x v="36"/>
    <n v="0.94179256575861292"/>
    <n v="19235.547035237585"/>
    <n v="4.1702252230115722"/>
    <n v="3.9223698616985079"/>
    <n v="5.7177119441367656"/>
    <n v="94239.222521558477"/>
    <n v="97"/>
    <n v="93.340480249499734"/>
    <s v="OK"/>
  </r>
  <r>
    <d v="2044-11-24T00:00:00"/>
    <x v="4"/>
    <x v="13"/>
    <n v="0.15957282675644313"/>
    <n v="31942.893022654822"/>
    <n v="2.5624137651771277"/>
    <n v="4.2388996637975787"/>
    <n v="6.2140353590026773"/>
    <n v="128370.62690296074"/>
    <n v="87"/>
    <n v="84.065447988780022"/>
    <s v="OK"/>
  </r>
  <r>
    <d v="2044-12-24T00:00:00"/>
    <x v="1"/>
    <x v="24"/>
    <n v="-0.23153704274464176"/>
    <n v="42464.997587163954"/>
    <e v="#REF!"/>
    <n v="3.4788580507817954"/>
    <n v="4.8310923362700144"/>
    <n v="50243.826869298413"/>
    <n v="94"/>
    <n v="56.090405583827312"/>
    <s v="OK"/>
  </r>
  <r>
    <d v="2045-01-23T00:00:00"/>
    <x v="0"/>
    <x v="2"/>
    <n v="-1.1115342491220828"/>
    <n v="29969.645442300534"/>
    <n v="3.41993360221668"/>
    <n v="2.5853181425650242"/>
    <n v="5.004402613427879"/>
    <n v="125539.30772176376"/>
    <e v="#REF!"/>
    <n v="77.495941277823675"/>
    <s v="OK"/>
  </r>
  <r>
    <d v="2045-02-22T00:00:00"/>
    <x v="0"/>
    <x v="9"/>
    <n v="6.1795359381171901E-2"/>
    <n v="34192.453872258207"/>
    <n v="3.8356700382252327"/>
    <n v="1.6917342783590736"/>
    <n v="4.3879620293832273"/>
    <n v="106760.46962203416"/>
    <n v="91"/>
    <n v="66.898839902460935"/>
    <s v="OK"/>
  </r>
  <r>
    <d v="2045-03-24T00:00:00"/>
    <x v="1"/>
    <x v="26"/>
    <n v="0.45290522888225682"/>
    <n v="30409.146792737825"/>
    <n v="3.9237108385752109"/>
    <n v="1.6695555934434347"/>
    <n v="5.4622729955502685"/>
    <n v="75859.567042855691"/>
    <n v="111"/>
    <n v="59.389363896099916"/>
    <s v="OK"/>
  </r>
  <r>
    <d v="2045-04-23T00:00:00"/>
    <x v="2"/>
    <x v="19"/>
    <n v="0.64846016363279924"/>
    <n v="29505.551734044286"/>
    <n v="3.1240153341305903"/>
    <n v="3.0225141052657576"/>
    <n v="4.481885638971022"/>
    <n v="78493.75213901524"/>
    <n v="85"/>
    <n v="35.385261822748042"/>
    <s v="OK"/>
  </r>
  <r>
    <d v="2045-05-23T00:00:00"/>
    <x v="1"/>
    <x v="28"/>
    <n v="-0.81820184699626908"/>
    <n v="34595.382414938846"/>
    <n v="3.3404730321666909"/>
    <n v="2.9183982208886836"/>
    <n v="4.0561589735330266"/>
    <n v="133527.86054416405"/>
    <n v="87"/>
    <n v="57.114901076391277"/>
    <s v="OK"/>
  </r>
  <r>
    <d v="2045-06-22T00:00:00"/>
    <x v="2"/>
    <x v="29"/>
    <n v="1.0395700331338842"/>
    <n v="28548.627279056742"/>
    <n v="3.1019870715982556"/>
    <n v="3.9015985929464296"/>
    <n v="3.3569602096790665"/>
    <n v="81089.862401145379"/>
    <n v="88"/>
    <n v="39.665486961805968"/>
    <s v="OK"/>
  </r>
  <r>
    <d v="2045-07-22T00:00:00"/>
    <x v="4"/>
    <x v="26"/>
    <n v="0.45290522888225682"/>
    <n v="31336.961570359515"/>
    <n v="4.038003569299299"/>
    <n v="3.1504500925361389"/>
    <n v="5.0684443930570451"/>
    <n v="76932.989788080813"/>
    <n v="82"/>
    <n v="93.187371988132369"/>
    <s v="OK"/>
  </r>
  <r>
    <d v="2045-08-21T00:00:00"/>
    <x v="3"/>
    <x v="35"/>
    <n v="-1.4048666512478964"/>
    <n v="31608.489030980068"/>
    <n v="3.5106558243359709"/>
    <n v="0.99691969824018201"/>
    <n v="5.8613288070300902"/>
    <n v="122746.29084729459"/>
    <n v="84"/>
    <n v="46.832545079707756"/>
    <s v="OK"/>
  </r>
  <r>
    <d v="2045-09-20T00:00:00"/>
    <x v="4"/>
    <x v="1"/>
    <n v="0.7462376310080705"/>
    <n v="26659.547731784754"/>
    <n v="4.4505953428765039"/>
    <n v="3.5519476177229183"/>
    <n v="5.7206014195870054"/>
    <n v="106771.05752571828"/>
    <n v="79"/>
    <n v="96.181121162669783"/>
    <s v="OK"/>
  </r>
  <r>
    <d v="2045-10-20T00:00:00"/>
    <x v="3"/>
    <x v="4"/>
    <n v="1.1373475005091553"/>
    <n v="34960.211747682617"/>
    <n v="3.4696695930926897"/>
    <n v="1.501939372685587"/>
    <e v="#REF!"/>
    <n v="81241.488469272022"/>
    <n v="87"/>
    <n v="62.644423207576892"/>
    <s v="OK"/>
  </r>
  <r>
    <d v="2045-11-19T00:00:00"/>
    <x v="0"/>
    <x v="1"/>
    <n v="0.7462376310080705"/>
    <n v="29125.201216522957"/>
    <n v="3.1457966165447688"/>
    <n v="2.1160287280476484"/>
    <n v="4.9526550070309741"/>
    <n v="104332.49950809238"/>
    <n v="92"/>
    <n v="70.523550294092828"/>
    <s v="OK"/>
  </r>
  <r>
    <d v="2045-12-19T00:00:00"/>
    <x v="0"/>
    <x v="6"/>
    <n v="-0.5248694448704555"/>
    <n v="26221.274202535777"/>
    <n v="2.7431428036935865"/>
    <n v="2.7502002062516944"/>
    <n v="4.295134483789588"/>
    <n v="79484.946327194455"/>
    <n v="79"/>
    <n v="63.435235559146221"/>
    <s v="OK"/>
  </r>
  <r>
    <d v="2046-01-18T00:00:00"/>
    <x v="0"/>
    <x v="28"/>
    <n v="-0.81820184699626908"/>
    <n v="32682.549217852018"/>
    <n v="2.5984301618720274"/>
    <n v="4.4956674897839646"/>
    <n v="5.3854429034931126"/>
    <n v="122016.4279684521"/>
    <n v="95"/>
    <n v="30.350449357336071"/>
    <s v="OK"/>
  </r>
  <r>
    <d v="2046-02-17T00:00:00"/>
    <x v="2"/>
    <x v="34"/>
    <n v="-1.0137567817468116"/>
    <n v="25507.660091044814"/>
    <n v="2.7079320284972552"/>
    <n v="2.5869878667632307"/>
    <n v="3.368504399840258"/>
    <n v="121227.41929746268"/>
    <n v="96"/>
    <n v="50.065697520635275"/>
    <s v="OK"/>
  </r>
  <r>
    <d v="2046-03-19T00:00:00"/>
    <x v="3"/>
    <x v="7"/>
    <n v="-0.13375957536937055"/>
    <n v="30140.90578684564"/>
    <n v="4.0429910580875159"/>
    <n v="3.1067230591361827"/>
    <n v="5.4032803008438872"/>
    <n v="110640.12397643886"/>
    <n v="90"/>
    <n v="27.931688982209913"/>
    <s v="OK"/>
  </r>
  <r>
    <d v="2046-04-18T00:00:00"/>
    <x v="0"/>
    <x v="29"/>
    <n v="1.0395700331338842"/>
    <n v="29954.405016778983"/>
    <n v="3.7543625116149668"/>
    <n v="2.3168033812796121"/>
    <n v="4.50033273159909"/>
    <n v="107233.22122494034"/>
    <n v="95"/>
    <n v="69.836323534670541"/>
    <s v="OK"/>
  </r>
  <r>
    <d v="2046-05-18T00:00:00"/>
    <x v="1"/>
    <x v="16"/>
    <n v="-0.62264691224572666"/>
    <n v="35429.477829157891"/>
    <n v="2.7094046489839334"/>
    <n v="3.0345056484805504"/>
    <n v="5.4622729955502685"/>
    <n v="135223.76249734749"/>
    <n v="82"/>
    <n v="55.749935616035117"/>
    <s v="OK"/>
  </r>
  <r>
    <d v="2046-06-17T00:00:00"/>
    <x v="3"/>
    <x v="3"/>
    <n v="0.35512776150698561"/>
    <n v="32373.491164399762"/>
    <n v="3.9475191570380579"/>
    <n v="3.3876554258738363"/>
    <n v="4.8405516704853584"/>
    <n v="106771.05752571828"/>
    <n v="96"/>
    <n v="82.238797725674942"/>
    <s v="OK"/>
  </r>
  <r>
    <d v="2046-07-17T00:00:00"/>
    <x v="3"/>
    <x v="9"/>
    <n v="6.1795359381171901E-2"/>
    <n v="23343.83523221111"/>
    <n v="4.419091838397561"/>
    <n v="2.1793323744428084"/>
    <n v="5.3598809010457042"/>
    <n v="76362.517491583974"/>
    <n v="89"/>
    <n v="37.637638479949587"/>
    <s v="OK"/>
  </r>
  <r>
    <d v="2046-08-16T00:00:00"/>
    <x v="2"/>
    <x v="13"/>
    <n v="0.15957282675644313"/>
    <n v="34088.831496001432"/>
    <n v="3.5733965059927746"/>
    <n v="2.5869878667632307"/>
    <n v="4.7373305903147163"/>
    <n v="104332.49950809238"/>
    <n v="87"/>
    <n v="33.165284674346793"/>
    <s v="OK"/>
  </r>
  <r>
    <d v="2046-09-15T00:00:00"/>
    <x v="4"/>
    <x v="6"/>
    <n v="-0.5248694448704555"/>
    <e v="#REF!"/>
    <n v="4.3061103141277126"/>
    <n v="2.7300707591914022"/>
    <n v="7.5866216222239977"/>
    <e v="#REF!"/>
    <n v="96"/>
    <n v="52.506578477101428"/>
    <s v="OK"/>
  </r>
  <r>
    <d v="2046-10-15T00:00:00"/>
    <x v="2"/>
    <x v="18"/>
    <n v="0.84401509838334177"/>
    <n v="32789.051531759309"/>
    <n v="3.9484196579327659"/>
    <n v="2.9977430890913941"/>
    <n v="5.1145086806585063"/>
    <n v="79704.810136282962"/>
    <n v="102"/>
    <n v="94.126830657470492"/>
    <s v="OK"/>
  </r>
  <r>
    <d v="2046-11-14T00:00:00"/>
    <x v="0"/>
    <x v="20"/>
    <n v="1.3329024352596979"/>
    <n v="30051.763099216903"/>
    <n v="3.3657346760470839"/>
    <n v="3.1659242520544613"/>
    <n v="7.6990684521750419"/>
    <n v="92770.744666120285"/>
    <n v="72"/>
    <n v="76.833745200992936"/>
    <s v="OK"/>
  </r>
  <r>
    <d v="2046-12-14T00:00:00"/>
    <x v="1"/>
    <x v="27"/>
    <n v="1.5284573700102404"/>
    <n v="23440.818838249201"/>
    <n v="3.0544038872923562"/>
    <n v="2.9215866106144555"/>
    <n v="6.4769821145419195"/>
    <n v="110640.12397643886"/>
    <n v="88"/>
    <n v="53.513889983433494"/>
    <s v="OK"/>
  </r>
  <r>
    <d v="2047-01-13T00:00:00"/>
    <x v="1"/>
    <x v="7"/>
    <n v="-0.13375957536937055"/>
    <n v="24674.431684623138"/>
    <n v="2.4240922993353475"/>
    <n v="3.3389405004696124"/>
    <n v="6.0784800728024635"/>
    <n v="98921.903019885212"/>
    <n v="81"/>
    <n v="61.381773580344841"/>
    <s v="OK"/>
  </r>
  <r>
    <d v="2047-02-12T00:00:00"/>
    <x v="0"/>
    <x v="16"/>
    <n v="-0.62264691224572666"/>
    <n v="28473.876478226663"/>
    <n v="3.1404233403787898"/>
    <n v="2.5869878667632307"/>
    <n v="5.942479776781024"/>
    <n v="80353.928392453701"/>
    <n v="92"/>
    <n v="26.737040894167869"/>
    <s v="OK"/>
  </r>
  <r>
    <d v="2047-03-14T00:00:00"/>
    <x v="1"/>
    <x v="26"/>
    <n v="0.45290522888225682"/>
    <n v="26952.438989203583"/>
    <n v="2.9660985392104036"/>
    <n v="1.9416982460539693"/>
    <n v="5.9725567578595022"/>
    <n v="122437.15712460942"/>
    <n v="82"/>
    <n v="98.766071710089051"/>
    <s v="OK"/>
  </r>
  <r>
    <d v="2047-04-13T00:00:00"/>
    <x v="2"/>
    <x v="9"/>
    <n v="6.1795359381171901E-2"/>
    <n v="29065.143485072771"/>
    <n v="3.0064102364244079"/>
    <n v="1.3998457670283051"/>
    <n v="3.1867929047852681"/>
    <n v="146400.81444034519"/>
    <n v="102"/>
    <n v="73.312584375593516"/>
    <s v="OK"/>
  </r>
  <r>
    <d v="2047-05-13T00:00:00"/>
    <x v="2"/>
    <x v="34"/>
    <n v="-1.0137567817468116"/>
    <n v="29505.551734044286"/>
    <n v="3.4343715164538478"/>
    <n v="3.9223698616985079"/>
    <n v="5.1653399270190921"/>
    <n v="103922.62918047815"/>
    <n v="80"/>
    <n v="42.832325477073795"/>
    <s v="OK"/>
  </r>
  <r>
    <d v="2047-06-12T00:00:00"/>
    <x v="0"/>
    <x v="11"/>
    <n v="-1.3070891838726253"/>
    <n v="32648.463771783652"/>
    <n v="3.5384259414793839"/>
    <n v="3.2789365035121141"/>
    <n v="6.5141895654211854"/>
    <n v="81918.634205279988"/>
    <n v="84"/>
    <n v="96.181121162669783"/>
    <s v="OK"/>
  </r>
  <r>
    <d v="2047-07-12T00:00:00"/>
    <x v="1"/>
    <x v="16"/>
    <n v="-0.62264691224572666"/>
    <n v="29647.506109704544"/>
    <n v="3.3875720090959609"/>
    <n v="2.9577728661518856"/>
    <n v="5.4413233798310729"/>
    <n v="69020.789498930506"/>
    <n v="89"/>
    <n v="28.75858928551952"/>
    <s v="OK"/>
  </r>
  <r>
    <d v="2047-08-11T00:00:00"/>
    <x v="3"/>
    <x v="26"/>
    <n v="0.45290522888225682"/>
    <n v="32432.50821913101"/>
    <n v="3.1749987095882704"/>
    <n v="4.1744924333475373"/>
    <n v="3.8137721838357099"/>
    <n v="105159.51962442361"/>
    <n v="79"/>
    <n v="97.266933504606683"/>
    <s v="OK"/>
  </r>
  <r>
    <d v="2047-09-10T00:00:00"/>
    <x v="4"/>
    <x v="28"/>
    <n v="-0.81820184699626908"/>
    <n v="31608.489030980068"/>
    <n v="4.0809391513040953"/>
    <n v="2.4944039811709535"/>
    <n v="5.4371146593070367"/>
    <n v="122077.54686632515"/>
    <n v="72"/>
    <n v="33.982799030669277"/>
    <s v="OK"/>
  </r>
  <r>
    <d v="2047-10-10T00:00:00"/>
    <x v="3"/>
    <x v="20"/>
    <n v="1.3329024352596979"/>
    <n v="20122.667168230644"/>
    <n v="3.7209703247847044"/>
    <n v="3.1687416555925125"/>
    <n v="7.5449266195065894"/>
    <e v="#REF!"/>
    <n v="80"/>
    <n v="71.842425444417131"/>
    <s v="OK"/>
  </r>
  <r>
    <d v="2047-11-09T00:00:00"/>
    <x v="2"/>
    <x v="3"/>
    <n v="0.35512776150698561"/>
    <n v="25303.323030906227"/>
    <n v="2.9548004612785768"/>
    <n v="1.4082991238606857"/>
    <n v="6.9962700586416631"/>
    <n v="99951.923181622929"/>
    <n v="89"/>
    <n v="50.065697520635275"/>
    <s v="OK"/>
  </r>
  <r>
    <d v="2047-12-09T00:00:00"/>
    <x v="2"/>
    <x v="7"/>
    <n v="-0.13375957536937055"/>
    <n v="29279.562221391923"/>
    <n v="4.2054661898731354"/>
    <n v="2.112900297525599"/>
    <n v="5.4255951887607621"/>
    <n v="88214.566964213882"/>
    <n v="75"/>
    <n v="77.404910611882855"/>
    <s v="OK"/>
  </r>
  <r>
    <d v="2048-01-08T00:00:00"/>
    <x v="2"/>
    <x v="9"/>
    <n v="6.1795359381171901E-2"/>
    <n v="23951.526285794462"/>
    <n v="3.4507059338578689"/>
    <n v="3.1955377575657775"/>
    <n v="6.6417391324697039"/>
    <n v="78156.72734563821"/>
    <n v="84"/>
    <n v="82.145709379222481"/>
    <s v="OK"/>
  </r>
  <r>
    <d v="2048-02-07T00:00:00"/>
    <x v="2"/>
    <x v="34"/>
    <n v="-1.0137567817468116"/>
    <n v="32999.643649981022"/>
    <n v="3.509424811472424"/>
    <n v="3.3491021107431438"/>
    <n v="5.0601915755583375"/>
    <n v="116695.02652649765"/>
    <n v="65"/>
    <n v="73.873578312914617"/>
    <s v="OK"/>
  </r>
  <r>
    <d v="2048-03-08T00:00:00"/>
    <x v="4"/>
    <x v="44"/>
    <n v="-1.600421585998439"/>
    <n v="37653.754161718491"/>
    <n v="3.8541072116282784"/>
    <n v="2.2060330523358176"/>
    <n v="3.4553540958079374"/>
    <n v="118275.43242771171"/>
    <n v="98"/>
    <n v="69.159956820415402"/>
    <s v="OK"/>
  </r>
  <r>
    <d v="2048-04-07T00:00:00"/>
    <x v="0"/>
    <x v="12"/>
    <n v="-0.72042437962099792"/>
    <n v="36093.809258486581"/>
    <n v="3.616608065631751"/>
    <n v="2.4284007481419332"/>
    <n v="4.3906408142445343"/>
    <n v="69085.404266185331"/>
    <n v="89"/>
    <n v="91.397527516160935"/>
    <s v="OK"/>
  </r>
  <r>
    <d v="2048-05-07T00:00:00"/>
    <x v="2"/>
    <x v="41"/>
    <n v="-1.7959765207489813"/>
    <n v="28932.785645348958"/>
    <n v="3.9765683169566226"/>
    <n v="0.98212625331919057"/>
    <n v="7.3754665222098374"/>
    <n v="131796.77956361367"/>
    <n v="88"/>
    <n v="26.290136879180643"/>
    <s v="OK"/>
  </r>
  <r>
    <d v="2048-06-06T00:00:00"/>
    <x v="1"/>
    <x v="28"/>
    <n v="-0.81820184699626908"/>
    <n v="37453.630684249758"/>
    <n v="3.6435620826009121"/>
    <n v="2.1429707991933906"/>
    <n v="5.1712083018048354"/>
    <n v="111481.42441788003"/>
    <n v="98"/>
    <n v="52.506578477101428"/>
    <s v="OK"/>
  </r>
  <r>
    <d v="2048-07-06T00:00:00"/>
    <x v="4"/>
    <x v="37"/>
    <n v="0.25735029413171434"/>
    <n v="30743.337286010559"/>
    <n v="3.1937813126797812"/>
    <n v="3.3903831635197861"/>
    <n v="5.1653399270190921"/>
    <n v="127991.89290291586"/>
    <n v="88"/>
    <n v="39.862998370467679"/>
    <s v="OK"/>
  </r>
  <r>
    <d v="2048-08-05T00:00:00"/>
    <x v="2"/>
    <x v="1"/>
    <n v="0.7462376310080705"/>
    <n v="28314.570144409805"/>
    <n v="3.6807517626030508"/>
    <n v="3.0752050161065663"/>
    <n v="6.5141895654211854"/>
    <n v="73157.445030297706"/>
    <n v="89"/>
    <n v="99.041116965233726"/>
    <s v="OK"/>
  </r>
  <r>
    <d v="2048-09-04T00:00:00"/>
    <x v="1"/>
    <x v="3"/>
    <n v="0.35512776150698561"/>
    <e v="#REF!"/>
    <n v="2.928136896339669"/>
    <n v="3.0006657213812096"/>
    <n v="7.784963907487608"/>
    <n v="72683.516891691223"/>
    <n v="103"/>
    <n v="51.151182373349883"/>
    <s v="OK"/>
  </r>
  <r>
    <d v="2048-10-04T00:00:00"/>
    <x v="2"/>
    <x v="9"/>
    <n v="6.1795359381171901E-2"/>
    <e v="#REF!"/>
    <n v="3.5542798528882615"/>
    <n v="2.5497736871809602"/>
    <n v="7.4511506984344757"/>
    <n v="97020.613804654058"/>
    <n v="85"/>
    <n v="78.609015939231895"/>
    <s v="OK"/>
  </r>
  <r>
    <d v="2048-11-03T00:00:00"/>
    <x v="0"/>
    <x v="24"/>
    <n v="-0.23153704274464176"/>
    <n v="28059.115907293857"/>
    <n v="3.4833850046777695"/>
    <n v="2.5070631586281764"/>
    <n v="8.1625362801377612"/>
    <n v="110055.68853790389"/>
    <n v="90"/>
    <n v="26.737040894167869"/>
    <s v="OK"/>
  </r>
  <r>
    <d v="2048-12-03T00:00:00"/>
    <x v="4"/>
    <x v="35"/>
    <n v="-1.4048666512478964"/>
    <n v="30852.08111187744"/>
    <n v="3.3959415713637302"/>
    <n v="1.8396788605265528"/>
    <n v="5.3091457475199384"/>
    <n v="135927.21645853927"/>
    <n v="84"/>
    <n v="36.966498998190218"/>
    <s v="OK"/>
  </r>
  <r>
    <d v="2049-01-02T00:00:00"/>
    <x v="0"/>
    <x v="1"/>
    <n v="0.7462376310080705"/>
    <n v="30802.869905249325"/>
    <n v="3.4357312442805346"/>
    <n v="3.1988284202025348"/>
    <n v="5.8547493864965139"/>
    <n v="114121.57827630264"/>
    <n v="78"/>
    <n v="39.119814416924108"/>
    <s v="OK"/>
  </r>
  <r>
    <d v="2049-02-01T00:00:00"/>
    <x v="4"/>
    <x v="19"/>
    <n v="0.64846016363279924"/>
    <n v="30015.230100767072"/>
    <n v="2.5590754772511803"/>
    <n v="2.9209729443893897"/>
    <n v="3.6800289406950508"/>
    <n v="95146.374463759334"/>
    <n v="84"/>
    <n v="42.502765084242725"/>
    <s v="OK"/>
  </r>
  <r>
    <d v="2049-03-03T00:00:00"/>
    <x v="2"/>
    <x v="12"/>
    <n v="-0.72042437962099792"/>
    <n v="32184.690848731749"/>
    <n v="3.2256375461295193"/>
    <n v="2.9920188479927994"/>
    <n v="7.2723213113419289"/>
    <n v="79472.615846682165"/>
    <n v="70"/>
    <n v="52.890182260750336"/>
    <s v="OK"/>
  </r>
  <r>
    <d v="2049-04-02T00:00:00"/>
    <x v="2"/>
    <x v="29"/>
    <n v="1.0395700331338842"/>
    <n v="35953.231373931703"/>
    <n v="3.5377168194507962"/>
    <n v="1.9739651573324197"/>
    <n v="4.0986645384784781"/>
    <n v="124600.011454383"/>
    <n v="74"/>
    <n v="38.746005252042146"/>
    <s v="OK"/>
  </r>
  <r>
    <d v="2049-05-02T00:00:00"/>
    <x v="4"/>
    <x v="16"/>
    <n v="-0.62264691224572666"/>
    <n v="34747.770677206616"/>
    <n v="3.5799281959987002"/>
    <n v="0.34665708012875562"/>
    <n v="5.7601306765151552"/>
    <n v="80705.89148498571"/>
    <n v="88"/>
    <n v="21.572118619747826"/>
    <s v="OK"/>
  </r>
  <r>
    <d v="2049-06-01T00:00:00"/>
    <x v="1"/>
    <x v="26"/>
    <n v="0.45290522888225682"/>
    <n v="22575.510157750483"/>
    <n v="2.9861624295370208"/>
    <n v="3.5971527117536954"/>
    <n v="4.1832369668405871"/>
    <n v="132569.37109544643"/>
    <n v="89"/>
    <n v="90.351444544575642"/>
    <s v="OK"/>
  </r>
  <r>
    <d v="2049-07-01T00:00:00"/>
    <x v="1"/>
    <x v="38"/>
    <n v="1.7240123047607827"/>
    <n v="17230.394325490226"/>
    <n v="4.1328539204323507"/>
    <n v="2.0211625439915957"/>
    <n v="4.7933598079135651"/>
    <n v="94312.307007869807"/>
    <n v="74"/>
    <n v="97.248786510470723"/>
    <s v="OK"/>
  </r>
  <r>
    <d v="2049-07-31T00:00:00"/>
    <x v="2"/>
    <x v="46"/>
    <n v="2.2128996416371387"/>
    <n v="34671.599556196365"/>
    <n v="3.0669125758927498"/>
    <n v="1.6372242359568794"/>
    <n v="4.4952850827403594"/>
    <n v="131811.641452357"/>
    <n v="85"/>
    <e v="#REF!"/>
    <s v="OK"/>
  </r>
  <r>
    <d v="2049-08-30T00:00:00"/>
    <x v="2"/>
    <x v="5"/>
    <n v="-0.91597931437154034"/>
    <n v="23165.606507922894"/>
    <n v="3.9847286002633684"/>
    <n v="3.1934789119139939"/>
    <n v="4.7705496871890185"/>
    <n v="113578.62580118557"/>
    <n v="105"/>
    <n v="47.080550354037825"/>
    <s v="OK"/>
  </r>
  <r>
    <d v="2049-09-29T00:00:00"/>
    <x v="0"/>
    <x v="20"/>
    <n v="1.3329024352596979"/>
    <n v="28876.172990536583"/>
    <n v="3.7135971809358423"/>
    <n v="2.1079873600808705"/>
    <n v="4.853052756221226"/>
    <n v="97260.090211150833"/>
    <n v="75"/>
    <n v="20.567345021949677"/>
    <s v="OK"/>
  </r>
  <r>
    <d v="2049-10-29T00:00:00"/>
    <x v="2"/>
    <x v="29"/>
    <n v="1.0395700331338842"/>
    <n v="24149.434869703204"/>
    <n v="3.1768863450780986"/>
    <n v="3.5599363840466216"/>
    <n v="4.8420774460899079"/>
    <n v="89612.072563477472"/>
    <n v="89"/>
    <e v="#REF!"/>
    <s v="OK"/>
  </r>
  <r>
    <d v="2049-11-28T00:00:00"/>
    <x v="4"/>
    <x v="19"/>
    <n v="0.64846016363279924"/>
    <n v="20990.097812099899"/>
    <n v="3.5218012231862268"/>
    <n v="3.1170059495766975"/>
    <n v="6.5000006941363688"/>
    <n v="79472.615846682165"/>
    <n v="84"/>
    <n v="69.159956820415402"/>
    <s v="OK"/>
  </r>
  <r>
    <d v="2049-12-28T00:00:00"/>
    <x v="1"/>
    <x v="12"/>
    <n v="-0.72042437962099792"/>
    <n v="32707.313641023939"/>
    <n v="2.9031815841217599"/>
    <n v="3.2789365035121141"/>
    <n v="4.1741646483249761"/>
    <n v="108566.33384750475"/>
    <n v="91"/>
    <n v="31.728664028800253"/>
    <s v="OK"/>
  </r>
  <r>
    <d v="2050-01-27T00:00:00"/>
    <x v="1"/>
    <x v="30"/>
    <n v="2.1151221742618675"/>
    <n v="33795.775801513235"/>
    <n v="3.9595770868050009"/>
    <n v="1.1340442887994657"/>
    <n v="5.3091457475199384"/>
    <n v="80705.89148498571"/>
    <n v="101"/>
    <n v="32.773307949372061"/>
    <s v="OK"/>
  </r>
  <r>
    <d v="2050-02-26T00:00:00"/>
    <x v="0"/>
    <x v="34"/>
    <n v="-1.0137567817468116"/>
    <n v="27117.447996366402"/>
    <n v="4.0002911590214891"/>
    <n v="3.7119439853864007"/>
    <n v="6.9615509827666697"/>
    <n v="88123.771838625893"/>
    <n v="93"/>
    <n v="83.206659997715022"/>
    <s v="OK"/>
  </r>
  <r>
    <d v="2050-03-28T00:00:00"/>
    <x v="1"/>
    <x v="38"/>
    <n v="1.7240123047607827"/>
    <e v="#REF!"/>
    <n v="3.1646898954616773"/>
    <n v="2.761250531233856"/>
    <n v="4.8841643625839248"/>
    <e v="#REF!"/>
    <n v="91"/>
    <n v="69.303259868331565"/>
    <s v="OK"/>
  </r>
  <r>
    <d v="2050-04-27T00:00:00"/>
    <x v="1"/>
    <x v="19"/>
    <n v="0.64846016363279924"/>
    <n v="27268.777758737586"/>
    <n v="2.8399887443896472"/>
    <n v="2.1307228607537967"/>
    <n v="7.2723213113419289"/>
    <n v="101571.540594383"/>
    <n v="93"/>
    <n v="23.588844610217361"/>
    <s v="OK"/>
  </r>
  <r>
    <d v="2050-05-27T00:00:00"/>
    <x v="3"/>
    <x v="30"/>
    <n v="2.1151221742618675"/>
    <n v="31959.020027012732"/>
    <n v="3.3749767427005235"/>
    <n v="2.643388467342251"/>
    <n v="5.2233704497836992"/>
    <n v="57425.31811170376"/>
    <n v="98"/>
    <n v="69.803759236982529"/>
    <s v="OK"/>
  </r>
  <r>
    <d v="2050-06-26T00:00:00"/>
    <x v="4"/>
    <x v="21"/>
    <n v="-0.42709197749518424"/>
    <n v="22605.442156129357"/>
    <n v="3.6443468146399285"/>
    <n v="0.72376476710168003"/>
    <n v="6.9156702500328517"/>
    <n v="109163.36229577397"/>
    <n v="87"/>
    <n v="44.713417827501289"/>
    <s v="OK"/>
  </r>
  <r>
    <d v="2050-07-26T00:00:00"/>
    <x v="3"/>
    <x v="28"/>
    <n v="-0.81820184699626908"/>
    <n v="30916.799598895777"/>
    <n v="3.6301609193856104"/>
    <n v="2.9086528114806707"/>
    <n v="5.7329291571440288"/>
    <n v="80405.575505663859"/>
    <n v="88"/>
    <n v="49.498012437667676"/>
    <s v="OK"/>
  </r>
  <r>
    <d v="2050-08-25T00:00:00"/>
    <x v="1"/>
    <x v="45"/>
    <n v="-1.6981990533737101"/>
    <e v="#REF!"/>
    <n v="3.432845629264726"/>
    <n v="1.4706284918179284"/>
    <n v="4.8625428464708822"/>
    <n v="76933.351935885104"/>
    <n v="89"/>
    <e v="#REF!"/>
    <s v="OK"/>
  </r>
  <r>
    <d v="2050-09-24T00:00:00"/>
    <x v="0"/>
    <x v="9"/>
    <n v="6.1795359381171901E-2"/>
    <n v="32896.457498005439"/>
    <n v="3.9054041365798913"/>
    <n v="1.1473297141564656"/>
    <n v="6.0806519814256479"/>
    <n v="66253.113057785784"/>
    <n v="92"/>
    <n v="39.119814416924108"/>
    <s v="OK"/>
  </r>
  <r>
    <d v="2050-10-24T00:00:00"/>
    <x v="0"/>
    <x v="41"/>
    <n v="-1.7959765207489813"/>
    <n v="30597.901842070765"/>
    <n v="3.8967443602761067"/>
    <n v="2.5869878667632307"/>
    <n v="4.1772494201962918"/>
    <n v="64122.150042642192"/>
    <n v="99"/>
    <n v="52.028530147186451"/>
    <s v="OK"/>
  </r>
  <r>
    <d v="2050-11-23T00:00:00"/>
    <x v="1"/>
    <x v="13"/>
    <n v="0.15957282675644313"/>
    <n v="25134.655295592223"/>
    <n v="2.6257340133809097"/>
    <n v="3.6126883749899252"/>
    <n v="6.3176314125315374"/>
    <n v="72891.049937754215"/>
    <n v="82"/>
    <n v="95.772234880508378"/>
    <s v="OK"/>
  </r>
  <r>
    <d v="2050-12-23T00:00:00"/>
    <x v="2"/>
    <x v="21"/>
    <n v="-0.42709197749518424"/>
    <n v="35982.857508322457"/>
    <n v="4.1521701214390765"/>
    <n v="2.5869878667632307"/>
    <n v="5.9903287692421214"/>
    <n v="85819.580847390185"/>
    <n v="83"/>
    <n v="52.51701743616578"/>
    <s v="OK"/>
  </r>
  <r>
    <d v="2051-01-22T00:00:00"/>
    <x v="3"/>
    <x v="22"/>
    <n v="1.430679902634969"/>
    <n v="29207.352134865148"/>
    <n v="2.6687540059821631"/>
    <n v="4.0337277099164996"/>
    <n v="5.1306298346333392"/>
    <n v="139065.18275053136"/>
    <n v="94"/>
    <n v="81.746882818408793"/>
    <s v="OK"/>
  </r>
  <r>
    <d v="2051-02-21T00:00:00"/>
    <x v="1"/>
    <x v="12"/>
    <n v="-0.72042437962099792"/>
    <n v="30015.230100767072"/>
    <n v="4.0162731021708282"/>
    <n v="1.9641985369477022"/>
    <n v="4.4936970418633226"/>
    <n v="89482.406482095917"/>
    <n v="88"/>
    <n v="58.710181165140725"/>
    <s v="OK"/>
  </r>
  <r>
    <d v="2051-03-23T00:00:00"/>
    <x v="0"/>
    <x v="20"/>
    <n v="1.3329024352596979"/>
    <n v="25333.660204634019"/>
    <n v="3.3453954614750683"/>
    <n v="0.79264204240705327"/>
    <n v="4.4359828932598511"/>
    <n v="103555.00212536062"/>
    <n v="92"/>
    <n v="91.802586121766723"/>
    <s v="OK"/>
  </r>
  <r>
    <d v="2051-04-22T00:00:00"/>
    <x v="0"/>
    <x v="20"/>
    <n v="1.3329024352596979"/>
    <n v="27783.588744042449"/>
    <n v="2.9545167848924008"/>
    <n v="1.3834755600513409"/>
    <n v="6.1417808036150925"/>
    <n v="108009.62773012658"/>
    <n v="78"/>
    <n v="92.620899492014289"/>
    <s v="OK"/>
  </r>
  <r>
    <d v="2051-05-22T00:00:00"/>
    <x v="3"/>
    <x v="33"/>
    <n v="2.0173447068865964"/>
    <n v="25575.986429865494"/>
    <n v="3.2945928560227076"/>
    <n v="3.7358116200069387"/>
    <n v="6.9747766029868741"/>
    <n v="76933.351935885104"/>
    <n v="102"/>
    <n v="26.99334462968671"/>
    <s v="OK"/>
  </r>
  <r>
    <d v="2051-06-21T00:00:00"/>
    <x v="4"/>
    <x v="18"/>
    <n v="0.84401509838334177"/>
    <n v="29135.269700382883"/>
    <n v="2.9471476657570319"/>
    <n v="2.3441018220633323"/>
    <n v="4.7352307035654464"/>
    <n v="98451.130785480127"/>
    <n v="96"/>
    <n v="94.919466504818061"/>
    <s v="OK"/>
  </r>
  <r>
    <d v="2051-07-21T00:00:00"/>
    <x v="1"/>
    <x v="8"/>
    <n v="-3.5982107994099323E-2"/>
    <n v="38558.542400711718"/>
    <n v="3.3925394848556323"/>
    <n v="1.9517127035093991"/>
    <n v="6.0500640442617808"/>
    <n v="76094.1247280151"/>
    <n v="75"/>
    <n v="86.042787321633256"/>
    <s v="OK"/>
  </r>
  <r>
    <d v="2051-08-20T00:00:00"/>
    <x v="1"/>
    <x v="18"/>
    <n v="0.84401509838334177"/>
    <n v="23140.494285343219"/>
    <n v="3.3459828579071296"/>
    <n v="2.6600182258527876"/>
    <n v="2.9955675776775177"/>
    <n v="129018.55096558423"/>
    <n v="87"/>
    <n v="83.304857145013358"/>
    <s v="OK"/>
  </r>
  <r>
    <d v="2051-09-19T00:00:00"/>
    <x v="4"/>
    <x v="7"/>
    <n v="-0.13375957536937055"/>
    <n v="21932.193010616294"/>
    <n v="3.8898302661346698"/>
    <n v="3.0017827361675451"/>
    <n v="4.7984587232113602"/>
    <n v="136143.93287275769"/>
    <n v="89"/>
    <n v="36.072907174841795"/>
    <s v="OK"/>
  </r>
  <r>
    <d v="2051-10-19T00:00:00"/>
    <x v="3"/>
    <x v="12"/>
    <n v="-0.72042437962099792"/>
    <n v="37355.85163746804"/>
    <n v="4.155154373059804"/>
    <n v="3.6173988159024608"/>
    <n v="5.4627292805549175"/>
    <n v="66346.826117546283"/>
    <n v="86"/>
    <n v="84.409536700373195"/>
    <s v="OK"/>
  </r>
  <r>
    <d v="2051-11-18T00:00:00"/>
    <x v="3"/>
    <x v="0"/>
    <n v="-0.32931451011991297"/>
    <n v="28953.381614240669"/>
    <n v="4.197841905394978"/>
    <n v="3.948499229892926"/>
    <n v="4.4083798996217993"/>
    <n v="79519.428182272415"/>
    <n v="85"/>
    <n v="88.01061877480295"/>
    <s v="OK"/>
  </r>
  <r>
    <d v="2051-12-18T00:00:00"/>
    <x v="0"/>
    <x v="6"/>
    <n v="-0.5248694448704555"/>
    <n v="26654.636306700417"/>
    <n v="3.218915986710849"/>
    <n v="2.5869878667632307"/>
    <n v="4.3761923502524844"/>
    <n v="103555.00212536062"/>
    <n v="95"/>
    <n v="43.132026756332074"/>
    <s v="OK"/>
  </r>
  <r>
    <d v="2052-01-17T00:00:00"/>
    <x v="4"/>
    <x v="49"/>
    <n v="-2.3826413250006087"/>
    <n v="35199.52343698038"/>
    <n v="3.3953890631277361"/>
    <n v="1.1739523139179617"/>
    <n v="4.6986645322373368"/>
    <n v="80709.244101796168"/>
    <n v="97"/>
    <n v="96.180806268985904"/>
    <s v="OK"/>
  </r>
  <r>
    <d v="2052-02-16T00:00:00"/>
    <x v="3"/>
    <x v="24"/>
    <n v="-0.23153704274464176"/>
    <n v="26971.922301315681"/>
    <n v="2.658280903889525"/>
    <n v="2.086534838876724"/>
    <n v="5.850631273991648"/>
    <n v="110119.31106911731"/>
    <n v="68"/>
    <n v="23.988811711933138"/>
    <s v="OK"/>
  </r>
  <r>
    <d v="2052-03-17T00:00:00"/>
    <x v="2"/>
    <x v="9"/>
    <n v="6.1795359381171901E-2"/>
    <n v="27117.447996366402"/>
    <n v="3.0970649667519057"/>
    <n v="2.7602805065828862"/>
    <n v="5.2752051779123503"/>
    <n v="85434.555951867733"/>
    <n v="86"/>
    <n v="31.992740259771175"/>
    <s v="OK"/>
  </r>
  <r>
    <d v="2052-04-16T00:00:00"/>
    <x v="1"/>
    <x v="7"/>
    <n v="-0.13375957536937055"/>
    <n v="33389.629356696343"/>
    <n v="3.9824258165487287"/>
    <n v="1.5362410737893892"/>
    <n v="2.8141225200100335"/>
    <n v="143301.12135613203"/>
    <n v="90"/>
    <n v="63.006491044121148"/>
    <s v="OK"/>
  </r>
  <r>
    <d v="2052-05-16T00:00:00"/>
    <x v="0"/>
    <x v="30"/>
    <n v="2.1151221742618675"/>
    <n v="27560.442959271488"/>
    <n v="4.3077914117741161"/>
    <n v="1.5428490851049572"/>
    <n v="2.9551598168379205"/>
    <n v="123810.97188687192"/>
    <n v="80"/>
    <n v="66.063397689784779"/>
    <s v="OK"/>
  </r>
  <r>
    <d v="2052-06-15T00:00:00"/>
    <x v="4"/>
    <x v="3"/>
    <n v="0.35512776150698561"/>
    <n v="40786.541066327518"/>
    <n v="3.4696695930926897"/>
    <n v="2.5869878667632307"/>
    <n v="4.7717617865713891"/>
    <n v="104251.4806126443"/>
    <n v="88"/>
    <e v="#REF!"/>
    <s v="OK"/>
  </r>
  <r>
    <d v="2052-07-15T00:00:00"/>
    <x v="0"/>
    <x v="30"/>
    <n v="2.1151221742618675"/>
    <n v="22605.442156129357"/>
    <e v="#REF!"/>
    <n v="2.4513476484295489"/>
    <n v="6.0492239032642621"/>
    <n v="120539.72526639464"/>
    <n v="95"/>
    <n v="21.357530345237315"/>
    <s v="OK"/>
  </r>
  <r>
    <d v="2052-08-14T00:00:00"/>
    <x v="3"/>
    <x v="3"/>
    <n v="0.35512776150698561"/>
    <n v="33710.476860046532"/>
    <n v="3.4867971215205364"/>
    <n v="2.5327969954115863"/>
    <e v="#REF!"/>
    <n v="122118.00848714617"/>
    <n v="93"/>
    <n v="96.829341969770425"/>
    <s v="OK"/>
  </r>
  <r>
    <d v="2052-09-13T00:00:00"/>
    <x v="3"/>
    <x v="28"/>
    <n v="-0.81820184699626908"/>
    <n v="31496.462902032461"/>
    <n v="2.5984301618720274"/>
    <n v="1.7415046652999306"/>
    <n v="6.0500640442617808"/>
    <n v="88721.050238835131"/>
    <n v="95"/>
    <n v="23.567047418731519"/>
    <s v="OK"/>
  </r>
  <r>
    <d v="2052-10-13T00:00:00"/>
    <x v="2"/>
    <x v="28"/>
    <n v="-0.81820184699626908"/>
    <n v="36508.706446993994"/>
    <n v="3.0951982400391769"/>
    <n v="2.2695992857942326"/>
    <n v="4.8685025721790947"/>
    <n v="83675.655109160711"/>
    <n v="93"/>
    <n v="31.444956217872189"/>
    <s v="OK"/>
  </r>
  <r>
    <d v="2052-11-12T00:00:00"/>
    <x v="1"/>
    <x v="1"/>
    <n v="0.7462376310080705"/>
    <n v="37807.555983634265"/>
    <n v="3.7120305222320447"/>
    <n v="1.5757668557316955"/>
    <n v="7.166005333850137"/>
    <n v="101562.86125939294"/>
    <n v="81"/>
    <n v="21.12116140208456"/>
    <s v="OK"/>
  </r>
  <r>
    <d v="2052-12-12T00:00:00"/>
    <x v="4"/>
    <x v="24"/>
    <n v="-0.23153704274464176"/>
    <n v="30160.020745328835"/>
    <n v="3.263080326464542"/>
    <n v="3.3901984111247869"/>
    <n v="5.0379738259445634"/>
    <n v="117232.72248995888"/>
    <n v="89"/>
    <n v="65.348674663527575"/>
    <s v="OK"/>
  </r>
  <r>
    <d v="2053-01-11T00:00:00"/>
    <x v="0"/>
    <x v="19"/>
    <n v="0.64846016363279924"/>
    <n v="26232.910648269084"/>
    <n v="3.4927738645608604"/>
    <n v="0.72376476710168003"/>
    <n v="5.9595867816891142"/>
    <n v="102781.20797306835"/>
    <n v="73"/>
    <n v="94.581350713677779"/>
    <s v="OK"/>
  </r>
  <r>
    <d v="2053-02-10T00:00:00"/>
    <x v="1"/>
    <x v="29"/>
    <n v="1.0395700331338842"/>
    <n v="32299.860714695584"/>
    <n v="3.9475191570380579"/>
    <n v="0.65381213776190616"/>
    <e v="#REF!"/>
    <n v="68460.070356180047"/>
    <e v="#REF!"/>
    <n v="73.275773286437129"/>
    <s v="OK"/>
  </r>
  <r>
    <d v="2053-03-12T00:00:00"/>
    <x v="3"/>
    <x v="28"/>
    <n v="-0.81820184699626908"/>
    <n v="26611.423151239469"/>
    <n v="3.5032111349054689"/>
    <n v="1.57048913980759"/>
    <n v="2.9433202242313592"/>
    <n v="83943.511120983152"/>
    <n v="91"/>
    <n v="85.812597478434185"/>
    <s v="OK"/>
  </r>
  <r>
    <d v="2053-04-11T00:00:00"/>
    <x v="1"/>
    <x v="3"/>
    <n v="0.35512776150698561"/>
    <n v="40066.936237633112"/>
    <n v="3.2818070547367157"/>
    <n v="1.0034707449099209"/>
    <n v="6.4218486599580844"/>
    <n v="98520.542728112443"/>
    <n v="84"/>
    <n v="21.062496276686407"/>
    <s v="OK"/>
  </r>
  <r>
    <d v="2053-05-11T00:00:00"/>
    <x v="0"/>
    <x v="14"/>
    <n v="-1.5026441186231676"/>
    <n v="30682.676655413688"/>
    <n v="3.4451950980370847"/>
    <n v="1.8499760655931019"/>
    <n v="5.7584758065475459"/>
    <n v="98486.687913483402"/>
    <n v="81"/>
    <n v="63.361223878378084"/>
    <s v="OK"/>
  </r>
  <r>
    <d v="2053-06-10T00:00:00"/>
    <x v="1"/>
    <x v="16"/>
    <n v="-0.62264691224572666"/>
    <n v="28173.392243439455"/>
    <n v="3.4558185203973322"/>
    <n v="2.4165620302096391"/>
    <n v="6.1099223676095074"/>
    <n v="139450.84353579616"/>
    <n v="96"/>
    <n v="56.765038200441751"/>
    <s v="OK"/>
  </r>
  <r>
    <d v="2053-07-10T00:00:00"/>
    <x v="3"/>
    <x v="20"/>
    <n v="1.3329024352596979"/>
    <e v="#REF!"/>
    <n v="3.3149944850589361"/>
    <n v="1.0503547803014699"/>
    <e v="#REF!"/>
    <n v="72280.24115202004"/>
    <n v="86"/>
    <n v="59.917435537663444"/>
    <s v="OK"/>
  </r>
  <r>
    <d v="2053-08-09T00:00:00"/>
    <x v="1"/>
    <x v="10"/>
    <n v="0.55068269625752808"/>
    <n v="23264.368552351516"/>
    <n v="3.370601968666449"/>
    <n v="1.5781401868746867"/>
    <e v="#REF!"/>
    <n v="110111.78483671749"/>
    <n v="99"/>
    <n v="25.777054826815036"/>
    <s v="OK"/>
  </r>
  <r>
    <d v="2053-09-08T00:00:00"/>
    <x v="4"/>
    <x v="44"/>
    <n v="-1.600421585998439"/>
    <n v="25141.929807446744"/>
    <n v="4.2993235852523588"/>
    <n v="1.4960426279185015"/>
    <n v="7.5696359797133299"/>
    <n v="129782.26216656579"/>
    <n v="72"/>
    <n v="74.754828885544597"/>
    <s v="OK"/>
  </r>
  <r>
    <d v="2053-10-08T00:00:00"/>
    <x v="1"/>
    <x v="0"/>
    <n v="-0.32931451011991297"/>
    <n v="36002.069539722128"/>
    <n v="3.7804597239706195"/>
    <n v="2.707267329398944"/>
    <n v="5.1550629767195737"/>
    <n v="145428.99490845593"/>
    <n v="83"/>
    <n v="60.257633188690754"/>
    <s v="OK"/>
  </r>
  <r>
    <d v="2053-11-07T00:00:00"/>
    <x v="4"/>
    <x v="1"/>
    <n v="0.7462376310080705"/>
    <n v="26715.528605143023"/>
    <n v="3.3522598409854196"/>
    <n v="2.5693443370362505"/>
    <n v="5.8447946852836115"/>
    <n v="91912.051536320767"/>
    <n v="98"/>
    <n v="81.211907988901118"/>
    <s v="OK"/>
  </r>
  <r>
    <d v="2053-12-07T00:00:00"/>
    <x v="1"/>
    <x v="44"/>
    <n v="-1.600421585998439"/>
    <n v="24765.445086590302"/>
    <n v="3.8484772022553679"/>
    <n v="1.7782624466627466"/>
    <n v="5.4453853056385091"/>
    <n v="109828.589054404"/>
    <n v="101"/>
    <n v="58.823250724937225"/>
    <s v="OK"/>
  </r>
  <r>
    <d v="2054-01-06T00:00:00"/>
    <x v="3"/>
    <x v="10"/>
    <n v="0.55068269625752808"/>
    <n v="32683.26376263643"/>
    <n v="3.333090255121995"/>
    <n v="2.6768208721393978"/>
    <n v="4.990916399922348"/>
    <n v="111395.20714397293"/>
    <e v="#REF!"/>
    <n v="31.950530898114565"/>
    <s v="OK"/>
  </r>
  <r>
    <d v="2054-02-05T00:00:00"/>
    <x v="2"/>
    <x v="39"/>
    <n v="1.2351249678844267"/>
    <n v="35928.520773314987"/>
    <n v="4.0865623187933204"/>
    <n v="1.9533199154127345"/>
    <n v="4.8162004861134893"/>
    <n v="103909.63463106581"/>
    <n v="71"/>
    <n v="71.860556326225762"/>
    <s v="OK"/>
  </r>
  <r>
    <d v="2054-03-07T00:00:00"/>
    <x v="2"/>
    <x v="8"/>
    <n v="-3.5982107994099323E-2"/>
    <n v="33594.766553325331"/>
    <n v="3.6848210960990468"/>
    <n v="2.2283448896739468"/>
    <n v="5.8954104826876108"/>
    <n v="98023.095975213873"/>
    <n v="85"/>
    <n v="33.790908968413298"/>
    <s v="OK"/>
  </r>
  <r>
    <d v="2054-04-06T00:00:00"/>
    <x v="4"/>
    <x v="4"/>
    <n v="1.1373475005091553"/>
    <n v="34980.238429029079"/>
    <n v="3.4463489279978856"/>
    <n v="4.1734520902985368"/>
    <n v="3.6793915639939851"/>
    <n v="108719.50779000092"/>
    <n v="98"/>
    <n v="89.791565068385196"/>
    <s v="OK"/>
  </r>
  <r>
    <d v="2054-05-06T00:00:00"/>
    <x v="4"/>
    <x v="10"/>
    <n v="0.55068269625752808"/>
    <n v="26216.024557152698"/>
    <n v="3.723858462905139"/>
    <n v="3.8404610517903479"/>
    <n v="6.4006950010261185"/>
    <n v="49355.07829560629"/>
    <n v="100"/>
    <n v="69.049299125539321"/>
    <s v="OK"/>
  </r>
  <r>
    <d v="2054-06-05T00:00:00"/>
    <x v="2"/>
    <x v="16"/>
    <n v="-0.62264691224572666"/>
    <n v="22890.94666629078"/>
    <n v="2.7145619239657504"/>
    <n v="1.2004187630724024"/>
    <n v="5.0005667141376957"/>
    <n v="113641.38980125263"/>
    <n v="88"/>
    <n v="32.57631068455634"/>
    <s v="OK"/>
  </r>
  <r>
    <d v="2054-07-05T00:00:00"/>
    <x v="3"/>
    <x v="36"/>
    <n v="0.94179256575861292"/>
    <n v="37506.668259777434"/>
    <n v="2.9366162655450974"/>
    <n v="3.3297324178791747"/>
    <n v="4.143916793151571"/>
    <n v="102523.55807323934"/>
    <n v="82"/>
    <n v="96.987044598496539"/>
    <s v="OK"/>
  </r>
  <r>
    <d v="2054-08-04T00:00:00"/>
    <x v="3"/>
    <x v="19"/>
    <n v="0.64846016363279924"/>
    <n v="28386.60080578932"/>
    <n v="2.9030374968004722"/>
    <n v="2.5869878667632307"/>
    <n v="4.9599845704050232"/>
    <n v="95550.502064434695"/>
    <e v="#REF!"/>
    <n v="61.469237066825649"/>
    <s v="OK"/>
  </r>
  <r>
    <d v="2054-09-03T00:00:00"/>
    <x v="1"/>
    <x v="19"/>
    <n v="0.64846016363279924"/>
    <n v="28745.834917724762"/>
    <n v="3.5714715473818535"/>
    <n v="1.3517367112473817"/>
    <n v="7.0085790602350873"/>
    <n v="140937.24391439115"/>
    <n v="79"/>
    <n v="25.831876149732402"/>
    <s v="OK"/>
  </r>
  <r>
    <d v="2054-10-03T00:00:00"/>
    <x v="4"/>
    <x v="3"/>
    <n v="0.35512776150698561"/>
    <n v="36640.970709245288"/>
    <n v="4.3662574997425461"/>
    <n v="2.7602805065828862"/>
    <n v="4.8575978955805326"/>
    <n v="86501.319624188953"/>
    <n v="92"/>
    <n v="70.146632353205376"/>
    <s v="OK"/>
  </r>
  <r>
    <d v="2054-11-02T00:00:00"/>
    <x v="3"/>
    <x v="20"/>
    <n v="1.3329024352596979"/>
    <n v="32781.150047003299"/>
    <n v="4.6156500730963161"/>
    <n v="4.0379319184125526"/>
    <n v="5.9301443418515447"/>
    <n v="91938.480218699391"/>
    <e v="#REF!"/>
    <n v="40.255912561024815"/>
    <s v="OK"/>
  </r>
  <r>
    <d v="2054-12-02T00:00:00"/>
    <x v="0"/>
    <x v="4"/>
    <n v="1.1373475005091553"/>
    <e v="#REF!"/>
    <n v="3.8190255507203785"/>
    <n v="1.3774551937555861"/>
    <n v="4.6228524691414323"/>
    <e v="#REF!"/>
    <n v="92"/>
    <n v="84.2954761501842"/>
    <s v="OK"/>
  </r>
  <r>
    <d v="2055-01-01T00:00:00"/>
    <x v="1"/>
    <x v="12"/>
    <n v="-0.72042437962099792"/>
    <n v="40825.011724505421"/>
    <n v="3.7504222374722285"/>
    <n v="1.5824971789857365"/>
    <n v="6.4095062199083435"/>
    <n v="108719.50779000092"/>
    <n v="92"/>
    <n v="85.425765885295249"/>
    <s v="OK"/>
  </r>
  <r>
    <d v="2055-01-31T00:00:00"/>
    <x v="1"/>
    <x v="34"/>
    <n v="-1.0137567817468116"/>
    <n v="26782.408848099287"/>
    <n v="2.5994711329236306"/>
    <n v="3.5176614668435024"/>
    <n v="5.4453853056385091"/>
    <n v="88997.69434126922"/>
    <n v="90"/>
    <n v="98.315788468372943"/>
    <s v="OK"/>
  </r>
  <r>
    <d v="2055-03-02T00:00:00"/>
    <x v="2"/>
    <x v="4"/>
    <n v="1.1373475005091553"/>
    <n v="34639.200640406183"/>
    <n v="3.2286631001329891"/>
    <n v="2.7714953108256482"/>
    <n v="7.7183305999556939"/>
    <n v="97059.491531382999"/>
    <n v="82"/>
    <n v="60.149562481960295"/>
    <s v="OK"/>
  </r>
  <r>
    <d v="2055-04-01T00:00:00"/>
    <x v="4"/>
    <x v="26"/>
    <n v="0.45290522888225682"/>
    <n v="26611.423151239469"/>
    <n v="3.1061081240458805"/>
    <n v="3.0514762752395233"/>
    <n v="5.2893232654009417"/>
    <e v="#REF!"/>
    <e v="#REF!"/>
    <n v="56.396550378218969"/>
    <s v="OK"/>
  </r>
  <r>
    <d v="2055-05-01T00:00:00"/>
    <x v="3"/>
    <x v="18"/>
    <n v="0.84401509838334177"/>
    <n v="31342.961394316284"/>
    <n v="3.1895762008744422"/>
    <n v="2.8405892164004967"/>
    <n v="6.3023857657094879"/>
    <n v="104156.05014706627"/>
    <n v="90"/>
    <e v="#REF!"/>
    <s v="OK"/>
  </r>
  <r>
    <d v="2055-05-31T00:00:00"/>
    <x v="3"/>
    <x v="36"/>
    <n v="0.94179256575861292"/>
    <n v="37642.342132062658"/>
    <n v="3.4159280907076051"/>
    <n v="2.890695920928144"/>
    <n v="5.6176810474467338"/>
    <n v="74147.493056954743"/>
    <n v="83"/>
    <n v="30.597652507354127"/>
    <s v="OK"/>
  </r>
  <r>
    <d v="2055-06-30T00:00:00"/>
    <x v="1"/>
    <x v="18"/>
    <n v="0.84401509838334177"/>
    <n v="32539.178781448118"/>
    <n v="3.2639547111514364"/>
    <n v="1.173527871688917"/>
    <n v="7.0550461382356175"/>
    <n v="89356.628737456209"/>
    <n v="79"/>
    <n v="63.753241103449938"/>
    <s v="OK"/>
  </r>
  <r>
    <d v="2055-07-30T00:00:00"/>
    <x v="4"/>
    <x v="31"/>
    <n v="2.7017869785134949"/>
    <n v="32691.480395248163"/>
    <n v="2.510350094812106"/>
    <n v="3.5473177066214481"/>
    <n v="4.6374011348695232"/>
    <n v="87852.91133575578"/>
    <n v="102"/>
    <n v="63.699808010468075"/>
    <s v="OK"/>
  </r>
  <r>
    <d v="2055-08-29T00:00:00"/>
    <x v="4"/>
    <x v="26"/>
    <n v="0.45290522888225682"/>
    <n v="35362.536686549014"/>
    <n v="3.8739551280587667"/>
    <n v="3.6695899924277735"/>
    <n v="6.3940063754527374"/>
    <n v="98455.579095539084"/>
    <n v="76"/>
    <n v="27.157849824830976"/>
    <s v="OK"/>
  </r>
  <r>
    <d v="2055-09-28T00:00:00"/>
    <x v="4"/>
    <x v="19"/>
    <n v="0.64846016363279924"/>
    <n v="28175.236352285574"/>
    <n v="2.9636284871300966"/>
    <n v="2.2706092559319724"/>
    <n v="5.2663632446599822"/>
    <n v="108516.87317259658"/>
    <n v="99"/>
    <n v="53.438726840553088"/>
    <s v="OK"/>
  </r>
  <r>
    <d v="2055-10-28T00:00:00"/>
    <x v="2"/>
    <x v="6"/>
    <n v="-0.5248694448704555"/>
    <n v="25803.951663304968"/>
    <n v="3.6196234320555747"/>
    <n v="2.4565230501861377"/>
    <n v="5.4229741874698023"/>
    <n v="108364.11511775944"/>
    <n v="77"/>
    <n v="88.262783885376152"/>
    <s v="OK"/>
  </r>
  <r>
    <d v="2055-11-27T00:00:00"/>
    <x v="3"/>
    <x v="41"/>
    <n v="-1.7959765207489813"/>
    <n v="24775.954029894834"/>
    <n v="4.5370413348749867"/>
    <n v="0.96889249744427786"/>
    <n v="5.6101029813380476"/>
    <n v="64479.764919031957"/>
    <n v="101"/>
    <n v="88.492289759572827"/>
    <s v="OK"/>
  </r>
  <r>
    <d v="2055-12-27T00:00:00"/>
    <x v="4"/>
    <x v="21"/>
    <n v="-0.42709197749518424"/>
    <n v="20168.217053119992"/>
    <n v="3.0403077042067883"/>
    <n v="3.0142547560178348"/>
    <n v="5.8026884757120127"/>
    <n v="121278.81975121712"/>
    <n v="94"/>
    <n v="27.939013193574482"/>
    <s v="O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x v="0"/>
    <s v="Winter"/>
    <x v="0"/>
    <n v="-0.20027447973645018"/>
    <x v="0"/>
    <n v="27205.390763642059"/>
    <x v="0"/>
    <n v="2.5869878669999999"/>
    <n v="-3.0287522746329731E-2"/>
    <n v="6.1864689300569733"/>
    <n v="97675.419137560835"/>
    <n v="99"/>
    <n v="62.296585590724206"/>
    <n v="2611717.5133096376"/>
    <s v="OK"/>
  </r>
  <r>
    <x v="1"/>
    <x v="0"/>
    <x v="0"/>
    <s v="Winter"/>
    <x v="1"/>
    <n v="-0.13147538988615748"/>
    <x v="0"/>
    <n v="31886.059375322606"/>
    <x v="1"/>
    <n v="2.2139957781198891"/>
    <n v="2.2139957781198891"/>
    <n v="5.4253707796008266"/>
    <n v="104294.26366341053"/>
    <n v="100"/>
    <n v="22.750148668138017"/>
    <n v="3411808.3531595189"/>
    <s v="OK"/>
  </r>
  <r>
    <x v="2"/>
    <x v="1"/>
    <x v="1"/>
    <s v="Winter"/>
    <x v="2"/>
    <n v="-0.25031018144575395"/>
    <x v="1"/>
    <m/>
    <x v="2"/>
    <n v="3.6009596349985711"/>
    <n v="3.6009596349985711"/>
    <n v="6.8492240318446029"/>
    <n v="131562.36115124368"/>
    <n v="98"/>
    <n v="71.117041757862765"/>
    <n v="0"/>
    <s v="Missing Data"/>
  </r>
  <r>
    <x v="3"/>
    <x v="2"/>
    <x v="2"/>
    <s v="Spring"/>
    <x v="3"/>
    <n v="-0.15649324074080936"/>
    <x v="0"/>
    <n v="29671.248694635062"/>
    <x v="3"/>
    <n v="2.5869878669999999"/>
    <n v="44.583474542205934"/>
    <n v="5.0991073228240715"/>
    <n v="119708.99371230436"/>
    <n v="88"/>
    <n v="26.515777031292735"/>
    <n v="3056138.6155474111"/>
    <s v="OK"/>
  </r>
  <r>
    <x v="4"/>
    <x v="2"/>
    <x v="3"/>
    <s v="Spring"/>
    <x v="4"/>
    <n v="-0.10645753903150559"/>
    <x v="2"/>
    <n v="27224.002366534009"/>
    <x v="4"/>
    <n v="1.2704504055475832"/>
    <n v="1.2704504055475832"/>
    <n v="6.1775271110723207"/>
    <n v="117383.09184993793"/>
    <n v="91"/>
    <n v="54.801167547217872"/>
    <n v="3021864.2626852752"/>
    <s v="OK"/>
  </r>
  <r>
    <x v="5"/>
    <x v="2"/>
    <x v="3"/>
    <s v="Spring"/>
    <x v="5"/>
    <n v="-0.23780125601842803"/>
    <x v="3"/>
    <n v="39405.785347202953"/>
    <x v="5"/>
    <n v="2.9966992232365217"/>
    <n v="2.9966992232365217"/>
    <n v="4.2764027935694617"/>
    <n v="90889.209479522586"/>
    <n v="82"/>
    <n v="43.412407813392626"/>
    <n v="3546520.6812482658"/>
    <s v="OK"/>
  </r>
  <r>
    <x v="6"/>
    <x v="0"/>
    <x v="4"/>
    <s v="Spring"/>
    <x v="6"/>
    <n v="-0.21278340516377614"/>
    <x v="0"/>
    <n v="22759.93049791878"/>
    <x v="6"/>
    <n v="2.0346895432199466"/>
    <n v="2.0346895432199466"/>
    <n v="5.471737418950914"/>
    <n v="82215.183435433515"/>
    <n v="92"/>
    <n v="636.34236016937041"/>
    <n v="2139433.4668043652"/>
    <s v="OK"/>
  </r>
  <r>
    <x v="7"/>
    <x v="3"/>
    <x v="5"/>
    <s v="Summer"/>
    <x v="7"/>
    <n v="-0.18776555430912426"/>
    <x v="3"/>
    <n v="19005.97021689959"/>
    <x v="7"/>
    <n v="2.3940516456958645"/>
    <n v="2.3940516456958645"/>
    <n v="5.2907748905165972"/>
    <n v="119106.01116475507"/>
    <n v="71"/>
    <n v="30.673306841856565"/>
    <n v="1862585.0812561598"/>
    <s v="OK"/>
  </r>
  <r>
    <x v="8"/>
    <x v="0"/>
    <x v="6"/>
    <s v="Summer"/>
    <x v="3"/>
    <n v="-0.15649324074080936"/>
    <x v="3"/>
    <n v="32200.072250266661"/>
    <x v="8"/>
    <n v="2.5869878669999999"/>
    <n v="5.1443433470170348"/>
    <n v="5.7703695064491303"/>
    <n v="117520.93585059588"/>
    <n v="98"/>
    <n v="75.331472157865448"/>
    <n v="3316607.4417774663"/>
    <s v="OK"/>
  </r>
  <r>
    <x v="9"/>
    <x v="3"/>
    <x v="7"/>
    <s v="Summer"/>
    <x v="6"/>
    <n v="-0.21278340516377614"/>
    <x v="1"/>
    <n v="27489.728878236943"/>
    <x v="9"/>
    <n v="0.99702967160484679"/>
    <n v="0.99702967160484679"/>
    <n v="5.0565676853999699"/>
    <m/>
    <n v="82"/>
    <n v="83.600922954277621"/>
    <n v="2584034.5145542729"/>
    <s v="Missing Data"/>
  </r>
  <r>
    <x v="10"/>
    <x v="4"/>
    <x v="8"/>
    <s v="Autumn"/>
    <x v="8"/>
    <n v="-0.18151109159546128"/>
    <x v="0"/>
    <n v="24893.835914346433"/>
    <x v="10"/>
    <n v="2.5869878669999999"/>
    <n v="27.537396614945735"/>
    <n v="5.3422328851939991"/>
    <n v="87920.387480615405"/>
    <m/>
    <n v="33.068355979452519"/>
    <n v="2464489.7555202967"/>
    <s v="Missing Data"/>
  </r>
  <r>
    <x v="11"/>
    <x v="0"/>
    <x v="9"/>
    <s v="Autumn"/>
    <x v="5"/>
    <n v="-0.23780125601842803"/>
    <x v="1"/>
    <n v="33541.782236496765"/>
    <x v="11"/>
    <n v="2.9676931717654331"/>
    <n v="2.9676931717654331"/>
    <n v="6.4912566057298076"/>
    <n v="95409.026892793059"/>
    <n v="79"/>
    <n v="28.345046988150571"/>
    <n v="3018760.4012847086"/>
    <s v="OK"/>
  </r>
  <r>
    <x v="12"/>
    <x v="0"/>
    <x v="10"/>
    <s v="Autumn"/>
    <x v="9"/>
    <n v="5.6413936948247665"/>
    <x v="0"/>
    <n v="31219.003568855995"/>
    <x v="12"/>
    <n v="3.5857863249393471"/>
    <n v="3.5857863249393471"/>
    <n v="4.9758829153141395"/>
    <n v="67210.316749491321"/>
    <n v="81"/>
    <n v="31.64123862298873"/>
    <n v="32155573.675921675"/>
    <s v="OK"/>
  </r>
  <r>
    <x v="13"/>
    <x v="0"/>
    <x v="0"/>
    <s v="Winter"/>
    <x v="3"/>
    <n v="-0.15649324074080936"/>
    <x v="0"/>
    <n v="27179.606846316357"/>
    <x v="13"/>
    <n v="2.5979831534708953"/>
    <n v="2.5979831534708953"/>
    <n v="35.721074791135848"/>
    <n v="92150.57787878254"/>
    <n v="690"/>
    <n v="90.170204951880137"/>
    <n v="2799499.5051705847"/>
    <s v="OK"/>
  </r>
  <r>
    <x v="14"/>
    <x v="2"/>
    <x v="11"/>
    <s v="Winter"/>
    <x v="6"/>
    <n v="-0.21278340516377614"/>
    <x v="3"/>
    <n v="23598.478006645528"/>
    <x v="14"/>
    <n v="2.8080505395041024"/>
    <n v="2.8080505395041024"/>
    <m/>
    <n v="119931.41021158894"/>
    <n v="90"/>
    <n v="62.255140940508497"/>
    <n v="2218256.9326246795"/>
    <s v="Missing Data"/>
  </r>
  <r>
    <x v="15"/>
    <x v="2"/>
    <x v="1"/>
    <s v="Winter"/>
    <x v="10"/>
    <n v="-0.14398431531348344"/>
    <x v="2"/>
    <n v="34362.286641400722"/>
    <x v="15"/>
    <n v="2.1083514325782087"/>
    <n v="2.1083514325782087"/>
    <n v="7.1577448944285837"/>
    <n v="906700.92415436043"/>
    <n v="87"/>
    <n v="57.380879680600209"/>
    <n v="3608040.0973470761"/>
    <s v="OK"/>
  </r>
  <r>
    <x v="16"/>
    <x v="3"/>
    <x v="2"/>
    <s v="Spring"/>
    <x v="11"/>
    <n v="-0.26281910687307991"/>
    <x v="0"/>
    <n v="33251.005889793305"/>
    <x v="16"/>
    <n v="2.7691269412451072"/>
    <n v="2.7691269412451072"/>
    <n v="3.9492847658732577"/>
    <n v="112809.59590401647"/>
    <n v="78"/>
    <n v="28.53694552818834"/>
    <n v="2859586.5065222243"/>
    <s v="OK"/>
  </r>
  <r>
    <x v="17"/>
    <x v="3"/>
    <x v="3"/>
    <s v="Spring"/>
    <x v="12"/>
    <n v="-0.22529233059110207"/>
    <x v="2"/>
    <n v="29504.120681103086"/>
    <x v="17"/>
    <n v="2.1568077245025896"/>
    <n v="2.1568077245025896"/>
    <n v="6.3276493662942332"/>
    <n v="96189.93788004377"/>
    <n v="71"/>
    <n v="71.964480540556934"/>
    <n v="2714379.1026614839"/>
    <s v="OK"/>
  </r>
  <r>
    <x v="18"/>
    <x v="0"/>
    <x v="4"/>
    <s v="Spring"/>
    <x v="6"/>
    <n v="-0.21278340516377614"/>
    <x v="3"/>
    <n v="39233.184980238329"/>
    <x v="18"/>
    <n v="3.1215718898560509"/>
    <n v="3.1215718898560509"/>
    <n v="4.8964302753383881"/>
    <n v="106481.14056443122"/>
    <n v="92"/>
    <n v="89.439967351607194"/>
    <n v="3687919.3881424027"/>
    <s v="OK"/>
  </r>
  <r>
    <x v="19"/>
    <x v="3"/>
    <x v="5"/>
    <s v="Summer"/>
    <x v="13"/>
    <n v="-0.16900216616813532"/>
    <x v="2"/>
    <n v="24649.576168369236"/>
    <x v="19"/>
    <n v="2.130389663956366"/>
    <n v="2.130389663956366"/>
    <n v="5.8161846583972716"/>
    <n v="77046.172203686656"/>
    <n v="103"/>
    <n v="86.254869545876232"/>
    <n v="2489607.1930052927"/>
    <s v="OK"/>
  </r>
  <r>
    <x v="20"/>
    <x v="2"/>
    <x v="6"/>
    <s v="Summer"/>
    <x v="3"/>
    <n v="-0.15649324074080936"/>
    <x v="1"/>
    <n v="22372.374145376307"/>
    <x v="20"/>
    <n v="2.8771003939021864"/>
    <n v="2.8771003939021864"/>
    <n v="5.8530689548161927"/>
    <n v="1017041.8899267802"/>
    <n v="114"/>
    <n v="70.0843767184641"/>
    <n v="2304354.5369737595"/>
    <s v="OK"/>
  </r>
  <r>
    <x v="21"/>
    <x v="3"/>
    <x v="7"/>
    <s v="Summer"/>
    <x v="14"/>
    <n v="-0.27532803230040587"/>
    <x v="0"/>
    <n v="26540.459650593777"/>
    <x v="21"/>
    <n v="2.4707371863150218"/>
    <n v="2.4707371863150218"/>
    <n v="5.2187106396204133"/>
    <n v="40177.280581985535"/>
    <n v="75"/>
    <m/>
    <n v="2229398.6106498772"/>
    <s v="Missing Data"/>
  </r>
  <r>
    <x v="22"/>
    <x v="4"/>
    <x v="8"/>
    <s v="Autumn"/>
    <x v="15"/>
    <n v="-0.32536373400970964"/>
    <x v="3"/>
    <n v="29772.069918222511"/>
    <x v="22"/>
    <n v="3.6260502507721681"/>
    <n v="3.6260502507721681"/>
    <n v="4.5594812012963244"/>
    <n v="96262.076836760301"/>
    <n v="80"/>
    <n v="28.991762174081039"/>
    <n v="2262677.3137849108"/>
    <s v="OK"/>
  </r>
  <r>
    <x v="23"/>
    <x v="2"/>
    <x v="9"/>
    <s v="Autumn"/>
    <x v="16"/>
    <n v="5.2661259320049885"/>
    <x v="1"/>
    <n v="31216.697246613458"/>
    <x v="23"/>
    <n v="2.448606276411514"/>
    <n v="2.448606276411514"/>
    <n v="4.6713507372204885"/>
    <n v="67390.535125697206"/>
    <n v="94"/>
    <n v="23.944718968785974"/>
    <n v="30280196.329215053"/>
    <s v="OK"/>
  </r>
  <r>
    <x v="24"/>
    <x v="4"/>
    <x v="10"/>
    <s v="Autumn"/>
    <x v="4"/>
    <n v="-0.10645753903150559"/>
    <x v="1"/>
    <n v="28793.819710718351"/>
    <x v="24"/>
    <n v="0.72696753179311857"/>
    <n v="0.72696753179311857"/>
    <n v="4.4005697014225094"/>
    <n v="124119.89033093632"/>
    <n v="110"/>
    <n v="40.598337319397544"/>
    <n v="3196113.9878897369"/>
    <s v="OK"/>
  </r>
  <r>
    <x v="25"/>
    <x v="3"/>
    <x v="0"/>
    <s v="Winter"/>
    <x v="17"/>
    <n v="-0.21903786787743912"/>
    <x v="3"/>
    <m/>
    <x v="25"/>
    <n v="3.7619215007139917"/>
    <n v="3.7619215007139917"/>
    <n v="4.5018133501234665"/>
    <m/>
    <n v="84"/>
    <n v="30.85291737283022"/>
    <n v="0"/>
    <s v="Missing Data"/>
  </r>
  <r>
    <x v="26"/>
    <x v="1"/>
    <x v="11"/>
    <s v="Winter"/>
    <x v="18"/>
    <n v="-0.25656464415941693"/>
    <x v="2"/>
    <n v="23742.30287904778"/>
    <x v="26"/>
    <n v="1.5942676991373812"/>
    <n v="1.5942676991373812"/>
    <n v="5.4193860519407737"/>
    <m/>
    <n v="80"/>
    <n v="40.803843220194707"/>
    <n v="2065580.3504771569"/>
    <s v="Missing Data"/>
  </r>
  <r>
    <x v="27"/>
    <x v="0"/>
    <x v="1"/>
    <s v="Winter"/>
    <x v="19"/>
    <n v="-0.1252209271724945"/>
    <x v="2"/>
    <n v="37218.823020366297"/>
    <x v="27"/>
    <n v="1.8462336613511803"/>
    <n v="1.8462336613511803"/>
    <n v="4.6410880130670975"/>
    <n v="130420.1245431876"/>
    <n v="77"/>
    <n v="50.804644457516936"/>
    <n v="4019632.88619956"/>
    <s v="OK"/>
  </r>
  <r>
    <x v="28"/>
    <x v="2"/>
    <x v="2"/>
    <s v="Spring"/>
    <x v="20"/>
    <n v="-0.13772985259982046"/>
    <x v="3"/>
    <n v="29589.244108037157"/>
    <x v="28"/>
    <n v="1.904338705956508"/>
    <n v="1.904338705956508"/>
    <n v="6.3184624788551442"/>
    <n v="81021.669583503259"/>
    <n v="82"/>
    <n v="95.438622725690848"/>
    <n v="3136459.8754519387"/>
    <s v="OK"/>
  </r>
  <r>
    <x v="29"/>
    <x v="4"/>
    <x v="3"/>
    <s v="Spring"/>
    <x v="19"/>
    <n v="-0.1252209271724945"/>
    <x v="3"/>
    <n v="35586.479157940637"/>
    <x v="29"/>
    <n v="3.8744380931708173"/>
    <n v="3.8744380931708173"/>
    <n v="7.2846953864031132"/>
    <n v="134947.26395831117"/>
    <n v="111"/>
    <n v="68.830084782535366"/>
    <n v="3843339.7490575886"/>
    <s v="OK"/>
  </r>
  <r>
    <x v="30"/>
    <x v="1"/>
    <x v="4"/>
    <s v="Spring"/>
    <x v="0"/>
    <n v="-0.20027447973645018"/>
    <x v="2"/>
    <n v="31713.626731888522"/>
    <x v="30"/>
    <n v="0.3643257860213045"/>
    <n v="0.3643257860213045"/>
    <n v="4.8039361103559486"/>
    <n v="118643.83128520769"/>
    <n v="87"/>
    <n v="86.797902854636988"/>
    <n v="3044508.1662612981"/>
    <s v="OK"/>
  </r>
  <r>
    <x v="31"/>
    <x v="1"/>
    <x v="5"/>
    <s v="Summer"/>
    <x v="21"/>
    <n v="-9.3948613604179651E-2"/>
    <x v="3"/>
    <n v="32283.766095768919"/>
    <x v="31"/>
    <n v="2.5869878669999999"/>
    <m/>
    <n v="5.7872854006424523"/>
    <n v="95268.894255621082"/>
    <n v="73"/>
    <n v="76.828120056986577"/>
    <n v="3648065.568821888"/>
    <s v="Missing Data"/>
  </r>
  <r>
    <x v="32"/>
    <x v="2"/>
    <x v="6"/>
    <s v="Summer"/>
    <x v="22"/>
    <n v="-0.20652894245011316"/>
    <x v="0"/>
    <n v="32848.836401161017"/>
    <x v="32"/>
    <n v="2.2139957781198891"/>
    <m/>
    <n v="6.0996221323635202"/>
    <n v="122712.40294365888"/>
    <n v="95"/>
    <n v="29.00025044213054"/>
    <n v="3120639.4581102966"/>
    <s v="Missing Data"/>
  </r>
  <r>
    <x v="33"/>
    <x v="2"/>
    <x v="7"/>
    <s v="Summer"/>
    <x v="6"/>
    <n v="-0.21278340516377614"/>
    <x v="1"/>
    <n v="32238.542800086576"/>
    <x v="33"/>
    <n v="2.7232389141291597"/>
    <n v="2.7232389141291597"/>
    <n v="6.0664027251031296"/>
    <n v="77874.129751767323"/>
    <n v="87"/>
    <n v="78.873632509915907"/>
    <n v="3030423.0232081381"/>
    <s v="OK"/>
  </r>
  <r>
    <x v="34"/>
    <x v="1"/>
    <x v="8"/>
    <s v="Autumn"/>
    <x v="1"/>
    <n v="-0.13147538988615748"/>
    <x v="2"/>
    <n v="33213.61379933772"/>
    <x v="34"/>
    <n v="2.4451059993837134"/>
    <n v="2.4451059993837134"/>
    <n v="5.5911463214993047"/>
    <n v="83509.716769446532"/>
    <n v="88"/>
    <n v="42.007910524729951"/>
    <n v="3553856.676529136"/>
    <s v="OK"/>
  </r>
  <r>
    <x v="35"/>
    <x v="0"/>
    <x v="9"/>
    <s v="Autumn"/>
    <x v="23"/>
    <n v="-8.7694150890516673E-2"/>
    <x v="0"/>
    <n v="36645.76265066216"/>
    <x v="35"/>
    <n v="2.7855540748576568"/>
    <n v="2.7855540748576568"/>
    <n v="6.3912189020316665"/>
    <n v="878282.05535206001"/>
    <n v="85"/>
    <m/>
    <n v="4177616.9421754861"/>
    <s v="Missing Data"/>
  </r>
  <r>
    <x v="36"/>
    <x v="0"/>
    <x v="10"/>
    <s v="Autumn"/>
    <x v="11"/>
    <n v="-0.26281910687307991"/>
    <x v="3"/>
    <n v="30982.605848507352"/>
    <x v="36"/>
    <n v="3.0211224283793383"/>
    <n v="3.0211224283793383"/>
    <n v="6.0786987432167887"/>
    <n v="89420.445838719694"/>
    <n v="93"/>
    <n v="47.276957891439082"/>
    <n v="2664504.102971632"/>
    <s v="OK"/>
  </r>
  <r>
    <x v="37"/>
    <x v="4"/>
    <x v="0"/>
    <s v="Winter"/>
    <x v="24"/>
    <n v="5.9541168305079148"/>
    <x v="1"/>
    <n v="33545.018787942565"/>
    <x v="37"/>
    <n v="3.1452155859500599"/>
    <n v="3.1452155859500568"/>
    <n v="4.0148050932072428"/>
    <n v="78868.847144794941"/>
    <n v="85"/>
    <n v="99.813781061172733"/>
    <n v="36228620.29097797"/>
    <s v="OK"/>
  </r>
  <r>
    <x v="38"/>
    <x v="0"/>
    <x v="11"/>
    <s v="Winter"/>
    <x v="19"/>
    <n v="-0.1252209271724945"/>
    <x v="3"/>
    <n v="29551.321528563865"/>
    <x v="38"/>
    <n v="3.0556044660034485"/>
    <n v="3.0556044660034485"/>
    <n v="6.5429872772671276"/>
    <n v="124461.6613419065"/>
    <n v="820"/>
    <n v="41.084118359742227"/>
    <n v="3191542.7250848976"/>
    <s v="OK"/>
  </r>
  <r>
    <x v="39"/>
    <x v="1"/>
    <x v="1"/>
    <s v="Winter"/>
    <x v="13"/>
    <n v="-0.16900216616813532"/>
    <x v="0"/>
    <n v="37200.586077247368"/>
    <x v="39"/>
    <n v="2.5895806812552489"/>
    <n v="2.5895806812552489"/>
    <n v="6.56474900472009"/>
    <n v="94822.91199260336"/>
    <n v="80"/>
    <n v="42.330437661941573"/>
    <n v="3757259.1938019842"/>
    <s v="OK"/>
  </r>
  <r>
    <x v="40"/>
    <x v="1"/>
    <x v="2"/>
    <s v="Spring"/>
    <x v="6"/>
    <n v="-0.21278340516377614"/>
    <x v="1"/>
    <n v="26618.038489703653"/>
    <x v="40"/>
    <n v="2.3026615796926739"/>
    <n v="2.3026615796926739"/>
    <n v="4.5840566749857024"/>
    <n v="107050.09936713759"/>
    <n v="95"/>
    <n v="94.453780444991864"/>
    <n v="2502095.6180321435"/>
    <s v="OK"/>
  </r>
  <r>
    <x v="41"/>
    <x v="3"/>
    <x v="3"/>
    <s v="Spring"/>
    <x v="25"/>
    <n v="-7.518522546319073E-2"/>
    <x v="3"/>
    <n v="39004.702164554081"/>
    <x v="41"/>
    <n v="2.5869878669999999"/>
    <m/>
    <n v="5.5455254025371223"/>
    <m/>
    <n v="89"/>
    <n v="21.971552370905812"/>
    <n v="4524545.451088273"/>
    <s v="Missing Data"/>
  </r>
  <r>
    <x v="42"/>
    <x v="1"/>
    <x v="4"/>
    <s v="Spring"/>
    <x v="26"/>
    <n v="-0.19402001702278721"/>
    <x v="1"/>
    <n v="29799.210246778282"/>
    <x v="42"/>
    <n v="2.3050917196473191"/>
    <n v="2.3050917196473191"/>
    <n v="63.199947913732828"/>
    <n v="63587.933989029654"/>
    <n v="73"/>
    <n v="75.735119029855753"/>
    <n v="2890523.3939374932"/>
    <s v="OK"/>
  </r>
  <r>
    <x v="43"/>
    <x v="0"/>
    <x v="5"/>
    <s v="Summer"/>
    <x v="27"/>
    <n v="-0.80070290024809565"/>
    <x v="2"/>
    <n v="22846.124489409758"/>
    <x v="43"/>
    <n v="3.6337700968670648"/>
    <n v="3.6337700968670648"/>
    <n v="5.2488234165047665"/>
    <n v="105401.14716782844"/>
    <n v="86"/>
    <n v="78.026111258870259"/>
    <n v="0"/>
    <s v="Missing Data"/>
  </r>
  <r>
    <x v="44"/>
    <x v="4"/>
    <x v="6"/>
    <s v="Summer"/>
    <x v="6"/>
    <n v="-0.21278340516377614"/>
    <x v="1"/>
    <n v="30640.522074553948"/>
    <x v="44"/>
    <n v="3.0935567222808618"/>
    <n v="3.0935567222808618"/>
    <n v="6.7875736573192142"/>
    <n v="61754.900491604465"/>
    <n v="82"/>
    <n v="86.910286192831947"/>
    <n v="2880209.075008071"/>
    <s v="OK"/>
  </r>
  <r>
    <x v="45"/>
    <x v="3"/>
    <x v="7"/>
    <s v="Summer"/>
    <x v="28"/>
    <n v="-6.2676300035864774E-2"/>
    <x v="3"/>
    <n v="26594.741712625597"/>
    <x v="45"/>
    <n v="2.5869878669999999"/>
    <n v="-0.44038863466428024"/>
    <n v="8.3366469935432335"/>
    <n v="98627.319078290631"/>
    <n v="80"/>
    <n v="97.955144851078032"/>
    <n v="3138179.5220898204"/>
    <s v="OK"/>
  </r>
  <r>
    <x v="46"/>
    <x v="0"/>
    <x v="8"/>
    <s v="Autumn"/>
    <x v="29"/>
    <n v="-0.15023877802714641"/>
    <x v="2"/>
    <n v="34203.21774494362"/>
    <x v="46"/>
    <n v="3.1559007765297609"/>
    <n v="3.1559007765297609"/>
    <n v="4.5568167608380215"/>
    <n v="72633.699223343792"/>
    <n v="85"/>
    <n v="98.048153532532197"/>
    <n v="3557134.6454741363"/>
    <s v="OK"/>
  </r>
  <r>
    <x v="47"/>
    <x v="4"/>
    <x v="9"/>
    <s v="Autumn"/>
    <x v="27"/>
    <n v="-0.80070290024809565"/>
    <x v="0"/>
    <n v="26736.880103488045"/>
    <x v="47"/>
    <n v="2.6947361947187747"/>
    <n v="2.6947361947187747"/>
    <n v="3.8427464762154702"/>
    <n v="139745.51998461617"/>
    <n v="88"/>
    <n v="25.222140605317112"/>
    <n v="0"/>
    <s v="Missing Data"/>
  </r>
  <r>
    <x v="48"/>
    <x v="0"/>
    <x v="10"/>
    <s v="Autumn"/>
    <x v="30"/>
    <n v="-8.1439688176853695E-2"/>
    <x v="2"/>
    <n v="27769.082833926102"/>
    <x v="48"/>
    <n v="2.4812912435541028"/>
    <n v="2.4812912435541028"/>
    <n v="5.8645823147258511"/>
    <n v="118227.25444349443"/>
    <n v="100"/>
    <n v="85.747145820232205"/>
    <n v="3193444.525901502"/>
    <s v="OK"/>
  </r>
  <r>
    <x v="49"/>
    <x v="3"/>
    <x v="0"/>
    <s v="Winter"/>
    <x v="6"/>
    <n v="-0.21278340516377614"/>
    <x v="3"/>
    <n v="20552.296345272345"/>
    <x v="49"/>
    <n v="2.1114815469111141"/>
    <n v="2.1114815469111141"/>
    <n v="6.3658750061513718"/>
    <n v="102115.07582542961"/>
    <n v="102"/>
    <n v="71.704794692590497"/>
    <n v="1931915.8564556004"/>
    <s v="OK"/>
  </r>
  <r>
    <x v="50"/>
    <x v="1"/>
    <x v="11"/>
    <s v="Winter"/>
    <x v="31"/>
    <n v="-0.23154679330476505"/>
    <x v="0"/>
    <n v="27738.468403754618"/>
    <x v="50"/>
    <n v="3.6241127199860133"/>
    <n v="3.6241127199860133"/>
    <n v="5.222960351386277"/>
    <n v="125274.13355309337"/>
    <n v="95"/>
    <n v="71.787370749847298"/>
    <n v="2524200.6247416702"/>
    <s v="OK"/>
  </r>
  <r>
    <x v="51"/>
    <x v="3"/>
    <x v="1"/>
    <s v="Winter"/>
    <x v="32"/>
    <n v="-0.11271200174516857"/>
    <x v="2"/>
    <n v="17880.603366855219"/>
    <x v="51"/>
    <n v="3.4475264621228581"/>
    <n v="3.4475264621228581"/>
    <n v="7.2439127959852412"/>
    <n v="83073.680450685279"/>
    <n v="88"/>
    <n v="30.267994129175584"/>
    <n v="1966866.3703540741"/>
    <s v="OK"/>
  </r>
  <r>
    <x v="52"/>
    <x v="1"/>
    <x v="2"/>
    <s v="Spring"/>
    <x v="7"/>
    <n v="-0.18776555430912426"/>
    <x v="3"/>
    <n v="22080.485882571382"/>
    <x v="52"/>
    <n v="1.7271223321763909"/>
    <n v="1.7271223321763909"/>
    <n v="3.8936730403321018"/>
    <n v="110869.58757340186"/>
    <n v="87"/>
    <m/>
    <n v="2163887.6164919953"/>
    <s v="Missing Data"/>
  </r>
  <r>
    <x v="53"/>
    <x v="3"/>
    <x v="3"/>
    <s v="Spring"/>
    <x v="11"/>
    <n v="-0.26281910687307991"/>
    <x v="0"/>
    <n v="33802.073280721488"/>
    <x v="53"/>
    <n v="2.907052287124535"/>
    <n v="2.907052287124535"/>
    <n v="6.3315023476379331"/>
    <n v="103996.20867437427"/>
    <n v="95"/>
    <n v="98.598606448099829"/>
    <n v="2906978.3021420478"/>
    <s v="OK"/>
  </r>
  <r>
    <x v="54"/>
    <x v="2"/>
    <x v="4"/>
    <s v="Spring"/>
    <x v="33"/>
    <n v="-4.391291189487586E-2"/>
    <x v="1"/>
    <m/>
    <x v="54"/>
    <n v="1.5283432654587141"/>
    <n v="1.5283432654587141"/>
    <n v="4.7729670150893284"/>
    <n v="105280.4016266734"/>
    <n v="78"/>
    <n v="929.45485563155762"/>
    <n v="0"/>
    <s v="Missing Data"/>
  </r>
  <r>
    <x v="55"/>
    <x v="0"/>
    <x v="5"/>
    <s v="Summer"/>
    <x v="34"/>
    <n v="-0.1752566288817983"/>
    <x v="3"/>
    <n v="32127.287808924822"/>
    <x v="55"/>
    <n v="1.1203818352110695"/>
    <n v="1.1203818352110695"/>
    <n v="7.5632534874487565"/>
    <n v="125447.07000213536"/>
    <n v="810"/>
    <n v="55.13045286438804"/>
    <n v="3212728.780892482"/>
    <s v="OK"/>
  </r>
  <r>
    <x v="56"/>
    <x v="0"/>
    <x v="6"/>
    <s v="Summer"/>
    <x v="0"/>
    <n v="-0.20027447973645018"/>
    <x v="3"/>
    <n v="25165.119284353936"/>
    <x v="56"/>
    <n v="1.873282775410035"/>
    <n v="1.873282775410035"/>
    <n v="7.891018423801742"/>
    <n v="114649.84205559605"/>
    <n v="95"/>
    <n v="23.195837862887547"/>
    <n v="2415851.4512979779"/>
    <s v="OK"/>
  </r>
  <r>
    <x v="57"/>
    <x v="2"/>
    <x v="7"/>
    <s v="Summer"/>
    <x v="35"/>
    <n v="-6.3861356128980225E-3"/>
    <x v="0"/>
    <n v="29761.4432192901"/>
    <x v="57"/>
    <n v="3.3623934723827587"/>
    <n v="3.3623934723827587"/>
    <n v="4.5800120946599829"/>
    <n v="105774.47325650047"/>
    <n v="88"/>
    <n v="48.98347920001639"/>
    <n v="3779703.2888498427"/>
    <s v="OK"/>
  </r>
  <r>
    <x v="58"/>
    <x v="1"/>
    <x v="8"/>
    <s v="Autumn"/>
    <x v="34"/>
    <n v="-0.1752566288817983"/>
    <x v="0"/>
    <n v="29981.987304547158"/>
    <x v="58"/>
    <n v="3.4531250453760869"/>
    <n v="3.4531250453760869"/>
    <n v="4.8405314369097034"/>
    <n v="66902.251275434071"/>
    <m/>
    <n v="86.111224928044422"/>
    <n v="2998198.7304547159"/>
    <s v="Missing Data"/>
  </r>
  <r>
    <x v="59"/>
    <x v="0"/>
    <x v="9"/>
    <s v="Autumn"/>
    <x v="17"/>
    <n v="-0.21903786787743912"/>
    <x v="0"/>
    <n v="24208.176554037287"/>
    <x v="59"/>
    <n v="3.0130854200972932"/>
    <n v="3.0130854200972932"/>
    <n v="6.531505464375762"/>
    <n v="80799.074094410724"/>
    <n v="79"/>
    <n v="76.119928117213277"/>
    <n v="2251360.4195254678"/>
    <s v="OK"/>
  </r>
  <r>
    <x v="60"/>
    <x v="2"/>
    <x v="10"/>
    <s v="Autumn"/>
    <x v="3"/>
    <n v="-0.15649324074080936"/>
    <x v="3"/>
    <n v="37516.991508835752"/>
    <x v="60"/>
    <n v="3.225095786847997"/>
    <n v="3.225095786847997"/>
    <n v="5.0354432202525823"/>
    <n v="97545.821328085513"/>
    <n v="91"/>
    <n v="56.747492447516514"/>
    <n v="3864250.1254100823"/>
    <s v="OK"/>
  </r>
  <r>
    <x v="61"/>
    <x v="0"/>
    <x v="0"/>
    <s v="Winter"/>
    <x v="36"/>
    <n v="-0.31285480858238368"/>
    <x v="2"/>
    <n v="34386.811452878355"/>
    <x v="61"/>
    <n v="3.0161782871149585"/>
    <n v="3.0161782871149585"/>
    <n v="5.4455065384813137"/>
    <n v="101867.44748553302"/>
    <n v="81"/>
    <m/>
    <n v="2682171.2933245115"/>
    <s v="Missing Data"/>
  </r>
  <r>
    <x v="62"/>
    <x v="4"/>
    <x v="11"/>
    <s v="Winter"/>
    <x v="25"/>
    <n v="-7.518522546319073E-2"/>
    <x v="0"/>
    <n v="288951.79130851681"/>
    <x v="62"/>
    <n v="1.8585184047770478"/>
    <n v="1.8585184047770478"/>
    <n v="5.5304661046508921"/>
    <n v="77395.925506521526"/>
    <n v="98"/>
    <n v="54.151578225864213"/>
    <n v="33518407.791787948"/>
    <s v="OK"/>
  </r>
  <r>
    <x v="63"/>
    <x v="1"/>
    <x v="1"/>
    <s v="Winter"/>
    <x v="2"/>
    <n v="-0.25031018144575395"/>
    <x v="3"/>
    <n v="30134.429194972654"/>
    <x v="63"/>
    <n v="2.9319225446739408"/>
    <n v="2.9319225446739408"/>
    <n v="3.1963922125628126"/>
    <n v="148233.53351156841"/>
    <n v="83"/>
    <n v="57.521995177430682"/>
    <n v="2651829.7691575936"/>
    <s v="OK"/>
  </r>
  <r>
    <x v="64"/>
    <x v="4"/>
    <x v="2"/>
    <s v="Spring"/>
    <x v="10"/>
    <n v="-0.14398431531348344"/>
    <x v="0"/>
    <n v="31041.914039737763"/>
    <x v="64"/>
    <n v="3.3004095252276824"/>
    <n v="3.3004095252276824"/>
    <n v="5.4833947046869156"/>
    <n v="130327.88110507146"/>
    <m/>
    <n v="94.284442631530879"/>
    <n v="3259400.974172465"/>
    <s v="Missing Data"/>
  </r>
  <r>
    <x v="65"/>
    <x v="1"/>
    <x v="3"/>
    <s v="Spring"/>
    <x v="12"/>
    <n v="-0.22529233059110207"/>
    <x v="0"/>
    <n v="19791.325657878548"/>
    <x v="65"/>
    <n v="3.2542913298135741"/>
    <n v="3.2542913298135741"/>
    <n v="46.723266711229918"/>
    <n v="112042.36640784967"/>
    <n v="97"/>
    <n v="71.286888286572747"/>
    <n v="1820801.9605248263"/>
    <s v="OK"/>
  </r>
  <r>
    <x v="66"/>
    <x v="2"/>
    <x v="4"/>
    <s v="Spring"/>
    <x v="0"/>
    <n v="-0.20027447973645018"/>
    <x v="1"/>
    <n v="28764.113087397014"/>
    <x v="66"/>
    <n v="3.6889133714746429"/>
    <n v="3.6889133714746429"/>
    <n v="4.9082526131202737"/>
    <n v="101440.73722567489"/>
    <n v="90"/>
    <n v="44.932233332371908"/>
    <n v="2761354.8563901135"/>
    <s v="OK"/>
  </r>
  <r>
    <x v="67"/>
    <x v="1"/>
    <x v="5"/>
    <s v="Summer"/>
    <x v="29"/>
    <n v="-0.15023877802714641"/>
    <x v="1"/>
    <n v="26590.078760011005"/>
    <x v="67"/>
    <n v="3.2083038472010639"/>
    <n v="3.2083038472010639"/>
    <n v="7.2323584041625768"/>
    <n v="95755.820601976971"/>
    <n v="83"/>
    <n v="62.025461156057709"/>
    <n v="2765368.1910411445"/>
    <s v="OK"/>
  </r>
  <r>
    <x v="68"/>
    <x v="1"/>
    <x v="6"/>
    <s v="Summer"/>
    <x v="14"/>
    <n v="-0.27532803230040587"/>
    <x v="0"/>
    <n v="249918.99950525421"/>
    <x v="68"/>
    <n v="2.851448207541583"/>
    <n v="2.851448207541583"/>
    <n v="3.9921917268648928"/>
    <n v="80961.630799555292"/>
    <n v="93"/>
    <n v="25.284424625772807"/>
    <n v="20993195.958441354"/>
    <s v="OK"/>
  </r>
  <r>
    <x v="69"/>
    <x v="2"/>
    <x v="7"/>
    <s v="Summer"/>
    <x v="22"/>
    <n v="-0.20652894245011316"/>
    <x v="1"/>
    <n v="28594.498535570227"/>
    <x v="69"/>
    <n v="3.5701502383164274"/>
    <n v="3.5701502383164274"/>
    <n v="64.758462240975732"/>
    <n v="101549.61037037725"/>
    <n v="84"/>
    <n v="97.805458851978941"/>
    <n v="2716477.3608791716"/>
    <s v="OK"/>
  </r>
  <r>
    <x v="70"/>
    <x v="1"/>
    <x v="8"/>
    <s v="Autumn"/>
    <x v="10"/>
    <n v="-0.14398431531348344"/>
    <x v="0"/>
    <n v="38988.432634247612"/>
    <x v="70"/>
    <n v="2.5895806812552489"/>
    <m/>
    <n v="5.1652444836018301"/>
    <n v="105155.05080285501"/>
    <n v="90"/>
    <n v="48.804792154458084"/>
    <n v="4093785.4265959994"/>
    <s v="Missing Data"/>
  </r>
  <r>
    <x v="71"/>
    <x v="0"/>
    <x v="8"/>
    <s v="Autumn"/>
    <x v="34"/>
    <n v="-0.1752566288817983"/>
    <x v="3"/>
    <n v="33204.214306335052"/>
    <x v="71"/>
    <n v="1.6181253487722822"/>
    <n v="1.6181253487722822"/>
    <n v="5.1642877978049988"/>
    <n v="75164.788490367515"/>
    <n v="97"/>
    <n v="58.229388393050868"/>
    <n v="3320421.4306335053"/>
    <s v="OK"/>
  </r>
  <r>
    <x v="72"/>
    <x v="3"/>
    <x v="9"/>
    <s v="Autumn"/>
    <x v="29"/>
    <n v="-0.15023877802714641"/>
    <x v="3"/>
    <n v="27144.105051086015"/>
    <x v="72"/>
    <n v="2.3369330360562359"/>
    <n v="2.3369330360562359"/>
    <n v="6.4484462752620537"/>
    <n v="106683.52834489795"/>
    <n v="92"/>
    <n v="48.422717938953809"/>
    <n v="2822986.9253129456"/>
    <s v="OK"/>
  </r>
  <r>
    <x v="73"/>
    <x v="2"/>
    <x v="10"/>
    <s v="Autumn"/>
    <x v="20"/>
    <n v="-0.13772985259982046"/>
    <x v="3"/>
    <n v="32862.913906780792"/>
    <x v="73"/>
    <n v="1.7550973551935509"/>
    <n v="1.7550973551935509"/>
    <n v="5.9080615534826686"/>
    <n v="96894.819023505028"/>
    <n v="80"/>
    <n v="74.60093840929602"/>
    <n v="3483468.874118764"/>
    <s v="OK"/>
  </r>
  <r>
    <x v="74"/>
    <x v="3"/>
    <x v="0"/>
    <s v="Winter"/>
    <x v="37"/>
    <n v="-5.0167374608538831E-2"/>
    <x v="3"/>
    <n v="36996.777182930011"/>
    <x v="74"/>
    <n v="1.8248217250256185"/>
    <n v="1.8248217250256185"/>
    <n v="6.1847355966634368"/>
    <n v="61843.848842452178"/>
    <n v="75"/>
    <n v="72.978572666367441"/>
    <n v="4439613.2619516011"/>
    <s v="OK"/>
  </r>
  <r>
    <x v="75"/>
    <x v="2"/>
    <x v="11"/>
    <s v="Winter"/>
    <x v="27"/>
    <n v="-0.80070290024809565"/>
    <x v="1"/>
    <m/>
    <x v="75"/>
    <n v="2.3554813292844821"/>
    <n v="2.3554813292844821"/>
    <n v="6.6618215926394333"/>
    <n v="82792.299784409959"/>
    <n v="91"/>
    <n v="77.225784842330853"/>
    <n v="0"/>
    <s v="Missing Data"/>
  </r>
  <r>
    <x v="76"/>
    <x v="2"/>
    <x v="1"/>
    <s v="Winter"/>
    <x v="28"/>
    <n v="-6.2676300035864774E-2"/>
    <x v="1"/>
    <n v="30298.151849600872"/>
    <x v="76"/>
    <n v="1.7075800790000386"/>
    <n v="1.7075800790000386"/>
    <n v="5.1024299401800128"/>
    <n v="91727.889331567116"/>
    <n v="91"/>
    <n v="41.451458368953666"/>
    <n v="3575181.918252903"/>
    <s v="OK"/>
  </r>
  <r>
    <x v="77"/>
    <x v="4"/>
    <x v="2"/>
    <s v="Spring"/>
    <x v="12"/>
    <n v="-0.22529233059110207"/>
    <x v="0"/>
    <n v="26765.31611147213"/>
    <x v="77"/>
    <n v="3.1559007765297609"/>
    <m/>
    <n v="4.7653159185906997"/>
    <n v="137753.75314680382"/>
    <n v="81"/>
    <n v="45.253478493125279"/>
    <n v="2462409.0822554361"/>
    <s v="Missing Data"/>
  </r>
  <r>
    <x v="78"/>
    <x v="4"/>
    <x v="3"/>
    <s v="Spring"/>
    <x v="32"/>
    <n v="-0.11271200174516857"/>
    <x v="2"/>
    <n v="33491.116568067948"/>
    <x v="78"/>
    <n v="2.6947361947187747"/>
    <m/>
    <n v="4.1978193681306424"/>
    <n v="111131.06249067516"/>
    <m/>
    <n v="30.020098487696636"/>
    <n v="3684022.8224874744"/>
    <s v="Missing Data"/>
  </r>
  <r>
    <x v="79"/>
    <x v="1"/>
    <x v="4"/>
    <s v="Spring"/>
    <x v="13"/>
    <n v="-0.16900216616813532"/>
    <x v="1"/>
    <n v="31967.426927108747"/>
    <x v="79"/>
    <n v="2.7132937073729386"/>
    <n v="2.7132937073729386"/>
    <n v="4.5095073640252537"/>
    <n v="73290.368618002176"/>
    <n v="104"/>
    <n v="72.440797747689004"/>
    <n v="3228710.1196379834"/>
    <s v="OK"/>
  </r>
  <r>
    <x v="80"/>
    <x v="3"/>
    <x v="5"/>
    <s v="Summer"/>
    <x v="14"/>
    <n v="-0.27532803230040587"/>
    <x v="3"/>
    <n v="34475.966100138663"/>
    <x v="80"/>
    <n v="2.5012054753622244"/>
    <n v="2.5012054753622244"/>
    <n v="9.0389133103704697"/>
    <n v="109720.72578835273"/>
    <n v="99"/>
    <n v="23.183770186852204"/>
    <n v="2895981.1524116476"/>
    <s v="OK"/>
  </r>
  <r>
    <x v="81"/>
    <x v="2"/>
    <x v="6"/>
    <s v="Summer"/>
    <x v="30"/>
    <n v="-8.1439688176853695E-2"/>
    <x v="2"/>
    <n v="33175.859008409847"/>
    <x v="81"/>
    <n v="1.6829113689318094"/>
    <n v="1.6829113689318094"/>
    <n v="6.9936154968841437"/>
    <n v="69053.920221232693"/>
    <n v="92"/>
    <n v="67.814586841876718"/>
    <n v="3815223.7859671325"/>
    <s v="Missing Data"/>
  </r>
  <r>
    <x v="82"/>
    <x v="1"/>
    <x v="7"/>
    <s v="Summer"/>
    <x v="22"/>
    <n v="-0.20652894245011316"/>
    <x v="3"/>
    <n v="35247.763576596677"/>
    <x v="82"/>
    <n v="3.1592456684324048"/>
    <n v="3.1592456684324048"/>
    <n v="3.8787107605503746"/>
    <n v="121653.82107774146"/>
    <n v="83"/>
    <n v="89.575670788130708"/>
    <n v="3348537.5397766843"/>
    <s v="OK"/>
  </r>
  <r>
    <x v="83"/>
    <x v="0"/>
    <x v="8"/>
    <s v="Autumn"/>
    <x v="23"/>
    <n v="-8.7694150890516673E-2"/>
    <x v="3"/>
    <n v="27323.823942197159"/>
    <x v="83"/>
    <n v="3.4375701376265582"/>
    <n v="3.4375701376265582"/>
    <n v="3.9130504519077158"/>
    <n v="90577.50696364243"/>
    <m/>
    <n v="91.266571863170682"/>
    <n v="3114915.9294104762"/>
    <s v="Missing Data"/>
  </r>
  <r>
    <x v="84"/>
    <x v="2"/>
    <x v="9"/>
    <s v="Autumn"/>
    <x v="29"/>
    <n v="-0.15023877802714641"/>
    <x v="1"/>
    <n v="36586.970328171628"/>
    <x v="84"/>
    <n v="0.89244013563102587"/>
    <n v="0.89244013563102587"/>
    <m/>
    <n v="98127.276225216585"/>
    <n v="91"/>
    <n v="55.923020829596936"/>
    <n v="3805044.9141298495"/>
    <s v="Missing Data"/>
  </r>
  <r>
    <x v="85"/>
    <x v="0"/>
    <x v="10"/>
    <s v="Autumn"/>
    <x v="38"/>
    <n v="-0.244055718732091"/>
    <x v="1"/>
    <n v="30987.998023461998"/>
    <x v="85"/>
    <n v="1.7372752214337859"/>
    <n v="1.7372752214337859"/>
    <n v="6.1567177568535607"/>
    <n v="126515.93295084379"/>
    <m/>
    <n v="56.744295057045903"/>
    <n v="2757931.824088118"/>
    <s v="Missing Data"/>
  </r>
  <r>
    <x v="86"/>
    <x v="1"/>
    <x v="0"/>
    <s v="Winter"/>
    <x v="27"/>
    <n v="-0.80070290024809565"/>
    <x v="1"/>
    <n v="40376.304363126328"/>
    <x v="86"/>
    <n v="1.7308576502127018"/>
    <n v="1.7308576502127018"/>
    <n v="6.158660602380837"/>
    <n v="74256.728628315002"/>
    <n v="74"/>
    <n v="26.157534640641387"/>
    <n v="0"/>
    <s v="Missing Data"/>
  </r>
  <r>
    <x v="87"/>
    <x v="4"/>
    <x v="11"/>
    <s v="Winter"/>
    <x v="39"/>
    <n v="-0.26907356958674289"/>
    <x v="2"/>
    <n v="26554.060909552161"/>
    <x v="87"/>
    <n v="1.5600968988911355"/>
    <n v="1.5600968988911355"/>
    <n v="5.1940530477355624"/>
    <n v="72057.636297740173"/>
    <n v="80"/>
    <n v="73.661202035442855"/>
    <n v="2257095.1773119336"/>
    <s v="OK"/>
  </r>
  <r>
    <x v="88"/>
    <x v="1"/>
    <x v="1"/>
    <s v="Winter"/>
    <x v="13"/>
    <n v="-0.16900216616813532"/>
    <x v="1"/>
    <n v="38679.819015826244"/>
    <x v="88"/>
    <n v="3.3294748419317486"/>
    <n v="3.3294748419317486"/>
    <n v="5.3494548879965196"/>
    <n v="88328.013473079904"/>
    <n v="81"/>
    <n v="85.700753629827645"/>
    <n v="3906661.7205984509"/>
    <s v="OK"/>
  </r>
  <r>
    <x v="89"/>
    <x v="0"/>
    <x v="2"/>
    <s v="Spring"/>
    <x v="29"/>
    <n v="-0.15023877802714641"/>
    <x v="2"/>
    <n v="30989.553917313238"/>
    <x v="89"/>
    <n v="2.3061738612271965"/>
    <n v="2.3061738612271965"/>
    <n v="5.8934554289912287"/>
    <n v="120767.57702038634"/>
    <n v="87"/>
    <n v="39.572404368377043"/>
    <n v="3222913.6074005766"/>
    <s v="OK"/>
  </r>
  <r>
    <x v="90"/>
    <x v="2"/>
    <x v="3"/>
    <s v="Spring"/>
    <x v="20"/>
    <n v="-0.13772985259982046"/>
    <x v="0"/>
    <m/>
    <x v="90"/>
    <n v="2.2354851586893894"/>
    <n v="2.2354851586893894"/>
    <n v="5.6030716075519962"/>
    <n v="69613.078490463144"/>
    <n v="95"/>
    <n v="53.704070530669171"/>
    <n v="0"/>
    <s v="Missing Data"/>
  </r>
  <r>
    <x v="91"/>
    <x v="3"/>
    <x v="4"/>
    <s v="Spring"/>
    <x v="22"/>
    <n v="-0.20652894245011316"/>
    <x v="1"/>
    <n v="27580.570829728393"/>
    <x v="91"/>
    <n v="0.49613763559324653"/>
    <n v="0.49613763559324653"/>
    <n v="2.836839552702958"/>
    <n v="43356.888037788623"/>
    <n v="108"/>
    <n v="87.107146941221629"/>
    <n v="2620154.2288241973"/>
    <s v="OK"/>
  </r>
  <r>
    <x v="92"/>
    <x v="1"/>
    <x v="5"/>
    <s v="Summer"/>
    <x v="29"/>
    <n v="-0.15023877802714641"/>
    <x v="2"/>
    <n v="28398.2634590284"/>
    <x v="92"/>
    <n v="3.1354180302092263"/>
    <n v="3.1354180302092263"/>
    <n v="5.2242404433097676"/>
    <n v="90976.822831820027"/>
    <n v="79"/>
    <n v="90.169637412983036"/>
    <n v="2953419.3997389534"/>
    <s v="OK"/>
  </r>
  <r>
    <x v="93"/>
    <x v="2"/>
    <x v="6"/>
    <s v="Summer"/>
    <x v="10"/>
    <n v="-0.14398431531348344"/>
    <x v="1"/>
    <n v="32120.829732009581"/>
    <x v="93"/>
    <n v="1.2607416051465274"/>
    <n v="1.2607416051465274"/>
    <n v="4.478312278887624"/>
    <m/>
    <n v="89"/>
    <n v="39.454398421138073"/>
    <n v="3372687.1218610061"/>
    <s v="Missing Data"/>
  </r>
  <r>
    <x v="94"/>
    <x v="4"/>
    <x v="7"/>
    <s v="Summer"/>
    <x v="14"/>
    <n v="-0.27532803230040587"/>
    <x v="1"/>
    <n v="32614.177440177496"/>
    <x v="94"/>
    <n v="2.5599326302663283"/>
    <n v="2.5599326302663283"/>
    <n v="5.7102537026902143"/>
    <n v="124005.23499477659"/>
    <n v="95"/>
    <n v="64.045650763309141"/>
    <n v="2739590.9049749095"/>
    <s v="OK"/>
  </r>
  <r>
    <x v="95"/>
    <x v="4"/>
    <x v="8"/>
    <s v="Autumn"/>
    <x v="17"/>
    <n v="-0.21903786787743912"/>
    <x v="3"/>
    <n v="27131.499980307104"/>
    <x v="95"/>
    <n v="2.7773769379581918"/>
    <n v="2.7773769379581918"/>
    <n v="9.0823108031240913"/>
    <n v="90736.77275829202"/>
    <n v="96"/>
    <n v="35.399452050866167"/>
    <n v="2523229.4981685607"/>
    <s v="OK"/>
  </r>
  <r>
    <x v="96"/>
    <x v="4"/>
    <x v="9"/>
    <s v="Autumn"/>
    <x v="30"/>
    <n v="-8.1439688176853695E-2"/>
    <x v="2"/>
    <n v="29878.227038695084"/>
    <x v="96"/>
    <n v="3.8606585958386512"/>
    <n v="3.8606585958386512"/>
    <n v="5.9409779985691653"/>
    <n v="91771.467857679949"/>
    <n v="103"/>
    <n v="28.150301131164525"/>
    <n v="3435996.1094499347"/>
    <s v="OK"/>
  </r>
  <r>
    <x v="97"/>
    <x v="2"/>
    <x v="10"/>
    <s v="Autumn"/>
    <x v="40"/>
    <n v="-0.11896646445883154"/>
    <x v="1"/>
    <n v="40711.351793059323"/>
    <x v="97"/>
    <n v="1.1911796008808879"/>
    <n v="1.1911796008808879"/>
    <n v="5.1237643765931224"/>
    <n v="123078.01468511495"/>
    <n v="82"/>
    <n v="92.889640111356599"/>
    <n v="4437537.3454434657"/>
    <s v="OK"/>
  </r>
  <r>
    <x v="98"/>
    <x v="1"/>
    <x v="0"/>
    <s v="Winter"/>
    <x v="41"/>
    <n v="-0.16274770345447234"/>
    <x v="3"/>
    <n v="38637.715850503555"/>
    <x v="98"/>
    <n v="2.5869878669999999"/>
    <n v="-0.51951215582082533"/>
    <n v="6.6061618023727027"/>
    <n v="62605.166006091589"/>
    <n v="83"/>
    <n v="85.640600338568731"/>
    <n v="3941047.0167513625"/>
    <s v="OK"/>
  </r>
  <r>
    <x v="99"/>
    <x v="2"/>
    <x v="11"/>
    <s v="Winter"/>
    <x v="42"/>
    <n v="4.8283135420485799"/>
    <x v="3"/>
    <n v="32181.618348370161"/>
    <x v="99"/>
    <n v="2.683849544753695"/>
    <n v="2.683849544753695"/>
    <n v="6.0792254646510555"/>
    <n v="92229.584496339812"/>
    <n v="78"/>
    <n v="80.802792144253914"/>
    <n v="28963456.513533145"/>
    <s v="OK"/>
  </r>
  <r>
    <x v="100"/>
    <x v="2"/>
    <x v="1"/>
    <s v="Winter"/>
    <x v="17"/>
    <n v="-0.21903786787743912"/>
    <x v="2"/>
    <n v="30190.017390841"/>
    <x v="100"/>
    <n v="4.3005111815108537"/>
    <n v="4.3005111815108537"/>
    <n v="6.0041133885422093"/>
    <n v="103808.47779850116"/>
    <n v="90"/>
    <n v="23.901305505051234"/>
    <n v="2807671.6173482127"/>
    <s v="OK"/>
  </r>
  <r>
    <x v="101"/>
    <x v="3"/>
    <x v="2"/>
    <s v="Spring"/>
    <x v="27"/>
    <n v="-0.80070290024809565"/>
    <x v="0"/>
    <n v="30600.156633591305"/>
    <x v="101"/>
    <n v="3.7389463529394371"/>
    <n v="3.7389463529394371"/>
    <n v="6.2282207118588051"/>
    <n v="108984.37442570069"/>
    <n v="820"/>
    <n v="87.49830341682059"/>
    <n v="0"/>
    <s v="Missing Data"/>
  </r>
  <r>
    <x v="102"/>
    <x v="3"/>
    <x v="3"/>
    <s v="Spring"/>
    <x v="43"/>
    <n v="-6.8930762749527752E-2"/>
    <x v="1"/>
    <n v="33067.589863652087"/>
    <x v="102"/>
    <n v="2.7096594152746256"/>
    <n v="2.7096594152746256"/>
    <n v="7.9678522777954495"/>
    <n v="898038.66136182344"/>
    <n v="98"/>
    <n v="55.043526072430701"/>
    <n v="3868908.0140472944"/>
    <s v="OK"/>
  </r>
  <r>
    <x v="103"/>
    <x v="1"/>
    <x v="4"/>
    <s v="Spring"/>
    <x v="7"/>
    <n v="-0.18776555430912426"/>
    <x v="1"/>
    <n v="24886.037174007972"/>
    <x v="103"/>
    <n v="2.0083638143679527"/>
    <n v="2.0083638143679527"/>
    <n v="4.1429338776089013"/>
    <n v="100688.82023411682"/>
    <n v="87"/>
    <n v="47.391609863668769"/>
    <n v="2438831.643052781"/>
    <s v="OK"/>
  </r>
  <r>
    <x v="104"/>
    <x v="3"/>
    <x v="5"/>
    <s v="Summer"/>
    <x v="6"/>
    <n v="-0.21278340516377614"/>
    <x v="0"/>
    <n v="28713.117312883274"/>
    <x v="104"/>
    <n v="3.3071225966373103"/>
    <n v="3.3071225966373103"/>
    <n v="6.0683584921737452"/>
    <n v="50233.452931740212"/>
    <n v="108"/>
    <n v="63.718108882030116"/>
    <n v="2699033.0274110278"/>
    <s v="OK"/>
  </r>
  <r>
    <x v="105"/>
    <x v="4"/>
    <x v="6"/>
    <s v="Summer"/>
    <x v="44"/>
    <n v="-0.10020307631784262"/>
    <x v="2"/>
    <n v="21657.079630612054"/>
    <x v="105"/>
    <n v="1.8248217250256185"/>
    <m/>
    <n v="4.3883426440221545"/>
    <n v="86835.031753323041"/>
    <n v="98"/>
    <n v="27.308259417884464"/>
    <n v="2425592.9186285501"/>
    <s v="Missing Data"/>
  </r>
  <r>
    <x v="106"/>
    <x v="3"/>
    <x v="7"/>
    <s v="Summer"/>
    <x v="38"/>
    <n v="-0.244055718732091"/>
    <x v="2"/>
    <n v="31996.115613026395"/>
    <x v="106"/>
    <n v="2.9763577693562193"/>
    <n v="2.9763577693562193"/>
    <n v="6.1666151756106977"/>
    <n v="109070.17425108935"/>
    <n v="87"/>
    <n v="80.53172394819191"/>
    <n v="2847654.289559349"/>
    <s v="OK"/>
  </r>
  <r>
    <x v="107"/>
    <x v="4"/>
    <x v="8"/>
    <s v="Autumn"/>
    <x v="45"/>
    <n v="-5.6421837322201809E-2"/>
    <x v="0"/>
    <n v="33235.979698513707"/>
    <x v="107"/>
    <n v="3.0054701591666269"/>
    <n v="3.0054701591666269"/>
    <n v="4.3975761862166873"/>
    <n v="80354.119314906406"/>
    <n v="95"/>
    <n v="66.594806151063665"/>
    <n v="3955081.5841231314"/>
    <s v="OK"/>
  </r>
  <r>
    <x v="108"/>
    <x v="1"/>
    <x v="9"/>
    <s v="Autumn"/>
    <x v="41"/>
    <n v="-0.16274770345447234"/>
    <x v="0"/>
    <n v="27584.067688503128"/>
    <x v="108"/>
    <n v="3.56020990749888"/>
    <n v="3.56020990749888"/>
    <n v="4.9991598236738986"/>
    <m/>
    <n v="92"/>
    <n v="34.927207749853402"/>
    <n v="2813574.9042273192"/>
    <s v="Missing Data"/>
  </r>
  <r>
    <x v="109"/>
    <x v="2"/>
    <x v="10"/>
    <s v="Autumn"/>
    <x v="18"/>
    <n v="-0.25656464415941693"/>
    <x v="1"/>
    <n v="37869.933816450168"/>
    <x v="109"/>
    <n v="2.6947361947187747"/>
    <m/>
    <n v="5.1458921029145124"/>
    <n v="108937.45001605396"/>
    <n v="90"/>
    <n v="35.058575981523646"/>
    <n v="3294684.2420311645"/>
    <s v="Missing Data"/>
  </r>
  <r>
    <x v="110"/>
    <x v="2"/>
    <x v="0"/>
    <s v="Winter"/>
    <x v="21"/>
    <n v="-9.3948613604179651E-2"/>
    <x v="1"/>
    <n v="23871.171684988294"/>
    <x v="110"/>
    <n v="2.892415967178767"/>
    <n v="2.892415967178767"/>
    <n v="6.6709800632136513"/>
    <n v="93149.015982844707"/>
    <n v="88"/>
    <n v="34.739892125813938"/>
    <n v="2697442.400403677"/>
    <s v="OK"/>
  </r>
  <r>
    <x v="111"/>
    <x v="3"/>
    <x v="11"/>
    <s v="Winter"/>
    <x v="20"/>
    <n v="-0.13772985259982046"/>
    <x v="0"/>
    <n v="22678.125598950901"/>
    <x v="111"/>
    <n v="1.9910363742925012"/>
    <n v="1.9910363742925012"/>
    <n v="6.6021453327308963"/>
    <n v="103409.27541993142"/>
    <m/>
    <n v="24.560191004154717"/>
    <n v="2403881.3134887954"/>
    <s v="Missing Data"/>
  </r>
  <r>
    <x v="112"/>
    <x v="4"/>
    <x v="1"/>
    <s v="Winter"/>
    <x v="0"/>
    <n v="-0.20027447973645018"/>
    <x v="1"/>
    <m/>
    <x v="112"/>
    <n v="2.4744256878080058"/>
    <n v="2.4744256878080058"/>
    <m/>
    <n v="80745.348694307759"/>
    <n v="87"/>
    <n v="67.023875949734787"/>
    <n v="0"/>
    <s v="Missing Data"/>
  </r>
  <r>
    <x v="113"/>
    <x v="0"/>
    <x v="2"/>
    <s v="Spring"/>
    <x v="32"/>
    <n v="-0.11271200174516857"/>
    <x v="3"/>
    <n v="35235.49151306077"/>
    <x v="113"/>
    <n v="0.73092409511088174"/>
    <n v="0.73092409511088174"/>
    <n v="5.5659209331998181"/>
    <n v="95867.774406079072"/>
    <n v="81"/>
    <n v="87.227854207080654"/>
    <n v="3875904.0664366847"/>
    <s v="OK"/>
  </r>
  <r>
    <x v="114"/>
    <x v="0"/>
    <x v="3"/>
    <s v="Spring"/>
    <x v="34"/>
    <n v="-0.1752566288817983"/>
    <x v="1"/>
    <n v="38419.638457289344"/>
    <x v="114"/>
    <n v="1.8052868689109418"/>
    <n v="1.8052868689109418"/>
    <n v="4.6485041743009932"/>
    <n v="1122043.2339178445"/>
    <n v="105"/>
    <n v="21.399857118991086"/>
    <n v="3841963.8457289343"/>
    <s v="OK"/>
  </r>
  <r>
    <x v="115"/>
    <x v="0"/>
    <x v="4"/>
    <s v="Spring"/>
    <x v="27"/>
    <n v="-0.80070290024809565"/>
    <x v="3"/>
    <n v="27705.578685655299"/>
    <x v="115"/>
    <n v="2.0907175618868958"/>
    <n v="2.0907175618868958"/>
    <n v="3.9897941071895984"/>
    <n v="103139.45921936868"/>
    <n v="101"/>
    <n v="23.920371597701884"/>
    <n v="0"/>
    <s v="Missing Data"/>
  </r>
  <r>
    <x v="116"/>
    <x v="2"/>
    <x v="5"/>
    <s v="Summer"/>
    <x v="20"/>
    <n v="-0.13772985259982046"/>
    <x v="2"/>
    <n v="35393.404167156477"/>
    <x v="116"/>
    <n v="1.9759116020654075"/>
    <n v="1.9759116020654075"/>
    <n v="5.2395795394907552"/>
    <n v="88269.374608721293"/>
    <n v="113"/>
    <n v="65.82162213495566"/>
    <n v="3751700.8417185866"/>
    <s v="OK"/>
  </r>
  <r>
    <x v="117"/>
    <x v="2"/>
    <x v="6"/>
    <s v="Summer"/>
    <x v="23"/>
    <n v="-8.7694150890516673E-2"/>
    <x v="1"/>
    <n v="29807.457652496465"/>
    <x v="117"/>
    <n v="2.652354872033722"/>
    <n v="2.652354872033722"/>
    <n v="5.1298206538530167"/>
    <n v="104484.32808581585"/>
    <n v="85"/>
    <n v="85.559654830884185"/>
    <n v="3398050.1723845969"/>
    <s v="OK"/>
  </r>
  <r>
    <x v="118"/>
    <x v="4"/>
    <x v="7"/>
    <s v="Summer"/>
    <x v="0"/>
    <n v="-0.20027447973645018"/>
    <x v="3"/>
    <n v="29136.863500295902"/>
    <x v="118"/>
    <n v="1.5600968988911355"/>
    <m/>
    <n v="8.4120597836146267"/>
    <n v="114292.19581273236"/>
    <n v="90"/>
    <n v="46.139111245490689"/>
    <n v="2797138.8960284065"/>
    <s v="Missing Data"/>
  </r>
  <r>
    <x v="119"/>
    <x v="3"/>
    <x v="8"/>
    <s v="Autumn"/>
    <x v="41"/>
    <n v="-0.16274770345447234"/>
    <x v="3"/>
    <n v="34418.299687433362"/>
    <x v="119"/>
    <n v="3.6210306673244714"/>
    <n v="3.6210306673244714"/>
    <n v="6.0195517904328355"/>
    <n v="59001.174428450438"/>
    <n v="83"/>
    <n v="47.969151904617775"/>
    <n v="3510666.568118203"/>
    <s v="OK"/>
  </r>
  <r>
    <x v="120"/>
    <x v="0"/>
    <x v="9"/>
    <s v="Autumn"/>
    <x v="27"/>
    <n v="-0.80070290024809565"/>
    <x v="1"/>
    <n v="33261.614392067095"/>
    <x v="120"/>
    <n v="2.5002070649181971"/>
    <n v="2.5002070649181971"/>
    <n v="3.8468589990949154"/>
    <n v="123181.48129911795"/>
    <n v="99"/>
    <n v="67.70771979974208"/>
    <n v="0"/>
    <s v="Missing Data"/>
  </r>
  <r>
    <x v="121"/>
    <x v="4"/>
    <x v="10"/>
    <s v="Autumn"/>
    <x v="17"/>
    <n v="-0.21903786787743912"/>
    <x v="3"/>
    <n v="22118.039215078752"/>
    <x v="121"/>
    <n v="2.4906996788613855"/>
    <n v="2.4906996788613855"/>
    <n v="4.8222711949948689"/>
    <n v="93274.905226378556"/>
    <n v="84"/>
    <n v="41.937031129931761"/>
    <n v="2056977.647002324"/>
    <s v="OK"/>
  </r>
  <r>
    <x v="122"/>
    <x v="4"/>
    <x v="0"/>
    <s v="Winter"/>
    <x v="46"/>
    <n v="-0.36914497300535049"/>
    <x v="1"/>
    <n v="37382.701748629479"/>
    <x v="122"/>
    <n v="2.172105283487082"/>
    <n v="2.172105283487082"/>
    <n v="6.7256599545152778"/>
    <n v="108509.79866480461"/>
    <m/>
    <n v="22.128669286214731"/>
    <n v="2579406.420655434"/>
    <s v="Missing Data"/>
  </r>
  <r>
    <x v="123"/>
    <x v="3"/>
    <x v="11"/>
    <s v="Winter"/>
    <x v="4"/>
    <n v="-0.10645753903150559"/>
    <x v="3"/>
    <n v="36900.456770737255"/>
    <x v="123"/>
    <n v="2.6551906838589789"/>
    <n v="2.6551906838589789"/>
    <n v="8.0061313274439101"/>
    <n v="123944.93847290456"/>
    <n v="78"/>
    <n v="78.818281448127692"/>
    <n v="4095950.7015518355"/>
    <s v="OK"/>
  </r>
  <r>
    <x v="124"/>
    <x v="4"/>
    <x v="1"/>
    <s v="Winter"/>
    <x v="18"/>
    <n v="-0.25656464415941693"/>
    <x v="0"/>
    <m/>
    <x v="124"/>
    <n v="3.3250982646676346"/>
    <n v="3.3250982646676346"/>
    <n v="3.5968200253144502"/>
    <n v="72566.526055390685"/>
    <n v="110"/>
    <m/>
    <n v="0"/>
    <s v="Missing Data"/>
  </r>
  <r>
    <x v="125"/>
    <x v="3"/>
    <x v="2"/>
    <s v="Spring"/>
    <x v="24"/>
    <n v="5.9541168305079148"/>
    <x v="2"/>
    <n v="31979.017667187047"/>
    <x v="125"/>
    <n v="1.6328697842890998"/>
    <n v="1.6328697842890998"/>
    <n v="3.2440907378331461"/>
    <n v="85811.17995144907"/>
    <n v="85"/>
    <n v="66.460479924452727"/>
    <n v="34537339.08056201"/>
    <s v="OK"/>
  </r>
  <r>
    <x v="126"/>
    <x v="1"/>
    <x v="3"/>
    <s v="Spring"/>
    <x v="29"/>
    <n v="-0.15023877802714641"/>
    <x v="3"/>
    <n v="32470.150931413693"/>
    <x v="81"/>
    <n v="1.8418835109247433"/>
    <n v="1.8418835109247433"/>
    <n v="7.7451582104461387"/>
    <n v="942290.26082485903"/>
    <n v="94"/>
    <n v="79.334730319345852"/>
    <n v="3376895.6968670241"/>
    <s v="Missing Data"/>
  </r>
  <r>
    <x v="127"/>
    <x v="3"/>
    <x v="4"/>
    <s v="Spring"/>
    <x v="36"/>
    <n v="-0.31285480858238368"/>
    <x v="3"/>
    <n v="313033.68829119537"/>
    <x v="126"/>
    <n v="2.1962739712233352"/>
    <n v="2.1962739712233352"/>
    <n v="5.9675370128450851"/>
    <n v="84324.92957751143"/>
    <n v="77"/>
    <n v="74.018467004963"/>
    <n v="24416627.686713237"/>
    <s v="OK"/>
  </r>
  <r>
    <x v="128"/>
    <x v="0"/>
    <x v="5"/>
    <s v="Summer"/>
    <x v="13"/>
    <n v="-0.16900216616813532"/>
    <x v="2"/>
    <n v="27248.474230772899"/>
    <x v="127"/>
    <n v="1.1541290765267851"/>
    <n v="1.1541290765267851"/>
    <n v="4.4580487217483604"/>
    <n v="134698.73151673615"/>
    <n v="99"/>
    <n v="36.470559054265692"/>
    <n v="2752095.8973080628"/>
    <s v="OK"/>
  </r>
  <r>
    <x v="129"/>
    <x v="0"/>
    <x v="6"/>
    <s v="Summer"/>
    <x v="34"/>
    <n v="-0.1752566288817983"/>
    <x v="0"/>
    <n v="26641.883160309742"/>
    <x v="128"/>
    <n v="1.6807421402785021"/>
    <n v="1.6807421402785021"/>
    <n v="6.1415549033469219"/>
    <m/>
    <n v="85"/>
    <n v="48.198483755468089"/>
    <n v="2664188.316030974"/>
    <s v="Missing Data"/>
  </r>
  <r>
    <x v="130"/>
    <x v="3"/>
    <x v="7"/>
    <s v="Summer"/>
    <x v="40"/>
    <n v="-0.11896646445883154"/>
    <x v="3"/>
    <n v="29872.229645042775"/>
    <x v="129"/>
    <n v="2.0237791264553411"/>
    <n v="2.0237791264553411"/>
    <n v="2.3371027131797466"/>
    <n v="88889.064410262668"/>
    <n v="97"/>
    <n v="30.08881133429"/>
    <n v="3256073.0313096624"/>
    <s v="OK"/>
  </r>
  <r>
    <x v="131"/>
    <x v="1"/>
    <x v="8"/>
    <s v="Autumn"/>
    <x v="7"/>
    <n v="-0.18776555430912426"/>
    <x v="2"/>
    <n v="35863.645096296823"/>
    <x v="130"/>
    <n v="3.3743891807127273"/>
    <n v="3.3743891807127273"/>
    <n v="5.504050607916593"/>
    <n v="104087.78063205954"/>
    <m/>
    <n v="30.388561073430481"/>
    <n v="3514637.2194370888"/>
    <s v="Missing Data"/>
  </r>
  <r>
    <x v="132"/>
    <x v="1"/>
    <x v="9"/>
    <s v="Autumn"/>
    <x v="4"/>
    <n v="-0.10645753903150559"/>
    <x v="3"/>
    <n v="32718.000772972162"/>
    <x v="81"/>
    <n v="2.7625613290019251"/>
    <n v="2.7625613290019251"/>
    <n v="5.893385407411702"/>
    <n v="75957.009478478227"/>
    <n v="102"/>
    <n v="74.095659708523129"/>
    <n v="3631698.0857999101"/>
    <s v="Missing Data"/>
  </r>
  <r>
    <x v="133"/>
    <x v="0"/>
    <x v="10"/>
    <s v="Autumn"/>
    <x v="26"/>
    <n v="-0.19402001702278721"/>
    <x v="1"/>
    <n v="28146.928339569469"/>
    <x v="131"/>
    <n v="2.6935899113675443"/>
    <n v="2.6935899113675443"/>
    <n v="6.6091241674453958"/>
    <m/>
    <n v="96"/>
    <n v="88.688008558599861"/>
    <n v="2730252.0489382385"/>
    <s v="Missing Data"/>
  </r>
  <r>
    <x v="134"/>
    <x v="1"/>
    <x v="0"/>
    <s v="Winter"/>
    <x v="2"/>
    <n v="-0.25031018144575395"/>
    <x v="0"/>
    <n v="33858.493553241722"/>
    <x v="132"/>
    <n v="3.3508979621679722"/>
    <n v="3.3508979621679722"/>
    <n v="4.2833248572489548"/>
    <n v="106349.06522500351"/>
    <n v="95"/>
    <n v="97.018606708891127"/>
    <n v="2979547.4326852714"/>
    <s v="OK"/>
  </r>
  <r>
    <x v="135"/>
    <x v="4"/>
    <x v="11"/>
    <s v="Winter"/>
    <x v="13"/>
    <n v="-0.16900216616813532"/>
    <x v="1"/>
    <n v="15757.286896849622"/>
    <x v="133"/>
    <n v="2.3626282116006032"/>
    <n v="2.3626282116006032"/>
    <n v="5.6028245936840309"/>
    <n v="93342.79191234977"/>
    <n v="103"/>
    <n v="70.267769403955555"/>
    <n v="1591485.9765818119"/>
    <s v="OK"/>
  </r>
  <r>
    <x v="136"/>
    <x v="2"/>
    <x v="1"/>
    <s v="Winter"/>
    <x v="10"/>
    <n v="-0.14398431531348344"/>
    <x v="3"/>
    <n v="35743.828501860517"/>
    <x v="134"/>
    <n v="2.8904648499288896"/>
    <n v="2.8904648499288896"/>
    <n v="4.3894904487284956"/>
    <n v="98132.262822001037"/>
    <n v="89"/>
    <n v="34.728105868876554"/>
    <n v="3753101.9926953544"/>
    <s v="OK"/>
  </r>
  <r>
    <x v="137"/>
    <x v="4"/>
    <x v="2"/>
    <s v="Spring"/>
    <x v="41"/>
    <n v="-0.16274770345447234"/>
    <x v="3"/>
    <n v="21301.4311061095"/>
    <x v="135"/>
    <n v="2.3967782470675036"/>
    <n v="2.3967782470675036"/>
    <n v="5.8064605068091808"/>
    <n v="89413.357751032585"/>
    <n v="87"/>
    <n v="28.452027635914455"/>
    <n v="2172745.9728231691"/>
    <s v="OK"/>
  </r>
  <r>
    <x v="138"/>
    <x v="0"/>
    <x v="3"/>
    <s v="Spring"/>
    <x v="7"/>
    <n v="-0.18776555430912426"/>
    <x v="0"/>
    <n v="28187.795292984338"/>
    <x v="136"/>
    <n v="2.7653623493996284"/>
    <n v="2.7653623493996284"/>
    <n v="4.4255844131643709"/>
    <n v="69710.593816384659"/>
    <n v="101"/>
    <n v="85.028077722940623"/>
    <n v="2762403.9387124651"/>
    <s v="OK"/>
  </r>
  <r>
    <x v="139"/>
    <x v="1"/>
    <x v="4"/>
    <s v="Spring"/>
    <x v="0"/>
    <n v="-0.20027447973645018"/>
    <x v="1"/>
    <n v="24401.650526869282"/>
    <x v="137"/>
    <n v="1.9172413423884178"/>
    <n v="1.9172413423884178"/>
    <m/>
    <n v="106431.86422678478"/>
    <n v="80"/>
    <n v="66.300518108799935"/>
    <n v="2342558.4505794509"/>
    <s v="Missing Data"/>
  </r>
  <r>
    <x v="140"/>
    <x v="3"/>
    <x v="5"/>
    <s v="Summer"/>
    <x v="15"/>
    <n v="-0.32536373400970964"/>
    <x v="3"/>
    <n v="23526.59262139547"/>
    <x v="138"/>
    <n v="2.5869878669999999"/>
    <n v="6.1182841723570913E-2"/>
    <n v="4.3050215262517249"/>
    <n v="135098.66143294482"/>
    <n v="90"/>
    <n v="69.462801681097588"/>
    <n v="1788021.0392260556"/>
    <s v="OK"/>
  </r>
  <r>
    <x v="141"/>
    <x v="2"/>
    <x v="6"/>
    <s v="Summer"/>
    <x v="44"/>
    <n v="-0.10020307631784262"/>
    <x v="0"/>
    <n v="35804.133936892598"/>
    <x v="81"/>
    <n v="2.3657208378136958"/>
    <n v="2.3657208378136958"/>
    <n v="6.2813634901883884"/>
    <n v="100368.03261566877"/>
    <n v="89"/>
    <n v="82.516967100376746"/>
    <n v="4010063.0009319708"/>
    <s v="Missing Data"/>
  </r>
  <r>
    <x v="142"/>
    <x v="3"/>
    <x v="6"/>
    <s v="Summer"/>
    <x v="8"/>
    <n v="-0.18151109159546128"/>
    <x v="3"/>
    <n v="27661.493993440545"/>
    <x v="139"/>
    <n v="3.9227481360999401"/>
    <n v="3.9227481360999401"/>
    <n v="6.5301413399879982"/>
    <m/>
    <n v="100"/>
    <n v="76.262178218596119"/>
    <n v="2738487.9053506139"/>
    <s v="Missing Data"/>
  </r>
  <r>
    <x v="143"/>
    <x v="0"/>
    <x v="7"/>
    <s v="Summer"/>
    <x v="34"/>
    <n v="-0.1752566288817983"/>
    <x v="3"/>
    <n v="31732.519408653578"/>
    <x v="140"/>
    <n v="3.4262154022415925"/>
    <n v="3.4262154022415925"/>
    <n v="5.2184553160511031"/>
    <n v="113854.45510233719"/>
    <n v="76"/>
    <n v="86.756660228487732"/>
    <n v="3173251.9408653579"/>
    <s v="OK"/>
  </r>
  <r>
    <x v="144"/>
    <x v="1"/>
    <x v="8"/>
    <s v="Autumn"/>
    <x v="38"/>
    <n v="-0.244055718732091"/>
    <x v="0"/>
    <n v="29765.397105604079"/>
    <x v="141"/>
    <n v="3.4653974845911706"/>
    <n v="3.4653974845911706"/>
    <n v="5.5458855939520344"/>
    <n v="74613.390069066023"/>
    <n v="95"/>
    <n v="24.497112436790278"/>
    <n v="2649120.3423987632"/>
    <s v="OK"/>
  </r>
  <r>
    <x v="145"/>
    <x v="3"/>
    <x v="9"/>
    <s v="Autumn"/>
    <x v="27"/>
    <n v="-0.80070290024809565"/>
    <x v="0"/>
    <n v="32385.204136115608"/>
    <x v="142"/>
    <n v="3.7361307218062176"/>
    <n v="3.7361307218062176"/>
    <n v="3.7616903024397468"/>
    <n v="134050.2931625921"/>
    <n v="86"/>
    <n v="79.801650939720389"/>
    <n v="0"/>
    <s v="Missing Data"/>
  </r>
  <r>
    <x v="146"/>
    <x v="3"/>
    <x v="10"/>
    <s v="Autumn"/>
    <x v="29"/>
    <n v="-0.15023877802714641"/>
    <x v="1"/>
    <n v="30384.109455301277"/>
    <x v="143"/>
    <n v="2.5886575909614375"/>
    <n v="2.5886575909614375"/>
    <n v="5.1403880223918552"/>
    <n v="104046.57592845603"/>
    <n v="96"/>
    <n v="88.068220585767634"/>
    <n v="3159947.383351333"/>
    <s v="OK"/>
  </r>
  <r>
    <x v="147"/>
    <x v="2"/>
    <x v="0"/>
    <s v="Winter"/>
    <x v="0"/>
    <n v="-0.20027447973645018"/>
    <x v="1"/>
    <n v="23585.038879057152"/>
    <x v="144"/>
    <n v="2.6973157074055956"/>
    <n v="2.6973157074055956"/>
    <n v="5.4397544595499063"/>
    <n v="132637.13798178217"/>
    <n v="87"/>
    <n v="42.890803396665149"/>
    <n v="2264163.7323894864"/>
    <s v="OK"/>
  </r>
  <r>
    <x v="148"/>
    <x v="2"/>
    <x v="11"/>
    <s v="Winter"/>
    <x v="34"/>
    <n v="-0.1752566288817983"/>
    <x v="3"/>
    <n v="34981.334097235696"/>
    <x v="145"/>
    <n v="1.8823481045656498"/>
    <n v="1.8823481045656498"/>
    <n v="8.6449517092359702"/>
    <n v="85339.340089520207"/>
    <n v="95"/>
    <n v="71.235781919460237"/>
    <n v="3498133.4097235696"/>
    <s v="OK"/>
  </r>
  <r>
    <x v="149"/>
    <x v="1"/>
    <x v="1"/>
    <s v="Winter"/>
    <x v="10"/>
    <n v="-0.14398431531348344"/>
    <x v="2"/>
    <n v="27531.217084193438"/>
    <x v="146"/>
    <n v="2.1839271439729502"/>
    <n v="2.1839271439729502"/>
    <n v="4.1656395690710042"/>
    <n v="136361.2384511565"/>
    <n v="83"/>
    <n v="45.132965106957769"/>
    <n v="2890777.793840311"/>
    <s v="OK"/>
  </r>
  <r>
    <x v="150"/>
    <x v="2"/>
    <x v="2"/>
    <s v="Spring"/>
    <x v="47"/>
    <n v="-0.2940914204413948"/>
    <x v="2"/>
    <n v="22217.090506701243"/>
    <x v="147"/>
    <n v="3.1157711497711418"/>
    <n v="3.1157711497711418"/>
    <n v="7.2570126865029252"/>
    <n v="115503.10988069566"/>
    <n v="109"/>
    <n v="96.637685318596326"/>
    <n v="1799584.3310428006"/>
    <s v="OK"/>
  </r>
  <r>
    <x v="151"/>
    <x v="3"/>
    <x v="3"/>
    <s v="Spring"/>
    <x v="37"/>
    <n v="-5.0167374608538831E-2"/>
    <x v="0"/>
    <n v="27859.424195170439"/>
    <x v="148"/>
    <n v="3.7038844371688162"/>
    <n v="3.7038844371688162"/>
    <n v="6.6962305281589698"/>
    <n v="111060.80171704717"/>
    <n v="98"/>
    <n v="22.673885794840302"/>
    <n v="3343130.9034204525"/>
    <s v="OK"/>
  </r>
  <r>
    <x v="152"/>
    <x v="3"/>
    <x v="4"/>
    <s v="Spring"/>
    <x v="26"/>
    <n v="-0.19402001702278721"/>
    <x v="2"/>
    <n v="37503.798953171558"/>
    <x v="149"/>
    <n v="2.5869878669999999"/>
    <n v="23.605537243190007"/>
    <n v="5.8367636853881635"/>
    <n v="104680.48908706296"/>
    <n v="78"/>
    <n v="66.383427506636394"/>
    <n v="3637868.4984576409"/>
    <s v="OK"/>
  </r>
  <r>
    <x v="153"/>
    <x v="0"/>
    <x v="5"/>
    <s v="Summer"/>
    <x v="8"/>
    <n v="-0.18151109159546128"/>
    <x v="2"/>
    <n v="34251.108710567467"/>
    <x v="150"/>
    <n v="2.0498107351485886"/>
    <n v="2.0498107351485886"/>
    <n v="7.6103445810341599"/>
    <n v="95029.427638511013"/>
    <n v="91"/>
    <n v="33.320283763961207"/>
    <n v="3390859.7623461792"/>
    <s v="OK"/>
  </r>
  <r>
    <x v="154"/>
    <x v="3"/>
    <x v="6"/>
    <s v="Summer"/>
    <x v="37"/>
    <n v="-5.0167374608538831E-2"/>
    <x v="0"/>
    <n v="28256.739327960706"/>
    <x v="151"/>
    <n v="2.5005279588565972"/>
    <n v="2.5005279588565972"/>
    <n v="5.9465265671282355"/>
    <n v="124010.63316947746"/>
    <n v="86"/>
    <m/>
    <n v="3390808.7193552847"/>
    <s v="Missing Data"/>
  </r>
  <r>
    <x v="155"/>
    <x v="1"/>
    <x v="7"/>
    <s v="Summer"/>
    <x v="5"/>
    <n v="-0.23780125601842803"/>
    <x v="2"/>
    <n v="28253.711478407855"/>
    <x v="152"/>
    <n v="3.1012067489291146"/>
    <n v="3.1012067489291146"/>
    <n v="5.9669910348015147"/>
    <n v="102807.19739696094"/>
    <n v="86"/>
    <n v="34.071222673492969"/>
    <n v="2542834.0330567071"/>
    <s v="OK"/>
  </r>
  <r>
    <x v="156"/>
    <x v="4"/>
    <x v="8"/>
    <s v="Autumn"/>
    <x v="39"/>
    <n v="-0.26907356958674289"/>
    <x v="2"/>
    <n v="28391.824743913086"/>
    <x v="153"/>
    <n v="1.0561451838664582"/>
    <n v="1.0561451838664582"/>
    <n v="5.4362552163789459"/>
    <n v="60658.605928256955"/>
    <n v="88"/>
    <n v="38.830660951868609"/>
    <n v="2413305.1032326124"/>
    <s v="OK"/>
  </r>
  <r>
    <x v="157"/>
    <x v="0"/>
    <x v="9"/>
    <s v="Autumn"/>
    <x v="14"/>
    <n v="-0.27532803230040587"/>
    <x v="0"/>
    <n v="40383.739917804203"/>
    <x v="154"/>
    <n v="2.5869878669999999"/>
    <n v="0.20381904686276187"/>
    <n v="6.9682826589023534"/>
    <n v="77656.270765859954"/>
    <n v="90"/>
    <n v="59.549664883660647"/>
    <n v="3392234.1530955532"/>
    <s v="OK"/>
  </r>
  <r>
    <x v="158"/>
    <x v="0"/>
    <x v="10"/>
    <s v="Autumn"/>
    <x v="27"/>
    <n v="-0.80070290024809565"/>
    <x v="2"/>
    <n v="31909.677261157765"/>
    <x v="155"/>
    <n v="1.9494631505084166"/>
    <n v="1.9494631505084166"/>
    <n v="6.8157630805730607"/>
    <n v="96283.08495614506"/>
    <n v="83"/>
    <n v="93.186795999750245"/>
    <n v="0"/>
    <s v="Missing Data"/>
  </r>
  <r>
    <x v="159"/>
    <x v="1"/>
    <x v="0"/>
    <s v="Winter"/>
    <x v="44"/>
    <n v="-0.10020307631784262"/>
    <x v="1"/>
    <n v="32150.20823595535"/>
    <x v="156"/>
    <n v="1.2792875740858414"/>
    <n v="1.2792875740858414"/>
    <n v="4.7491872550045446"/>
    <n v="106199.9796633111"/>
    <m/>
    <n v="36.937149771837667"/>
    <n v="3600823.322426999"/>
    <s v="Missing Data"/>
  </r>
  <r>
    <x v="160"/>
    <x v="1"/>
    <x v="11"/>
    <s v="Winter"/>
    <x v="32"/>
    <n v="-0.11271200174516857"/>
    <x v="3"/>
    <n v="35151.417270159211"/>
    <x v="157"/>
    <n v="1.991859802352689"/>
    <n v="1.991859802352689"/>
    <n v="3.9169033664814794"/>
    <n v="98868.230222002079"/>
    <n v="88"/>
    <n v="31.539201689448284"/>
    <n v="3866655.899717513"/>
    <s v="OK"/>
  </r>
  <r>
    <x v="161"/>
    <x v="2"/>
    <x v="1"/>
    <s v="Winter"/>
    <x v="11"/>
    <n v="-0.26281910687307991"/>
    <x v="1"/>
    <n v="31193.945795132568"/>
    <x v="158"/>
    <n v="2.3522196811825284"/>
    <n v="2.3522196811825284"/>
    <n v="5.2564232351252116"/>
    <n v="124379.41579587327"/>
    <n v="99"/>
    <n v="80.718146548322451"/>
    <n v="2682679.3383814008"/>
    <s v="OK"/>
  </r>
  <r>
    <x v="162"/>
    <x v="0"/>
    <x v="2"/>
    <s v="Spring"/>
    <x v="29"/>
    <n v="-0.15023877802714641"/>
    <x v="3"/>
    <n v="287047.89270896482"/>
    <x v="159"/>
    <n v="2.0467515909769864"/>
    <n v="2.0467515909769864"/>
    <n v="4.5399537227228244"/>
    <n v="60977.9627192275"/>
    <n v="100"/>
    <n v="60.04956258671448"/>
    <n v="29852980.841732342"/>
    <s v="OK"/>
  </r>
  <r>
    <x v="163"/>
    <x v="2"/>
    <x v="3"/>
    <s v="Spring"/>
    <x v="1"/>
    <n v="-0.13147538988615748"/>
    <x v="3"/>
    <n v="29018.250754575107"/>
    <x v="160"/>
    <n v="3.9524675344707454"/>
    <n v="3.9524675344707454"/>
    <n v="5.4237705104615737"/>
    <n v="102871.7587301032"/>
    <n v="88"/>
    <n v="92.942808990541707"/>
    <n v="3104952.8307395363"/>
    <s v="OK"/>
  </r>
  <r>
    <x v="164"/>
    <x v="3"/>
    <x v="4"/>
    <s v="Spring"/>
    <x v="17"/>
    <n v="-0.21903786787743912"/>
    <x v="2"/>
    <n v="29641.993702929682"/>
    <x v="161"/>
    <n v="2.8267447646023198"/>
    <n v="2.8267447646023198"/>
    <n v="6.9849257616209668"/>
    <n v="63640.415492256907"/>
    <n v="83"/>
    <n v="31.729164572787383"/>
    <n v="2756705.4143724605"/>
    <s v="OK"/>
  </r>
  <r>
    <x v="165"/>
    <x v="0"/>
    <x v="5"/>
    <s v="Summer"/>
    <x v="19"/>
    <n v="-0.1252209271724945"/>
    <x v="1"/>
    <n v="29813.888817450792"/>
    <x v="162"/>
    <n v="2.8004743596108286"/>
    <n v="2.8004743596108286"/>
    <n v="4.9512380138958516"/>
    <n v="115194.24590968336"/>
    <n v="90"/>
    <n v="71.674231441843148"/>
    <n v="3219899.9922846854"/>
    <s v="OK"/>
  </r>
  <r>
    <x v="166"/>
    <x v="0"/>
    <x v="6"/>
    <s v="Summer"/>
    <x v="0"/>
    <n v="-0.20027447973645018"/>
    <x v="2"/>
    <n v="33638.147718184897"/>
    <x v="163"/>
    <n v="3.122207144043402"/>
    <n v="3.122207144043402"/>
    <n v="5.4486119424261101"/>
    <n v="98110.825711159938"/>
    <n v="88"/>
    <n v="38.630331692145205"/>
    <n v="3229262.1809457503"/>
    <s v="OK"/>
  </r>
  <r>
    <x v="167"/>
    <x v="4"/>
    <x v="7"/>
    <s v="Summer"/>
    <x v="22"/>
    <n v="-0.20652894245011316"/>
    <x v="3"/>
    <n v="30259.729429036499"/>
    <x v="164"/>
    <n v="1.3611668822192309"/>
    <n v="1.3611668822192309"/>
    <n v="5.5696272817700745"/>
    <m/>
    <n v="86"/>
    <n v="32.540834292131144"/>
    <n v="2874674.2957584672"/>
    <s v="Missing Data"/>
  </r>
  <r>
    <x v="168"/>
    <x v="0"/>
    <x v="8"/>
    <s v="Autumn"/>
    <x v="44"/>
    <n v="-0.10020307631784262"/>
    <x v="3"/>
    <n v="33663.200386077893"/>
    <x v="165"/>
    <n v="3.5391117874202687"/>
    <n v="3.5391117874202687"/>
    <n v="6.5181170586463413"/>
    <n v="82722.340788204674"/>
    <n v="81"/>
    <n v="74.67435321258165"/>
    <n v="3770278.443240724"/>
    <s v="OK"/>
  </r>
  <r>
    <x v="169"/>
    <x v="3"/>
    <x v="9"/>
    <s v="Autumn"/>
    <x v="19"/>
    <n v="-0.1252209271724945"/>
    <x v="0"/>
    <n v="29596.417099457089"/>
    <x v="166"/>
    <n v="2.7653623493996284"/>
    <m/>
    <n v="2.8037327992184737"/>
    <n v="125589.29863315502"/>
    <n v="82"/>
    <n v="67.49476959269866"/>
    <n v="3196413.0467413655"/>
    <s v="Missing Data"/>
  </r>
  <r>
    <x v="170"/>
    <x v="2"/>
    <x v="10"/>
    <s v="Autumn"/>
    <x v="39"/>
    <n v="-0.26907356958674289"/>
    <x v="3"/>
    <n v="30393.175951580452"/>
    <x v="167"/>
    <n v="3.1704806172412123"/>
    <n v="3.1704806172412123"/>
    <n v="4.771959646281644"/>
    <n v="120834.49328117703"/>
    <n v="106"/>
    <n v="80.3861966689865"/>
    <n v="2583419.9558843384"/>
    <s v="OK"/>
  </r>
  <r>
    <x v="171"/>
    <x v="2"/>
    <x v="0"/>
    <s v="Winter"/>
    <x v="27"/>
    <n v="-0.80070290024809565"/>
    <x v="1"/>
    <n v="20008.996577339462"/>
    <x v="168"/>
    <n v="1.4281427669598445"/>
    <n v="1.4281427669598445"/>
    <n v="5.7535404307353675"/>
    <n v="111670.88606023775"/>
    <n v="97"/>
    <n v="44.757006115694587"/>
    <n v="0"/>
    <s v="Missing Data"/>
  </r>
  <r>
    <x v="172"/>
    <x v="4"/>
    <x v="11"/>
    <s v="Winter"/>
    <x v="22"/>
    <n v="-0.20652894245011316"/>
    <x v="3"/>
    <n v="34581.638373512411"/>
    <x v="169"/>
    <n v="0.94624123398393567"/>
    <n v="0.94624123398393567"/>
    <m/>
    <m/>
    <n v="77"/>
    <n v="55.837732510575194"/>
    <n v="3285255.6454836791"/>
    <s v="Missing Data"/>
  </r>
  <r>
    <x v="173"/>
    <x v="3"/>
    <x v="1"/>
    <s v="Winter"/>
    <x v="26"/>
    <n v="-0.19402001702278721"/>
    <x v="1"/>
    <n v="31732.442379489963"/>
    <x v="170"/>
    <n v="3.3178896580250288"/>
    <n v="3.3178896580250288"/>
    <n v="4.9097170629925539"/>
    <n v="111597.14570590264"/>
    <n v="88"/>
    <n v="52.437734106433481"/>
    <n v="3078046.9108105265"/>
    <s v="OK"/>
  </r>
  <r>
    <x v="174"/>
    <x v="2"/>
    <x v="2"/>
    <s v="Spring"/>
    <x v="25"/>
    <n v="-7.518522546319073E-2"/>
    <x v="2"/>
    <n v="34990.050549298263"/>
    <x v="171"/>
    <n v="2.8764095260975164"/>
    <n v="2.8764095260975164"/>
    <n v="3.2481367527497511"/>
    <n v="85862.148640253028"/>
    <n v="90"/>
    <n v="987.27157117321144"/>
    <n v="4058845.8637185986"/>
    <s v="OK"/>
  </r>
  <r>
    <x v="175"/>
    <x v="1"/>
    <x v="3"/>
    <s v="Spring"/>
    <x v="22"/>
    <n v="-0.20652894245011316"/>
    <x v="2"/>
    <n v="15518.723109031554"/>
    <x v="172"/>
    <n v="1.5979484456424897"/>
    <n v="1.5979484456424897"/>
    <n v="6.2436537351593637"/>
    <n v="117111.11318041425"/>
    <n v="86"/>
    <n v="43.379916539151033"/>
    <n v="1474278.6953579977"/>
    <s v="OK"/>
  </r>
  <r>
    <x v="176"/>
    <x v="3"/>
    <x v="4"/>
    <s v="Spring"/>
    <x v="48"/>
    <n v="-3.1403986467549917E-2"/>
    <x v="2"/>
    <n v="40441.87352390364"/>
    <x v="173"/>
    <n v="1.6303369187253056"/>
    <n v="1.6303369187253056"/>
    <n v="4.7375651334092446"/>
    <n v="132989.61788647843"/>
    <n v="96"/>
    <n v="43.58537906774135"/>
    <n v="4974350.4434401477"/>
    <s v="OK"/>
  </r>
  <r>
    <x v="177"/>
    <x v="3"/>
    <x v="5"/>
    <s v="Summer"/>
    <x v="29"/>
    <n v="-0.15023877802714641"/>
    <x v="1"/>
    <n v="29302.051859224131"/>
    <x v="174"/>
    <n v="3.6254347844147694"/>
    <n v="3.6254347844147694"/>
    <n v="4.0724000090915666"/>
    <n v="121412.21119958372"/>
    <n v="82"/>
    <m/>
    <n v="3047413.3933593095"/>
    <s v="Missing Data"/>
  </r>
  <r>
    <x v="178"/>
    <x v="4"/>
    <x v="6"/>
    <s v="Summer"/>
    <x v="6"/>
    <n v="-0.21278340516377614"/>
    <x v="3"/>
    <n v="35540.914083687581"/>
    <x v="175"/>
    <n v="1.3105881071326722"/>
    <n v="1.3105881071326722"/>
    <n v="4.750785532344131"/>
    <n v="85407.950603851816"/>
    <n v="80"/>
    <n v="65.16752650322573"/>
    <n v="3340845.9238666329"/>
    <s v="OK"/>
  </r>
  <r>
    <x v="179"/>
    <x v="2"/>
    <x v="7"/>
    <s v="Summer"/>
    <x v="10"/>
    <n v="-0.14398431531348344"/>
    <x v="0"/>
    <n v="24800.470364372348"/>
    <x v="176"/>
    <n v="4.1426729532559632"/>
    <n v="4.1426729532559632"/>
    <n v="5.2785695708129809"/>
    <n v="1072283.4634546204"/>
    <n v="87"/>
    <n v="40.185819541099619"/>
    <n v="2604049.3882590965"/>
    <s v="OK"/>
  </r>
  <r>
    <x v="180"/>
    <x v="3"/>
    <x v="8"/>
    <s v="Autumn"/>
    <x v="40"/>
    <n v="-0.11896646445883154"/>
    <x v="3"/>
    <n v="33063.869525312846"/>
    <x v="177"/>
    <n v="2.5869878669999999"/>
    <n v="15.993792653521313"/>
    <n v="4.7743064025541448"/>
    <n v="74137.169124827051"/>
    <n v="85"/>
    <n v="93.223195230341915"/>
    <n v="3603961.7782591004"/>
    <s v="OK"/>
  </r>
  <r>
    <x v="181"/>
    <x v="2"/>
    <x v="9"/>
    <s v="Autumn"/>
    <x v="14"/>
    <n v="-0.27532803230040587"/>
    <x v="1"/>
    <n v="24732.922184131719"/>
    <x v="178"/>
    <n v="3.1383919256083832"/>
    <n v="3.1383919256083832"/>
    <n v="2.8533207314811171"/>
    <n v="111447.80622351351"/>
    <n v="95"/>
    <n v="41.254845189301079"/>
    <n v="2077565.4634670643"/>
    <s v="OK"/>
  </r>
  <r>
    <x v="182"/>
    <x v="1"/>
    <x v="10"/>
    <s v="Autumn"/>
    <x v="49"/>
    <n v="-0.30660034586872076"/>
    <x v="2"/>
    <n v="26881.155196520973"/>
    <x v="179"/>
    <n v="2.1713815242510153"/>
    <n v="2.1713815242510153"/>
    <n v="6.5764794362645587"/>
    <n v="109012.06825725078"/>
    <n v="97"/>
    <n v="91.66525852481557"/>
    <n v="2123611.2605251567"/>
    <s v="OK"/>
  </r>
  <r>
    <x v="183"/>
    <x v="4"/>
    <x v="0"/>
    <s v="Winter"/>
    <x v="7"/>
    <n v="-0.18776555430912426"/>
    <x v="0"/>
    <n v="39570.156769333931"/>
    <x v="180"/>
    <n v="3.1031874310823433"/>
    <n v="3.1031874310823433"/>
    <n v="7.0298500495344669"/>
    <n v="62603.673209356719"/>
    <n v="102"/>
    <n v="28.278005091726772"/>
    <n v="3877875.3633947251"/>
    <s v="OK"/>
  </r>
  <r>
    <x v="184"/>
    <x v="1"/>
    <x v="11"/>
    <s v="Winter"/>
    <x v="0"/>
    <n v="-0.20027447973645018"/>
    <x v="2"/>
    <n v="29046.587996183269"/>
    <x v="181"/>
    <n v="1.9558859978858074"/>
    <n v="1.9558859978858074"/>
    <n v="6.2818263896074065"/>
    <n v="76764.323121752721"/>
    <n v="96"/>
    <n v="72.525016191972185"/>
    <n v="2788472.4476335938"/>
    <s v="OK"/>
  </r>
  <r>
    <x v="185"/>
    <x v="4"/>
    <x v="1"/>
    <s v="Winter"/>
    <x v="2"/>
    <n v="-0.25031018144575395"/>
    <x v="3"/>
    <n v="31087.164365898614"/>
    <x v="182"/>
    <n v="2.3372070939277059"/>
    <n v="2.3372070939277059"/>
    <n v="4.1347771954902202"/>
    <n v="94337.222065124661"/>
    <n v="82"/>
    <n v="925.58841475059489"/>
    <n v="2735670.4641990783"/>
    <s v="OK"/>
  </r>
  <r>
    <x v="186"/>
    <x v="3"/>
    <x v="2"/>
    <s v="Spring"/>
    <x v="3"/>
    <n v="-0.15649324074080936"/>
    <x v="2"/>
    <n v="34350.338653443774"/>
    <x v="183"/>
    <n v="2.5409191753957212"/>
    <n v="2.5409191753957212"/>
    <n v="5.2582101592629789"/>
    <n v="93982.805057183476"/>
    <n v="85"/>
    <n v="33.499955071858366"/>
    <n v="3538084.8813047088"/>
    <s v="OK"/>
  </r>
  <r>
    <x v="187"/>
    <x v="4"/>
    <x v="3"/>
    <s v="Spring"/>
    <x v="50"/>
    <n v="-0.28158249501406885"/>
    <x v="0"/>
    <n v="32478.409439863022"/>
    <x v="184"/>
    <n v="1.4978125442185273"/>
    <n v="1.4978125442185273"/>
    <n v="5.4921744217246502"/>
    <n v="75810.461291623898"/>
    <n v="82"/>
    <n v="97.466156807940393"/>
    <n v="2695707.9835086307"/>
    <s v="OK"/>
  </r>
  <r>
    <x v="188"/>
    <x v="0"/>
    <x v="4"/>
    <s v="Spring"/>
    <x v="51"/>
    <n v="-0.28783695772773182"/>
    <x v="3"/>
    <n v="30752.094525717883"/>
    <x v="185"/>
    <n v="3.2408243454201258"/>
    <n v="3.2408243454201258"/>
    <n v="6.2185532674742925"/>
    <n v="107779.57458704368"/>
    <m/>
    <n v="56.230668833240934"/>
    <n v="2521671.7511088662"/>
    <s v="Missing Data"/>
  </r>
  <r>
    <x v="189"/>
    <x v="2"/>
    <x v="5"/>
    <s v="Summer"/>
    <x v="20"/>
    <n v="-0.13772985259982046"/>
    <x v="1"/>
    <n v="31824.805012331126"/>
    <x v="186"/>
    <n v="1.9867864335284149"/>
    <n v="1.9867864335284149"/>
    <n v="6.3020085864616968"/>
    <n v="105029.47217881025"/>
    <n v="91"/>
    <m/>
    <n v="3373429.3313070992"/>
    <s v="Missing Data"/>
  </r>
  <r>
    <x v="190"/>
    <x v="2"/>
    <x v="6"/>
    <s v="Summer"/>
    <x v="0"/>
    <n v="-0.20027447973645018"/>
    <x v="0"/>
    <n v="42017.077926191378"/>
    <x v="187"/>
    <n v="2.2714000846599816"/>
    <n v="2.2714000846599816"/>
    <n v="4.6189914414658055"/>
    <n v="96114.61736042962"/>
    <n v="88"/>
    <n v="74.145603490403758"/>
    <n v="4033639.480914372"/>
    <s v="OK"/>
  </r>
  <r>
    <x v="191"/>
    <x v="0"/>
    <x v="7"/>
    <s v="Summer"/>
    <x v="0"/>
    <n v="-0.20027447973645018"/>
    <x v="2"/>
    <n v="29711.906014832071"/>
    <x v="188"/>
    <n v="1.5056506253914876"/>
    <n v="1.5056506253914876"/>
    <n v="5.5983946676962724"/>
    <n v="84884.169996832745"/>
    <n v="90"/>
    <n v="44.12694958988412"/>
    <n v="2852342.9774238789"/>
    <s v="OK"/>
  </r>
  <r>
    <x v="192"/>
    <x v="1"/>
    <x v="8"/>
    <s v="Autumn"/>
    <x v="40"/>
    <n v="-0.11896646445883154"/>
    <x v="2"/>
    <n v="31005.495233574838"/>
    <x v="189"/>
    <n v="2.5869878669999999"/>
    <n v="-6.2333658795310498E-2"/>
    <n v="6.0487364855382895"/>
    <n v="120974.14252833127"/>
    <n v="710"/>
    <n v="35.064201993368513"/>
    <n v="3379598.9804596575"/>
    <s v="OK"/>
  </r>
  <r>
    <x v="193"/>
    <x v="0"/>
    <x v="9"/>
    <s v="Autumn"/>
    <x v="7"/>
    <n v="-0.18776555430912426"/>
    <x v="2"/>
    <n v="35253.271980038058"/>
    <x v="190"/>
    <n v="2.3089722373998312"/>
    <n v="2.3089722373998312"/>
    <n v="7.2469867865761195"/>
    <n v="133108.1422617659"/>
    <n v="84"/>
    <n v="44.298803698007951"/>
    <n v="3454820.6540437299"/>
    <s v="OK"/>
  </r>
  <r>
    <x v="194"/>
    <x v="3"/>
    <x v="10"/>
    <s v="Autumn"/>
    <x v="11"/>
    <n v="-0.26281910687307991"/>
    <x v="3"/>
    <n v="35527.629664789922"/>
    <x v="191"/>
    <n v="2.5869878669999999"/>
    <n v="49.126154216129159"/>
    <n v="6.3454078477896676"/>
    <m/>
    <n v="79"/>
    <n v="27.441392741013999"/>
    <n v="3055376.1511719334"/>
    <s v="Missing Data"/>
  </r>
  <r>
    <x v="195"/>
    <x v="3"/>
    <x v="0"/>
    <s v="Winter"/>
    <x v="49"/>
    <n v="-0.30660034586872076"/>
    <x v="1"/>
    <n v="35935.1515278019"/>
    <x v="192"/>
    <n v="3.2846042878980239"/>
    <n v="3.2846042878980239"/>
    <n v="6.4468680248506232"/>
    <n v="87756.661656903583"/>
    <n v="77"/>
    <n v="31.509437307466381"/>
    <n v="2838876.9706963501"/>
    <s v="OK"/>
  </r>
  <r>
    <x v="196"/>
    <x v="2"/>
    <x v="11"/>
    <s v="Winter"/>
    <x v="11"/>
    <n v="-0.26281910687307991"/>
    <x v="2"/>
    <m/>
    <x v="193"/>
    <n v="2.8004743596108286"/>
    <m/>
    <n v="5.6005919535152335"/>
    <n v="109824.15330823993"/>
    <n v="77"/>
    <n v="28.37283522771849"/>
    <n v="0"/>
    <s v="Missing Data"/>
  </r>
  <r>
    <x v="197"/>
    <x v="3"/>
    <x v="1"/>
    <s v="Winter"/>
    <x v="19"/>
    <n v="-0.1252209271724945"/>
    <x v="2"/>
    <n v="24284.97543634758"/>
    <x v="194"/>
    <n v="2.2371091707917321"/>
    <n v="2.2371091707917321"/>
    <n v="7.1925509742442042"/>
    <n v="92839.41240506027"/>
    <n v="105"/>
    <n v="53.835483499324617"/>
    <n v="2622777.3471255386"/>
    <s v="OK"/>
  </r>
  <r>
    <x v="198"/>
    <x v="2"/>
    <x v="2"/>
    <s v="Spring"/>
    <x v="35"/>
    <n v="-6.3861356128980225E-3"/>
    <x v="1"/>
    <n v="38167.15766150548"/>
    <x v="195"/>
    <n v="2.5224658928120465"/>
    <n v="2.5224658928120465"/>
    <n v="5.9917153551513973"/>
    <n v="97212.055986735315"/>
    <n v="100"/>
    <n v="83.646270100606912"/>
    <n v="4847229.0230111964"/>
    <s v="OK"/>
  </r>
  <r>
    <x v="199"/>
    <x v="0"/>
    <x v="3"/>
    <s v="Spring"/>
    <x v="17"/>
    <n v="-0.21903786787743912"/>
    <x v="0"/>
    <n v="24268.27303490656"/>
    <x v="196"/>
    <n v="3.5391117874202687"/>
    <m/>
    <m/>
    <n v="114793.06303449343"/>
    <n v="82"/>
    <n v="31.310684337307215"/>
    <n v="2256949.3922463101"/>
    <s v="Missing Data"/>
  </r>
  <r>
    <x v="200"/>
    <x v="0"/>
    <x v="4"/>
    <s v="Spring"/>
    <x v="51"/>
    <n v="-0.28783695772773182"/>
    <x v="0"/>
    <n v="31513.177326195168"/>
    <x v="197"/>
    <n v="1.3191871846911551"/>
    <n v="1.3191871846911551"/>
    <n v="7.1840439641502289"/>
    <n v="61812.87824985414"/>
    <n v="105"/>
    <n v="30.425634653786872"/>
    <n v="2584080.5407480039"/>
    <s v="OK"/>
  </r>
  <r>
    <x v="201"/>
    <x v="0"/>
    <x v="5"/>
    <s v="Summer"/>
    <x v="29"/>
    <n v="-0.15023877802714641"/>
    <x v="3"/>
    <n v="26228.62074990321"/>
    <x v="198"/>
    <n v="3.6143216946688721"/>
    <n v="3.6143216946688721"/>
    <n v="63.374839270468328"/>
    <n v="126366.04649705338"/>
    <n v="103"/>
    <n v="71.474315961386452"/>
    <n v="2727776.557989934"/>
    <s v="OK"/>
  </r>
  <r>
    <x v="202"/>
    <x v="2"/>
    <x v="6"/>
    <s v="Summer"/>
    <x v="8"/>
    <n v="-0.18151109159546128"/>
    <x v="1"/>
    <n v="29679.308267035038"/>
    <x v="199"/>
    <n v="3.2153813154412441"/>
    <n v="3.2153813154412441"/>
    <n v="4.968347174645821"/>
    <n v="101453.61048658683"/>
    <n v="84"/>
    <n v="35.7746385574453"/>
    <n v="2938251.5184364687"/>
    <s v="OK"/>
  </r>
  <r>
    <x v="203"/>
    <x v="0"/>
    <x v="7"/>
    <s v="Summer"/>
    <x v="41"/>
    <n v="-0.16274770345447234"/>
    <x v="2"/>
    <n v="31643.812051517401"/>
    <x v="200"/>
    <n v="3.2181857257079347"/>
    <n v="3.2181857257079347"/>
    <n v="4.9246084391209077"/>
    <n v="91770.137108756389"/>
    <n v="860"/>
    <n v="27.808803048719327"/>
    <n v="3227668.8292547748"/>
    <s v="OK"/>
  </r>
  <r>
    <x v="204"/>
    <x v="0"/>
    <x v="8"/>
    <s v="Autumn"/>
    <x v="15"/>
    <n v="-0.32536373400970964"/>
    <x v="1"/>
    <m/>
    <x v="201"/>
    <n v="2.9384757388097271"/>
    <n v="2.9384757388097271"/>
    <n v="5.8558906541689142"/>
    <n v="98215.31691557102"/>
    <n v="91"/>
    <n v="33.347886256446209"/>
    <n v="0"/>
    <s v="Missing Data"/>
  </r>
  <r>
    <x v="205"/>
    <x v="1"/>
    <x v="9"/>
    <s v="Autumn"/>
    <x v="8"/>
    <n v="-0.18151109159546128"/>
    <x v="1"/>
    <n v="32109.603771176422"/>
    <x v="202"/>
    <n v="2.51961665769399"/>
    <n v="2.51961665769399"/>
    <n v="6.0558217543211015"/>
    <n v="99248.587100410368"/>
    <n v="95"/>
    <n v="93.898511670142085"/>
    <n v="3178850.773346466"/>
    <s v="OK"/>
  </r>
  <r>
    <x v="206"/>
    <x v="0"/>
    <x v="10"/>
    <s v="Autumn"/>
    <x v="17"/>
    <n v="-0.21903786787743912"/>
    <x v="0"/>
    <n v="38068.556345293233"/>
    <x v="203"/>
    <n v="3.17286123596682"/>
    <n v="3.17286123596682"/>
    <n v="5.736750718757448"/>
    <n v="65375.973931101493"/>
    <n v="85"/>
    <n v="85.71770022209526"/>
    <n v="3540375.7401122707"/>
    <s v="OK"/>
  </r>
  <r>
    <x v="207"/>
    <x v="3"/>
    <x v="0"/>
    <s v="Winter"/>
    <x v="8"/>
    <n v="-0.18151109159546128"/>
    <x v="1"/>
    <n v="32267.671507569899"/>
    <x v="204"/>
    <n v="3.0918141337413783"/>
    <n v="3.0918141337413783"/>
    <m/>
    <n v="129898.76454906471"/>
    <n v="99"/>
    <n v="48.325164988407529"/>
    <n v="3194499.4792494201"/>
    <s v="Missing Data"/>
  </r>
  <r>
    <x v="208"/>
    <x v="2"/>
    <x v="11"/>
    <s v="Winter"/>
    <x v="41"/>
    <n v="-0.16274770345447234"/>
    <x v="1"/>
    <n v="28779.216823546758"/>
    <x v="205"/>
    <n v="3.6254347844147694"/>
    <m/>
    <n v="7.5399488494916564"/>
    <n v="100826.51264541237"/>
    <n v="94"/>
    <n v="72.465661386191428"/>
    <n v="2935480.1160017694"/>
    <s v="Missing Data"/>
  </r>
  <r>
    <x v="209"/>
    <x v="1"/>
    <x v="1"/>
    <s v="Winter"/>
    <x v="20"/>
    <n v="-0.13772985259982046"/>
    <x v="1"/>
    <n v="34820.435841441787"/>
    <x v="206"/>
    <n v="1.926398227103099"/>
    <n v="1.926398227103099"/>
    <n v="6.7858517826818625"/>
    <n v="108860.04260894751"/>
    <n v="91"/>
    <n v="62.982053893443045"/>
    <n v="3690966.1991928294"/>
    <s v="OK"/>
  </r>
  <r>
    <x v="210"/>
    <x v="4"/>
    <x v="2"/>
    <s v="Spring"/>
    <x v="6"/>
    <n v="-0.21278340516377614"/>
    <x v="0"/>
    <n v="35947.352444623204"/>
    <x v="207"/>
    <n v="2.6018562952619866"/>
    <n v="2.6018562952619866"/>
    <n v="5.7287627095180289"/>
    <n v="119030.99541148086"/>
    <n v="87"/>
    <n v="74.16994107860512"/>
    <n v="3379051.1297945813"/>
    <s v="OK"/>
  </r>
  <r>
    <x v="211"/>
    <x v="2"/>
    <x v="3"/>
    <s v="Spring"/>
    <x v="10"/>
    <n v="-0.14398431531348344"/>
    <x v="2"/>
    <n v="23861.960924315037"/>
    <x v="208"/>
    <n v="4.0490201514951876"/>
    <n v="4.0490201514951876"/>
    <n v="6.6295726969209801"/>
    <n v="79576.750848793992"/>
    <n v="66"/>
    <n v="74.613692197020754"/>
    <n v="2505505.8970530787"/>
    <s v="OK"/>
  </r>
  <r>
    <x v="212"/>
    <x v="3"/>
    <x v="3"/>
    <s v="Spring"/>
    <x v="52"/>
    <n v="6.454473847600954"/>
    <x v="2"/>
    <n v="32987.000349249291"/>
    <x v="209"/>
    <n v="3.1383919256083832"/>
    <m/>
    <n v="4.2609713157669526"/>
    <n v="109469.43798070456"/>
    <n v="86"/>
    <n v="70.298721204799435"/>
    <n v="38264920.405129179"/>
    <s v="Missing Data"/>
  </r>
  <r>
    <x v="213"/>
    <x v="2"/>
    <x v="4"/>
    <s v="Spring"/>
    <x v="53"/>
    <n v="-3.7658449181212889E-2"/>
    <x v="0"/>
    <n v="33505.863711554492"/>
    <x v="210"/>
    <n v="1.03247473424756"/>
    <n v="1.03247473424756"/>
    <n v="5.9775124599361709"/>
    <n v="94647.17818202413"/>
    <n v="80"/>
    <n v="41.288109482984687"/>
    <n v="4087715.372809648"/>
    <s v="OK"/>
  </r>
  <r>
    <x v="214"/>
    <x v="3"/>
    <x v="5"/>
    <s v="Summer"/>
    <x v="3"/>
    <n v="-0.15649324074080936"/>
    <x v="1"/>
    <n v="28512.182483200042"/>
    <x v="211"/>
    <n v="2.6647608412365167"/>
    <n v="2.6647608412365167"/>
    <m/>
    <n v="116935.41550432987"/>
    <n v="111"/>
    <n v="23.120513661025448"/>
    <n v="2936754.7957696044"/>
    <s v="Missing Data"/>
  </r>
  <r>
    <x v="215"/>
    <x v="3"/>
    <x v="6"/>
    <s v="Summer"/>
    <x v="45"/>
    <n v="-5.6421837322201809E-2"/>
    <x v="3"/>
    <n v="36878.534066558095"/>
    <x v="212"/>
    <n v="1.9558859978858074"/>
    <m/>
    <n v="5.2383449255291517"/>
    <m/>
    <n v="98"/>
    <n v="564.453425592087"/>
    <n v="4388545.5539204134"/>
    <s v="Missing Data"/>
  </r>
  <r>
    <x v="216"/>
    <x v="4"/>
    <x v="7"/>
    <s v="Summer"/>
    <x v="15"/>
    <n v="-0.32536373400970964"/>
    <x v="2"/>
    <n v="29249.722064837366"/>
    <x v="213"/>
    <n v="2.6733416643704082"/>
    <n v="2.6733416643704082"/>
    <n v="4.4828392856570982"/>
    <n v="98018.113995174615"/>
    <n v="98"/>
    <n v="91.277910775256302"/>
    <n v="2222978.8769276398"/>
    <s v="OK"/>
  </r>
  <r>
    <x v="217"/>
    <x v="2"/>
    <x v="8"/>
    <s v="Autumn"/>
    <x v="0"/>
    <n v="-0.20027447973645018"/>
    <x v="2"/>
    <m/>
    <x v="214"/>
    <n v="2.7439531979085001"/>
    <n v="2.7439531979085001"/>
    <n v="4.7174933336883269"/>
    <n v="87943.586884320772"/>
    <n v="93"/>
    <n v="65.559780681486075"/>
    <n v="0"/>
    <s v="Missing Data"/>
  </r>
  <r>
    <x v="218"/>
    <x v="4"/>
    <x v="9"/>
    <s v="Autumn"/>
    <x v="3"/>
    <n v="-0.15649324074080936"/>
    <x v="2"/>
    <n v="29134.640878580652"/>
    <x v="81"/>
    <n v="2.2767977453651951"/>
    <n v="2.2767977453651951"/>
    <n v="4.1924403551891345"/>
    <n v="108645.25901268311"/>
    <n v="106"/>
    <n v="86.591283336152628"/>
    <n v="3000868.010493807"/>
    <s v="Missing Data"/>
  </r>
  <r>
    <x v="219"/>
    <x v="4"/>
    <x v="10"/>
    <s v="Autumn"/>
    <x v="4"/>
    <n v="-0.10645753903150559"/>
    <x v="1"/>
    <n v="30077.895237907338"/>
    <x v="215"/>
    <n v="3.9898634386020824"/>
    <n v="3.9898634386020824"/>
    <n v="45.582857102467564"/>
    <n v="109400.88374736405"/>
    <n v="93"/>
    <m/>
    <n v="3338646.3714077147"/>
    <s v="Missing Data"/>
  </r>
  <r>
    <x v="220"/>
    <x v="2"/>
    <x v="0"/>
    <s v="Winter"/>
    <x v="26"/>
    <n v="-0.19402001702278721"/>
    <x v="2"/>
    <n v="24518.624565523991"/>
    <x v="216"/>
    <n v="0.89909602152348445"/>
    <n v="0.89909602152348445"/>
    <n v="5.0553902816919649"/>
    <n v="85847.48210355948"/>
    <n v="72"/>
    <n v="33.089296331062101"/>
    <n v="2378306.5828558272"/>
    <s v="OK"/>
  </r>
  <r>
    <x v="221"/>
    <x v="0"/>
    <x v="11"/>
    <s v="Winter"/>
    <x v="44"/>
    <n v="-0.10020307631784262"/>
    <x v="3"/>
    <n v="22799.745587028527"/>
    <x v="217"/>
    <n v="1.6715029752197541"/>
    <n v="1.6715029752197541"/>
    <n v="3.8133195769856298"/>
    <n v="85756.522716479129"/>
    <n v="85"/>
    <n v="753.42211131358579"/>
    <n v="2553571.5057471949"/>
    <s v="OK"/>
  </r>
  <r>
    <x v="222"/>
    <x v="0"/>
    <x v="1"/>
    <s v="Winter"/>
    <x v="8"/>
    <n v="-0.18151109159546128"/>
    <x v="0"/>
    <n v="37972.525316124862"/>
    <x v="218"/>
    <n v="2.3967452398509526"/>
    <n v="2.3967452398509526"/>
    <n v="5.5187420007395236"/>
    <n v="97786.692628853416"/>
    <n v="86"/>
    <n v="73.943485896001974"/>
    <n v="3759280.0062963613"/>
    <s v="OK"/>
  </r>
  <r>
    <x v="223"/>
    <x v="4"/>
    <x v="2"/>
    <s v="Spring"/>
    <x v="54"/>
    <n v="-2.5149523753886942E-2"/>
    <x v="1"/>
    <n v="25765.193258408362"/>
    <x v="219"/>
    <n v="0.85681118884583274"/>
    <n v="0.85681118884583274"/>
    <m/>
    <n v="82067.155453695828"/>
    <n v="93"/>
    <n v="98.396435788662274"/>
    <n v="3194883.964042637"/>
    <s v="Missing Data"/>
  </r>
  <r>
    <x v="224"/>
    <x v="1"/>
    <x v="3"/>
    <s v="Spring"/>
    <x v="31"/>
    <n v="-0.23154679330476505"/>
    <x v="1"/>
    <n v="25043.038252718463"/>
    <x v="220"/>
    <n v="2.3241455955679289"/>
    <n v="2.3241455955679289"/>
    <n v="4.4106925838236961"/>
    <n v="116839.67390904254"/>
    <n v="87"/>
    <n v="98.848058716224031"/>
    <n v="2278916.4809973803"/>
    <s v="OK"/>
  </r>
  <r>
    <x v="225"/>
    <x v="4"/>
    <x v="4"/>
    <s v="Spring"/>
    <x v="3"/>
    <n v="-0.15649324074080936"/>
    <x v="2"/>
    <n v="19233.049431981424"/>
    <x v="221"/>
    <n v="4.1614701657280184"/>
    <n v="4.1614701657280184"/>
    <n v="7.3231407083701221"/>
    <n v="92615.855991051081"/>
    <n v="81"/>
    <n v="74.934288937930361"/>
    <n v="1981004.0914940867"/>
    <s v="OK"/>
  </r>
  <r>
    <x v="226"/>
    <x v="4"/>
    <x v="5"/>
    <s v="Summer"/>
    <x v="11"/>
    <n v="-0.26281910687307991"/>
    <x v="2"/>
    <n v="26805.191261552489"/>
    <x v="81"/>
    <n v="2.5208864882959618"/>
    <n v="2.5208864882959618"/>
    <n v="6.1129505062331138"/>
    <n v="41860.235613567173"/>
    <n v="84"/>
    <n v="39.489183358575545"/>
    <n v="2305246.4484935142"/>
    <s v="Missing Data"/>
  </r>
  <r>
    <x v="227"/>
    <x v="4"/>
    <x v="6"/>
    <s v="Summer"/>
    <x v="13"/>
    <n v="-0.16900216616813532"/>
    <x v="2"/>
    <n v="23384.55103296251"/>
    <x v="222"/>
    <n v="2.7307009057186833"/>
    <n v="2.7307009057186833"/>
    <n v="6.7366967027488691"/>
    <n v="92503.558867563872"/>
    <n v="93"/>
    <n v="83.884467050447924"/>
    <n v="2361839.6543292133"/>
    <s v="OK"/>
  </r>
  <r>
    <x v="228"/>
    <x v="0"/>
    <x v="7"/>
    <s v="Summer"/>
    <x v="13"/>
    <n v="-0.16900216616813532"/>
    <x v="3"/>
    <n v="38210.075800681843"/>
    <x v="81"/>
    <n v="1.2398352348274198"/>
    <n v="1.2398352348274198"/>
    <n v="4.7105985353774358"/>
    <n v="79229.123583120556"/>
    <n v="86"/>
    <n v="28.562330736883048"/>
    <n v="3859217.655868866"/>
    <s v="Missing Data"/>
  </r>
  <r>
    <x v="229"/>
    <x v="0"/>
    <x v="8"/>
    <s v="Autumn"/>
    <x v="13"/>
    <n v="-0.16900216616813532"/>
    <x v="1"/>
    <n v="35049.085446713172"/>
    <x v="223"/>
    <n v="1.8836385919605225"/>
    <n v="1.8836385919605225"/>
    <n v="6.5254302724799391"/>
    <n v="67374.483690781082"/>
    <n v="81"/>
    <n v="82.455944333730287"/>
    <n v="3539957.6301180306"/>
    <s v="OK"/>
  </r>
  <r>
    <x v="230"/>
    <x v="0"/>
    <x v="9"/>
    <s v="Autumn"/>
    <x v="21"/>
    <n v="-9.3948613604179651E-2"/>
    <x v="3"/>
    <n v="26559.248274111382"/>
    <x v="81"/>
    <n v="2.1248036196760629"/>
    <n v="2.1248036196760629"/>
    <n v="4.1896793195256254"/>
    <n v="75251.467235548553"/>
    <n v="99"/>
    <n v="92.815689931575719"/>
    <n v="3001195.0549745862"/>
    <s v="Missing Data"/>
  </r>
  <r>
    <x v="231"/>
    <x v="4"/>
    <x v="10"/>
    <s v="Autumn"/>
    <x v="18"/>
    <n v="-0.25656464415941693"/>
    <x v="1"/>
    <n v="41262.17902672154"/>
    <x v="224"/>
    <n v="2.1822849032437661"/>
    <n v="2.1822849032437661"/>
    <n v="6.5682970010038106"/>
    <n v="102188.1694366594"/>
    <n v="86"/>
    <n v="50.626671581474824"/>
    <n v="3589809.5753247738"/>
    <s v="OK"/>
  </r>
  <r>
    <x v="232"/>
    <x v="1"/>
    <x v="0"/>
    <s v="Winter"/>
    <x v="19"/>
    <n v="-0.1252209271724945"/>
    <x v="3"/>
    <n v="34908.827434957973"/>
    <x v="225"/>
    <n v="3.7816437950037685"/>
    <n v="3.7816437950037685"/>
    <n v="5.7062072077522377"/>
    <m/>
    <n v="85"/>
    <n v="70.450823598646437"/>
    <n v="3770153.3629754609"/>
    <s v="Missing Data"/>
  </r>
  <r>
    <x v="233"/>
    <x v="0"/>
    <x v="11"/>
    <s v="Winter"/>
    <x v="55"/>
    <n v="5.8290275762346555"/>
    <x v="2"/>
    <n v="283758.43082456884"/>
    <x v="226"/>
    <n v="3.0576910607251246"/>
    <n v="3.0576910607251246"/>
    <n v="6.1639014639817402"/>
    <n v="106263.6894772996"/>
    <n v="93"/>
    <n v="54.411418567746104"/>
    <n v="300783936.674043"/>
    <s v="OK"/>
  </r>
  <r>
    <x v="234"/>
    <x v="2"/>
    <x v="1"/>
    <s v="Winter"/>
    <x v="18"/>
    <n v="-0.25656464415941693"/>
    <x v="0"/>
    <n v="17502.971425632135"/>
    <x v="227"/>
    <n v="1.388542043062968"/>
    <n v="1.388542043062968"/>
    <n v="4.0892864732501781"/>
    <n v="87869.932235685206"/>
    <n v="87"/>
    <n v="55.021204399050276"/>
    <n v="1522758.5140299958"/>
    <s v="OK"/>
  </r>
  <r>
    <x v="235"/>
    <x v="2"/>
    <x v="2"/>
    <s v="Spring"/>
    <x v="0"/>
    <n v="-0.20027447973645018"/>
    <x v="0"/>
    <n v="41454.712862953711"/>
    <x v="228"/>
    <n v="2.7465047784320049"/>
    <n v="2.7465047784320049"/>
    <n v="4.4259161892680741"/>
    <n v="109118.08390341405"/>
    <n v="78"/>
    <n v="448.29671128649608"/>
    <n v="3979652.434843556"/>
    <s v="OK"/>
  </r>
  <r>
    <x v="236"/>
    <x v="2"/>
    <x v="3"/>
    <s v="Spring"/>
    <x v="26"/>
    <n v="-0.19402001702278721"/>
    <x v="0"/>
    <n v="23052.137666182018"/>
    <x v="229"/>
    <n v="2.998221748496785"/>
    <n v="2.998221748496785"/>
    <n v="6.216673861904062"/>
    <m/>
    <n v="75"/>
    <n v="80.970369636025964"/>
    <n v="2236057.3536196556"/>
    <s v="Missing Data"/>
  </r>
  <r>
    <x v="237"/>
    <x v="3"/>
    <x v="4"/>
    <s v="Spring"/>
    <x v="25"/>
    <n v="-7.518522546319073E-2"/>
    <x v="1"/>
    <m/>
    <x v="230"/>
    <n v="3.6401490385212663"/>
    <n v="3.6401490385212663"/>
    <n v="4.3619823949309593"/>
    <n v="86107.992616737116"/>
    <n v="77"/>
    <n v="94.894125133320415"/>
    <n v="0"/>
    <s v="Missing Data"/>
  </r>
  <r>
    <x v="238"/>
    <x v="4"/>
    <x v="5"/>
    <s v="Summer"/>
    <x v="34"/>
    <n v="-0.1752566288817983"/>
    <x v="3"/>
    <n v="35112.852160048198"/>
    <x v="231"/>
    <n v="3.0918141337413783"/>
    <m/>
    <n v="6.0558475505189477"/>
    <n v="76912.746635340314"/>
    <m/>
    <n v="95.260068738756885"/>
    <n v="3511285.2160048196"/>
    <s v="Missing Data"/>
  </r>
  <r>
    <x v="239"/>
    <x v="2"/>
    <x v="6"/>
    <s v="Summer"/>
    <x v="26"/>
    <n v="-0.19402001702278721"/>
    <x v="3"/>
    <n v="42198.762031696366"/>
    <x v="232"/>
    <n v="1.4849058081721314"/>
    <n v="1.4849058081721314"/>
    <n v="38.594346322477051"/>
    <n v="64963.423864965618"/>
    <n v="117"/>
    <n v="33.982502789994705"/>
    <n v="4093279.9170745476"/>
    <s v="OK"/>
  </r>
  <r>
    <x v="240"/>
    <x v="4"/>
    <x v="7"/>
    <s v="Summer"/>
    <x v="34"/>
    <n v="-0.1752566288817983"/>
    <x v="0"/>
    <n v="36921.364092552591"/>
    <x v="233"/>
    <n v="1.6891424887896618"/>
    <n v="1.6891424887896618"/>
    <n v="6.5178090552000016"/>
    <m/>
    <n v="97"/>
    <n v="89.979491972525281"/>
    <n v="3692136.4092552592"/>
    <s v="Missing Data"/>
  </r>
  <r>
    <x v="241"/>
    <x v="2"/>
    <x v="8"/>
    <s v="Autumn"/>
    <x v="8"/>
    <n v="-0.18151109159546128"/>
    <x v="1"/>
    <n v="32819.545600261801"/>
    <x v="234"/>
    <n v="1.2424221410853837"/>
    <n v="1.2424221410853837"/>
    <n v="4.0209720222777889"/>
    <n v="103161.06979840263"/>
    <n v="103"/>
    <n v="78.994515314169774"/>
    <n v="3249135.0144259185"/>
    <s v="OK"/>
  </r>
  <r>
    <x v="242"/>
    <x v="1"/>
    <x v="9"/>
    <s v="Autumn"/>
    <x v="34"/>
    <n v="-0.1752566288817983"/>
    <x v="2"/>
    <n v="32973.771708326429"/>
    <x v="235"/>
    <n v="2.2659801408930185"/>
    <n v="2.2659801408930185"/>
    <n v="6.1627599252154281"/>
    <n v="98067.526599702207"/>
    <m/>
    <n v="40.226992055223143"/>
    <n v="3297377.1708326428"/>
    <s v="Missing Data"/>
  </r>
  <r>
    <x v="243"/>
    <x v="4"/>
    <x v="10"/>
    <s v="Autumn"/>
    <x v="56"/>
    <n v="5.7039383219613962"/>
    <x v="3"/>
    <n v="34267.077793901539"/>
    <x v="81"/>
    <n v="2.9663583744463344"/>
    <n v="2.9663583744463344"/>
    <n v="6.2507571203752015"/>
    <n v="91680.661441052827"/>
    <n v="85"/>
    <n v="25.382769033721164"/>
    <n v="35637760.905657597"/>
    <s v="Missing Data"/>
  </r>
  <r>
    <x v="244"/>
    <x v="2"/>
    <x v="0"/>
    <s v="Winter"/>
    <x v="51"/>
    <n v="-0.28783695772773182"/>
    <x v="1"/>
    <n v="33794.642948933826"/>
    <x v="236"/>
    <n v="2.5869878669999999"/>
    <n v="34.873345165891017"/>
    <n v="4.6638738178845101"/>
    <n v="81085.078786064376"/>
    <n v="98"/>
    <n v="41.439781350750238"/>
    <n v="2771160.7218125737"/>
    <s v="OK"/>
  </r>
  <r>
    <x v="245"/>
    <x v="0"/>
    <x v="11"/>
    <s v="Winter"/>
    <x v="18"/>
    <n v="-0.25656464415941693"/>
    <x v="0"/>
    <n v="31405.95711984688"/>
    <x v="237"/>
    <n v="2.4240489763574771"/>
    <n v="2.4240489763574771"/>
    <n v="6.1984318805016727"/>
    <n v="112164.92383369937"/>
    <n v="93"/>
    <n v="92.97665894252205"/>
    <n v="2732318.2694266788"/>
    <s v="OK"/>
  </r>
  <r>
    <x v="246"/>
    <x v="4"/>
    <x v="1"/>
    <s v="Winter"/>
    <x v="18"/>
    <n v="-0.25656464415941693"/>
    <x v="3"/>
    <n v="30521.005519759379"/>
    <x v="238"/>
    <n v="2.1801524767451559"/>
    <n v="2.1801524767451559"/>
    <n v="5.8125307160002668"/>
    <n v="73657.361601068304"/>
    <n v="69"/>
    <n v="70.654293991661774"/>
    <n v="2655327.4802190661"/>
    <s v="OK"/>
  </r>
  <r>
    <x v="247"/>
    <x v="3"/>
    <x v="2"/>
    <s v="Spring"/>
    <x v="5"/>
    <n v="-0.23780125601842803"/>
    <x v="2"/>
    <n v="29687.034360502388"/>
    <x v="239"/>
    <n v="2.6517579922487404"/>
    <n v="2.6517579922487404"/>
    <n v="4.8533897725687138"/>
    <n v="115520.5582768695"/>
    <n v="89"/>
    <n v="77.684372871829751"/>
    <n v="2671833.0924452147"/>
    <s v="OK"/>
  </r>
  <r>
    <x v="248"/>
    <x v="0"/>
    <x v="3"/>
    <s v="Spring"/>
    <x v="30"/>
    <n v="-8.1439688176853695E-2"/>
    <x v="0"/>
    <n v="26230.17705566662"/>
    <x v="240"/>
    <n v="1.6648570983699771"/>
    <n v="1.6648570983699771"/>
    <m/>
    <n v="79955.6596214655"/>
    <n v="88"/>
    <n v="40.572188088727671"/>
    <n v="3016470.3614016613"/>
    <s v="Missing Data"/>
  </r>
  <r>
    <x v="249"/>
    <x v="0"/>
    <x v="4"/>
    <s v="Spring"/>
    <x v="10"/>
    <n v="-0.14398431531348344"/>
    <x v="1"/>
    <n v="28596.624615666129"/>
    <x v="241"/>
    <n v="4.5895387216947734"/>
    <n v="4.5895387216947734"/>
    <m/>
    <n v="84951.295252939308"/>
    <n v="115"/>
    <n v="77.551052445985619"/>
    <n v="3002645.5846449435"/>
    <s v="Missing Data"/>
  </r>
  <r>
    <x v="250"/>
    <x v="3"/>
    <x v="5"/>
    <s v="Summer"/>
    <x v="5"/>
    <n v="-0.23780125601842803"/>
    <x v="0"/>
    <n v="21535.21592902307"/>
    <x v="242"/>
    <n v="0.89233897288194131"/>
    <n v="0.89233897288194131"/>
    <n v="5.9195800567596324"/>
    <n v="70664.296187686457"/>
    <n v="90"/>
    <n v="222.49720502233899"/>
    <n v="1938169.4336120763"/>
    <s v="OK"/>
  </r>
  <r>
    <x v="251"/>
    <x v="0"/>
    <x v="6"/>
    <s v="Summer"/>
    <x v="38"/>
    <n v="-0.244055718732091"/>
    <x v="0"/>
    <n v="29508.30186602625"/>
    <x v="243"/>
    <n v="2.6847405788957244"/>
    <n v="2.6847405788957244"/>
    <n v="3.6222366743655341"/>
    <n v="89971.957062287271"/>
    <n v="105"/>
    <n v="50.025707661841103"/>
    <n v="2626238.8660763362"/>
    <s v="OK"/>
  </r>
  <r>
    <x v="252"/>
    <x v="0"/>
    <x v="7"/>
    <s v="Summer"/>
    <x v="38"/>
    <n v="-0.244055718732091"/>
    <x v="0"/>
    <n v="25057.044464245413"/>
    <x v="244"/>
    <n v="4.5236062192296398"/>
    <n v="4.5236062192296398"/>
    <n v="5.6144130393295697"/>
    <n v="119506.24916955958"/>
    <n v="98"/>
    <n v="70.1402678833865"/>
    <n v="2230076.9573178417"/>
    <s v="OK"/>
  </r>
  <r>
    <x v="253"/>
    <x v="2"/>
    <x v="8"/>
    <s v="Autumn"/>
    <x v="11"/>
    <n v="-0.26281910687307991"/>
    <x v="0"/>
    <m/>
    <x v="245"/>
    <n v="2.5067998445599979"/>
    <n v="2.5067998445599979"/>
    <n v="5.1838621407013008"/>
    <n v="110312.56176887912"/>
    <n v="85"/>
    <n v="31.687725243305618"/>
    <n v="0"/>
    <s v="Missing Data"/>
  </r>
  <r>
    <x v="254"/>
    <x v="2"/>
    <x v="9"/>
    <s v="Autumn"/>
    <x v="31"/>
    <n v="-0.23154679330476505"/>
    <x v="0"/>
    <n v="30899.470755767394"/>
    <x v="246"/>
    <n v="2.3099609649985053"/>
    <n v="2.3099609649985053"/>
    <n v="6.3149713305258341"/>
    <n v="119568.4422405607"/>
    <n v="101"/>
    <n v="85.84028595575478"/>
    <n v="2811851.8387748329"/>
    <s v="OK"/>
  </r>
  <r>
    <x v="255"/>
    <x v="4"/>
    <x v="10"/>
    <s v="Autumn"/>
    <x v="34"/>
    <n v="-0.1752566288817983"/>
    <x v="1"/>
    <n v="36960.011431722996"/>
    <x v="247"/>
    <n v="2.1425545771895727"/>
    <n v="2.1425545771895727"/>
    <n v="5.1375454006121632"/>
    <n v="110442.85091867871"/>
    <n v="93"/>
    <n v="38.80250390495349"/>
    <n v="3696001.1431722995"/>
    <s v="OK"/>
  </r>
  <r>
    <x v="256"/>
    <x v="4"/>
    <x v="0"/>
    <s v="Winter"/>
    <x v="29"/>
    <n v="-0.15023877802714641"/>
    <x v="0"/>
    <n v="34591.583030011563"/>
    <x v="248"/>
    <n v="2.3196083182375924"/>
    <n v="2.3196083182375924"/>
    <n v="5.10466265638349"/>
    <n v="77926.60342939262"/>
    <n v="99"/>
    <n v="72.182489025475704"/>
    <n v="3597524.6351212026"/>
    <s v="OK"/>
  </r>
  <r>
    <x v="257"/>
    <x v="4"/>
    <x v="11"/>
    <s v="Winter"/>
    <x v="57"/>
    <n v="-0.30034588315505778"/>
    <x v="2"/>
    <n v="22147.496981884113"/>
    <x v="249"/>
    <n v="3.8728484746765304"/>
    <n v="3.8728484746765304"/>
    <n v="6.3782448451459546"/>
    <n v="93384.215513448857"/>
    <n v="87"/>
    <n v="52.415771406026373"/>
    <n v="1771799.7585507291"/>
    <s v="OK"/>
  </r>
  <r>
    <x v="258"/>
    <x v="2"/>
    <x v="1"/>
    <s v="Winter"/>
    <x v="32"/>
    <n v="-0.11271200174516857"/>
    <x v="3"/>
    <n v="25051.859317148312"/>
    <x v="81"/>
    <n v="0.28813808867049318"/>
    <n v="0.28813808867049318"/>
    <n v="5.9020696349009407"/>
    <n v="84396.017417650743"/>
    <n v="87"/>
    <n v="67.683487638211773"/>
    <n v="2755704.5248863143"/>
    <s v="Missing Data"/>
  </r>
  <r>
    <x v="259"/>
    <x v="4"/>
    <x v="2"/>
    <s v="Spring"/>
    <x v="5"/>
    <n v="-0.23780125601842803"/>
    <x v="2"/>
    <n v="34703.855939941081"/>
    <x v="250"/>
    <n v="4.0334337012963255"/>
    <n v="4.0334337012963255"/>
    <n v="5.8793871486193341"/>
    <n v="126611.4980807808"/>
    <n v="89"/>
    <m/>
    <n v="3123347.0345946974"/>
    <s v="Missing Data"/>
  </r>
  <r>
    <x v="260"/>
    <x v="0"/>
    <x v="3"/>
    <s v="Spring"/>
    <x v="0"/>
    <n v="-0.20027447973645018"/>
    <x v="2"/>
    <n v="25087.563032308452"/>
    <x v="251"/>
    <n v="1.0760428475498549"/>
    <n v="1.0760428475498549"/>
    <n v="6.0631211077702316"/>
    <n v="76064.227071473768"/>
    <n v="86"/>
    <n v="21.353023993728584"/>
    <n v="2408406.0511016115"/>
    <s v="OK"/>
  </r>
  <r>
    <x v="261"/>
    <x v="2"/>
    <x v="4"/>
    <s v="Spring"/>
    <x v="3"/>
    <n v="-0.15649324074080936"/>
    <x v="3"/>
    <n v="28876.834250014876"/>
    <x v="252"/>
    <n v="2.233347670765585"/>
    <n v="2.233347670765585"/>
    <n v="3.657313452151473"/>
    <n v="117873.95378778221"/>
    <n v="80"/>
    <n v="92.765154190424099"/>
    <n v="2974313.9277515323"/>
    <s v="OK"/>
  </r>
  <r>
    <x v="262"/>
    <x v="4"/>
    <x v="5"/>
    <s v="Summer"/>
    <x v="8"/>
    <n v="-0.18151109159546128"/>
    <x v="1"/>
    <n v="32750.260495122759"/>
    <x v="253"/>
    <n v="2.0707555797013382"/>
    <n v="2.0707555797013382"/>
    <n v="6.408146415984378"/>
    <n v="117859.07740217539"/>
    <n v="91"/>
    <n v="41.570400701374624"/>
    <n v="3242275.789017153"/>
    <s v="OK"/>
  </r>
  <r>
    <x v="263"/>
    <x v="0"/>
    <x v="6"/>
    <s v="Summer"/>
    <x v="27"/>
    <n v="-0.80070290024809565"/>
    <x v="3"/>
    <n v="25158.277725681823"/>
    <x v="254"/>
    <n v="3.0885532697707196"/>
    <n v="3.0885532697707196"/>
    <n v="6.2349625528163228"/>
    <n v="136592.40403432175"/>
    <n v="84"/>
    <n v="85.574160222436731"/>
    <n v="0"/>
    <s v="Missing Data"/>
  </r>
  <r>
    <x v="264"/>
    <x v="4"/>
    <x v="7"/>
    <s v="Summer"/>
    <x v="20"/>
    <n v="-0.13772985259982046"/>
    <x v="2"/>
    <n v="30526.877530729798"/>
    <x v="255"/>
    <n v="0.90187564811625243"/>
    <n v="0.90187564811625243"/>
    <n v="4.2799802457082032"/>
    <n v="91806.268147410054"/>
    <n v="89"/>
    <n v="99.948024037776008"/>
    <n v="3235849.0182573586"/>
    <s v="OK"/>
  </r>
  <r>
    <x v="265"/>
    <x v="1"/>
    <x v="8"/>
    <s v="Autumn"/>
    <x v="34"/>
    <n v="-0.1752566288817983"/>
    <x v="3"/>
    <m/>
    <x v="256"/>
    <n v="2.9621726660819427"/>
    <n v="2.9621726660819427"/>
    <n v="5.2071034315909586"/>
    <n v="114246.44319160325"/>
    <n v="113"/>
    <n v="36.914500639912895"/>
    <n v="0"/>
    <s v="Missing Data"/>
  </r>
  <r>
    <x v="266"/>
    <x v="4"/>
    <x v="9"/>
    <s v="Autumn"/>
    <x v="39"/>
    <n v="-0.26907356958674289"/>
    <x v="0"/>
    <n v="26993.161780243932"/>
    <x v="257"/>
    <n v="4.524309623286852"/>
    <n v="4.524309623286852"/>
    <n v="5.4528312548468429"/>
    <n v="145633.03673077686"/>
    <n v="89"/>
    <n v="41.213659294668446"/>
    <n v="2294418.7513207342"/>
    <s v="OK"/>
  </r>
  <r>
    <x v="267"/>
    <x v="1"/>
    <x v="10"/>
    <s v="Autumn"/>
    <x v="13"/>
    <n v="-0.16900216616813532"/>
    <x v="0"/>
    <n v="31598.909670712685"/>
    <x v="258"/>
    <n v="1.1368259954071895"/>
    <n v="1.1368259954071895"/>
    <n v="5.3386038587179208"/>
    <n v="87647.166461326065"/>
    <n v="91"/>
    <n v="73.028783010773253"/>
    <n v="3191489.8767419811"/>
    <s v="OK"/>
  </r>
  <r>
    <x v="268"/>
    <x v="4"/>
    <x v="0"/>
    <s v="Winter"/>
    <x v="17"/>
    <n v="-0.21903786787743912"/>
    <x v="1"/>
    <n v="22035.031332341656"/>
    <x v="259"/>
    <n v="2.6897061676103955"/>
    <n v="2.6897061676103955"/>
    <n v="5.9006319598822419"/>
    <n v="69299.195049352798"/>
    <n v="83"/>
    <n v="97.2358907680497"/>
    <n v="2049257.913907774"/>
    <s v="OK"/>
  </r>
  <r>
    <x v="269"/>
    <x v="3"/>
    <x v="11"/>
    <s v="Winter"/>
    <x v="31"/>
    <n v="-0.23154679330476505"/>
    <x v="2"/>
    <n v="32202.373689801996"/>
    <x v="260"/>
    <n v="1.8380178222033909"/>
    <n v="1.8380178222033909"/>
    <n v="7.21764013819742"/>
    <n v="62399.79932184473"/>
    <n v="77"/>
    <n v="93.265147855259514"/>
    <n v="2930416.0057719816"/>
    <s v="OK"/>
  </r>
  <r>
    <x v="270"/>
    <x v="4"/>
    <x v="1"/>
    <s v="Winter"/>
    <x v="3"/>
    <n v="-0.15649324074080936"/>
    <x v="1"/>
    <n v="29901.811005366595"/>
    <x v="261"/>
    <n v="2.9258872061930359"/>
    <n v="2.9258872061930359"/>
    <n v="6.7981200732073948"/>
    <n v="114254.24057722662"/>
    <n v="95"/>
    <n v="60.23004160524679"/>
    <n v="3079886.5335527593"/>
    <s v="OK"/>
  </r>
  <r>
    <x v="271"/>
    <x v="2"/>
    <x v="2"/>
    <s v="Spring"/>
    <x v="40"/>
    <n v="-0.11896646445883154"/>
    <x v="1"/>
    <n v="327624.49772085738"/>
    <x v="262"/>
    <n v="2.519147777415752"/>
    <n v="2.519147777415752"/>
    <n v="3.9253369678823127"/>
    <n v="62336.995838828327"/>
    <n v="91"/>
    <n v="83.608822602137977"/>
    <n v="35711070.251573458"/>
    <s v="OK"/>
  </r>
  <r>
    <x v="272"/>
    <x v="2"/>
    <x v="3"/>
    <s v="Spring"/>
    <x v="50"/>
    <n v="-0.28158249501406885"/>
    <x v="1"/>
    <n v="31119.570670323308"/>
    <x v="263"/>
    <n v="1.8585130909556904"/>
    <n v="1.8585130909556904"/>
    <n v="6.2464839883672587"/>
    <n v="92553.618941241541"/>
    <n v="97"/>
    <m/>
    <n v="2582924.3656368344"/>
    <s v="Missing Data"/>
  </r>
  <r>
    <x v="273"/>
    <x v="1"/>
    <x v="4"/>
    <s v="Spring"/>
    <x v="41"/>
    <n v="-0.16274770345447234"/>
    <x v="0"/>
    <n v="36820.702149869219"/>
    <x v="264"/>
    <n v="2.9878722848710741"/>
    <n v="2.9878722848710741"/>
    <n v="70.947199834424907"/>
    <n v="108746.26374077922"/>
    <n v="97"/>
    <n v="98.195054736320984"/>
    <n v="3755711.6192866606"/>
    <s v="OK"/>
  </r>
  <r>
    <x v="274"/>
    <x v="2"/>
    <x v="5"/>
    <s v="Summer"/>
    <x v="7"/>
    <n v="-0.18776555430912426"/>
    <x v="3"/>
    <n v="30626.122513239538"/>
    <x v="265"/>
    <n v="4.3043481097867433"/>
    <n v="4.3043481097867433"/>
    <n v="5.9641702248270434"/>
    <n v="103703.51073659828"/>
    <n v="85"/>
    <n v="97.148258722878921"/>
    <n v="3001360.0062974747"/>
    <s v="OK"/>
  </r>
  <r>
    <x v="275"/>
    <x v="0"/>
    <x v="6"/>
    <s v="Summer"/>
    <x v="17"/>
    <n v="-0.21903786787743912"/>
    <x v="2"/>
    <n v="27852.972294373736"/>
    <x v="266"/>
    <n v="2.3090962082727011"/>
    <n v="2.3090962082727011"/>
    <m/>
    <n v="108508.89728368344"/>
    <n v="77"/>
    <n v="33.098316630333677"/>
    <n v="2590326.4233767577"/>
    <s v="Missing Data"/>
  </r>
  <r>
    <x v="276"/>
    <x v="3"/>
    <x v="7"/>
    <s v="Summer"/>
    <x v="29"/>
    <n v="-0.15023877802714641"/>
    <x v="3"/>
    <n v="30611.487515161418"/>
    <x v="267"/>
    <n v="3.2197579421481821"/>
    <n v="3.2197579421481821"/>
    <n v="7.9147245348409179"/>
    <m/>
    <n v="100"/>
    <n v="43.953849984248528"/>
    <n v="3183594.7015767875"/>
    <s v="Missing Data"/>
  </r>
  <r>
    <x v="277"/>
    <x v="3"/>
    <x v="8"/>
    <s v="Autumn"/>
    <x v="0"/>
    <n v="-0.20027447973645018"/>
    <x v="2"/>
    <n v="32716.490145181939"/>
    <x v="268"/>
    <n v="2.1801524767451559"/>
    <m/>
    <n v="6.7284514553283774"/>
    <n v="125577.31626626787"/>
    <n v="87"/>
    <n v="28.012399800541353"/>
    <n v="3140783.0539374659"/>
    <s v="Missing Data"/>
  </r>
  <r>
    <x v="278"/>
    <x v="0"/>
    <x v="9"/>
    <s v="Autumn"/>
    <x v="3"/>
    <n v="-0.15649324074080936"/>
    <x v="1"/>
    <n v="30244.300351628521"/>
    <x v="269"/>
    <n v="1.5435636231819911"/>
    <n v="1.5435636231819911"/>
    <n v="5.7991703147700751"/>
    <n v="80953.672385224054"/>
    <n v="102"/>
    <n v="41.737407911854376"/>
    <n v="3115162.9362177378"/>
    <s v="OK"/>
  </r>
  <r>
    <x v="279"/>
    <x v="1"/>
    <x v="10"/>
    <s v="Autumn"/>
    <x v="39"/>
    <n v="-0.26907356958674289"/>
    <x v="2"/>
    <n v="30202.958456019413"/>
    <x v="270"/>
    <n v="2.9724062778803773"/>
    <n v="2.9724062778803773"/>
    <m/>
    <n v="86460.097230829371"/>
    <n v="102"/>
    <n v="85.276463153216525"/>
    <n v="2567251.4687616499"/>
    <s v="Missing Data"/>
  </r>
  <r>
    <x v="280"/>
    <x v="0"/>
    <x v="10"/>
    <s v="Autumn"/>
    <x v="12"/>
    <n v="-0.22529233059110207"/>
    <x v="1"/>
    <n v="26490.041560966223"/>
    <x v="81"/>
    <n v="3.9841160285359649"/>
    <n v="3.9841160285359649"/>
    <n v="5.6738653997162691"/>
    <n v="84546.811094583521"/>
    <n v="98"/>
    <n v="50.265248573220759"/>
    <n v="2437083.8236088925"/>
    <s v="Missing Data"/>
  </r>
  <r>
    <x v="281"/>
    <x v="0"/>
    <x v="0"/>
    <s v="Winter"/>
    <x v="5"/>
    <n v="-0.23780125601842803"/>
    <x v="1"/>
    <n v="26685.495412245258"/>
    <x v="271"/>
    <n v="2.8556133487856599"/>
    <n v="2.8556133487856599"/>
    <n v="5.5286836519419467"/>
    <n v="116603.8362372522"/>
    <n v="80"/>
    <n v="27.07175737174067"/>
    <n v="2401694.5871020732"/>
    <s v="OK"/>
  </r>
  <r>
    <x v="282"/>
    <x v="3"/>
    <x v="1"/>
    <s v="Winter"/>
    <x v="50"/>
    <n v="-0.28158249501406885"/>
    <x v="2"/>
    <n v="22986.973641001532"/>
    <x v="272"/>
    <n v="2.1869419694768455"/>
    <n v="2.1869419694768455"/>
    <n v="5.078302917143521"/>
    <n v="118007.97176790127"/>
    <n v="79"/>
    <n v="47.378041982312368"/>
    <n v="1907918.8122031272"/>
    <s v="OK"/>
  </r>
  <r>
    <x v="283"/>
    <x v="4"/>
    <x v="1"/>
    <s v="Winter"/>
    <x v="11"/>
    <n v="-0.26281910687307991"/>
    <x v="0"/>
    <n v="38747.883715934695"/>
    <x v="273"/>
    <n v="2.4992914054233539"/>
    <n v="2.4992914054233539"/>
    <n v="7.3760960305985295"/>
    <n v="109024.50638637017"/>
    <n v="91"/>
    <n v="98.510666739302408"/>
    <n v="3332317.9995703837"/>
    <s v="OK"/>
  </r>
  <r>
    <x v="284"/>
    <x v="3"/>
    <x v="2"/>
    <s v="Spring"/>
    <x v="32"/>
    <n v="-0.11271200174516857"/>
    <x v="2"/>
    <n v="23780.683823043575"/>
    <x v="274"/>
    <n v="1.2495922660302825"/>
    <n v="1.2495922660302825"/>
    <n v="4.5178856008695982"/>
    <n v="123669.87333779855"/>
    <n v="81"/>
    <n v="70.374687620736239"/>
    <n v="2615875.2205347931"/>
    <s v="OK"/>
  </r>
  <r>
    <x v="285"/>
    <x v="3"/>
    <x v="3"/>
    <s v="Spring"/>
    <x v="38"/>
    <n v="-0.244055718732091"/>
    <x v="2"/>
    <m/>
    <x v="275"/>
    <n v="3.1045153263553669"/>
    <n v="3.1045153263553669"/>
    <n v="7.3388412696137388"/>
    <n v="76439.182652472387"/>
    <n v="66"/>
    <n v="53.292875712492616"/>
    <n v="0"/>
    <s v="Missing Data"/>
  </r>
  <r>
    <x v="286"/>
    <x v="2"/>
    <x v="4"/>
    <s v="Spring"/>
    <x v="28"/>
    <n v="-6.2676300035864774E-2"/>
    <x v="0"/>
    <n v="264079.63672154013"/>
    <x v="276"/>
    <n v="3.3823330623234091"/>
    <n v="3.3823330623234091"/>
    <n v="6.0998369484884458"/>
    <n v="133344.48223102273"/>
    <n v="92"/>
    <n v="33.323081079781602"/>
    <n v="31161397.133141734"/>
    <s v="OK"/>
  </r>
  <r>
    <x v="287"/>
    <x v="0"/>
    <x v="5"/>
    <s v="Summer"/>
    <x v="41"/>
    <n v="-0.16274770345447234"/>
    <x v="1"/>
    <n v="34474.621884722204"/>
    <x v="277"/>
    <n v="2.0479096671669197"/>
    <n v="2.0479096671669197"/>
    <n v="3.8208325902376705"/>
    <n v="130464.77243424517"/>
    <n v="95"/>
    <n v="98.894143782695579"/>
    <n v="3516411.4322416647"/>
    <s v="OK"/>
  </r>
  <r>
    <x v="288"/>
    <x v="3"/>
    <x v="6"/>
    <s v="Summer"/>
    <x v="19"/>
    <n v="-0.1252209271724945"/>
    <x v="3"/>
    <n v="28525.25160853986"/>
    <x v="278"/>
    <n v="2.0299578522404986"/>
    <n v="2.0299578522404986"/>
    <n v="59.411791515897065"/>
    <n v="114712.43994491494"/>
    <m/>
    <n v="85.667920741050295"/>
    <n v="3080727.1737223049"/>
    <s v="Missing Data"/>
  </r>
  <r>
    <x v="289"/>
    <x v="0"/>
    <x v="7"/>
    <s v="Summer"/>
    <x v="22"/>
    <n v="-0.20652894245011316"/>
    <x v="0"/>
    <n v="36238.710363368671"/>
    <x v="279"/>
    <n v="2.7658782296520483"/>
    <n v="2.7658782296520483"/>
    <n v="2.9799681908180511"/>
    <n v="135635.97817542119"/>
    <n v="108"/>
    <m/>
    <n v="3442677.4845200237"/>
    <s v="Missing Data"/>
  </r>
  <r>
    <x v="290"/>
    <x v="2"/>
    <x v="8"/>
    <s v="Autumn"/>
    <x v="34"/>
    <n v="-0.1752566288817983"/>
    <x v="0"/>
    <n v="26632.546878780657"/>
    <x v="280"/>
    <n v="2.0632802639594043"/>
    <n v="2.0632802639594043"/>
    <n v="6.2506096201972428"/>
    <n v="66867.535846444516"/>
    <n v="83"/>
    <n v="25.605495657695158"/>
    <n v="2663254.6878780657"/>
    <s v="OK"/>
  </r>
  <r>
    <x v="291"/>
    <x v="0"/>
    <x v="9"/>
    <s v="Autumn"/>
    <x v="11"/>
    <n v="-0.26281910687307991"/>
    <x v="2"/>
    <n v="31394.970811119008"/>
    <x v="281"/>
    <n v="2.4338673853741777"/>
    <n v="2.4338673853741777"/>
    <n v="6.5622777795867897"/>
    <n v="89511.037274746966"/>
    <n v="96"/>
    <n v="24.530044590204643"/>
    <n v="2699967.4897562349"/>
    <s v="OK"/>
  </r>
  <r>
    <x v="292"/>
    <x v="3"/>
    <x v="10"/>
    <s v="Autumn"/>
    <x v="6"/>
    <n v="-0.21278340516377614"/>
    <x v="3"/>
    <n v="25823.264733701213"/>
    <x v="282"/>
    <n v="2.5869878669999999"/>
    <n v="4.5997217891665159"/>
    <n v="4.7891728532175355"/>
    <n v="85293.930786360957"/>
    <n v="84"/>
    <n v="29.630251960442706"/>
    <n v="2427386.8849679139"/>
    <s v="OK"/>
  </r>
  <r>
    <x v="293"/>
    <x v="0"/>
    <x v="0"/>
    <s v="Winter"/>
    <x v="2"/>
    <n v="-0.25031018144575395"/>
    <x v="3"/>
    <n v="40725.745638866938"/>
    <x v="283"/>
    <n v="2.2529742992540034"/>
    <n v="2.2529742992540034"/>
    <n v="5.6482572351466986"/>
    <n v="114429.58647514686"/>
    <n v="92"/>
    <n v="66.46148668915373"/>
    <n v="3583865.6162202908"/>
    <s v="OK"/>
  </r>
  <r>
    <x v="294"/>
    <x v="2"/>
    <x v="11"/>
    <s v="Winter"/>
    <x v="58"/>
    <n v="5.5163044405515071"/>
    <x v="0"/>
    <n v="24062.007904852435"/>
    <x v="284"/>
    <n v="2.5869878669999999"/>
    <n v="21.416598479787776"/>
    <n v="7.8449889205003434"/>
    <n v="78997.185207957082"/>
    <n v="790"/>
    <n v="94.301073696439389"/>
    <n v="24302627.983900961"/>
    <s v="OK"/>
  </r>
  <r>
    <x v="295"/>
    <x v="4"/>
    <x v="1"/>
    <s v="Winter"/>
    <x v="22"/>
    <n v="-0.20652894245011316"/>
    <x v="0"/>
    <n v="31549.103551135137"/>
    <x v="285"/>
    <n v="1.8524581943648408"/>
    <n v="1.8524581943648408"/>
    <n v="4.8931039548856763"/>
    <n v="115149.90298674972"/>
    <n v="98"/>
    <n v="59.739474240478756"/>
    <n v="2997164.8373578382"/>
    <s v="OK"/>
  </r>
  <r>
    <x v="296"/>
    <x v="0"/>
    <x v="2"/>
    <s v="Spring"/>
    <x v="22"/>
    <n v="-0.20652894245011316"/>
    <x v="0"/>
    <n v="33168.884404660494"/>
    <x v="286"/>
    <n v="3.2441919714999368"/>
    <n v="3.2441919714999368"/>
    <n v="4.2293108955320795"/>
    <n v="127410.72287993427"/>
    <n v="800"/>
    <n v="87.435638596495778"/>
    <n v="3151044.0184427467"/>
    <s v="OK"/>
  </r>
  <r>
    <x v="297"/>
    <x v="3"/>
    <x v="3"/>
    <s v="Spring"/>
    <x v="12"/>
    <n v="-0.22529233059110207"/>
    <x v="3"/>
    <n v="32068.995487257493"/>
    <x v="287"/>
    <n v="2.3187758267818972"/>
    <n v="2.3187758267818972"/>
    <n v="7.2779960829551182"/>
    <n v="113904.05800167998"/>
    <n v="93"/>
    <n v="55.670929588784624"/>
    <n v="2950347.5848276895"/>
    <s v="OK"/>
  </r>
  <r>
    <x v="298"/>
    <x v="2"/>
    <x v="4"/>
    <s v="Spring"/>
    <x v="19"/>
    <n v="-0.1252209271724945"/>
    <x v="2"/>
    <n v="29073.561705611457"/>
    <x v="288"/>
    <n v="1.850626961678574"/>
    <n v="1.850626961678574"/>
    <n v="7.855104628636953"/>
    <n v="105675.02047323002"/>
    <n v="90"/>
    <n v="76.686683661426017"/>
    <n v="3139944.6642060373"/>
    <s v="OK"/>
  </r>
  <r>
    <x v="299"/>
    <x v="3"/>
    <x v="5"/>
    <s v="Summer"/>
    <x v="8"/>
    <n v="-0.18151109159546128"/>
    <x v="1"/>
    <n v="29350.896501332871"/>
    <x v="289"/>
    <n v="2.6897061676103955"/>
    <m/>
    <n v="5.5044348062174171"/>
    <n v="80242.533181985025"/>
    <n v="85"/>
    <n v="78.549818982920073"/>
    <n v="2905738.7536319541"/>
    <s v="Missing Data"/>
  </r>
  <r>
    <x v="300"/>
    <x v="3"/>
    <x v="6"/>
    <s v="Summer"/>
    <x v="22"/>
    <n v="-0.20652894245011316"/>
    <x v="2"/>
    <n v="30219.057359895549"/>
    <x v="290"/>
    <n v="3.919603004513637"/>
    <n v="3.919603004513637"/>
    <n v="6.7137556424900273"/>
    <n v="83062.980677492713"/>
    <n v="81"/>
    <n v="33.91709647226709"/>
    <n v="2870810.4491900774"/>
    <s v="OK"/>
  </r>
  <r>
    <x v="301"/>
    <x v="0"/>
    <x v="7"/>
    <s v="Summer"/>
    <x v="11"/>
    <n v="-0.26281910687307991"/>
    <x v="3"/>
    <n v="29264.989991857557"/>
    <x v="291"/>
    <n v="1.8995764342612949"/>
    <n v="1.8995764342612949"/>
    <n v="7.109771098637057"/>
    <n v="124992.37810593334"/>
    <n v="80"/>
    <n v="48.897284718064938"/>
    <n v="2516789.1392997499"/>
    <s v="OK"/>
  </r>
  <r>
    <x v="302"/>
    <x v="3"/>
    <x v="8"/>
    <s v="Autumn"/>
    <x v="37"/>
    <n v="-5.0167374608538831E-2"/>
    <x v="0"/>
    <n v="34819.395583974547"/>
    <x v="292"/>
    <n v="0.63346004863938377"/>
    <n v="0.63346004863938377"/>
    <n v="4.6090189209539396"/>
    <n v="115586.98007810664"/>
    <n v="88"/>
    <n v="70.984172523041906"/>
    <n v="4178327.4700769456"/>
    <s v="OK"/>
  </r>
  <r>
    <x v="303"/>
    <x v="0"/>
    <x v="9"/>
    <s v="Autumn"/>
    <x v="47"/>
    <n v="-0.2940914204413948"/>
    <x v="3"/>
    <n v="41052.61500795676"/>
    <x v="293"/>
    <n v="3.5075136898369221"/>
    <n v="3.5075136898369221"/>
    <n v="49.176329975585574"/>
    <n v="99219.609612449116"/>
    <n v="88"/>
    <m/>
    <n v="3325261.8156444975"/>
    <s v="Missing Data"/>
  </r>
  <r>
    <x v="304"/>
    <x v="4"/>
    <x v="10"/>
    <s v="Autumn"/>
    <x v="41"/>
    <n v="-0.16274770345447234"/>
    <x v="1"/>
    <n v="272125.4107496083"/>
    <x v="294"/>
    <n v="1.8153701742399959"/>
    <n v="1.8153701742399959"/>
    <n v="6.9770494157856824"/>
    <n v="91641.809084682187"/>
    <n v="92"/>
    <n v="48.923215021036526"/>
    <n v="27756791.896460045"/>
    <s v="OK"/>
  </r>
  <r>
    <x v="305"/>
    <x v="3"/>
    <x v="0"/>
    <s v="Winter"/>
    <x v="18"/>
    <n v="-0.25656464415941693"/>
    <x v="1"/>
    <n v="23150.985102104612"/>
    <x v="295"/>
    <n v="3.2906255991627686"/>
    <n v="3.2906255991627686"/>
    <n v="7.5220171344502109"/>
    <n v="59483.842537772463"/>
    <n v="90"/>
    <n v="62.783957302495395"/>
    <n v="2014135.7038831012"/>
    <s v="OK"/>
  </r>
  <r>
    <x v="306"/>
    <x v="3"/>
    <x v="11"/>
    <s v="Winter"/>
    <x v="5"/>
    <n v="-0.23780125601842803"/>
    <x v="0"/>
    <n v="29558.589758243725"/>
    <x v="296"/>
    <n v="0.52989618228816449"/>
    <n v="0.52989618228816449"/>
    <n v="6.1754570322092253"/>
    <n v="78582.951626311231"/>
    <n v="97"/>
    <n v="99.697959443571094"/>
    <n v="2660273.078241935"/>
    <s v="OK"/>
  </r>
  <r>
    <x v="307"/>
    <x v="3"/>
    <x v="1"/>
    <s v="Winter"/>
    <x v="38"/>
    <n v="-0.244055718732091"/>
    <x v="2"/>
    <n v="42898.546688271592"/>
    <x v="297"/>
    <n v="3.3925973382993093"/>
    <n v="3.3925973382993093"/>
    <n v="4.4442227757975346"/>
    <n v="138228.38174279447"/>
    <n v="89"/>
    <m/>
    <n v="3817970.6552561717"/>
    <s v="Missing Data"/>
  </r>
  <r>
    <x v="308"/>
    <x v="1"/>
    <x v="2"/>
    <s v="Spring"/>
    <x v="10"/>
    <n v="-0.14398431531348344"/>
    <x v="3"/>
    <n v="25981.627160151347"/>
    <x v="298"/>
    <n v="1.2888280707192188"/>
    <n v="1.2888280707192188"/>
    <m/>
    <n v="74390.888579950668"/>
    <n v="106"/>
    <n v="85.284540569145889"/>
    <n v="2728070.8518158915"/>
    <s v="Missing Data"/>
  </r>
  <r>
    <x v="309"/>
    <x v="1"/>
    <x v="3"/>
    <s v="Spring"/>
    <x v="0"/>
    <n v="-0.20027447973645018"/>
    <x v="1"/>
    <n v="38195.584027220335"/>
    <x v="299"/>
    <n v="3.2307641190665244"/>
    <n v="3.2307641190665244"/>
    <n v="4.8628349226256429"/>
    <n v="103789.59642442162"/>
    <n v="91"/>
    <n v="54.565382805329421"/>
    <n v="3666776.0666131522"/>
    <s v="OK"/>
  </r>
  <r>
    <x v="310"/>
    <x v="2"/>
    <x v="4"/>
    <s v="Spring"/>
    <x v="26"/>
    <n v="-0.19402001702278721"/>
    <x v="1"/>
    <n v="38388.504070382201"/>
    <x v="300"/>
    <n v="2.514273067836434"/>
    <n v="2.514273067836434"/>
    <n v="5.0978346625942574"/>
    <n v="120148.87946390397"/>
    <m/>
    <n v="83.711257809576708"/>
    <n v="3723684.8948270734"/>
    <s v="Missing Data"/>
  </r>
  <r>
    <x v="311"/>
    <x v="1"/>
    <x v="5"/>
    <s v="Summer"/>
    <x v="7"/>
    <n v="-0.18776555430912426"/>
    <x v="1"/>
    <n v="27232.058791460026"/>
    <x v="301"/>
    <n v="1.5460605806033552"/>
    <n v="1.5460605806033552"/>
    <n v="5.9108054013875453"/>
    <n v="74901.546639954147"/>
    <n v="93"/>
    <n v="67.633184129608679"/>
    <n v="2668741.7615630827"/>
    <s v="OK"/>
  </r>
  <r>
    <x v="312"/>
    <x v="2"/>
    <x v="6"/>
    <s v="Summer"/>
    <x v="59"/>
    <n v="5.3912151862782478"/>
    <x v="1"/>
    <n v="32844.915395926379"/>
    <x v="302"/>
    <n v="2.0929636870732193"/>
    <n v="2.0929636870732193"/>
    <n v="7.3649925048577289"/>
    <n v="103694.20949562166"/>
    <n v="89"/>
    <n v="90.927635320191868"/>
    <n v="32516466.241967116"/>
    <s v="OK"/>
  </r>
  <r>
    <x v="313"/>
    <x v="1"/>
    <x v="7"/>
    <s v="Summer"/>
    <x v="19"/>
    <n v="-0.1252209271724945"/>
    <x v="2"/>
    <n v="38141.983115642688"/>
    <x v="81"/>
    <n v="3.1863184569567009"/>
    <n v="3.1863184569567009"/>
    <n v="6.5247711718626684"/>
    <n v="118758.3107502131"/>
    <n v="73"/>
    <n v="52.875404188008794"/>
    <n v="4119334.1764894105"/>
    <s v="Missing Data"/>
  </r>
  <r>
    <x v="314"/>
    <x v="4"/>
    <x v="8"/>
    <s v="Autumn"/>
    <x v="12"/>
    <n v="-0.22529233059110207"/>
    <x v="0"/>
    <n v="28104.361295062565"/>
    <x v="303"/>
    <n v="2.6058944531152344"/>
    <n v="2.6058944531152344"/>
    <n v="5.9978386004342923"/>
    <n v="100249.986438145"/>
    <n v="101"/>
    <n v="68.344353585718309"/>
    <n v="2585601.2391457558"/>
    <s v="OK"/>
  </r>
  <r>
    <x v="315"/>
    <x v="2"/>
    <x v="9"/>
    <s v="Autumn"/>
    <x v="26"/>
    <n v="-0.19402001702278721"/>
    <x v="0"/>
    <n v="28982.098199488191"/>
    <x v="304"/>
    <n v="3.084412980472484"/>
    <n v="3.084412980472484"/>
    <n v="6.0559462361417271"/>
    <n v="157368.06111333537"/>
    <n v="81"/>
    <n v="70.401494449506188"/>
    <n v="2811263.5253503546"/>
    <s v="OK"/>
  </r>
  <r>
    <x v="316"/>
    <x v="1"/>
    <x v="10"/>
    <s v="Autumn"/>
    <x v="25"/>
    <n v="-7.518522546319073E-2"/>
    <x v="1"/>
    <n v="27091.595430256781"/>
    <x v="305"/>
    <n v="4.4764405845154851"/>
    <n v="4.4764405845154851"/>
    <n v="5.552217602372159"/>
    <n v="66628.014822436089"/>
    <n v="98"/>
    <n v="53.390635344037861"/>
    <n v="3142625.0699097863"/>
    <s v="OK"/>
  </r>
  <r>
    <x v="317"/>
    <x v="4"/>
    <x v="0"/>
    <s v="Winter"/>
    <x v="27"/>
    <n v="-0.80070290024809565"/>
    <x v="0"/>
    <n v="24926.216346535664"/>
    <x v="306"/>
    <n v="0.93575838828894864"/>
    <n v="0.93575838828894864"/>
    <n v="6.1697674174222072"/>
    <n v="121174.57059767758"/>
    <n v="92"/>
    <n v="31.54496349499852"/>
    <n v="0"/>
    <s v="Missing Data"/>
  </r>
  <r>
    <x v="318"/>
    <x v="1"/>
    <x v="11"/>
    <s v="Winter"/>
    <x v="18"/>
    <n v="-0.25656464415941693"/>
    <x v="0"/>
    <n v="26753.612274669966"/>
    <x v="307"/>
    <n v="4.1172125749686241"/>
    <n v="4.1172125749686241"/>
    <n v="24.645279067668366"/>
    <n v="96543.965252070717"/>
    <m/>
    <n v="27.484752552986844"/>
    <n v="2327564.2678962871"/>
    <s v="Missing Data"/>
  </r>
  <r>
    <x v="319"/>
    <x v="0"/>
    <x v="1"/>
    <s v="Winter"/>
    <x v="3"/>
    <n v="-0.15649324074080936"/>
    <x v="2"/>
    <n v="23880.298666188719"/>
    <x v="308"/>
    <n v="2.6043559375232128"/>
    <n v="2.6043559375232128"/>
    <n v="5.144071049116242"/>
    <n v="115438.4030967335"/>
    <n v="101"/>
    <n v="21.333724047970648"/>
    <n v="2459670.7626174381"/>
    <s v="OK"/>
  </r>
  <r>
    <x v="320"/>
    <x v="0"/>
    <x v="2"/>
    <s v="Spring"/>
    <x v="30"/>
    <n v="-8.1439688176853695E-2"/>
    <x v="0"/>
    <n v="30170.417341296132"/>
    <x v="309"/>
    <n v="1.6012159516768718"/>
    <n v="1.6012159516768718"/>
    <n v="5.7895863219001376"/>
    <n v="108826.14303398492"/>
    <n v="67"/>
    <n v="89.882741139617167"/>
    <n v="3469597.9942490552"/>
    <s v="OK"/>
  </r>
  <r>
    <x v="321"/>
    <x v="4"/>
    <x v="3"/>
    <s v="Spring"/>
    <x v="2"/>
    <n v="-0.25031018144575395"/>
    <x v="2"/>
    <n v="26150.13384470679"/>
    <x v="310"/>
    <n v="1.1696863742610102"/>
    <n v="1.1696863742610102"/>
    <n v="4.1187830996565911"/>
    <n v="85336.876057800066"/>
    <n v="101"/>
    <m/>
    <n v="2301211.7783341976"/>
    <s v="Missing Data"/>
  </r>
  <r>
    <x v="322"/>
    <x v="3"/>
    <x v="4"/>
    <s v="Spring"/>
    <x v="60"/>
    <n v="4.9534027963218392"/>
    <x v="3"/>
    <n v="31168.92955895374"/>
    <x v="311"/>
    <n v="2.3108796092229666"/>
    <n v="2.3108796092229666"/>
    <n v="5.9635879813738724"/>
    <n v="104579.9278491868"/>
    <n v="88"/>
    <n v="36.920539942541446"/>
    <n v="28675415.194237441"/>
    <s v="OK"/>
  </r>
  <r>
    <x v="323"/>
    <x v="3"/>
    <x v="5"/>
    <s v="Summer"/>
    <x v="19"/>
    <n v="-0.1252209271724945"/>
    <x v="3"/>
    <n v="22220.521768981864"/>
    <x v="312"/>
    <n v="3.4216501119244596"/>
    <n v="3.4216501119244596"/>
    <n v="5.2546345348166543"/>
    <n v="62841.970972034258"/>
    <n v="89"/>
    <n v="78.88283203408524"/>
    <n v="2399816.3510500412"/>
    <s v="OK"/>
  </r>
  <r>
    <x v="324"/>
    <x v="0"/>
    <x v="6"/>
    <s v="Summer"/>
    <x v="27"/>
    <n v="-0.80070290024809565"/>
    <x v="0"/>
    <n v="31654.401161072285"/>
    <x v="313"/>
    <n v="2.3724508796224657"/>
    <n v="2.3724508796224657"/>
    <n v="7.6065708379785875"/>
    <n v="112064.95001142788"/>
    <n v="92"/>
    <n v="45.60128904699134"/>
    <n v="0"/>
    <s v="Missing Data"/>
  </r>
  <r>
    <x v="325"/>
    <x v="0"/>
    <x v="7"/>
    <s v="Summer"/>
    <x v="11"/>
    <n v="-0.26281910687307991"/>
    <x v="2"/>
    <n v="34167.644808044621"/>
    <x v="314"/>
    <n v="4.011154930247347"/>
    <n v="4.011154930247347"/>
    <n v="7.3876236702578275"/>
    <n v="105963.16931981052"/>
    <n v="85"/>
    <n v="604.83575392946921"/>
    <n v="2938417.4534918373"/>
    <s v="OK"/>
  </r>
  <r>
    <x v="326"/>
    <x v="3"/>
    <x v="8"/>
    <s v="Autumn"/>
    <x v="18"/>
    <n v="-0.25656464415941693"/>
    <x v="1"/>
    <n v="20031.321787142722"/>
    <x v="81"/>
    <n v="1.0488243099484411"/>
    <n v="1.0488243099484411"/>
    <n v="4.9410333170582046"/>
    <n v="112773.20337286204"/>
    <n v="86"/>
    <n v="33.000885223796502"/>
    <n v="1742724.9954814168"/>
    <s v="Missing Data"/>
  </r>
  <r>
    <x v="327"/>
    <x v="2"/>
    <x v="9"/>
    <s v="Autumn"/>
    <x v="40"/>
    <n v="-0.11896646445883154"/>
    <x v="0"/>
    <n v="31870.282849237861"/>
    <x v="315"/>
    <n v="2.4879110521539456"/>
    <n v="2.4879110521539456"/>
    <n v="5.3189947461199658"/>
    <n v="121162.366501743"/>
    <n v="93"/>
    <n v="96.779657716957544"/>
    <n v="3473860.8305669269"/>
    <s v="OK"/>
  </r>
  <r>
    <x v="328"/>
    <x v="3"/>
    <x v="10"/>
    <s v="Autumn"/>
    <x v="31"/>
    <n v="-0.23154679330476505"/>
    <x v="0"/>
    <n v="36138.344962366464"/>
    <x v="316"/>
    <n v="1.2476065555868809"/>
    <n v="1.2476065555868809"/>
    <n v="5.4112629212699286"/>
    <n v="107352.39680419421"/>
    <n v="84"/>
    <n v="88.126512001378984"/>
    <n v="3288589.3915753481"/>
    <s v="OK"/>
  </r>
  <r>
    <x v="329"/>
    <x v="1"/>
    <x v="0"/>
    <s v="Winter"/>
    <x v="1"/>
    <n v="-0.13147538988615748"/>
    <x v="1"/>
    <n v="23951.794906543972"/>
    <x v="317"/>
    <n v="2.863631882624968"/>
    <n v="2.863631882624968"/>
    <n v="49.58008628608453"/>
    <n v="102961.78839596553"/>
    <n v="89"/>
    <n v="89.103169837200255"/>
    <n v="2562842.0550002051"/>
    <s v="OK"/>
  </r>
  <r>
    <x v="330"/>
    <x v="2"/>
    <x v="11"/>
    <s v="Winter"/>
    <x v="20"/>
    <n v="-0.13772985259982046"/>
    <x v="2"/>
    <n v="38362.861934188521"/>
    <x v="318"/>
    <n v="3.3868873900973004"/>
    <n v="3.3868873900973004"/>
    <n v="5.7340299808337525"/>
    <n v="82378.633266774152"/>
    <n v="98"/>
    <n v="52.541899885760415"/>
    <n v="4066463.3650239832"/>
    <s v="OK"/>
  </r>
  <r>
    <x v="331"/>
    <x v="1"/>
    <x v="1"/>
    <s v="Winter"/>
    <x v="12"/>
    <n v="-0.22529233059110207"/>
    <x v="3"/>
    <n v="32095.095046830225"/>
    <x v="319"/>
    <n v="2.079238206318947"/>
    <n v="2.079238206318947"/>
    <n v="4.5900615173348918"/>
    <n v="85755.584727018984"/>
    <n v="85"/>
    <n v="809.88897096573828"/>
    <n v="2952748.7443083809"/>
    <s v="OK"/>
  </r>
  <r>
    <x v="332"/>
    <x v="0"/>
    <x v="2"/>
    <s v="Spring"/>
    <x v="5"/>
    <n v="-0.23780125601842803"/>
    <x v="0"/>
    <n v="26474.940721207957"/>
    <x v="320"/>
    <n v="2.5869878669999999"/>
    <n v="-0.10421385662713423"/>
    <n v="4.1432615980749681"/>
    <n v="1237346.9240354663"/>
    <n v="70"/>
    <n v="31.510092431182414"/>
    <n v="2382744.664908716"/>
    <s v="OK"/>
  </r>
  <r>
    <x v="333"/>
    <x v="2"/>
    <x v="3"/>
    <s v="Spring"/>
    <x v="41"/>
    <n v="-0.16274770345447234"/>
    <x v="1"/>
    <n v="29721.15461171147"/>
    <x v="321"/>
    <n v="2.6989481467964946"/>
    <n v="2.6989481467964946"/>
    <n v="6.2472534686803218"/>
    <n v="1287267.0811411957"/>
    <n v="106"/>
    <n v="20.689520207342422"/>
    <n v="3031557.7703945702"/>
    <s v="OK"/>
  </r>
  <r>
    <x v="334"/>
    <x v="1"/>
    <x v="4"/>
    <s v="Spring"/>
    <x v="8"/>
    <n v="-0.18151109159546128"/>
    <x v="3"/>
    <n v="32791.634562608611"/>
    <x v="322"/>
    <n v="2.9367385517335096"/>
    <n v="2.9367385517335096"/>
    <n v="6.2554355010661729"/>
    <n v="95237.791273758921"/>
    <n v="91"/>
    <n v="21.597834606242252"/>
    <n v="3246371.8216982526"/>
    <s v="OK"/>
  </r>
  <r>
    <x v="335"/>
    <x v="1"/>
    <x v="5"/>
    <s v="Summer"/>
    <x v="2"/>
    <n v="-0.25031018144575395"/>
    <x v="2"/>
    <m/>
    <x v="323"/>
    <n v="2.9042947549616978"/>
    <n v="2.9042947549616978"/>
    <n v="4.5348210884080089"/>
    <n v="100920.05494506548"/>
    <n v="86"/>
    <n v="66.928138992364836"/>
    <n v="0"/>
    <s v="Missing Data"/>
  </r>
  <r>
    <x v="336"/>
    <x v="2"/>
    <x v="6"/>
    <s v="Summer"/>
    <x v="34"/>
    <n v="-0.1752566288817983"/>
    <x v="0"/>
    <n v="32693.779962231845"/>
    <x v="324"/>
    <n v="3.7357821918221541"/>
    <n v="3.7357821918221541"/>
    <n v="6.5744265169151195"/>
    <n v="81907.712500124675"/>
    <n v="92"/>
    <n v="56.431592419835262"/>
    <n v="3269377.9962231847"/>
    <s v="OK"/>
  </r>
  <r>
    <x v="337"/>
    <x v="4"/>
    <x v="7"/>
    <s v="Summer"/>
    <x v="27"/>
    <n v="-0.80070290024809565"/>
    <x v="3"/>
    <n v="25396.632034603168"/>
    <x v="325"/>
    <n v="1.4289463203509511"/>
    <n v="1.4289463203509511"/>
    <n v="4.7421067250016025"/>
    <n v="123455.13690534889"/>
    <n v="75"/>
    <n v="61.441227912681583"/>
    <n v="0"/>
    <s v="Missing Data"/>
  </r>
  <r>
    <x v="338"/>
    <x v="3"/>
    <x v="8"/>
    <s v="Autumn"/>
    <x v="20"/>
    <n v="-0.13772985259982046"/>
    <x v="0"/>
    <n v="30846.80412018039"/>
    <x v="326"/>
    <n v="3.1802161054504494"/>
    <n v="3.1802161054504494"/>
    <n v="5.803798285645577"/>
    <n v="113308.33647383557"/>
    <n v="116"/>
    <m/>
    <n v="3269761.2367391214"/>
    <s v="Missing Data"/>
  </r>
  <r>
    <x v="339"/>
    <x v="1"/>
    <x v="9"/>
    <s v="Autumn"/>
    <x v="27"/>
    <n v="-0.80070290024809565"/>
    <x v="3"/>
    <n v="22931.427515475101"/>
    <x v="327"/>
    <n v="3.6925075124779747"/>
    <n v="3.6925075124779747"/>
    <n v="64.844128151349466"/>
    <n v="138824.34872927499"/>
    <n v="93"/>
    <n v="53.814929572594053"/>
    <n v="0"/>
    <s v="Missing Data"/>
  </r>
  <r>
    <x v="340"/>
    <x v="3"/>
    <x v="10"/>
    <s v="Autumn"/>
    <x v="7"/>
    <n v="-0.18776555430912426"/>
    <x v="2"/>
    <n v="29443.8696932565"/>
    <x v="328"/>
    <n v="0.72141241599348316"/>
    <n v="0.72141241599348316"/>
    <n v="5.459664922355544"/>
    <n v="82433.538456405222"/>
    <n v="92"/>
    <n v="77.445452896068872"/>
    <n v="2885499.2299391371"/>
    <s v="OK"/>
  </r>
  <r>
    <x v="341"/>
    <x v="3"/>
    <x v="0"/>
    <s v="Winter"/>
    <x v="45"/>
    <n v="-5.6421837322201809E-2"/>
    <x v="1"/>
    <n v="254804.61792676052"/>
    <x v="329"/>
    <n v="2.8196518259189771"/>
    <n v="2.8196518259189771"/>
    <n v="6.0456890945693615"/>
    <n v="92439.84201963566"/>
    <n v="92"/>
    <n v="55.41549615739487"/>
    <n v="30321749.5332845"/>
    <s v="OK"/>
  </r>
  <r>
    <x v="342"/>
    <x v="0"/>
    <x v="11"/>
    <s v="Winter"/>
    <x v="8"/>
    <n v="-0.18151109159546128"/>
    <x v="1"/>
    <n v="26322.350287051166"/>
    <x v="330"/>
    <n v="1.9958201689923285"/>
    <n v="1.9958201689923285"/>
    <m/>
    <n v="104628.91845051144"/>
    <m/>
    <n v="78.577536504977786"/>
    <n v="2605912.6784180654"/>
    <s v="Missing Data"/>
  </r>
  <r>
    <x v="343"/>
    <x v="3"/>
    <x v="1"/>
    <s v="Winter"/>
    <x v="18"/>
    <n v="-0.25656464415941693"/>
    <x v="3"/>
    <n v="36180.465876052185"/>
    <x v="331"/>
    <n v="2.4184773268983539"/>
    <n v="2.4184773268983539"/>
    <n v="5.2642400998862833"/>
    <n v="112929.79075451542"/>
    <n v="94"/>
    <n v="38.641517151746783"/>
    <n v="3147700.5312165399"/>
    <s v="OK"/>
  </r>
  <r>
    <x v="344"/>
    <x v="1"/>
    <x v="2"/>
    <s v="Spring"/>
    <x v="27"/>
    <n v="-0.80070290024809565"/>
    <x v="2"/>
    <n v="35456.550602971343"/>
    <x v="332"/>
    <n v="2.8476764835383364"/>
    <n v="2.8476764835383364"/>
    <n v="5.2529686829435915"/>
    <n v="95686.647249047353"/>
    <n v="93"/>
    <n v="85.051360358538034"/>
    <n v="0"/>
    <s v="Missing Data"/>
  </r>
  <r>
    <x v="345"/>
    <x v="0"/>
    <x v="3"/>
    <s v="Spring"/>
    <x v="3"/>
    <n v="-0.15649324074080936"/>
    <x v="2"/>
    <n v="33045.690604535885"/>
    <x v="333"/>
    <n v="2.0127714358864477"/>
    <n v="2.0127714358864477"/>
    <n v="4.6041059841517136"/>
    <n v="82540.778190925994"/>
    <n v="84"/>
    <n v="67.074499236276182"/>
    <n v="3403706.1322671962"/>
    <s v="OK"/>
  </r>
  <r>
    <x v="346"/>
    <x v="2"/>
    <x v="4"/>
    <s v="Spring"/>
    <x v="49"/>
    <n v="-0.30660034586872076"/>
    <x v="3"/>
    <n v="24538.436176637104"/>
    <x v="334"/>
    <n v="1.8242919208383883"/>
    <n v="1.8242919208383883"/>
    <n v="5.2878710042610617"/>
    <n v="117628.15057847142"/>
    <n v="1050"/>
    <n v="36.861047954392497"/>
    <n v="1938536.4579543313"/>
    <s v="OK"/>
  </r>
  <r>
    <x v="347"/>
    <x v="1"/>
    <x v="5"/>
    <s v="Summer"/>
    <x v="32"/>
    <n v="-0.11271200174516857"/>
    <x v="3"/>
    <n v="28417.957751525992"/>
    <x v="335"/>
    <n v="2.5341524174880248"/>
    <n v="2.5341524174880248"/>
    <m/>
    <n v="114422.70725091163"/>
    <n v="95"/>
    <n v="38.937638068306633"/>
    <n v="3125975.3526678593"/>
    <s v="Missing Data"/>
  </r>
  <r>
    <x v="348"/>
    <x v="0"/>
    <x v="6"/>
    <s v="Summer"/>
    <x v="22"/>
    <n v="-0.20652894245011316"/>
    <x v="1"/>
    <n v="36065.488499895917"/>
    <x v="336"/>
    <n v="1.4127540611371974"/>
    <n v="1.4127540611371974"/>
    <n v="4.9106155034294741"/>
    <n v="81674.517988725507"/>
    <n v="80"/>
    <n v="70.242437165562961"/>
    <n v="3426221.4074901119"/>
    <s v="OK"/>
  </r>
  <r>
    <x v="349"/>
    <x v="0"/>
    <x v="7"/>
    <s v="Summer"/>
    <x v="13"/>
    <n v="-0.16900216616813532"/>
    <x v="3"/>
    <n v="30708.584568199523"/>
    <x v="337"/>
    <n v="1.4141748711148145"/>
    <n v="1.4141748711148145"/>
    <n v="5.1581494079563948"/>
    <n v="127108.85602210992"/>
    <n v="89"/>
    <n v="86.395167456995466"/>
    <n v="3101567.0413881517"/>
    <s v="OK"/>
  </r>
  <r>
    <x v="350"/>
    <x v="3"/>
    <x v="8"/>
    <s v="Autumn"/>
    <x v="22"/>
    <n v="-0.20652894245011316"/>
    <x v="1"/>
    <n v="41596.64769990847"/>
    <x v="338"/>
    <n v="3.1793732829565036"/>
    <n v="3.1793732829565036"/>
    <n v="5.1925842970055438"/>
    <n v="123403.97418393208"/>
    <n v="93"/>
    <m/>
    <n v="3951681.5314913047"/>
    <s v="Missing Data"/>
  </r>
  <r>
    <x v="351"/>
    <x v="2"/>
    <x v="8"/>
    <s v="Autumn"/>
    <x v="1"/>
    <n v="-0.13147538988615748"/>
    <x v="2"/>
    <n v="31966.589196971858"/>
    <x v="339"/>
    <n v="1.3512059648413439"/>
    <n v="1.3512059648413439"/>
    <n v="5.2102030649550652"/>
    <n v="102685.92994495586"/>
    <n v="85"/>
    <n v="40.664034330207379"/>
    <n v="3420425.0440759887"/>
    <s v="OK"/>
  </r>
  <r>
    <x v="352"/>
    <x v="1"/>
    <x v="9"/>
    <s v="Autumn"/>
    <x v="31"/>
    <n v="-0.23154679330476505"/>
    <x v="1"/>
    <m/>
    <x v="340"/>
    <n v="3.1663125009092119"/>
    <n v="3.1663125009092119"/>
    <n v="5.4258829601678453"/>
    <n v="101591.95724752072"/>
    <n v="81"/>
    <n v="89.360928552848037"/>
    <n v="0"/>
    <s v="Missing Data"/>
  </r>
  <r>
    <x v="353"/>
    <x v="1"/>
    <x v="10"/>
    <s v="Autumn"/>
    <x v="18"/>
    <n v="-0.25656464415941693"/>
    <x v="1"/>
    <n v="28454.417678987495"/>
    <x v="341"/>
    <n v="2.9625912928539511"/>
    <n v="2.9625912928539511"/>
    <n v="6.075329821703277"/>
    <n v="111081.15542231814"/>
    <n v="81"/>
    <m/>
    <n v="2475534.3380719121"/>
    <s v="Missing Data"/>
  </r>
  <r>
    <x v="354"/>
    <x v="3"/>
    <x v="0"/>
    <s v="Winter"/>
    <x v="34"/>
    <n v="-0.1752566288817983"/>
    <x v="3"/>
    <n v="30667.704523911412"/>
    <x v="342"/>
    <n v="0.77419327120940329"/>
    <n v="0.77419327120940329"/>
    <n v="6.5494204889590275"/>
    <n v="82765.938594874839"/>
    <n v="88"/>
    <n v="55.846838982646119"/>
    <n v="3066770.4523911411"/>
    <s v="OK"/>
  </r>
  <r>
    <x v="355"/>
    <x v="2"/>
    <x v="11"/>
    <s v="Winter"/>
    <x v="43"/>
    <n v="-6.8930762749527752E-2"/>
    <x v="3"/>
    <n v="29237.650818097281"/>
    <x v="343"/>
    <n v="2.3724508796224657"/>
    <m/>
    <n v="4.7202817277820799"/>
    <n v="100600.62958328164"/>
    <n v="88"/>
    <n v="59.032015622344147"/>
    <n v="3420805.145717382"/>
    <s v="Missing Data"/>
  </r>
  <r>
    <x v="356"/>
    <x v="1"/>
    <x v="1"/>
    <s v="Winter"/>
    <x v="41"/>
    <n v="-0.16274770345447234"/>
    <x v="1"/>
    <m/>
    <x v="344"/>
    <n v="4.011154930247347"/>
    <m/>
    <n v="4.0561589735330266"/>
    <n v="56952.329107816389"/>
    <n v="103"/>
    <m/>
    <n v="0"/>
    <s v="Missing Data"/>
  </r>
  <r>
    <x v="357"/>
    <x v="2"/>
    <x v="2"/>
    <s v="Spring"/>
    <x v="2"/>
    <n v="-0.25031018144575395"/>
    <x v="0"/>
    <n v="34783.511583972919"/>
    <x v="345"/>
    <n v="1.5188344688603184"/>
    <n v="1.5188344688603184"/>
    <n v="4.2495467053082763"/>
    <n v="117529.11291005871"/>
    <n v="91"/>
    <n v="70.144210405187522"/>
    <n v="3060949.0193896168"/>
    <s v="OK"/>
  </r>
  <r>
    <x v="358"/>
    <x v="1"/>
    <x v="3"/>
    <s v="Spring"/>
    <x v="34"/>
    <n v="-0.1752566288817983"/>
    <x v="0"/>
    <n v="26070.052697460254"/>
    <x v="346"/>
    <n v="2.0355957376906124"/>
    <n v="2.0355957376906124"/>
    <n v="4.9153564945660877"/>
    <n v="68770.135551162821"/>
    <m/>
    <n v="48.699400843431093"/>
    <n v="2607005.2697460256"/>
    <s v="Missing Data"/>
  </r>
  <r>
    <x v="359"/>
    <x v="3"/>
    <x v="4"/>
    <s v="Spring"/>
    <x v="47"/>
    <n v="-0.2940914204413948"/>
    <x v="3"/>
    <n v="23343.83523221111"/>
    <x v="347"/>
    <n v="2.9620608932518966"/>
    <n v="2.9620608932518966"/>
    <n v="5.0776944186201893"/>
    <n v="130068.39656857998"/>
    <n v="95"/>
    <n v="99.651614133947945"/>
    <n v="1890850.6538090999"/>
    <s v="OK"/>
  </r>
  <r>
    <x v="360"/>
    <x v="4"/>
    <x v="5"/>
    <s v="Summer"/>
    <x v="31"/>
    <n v="-0.23154679330476505"/>
    <x v="2"/>
    <n v="20818.973134483516"/>
    <x v="348"/>
    <n v="3.2833905092825955"/>
    <n v="3.2833905092825955"/>
    <n v="4.5760047205630512"/>
    <n v="93397.598120670998"/>
    <n v="109"/>
    <n v="58.414681220951024"/>
    <n v="1894526.5552379999"/>
    <s v="OK"/>
  </r>
  <r>
    <x v="361"/>
    <x v="1"/>
    <x v="6"/>
    <s v="Summer"/>
    <x v="5"/>
    <n v="-0.23780125601842803"/>
    <x v="0"/>
    <n v="32539.956634562717"/>
    <x v="349"/>
    <n v="3.3868873900973004"/>
    <m/>
    <n v="3.9446600029001266"/>
    <n v="95766.66036137646"/>
    <n v="85"/>
    <n v="58.870848495169056"/>
    <n v="2928596.0971106444"/>
    <s v="Missing Data"/>
  </r>
  <r>
    <x v="362"/>
    <x v="0"/>
    <x v="7"/>
    <s v="Summer"/>
    <x v="41"/>
    <n v="-0.16274770345447234"/>
    <x v="0"/>
    <n v="24483.166969130631"/>
    <x v="350"/>
    <n v="1.9024898053083583"/>
    <n v="1.9024898053083583"/>
    <n v="4.9526550070309741"/>
    <n v="87445.321878309886"/>
    <n v="81"/>
    <n v="65.268142992853754"/>
    <n v="2497283.0308513241"/>
    <s v="OK"/>
  </r>
  <r>
    <x v="363"/>
    <x v="0"/>
    <x v="8"/>
    <s v="Autumn"/>
    <x v="40"/>
    <n v="-0.11896646445883154"/>
    <x v="3"/>
    <n v="19235.547035237585"/>
    <x v="351"/>
    <n v="3.9223698616985079"/>
    <n v="3.9223698616985079"/>
    <n v="5.7177119441367656"/>
    <n v="94239.222521558477"/>
    <n v="97"/>
    <n v="93.340480249499734"/>
    <n v="2096674.6268408967"/>
    <s v="OK"/>
  </r>
  <r>
    <x v="364"/>
    <x v="4"/>
    <x v="9"/>
    <s v="Autumn"/>
    <x v="13"/>
    <n v="-0.16900216616813532"/>
    <x v="0"/>
    <n v="31942.893022654822"/>
    <x v="352"/>
    <n v="4.2388996637975787"/>
    <n v="4.2388996637975787"/>
    <n v="6.2140353590026773"/>
    <n v="128370.62690296074"/>
    <n v="87"/>
    <n v="84.065447988780022"/>
    <n v="3226232.1952881371"/>
    <s v="OK"/>
  </r>
  <r>
    <x v="365"/>
    <x v="1"/>
    <x v="10"/>
    <s v="Autumn"/>
    <x v="26"/>
    <n v="-0.19402001702278721"/>
    <x v="2"/>
    <n v="42464.997587163954"/>
    <x v="353"/>
    <n v="3.4788580507817954"/>
    <n v="3.4788580507817954"/>
    <n v="4.8310923362700144"/>
    <n v="50243.826869298413"/>
    <n v="94"/>
    <n v="56.090405583827312"/>
    <n v="4119104.7659549038"/>
    <s v="OK"/>
  </r>
  <r>
    <x v="366"/>
    <x v="0"/>
    <x v="0"/>
    <s v="Winter"/>
    <x v="2"/>
    <n v="-0.25031018144575395"/>
    <x v="3"/>
    <n v="29969.645442300534"/>
    <x v="354"/>
    <n v="2.5853181425650242"/>
    <n v="2.5853181425650242"/>
    <n v="5.004402613427879"/>
    <n v="125539.30772176376"/>
    <n v="990"/>
    <n v="77.495941277823675"/>
    <n v="2637328.798922447"/>
    <s v="OK"/>
  </r>
  <r>
    <x v="367"/>
    <x v="0"/>
    <x v="11"/>
    <s v="Winter"/>
    <x v="61"/>
    <n v="5.2035813048683588"/>
    <x v="1"/>
    <n v="34192.453872258207"/>
    <x v="355"/>
    <n v="1.6917342783590736"/>
    <n v="1.6917342783590736"/>
    <n v="4.3879620293832273"/>
    <n v="106760.46962203416"/>
    <m/>
    <n v="66.898839902460935"/>
    <n v="32824755.71736788"/>
    <s v="Missing Data"/>
  </r>
  <r>
    <x v="368"/>
    <x v="1"/>
    <x v="1"/>
    <s v="Winter"/>
    <x v="29"/>
    <n v="-0.15023877802714641"/>
    <x v="2"/>
    <n v="30409.146792737825"/>
    <x v="81"/>
    <n v="1.6695555934434347"/>
    <n v="1.6695555934434347"/>
    <n v="5.4622729955502685"/>
    <n v="75859.567042855691"/>
    <n v="111"/>
    <n v="59.389363896099916"/>
    <n v="3162551.2664447338"/>
    <s v="Missing Data"/>
  </r>
  <r>
    <x v="369"/>
    <x v="2"/>
    <x v="2"/>
    <s v="Spring"/>
    <x v="20"/>
    <n v="-0.13772985259982046"/>
    <x v="1"/>
    <n v="29505.551734044286"/>
    <x v="356"/>
    <n v="3.0225141052657576"/>
    <n v="3.0225141052657576"/>
    <n v="4.481885638971022"/>
    <n v="78493.75213901524"/>
    <n v="85"/>
    <n v="35.385261822748042"/>
    <n v="3127588.4838086944"/>
    <s v="OK"/>
  </r>
  <r>
    <x v="370"/>
    <x v="1"/>
    <x v="3"/>
    <s v="Spring"/>
    <x v="31"/>
    <n v="-0.23154679330476505"/>
    <x v="3"/>
    <n v="34595.382414938846"/>
    <x v="357"/>
    <n v="2.9183982208886836"/>
    <n v="2.9183982208886836"/>
    <m/>
    <n v="133527.86054416405"/>
    <n v="87"/>
    <n v="57.114901076391277"/>
    <n v="3148179.799759435"/>
    <s v="Missing Data"/>
  </r>
  <r>
    <x v="371"/>
    <x v="2"/>
    <x v="4"/>
    <s v="Spring"/>
    <x v="32"/>
    <n v="-0.11271200174516857"/>
    <x v="0"/>
    <n v="28548.627279056742"/>
    <x v="358"/>
    <n v="3.9015985929464296"/>
    <n v="3.9015985929464296"/>
    <n v="3.3569602096790665"/>
    <n v="81089.862401145379"/>
    <n v="88"/>
    <n v="39.665486961805968"/>
    <n v="3140349.0006962414"/>
    <s v="OK"/>
  </r>
  <r>
    <x v="372"/>
    <x v="4"/>
    <x v="5"/>
    <s v="Summer"/>
    <x v="29"/>
    <n v="-0.15023877802714641"/>
    <x v="1"/>
    <n v="31336.961570359515"/>
    <x v="359"/>
    <n v="3.1504500925361389"/>
    <n v="3.1504500925361389"/>
    <n v="5.0684443930570451"/>
    <n v="76932.989788080813"/>
    <n v="82"/>
    <n v="93.187371988132369"/>
    <n v="3259044.0033173896"/>
    <s v="OK"/>
  </r>
  <r>
    <x v="373"/>
    <x v="3"/>
    <x v="6"/>
    <s v="Summer"/>
    <x v="39"/>
    <n v="-0.26907356958674289"/>
    <x v="1"/>
    <n v="31608.489030980068"/>
    <x v="360"/>
    <n v="0.99691969824018201"/>
    <n v="0.99691969824018201"/>
    <n v="5.8613288070300902"/>
    <n v="122746.29084729459"/>
    <n v="84"/>
    <n v="46.832545079707756"/>
    <n v="2686721.5676333057"/>
    <s v="OK"/>
  </r>
  <r>
    <x v="374"/>
    <x v="4"/>
    <x v="7"/>
    <s v="Summer"/>
    <x v="1"/>
    <n v="-0.13147538988615748"/>
    <x v="3"/>
    <n v="26659.547731784754"/>
    <x v="361"/>
    <n v="3.5519476177229183"/>
    <n v="3.5519476177229183"/>
    <n v="5.7206014195870054"/>
    <n v="106771.05752571828"/>
    <n v="79"/>
    <n v="96.181121162669783"/>
    <n v="2852571.6073009688"/>
    <s v="OK"/>
  </r>
  <r>
    <x v="375"/>
    <x v="3"/>
    <x v="8"/>
    <s v="Autumn"/>
    <x v="4"/>
    <n v="-0.10645753903150559"/>
    <x v="2"/>
    <n v="34960.211747682617"/>
    <x v="362"/>
    <n v="1.501939372685587"/>
    <n v="1.501939372685587"/>
    <n v="8.7316403967765961"/>
    <n v="81241.488469272022"/>
    <n v="87"/>
    <n v="62.644423207576892"/>
    <n v="3880583.5039927703"/>
    <s v="OK"/>
  </r>
  <r>
    <x v="376"/>
    <x v="0"/>
    <x v="9"/>
    <s v="Autumn"/>
    <x v="27"/>
    <n v="-0.80070290024809565"/>
    <x v="1"/>
    <n v="29125.201216522957"/>
    <x v="363"/>
    <n v="2.1160287280476484"/>
    <n v="2.1160287280476484"/>
    <m/>
    <n v="104332.49950809238"/>
    <n v="92"/>
    <n v="70.523550294092828"/>
    <n v="0"/>
    <s v="Missing Data"/>
  </r>
  <r>
    <x v="377"/>
    <x v="0"/>
    <x v="10"/>
    <s v="Autumn"/>
    <x v="6"/>
    <n v="-0.21278340516377614"/>
    <x v="2"/>
    <n v="26221.274202535777"/>
    <x v="364"/>
    <n v="2.7502002062516944"/>
    <n v="2.7502002062516944"/>
    <n v="4.295134483789588"/>
    <n v="79484.946327194455"/>
    <n v="79"/>
    <n v="63.435235559146221"/>
    <n v="2464799.7750383629"/>
    <s v="OK"/>
  </r>
  <r>
    <x v="378"/>
    <x v="0"/>
    <x v="0"/>
    <s v="Winter"/>
    <x v="31"/>
    <n v="-0.23154679330476505"/>
    <x v="0"/>
    <n v="32682.549217852018"/>
    <x v="365"/>
    <n v="4.4956674897839646"/>
    <n v="4.4956674897839646"/>
    <n v="5.3854429034931126"/>
    <n v="122016.4279684521"/>
    <n v="95"/>
    <n v="30.350449357336071"/>
    <n v="2974111.9788245335"/>
    <s v="OK"/>
  </r>
  <r>
    <x v="379"/>
    <x v="2"/>
    <x v="11"/>
    <s v="Winter"/>
    <x v="38"/>
    <n v="-0.244055718732091"/>
    <x v="0"/>
    <n v="25507.660091044814"/>
    <x v="366"/>
    <n v="2.5869878669999999"/>
    <n v="5.6099185560053613"/>
    <n v="3.368504399840258"/>
    <n v="121227.41929746268"/>
    <n v="96"/>
    <n v="50.065697520635275"/>
    <n v="2270181.7481029886"/>
    <s v="OK"/>
  </r>
  <r>
    <x v="380"/>
    <x v="3"/>
    <x v="1"/>
    <s v="Winter"/>
    <x v="7"/>
    <n v="-0.18776555430912426"/>
    <x v="0"/>
    <n v="30140.90578684564"/>
    <x v="81"/>
    <n v="3.1067230591361827"/>
    <n v="3.1067230591361827"/>
    <n v="5.4032803008438872"/>
    <n v="110640.12397643886"/>
    <n v="90"/>
    <n v="27.931688982209913"/>
    <n v="2953808.7671108725"/>
    <s v="Missing Data"/>
  </r>
  <r>
    <x v="381"/>
    <x v="0"/>
    <x v="2"/>
    <s v="Spring"/>
    <x v="32"/>
    <n v="-0.11271200174516857"/>
    <x v="3"/>
    <n v="29954.405016778983"/>
    <x v="367"/>
    <n v="2.3168033812796121"/>
    <n v="2.3168033812796121"/>
    <n v="4.50033273159909"/>
    <n v="107233.22122494034"/>
    <n v="95"/>
    <n v="69.836323534670541"/>
    <n v="3294984.5518456879"/>
    <s v="OK"/>
  </r>
  <r>
    <x v="382"/>
    <x v="1"/>
    <x v="3"/>
    <s v="Spring"/>
    <x v="17"/>
    <n v="-0.21903786787743912"/>
    <x v="1"/>
    <n v="35429.477829157891"/>
    <x v="368"/>
    <n v="3.0345056484805504"/>
    <n v="3.0345056484805504"/>
    <m/>
    <n v="135223.76249734749"/>
    <m/>
    <n v="55.749935616035117"/>
    <n v="3294941.4381116838"/>
    <s v="Missing Data"/>
  </r>
  <r>
    <x v="383"/>
    <x v="3"/>
    <x v="4"/>
    <s v="Spring"/>
    <x v="3"/>
    <n v="-0.15649324074080936"/>
    <x v="0"/>
    <n v="32373.491164399762"/>
    <x v="369"/>
    <n v="3.3876554258738363"/>
    <n v="3.3876554258738363"/>
    <n v="4.8405516704853584"/>
    <m/>
    <n v="96"/>
    <n v="82.238797725674942"/>
    <n v="3334469.5899331756"/>
    <s v="Missing Data"/>
  </r>
  <r>
    <x v="384"/>
    <x v="3"/>
    <x v="5"/>
    <s v="Summer"/>
    <x v="27"/>
    <n v="-0.80070290024809565"/>
    <x v="0"/>
    <m/>
    <x v="81"/>
    <n v="2.1793323744428084"/>
    <n v="2.1793323744428084"/>
    <n v="5.3598809010457042"/>
    <n v="76362.517491583974"/>
    <n v="89"/>
    <n v="37.637638479949587"/>
    <n v="0"/>
    <s v="Missing Data"/>
  </r>
  <r>
    <x v="385"/>
    <x v="2"/>
    <x v="6"/>
    <s v="Summer"/>
    <x v="13"/>
    <n v="-0.16900216616813532"/>
    <x v="2"/>
    <n v="34088.831496001432"/>
    <x v="370"/>
    <n v="2.5869878669999999"/>
    <n v="42.952113559123219"/>
    <n v="4.7373305903147163"/>
    <m/>
    <n v="87"/>
    <n v="33.165284674346793"/>
    <n v="3442971.9810961448"/>
    <s v="Missing Data"/>
  </r>
  <r>
    <x v="386"/>
    <x v="4"/>
    <x v="7"/>
    <s v="Summer"/>
    <x v="6"/>
    <n v="-0.21278340516377614"/>
    <x v="0"/>
    <n v="369510.37745086564"/>
    <x v="371"/>
    <n v="2.7300707591914022"/>
    <n v="2.7300707591914022"/>
    <n v="7.5866216222239977"/>
    <n v="1417209.4099074227"/>
    <n v="96"/>
    <n v="52.506578477101428"/>
    <n v="34733975.48038137"/>
    <s v="OK"/>
  </r>
  <r>
    <x v="387"/>
    <x v="2"/>
    <x v="8"/>
    <s v="Autumn"/>
    <x v="19"/>
    <n v="-0.1252209271724945"/>
    <x v="2"/>
    <n v="32789.051531759309"/>
    <x v="372"/>
    <n v="2.9977430890913941"/>
    <n v="2.9977430890913941"/>
    <n v="5.1145086806585063"/>
    <n v="79704.810136282962"/>
    <n v="102"/>
    <n v="94.126830657470492"/>
    <n v="3541217.5654300055"/>
    <s v="OK"/>
  </r>
  <r>
    <x v="388"/>
    <x v="0"/>
    <x v="9"/>
    <s v="Autumn"/>
    <x v="21"/>
    <n v="-9.3948613604179651E-2"/>
    <x v="2"/>
    <n v="30051.763099216903"/>
    <x v="373"/>
    <n v="3.1659242520544613"/>
    <n v="3.1659242520544613"/>
    <n v="7.6990684521750419"/>
    <n v="92770.744666120285"/>
    <n v="72"/>
    <n v="76.833745200992936"/>
    <n v="3395849.2302115099"/>
    <s v="OK"/>
  </r>
  <r>
    <x v="389"/>
    <x v="1"/>
    <x v="10"/>
    <s v="Autumn"/>
    <x v="30"/>
    <n v="-8.1439688176853695E-2"/>
    <x v="3"/>
    <n v="23440.818838249201"/>
    <x v="374"/>
    <n v="2.9215866106144555"/>
    <n v="2.9215866106144555"/>
    <n v="6.4769821145419195"/>
    <m/>
    <n v="88"/>
    <n v="53.513889983433494"/>
    <n v="2695694.166398658"/>
    <s v="Missing Data"/>
  </r>
  <r>
    <x v="390"/>
    <x v="1"/>
    <x v="0"/>
    <s v="Winter"/>
    <x v="7"/>
    <n v="-0.18776555430912426"/>
    <x v="0"/>
    <n v="24674.431684623138"/>
    <x v="375"/>
    <n v="3.3389405004696124"/>
    <n v="3.3389405004696124"/>
    <n v="6.0784800728024635"/>
    <n v="98921.903019885212"/>
    <n v="81"/>
    <n v="61.381773580344841"/>
    <n v="2418094.3050930677"/>
    <s v="OK"/>
  </r>
  <r>
    <x v="391"/>
    <x v="0"/>
    <x v="11"/>
    <s v="Winter"/>
    <x v="17"/>
    <n v="-0.21903786787743912"/>
    <x v="3"/>
    <n v="28473.876478226663"/>
    <x v="376"/>
    <n v="2.5869878669999999"/>
    <n v="18.827468134530768"/>
    <n v="5.942479776781024"/>
    <n v="80353.928392453701"/>
    <n v="92"/>
    <n v="26.737040894167869"/>
    <n v="2648070.5124750794"/>
    <s v="OK"/>
  </r>
  <r>
    <x v="392"/>
    <x v="1"/>
    <x v="1"/>
    <s v="Winter"/>
    <x v="29"/>
    <n v="-0.15023877802714641"/>
    <x v="1"/>
    <n v="26952.438989203583"/>
    <x v="81"/>
    <n v="1.9416982460539693"/>
    <n v="1.9416982460539693"/>
    <n v="5.9725567578595022"/>
    <n v="122437.15712460942"/>
    <m/>
    <n v="98.766071710089051"/>
    <n v="2803053.6548771728"/>
    <s v="Missing Data"/>
  </r>
  <r>
    <x v="393"/>
    <x v="2"/>
    <x v="2"/>
    <s v="Spring"/>
    <x v="62"/>
    <n v="4.6406796606386909"/>
    <x v="3"/>
    <n v="29065.143485072771"/>
    <x v="377"/>
    <n v="1.3998457670283051"/>
    <n v="1.3998457670283051"/>
    <n v="3.1867929047852681"/>
    <n v="146400.81444034519"/>
    <n v="102"/>
    <n v="73.312584375593516"/>
    <n v="25286674.832013309"/>
    <s v="OK"/>
  </r>
  <r>
    <x v="394"/>
    <x v="2"/>
    <x v="3"/>
    <s v="Spring"/>
    <x v="38"/>
    <n v="-0.244055718732091"/>
    <x v="1"/>
    <m/>
    <x v="378"/>
    <n v="3.9223698616985079"/>
    <m/>
    <n v="5.1653399270190921"/>
    <n v="103922.62918047815"/>
    <n v="80"/>
    <n v="42.832325477073795"/>
    <n v="0"/>
    <s v="Missing Data"/>
  </r>
  <r>
    <x v="395"/>
    <x v="0"/>
    <x v="4"/>
    <s v="Spring"/>
    <x v="11"/>
    <n v="-0.26281910687307991"/>
    <x v="3"/>
    <n v="32648.463771783652"/>
    <x v="379"/>
    <n v="3.2789365035121141"/>
    <n v="3.2789365035121141"/>
    <n v="6.5141895654211854"/>
    <n v="81918.634205279988"/>
    <n v="84"/>
    <m/>
    <n v="2807767.8843733943"/>
    <s v="Missing Data"/>
  </r>
  <r>
    <x v="396"/>
    <x v="1"/>
    <x v="5"/>
    <s v="Summer"/>
    <x v="17"/>
    <n v="-0.21903786787743912"/>
    <x v="1"/>
    <n v="29647.506109704544"/>
    <x v="380"/>
    <n v="2.9577728661518856"/>
    <n v="2.9577728661518856"/>
    <n v="5.4413233798310729"/>
    <n v="69020.789498930506"/>
    <n v="89"/>
    <n v="28.75858928551952"/>
    <n v="2757218.0682025226"/>
    <s v="OK"/>
  </r>
  <r>
    <x v="397"/>
    <x v="3"/>
    <x v="6"/>
    <s v="Summer"/>
    <x v="29"/>
    <n v="-0.15023877802714641"/>
    <x v="1"/>
    <n v="32432.50821913101"/>
    <x v="381"/>
    <n v="4.1744924333475373"/>
    <n v="4.1744924333475373"/>
    <n v="3.8137721838357099"/>
    <n v="105159.51962442361"/>
    <n v="79"/>
    <n v="97.266933504606683"/>
    <n v="3372980.8547896249"/>
    <s v="OK"/>
  </r>
  <r>
    <x v="398"/>
    <x v="4"/>
    <x v="7"/>
    <s v="Summer"/>
    <x v="31"/>
    <n v="-0.23154679330476505"/>
    <x v="1"/>
    <m/>
    <x v="81"/>
    <n v="2.4944039811709535"/>
    <n v="2.4944039811709535"/>
    <n v="5.4371146593070367"/>
    <n v="122077.54686632515"/>
    <m/>
    <n v="33.982799030669277"/>
    <n v="0"/>
    <s v="Missing Data"/>
  </r>
  <r>
    <x v="399"/>
    <x v="3"/>
    <x v="8"/>
    <s v="Autumn"/>
    <x v="21"/>
    <n v="-9.3948613604179651E-2"/>
    <x v="3"/>
    <n v="20122.667168230644"/>
    <x v="382"/>
    <n v="3.1687416555925125"/>
    <n v="3.1687416555925125"/>
    <n v="7.5449266195065894"/>
    <n v="1095033.5492990762"/>
    <n v="80"/>
    <n v="71.842425444417131"/>
    <n v="2273861.3900100626"/>
    <s v="OK"/>
  </r>
  <r>
    <x v="400"/>
    <x v="2"/>
    <x v="9"/>
    <s v="Autumn"/>
    <x v="3"/>
    <n v="-0.15649324074080936"/>
    <x v="3"/>
    <n v="25303.323030906227"/>
    <x v="383"/>
    <n v="1.4082991238606857"/>
    <n v="1.4082991238606857"/>
    <n v="6.9962700586416631"/>
    <n v="99951.923181622929"/>
    <n v="89"/>
    <m/>
    <n v="2606242.2721833414"/>
    <s v="Missing Data"/>
  </r>
  <r>
    <x v="401"/>
    <x v="2"/>
    <x v="10"/>
    <s v="Autumn"/>
    <x v="7"/>
    <n v="-0.18776555430912426"/>
    <x v="0"/>
    <n v="29279.562221391923"/>
    <x v="384"/>
    <n v="2.112900297525599"/>
    <n v="2.112900297525599"/>
    <n v="5.4255951887607621"/>
    <n v="88214.566964213882"/>
    <n v="75"/>
    <n v="77.404910611882855"/>
    <n v="2869397.0976964086"/>
    <s v="OK"/>
  </r>
  <r>
    <x v="402"/>
    <x v="2"/>
    <x v="0"/>
    <s v="Winter"/>
    <x v="34"/>
    <n v="-0.1752566288817983"/>
    <x v="3"/>
    <n v="23951.526285794462"/>
    <x v="385"/>
    <n v="3.1955377575657775"/>
    <n v="3.1955377575657775"/>
    <n v="6.6417391324697039"/>
    <n v="78156.72734563821"/>
    <n v="84"/>
    <n v="82.145709379222481"/>
    <n v="2395152.6285794461"/>
    <s v="OK"/>
  </r>
  <r>
    <x v="403"/>
    <x v="2"/>
    <x v="11"/>
    <s v="Winter"/>
    <x v="38"/>
    <n v="-0.244055718732091"/>
    <x v="1"/>
    <n v="32999.643649981022"/>
    <x v="386"/>
    <n v="3.3491021107431438"/>
    <n v="3.3491021107431438"/>
    <n v="5.0601915755583375"/>
    <n v="116695.02652649765"/>
    <n v="65"/>
    <n v="73.873578312914617"/>
    <n v="2936968.284848311"/>
    <s v="OK"/>
  </r>
  <r>
    <x v="404"/>
    <x v="4"/>
    <x v="1"/>
    <s v="Winter"/>
    <x v="50"/>
    <n v="-0.28158249501406885"/>
    <x v="1"/>
    <n v="37653.754161718491"/>
    <x v="387"/>
    <n v="2.2060330523358176"/>
    <n v="2.2060330523358176"/>
    <n v="3.4553540958079374"/>
    <n v="118275.43242771171"/>
    <n v="98"/>
    <n v="69.159956820415402"/>
    <n v="3125261.5954226349"/>
    <s v="OK"/>
  </r>
  <r>
    <x v="405"/>
    <x v="0"/>
    <x v="2"/>
    <s v="Spring"/>
    <x v="12"/>
    <n v="-0.22529233059110207"/>
    <x v="3"/>
    <n v="36093.809258486581"/>
    <x v="388"/>
    <n v="2.4284007481419332"/>
    <n v="2.4284007481419332"/>
    <n v="4.3906408142445343"/>
    <n v="69085.404266185331"/>
    <n v="89"/>
    <n v="91.397527516160935"/>
    <n v="3320630.4517807653"/>
    <s v="OK"/>
  </r>
  <r>
    <x v="406"/>
    <x v="2"/>
    <x v="3"/>
    <s v="Spring"/>
    <x v="27"/>
    <n v="-0.80070290024809565"/>
    <x v="3"/>
    <n v="28932.785645348958"/>
    <x v="389"/>
    <n v="0.98212625331919057"/>
    <n v="0.98212625331919057"/>
    <n v="7.3754665222098374"/>
    <n v="131796.77956361367"/>
    <n v="88"/>
    <n v="26.290136879180643"/>
    <n v="0"/>
    <s v="Missing Data"/>
  </r>
  <r>
    <x v="407"/>
    <x v="1"/>
    <x v="4"/>
    <s v="Spring"/>
    <x v="27"/>
    <n v="-0.80070290024809565"/>
    <x v="2"/>
    <n v="37453.630684249758"/>
    <x v="390"/>
    <n v="2.1429707991933906"/>
    <n v="2.1429707991933906"/>
    <n v="5.1712083018048354"/>
    <n v="111481.42441788003"/>
    <n v="98"/>
    <m/>
    <n v="0"/>
    <s v="Missing Data"/>
  </r>
  <r>
    <x v="408"/>
    <x v="4"/>
    <x v="5"/>
    <s v="Summer"/>
    <x v="41"/>
    <n v="-0.16274770345447234"/>
    <x v="2"/>
    <n v="30743.337286010559"/>
    <x v="391"/>
    <n v="3.3903831635197861"/>
    <n v="3.3903831635197861"/>
    <m/>
    <n v="127991.89290291586"/>
    <n v="88"/>
    <n v="39.862998370467679"/>
    <n v="3135820.4031730769"/>
    <s v="Missing Data"/>
  </r>
  <r>
    <x v="409"/>
    <x v="2"/>
    <x v="6"/>
    <s v="Summer"/>
    <x v="1"/>
    <n v="-0.13147538988615748"/>
    <x v="2"/>
    <n v="28314.570144409805"/>
    <x v="392"/>
    <n v="3.0752050161065663"/>
    <n v="3.0752050161065663"/>
    <m/>
    <n v="73157.445030297706"/>
    <n v="89"/>
    <n v="99.041116965233726"/>
    <n v="3029659.0054518492"/>
    <s v="Missing Data"/>
  </r>
  <r>
    <x v="410"/>
    <x v="1"/>
    <x v="7"/>
    <s v="Summer"/>
    <x v="3"/>
    <n v="-0.15649324074080936"/>
    <x v="2"/>
    <n v="269329.86682295299"/>
    <x v="393"/>
    <n v="3.0006657213812096"/>
    <n v="3.0006657213812096"/>
    <n v="7.784963907487608"/>
    <n v="72683.516891691223"/>
    <n v="103"/>
    <n v="51.151182373349883"/>
    <n v="27740976.282764159"/>
    <s v="OK"/>
  </r>
  <r>
    <x v="411"/>
    <x v="2"/>
    <x v="8"/>
    <s v="Autumn"/>
    <x v="34"/>
    <n v="-0.1752566288817983"/>
    <x v="1"/>
    <m/>
    <x v="394"/>
    <n v="2.5497736871809602"/>
    <n v="2.5497736871809602"/>
    <n v="7.4511506984344757"/>
    <n v="97020.613804654058"/>
    <n v="85"/>
    <n v="78.609015939231895"/>
    <n v="0"/>
    <s v="Missing Data"/>
  </r>
  <r>
    <x v="412"/>
    <x v="0"/>
    <x v="9"/>
    <s v="Autumn"/>
    <x v="27"/>
    <n v="-0.80070290024809565"/>
    <x v="1"/>
    <n v="28059.115907293857"/>
    <x v="395"/>
    <n v="2.5070631586281764"/>
    <n v="2.5070631586281764"/>
    <n v="8.1625362801377612"/>
    <n v="110055.68853790389"/>
    <n v="90"/>
    <m/>
    <n v="0"/>
    <s v="Missing Data"/>
  </r>
  <r>
    <x v="413"/>
    <x v="4"/>
    <x v="10"/>
    <s v="Autumn"/>
    <x v="39"/>
    <n v="-0.26907356958674289"/>
    <x v="2"/>
    <n v="30852.08111187744"/>
    <x v="396"/>
    <n v="1.8396788605265528"/>
    <n v="1.8396788605265528"/>
    <n v="5.3091457475199384"/>
    <n v="135927.21645853927"/>
    <n v="84"/>
    <n v="36.966498998190218"/>
    <n v="2622426.8945095823"/>
    <s v="OK"/>
  </r>
  <r>
    <x v="414"/>
    <x v="0"/>
    <x v="0"/>
    <s v="Winter"/>
    <x v="1"/>
    <n v="-0.13147538988615748"/>
    <x v="1"/>
    <n v="30802.869905249325"/>
    <x v="397"/>
    <n v="3.1988284202025348"/>
    <n v="3.1988284202025348"/>
    <n v="5.8547493864965139"/>
    <n v="114121.57827630264"/>
    <n v="78"/>
    <n v="39.119814416924108"/>
    <n v="3295907.0798616777"/>
    <s v="OK"/>
  </r>
  <r>
    <x v="415"/>
    <x v="4"/>
    <x v="11"/>
    <s v="Winter"/>
    <x v="20"/>
    <n v="-0.13772985259982046"/>
    <x v="0"/>
    <n v="30015.230100767072"/>
    <x v="398"/>
    <n v="2.9209729443893897"/>
    <n v="2.9209729443893897"/>
    <n v="3.6800289406950508"/>
    <n v="95146.374463759334"/>
    <n v="84"/>
    <n v="42.502765084242725"/>
    <n v="3181614.3906813096"/>
    <s v="OK"/>
  </r>
  <r>
    <x v="416"/>
    <x v="2"/>
    <x v="1"/>
    <s v="Winter"/>
    <x v="12"/>
    <n v="-0.22529233059110207"/>
    <x v="1"/>
    <n v="32184.690848731749"/>
    <x v="399"/>
    <n v="2.9920188479927994"/>
    <n v="2.9920188479927994"/>
    <n v="7.2723213113419289"/>
    <n v="79472.615846682165"/>
    <n v="70"/>
    <n v="52.890182260750336"/>
    <n v="2960991.558083321"/>
    <s v="OK"/>
  </r>
  <r>
    <x v="417"/>
    <x v="2"/>
    <x v="2"/>
    <s v="Spring"/>
    <x v="32"/>
    <n v="-0.11271200174516857"/>
    <x v="1"/>
    <n v="35953.231373931703"/>
    <x v="81"/>
    <n v="1.9739651573324197"/>
    <n v="1.9739651573324197"/>
    <n v="4.0986645384784781"/>
    <n v="124600.011454383"/>
    <n v="74"/>
    <n v="38.746005252042146"/>
    <n v="3954855.4511324875"/>
    <s v="Missing Data"/>
  </r>
  <r>
    <x v="418"/>
    <x v="4"/>
    <x v="3"/>
    <s v="Spring"/>
    <x v="17"/>
    <n v="-0.21903786787743912"/>
    <x v="3"/>
    <n v="34747.770677206616"/>
    <x v="400"/>
    <n v="0.34665708012875562"/>
    <n v="0.34665708012875562"/>
    <n v="5.7601306765151552"/>
    <n v="80705.89148498571"/>
    <n v="88"/>
    <n v="21.572118619747826"/>
    <n v="3231542.6729802154"/>
    <s v="OK"/>
  </r>
  <r>
    <x v="419"/>
    <x v="1"/>
    <x v="4"/>
    <s v="Spring"/>
    <x v="27"/>
    <n v="-0.80070290024809565"/>
    <x v="0"/>
    <n v="22575.510157750483"/>
    <x v="401"/>
    <n v="3.5971527117536954"/>
    <n v="3.5971527117536954"/>
    <n v="4.1832369668405871"/>
    <n v="132569.37109544643"/>
    <m/>
    <n v="90.351444544575642"/>
    <n v="0"/>
    <s v="Missing Data"/>
  </r>
  <r>
    <x v="420"/>
    <x v="1"/>
    <x v="5"/>
    <s v="Summer"/>
    <x v="43"/>
    <n v="-6.8930762749527752E-2"/>
    <x v="3"/>
    <n v="17230.394325490226"/>
    <x v="402"/>
    <n v="2.0211625439915957"/>
    <n v="2.0211625439915957"/>
    <n v="4.7933598079135651"/>
    <n v="94312.307007869807"/>
    <n v="74"/>
    <n v="97.248786510470723"/>
    <n v="2015956.1360823563"/>
    <s v="OK"/>
  </r>
  <r>
    <x v="421"/>
    <x v="2"/>
    <x v="5"/>
    <s v="Summer"/>
    <x v="53"/>
    <n v="-3.7658449181212889E-2"/>
    <x v="1"/>
    <n v="34671.599556196365"/>
    <x v="403"/>
    <n v="1.6372242359568794"/>
    <n v="1.6372242359568794"/>
    <n v="4.4952850827403594"/>
    <n v="131811.641452357"/>
    <n v="85"/>
    <n v="473.2563096252544"/>
    <n v="4229935.1458559567"/>
    <s v="OK"/>
  </r>
  <r>
    <x v="422"/>
    <x v="2"/>
    <x v="6"/>
    <s v="Summer"/>
    <x v="5"/>
    <n v="-0.23780125601842803"/>
    <x v="1"/>
    <n v="23165.606507922894"/>
    <x v="404"/>
    <n v="3.1934789119139939"/>
    <n v="3.1934789119139939"/>
    <n v="4.7705496871890185"/>
    <n v="113578.62580118557"/>
    <n v="105"/>
    <n v="47.080550354037825"/>
    <n v="2084904.5857130603"/>
    <s v="OK"/>
  </r>
  <r>
    <x v="423"/>
    <x v="0"/>
    <x v="7"/>
    <s v="Summer"/>
    <x v="21"/>
    <n v="-9.3948613604179651E-2"/>
    <x v="1"/>
    <n v="28876.172990536583"/>
    <x v="405"/>
    <n v="2.1079873600808705"/>
    <n v="2.1079873600808705"/>
    <n v="4.853052756221226"/>
    <n v="97260.090211150833"/>
    <n v="75"/>
    <n v="20.567345021949677"/>
    <n v="3263007.5479306336"/>
    <s v="OK"/>
  </r>
  <r>
    <x v="424"/>
    <x v="2"/>
    <x v="8"/>
    <s v="Autumn"/>
    <x v="32"/>
    <n v="-0.11271200174516857"/>
    <x v="2"/>
    <n v="24149.434869703204"/>
    <x v="406"/>
    <n v="3.5599363840466216"/>
    <n v="3.5599363840466216"/>
    <n v="4.8420774460899079"/>
    <n v="89612.072563477472"/>
    <n v="89"/>
    <n v="744.20055066429927"/>
    <n v="2656437.8356673522"/>
    <s v="OK"/>
  </r>
  <r>
    <x v="425"/>
    <x v="4"/>
    <x v="9"/>
    <s v="Autumn"/>
    <x v="20"/>
    <n v="-0.13772985259982046"/>
    <x v="2"/>
    <n v="20990.097812099899"/>
    <x v="81"/>
    <n v="3.1170059495766975"/>
    <n v="3.1170059495766975"/>
    <n v="6.5000006941363688"/>
    <m/>
    <n v="84"/>
    <m/>
    <n v="2224950.3680825895"/>
    <s v="Missing Data"/>
  </r>
  <r>
    <x v="426"/>
    <x v="1"/>
    <x v="10"/>
    <s v="Autumn"/>
    <x v="12"/>
    <n v="-0.22529233059110207"/>
    <x v="1"/>
    <n v="32707.313641023939"/>
    <x v="407"/>
    <n v="3.2789365035121141"/>
    <m/>
    <n v="4.1741646483249761"/>
    <n v="108566.33384750475"/>
    <n v="91"/>
    <n v="31.728664028800253"/>
    <n v="3009072.8549742023"/>
    <s v="Missing Data"/>
  </r>
  <r>
    <x v="427"/>
    <x v="1"/>
    <x v="0"/>
    <s v="Winter"/>
    <x v="33"/>
    <n v="-4.391291189487586E-2"/>
    <x v="1"/>
    <n v="33795.775801513235"/>
    <x v="408"/>
    <n v="1.1340442887994657"/>
    <n v="1.1340442887994657"/>
    <m/>
    <m/>
    <n v="101"/>
    <n v="32.773307949372061"/>
    <n v="4089288.8719831016"/>
    <s v="Missing Data"/>
  </r>
  <r>
    <x v="428"/>
    <x v="0"/>
    <x v="11"/>
    <s v="Winter"/>
    <x v="38"/>
    <n v="-0.244055718732091"/>
    <x v="1"/>
    <n v="27117.447996366402"/>
    <x v="409"/>
    <n v="3.7119439853864007"/>
    <n v="3.7119439853864007"/>
    <n v="6.9615509827666697"/>
    <n v="88123.771838625893"/>
    <n v="93"/>
    <n v="83.206659997715022"/>
    <n v="2413452.8716766099"/>
    <s v="OK"/>
  </r>
  <r>
    <x v="429"/>
    <x v="1"/>
    <x v="1"/>
    <s v="Winter"/>
    <x v="43"/>
    <n v="-6.8930762749527752E-2"/>
    <x v="0"/>
    <n v="17044.788539275451"/>
    <x v="410"/>
    <n v="2.761250531233856"/>
    <n v="2.761250531233856"/>
    <n v="4.8841643625839248"/>
    <n v="966873.71793647355"/>
    <n v="91"/>
    <n v="69.303259868331565"/>
    <n v="1994240.2590952278"/>
    <s v="OK"/>
  </r>
  <r>
    <x v="430"/>
    <x v="1"/>
    <x v="2"/>
    <s v="Spring"/>
    <x v="20"/>
    <n v="-0.13772985259982046"/>
    <x v="3"/>
    <n v="27268.777758737586"/>
    <x v="81"/>
    <n v="2.1307228607537967"/>
    <n v="2.1307228607537967"/>
    <m/>
    <n v="101571.540594383"/>
    <n v="93"/>
    <n v="23.588844610217361"/>
    <n v="2890490.4424261842"/>
    <s v="Missing Data"/>
  </r>
  <r>
    <x v="431"/>
    <x v="3"/>
    <x v="3"/>
    <s v="Spring"/>
    <x v="33"/>
    <n v="-4.391291189487586E-2"/>
    <x v="2"/>
    <n v="31959.020027012732"/>
    <x v="411"/>
    <n v="2.643388467342251"/>
    <n v="2.643388467342251"/>
    <n v="5.2233704497836992"/>
    <n v="57425.31811170376"/>
    <n v="98"/>
    <n v="69.803759236982529"/>
    <n v="3867041.4232685403"/>
    <s v="OK"/>
  </r>
  <r>
    <x v="432"/>
    <x v="4"/>
    <x v="4"/>
    <s v="Spring"/>
    <x v="22"/>
    <n v="-0.20652894245011316"/>
    <x v="3"/>
    <n v="22605.442156129357"/>
    <x v="412"/>
    <n v="0.72376476710168003"/>
    <n v="0.72376476710168003"/>
    <n v="6.9156702500328517"/>
    <n v="109163.36229577397"/>
    <n v="87"/>
    <n v="44.713417827501289"/>
    <n v="2147517.0048322887"/>
    <s v="OK"/>
  </r>
  <r>
    <x v="433"/>
    <x v="3"/>
    <x v="5"/>
    <s v="Summer"/>
    <x v="31"/>
    <n v="-0.23154679330476505"/>
    <x v="2"/>
    <n v="30916.799598895777"/>
    <x v="413"/>
    <n v="2.9086528114806707"/>
    <n v="2.9086528114806707"/>
    <n v="5.7329291571440288"/>
    <n v="80405.575505663859"/>
    <n v="88"/>
    <n v="49.498012437667676"/>
    <n v="2813428.7634995156"/>
    <s v="OK"/>
  </r>
  <r>
    <x v="434"/>
    <x v="1"/>
    <x v="6"/>
    <s v="Summer"/>
    <x v="51"/>
    <n v="-0.28783695772773182"/>
    <x v="1"/>
    <n v="299234.50754135021"/>
    <x v="414"/>
    <n v="1.4706284918179284"/>
    <n v="1.4706284918179284"/>
    <n v="4.8625428464708822"/>
    <n v="76933.351935885104"/>
    <n v="89"/>
    <n v="815.78513463750414"/>
    <n v="24537229.618390717"/>
    <s v="OK"/>
  </r>
  <r>
    <x v="435"/>
    <x v="0"/>
    <x v="7"/>
    <s v="Summer"/>
    <x v="63"/>
    <n v="5.1410366777317291"/>
    <x v="1"/>
    <n v="32896.457498005439"/>
    <x v="415"/>
    <n v="1.1473297141564656"/>
    <n v="1.1473297141564656"/>
    <n v="6.0806519814256479"/>
    <n v="66253.113057785784"/>
    <n v="92"/>
    <m/>
    <n v="31251634.623105168"/>
    <s v="Missing Data"/>
  </r>
  <r>
    <x v="436"/>
    <x v="0"/>
    <x v="8"/>
    <s v="Autumn"/>
    <x v="47"/>
    <n v="-0.2940914204413948"/>
    <x v="2"/>
    <n v="30597.901842070765"/>
    <x v="416"/>
    <n v="2.5869878669999999"/>
    <n v="9.7764081378210896"/>
    <n v="4.1772494201962918"/>
    <n v="64122.150042642192"/>
    <n v="99"/>
    <n v="52.028530147186451"/>
    <n v="2478430.0492077321"/>
    <s v="OK"/>
  </r>
  <r>
    <x v="437"/>
    <x v="1"/>
    <x v="9"/>
    <s v="Autumn"/>
    <x v="13"/>
    <n v="-0.16900216616813532"/>
    <x v="0"/>
    <n v="25134.655295592223"/>
    <x v="417"/>
    <n v="3.6126883749899252"/>
    <n v="3.6126883749899252"/>
    <n v="6.3176314125315374"/>
    <n v="72891.049937754215"/>
    <n v="82"/>
    <n v="95.772234880508378"/>
    <n v="2538600.1848548148"/>
    <s v="OK"/>
  </r>
  <r>
    <x v="438"/>
    <x v="2"/>
    <x v="10"/>
    <s v="Autumn"/>
    <x v="22"/>
    <n v="-0.20652894245011316"/>
    <x v="3"/>
    <n v="35982.857508322457"/>
    <x v="418"/>
    <n v="2.5869878669999999"/>
    <n v="18.707366063072111"/>
    <n v="5.9903287692421214"/>
    <n v="85819.580847390185"/>
    <n v="83"/>
    <n v="52.51701743616578"/>
    <n v="3418371.4632906336"/>
    <s v="OK"/>
  </r>
  <r>
    <x v="439"/>
    <x v="3"/>
    <x v="0"/>
    <s v="Winter"/>
    <x v="23"/>
    <n v="-8.7694150890516673E-2"/>
    <x v="0"/>
    <n v="29207.352134865148"/>
    <x v="419"/>
    <n v="4.0337277099164996"/>
    <n v="4.0337277099164996"/>
    <n v="5.1306298346333392"/>
    <n v="139065.18275053136"/>
    <n v="94"/>
    <n v="81.746882818408793"/>
    <n v="3329638.143374627"/>
    <s v="OK"/>
  </r>
  <r>
    <x v="440"/>
    <x v="1"/>
    <x v="11"/>
    <s v="Winter"/>
    <x v="12"/>
    <n v="-0.22529233059110207"/>
    <x v="0"/>
    <m/>
    <x v="420"/>
    <n v="1.9641985369477022"/>
    <n v="1.9641985369477022"/>
    <n v="4.4936970418633226"/>
    <n v="89482.406482095917"/>
    <n v="88"/>
    <n v="58.710181165140725"/>
    <n v="0"/>
    <s v="Missing Data"/>
  </r>
  <r>
    <x v="441"/>
    <x v="0"/>
    <x v="1"/>
    <s v="Winter"/>
    <x v="21"/>
    <n v="-9.3948613604179651E-2"/>
    <x v="3"/>
    <n v="25333.660204634019"/>
    <x v="81"/>
    <n v="0.79264204240705327"/>
    <n v="0.79264204240705327"/>
    <n v="4.4359828932598511"/>
    <n v="103555.00212536062"/>
    <n v="92"/>
    <n v="91.802586121766723"/>
    <n v="2862703.6031236444"/>
    <s v="Missing Data"/>
  </r>
  <r>
    <x v="442"/>
    <x v="0"/>
    <x v="2"/>
    <s v="Spring"/>
    <x v="21"/>
    <n v="-9.3948613604179651E-2"/>
    <x v="3"/>
    <n v="27783.588744042449"/>
    <x v="421"/>
    <n v="1.3834755600513409"/>
    <n v="1.3834755600513409"/>
    <n v="6.1417808036150925"/>
    <n v="108009.62773012658"/>
    <n v="78"/>
    <n v="92.620899492014289"/>
    <n v="3139545.5280767968"/>
    <s v="OK"/>
  </r>
  <r>
    <x v="443"/>
    <x v="3"/>
    <x v="3"/>
    <s v="Spring"/>
    <x v="37"/>
    <n v="-5.0167374608538831E-2"/>
    <x v="0"/>
    <n v="25575.986429865494"/>
    <x v="422"/>
    <n v="3.7358116200069387"/>
    <n v="3.7358116200069387"/>
    <n v="6.9747766029868741"/>
    <m/>
    <n v="102"/>
    <n v="26.99334462968671"/>
    <n v="3069118.3715838594"/>
    <s v="Missing Data"/>
  </r>
  <r>
    <x v="444"/>
    <x v="4"/>
    <x v="4"/>
    <s v="Spring"/>
    <x v="19"/>
    <n v="-0.1252209271724945"/>
    <x v="0"/>
    <n v="29135.269700382883"/>
    <x v="423"/>
    <n v="2.3441018220633323"/>
    <n v="2.3441018220633323"/>
    <n v="4.7352307035654464"/>
    <n v="98451.130785480127"/>
    <n v="96"/>
    <n v="94.919466504818061"/>
    <n v="3146609.1276413514"/>
    <s v="OK"/>
  </r>
  <r>
    <x v="445"/>
    <x v="1"/>
    <x v="5"/>
    <s v="Summer"/>
    <x v="8"/>
    <n v="-0.18151109159546128"/>
    <x v="3"/>
    <n v="38558.542400711718"/>
    <x v="424"/>
    <n v="1.9517127035093991"/>
    <n v="1.9517127035093991"/>
    <n v="6.0500640442617808"/>
    <n v="76094.1247280151"/>
    <n v="75"/>
    <n v="86.042787321633256"/>
    <n v="3817295.6976704602"/>
    <s v="OK"/>
  </r>
  <r>
    <x v="446"/>
    <x v="1"/>
    <x v="6"/>
    <s v="Summer"/>
    <x v="19"/>
    <n v="-0.1252209271724945"/>
    <x v="2"/>
    <n v="23140.494285343219"/>
    <x v="425"/>
    <n v="2.6600182258527876"/>
    <n v="2.6600182258527876"/>
    <n v="2.9955675776775177"/>
    <n v="129018.55096558423"/>
    <n v="87"/>
    <n v="83.304857145013358"/>
    <n v="2499173.3828170677"/>
    <s v="OK"/>
  </r>
  <r>
    <x v="447"/>
    <x v="4"/>
    <x v="7"/>
    <s v="Summer"/>
    <x v="7"/>
    <n v="-0.18776555430912426"/>
    <x v="2"/>
    <n v="21932.193010616294"/>
    <x v="426"/>
    <n v="3.0017827361675451"/>
    <n v="3.0017827361675451"/>
    <n v="4.7984587232113602"/>
    <n v="136143.93287275769"/>
    <n v="114"/>
    <n v="36.072907174841795"/>
    <n v="2149354.9150403971"/>
    <s v="OK"/>
  </r>
  <r>
    <x v="448"/>
    <x v="3"/>
    <x v="8"/>
    <s v="Autumn"/>
    <x v="12"/>
    <n v="-0.22529233059110207"/>
    <x v="2"/>
    <n v="37355.85163746804"/>
    <x v="427"/>
    <n v="3.6173988159024608"/>
    <n v="3.6173988159024608"/>
    <n v="5.4627292805549175"/>
    <n v="66346.826117546283"/>
    <n v="86"/>
    <n v="84.409536700373195"/>
    <n v="3436738.3506470597"/>
    <s v="OK"/>
  </r>
  <r>
    <x v="449"/>
    <x v="3"/>
    <x v="9"/>
    <s v="Autumn"/>
    <x v="0"/>
    <n v="-0.20027447973645018"/>
    <x v="0"/>
    <n v="28953.381614240669"/>
    <x v="428"/>
    <n v="3.948499229892926"/>
    <n v="3.948499229892926"/>
    <n v="4.4083798996217993"/>
    <n v="79519.428182272415"/>
    <n v="85"/>
    <n v="88.01061877480295"/>
    <n v="2779524.6349671041"/>
    <s v="OK"/>
  </r>
  <r>
    <x v="450"/>
    <x v="0"/>
    <x v="10"/>
    <s v="Autumn"/>
    <x v="6"/>
    <n v="-0.21278340516377614"/>
    <x v="3"/>
    <n v="26654.636306700417"/>
    <x v="429"/>
    <n v="2.5869878669999999"/>
    <n v="21.402313542109145"/>
    <n v="4.3761923502524844"/>
    <m/>
    <n v="95"/>
    <n v="43.132026756332074"/>
    <n v="2505535.8128298391"/>
    <s v="Missing Data"/>
  </r>
  <r>
    <x v="451"/>
    <x v="4"/>
    <x v="0"/>
    <s v="Winter"/>
    <x v="64"/>
    <n v="-0.33161819672337262"/>
    <x v="3"/>
    <n v="35199.52343698038"/>
    <x v="430"/>
    <n v="1.1739523139179617"/>
    <n v="1.1739523139179617"/>
    <n v="4.6986645322373368"/>
    <n v="80709.244101796168"/>
    <n v="97"/>
    <n v="96.180806268985904"/>
    <n v="2639964.2577735283"/>
    <s v="OK"/>
  </r>
  <r>
    <x v="452"/>
    <x v="3"/>
    <x v="11"/>
    <s v="Winter"/>
    <x v="26"/>
    <n v="-0.19402001702278721"/>
    <x v="2"/>
    <n v="26971.922301315681"/>
    <x v="431"/>
    <n v="2.086534838876724"/>
    <n v="2.086534838876724"/>
    <n v="5.850631273991648"/>
    <n v="110119.31106911731"/>
    <n v="68"/>
    <n v="23.988811711933138"/>
    <n v="2616276.4632276208"/>
    <s v="OK"/>
  </r>
  <r>
    <x v="453"/>
    <x v="2"/>
    <x v="1"/>
    <s v="Winter"/>
    <x v="65"/>
    <n v="6.0166614576445445"/>
    <x v="3"/>
    <m/>
    <x v="432"/>
    <n v="2.7602805065828862"/>
    <n v="2.7602805065828862"/>
    <n v="5.2752051779123503"/>
    <n v="85434.555951867733"/>
    <n v="86"/>
    <n v="31.992740259771175"/>
    <n v="0"/>
    <s v="Missing Data"/>
  </r>
  <r>
    <x v="454"/>
    <x v="1"/>
    <x v="2"/>
    <s v="Spring"/>
    <x v="7"/>
    <n v="-0.18776555430912426"/>
    <x v="3"/>
    <n v="33389.629356696343"/>
    <x v="433"/>
    <n v="1.5362410737893892"/>
    <n v="1.5362410737893892"/>
    <n v="2.8141225200100335"/>
    <n v="143301.12135613203"/>
    <n v="90"/>
    <n v="63.006491044121148"/>
    <n v="3272183.6769562415"/>
    <s v="OK"/>
  </r>
  <r>
    <x v="455"/>
    <x v="0"/>
    <x v="3"/>
    <s v="Spring"/>
    <x v="33"/>
    <n v="-4.391291189487586E-2"/>
    <x v="2"/>
    <n v="27560.442959271488"/>
    <x v="434"/>
    <n v="1.5428490851049572"/>
    <n v="1.5428490851049572"/>
    <n v="2.9551598168379205"/>
    <n v="123810.97188687192"/>
    <n v="80"/>
    <n v="66.063397689784779"/>
    <n v="3334813.5980718499"/>
    <s v="OK"/>
  </r>
  <r>
    <x v="456"/>
    <x v="4"/>
    <x v="4"/>
    <s v="Spring"/>
    <x v="3"/>
    <n v="-0.15649324074080936"/>
    <x v="3"/>
    <n v="40786.541066327518"/>
    <x v="81"/>
    <n v="2.5869878669999999"/>
    <n v="28.437878815498856"/>
    <n v="4.7717617865713891"/>
    <n v="104251.4806126443"/>
    <n v="88"/>
    <n v="716.12006664072271"/>
    <n v="4201013.7298317347"/>
    <s v="Missing Data"/>
  </r>
  <r>
    <x v="457"/>
    <x v="0"/>
    <x v="5"/>
    <s v="Summer"/>
    <x v="33"/>
    <n v="-4.391291189487586E-2"/>
    <x v="0"/>
    <m/>
    <x v="435"/>
    <n v="2.4513476484295489"/>
    <n v="2.4513476484295489"/>
    <n v="6.0492239032642621"/>
    <n v="120539.72526639464"/>
    <n v="95"/>
    <n v="21.357530345237315"/>
    <n v="0"/>
    <s v="Missing Data"/>
  </r>
  <r>
    <x v="458"/>
    <x v="3"/>
    <x v="6"/>
    <s v="Summer"/>
    <x v="3"/>
    <n v="-0.15649324074080936"/>
    <x v="1"/>
    <n v="33710.476860046532"/>
    <x v="436"/>
    <n v="2.5327969954115863"/>
    <n v="2.5327969954115863"/>
    <n v="2.2029941887297184"/>
    <n v="122118.00848714617"/>
    <n v="93"/>
    <n v="96.829341969770425"/>
    <n v="3472179.1165847927"/>
    <s v="OK"/>
  </r>
  <r>
    <x v="459"/>
    <x v="3"/>
    <x v="7"/>
    <s v="Summer"/>
    <x v="31"/>
    <n v="-0.23154679330476505"/>
    <x v="2"/>
    <n v="31496.462902032461"/>
    <x v="81"/>
    <n v="1.7415046652999306"/>
    <n v="1.7415046652999306"/>
    <m/>
    <n v="88721.050238835131"/>
    <n v="95"/>
    <n v="23.567047418731519"/>
    <n v="2866178.1240849542"/>
    <s v="Missing Data"/>
  </r>
  <r>
    <x v="460"/>
    <x v="2"/>
    <x v="8"/>
    <s v="Autumn"/>
    <x v="31"/>
    <n v="-0.23154679330476505"/>
    <x v="3"/>
    <n v="36508.706446993994"/>
    <x v="437"/>
    <n v="2.2695992857942326"/>
    <n v="2.2695992857942326"/>
    <n v="4.8685025721790947"/>
    <n v="83675.655109160711"/>
    <n v="93"/>
    <n v="31.444956217872189"/>
    <n v="3322292.2866764534"/>
    <s v="OK"/>
  </r>
  <r>
    <x v="461"/>
    <x v="1"/>
    <x v="9"/>
    <s v="Autumn"/>
    <x v="27"/>
    <n v="-0.80070290024809565"/>
    <x v="3"/>
    <n v="37807.555983634265"/>
    <x v="438"/>
    <n v="1.5757668557316955"/>
    <n v="1.5757668557316955"/>
    <n v="7.166005333850137"/>
    <n v="101562.86125939294"/>
    <n v="81"/>
    <n v="21.12116140208456"/>
    <n v="0"/>
    <s v="Missing Data"/>
  </r>
  <r>
    <x v="462"/>
    <x v="4"/>
    <x v="10"/>
    <s v="Autumn"/>
    <x v="26"/>
    <n v="-0.19402001702278721"/>
    <x v="3"/>
    <n v="30160.020745328835"/>
    <x v="439"/>
    <n v="3.3901984111247869"/>
    <n v="3.3901984111247869"/>
    <n v="5.0379738259445634"/>
    <n v="117232.72248995888"/>
    <n v="89"/>
    <n v="65.348674663527575"/>
    <n v="2925522.0122968969"/>
    <s v="OK"/>
  </r>
  <r>
    <x v="463"/>
    <x v="0"/>
    <x v="0"/>
    <s v="Winter"/>
    <x v="20"/>
    <n v="-0.13772985259982046"/>
    <x v="3"/>
    <n v="26232.910648269084"/>
    <x v="440"/>
    <n v="0.72376476710168003"/>
    <m/>
    <n v="5.9595867816891142"/>
    <n v="102781.20797306835"/>
    <n v="73"/>
    <n v="94.581350713677779"/>
    <n v="2780688.5287165227"/>
    <s v="Missing Data"/>
  </r>
  <r>
    <x v="464"/>
    <x v="1"/>
    <x v="11"/>
    <s v="Winter"/>
    <x v="32"/>
    <n v="-0.11271200174516857"/>
    <x v="1"/>
    <n v="32299.860714695584"/>
    <x v="81"/>
    <n v="0.65381213776190616"/>
    <n v="0.65381213776190616"/>
    <n v="56.695085681049555"/>
    <n v="68460.070356180047"/>
    <n v="860"/>
    <n v="73.275773286437129"/>
    <n v="3552984.6786165144"/>
    <s v="Missing Data"/>
  </r>
  <r>
    <x v="465"/>
    <x v="3"/>
    <x v="1"/>
    <s v="Winter"/>
    <x v="31"/>
    <n v="-0.23154679330476505"/>
    <x v="2"/>
    <n v="26611.423151239469"/>
    <x v="441"/>
    <n v="1.57048913980759"/>
    <n v="1.57048913980759"/>
    <n v="2.9433202242313592"/>
    <n v="83943.511120983152"/>
    <n v="91"/>
    <n v="85.812597478434185"/>
    <n v="2421639.5067627919"/>
    <s v="OK"/>
  </r>
  <r>
    <x v="466"/>
    <x v="1"/>
    <x v="2"/>
    <s v="Spring"/>
    <x v="3"/>
    <n v="-0.15649324074080936"/>
    <x v="1"/>
    <n v="40066.936237633112"/>
    <x v="442"/>
    <n v="1.0034707449099209"/>
    <n v="1.0034707449099209"/>
    <n v="6.4218486599580844"/>
    <n v="98520.542728112443"/>
    <n v="84"/>
    <n v="21.062496276686407"/>
    <n v="4126894.4324762104"/>
    <s v="OK"/>
  </r>
  <r>
    <x v="467"/>
    <x v="0"/>
    <x v="3"/>
    <s v="Spring"/>
    <x v="14"/>
    <n v="-0.27532803230040587"/>
    <x v="2"/>
    <n v="30682.676655413688"/>
    <x v="443"/>
    <n v="1.8499760655931019"/>
    <n v="1.8499760655931019"/>
    <n v="5.7584758065475459"/>
    <n v="98486.687913483402"/>
    <n v="81"/>
    <n v="63.361223878378084"/>
    <n v="2577344.8390547498"/>
    <s v="OK"/>
  </r>
  <r>
    <x v="468"/>
    <x v="1"/>
    <x v="4"/>
    <s v="Spring"/>
    <x v="17"/>
    <n v="-0.21903786787743912"/>
    <x v="1"/>
    <n v="28173.392243439455"/>
    <x v="444"/>
    <n v="2.4165620302096391"/>
    <n v="2.4165620302096391"/>
    <n v="6.1099223676095074"/>
    <n v="139450.84353579616"/>
    <n v="96"/>
    <n v="56.765038200441751"/>
    <n v="2620125.4786398695"/>
    <s v="OK"/>
  </r>
  <r>
    <x v="469"/>
    <x v="3"/>
    <x v="5"/>
    <s v="Summer"/>
    <x v="21"/>
    <n v="-9.3948613604179651E-2"/>
    <x v="3"/>
    <n v="309234.01529324544"/>
    <x v="445"/>
    <n v="1.0503547803014699"/>
    <n v="1.0503547803014699"/>
    <n v="10.211485247723591"/>
    <n v="72280.24115202004"/>
    <n v="86"/>
    <n v="59.917435537663444"/>
    <n v="34943443.728136733"/>
    <s v="OK"/>
  </r>
  <r>
    <x v="470"/>
    <x v="1"/>
    <x v="6"/>
    <s v="Summer"/>
    <x v="10"/>
    <n v="-0.14398431531348344"/>
    <x v="0"/>
    <n v="23264.368552351516"/>
    <x v="446"/>
    <n v="1.5781401868746867"/>
    <n v="1.5781401868746867"/>
    <n v="29.990644726016939"/>
    <n v="110111.78483671749"/>
    <n v="99"/>
    <n v="25.777054826815036"/>
    <n v="2442758.6979969093"/>
    <s v="OK"/>
  </r>
  <r>
    <x v="471"/>
    <x v="4"/>
    <x v="7"/>
    <s v="Summer"/>
    <x v="50"/>
    <n v="-0.28158249501406885"/>
    <x v="0"/>
    <n v="25141.929807446744"/>
    <x v="447"/>
    <n v="1.4960426279185015"/>
    <n v="1.4960426279185015"/>
    <n v="7.5696359797133299"/>
    <n v="129782.26216656579"/>
    <n v="72"/>
    <n v="74.754828885544597"/>
    <n v="2086780.1740180799"/>
    <s v="OK"/>
  </r>
  <r>
    <x v="472"/>
    <x v="1"/>
    <x v="8"/>
    <s v="Autumn"/>
    <x v="0"/>
    <n v="-0.20027447973645018"/>
    <x v="0"/>
    <n v="36002.069539722128"/>
    <x v="448"/>
    <n v="2.707267329398944"/>
    <n v="2.707267329398944"/>
    <n v="5.1550629767195737"/>
    <n v="145428.99490845593"/>
    <n v="83"/>
    <n v="60.257633188690754"/>
    <n v="3456198.6758133243"/>
    <s v="OK"/>
  </r>
  <r>
    <x v="473"/>
    <x v="4"/>
    <x v="9"/>
    <s v="Autumn"/>
    <x v="1"/>
    <n v="-0.13147538988615748"/>
    <x v="2"/>
    <n v="26715.528605143023"/>
    <x v="449"/>
    <n v="2.5693443370362505"/>
    <n v="2.5693443370362505"/>
    <n v="5.8447946852836115"/>
    <n v="91912.051536320767"/>
    <n v="98"/>
    <n v="81.211907988901118"/>
    <n v="2858561.5607503033"/>
    <s v="OK"/>
  </r>
  <r>
    <x v="474"/>
    <x v="1"/>
    <x v="10"/>
    <s v="Autumn"/>
    <x v="50"/>
    <n v="-0.28158249501406885"/>
    <x v="3"/>
    <n v="24765.445086590302"/>
    <x v="450"/>
    <n v="1.7782624466627466"/>
    <n v="1.7782624466627466"/>
    <n v="5.4453853056385091"/>
    <n v="109828.589054404"/>
    <n v="101"/>
    <n v="58.823250724937225"/>
    <n v="2055531.9421869949"/>
    <s v="OK"/>
  </r>
  <r>
    <x v="475"/>
    <x v="3"/>
    <x v="0"/>
    <s v="Winter"/>
    <x v="10"/>
    <n v="-0.14398431531348344"/>
    <x v="3"/>
    <n v="32683.26376263643"/>
    <x v="451"/>
    <n v="2.6768208721393978"/>
    <n v="2.6768208721393978"/>
    <n v="4.990916399922348"/>
    <n v="111395.20714397293"/>
    <n v="950"/>
    <n v="31.950530898114565"/>
    <n v="3431742.6950768251"/>
    <s v="OK"/>
  </r>
  <r>
    <x v="476"/>
    <x v="2"/>
    <x v="11"/>
    <s v="Winter"/>
    <x v="44"/>
    <n v="-0.10020307631784262"/>
    <x v="3"/>
    <n v="35928.520773314987"/>
    <x v="452"/>
    <n v="1.9533199154127345"/>
    <n v="1.9533199154127345"/>
    <n v="4.8162004861134893"/>
    <n v="103909.63463106581"/>
    <n v="71"/>
    <n v="71.860556326225762"/>
    <n v="4023994.3266112786"/>
    <s v="OK"/>
  </r>
  <r>
    <x v="477"/>
    <x v="2"/>
    <x v="1"/>
    <s v="Winter"/>
    <x v="8"/>
    <n v="-0.18151109159546128"/>
    <x v="1"/>
    <n v="33594.766553325331"/>
    <x v="453"/>
    <n v="2.2283448896739468"/>
    <n v="2.2283448896739468"/>
    <n v="5.8954104826876108"/>
    <n v="98023.095975213873"/>
    <n v="85"/>
    <n v="33.790908968413298"/>
    <n v="3325881.8887792076"/>
    <s v="OK"/>
  </r>
  <r>
    <x v="478"/>
    <x v="4"/>
    <x v="2"/>
    <s v="Spring"/>
    <x v="4"/>
    <n v="-0.10645753903150559"/>
    <x v="1"/>
    <n v="34980.238429029079"/>
    <x v="454"/>
    <n v="4.1734520902985368"/>
    <n v="4.1734520902985368"/>
    <n v="3.6793915639939851"/>
    <n v="108719.50779000092"/>
    <n v="98"/>
    <n v="89.791565068385196"/>
    <n v="3882806.4656222276"/>
    <s v="OK"/>
  </r>
  <r>
    <x v="479"/>
    <x v="4"/>
    <x v="3"/>
    <s v="Spring"/>
    <x v="10"/>
    <n v="-0.14398431531348344"/>
    <x v="3"/>
    <n v="26216.024557152698"/>
    <x v="455"/>
    <n v="3.8404610517903479"/>
    <n v="3.8404610517903479"/>
    <n v="6.4006950010261185"/>
    <n v="49355.07829560629"/>
    <n v="100"/>
    <n v="69.049299125539321"/>
    <n v="2752682.5785010331"/>
    <s v="OK"/>
  </r>
  <r>
    <x v="480"/>
    <x v="2"/>
    <x v="4"/>
    <s v="Spring"/>
    <x v="17"/>
    <n v="-0.21903786787743912"/>
    <x v="2"/>
    <n v="22890.94666629078"/>
    <x v="456"/>
    <n v="1.2004187630724024"/>
    <n v="1.2004187630724024"/>
    <n v="5.0005667141376957"/>
    <n v="113641.38980125263"/>
    <n v="88"/>
    <n v="32.57631068455634"/>
    <n v="2128858.0399650424"/>
    <s v="OK"/>
  </r>
  <r>
    <x v="481"/>
    <x v="3"/>
    <x v="5"/>
    <s v="Summer"/>
    <x v="40"/>
    <n v="-0.11896646445883154"/>
    <x v="0"/>
    <n v="37506.668259777434"/>
    <x v="457"/>
    <n v="3.3297324178791747"/>
    <n v="3.3297324178791747"/>
    <n v="4.143916793151571"/>
    <n v="102523.55807323934"/>
    <n v="82"/>
    <n v="96.987044598496539"/>
    <n v="4088226.8403157406"/>
    <s v="OK"/>
  </r>
  <r>
    <x v="482"/>
    <x v="3"/>
    <x v="6"/>
    <s v="Summer"/>
    <x v="20"/>
    <n v="-0.13772985259982046"/>
    <x v="0"/>
    <n v="28386.60080578932"/>
    <x v="458"/>
    <n v="2.5869878669999999"/>
    <n v="33.113965544915921"/>
    <n v="4.9599845704050232"/>
    <n v="95550.502064434695"/>
    <n v="930"/>
    <n v="61.469237066825649"/>
    <n v="3008979.6854136679"/>
    <s v="OK"/>
  </r>
  <r>
    <x v="483"/>
    <x v="1"/>
    <x v="7"/>
    <s v="Summer"/>
    <x v="20"/>
    <n v="-0.13772985259982046"/>
    <x v="0"/>
    <n v="28745.834917724762"/>
    <x v="459"/>
    <n v="1.3517367112473817"/>
    <n v="1.3517367112473817"/>
    <n v="7.0085790602350873"/>
    <n v="140937.24391439115"/>
    <n v="79"/>
    <n v="25.831876149732402"/>
    <n v="3047058.5012788246"/>
    <s v="OK"/>
  </r>
  <r>
    <x v="484"/>
    <x v="4"/>
    <x v="8"/>
    <s v="Autumn"/>
    <x v="3"/>
    <n v="-0.15649324074080936"/>
    <x v="1"/>
    <n v="36640.970709245288"/>
    <x v="460"/>
    <n v="2.7602805065828862"/>
    <m/>
    <n v="4.8575978955805326"/>
    <n v="86501.319624188953"/>
    <n v="92"/>
    <n v="70.146632353205376"/>
    <n v="3774019.9830522649"/>
    <s v="Missing Data"/>
  </r>
  <r>
    <x v="485"/>
    <x v="3"/>
    <x v="9"/>
    <s v="Autumn"/>
    <x v="21"/>
    <n v="-9.3948613604179651E-2"/>
    <x v="3"/>
    <n v="32781.150047003299"/>
    <x v="461"/>
    <n v="4.0379319184125526"/>
    <n v="4.0379319184125526"/>
    <n v="5.9301443418515447"/>
    <n v="91938.480218699391"/>
    <m/>
    <n v="40.255912561024815"/>
    <n v="3704269.9553113729"/>
    <s v="Missing Data"/>
  </r>
  <r>
    <x v="486"/>
    <x v="0"/>
    <x v="10"/>
    <s v="Autumn"/>
    <x v="4"/>
    <n v="-0.10645753903150559"/>
    <x v="3"/>
    <n v="322794.38860408036"/>
    <x v="462"/>
    <n v="1.3774551937555861"/>
    <n v="1.3774551937555861"/>
    <n v="4.6228524691414323"/>
    <n v="1398310.6604409469"/>
    <n v="92"/>
    <n v="84.2954761501842"/>
    <n v="35830177.135052919"/>
    <s v="OK"/>
  </r>
  <r>
    <x v="487"/>
    <x v="1"/>
    <x v="0"/>
    <s v="Winter"/>
    <x v="27"/>
    <n v="-0.80070290024809565"/>
    <x v="1"/>
    <n v="40825.011724505421"/>
    <x v="463"/>
    <n v="1.5824971789857365"/>
    <n v="1.5824971789857365"/>
    <n v="6.4095062199083435"/>
    <m/>
    <n v="92"/>
    <n v="85.425765885295249"/>
    <n v="0"/>
    <s v="Missing Data"/>
  </r>
  <r>
    <x v="488"/>
    <x v="1"/>
    <x v="0"/>
    <s v="Winter"/>
    <x v="38"/>
    <n v="-0.244055718732091"/>
    <x v="2"/>
    <n v="26782.408848099287"/>
    <x v="464"/>
    <n v="3.5176614668435024"/>
    <n v="3.5176614668435024"/>
    <m/>
    <n v="88997.69434126922"/>
    <n v="90"/>
    <n v="98.315788468372943"/>
    <n v="2383634.3874808364"/>
    <s v="Missing Data"/>
  </r>
  <r>
    <x v="489"/>
    <x v="2"/>
    <x v="1"/>
    <s v="Winter"/>
    <x v="4"/>
    <n v="-0.10645753903150559"/>
    <x v="1"/>
    <n v="34639.200640406183"/>
    <x v="465"/>
    <n v="2.7714953108256482"/>
    <n v="2.7714953108256482"/>
    <n v="7.7183305999556939"/>
    <n v="97059.491531382999"/>
    <n v="82"/>
    <n v="60.149562481960295"/>
    <n v="3844951.2710850863"/>
    <s v="OK"/>
  </r>
  <r>
    <x v="490"/>
    <x v="4"/>
    <x v="2"/>
    <s v="Spring"/>
    <x v="29"/>
    <n v="-0.15023877802714641"/>
    <x v="1"/>
    <m/>
    <x v="466"/>
    <n v="3.0514762752395233"/>
    <n v="3.0514762752395233"/>
    <n v="5.2893232654009417"/>
    <n v="1168146.8964259098"/>
    <n v="850"/>
    <n v="56.396550378218969"/>
    <n v="0"/>
    <s v="Missing Data"/>
  </r>
  <r>
    <x v="491"/>
    <x v="3"/>
    <x v="3"/>
    <s v="Spring"/>
    <x v="27"/>
    <n v="-0.80070290024809565"/>
    <x v="3"/>
    <n v="31342.961394316284"/>
    <x v="467"/>
    <n v="2.8405892164004967"/>
    <n v="2.8405892164004967"/>
    <n v="6.3023857657094879"/>
    <n v="104156.05014706627"/>
    <n v="90"/>
    <n v="802.78048435718449"/>
    <n v="0"/>
    <s v="Missing Data"/>
  </r>
  <r>
    <x v="492"/>
    <x v="3"/>
    <x v="3"/>
    <s v="Spring"/>
    <x v="40"/>
    <n v="-0.11896646445883154"/>
    <x v="0"/>
    <n v="37642.342132062658"/>
    <x v="468"/>
    <n v="2.890695920928144"/>
    <n v="2.890695920928144"/>
    <n v="5.6176810474467338"/>
    <n v="74147.493056954743"/>
    <n v="83"/>
    <n v="30.597652507354127"/>
    <n v="4103015.2923948299"/>
    <s v="OK"/>
  </r>
  <r>
    <x v="493"/>
    <x v="1"/>
    <x v="4"/>
    <s v="Spring"/>
    <x v="19"/>
    <n v="-0.1252209271724945"/>
    <x v="0"/>
    <n v="32539.178781448118"/>
    <x v="469"/>
    <n v="1.173527871688917"/>
    <n v="1.173527871688917"/>
    <n v="7.0550461382356175"/>
    <n v="89356.628737456209"/>
    <m/>
    <n v="63.753241103449938"/>
    <n v="3514231.3083963967"/>
    <s v="Missing Data"/>
  </r>
  <r>
    <x v="494"/>
    <x v="4"/>
    <x v="5"/>
    <s v="Summer"/>
    <x v="35"/>
    <n v="-6.3861356128980225E-3"/>
    <x v="3"/>
    <n v="32691.480395248163"/>
    <x v="470"/>
    <n v="3.5473177066214481"/>
    <n v="3.5473177066214481"/>
    <n v="4.6374011348695232"/>
    <n v="87852.91133575578"/>
    <n v="102"/>
    <n v="63.699808010468075"/>
    <n v="4151818.0101965168"/>
    <s v="OK"/>
  </r>
  <r>
    <x v="495"/>
    <x v="4"/>
    <x v="6"/>
    <s v="Summer"/>
    <x v="29"/>
    <n v="-0.15023877802714641"/>
    <x v="0"/>
    <n v="35362.536686549014"/>
    <x v="471"/>
    <n v="3.6695899924277735"/>
    <n v="3.6695899924277735"/>
    <n v="6.3940063754527374"/>
    <n v="98455.579095539084"/>
    <n v="76"/>
    <n v="27.157849824830976"/>
    <n v="3677703.8154010973"/>
    <s v="OK"/>
  </r>
  <r>
    <x v="496"/>
    <x v="4"/>
    <x v="7"/>
    <s v="Summer"/>
    <x v="20"/>
    <n v="-0.13772985259982046"/>
    <x v="3"/>
    <n v="28175.236352285574"/>
    <x v="472"/>
    <n v="2.2706092559319724"/>
    <n v="2.2706092559319724"/>
    <n v="5.2663632446599822"/>
    <n v="108516.87317259658"/>
    <n v="99"/>
    <n v="53.438726840553088"/>
    <n v="2986575.0533422707"/>
    <s v="OK"/>
  </r>
  <r>
    <x v="497"/>
    <x v="2"/>
    <x v="8"/>
    <s v="Autumn"/>
    <x v="6"/>
    <n v="-0.21278340516377614"/>
    <x v="1"/>
    <n v="25803.951663304968"/>
    <x v="473"/>
    <n v="2.4565230501861377"/>
    <n v="2.4565230501861377"/>
    <n v="5.4229741874698023"/>
    <n v="108364.11511775944"/>
    <n v="77"/>
    <n v="88.262783885376152"/>
    <n v="2425571.4563506669"/>
    <s v="OK"/>
  </r>
  <r>
    <x v="498"/>
    <x v="3"/>
    <x v="9"/>
    <s v="Autumn"/>
    <x v="47"/>
    <n v="-0.2940914204413948"/>
    <x v="1"/>
    <n v="24775.954029894834"/>
    <x v="474"/>
    <n v="0.96889249744427786"/>
    <n v="0.96889249744427786"/>
    <n v="5.6101029813380476"/>
    <n v="64479.764919031957"/>
    <n v="101"/>
    <n v="88.492289759572827"/>
    <n v="2006852.2764214815"/>
    <s v="OK"/>
  </r>
  <r>
    <x v="499"/>
    <x v="4"/>
    <x v="10"/>
    <s v="Autumn"/>
    <x v="22"/>
    <n v="-0.20652894245011316"/>
    <x v="2"/>
    <n v="20168.217053119992"/>
    <x v="475"/>
    <n v="3.0142547560178348"/>
    <n v="3.0142547560178348"/>
    <n v="5.8026884757120127"/>
    <n v="121278.81975121712"/>
    <n v="94"/>
    <n v="27.939013193574482"/>
    <n v="1915980.6200463993"/>
    <s v="OK"/>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d v="2015-01-01T00:00:00"/>
    <x v="0"/>
    <s v="January"/>
    <x v="0"/>
    <n v="96"/>
    <n v="-0.20027447973645018"/>
    <x v="0"/>
    <n v="27205.390763642059"/>
    <n v="4.5281035649701611"/>
    <n v="2.5869878669999999"/>
    <n v="-3.0287522746329731E-2"/>
    <n v="6.1864689300569733"/>
    <n v="97675.419137560835"/>
    <n v="99"/>
    <n v="62.296585590724206"/>
    <n v="2611717.5133096376"/>
    <s v="OK"/>
  </r>
  <r>
    <d v="2015-01-31T00:00:00"/>
    <x v="0"/>
    <s v="January"/>
    <x v="0"/>
    <n v="107"/>
    <n v="-0.13147538988615748"/>
    <x v="1"/>
    <n v="31886.059375322606"/>
    <n v="2.9483958171391587"/>
    <n v="2.2139957781198891"/>
    <n v="2.2139957781198891"/>
    <n v="5.4253707796008266"/>
    <n v="104294.26366341053"/>
    <n v="100"/>
    <n v="22.750148668138017"/>
    <n v="3411808.3531595189"/>
    <s v="OK"/>
  </r>
  <r>
    <d v="2015-03-02T00:00:00"/>
    <x v="1"/>
    <s v="March"/>
    <x v="0"/>
    <n v="88"/>
    <n v="-0.25031018144575395"/>
    <x v="2"/>
    <m/>
    <n v="3.3893731882071139"/>
    <n v="3.6009596349985711"/>
    <n v="3.6009596349985711"/>
    <n v="6.8492240318446029"/>
    <n v="131562.36115124368"/>
    <n v="98"/>
    <n v="71.117041757862765"/>
    <n v="0"/>
    <s v="Missing Data"/>
  </r>
  <r>
    <d v="2015-04-01T00:00:00"/>
    <x v="2"/>
    <s v="April"/>
    <x v="1"/>
    <n v="103"/>
    <n v="-0.15649324074080936"/>
    <x v="2"/>
    <n v="29671.248694635062"/>
    <n v="3.3615933500555397"/>
    <n v="2.5869878669999999"/>
    <n v="44.583474542205934"/>
    <n v="5.0991073228240715"/>
    <n v="119708.99371230436"/>
    <n v="88"/>
    <n v="26.515777031292735"/>
    <n v="3056138.6155474111"/>
    <s v="OK"/>
  </r>
  <r>
    <d v="2015-05-01T00:00:00"/>
    <x v="2"/>
    <s v="May"/>
    <x v="1"/>
    <n v="111"/>
    <n v="-0.10645753903150559"/>
    <x v="2"/>
    <n v="27224.002366534009"/>
    <n v="3.6537033489045503"/>
    <n v="1.2704504055475832"/>
    <n v="1.2704504055475832"/>
    <n v="6.1775271110723207"/>
    <n v="117383.09184993793"/>
    <n v="91"/>
    <n v="54.801167547217872"/>
    <n v="3021864.2626852752"/>
    <s v="OK"/>
  </r>
  <r>
    <d v="2015-05-31T00:00:00"/>
    <x v="2"/>
    <s v="May"/>
    <x v="1"/>
    <n v="90"/>
    <n v="-0.23780125601842803"/>
    <x v="3"/>
    <n v="39405.785347202953"/>
    <n v="3.9078686062696484"/>
    <n v="2.9966992232365217"/>
    <n v="2.9966992232365217"/>
    <n v="4.2764027935694617"/>
    <n v="90889.209479522586"/>
    <n v="82"/>
    <n v="43.412407813392626"/>
    <n v="3546520.6812482658"/>
    <s v="OK"/>
  </r>
  <r>
    <d v="2015-06-30T00:00:00"/>
    <x v="0"/>
    <s v="June"/>
    <x v="1"/>
    <n v="94"/>
    <n v="-0.21278340516377614"/>
    <x v="0"/>
    <n v="22759.93049791878"/>
    <n v="3.9302367441798727"/>
    <n v="2.0346895432199466"/>
    <n v="2.0346895432199466"/>
    <n v="5.471737418950914"/>
    <n v="82215.183435433515"/>
    <n v="92"/>
    <n v="636.34236016937041"/>
    <n v="2139433.4668043652"/>
    <s v="OK"/>
  </r>
  <r>
    <d v="2015-07-30T00:00:00"/>
    <x v="3"/>
    <s v="July"/>
    <x v="2"/>
    <n v="98"/>
    <n v="-0.18776555430912426"/>
    <x v="2"/>
    <n v="19005.97021689959"/>
    <n v="3.2084612807155306"/>
    <n v="2.3940516456958645"/>
    <n v="2.3940516456958645"/>
    <n v="5.2907748905165972"/>
    <n v="119106.01116475507"/>
    <n v="71"/>
    <n v="30.673306841856565"/>
    <n v="1862585.0812561598"/>
    <s v="OK"/>
  </r>
  <r>
    <d v="2015-08-29T00:00:00"/>
    <x v="0"/>
    <s v="August"/>
    <x v="2"/>
    <n v="103"/>
    <n v="-0.15649324074080936"/>
    <x v="3"/>
    <n v="32200.072250266661"/>
    <n v="3.4164391431067944"/>
    <n v="2.5869878669999999"/>
    <n v="5.1443433470170348"/>
    <n v="5.7703695064491303"/>
    <n v="117520.93585059588"/>
    <n v="98"/>
    <n v="75.331472157865448"/>
    <n v="3316607.4417774663"/>
    <s v="OK"/>
  </r>
  <r>
    <d v="2015-09-28T00:00:00"/>
    <x v="3"/>
    <s v="September"/>
    <x v="2"/>
    <n v="94"/>
    <n v="-0.21278340516377614"/>
    <x v="3"/>
    <n v="27489.728878236943"/>
    <n v="3.6412899752441499"/>
    <n v="0.99702967160484679"/>
    <n v="0.99702967160484679"/>
    <n v="5.0565676853999699"/>
    <m/>
    <n v="82"/>
    <n v="83.600922954277621"/>
    <n v="2584034.5145542729"/>
    <s v="Missing Data"/>
  </r>
  <r>
    <d v="2015-10-28T00:00:00"/>
    <x v="4"/>
    <s v="October"/>
    <x v="3"/>
    <n v="99"/>
    <n v="-0.18151109159546128"/>
    <x v="3"/>
    <n v="24893.835914346433"/>
    <n v="3.3756544369082264"/>
    <n v="2.5869878669999999"/>
    <n v="27.537396614945735"/>
    <n v="5.3422328851939991"/>
    <n v="87920.387480615405"/>
    <m/>
    <n v="33.068355979452519"/>
    <n v="2464489.7555202967"/>
    <s v="Missing Data"/>
  </r>
  <r>
    <d v="2015-11-27T00:00:00"/>
    <x v="0"/>
    <s v="November"/>
    <x v="3"/>
    <n v="90"/>
    <n v="-0.23780125601842803"/>
    <x v="0"/>
    <n v="33541.782236496765"/>
    <n v="4.3036727880099965"/>
    <n v="2.9676931717654331"/>
    <n v="2.9676931717654331"/>
    <n v="6.4912566057298076"/>
    <n v="95409.026892793059"/>
    <n v="79"/>
    <n v="28.345046988150571"/>
    <n v="3018760.4012847086"/>
    <s v="OK"/>
  </r>
  <r>
    <d v="2015-12-27T00:00:00"/>
    <x v="0"/>
    <s v="December"/>
    <x v="3"/>
    <n v="1030"/>
    <n v="5.6413936948247665"/>
    <x v="3"/>
    <n v="31219.003568855995"/>
    <n v="3.7454874758191257"/>
    <n v="3.5857863249393471"/>
    <n v="3.5857863249393471"/>
    <n v="4.9758829153141395"/>
    <n v="67210.316749491321"/>
    <n v="81"/>
    <n v="31.64123862298873"/>
    <n v="32155573.675921675"/>
    <s v="OK"/>
  </r>
  <r>
    <d v="2016-01-26T00:00:00"/>
    <x v="0"/>
    <s v="January"/>
    <x v="0"/>
    <n v="103"/>
    <n v="-0.15649324074080936"/>
    <x v="0"/>
    <n v="27179.606846316357"/>
    <n v="3.8674388930249086"/>
    <n v="2.5979831534708953"/>
    <n v="2.5979831534708953"/>
    <n v="35.721074791135848"/>
    <n v="92150.57787878254"/>
    <n v="690"/>
    <n v="90.170204951880137"/>
    <n v="2799499.5051705847"/>
    <s v="OK"/>
  </r>
  <r>
    <d v="2016-02-25T00:00:00"/>
    <x v="2"/>
    <s v="February"/>
    <x v="0"/>
    <n v="94"/>
    <n v="-0.21278340516377614"/>
    <x v="2"/>
    <n v="23598.478006645528"/>
    <n v="3.8314406343337062"/>
    <n v="2.8080505395041024"/>
    <n v="2.8080505395041024"/>
    <m/>
    <n v="119931.41021158894"/>
    <n v="90"/>
    <n v="62.255140940508497"/>
    <n v="2218256.9326246795"/>
    <s v="Missing Data"/>
  </r>
  <r>
    <d v="2016-03-26T00:00:00"/>
    <x v="2"/>
    <s v="March"/>
    <x v="0"/>
    <n v="105"/>
    <n v="-0.14398431531348344"/>
    <x v="3"/>
    <n v="34362.286641400722"/>
    <n v="4.0867369287426625"/>
    <n v="2.1083514325782087"/>
    <n v="2.1083514325782087"/>
    <n v="7.1577448944285837"/>
    <n v="906700.92415436043"/>
    <n v="87"/>
    <n v="57.380879680600209"/>
    <n v="3608040.0973470761"/>
    <s v="OK"/>
  </r>
  <r>
    <d v="2016-04-25T00:00:00"/>
    <x v="3"/>
    <s v="April"/>
    <x v="1"/>
    <n v="86"/>
    <n v="-0.26281910687307991"/>
    <x v="3"/>
    <n v="33251.005889793305"/>
    <n v="3.5905107793518534"/>
    <n v="2.7691269412451072"/>
    <n v="2.7691269412451072"/>
    <n v="3.9492847658732577"/>
    <n v="112809.59590401647"/>
    <n v="78"/>
    <n v="28.53694552818834"/>
    <n v="2859586.5065222243"/>
    <s v="OK"/>
  </r>
  <r>
    <d v="2016-05-25T00:00:00"/>
    <x v="3"/>
    <s v="May"/>
    <x v="1"/>
    <n v="92"/>
    <n v="-0.22529233059110207"/>
    <x v="2"/>
    <n v="29504.120681103086"/>
    <n v="2.8515840260220768"/>
    <n v="2.1568077245025896"/>
    <n v="2.1568077245025896"/>
    <n v="6.3276493662942332"/>
    <n v="96189.93788004377"/>
    <n v="71"/>
    <n v="71.964480540556934"/>
    <n v="2714379.1026614839"/>
    <s v="OK"/>
  </r>
  <r>
    <d v="2016-06-24T00:00:00"/>
    <x v="0"/>
    <s v="June"/>
    <x v="1"/>
    <n v="94"/>
    <n v="-0.21278340516377614"/>
    <x v="2"/>
    <n v="39233.184980238329"/>
    <n v="3.6998439758763206"/>
    <n v="3.1215718898560509"/>
    <n v="3.1215718898560509"/>
    <n v="4.8964302753383881"/>
    <n v="106481.14056443122"/>
    <n v="92"/>
    <n v="89.439967351607194"/>
    <n v="3687919.3881424027"/>
    <s v="OK"/>
  </r>
  <r>
    <d v="2016-07-24T00:00:00"/>
    <x v="3"/>
    <s v="July"/>
    <x v="2"/>
    <n v="101"/>
    <n v="-0.16900216616813532"/>
    <x v="3"/>
    <n v="24649.576168369236"/>
    <n v="3.1743215531040856"/>
    <n v="2.130389663956366"/>
    <n v="2.130389663956366"/>
    <n v="5.8161846583972716"/>
    <n v="77046.172203686656"/>
    <n v="103"/>
    <n v="86.254869545876232"/>
    <n v="2489607.1930052927"/>
    <s v="OK"/>
  </r>
  <r>
    <d v="2016-08-23T00:00:00"/>
    <x v="2"/>
    <s v="August"/>
    <x v="2"/>
    <n v="103"/>
    <n v="-0.15649324074080936"/>
    <x v="1"/>
    <n v="22372.374145376307"/>
    <n v="3.2356916591251217"/>
    <n v="2.8771003939021864"/>
    <n v="2.8771003939021864"/>
    <n v="5.8530689548161927"/>
    <n v="1017041.8899267802"/>
    <n v="114"/>
    <n v="70.0843767184641"/>
    <n v="2304354.5369737595"/>
    <s v="OK"/>
  </r>
  <r>
    <d v="2016-09-22T00:00:00"/>
    <x v="3"/>
    <s v="September"/>
    <x v="2"/>
    <n v="84"/>
    <n v="-0.27532803230040587"/>
    <x v="0"/>
    <n v="26540.459650593777"/>
    <n v="3.7931820093775466"/>
    <n v="2.4707371863150218"/>
    <n v="2.4707371863150218"/>
    <n v="5.2187106396204133"/>
    <n v="40177.280581985535"/>
    <n v="75"/>
    <m/>
    <n v="2229398.6106498772"/>
    <s v="Missing Data"/>
  </r>
  <r>
    <d v="2016-10-22T00:00:00"/>
    <x v="4"/>
    <s v="October"/>
    <x v="3"/>
    <n v="76"/>
    <n v="-0.32536373400970964"/>
    <x v="0"/>
    <n v="29772.069918222511"/>
    <n v="4.1191415357168175"/>
    <n v="3.6260502507721681"/>
    <n v="3.6260502507721681"/>
    <n v="4.5594812012963244"/>
    <n v="96262.076836760301"/>
    <n v="80"/>
    <n v="28.991762174081039"/>
    <n v="2262677.3137849108"/>
    <s v="OK"/>
  </r>
  <r>
    <d v="2016-11-21T00:00:00"/>
    <x v="2"/>
    <s v="November"/>
    <x v="3"/>
    <n v="970"/>
    <n v="5.2661259320049885"/>
    <x v="1"/>
    <n v="31216.697246613458"/>
    <n v="3.510635788368031"/>
    <n v="2.448606276411514"/>
    <n v="2.448606276411514"/>
    <n v="4.6713507372204885"/>
    <n v="67390.535125697206"/>
    <n v="94"/>
    <n v="23.944718968785974"/>
    <n v="30280196.329215053"/>
    <s v="OK"/>
  </r>
  <r>
    <d v="2016-12-21T00:00:00"/>
    <x v="4"/>
    <s v="December"/>
    <x v="3"/>
    <n v="111"/>
    <n v="-0.10645753903150559"/>
    <x v="1"/>
    <n v="28793.819710718351"/>
    <n v="3.6544165062994818"/>
    <n v="0.72696753179311857"/>
    <n v="0.72696753179311857"/>
    <n v="4.4005697014225094"/>
    <n v="124119.89033093632"/>
    <n v="110"/>
    <n v="40.598337319397544"/>
    <n v="3196113.9878897369"/>
    <s v="OK"/>
  </r>
  <r>
    <d v="2017-01-20T00:00:00"/>
    <x v="3"/>
    <s v="January"/>
    <x v="0"/>
    <n v="93"/>
    <n v="-0.21903786787743912"/>
    <x v="3"/>
    <m/>
    <n v="4.3511074723176186"/>
    <n v="3.7619215007139917"/>
    <n v="3.7619215007139917"/>
    <n v="4.5018133501234665"/>
    <m/>
    <n v="84"/>
    <n v="30.85291737283022"/>
    <n v="0"/>
    <s v="Missing Data"/>
  </r>
  <r>
    <d v="2017-02-19T00:00:00"/>
    <x v="1"/>
    <s v="February"/>
    <x v="0"/>
    <n v="87"/>
    <n v="-0.25656464415941693"/>
    <x v="0"/>
    <n v="23742.30287904778"/>
    <n v="3.6203765897442843"/>
    <n v="1.5942676991373812"/>
    <n v="1.5942676991373812"/>
    <n v="5.4193860519407737"/>
    <m/>
    <n v="80"/>
    <n v="40.803843220194707"/>
    <n v="2065580.3504771569"/>
    <s v="Missing Data"/>
  </r>
  <r>
    <d v="2017-03-21T00:00:00"/>
    <x v="0"/>
    <s v="March"/>
    <x v="0"/>
    <n v="108"/>
    <n v="-0.1252209271724945"/>
    <x v="2"/>
    <n v="37218.823020366297"/>
    <n v="4.8008415570901972"/>
    <n v="1.8462336613511803"/>
    <n v="1.8462336613511803"/>
    <n v="4.6410880130670975"/>
    <n v="130420.1245431876"/>
    <n v="77"/>
    <n v="50.804644457516936"/>
    <n v="4019632.88619956"/>
    <s v="OK"/>
  </r>
  <r>
    <d v="2017-04-20T00:00:00"/>
    <x v="2"/>
    <s v="April"/>
    <x v="1"/>
    <n v="106"/>
    <n v="-0.13772985259982046"/>
    <x v="3"/>
    <n v="29589.244108037157"/>
    <n v="3.7827548228157721"/>
    <n v="1.904338705956508"/>
    <n v="1.904338705956508"/>
    <n v="6.3184624788551442"/>
    <n v="81021.669583503259"/>
    <n v="82"/>
    <n v="95.438622725690848"/>
    <n v="3136459.8754519387"/>
    <s v="OK"/>
  </r>
  <r>
    <d v="2017-05-20T00:00:00"/>
    <x v="4"/>
    <s v="May"/>
    <x v="1"/>
    <n v="108"/>
    <n v="-0.1252209271724945"/>
    <x v="3"/>
    <n v="35586.479157940637"/>
    <n v="2.619618620422091"/>
    <n v="3.8744380931708173"/>
    <n v="3.8744380931708173"/>
    <n v="7.2846953864031132"/>
    <n v="134947.26395831117"/>
    <n v="111"/>
    <n v="68.830084782535366"/>
    <n v="3843339.7490575886"/>
    <s v="OK"/>
  </r>
  <r>
    <d v="2017-06-19T00:00:00"/>
    <x v="1"/>
    <s v="June"/>
    <x v="1"/>
    <n v="96"/>
    <n v="-0.20027447973645018"/>
    <x v="0"/>
    <n v="31713.626731888522"/>
    <n v="3.876670810552266"/>
    <n v="0.3643257860213045"/>
    <n v="0.3643257860213045"/>
    <n v="4.8039361103559486"/>
    <n v="118643.83128520769"/>
    <n v="87"/>
    <n v="86.797902854636988"/>
    <n v="3044508.1662612981"/>
    <s v="OK"/>
  </r>
  <r>
    <d v="2017-07-19T00:00:00"/>
    <x v="1"/>
    <s v="July"/>
    <x v="2"/>
    <n v="113"/>
    <n v="-9.3948613604179651E-2"/>
    <x v="3"/>
    <n v="32283.766095768919"/>
    <n v="3.6905791924413887"/>
    <n v="2.5869878669999999"/>
    <m/>
    <n v="5.7872854006424523"/>
    <n v="95268.894255621082"/>
    <n v="73"/>
    <n v="76.828120056986577"/>
    <n v="3648065.568821888"/>
    <s v="Missing Data"/>
  </r>
  <r>
    <d v="2017-08-18T00:00:00"/>
    <x v="2"/>
    <s v="August"/>
    <x v="2"/>
    <n v="95"/>
    <n v="-0.20652894245011316"/>
    <x v="3"/>
    <n v="32848.836401161017"/>
    <n v="4.1448763770413724"/>
    <n v="2.2139957781198891"/>
    <m/>
    <n v="6.0996221323635202"/>
    <n v="122712.40294365888"/>
    <n v="95"/>
    <n v="29.00025044213054"/>
    <n v="3120639.4581102966"/>
    <s v="Missing Data"/>
  </r>
  <r>
    <d v="2017-09-17T00:00:00"/>
    <x v="2"/>
    <s v="September"/>
    <x v="2"/>
    <n v="94"/>
    <n v="-0.21278340516377614"/>
    <x v="0"/>
    <n v="32238.542800086576"/>
    <n v="3.8365906756349792"/>
    <n v="2.7232389141291597"/>
    <n v="2.7232389141291597"/>
    <n v="6.0664027251031296"/>
    <n v="77874.129751767323"/>
    <n v="87"/>
    <n v="78.873632509915907"/>
    <n v="3030423.0232081381"/>
    <s v="OK"/>
  </r>
  <r>
    <d v="2017-10-17T00:00:00"/>
    <x v="1"/>
    <s v="October"/>
    <x v="3"/>
    <n v="107"/>
    <n v="-0.13147538988615748"/>
    <x v="1"/>
    <n v="33213.61379933772"/>
    <n v="3.430772008008113"/>
    <n v="2.4451059993837134"/>
    <n v="2.4451059993837134"/>
    <n v="5.5911463214993047"/>
    <n v="83509.716769446532"/>
    <n v="88"/>
    <n v="42.007910524729951"/>
    <n v="3553856.676529136"/>
    <s v="OK"/>
  </r>
  <r>
    <d v="2017-11-16T00:00:00"/>
    <x v="0"/>
    <s v="November"/>
    <x v="3"/>
    <n v="114"/>
    <n v="-8.7694150890516673E-2"/>
    <x v="2"/>
    <n v="36645.76265066216"/>
    <n v="2.887850881855317"/>
    <n v="2.7855540748576568"/>
    <n v="2.7855540748576568"/>
    <n v="6.3912189020316665"/>
    <n v="878282.05535206001"/>
    <n v="85"/>
    <m/>
    <n v="4177616.9421754861"/>
    <s v="Missing Data"/>
  </r>
  <r>
    <d v="2017-12-16T00:00:00"/>
    <x v="0"/>
    <s v="December"/>
    <x v="3"/>
    <n v="86"/>
    <n v="-0.26281910687307991"/>
    <x v="3"/>
    <n v="30982.605848507352"/>
    <n v="3.3954883713569872"/>
    <n v="3.0211224283793383"/>
    <n v="3.0211224283793383"/>
    <n v="6.0786987432167887"/>
    <n v="89420.445838719694"/>
    <n v="93"/>
    <n v="47.276957891439082"/>
    <n v="2664504.102971632"/>
    <s v="OK"/>
  </r>
  <r>
    <d v="2018-01-15T00:00:00"/>
    <x v="4"/>
    <s v="January"/>
    <x v="0"/>
    <n v="1080"/>
    <n v="5.9541168305079148"/>
    <x v="1"/>
    <n v="33545.018787942565"/>
    <n v="3.0747397728953501"/>
    <n v="3.1452155859500599"/>
    <n v="3.1452155859500568"/>
    <n v="4.0148050932072428"/>
    <n v="78868.847144794941"/>
    <n v="85"/>
    <n v="99.813781061172733"/>
    <n v="36228620.29097797"/>
    <s v="OK"/>
  </r>
  <r>
    <d v="2018-02-14T00:00:00"/>
    <x v="0"/>
    <s v="February"/>
    <x v="0"/>
    <n v="108"/>
    <n v="-0.1252209271724945"/>
    <x v="0"/>
    <n v="29551.321528563865"/>
    <n v="3.2097382750976386"/>
    <n v="3.0556044660034485"/>
    <n v="3.0556044660034485"/>
    <n v="6.5429872772671276"/>
    <n v="124461.6613419065"/>
    <n v="820"/>
    <n v="41.084118359742227"/>
    <n v="3191542.7250848976"/>
    <s v="OK"/>
  </r>
  <r>
    <d v="2018-03-16T00:00:00"/>
    <x v="1"/>
    <s v="March"/>
    <x v="0"/>
    <n v="101"/>
    <n v="-0.16900216616813532"/>
    <x v="2"/>
    <n v="37200.586077247368"/>
    <n v="37.942892022103052"/>
    <n v="2.5895806812552489"/>
    <n v="2.5895806812552489"/>
    <n v="6.56474900472009"/>
    <n v="94822.91199260336"/>
    <n v="80"/>
    <n v="42.330437661941573"/>
    <n v="3757259.1938019842"/>
    <s v="OK"/>
  </r>
  <r>
    <d v="2018-04-15T00:00:00"/>
    <x v="1"/>
    <s v="April"/>
    <x v="1"/>
    <n v="94"/>
    <n v="-0.21278340516377614"/>
    <x v="0"/>
    <n v="26618.038489703653"/>
    <n v="4.3349522521757029"/>
    <n v="2.3026615796926739"/>
    <n v="2.3026615796926739"/>
    <n v="4.5840566749857024"/>
    <n v="107050.09936713759"/>
    <n v="95"/>
    <n v="94.453780444991864"/>
    <n v="2502095.6180321435"/>
    <s v="OK"/>
  </r>
  <r>
    <d v="2018-05-15T00:00:00"/>
    <x v="3"/>
    <s v="May"/>
    <x v="1"/>
    <n v="116"/>
    <n v="-7.518522546319073E-2"/>
    <x v="0"/>
    <n v="39004.702164554081"/>
    <n v="3.6973357649114904"/>
    <n v="2.5869878669999999"/>
    <m/>
    <n v="5.5455254025371223"/>
    <m/>
    <n v="89"/>
    <n v="21.971552370905812"/>
    <n v="4524545.451088273"/>
    <s v="Missing Data"/>
  </r>
  <r>
    <d v="2018-06-14T00:00:00"/>
    <x v="1"/>
    <s v="June"/>
    <x v="1"/>
    <n v="97"/>
    <n v="-0.19402001702278721"/>
    <x v="2"/>
    <n v="29799.210246778282"/>
    <n v="2.9020584689824078"/>
    <n v="2.3050917196473191"/>
    <n v="2.3050917196473191"/>
    <n v="63.199947913732828"/>
    <n v="63587.933989029654"/>
    <n v="73"/>
    <n v="75.735119029855753"/>
    <n v="2890523.3939374932"/>
    <s v="OK"/>
  </r>
  <r>
    <d v="2018-07-14T00:00:00"/>
    <x v="0"/>
    <s v="July"/>
    <x v="2"/>
    <m/>
    <n v="-0.80070290024809565"/>
    <x v="2"/>
    <n v="22846.124489409758"/>
    <n v="3.7223013341100701"/>
    <n v="3.6337700968670648"/>
    <n v="3.6337700968670648"/>
    <n v="5.2488234165047665"/>
    <n v="105401.14716782844"/>
    <n v="86"/>
    <n v="78.026111258870259"/>
    <n v="0"/>
    <s v="Missing Data"/>
  </r>
  <r>
    <d v="2018-08-13T00:00:00"/>
    <x v="4"/>
    <s v="August"/>
    <x v="2"/>
    <n v="94"/>
    <n v="-0.21278340516377614"/>
    <x v="2"/>
    <n v="30640.522074553948"/>
    <n v="4.0983157433228259"/>
    <n v="3.0935567222808618"/>
    <n v="3.0935567222808618"/>
    <n v="6.7875736573192142"/>
    <n v="61754.900491604465"/>
    <n v="82"/>
    <n v="86.910286192831947"/>
    <n v="2880209.075008071"/>
    <s v="OK"/>
  </r>
  <r>
    <d v="2018-09-12T00:00:00"/>
    <x v="3"/>
    <s v="September"/>
    <x v="2"/>
    <n v="118"/>
    <n v="-6.2676300035864774E-2"/>
    <x v="3"/>
    <n v="26594.741712625597"/>
    <n v="3.195108547840309"/>
    <n v="2.5869878669999999"/>
    <n v="-0.44038863466428024"/>
    <n v="8.3366469935432335"/>
    <n v="98627.319078290631"/>
    <n v="80"/>
    <n v="97.955144851078032"/>
    <n v="3138179.5220898204"/>
    <s v="OK"/>
  </r>
  <r>
    <d v="2018-10-12T00:00:00"/>
    <x v="0"/>
    <s v="October"/>
    <x v="3"/>
    <n v="104"/>
    <n v="-0.15023877802714641"/>
    <x v="2"/>
    <n v="34203.21774494362"/>
    <n v="3.4329914166635414"/>
    <n v="3.1559007765297609"/>
    <n v="3.1559007765297609"/>
    <n v="4.5568167608380215"/>
    <n v="72633.699223343792"/>
    <n v="85"/>
    <n v="98.048153532532197"/>
    <n v="3557134.6454741363"/>
    <s v="OK"/>
  </r>
  <r>
    <d v="2018-11-11T00:00:00"/>
    <x v="4"/>
    <s v="November"/>
    <x v="3"/>
    <m/>
    <n v="-0.80070290024809565"/>
    <x v="1"/>
    <n v="26736.880103488045"/>
    <n v="3.5073440973645984"/>
    <n v="2.6947361947187747"/>
    <n v="2.6947361947187747"/>
    <n v="3.8427464762154702"/>
    <n v="139745.51998461617"/>
    <n v="88"/>
    <n v="25.222140605317112"/>
    <n v="0"/>
    <s v="Missing Data"/>
  </r>
  <r>
    <d v="2018-12-11T00:00:00"/>
    <x v="0"/>
    <s v="December"/>
    <x v="3"/>
    <n v="115"/>
    <n v="-8.1439688176853695E-2"/>
    <x v="1"/>
    <n v="27769.082833926102"/>
    <n v="3.1075508434588799"/>
    <n v="2.4812912435541028"/>
    <n v="2.4812912435541028"/>
    <n v="5.8645823147258511"/>
    <n v="118227.25444349443"/>
    <n v="100"/>
    <n v="85.747145820232205"/>
    <n v="3193444.525901502"/>
    <s v="OK"/>
  </r>
  <r>
    <d v="2019-01-10T00:00:00"/>
    <x v="3"/>
    <s v="January"/>
    <x v="0"/>
    <n v="94"/>
    <n v="-0.21278340516377614"/>
    <x v="2"/>
    <n v="20552.296345272345"/>
    <n v="3.8241402169219296"/>
    <n v="2.1114815469111141"/>
    <n v="2.1114815469111141"/>
    <n v="6.3658750061513718"/>
    <n v="102115.07582542961"/>
    <n v="102"/>
    <n v="71.704794692590497"/>
    <n v="1931915.8564556004"/>
    <s v="OK"/>
  </r>
  <r>
    <d v="2019-02-09T00:00:00"/>
    <x v="1"/>
    <s v="February"/>
    <x v="0"/>
    <n v="91"/>
    <n v="-0.23154679330476505"/>
    <x v="1"/>
    <n v="27738.468403754618"/>
    <n v="3.4395259256961093"/>
    <n v="3.6241127199860133"/>
    <n v="3.6241127199860133"/>
    <n v="5.222960351386277"/>
    <n v="125274.13355309337"/>
    <n v="95"/>
    <n v="71.787370749847298"/>
    <n v="2524200.6247416702"/>
    <s v="OK"/>
  </r>
  <r>
    <d v="2019-03-11T00:00:00"/>
    <x v="3"/>
    <s v="March"/>
    <x v="0"/>
    <n v="110"/>
    <n v="-0.11271200174516857"/>
    <x v="0"/>
    <n v="17880.603366855219"/>
    <n v="3.7097662219535139"/>
    <n v="3.4475264621228581"/>
    <n v="3.4475264621228581"/>
    <n v="7.2439127959852412"/>
    <n v="83073.680450685279"/>
    <n v="88"/>
    <n v="30.267994129175584"/>
    <n v="1966866.3703540741"/>
    <s v="OK"/>
  </r>
  <r>
    <d v="2019-04-10T00:00:00"/>
    <x v="1"/>
    <s v="April"/>
    <x v="1"/>
    <n v="98"/>
    <n v="-0.18776555430912426"/>
    <x v="3"/>
    <n v="22080.485882571382"/>
    <n v="3.0562539110989499"/>
    <n v="1.7271223321763909"/>
    <n v="1.7271223321763909"/>
    <n v="3.8936730403321018"/>
    <n v="110869.58757340186"/>
    <n v="87"/>
    <m/>
    <n v="2163887.6164919953"/>
    <s v="Missing Data"/>
  </r>
  <r>
    <d v="2019-05-10T00:00:00"/>
    <x v="3"/>
    <s v="May"/>
    <x v="1"/>
    <n v="86"/>
    <n v="-0.26281910687307991"/>
    <x v="2"/>
    <n v="33802.073280721488"/>
    <n v="3.281270849838295"/>
    <n v="2.907052287124535"/>
    <n v="2.907052287124535"/>
    <n v="6.3315023476379331"/>
    <n v="103996.20867437427"/>
    <n v="95"/>
    <n v="98.598606448099829"/>
    <n v="2906978.3021420478"/>
    <s v="OK"/>
  </r>
  <r>
    <d v="2019-06-09T00:00:00"/>
    <x v="2"/>
    <s v="June"/>
    <x v="1"/>
    <n v="121"/>
    <n v="-4.391291189487586E-2"/>
    <x v="1"/>
    <m/>
    <n v="3.8611906789138857"/>
    <n v="1.5283432654587141"/>
    <n v="1.5283432654587141"/>
    <n v="4.7729670150893284"/>
    <n v="105280.4016266734"/>
    <n v="78"/>
    <n v="929.45485563155762"/>
    <n v="0"/>
    <s v="Missing Data"/>
  </r>
  <r>
    <d v="2019-07-09T00:00:00"/>
    <x v="0"/>
    <s v="July"/>
    <x v="2"/>
    <n v="100"/>
    <n v="-0.1752566288817983"/>
    <x v="0"/>
    <n v="32127.287808924822"/>
    <n v="3.3135834239541166"/>
    <n v="1.1203818352110695"/>
    <n v="1.1203818352110695"/>
    <n v="7.5632534874487565"/>
    <n v="125447.07000213536"/>
    <n v="810"/>
    <n v="55.13045286438804"/>
    <n v="3212728.780892482"/>
    <s v="OK"/>
  </r>
  <r>
    <d v="2019-08-08T00:00:00"/>
    <x v="0"/>
    <s v="August"/>
    <x v="2"/>
    <n v="96"/>
    <n v="-0.20027447973645018"/>
    <x v="3"/>
    <n v="25165.119284353936"/>
    <n v="4.3634819256167026"/>
    <n v="1.873282775410035"/>
    <n v="1.873282775410035"/>
    <n v="7.891018423801742"/>
    <n v="114649.84205559605"/>
    <n v="95"/>
    <n v="23.195837862887547"/>
    <n v="2415851.4512979779"/>
    <s v="OK"/>
  </r>
  <r>
    <d v="2019-09-07T00:00:00"/>
    <x v="2"/>
    <s v="September"/>
    <x v="2"/>
    <n v="127"/>
    <n v="-6.3861356128980225E-3"/>
    <x v="0"/>
    <n v="29761.4432192901"/>
    <n v="3.300181907192699"/>
    <n v="3.3623934723827587"/>
    <n v="3.3623934723827587"/>
    <n v="4.5800120946599829"/>
    <n v="105774.47325650047"/>
    <n v="88"/>
    <n v="48.98347920001639"/>
    <n v="3779703.2888498427"/>
    <s v="OK"/>
  </r>
  <r>
    <d v="2019-10-07T00:00:00"/>
    <x v="1"/>
    <s v="October"/>
    <x v="3"/>
    <n v="100"/>
    <n v="-0.1752566288817983"/>
    <x v="0"/>
    <n v="29981.987304547158"/>
    <n v="3.612342362875943"/>
    <n v="3.4531250453760869"/>
    <n v="3.4531250453760869"/>
    <n v="4.8405314369097034"/>
    <n v="66902.251275434071"/>
    <m/>
    <n v="86.111224928044422"/>
    <n v="2998198.7304547159"/>
    <s v="Missing Data"/>
  </r>
  <r>
    <d v="2019-11-06T00:00:00"/>
    <x v="0"/>
    <s v="November"/>
    <x v="3"/>
    <n v="93"/>
    <n v="-0.21903786787743912"/>
    <x v="1"/>
    <n v="24208.176554037287"/>
    <n v="3.9662954159365449"/>
    <n v="3.0130854200972932"/>
    <n v="3.0130854200972932"/>
    <n v="6.531505464375762"/>
    <n v="80799.074094410724"/>
    <n v="79"/>
    <n v="76.119928117213277"/>
    <n v="2251360.4195254678"/>
    <s v="OK"/>
  </r>
  <r>
    <d v="2019-12-06T00:00:00"/>
    <x v="2"/>
    <s v="December"/>
    <x v="3"/>
    <n v="103"/>
    <n v="-0.15649324074080936"/>
    <x v="0"/>
    <n v="37516.991508835752"/>
    <n v="2.7908171335334844"/>
    <n v="3.225095786847997"/>
    <n v="3.225095786847997"/>
    <n v="5.0354432202525823"/>
    <n v="97545.821328085513"/>
    <n v="91"/>
    <n v="56.747492447516514"/>
    <n v="3864250.1254100823"/>
    <s v="OK"/>
  </r>
  <r>
    <d v="2020-01-05T00:00:00"/>
    <x v="0"/>
    <s v="January"/>
    <x v="0"/>
    <n v="78"/>
    <n v="-0.31285480858238368"/>
    <x v="3"/>
    <n v="34386.811452878355"/>
    <n v="2.6195955940096121"/>
    <n v="3.0161782871149585"/>
    <n v="3.0161782871149585"/>
    <n v="5.4455065384813137"/>
    <n v="101867.44748553302"/>
    <n v="81"/>
    <m/>
    <n v="2682171.2933245115"/>
    <s v="Missing Data"/>
  </r>
  <r>
    <d v="2020-02-04T00:00:00"/>
    <x v="4"/>
    <s v="February"/>
    <x v="0"/>
    <n v="116"/>
    <n v="-7.518522546319073E-2"/>
    <x v="0"/>
    <n v="288951.79130851681"/>
    <n v="2.7371718427149525"/>
    <n v="1.8585184047770478"/>
    <n v="1.8585184047770478"/>
    <n v="5.5304661046508921"/>
    <n v="77395.925506521526"/>
    <n v="98"/>
    <n v="54.151578225864213"/>
    <n v="33518407.791787948"/>
    <s v="OK"/>
  </r>
  <r>
    <d v="2020-03-05T00:00:00"/>
    <x v="1"/>
    <s v="March"/>
    <x v="0"/>
    <n v="88"/>
    <n v="-0.25031018144575395"/>
    <x v="1"/>
    <n v="30134.429194972654"/>
    <n v="4.1312920517135909"/>
    <n v="2.9319225446739408"/>
    <n v="2.9319225446739408"/>
    <n v="3.1963922125628126"/>
    <n v="148233.53351156841"/>
    <n v="83"/>
    <n v="57.521995177430682"/>
    <n v="2651829.7691575936"/>
    <s v="OK"/>
  </r>
  <r>
    <d v="2020-04-04T00:00:00"/>
    <x v="4"/>
    <s v="April"/>
    <x v="1"/>
    <n v="105"/>
    <n v="-0.14398431531348344"/>
    <x v="1"/>
    <n v="31041.914039737763"/>
    <n v="3.2240709270537766"/>
    <n v="3.3004095252276824"/>
    <n v="3.3004095252276824"/>
    <n v="5.4833947046869156"/>
    <n v="130327.88110507146"/>
    <m/>
    <n v="94.284442631530879"/>
    <n v="3259400.974172465"/>
    <s v="Missing Data"/>
  </r>
  <r>
    <d v="2020-05-04T00:00:00"/>
    <x v="1"/>
    <s v="May"/>
    <x v="1"/>
    <n v="92"/>
    <n v="-0.22529233059110207"/>
    <x v="0"/>
    <n v="19791.325657878548"/>
    <n v="4.7790996428341259"/>
    <n v="3.2542913298135741"/>
    <n v="3.2542913298135741"/>
    <n v="46.723266711229918"/>
    <n v="112042.36640784967"/>
    <n v="97"/>
    <n v="71.286888286572747"/>
    <n v="1820801.9605248263"/>
    <s v="OK"/>
  </r>
  <r>
    <d v="2020-06-03T00:00:00"/>
    <x v="2"/>
    <s v="June"/>
    <x v="1"/>
    <n v="96"/>
    <n v="-0.20027447973645018"/>
    <x v="2"/>
    <n v="28764.113087397014"/>
    <n v="3.2178762006713058"/>
    <n v="3.6889133714746429"/>
    <n v="3.6889133714746429"/>
    <n v="4.9082526131202737"/>
    <n v="101440.73722567489"/>
    <n v="90"/>
    <n v="44.932233332371908"/>
    <n v="2761354.8563901135"/>
    <s v="OK"/>
  </r>
  <r>
    <d v="2020-07-03T00:00:00"/>
    <x v="1"/>
    <s v="July"/>
    <x v="2"/>
    <n v="104"/>
    <n v="-0.15023877802714641"/>
    <x v="1"/>
    <n v="26590.078760011005"/>
    <n v="3.5922756515985186"/>
    <n v="3.2083038472010639"/>
    <n v="3.2083038472010639"/>
    <n v="7.2323584041625768"/>
    <n v="95755.820601976971"/>
    <n v="83"/>
    <n v="62.025461156057709"/>
    <n v="2765368.1910411445"/>
    <s v="OK"/>
  </r>
  <r>
    <d v="2020-08-02T00:00:00"/>
    <x v="1"/>
    <s v="August"/>
    <x v="2"/>
    <n v="84"/>
    <n v="-0.27532803230040587"/>
    <x v="2"/>
    <n v="249918.99950525421"/>
    <n v="4.2710549762839376"/>
    <n v="2.851448207541583"/>
    <n v="2.851448207541583"/>
    <n v="3.9921917268648928"/>
    <n v="80961.630799555292"/>
    <n v="93"/>
    <n v="25.284424625772807"/>
    <n v="20993195.958441354"/>
    <s v="OK"/>
  </r>
  <r>
    <d v="2020-09-01T00:00:00"/>
    <x v="2"/>
    <s v="September"/>
    <x v="2"/>
    <n v="95"/>
    <n v="-0.20652894245011316"/>
    <x v="3"/>
    <n v="28594.498535570227"/>
    <n v="4.5030464440795619"/>
    <n v="3.5701502383164274"/>
    <n v="3.5701502383164274"/>
    <n v="64.758462240975732"/>
    <n v="101549.61037037725"/>
    <n v="84"/>
    <n v="97.805458851978941"/>
    <n v="2716477.3608791716"/>
    <s v="OK"/>
  </r>
  <r>
    <d v="2020-10-01T00:00:00"/>
    <x v="1"/>
    <s v="October"/>
    <x v="3"/>
    <n v="105"/>
    <n v="-0.14398431531348344"/>
    <x v="2"/>
    <n v="38988.432634247612"/>
    <n v="4.5307517883181987"/>
    <n v="2.5895806812552489"/>
    <m/>
    <n v="5.1652444836018301"/>
    <n v="105155.05080285501"/>
    <n v="90"/>
    <n v="48.804792154458084"/>
    <n v="4093785.4265959994"/>
    <s v="Missing Data"/>
  </r>
  <r>
    <d v="2020-10-31T00:00:00"/>
    <x v="0"/>
    <s v="October"/>
    <x v="3"/>
    <n v="100"/>
    <n v="-0.1752566288817983"/>
    <x v="0"/>
    <n v="33204.214306335052"/>
    <n v="4.1041831152965713"/>
    <n v="1.6181253487722822"/>
    <n v="1.6181253487722822"/>
    <n v="5.1642877978049988"/>
    <n v="75164.788490367515"/>
    <n v="97"/>
    <n v="58.229388393050868"/>
    <n v="3320421.4306335053"/>
    <s v="OK"/>
  </r>
  <r>
    <d v="2020-11-30T00:00:00"/>
    <x v="3"/>
    <s v="November"/>
    <x v="3"/>
    <n v="104"/>
    <n v="-0.15023877802714641"/>
    <x v="3"/>
    <n v="27144.105051086015"/>
    <n v="4.0120312629057313"/>
    <n v="2.3369330360562359"/>
    <n v="2.3369330360562359"/>
    <n v="6.4484462752620537"/>
    <n v="106683.52834489795"/>
    <n v="92"/>
    <n v="48.422717938953809"/>
    <n v="2822986.9253129456"/>
    <s v="OK"/>
  </r>
  <r>
    <d v="2020-12-30T00:00:00"/>
    <x v="2"/>
    <s v="December"/>
    <x v="3"/>
    <n v="106"/>
    <n v="-0.13772985259982046"/>
    <x v="1"/>
    <n v="32862.913906780792"/>
    <n v="3.7962634746005914"/>
    <n v="1.7550973551935509"/>
    <n v="1.7550973551935509"/>
    <n v="5.9080615534826686"/>
    <n v="96894.819023505028"/>
    <n v="80"/>
    <n v="74.60093840929602"/>
    <n v="3483468.874118764"/>
    <s v="OK"/>
  </r>
  <r>
    <d v="2021-01-29T00:00:00"/>
    <x v="3"/>
    <s v="January"/>
    <x v="0"/>
    <n v="120"/>
    <n v="-5.0167374608538831E-2"/>
    <x v="3"/>
    <n v="36996.777182930011"/>
    <n v="3.8891805380833189"/>
    <n v="1.8248217250256185"/>
    <n v="1.8248217250256185"/>
    <n v="6.1847355966634368"/>
    <n v="61843.848842452178"/>
    <n v="75"/>
    <n v="72.978572666367441"/>
    <n v="4439613.2619516011"/>
    <s v="OK"/>
  </r>
  <r>
    <d v="2021-02-28T00:00:00"/>
    <x v="2"/>
    <s v="February"/>
    <x v="0"/>
    <m/>
    <n v="-0.80070290024809565"/>
    <x v="0"/>
    <m/>
    <n v="3.2244071418357332"/>
    <n v="2.3554813292844821"/>
    <n v="2.3554813292844821"/>
    <n v="6.6618215926394333"/>
    <n v="82792.299784409959"/>
    <n v="91"/>
    <n v="77.225784842330853"/>
    <n v="0"/>
    <s v="Missing Data"/>
  </r>
  <r>
    <d v="2021-03-30T00:00:00"/>
    <x v="2"/>
    <s v="March"/>
    <x v="0"/>
    <n v="118"/>
    <n v="-6.2676300035864774E-2"/>
    <x v="1"/>
    <n v="30298.151849600872"/>
    <n v="3.0909005582888462"/>
    <n v="1.7075800790000386"/>
    <n v="1.7075800790000386"/>
    <n v="5.1024299401800128"/>
    <n v="91727.889331567116"/>
    <n v="91"/>
    <n v="41.451458368953666"/>
    <n v="3575181.918252903"/>
    <s v="OK"/>
  </r>
  <r>
    <d v="2021-04-29T00:00:00"/>
    <x v="4"/>
    <s v="April"/>
    <x v="1"/>
    <n v="92"/>
    <n v="-0.22529233059110207"/>
    <x v="0"/>
    <n v="26765.31611147213"/>
    <n v="3.4983127712945241"/>
    <n v="3.1559007765297609"/>
    <m/>
    <n v="4.7653159185906997"/>
    <n v="137753.75314680382"/>
    <n v="81"/>
    <n v="45.253478493125279"/>
    <n v="2462409.0822554361"/>
    <s v="Missing Data"/>
  </r>
  <r>
    <d v="2021-05-29T00:00:00"/>
    <x v="4"/>
    <s v="May"/>
    <x v="1"/>
    <n v="110"/>
    <n v="-0.11271200174516857"/>
    <x v="2"/>
    <n v="33491.116568067948"/>
    <n v="3.4149076887375358"/>
    <n v="2.6947361947187747"/>
    <m/>
    <n v="4.1978193681306424"/>
    <n v="111131.06249067516"/>
    <m/>
    <n v="30.020098487696636"/>
    <n v="3684022.8224874744"/>
    <s v="Missing Data"/>
  </r>
  <r>
    <d v="2021-06-28T00:00:00"/>
    <x v="1"/>
    <s v="June"/>
    <x v="1"/>
    <n v="101"/>
    <n v="-0.16900216616813532"/>
    <x v="2"/>
    <n v="31967.426927108747"/>
    <n v="3.2733859753363626"/>
    <n v="2.7132937073729386"/>
    <n v="2.7132937073729386"/>
    <n v="4.5095073640252537"/>
    <n v="73290.368618002176"/>
    <n v="104"/>
    <n v="72.440797747689004"/>
    <n v="3228710.1196379834"/>
    <s v="OK"/>
  </r>
  <r>
    <d v="2021-07-28T00:00:00"/>
    <x v="3"/>
    <s v="July"/>
    <x v="2"/>
    <n v="84"/>
    <n v="-0.27532803230040587"/>
    <x v="2"/>
    <n v="34475.966100138663"/>
    <n v="3.8481937237283574"/>
    <n v="2.5012054753622244"/>
    <n v="2.5012054753622244"/>
    <n v="9.0389133103704697"/>
    <n v="109720.72578835273"/>
    <n v="99"/>
    <n v="23.183770186852204"/>
    <n v="2895981.1524116476"/>
    <s v="OK"/>
  </r>
  <r>
    <d v="2021-08-27T00:00:00"/>
    <x v="2"/>
    <s v="August"/>
    <x v="2"/>
    <n v="115"/>
    <n v="-8.1439688176853695E-2"/>
    <x v="0"/>
    <n v="33175.859008409847"/>
    <m/>
    <n v="1.6829113689318094"/>
    <n v="1.6829113689318094"/>
    <n v="6.9936154968841437"/>
    <n v="69053.920221232693"/>
    <n v="92"/>
    <n v="67.814586841876718"/>
    <n v="3815223.7859671325"/>
    <s v="Missing Data"/>
  </r>
  <r>
    <d v="2021-09-26T00:00:00"/>
    <x v="1"/>
    <s v="September"/>
    <x v="2"/>
    <n v="95"/>
    <n v="-0.20652894245011316"/>
    <x v="1"/>
    <n v="35247.763576596677"/>
    <n v="3.5442034431459235"/>
    <n v="3.1592456684324048"/>
    <n v="3.1592456684324048"/>
    <n v="3.8787107605503746"/>
    <n v="121653.82107774146"/>
    <n v="83"/>
    <n v="89.575670788130708"/>
    <n v="3348537.5397766843"/>
    <s v="OK"/>
  </r>
  <r>
    <d v="2021-10-26T00:00:00"/>
    <x v="0"/>
    <s v="October"/>
    <x v="3"/>
    <n v="114"/>
    <n v="-8.7694150890516673E-2"/>
    <x v="0"/>
    <n v="27323.823942197159"/>
    <n v="4.2387650405276309"/>
    <n v="3.4375701376265582"/>
    <n v="3.4375701376265582"/>
    <n v="3.9130504519077158"/>
    <n v="90577.50696364243"/>
    <m/>
    <n v="91.266571863170682"/>
    <n v="3114915.9294104762"/>
    <s v="Missing Data"/>
  </r>
  <r>
    <d v="2021-11-25T00:00:00"/>
    <x v="2"/>
    <s v="November"/>
    <x v="3"/>
    <n v="104"/>
    <n v="-0.15023877802714641"/>
    <x v="1"/>
    <n v="36586.970328171628"/>
    <n v="2.9291554429332476"/>
    <n v="0.89244013563102587"/>
    <n v="0.89244013563102587"/>
    <m/>
    <n v="98127.276225216585"/>
    <n v="91"/>
    <n v="55.923020829596936"/>
    <n v="3805044.9141298495"/>
    <s v="Missing Data"/>
  </r>
  <r>
    <d v="2021-12-25T00:00:00"/>
    <x v="0"/>
    <s v="December"/>
    <x v="3"/>
    <n v="89"/>
    <n v="-0.244055718732091"/>
    <x v="0"/>
    <n v="30987.998023461998"/>
    <n v="3.4031702703601407"/>
    <n v="1.7372752214337859"/>
    <n v="1.7372752214337859"/>
    <n v="6.1567177568535607"/>
    <n v="126515.93295084379"/>
    <m/>
    <n v="56.744295057045903"/>
    <n v="2757931.824088118"/>
    <s v="Missing Data"/>
  </r>
  <r>
    <d v="2022-01-24T00:00:00"/>
    <x v="1"/>
    <s v="January"/>
    <x v="0"/>
    <m/>
    <n v="-0.80070290024809565"/>
    <x v="2"/>
    <n v="40376.304363126328"/>
    <n v="3.1415888396985974"/>
    <n v="1.7308576502127018"/>
    <n v="1.7308576502127018"/>
    <n v="6.158660602380837"/>
    <n v="74256.728628315002"/>
    <n v="74"/>
    <n v="26.157534640641387"/>
    <n v="0"/>
    <s v="Missing Data"/>
  </r>
  <r>
    <d v="2022-02-23T00:00:00"/>
    <x v="4"/>
    <s v="February"/>
    <x v="0"/>
    <n v="85"/>
    <n v="-0.26907356958674289"/>
    <x v="3"/>
    <n v="26554.060909552161"/>
    <n v="2.5667316914634699"/>
    <n v="1.5600968988911355"/>
    <n v="1.5600968988911355"/>
    <n v="5.1940530477355624"/>
    <n v="72057.636297740173"/>
    <n v="80"/>
    <n v="73.661202035442855"/>
    <n v="2257095.1773119336"/>
    <s v="OK"/>
  </r>
  <r>
    <d v="2022-03-25T00:00:00"/>
    <x v="1"/>
    <s v="March"/>
    <x v="0"/>
    <n v="101"/>
    <n v="-0.16900216616813532"/>
    <x v="3"/>
    <n v="38679.819015826244"/>
    <n v="3.4586596570786505"/>
    <n v="3.3294748419317486"/>
    <n v="3.3294748419317486"/>
    <n v="5.3494548879965196"/>
    <n v="88328.013473079904"/>
    <n v="81"/>
    <n v="85.700753629827645"/>
    <n v="3906661.7205984509"/>
    <s v="OK"/>
  </r>
  <r>
    <d v="2022-04-24T00:00:00"/>
    <x v="0"/>
    <s v="April"/>
    <x v="1"/>
    <n v="104"/>
    <n v="-0.15023877802714641"/>
    <x v="3"/>
    <n v="30989.553917313238"/>
    <n v="3.439126245808358"/>
    <n v="2.3061738612271965"/>
    <n v="2.3061738612271965"/>
    <n v="5.8934554289912287"/>
    <n v="120767.57702038634"/>
    <n v="87"/>
    <n v="39.572404368377043"/>
    <n v="3222913.6074005766"/>
    <s v="OK"/>
  </r>
  <r>
    <d v="2022-05-24T00:00:00"/>
    <x v="2"/>
    <s v="May"/>
    <x v="1"/>
    <n v="106"/>
    <n v="-0.13772985259982046"/>
    <x v="2"/>
    <m/>
    <n v="4.2567248716210653"/>
    <n v="2.2354851586893894"/>
    <n v="2.2354851586893894"/>
    <n v="5.6030716075519962"/>
    <n v="69613.078490463144"/>
    <n v="95"/>
    <n v="53.704070530669171"/>
    <n v="0"/>
    <s v="Missing Data"/>
  </r>
  <r>
    <d v="2022-06-23T00:00:00"/>
    <x v="3"/>
    <s v="June"/>
    <x v="1"/>
    <n v="95"/>
    <n v="-0.20652894245011316"/>
    <x v="2"/>
    <n v="27580.570829728393"/>
    <n v="3.8154058422773889"/>
    <n v="0.49613763559324653"/>
    <n v="0.49613763559324653"/>
    <n v="2.836839552702958"/>
    <n v="43356.888037788623"/>
    <n v="108"/>
    <n v="87.107146941221629"/>
    <n v="2620154.2288241973"/>
    <s v="OK"/>
  </r>
  <r>
    <d v="2022-07-23T00:00:00"/>
    <x v="1"/>
    <s v="July"/>
    <x v="2"/>
    <n v="104"/>
    <n v="-0.15023877802714641"/>
    <x v="2"/>
    <n v="28398.2634590284"/>
    <n v="2.9879065878353974"/>
    <n v="3.1354180302092263"/>
    <n v="3.1354180302092263"/>
    <n v="5.2242404433097676"/>
    <n v="90976.822831820027"/>
    <n v="79"/>
    <n v="90.169637412983036"/>
    <n v="2953419.3997389534"/>
    <s v="OK"/>
  </r>
  <r>
    <d v="2022-08-22T00:00:00"/>
    <x v="2"/>
    <s v="August"/>
    <x v="2"/>
    <n v="105"/>
    <n v="-0.14398431531348344"/>
    <x v="0"/>
    <n v="32120.829732009581"/>
    <n v="4.427046283167094"/>
    <n v="1.2607416051465274"/>
    <n v="1.2607416051465274"/>
    <n v="4.478312278887624"/>
    <m/>
    <n v="89"/>
    <n v="39.454398421138073"/>
    <n v="3372687.1218610061"/>
    <s v="Missing Data"/>
  </r>
  <r>
    <d v="2022-09-21T00:00:00"/>
    <x v="4"/>
    <s v="September"/>
    <x v="2"/>
    <n v="84"/>
    <n v="-0.27532803230040587"/>
    <x v="1"/>
    <n v="32614.177440177496"/>
    <n v="4.1105168477626766"/>
    <n v="2.5599326302663283"/>
    <n v="2.5599326302663283"/>
    <n v="5.7102537026902143"/>
    <n v="124005.23499477659"/>
    <n v="95"/>
    <n v="64.045650763309141"/>
    <n v="2739590.9049749095"/>
    <s v="OK"/>
  </r>
  <r>
    <d v="2022-10-21T00:00:00"/>
    <x v="4"/>
    <s v="October"/>
    <x v="3"/>
    <n v="93"/>
    <n v="-0.21903786787743912"/>
    <x v="1"/>
    <n v="27131.499980307104"/>
    <n v="3.7910488517343079"/>
    <n v="2.7773769379581918"/>
    <n v="2.7773769379581918"/>
    <n v="9.0823108031240913"/>
    <n v="90736.77275829202"/>
    <n v="96"/>
    <n v="35.399452050866167"/>
    <n v="2523229.4981685607"/>
    <s v="OK"/>
  </r>
  <r>
    <d v="2022-11-20T00:00:00"/>
    <x v="4"/>
    <s v="November"/>
    <x v="3"/>
    <n v="115"/>
    <n v="-8.1439688176853695E-2"/>
    <x v="2"/>
    <n v="29878.227038695084"/>
    <n v="3.3867579505750842"/>
    <n v="3.8606585958386512"/>
    <n v="3.8606585958386512"/>
    <n v="5.9409779985691653"/>
    <n v="91771.467857679949"/>
    <n v="103"/>
    <n v="28.150301131164525"/>
    <n v="3435996.1094499347"/>
    <s v="OK"/>
  </r>
  <r>
    <d v="2022-12-20T00:00:00"/>
    <x v="2"/>
    <s v="December"/>
    <x v="3"/>
    <n v="109"/>
    <n v="-0.11896646445883154"/>
    <x v="0"/>
    <n v="40711.351793059323"/>
    <n v="3.0202803816382602"/>
    <n v="1.1911796008808879"/>
    <n v="1.1911796008808879"/>
    <n v="5.1237643765931224"/>
    <n v="123078.01468511495"/>
    <n v="82"/>
    <n v="92.889640111356599"/>
    <n v="4437537.3454434657"/>
    <s v="OK"/>
  </r>
  <r>
    <d v="2023-01-19T00:00:00"/>
    <x v="1"/>
    <s v="January"/>
    <x v="0"/>
    <n v="102"/>
    <n v="-0.16274770345447234"/>
    <x v="2"/>
    <n v="38637.715850503555"/>
    <n v="3.3138966119644735"/>
    <n v="2.5869878669999999"/>
    <n v="-0.51951215582082533"/>
    <n v="6.6061618023727027"/>
    <n v="62605.166006091589"/>
    <n v="83"/>
    <n v="85.640600338568731"/>
    <n v="3941047.0167513625"/>
    <s v="OK"/>
  </r>
  <r>
    <d v="2023-02-18T00:00:00"/>
    <x v="2"/>
    <s v="February"/>
    <x v="0"/>
    <n v="900"/>
    <n v="4.8283135420485799"/>
    <x v="0"/>
    <n v="32181.618348370161"/>
    <n v="4.0443743098520928"/>
    <n v="2.683849544753695"/>
    <n v="2.683849544753695"/>
    <n v="6.0792254646510555"/>
    <n v="92229.584496339812"/>
    <n v="78"/>
    <n v="80.802792144253914"/>
    <n v="28963456.513533145"/>
    <s v="OK"/>
  </r>
  <r>
    <d v="2023-03-20T00:00:00"/>
    <x v="2"/>
    <s v="March"/>
    <x v="0"/>
    <n v="93"/>
    <n v="-0.21903786787743912"/>
    <x v="2"/>
    <n v="30190.017390841"/>
    <n v="4.4422931529673049"/>
    <n v="4.3005111815108537"/>
    <n v="4.3005111815108537"/>
    <n v="6.0041133885422093"/>
    <n v="103808.47779850116"/>
    <n v="90"/>
    <n v="23.901305505051234"/>
    <n v="2807671.6173482127"/>
    <s v="OK"/>
  </r>
  <r>
    <d v="2023-04-19T00:00:00"/>
    <x v="3"/>
    <s v="April"/>
    <x v="1"/>
    <m/>
    <n v="-0.80070290024809565"/>
    <x v="3"/>
    <n v="30600.156633591305"/>
    <n v="4.2716217641360945"/>
    <n v="3.7389463529394371"/>
    <n v="3.7389463529394371"/>
    <n v="6.2282207118588051"/>
    <n v="108984.37442570069"/>
    <n v="820"/>
    <n v="87.49830341682059"/>
    <n v="0"/>
    <s v="Missing Data"/>
  </r>
  <r>
    <d v="2023-05-19T00:00:00"/>
    <x v="3"/>
    <s v="May"/>
    <x v="1"/>
    <n v="117"/>
    <n v="-6.8930762749527752E-2"/>
    <x v="2"/>
    <n v="33067.589863652087"/>
    <n v="3.2555752891068628"/>
    <n v="2.7096594152746256"/>
    <n v="2.7096594152746256"/>
    <n v="7.9678522777954495"/>
    <n v="898038.66136182344"/>
    <n v="98"/>
    <n v="55.043526072430701"/>
    <n v="3868908.0140472944"/>
    <s v="OK"/>
  </r>
  <r>
    <d v="2023-06-18T00:00:00"/>
    <x v="1"/>
    <s v="June"/>
    <x v="1"/>
    <n v="98"/>
    <n v="-0.18776555430912426"/>
    <x v="1"/>
    <n v="24886.037174007972"/>
    <n v="2.9401912833554942"/>
    <n v="2.0083638143679527"/>
    <n v="2.0083638143679527"/>
    <n v="4.1429338776089013"/>
    <n v="100688.82023411682"/>
    <n v="87"/>
    <n v="47.391609863668769"/>
    <n v="2438831.643052781"/>
    <s v="OK"/>
  </r>
  <r>
    <d v="2023-07-18T00:00:00"/>
    <x v="3"/>
    <s v="July"/>
    <x v="2"/>
    <n v="94"/>
    <n v="-0.21278340516377614"/>
    <x v="2"/>
    <n v="28713.117312883274"/>
    <n v="3.5704431234556018"/>
    <n v="3.3071225966373103"/>
    <n v="3.3071225966373103"/>
    <n v="6.0683584921737452"/>
    <n v="50233.452931740212"/>
    <n v="108"/>
    <n v="63.718108882030116"/>
    <n v="2699033.0274110278"/>
    <s v="OK"/>
  </r>
  <r>
    <d v="2023-08-17T00:00:00"/>
    <x v="4"/>
    <s v="August"/>
    <x v="2"/>
    <n v="112"/>
    <n v="-0.10020307631784262"/>
    <x v="0"/>
    <n v="21657.079630612054"/>
    <n v="2.6157803172185741"/>
    <n v="1.8248217250256185"/>
    <m/>
    <n v="4.3883426440221545"/>
    <n v="86835.031753323041"/>
    <n v="98"/>
    <n v="27.308259417884464"/>
    <n v="2425592.9186285501"/>
    <s v="Missing Data"/>
  </r>
  <r>
    <d v="2023-09-16T00:00:00"/>
    <x v="3"/>
    <s v="September"/>
    <x v="2"/>
    <n v="89"/>
    <n v="-0.244055718732091"/>
    <x v="3"/>
    <n v="31996.115613026395"/>
    <n v="3.6615838570923906"/>
    <n v="2.9763577693562193"/>
    <n v="2.9763577693562193"/>
    <n v="6.1666151756106977"/>
    <n v="109070.17425108935"/>
    <n v="87"/>
    <n v="80.53172394819191"/>
    <n v="2847654.289559349"/>
    <s v="OK"/>
  </r>
  <r>
    <d v="2023-10-16T00:00:00"/>
    <x v="4"/>
    <s v="October"/>
    <x v="3"/>
    <n v="119"/>
    <n v="-5.6421837322201809E-2"/>
    <x v="0"/>
    <n v="33235.979698513707"/>
    <n v="3.4261987068506659"/>
    <n v="3.0054701591666269"/>
    <n v="3.0054701591666269"/>
    <n v="4.3975761862166873"/>
    <n v="80354.119314906406"/>
    <n v="95"/>
    <n v="66.594806151063665"/>
    <n v="3955081.5841231314"/>
    <s v="OK"/>
  </r>
  <r>
    <d v="2023-11-15T00:00:00"/>
    <x v="1"/>
    <s v="November"/>
    <x v="3"/>
    <n v="102"/>
    <n v="-0.16274770345447234"/>
    <x v="3"/>
    <n v="27584.067688503128"/>
    <n v="3.266981749065879"/>
    <n v="3.56020990749888"/>
    <n v="3.56020990749888"/>
    <n v="4.9991598236738986"/>
    <m/>
    <n v="92"/>
    <n v="34.927207749853402"/>
    <n v="2813574.9042273192"/>
    <s v="Missing Data"/>
  </r>
  <r>
    <d v="2023-12-15T00:00:00"/>
    <x v="2"/>
    <s v="December"/>
    <x v="3"/>
    <n v="87"/>
    <n v="-0.25656464415941693"/>
    <x v="3"/>
    <n v="37869.933816450168"/>
    <n v="2.7026484663666022"/>
    <n v="2.6947361947187747"/>
    <m/>
    <n v="5.1458921029145124"/>
    <n v="108937.45001605396"/>
    <n v="90"/>
    <n v="35.058575981523646"/>
    <n v="3294684.2420311645"/>
    <s v="Missing Data"/>
  </r>
  <r>
    <d v="2024-01-14T00:00:00"/>
    <x v="2"/>
    <s v="January"/>
    <x v="0"/>
    <n v="113"/>
    <n v="-9.3948613604179651E-2"/>
    <x v="2"/>
    <n v="23871.171684988294"/>
    <n v="3.7568000532848584"/>
    <n v="2.892415967178767"/>
    <n v="2.892415967178767"/>
    <n v="6.6709800632136513"/>
    <n v="93149.015982844707"/>
    <n v="88"/>
    <n v="34.739892125813938"/>
    <n v="2697442.400403677"/>
    <s v="OK"/>
  </r>
  <r>
    <d v="2024-02-13T00:00:00"/>
    <x v="3"/>
    <s v="February"/>
    <x v="0"/>
    <n v="106"/>
    <n v="-0.13772985259982046"/>
    <x v="1"/>
    <n v="22678.125598950901"/>
    <n v="3.2336495801690441"/>
    <n v="1.9910363742925012"/>
    <n v="1.9910363742925012"/>
    <n v="6.6021453327308963"/>
    <n v="103409.27541993142"/>
    <m/>
    <n v="24.560191004154717"/>
    <n v="2403881.3134887954"/>
    <s v="Missing Data"/>
  </r>
  <r>
    <d v="2024-03-14T00:00:00"/>
    <x v="4"/>
    <s v="March"/>
    <x v="0"/>
    <n v="96"/>
    <n v="-0.20027447973645018"/>
    <x v="1"/>
    <m/>
    <n v="2.9150415821448559"/>
    <n v="2.4744256878080058"/>
    <n v="2.4744256878080058"/>
    <m/>
    <n v="80745.348694307759"/>
    <n v="87"/>
    <n v="67.023875949734787"/>
    <n v="0"/>
    <s v="Missing Data"/>
  </r>
  <r>
    <d v="2024-04-13T00:00:00"/>
    <x v="0"/>
    <s v="April"/>
    <x v="1"/>
    <n v="110"/>
    <n v="-0.11271200174516857"/>
    <x v="3"/>
    <n v="35235.49151306077"/>
    <n v="2.0638688933591753"/>
    <n v="0.73092409511088174"/>
    <n v="0.73092409511088174"/>
    <n v="5.5659209331998181"/>
    <n v="95867.774406079072"/>
    <n v="81"/>
    <n v="87.227854207080654"/>
    <n v="3875904.0664366847"/>
    <s v="OK"/>
  </r>
  <r>
    <d v="2024-05-13T00:00:00"/>
    <x v="0"/>
    <s v="May"/>
    <x v="1"/>
    <n v="100"/>
    <n v="-0.1752566288817983"/>
    <x v="2"/>
    <n v="38419.638457289344"/>
    <n v="3.4862425474746819"/>
    <n v="1.8052868689109418"/>
    <n v="1.8052868689109418"/>
    <n v="4.6485041743009932"/>
    <n v="1122043.2339178445"/>
    <n v="105"/>
    <n v="21.399857118991086"/>
    <n v="3841963.8457289343"/>
    <s v="OK"/>
  </r>
  <r>
    <d v="2024-06-12T00:00:00"/>
    <x v="0"/>
    <s v="June"/>
    <x v="1"/>
    <m/>
    <n v="-0.80070290024809565"/>
    <x v="2"/>
    <n v="27705.578685655299"/>
    <n v="4.3861257983348718"/>
    <n v="2.0907175618868958"/>
    <n v="2.0907175618868958"/>
    <n v="3.9897941071895984"/>
    <n v="103139.45921936868"/>
    <n v="101"/>
    <n v="23.920371597701884"/>
    <n v="0"/>
    <s v="Missing Data"/>
  </r>
  <r>
    <d v="2024-07-12T00:00:00"/>
    <x v="2"/>
    <s v="July"/>
    <x v="2"/>
    <n v="106"/>
    <n v="-0.13772985259982046"/>
    <x v="2"/>
    <n v="35393.404167156477"/>
    <n v="4.3306296072739352"/>
    <n v="1.9759116020654075"/>
    <n v="1.9759116020654075"/>
    <n v="5.2395795394907552"/>
    <n v="88269.374608721293"/>
    <n v="113"/>
    <n v="65.82162213495566"/>
    <n v="3751700.8417185866"/>
    <s v="OK"/>
  </r>
  <r>
    <d v="2024-08-11T00:00:00"/>
    <x v="2"/>
    <s v="August"/>
    <x v="2"/>
    <n v="114"/>
    <n v="-8.7694150890516673E-2"/>
    <x v="3"/>
    <n v="29807.457652496465"/>
    <n v="3.2714518717068639"/>
    <n v="2.652354872033722"/>
    <n v="2.652354872033722"/>
    <n v="5.1298206538530167"/>
    <n v="104484.32808581585"/>
    <n v="85"/>
    <n v="85.559654830884185"/>
    <n v="3398050.1723845969"/>
    <s v="OK"/>
  </r>
  <r>
    <d v="2024-09-10T00:00:00"/>
    <x v="4"/>
    <s v="September"/>
    <x v="2"/>
    <n v="96"/>
    <n v="-0.20027447973645018"/>
    <x v="3"/>
    <n v="29136.863500295902"/>
    <n v="3.1988939698191099"/>
    <n v="1.5600968988911355"/>
    <m/>
    <n v="8.4120597836146267"/>
    <n v="114292.19581273236"/>
    <n v="90"/>
    <n v="46.139111245490689"/>
    <n v="2797138.8960284065"/>
    <s v="Missing Data"/>
  </r>
  <r>
    <d v="2024-10-10T00:00:00"/>
    <x v="3"/>
    <s v="October"/>
    <x v="3"/>
    <n v="102"/>
    <n v="-0.16274770345447234"/>
    <x v="1"/>
    <n v="34418.299687433362"/>
    <n v="3.734387128037512"/>
    <n v="3.6210306673244714"/>
    <n v="3.6210306673244714"/>
    <n v="6.0195517904328355"/>
    <n v="59001.174428450438"/>
    <n v="83"/>
    <n v="47.969151904617775"/>
    <n v="3510666.568118203"/>
    <s v="OK"/>
  </r>
  <r>
    <d v="2024-11-09T00:00:00"/>
    <x v="0"/>
    <s v="November"/>
    <x v="3"/>
    <m/>
    <n v="-0.80070290024809565"/>
    <x v="0"/>
    <n v="33261.614392067095"/>
    <n v="30.008072804058543"/>
    <n v="2.5002070649181971"/>
    <n v="2.5002070649181971"/>
    <n v="3.8468589990949154"/>
    <n v="123181.48129911795"/>
    <n v="99"/>
    <n v="67.70771979974208"/>
    <n v="0"/>
    <s v="Missing Data"/>
  </r>
  <r>
    <d v="2024-12-09T00:00:00"/>
    <x v="4"/>
    <s v="December"/>
    <x v="3"/>
    <n v="93"/>
    <n v="-0.21903786787743912"/>
    <x v="2"/>
    <n v="22118.039215078752"/>
    <n v="3.6508959499097329"/>
    <n v="2.4906996788613855"/>
    <n v="2.4906996788613855"/>
    <n v="4.8222711949948689"/>
    <n v="93274.905226378556"/>
    <n v="84"/>
    <n v="41.937031129931761"/>
    <n v="2056977.647002324"/>
    <s v="OK"/>
  </r>
  <r>
    <d v="2025-01-08T00:00:00"/>
    <x v="4"/>
    <s v="January"/>
    <x v="0"/>
    <n v="69"/>
    <n v="-0.36914497300535049"/>
    <x v="0"/>
    <n v="37382.701748629479"/>
    <n v="38.830401391923452"/>
    <n v="2.172105283487082"/>
    <n v="2.172105283487082"/>
    <n v="6.7256599545152778"/>
    <n v="108509.79866480461"/>
    <m/>
    <n v="22.128669286214731"/>
    <n v="2579406.420655434"/>
    <s v="Missing Data"/>
  </r>
  <r>
    <d v="2025-02-07T00:00:00"/>
    <x v="3"/>
    <s v="February"/>
    <x v="0"/>
    <n v="111"/>
    <n v="-0.10645753903150559"/>
    <x v="3"/>
    <n v="36900.456770737255"/>
    <n v="4.1134666119421537"/>
    <n v="2.6551906838589789"/>
    <n v="2.6551906838589789"/>
    <n v="8.0061313274439101"/>
    <n v="123944.93847290456"/>
    <n v="78"/>
    <n v="78.818281448127692"/>
    <n v="4095950.7015518355"/>
    <s v="OK"/>
  </r>
  <r>
    <d v="2025-03-09T00:00:00"/>
    <x v="4"/>
    <s v="March"/>
    <x v="0"/>
    <n v="87"/>
    <n v="-0.25656464415941693"/>
    <x v="2"/>
    <m/>
    <n v="3.4499229617600236"/>
    <n v="3.3250982646676346"/>
    <n v="3.3250982646676346"/>
    <n v="3.5968200253144502"/>
    <n v="72566.526055390685"/>
    <n v="110"/>
    <m/>
    <n v="0"/>
    <s v="Missing Data"/>
  </r>
  <r>
    <d v="2025-04-08T00:00:00"/>
    <x v="3"/>
    <s v="April"/>
    <x v="1"/>
    <n v="1080"/>
    <n v="5.9541168305079148"/>
    <x v="1"/>
    <n v="31979.017667187047"/>
    <n v="3.398163124911517"/>
    <n v="1.6328697842890998"/>
    <n v="1.6328697842890998"/>
    <n v="3.2440907378331461"/>
    <n v="85811.17995144907"/>
    <n v="85"/>
    <n v="66.460479924452727"/>
    <n v="34537339.08056201"/>
    <s v="OK"/>
  </r>
  <r>
    <d v="2025-05-08T00:00:00"/>
    <x v="1"/>
    <s v="May"/>
    <x v="1"/>
    <n v="104"/>
    <n v="-0.15023877802714641"/>
    <x v="1"/>
    <n v="32470.150931413693"/>
    <m/>
    <n v="1.8418835109247433"/>
    <n v="1.8418835109247433"/>
    <n v="7.7451582104461387"/>
    <n v="942290.26082485903"/>
    <n v="94"/>
    <n v="79.334730319345852"/>
    <n v="3376895.6968670241"/>
    <s v="Missing Data"/>
  </r>
  <r>
    <d v="2025-06-07T00:00:00"/>
    <x v="3"/>
    <s v="June"/>
    <x v="1"/>
    <n v="78"/>
    <n v="-0.31285480858238368"/>
    <x v="0"/>
    <n v="313033.68829119537"/>
    <n v="3.0865598229800701"/>
    <n v="2.1962739712233352"/>
    <n v="2.1962739712233352"/>
    <n v="5.9675370128450851"/>
    <n v="84324.92957751143"/>
    <n v="77"/>
    <n v="74.018467004963"/>
    <n v="24416627.686713237"/>
    <s v="OK"/>
  </r>
  <r>
    <d v="2025-07-07T00:00:00"/>
    <x v="0"/>
    <s v="July"/>
    <x v="2"/>
    <n v="101"/>
    <n v="-0.16900216616813532"/>
    <x v="0"/>
    <n v="27248.474230772899"/>
    <n v="3.3867605540492365"/>
    <n v="1.1541290765267851"/>
    <n v="1.1541290765267851"/>
    <n v="4.4580487217483604"/>
    <n v="134698.73151673615"/>
    <n v="99"/>
    <n v="36.470559054265692"/>
    <n v="2752095.8973080628"/>
    <s v="OK"/>
  </r>
  <r>
    <d v="2025-08-06T00:00:00"/>
    <x v="0"/>
    <s v="August"/>
    <x v="2"/>
    <n v="100"/>
    <n v="-0.1752566288817983"/>
    <x v="0"/>
    <n v="26641.883160309742"/>
    <n v="3.6836827534080889"/>
    <n v="1.6807421402785021"/>
    <n v="1.6807421402785021"/>
    <n v="6.1415549033469219"/>
    <m/>
    <n v="85"/>
    <n v="48.198483755468089"/>
    <n v="2664188.316030974"/>
    <s v="Missing Data"/>
  </r>
  <r>
    <d v="2025-09-05T00:00:00"/>
    <x v="3"/>
    <s v="September"/>
    <x v="2"/>
    <n v="109"/>
    <n v="-0.11896646445883154"/>
    <x v="3"/>
    <n v="29872.229645042775"/>
    <n v="3.9567923131166247"/>
    <n v="2.0237791264553411"/>
    <n v="2.0237791264553411"/>
    <n v="2.3371027131797466"/>
    <n v="88889.064410262668"/>
    <n v="97"/>
    <n v="30.08881133429"/>
    <n v="3256073.0313096624"/>
    <s v="OK"/>
  </r>
  <r>
    <d v="2025-10-05T00:00:00"/>
    <x v="1"/>
    <s v="October"/>
    <x v="3"/>
    <n v="98"/>
    <n v="-0.18776555430912426"/>
    <x v="2"/>
    <n v="35863.645096296823"/>
    <n v="3.0984105246598275"/>
    <n v="3.3743891807127273"/>
    <n v="3.3743891807127273"/>
    <n v="5.504050607916593"/>
    <n v="104087.78063205954"/>
    <m/>
    <n v="30.388561073430481"/>
    <n v="3514637.2194370888"/>
    <s v="Missing Data"/>
  </r>
  <r>
    <d v="2025-11-04T00:00:00"/>
    <x v="1"/>
    <s v="November"/>
    <x v="3"/>
    <n v="111"/>
    <n v="-0.10645753903150559"/>
    <x v="3"/>
    <n v="32718.000772972162"/>
    <m/>
    <n v="2.7625613290019251"/>
    <n v="2.7625613290019251"/>
    <n v="5.893385407411702"/>
    <n v="75957.009478478227"/>
    <n v="102"/>
    <n v="74.095659708523129"/>
    <n v="3631698.0857999101"/>
    <s v="Missing Data"/>
  </r>
  <r>
    <d v="2025-12-04T00:00:00"/>
    <x v="0"/>
    <s v="December"/>
    <x v="3"/>
    <n v="97"/>
    <n v="-0.19402001702278721"/>
    <x v="2"/>
    <n v="28146.928339569469"/>
    <n v="3.3644381994787156"/>
    <n v="2.6935899113675443"/>
    <n v="2.6935899113675443"/>
    <n v="6.6091241674453958"/>
    <m/>
    <n v="96"/>
    <n v="88.688008558599861"/>
    <n v="2730252.0489382385"/>
    <s v="Missing Data"/>
  </r>
  <r>
    <d v="2026-01-03T00:00:00"/>
    <x v="1"/>
    <s v="January"/>
    <x v="0"/>
    <n v="88"/>
    <n v="-0.25031018144575395"/>
    <x v="3"/>
    <n v="33858.493553241722"/>
    <n v="3.489316352825782"/>
    <n v="3.3508979621679722"/>
    <n v="3.3508979621679722"/>
    <n v="4.2833248572489548"/>
    <n v="106349.06522500351"/>
    <n v="95"/>
    <n v="97.018606708891127"/>
    <n v="2979547.4326852714"/>
    <s v="OK"/>
  </r>
  <r>
    <d v="2026-02-02T00:00:00"/>
    <x v="4"/>
    <s v="February"/>
    <x v="0"/>
    <n v="101"/>
    <n v="-0.16900216616813532"/>
    <x v="3"/>
    <n v="15757.286896849622"/>
    <n v="3.1263941604260883"/>
    <n v="2.3626282116006032"/>
    <n v="2.3626282116006032"/>
    <n v="5.6028245936840309"/>
    <n v="93342.79191234977"/>
    <n v="103"/>
    <n v="70.267769403955555"/>
    <n v="1591485.9765818119"/>
    <s v="OK"/>
  </r>
  <r>
    <d v="2026-03-04T00:00:00"/>
    <x v="2"/>
    <s v="March"/>
    <x v="0"/>
    <n v="105"/>
    <n v="-0.14398431531348344"/>
    <x v="3"/>
    <n v="35743.828501860517"/>
    <n v="2.287879869863529"/>
    <n v="2.8904648499288896"/>
    <n v="2.8904648499288896"/>
    <n v="4.3894904487284956"/>
    <n v="98132.262822001037"/>
    <n v="89"/>
    <n v="34.728105868876554"/>
    <n v="3753101.9926953544"/>
    <s v="OK"/>
  </r>
  <r>
    <d v="2026-04-03T00:00:00"/>
    <x v="4"/>
    <s v="April"/>
    <x v="1"/>
    <n v="102"/>
    <n v="-0.16274770345447234"/>
    <x v="1"/>
    <n v="21301.4311061095"/>
    <n v="3.9420226981805246"/>
    <n v="2.3967782470675036"/>
    <n v="2.3967782470675036"/>
    <n v="5.8064605068091808"/>
    <n v="89413.357751032585"/>
    <n v="87"/>
    <n v="28.452027635914455"/>
    <n v="2172745.9728231691"/>
    <s v="OK"/>
  </r>
  <r>
    <d v="2026-05-03T00:00:00"/>
    <x v="0"/>
    <s v="May"/>
    <x v="1"/>
    <n v="98"/>
    <n v="-0.18776555430912426"/>
    <x v="1"/>
    <n v="28187.795292984338"/>
    <n v="3.8684219485462168"/>
    <n v="2.7653623493996284"/>
    <n v="2.7653623493996284"/>
    <n v="4.4255844131643709"/>
    <n v="69710.593816384659"/>
    <n v="101"/>
    <n v="85.028077722940623"/>
    <n v="2762403.9387124651"/>
    <s v="OK"/>
  </r>
  <r>
    <d v="2026-06-02T00:00:00"/>
    <x v="1"/>
    <s v="June"/>
    <x v="1"/>
    <n v="96"/>
    <n v="-0.20027447973645018"/>
    <x v="0"/>
    <n v="24401.650526869282"/>
    <n v="33.593362214408934"/>
    <n v="1.9172413423884178"/>
    <n v="1.9172413423884178"/>
    <m/>
    <n v="106431.86422678478"/>
    <n v="80"/>
    <n v="66.300518108799935"/>
    <n v="2342558.4505794509"/>
    <s v="Missing Data"/>
  </r>
  <r>
    <d v="2026-07-02T00:00:00"/>
    <x v="3"/>
    <s v="July"/>
    <x v="2"/>
    <n v="76"/>
    <n v="-0.32536373400970964"/>
    <x v="2"/>
    <n v="23526.59262139547"/>
    <n v="35.334953586124357"/>
    <n v="2.5869878669999999"/>
    <n v="6.1182841723570913E-2"/>
    <n v="4.3050215262517249"/>
    <n v="135098.66143294482"/>
    <n v="90"/>
    <n v="69.462801681097588"/>
    <n v="1788021.0392260556"/>
    <s v="OK"/>
  </r>
  <r>
    <d v="2026-08-01T00:00:00"/>
    <x v="2"/>
    <s v="August"/>
    <x v="2"/>
    <n v="112"/>
    <n v="-0.10020307631784262"/>
    <x v="0"/>
    <n v="35804.133936892598"/>
    <m/>
    <n v="2.3657208378136958"/>
    <n v="2.3657208378136958"/>
    <n v="6.2813634901883884"/>
    <n v="100368.03261566877"/>
    <n v="89"/>
    <n v="82.516967100376746"/>
    <n v="4010063.0009319708"/>
    <s v="Missing Data"/>
  </r>
  <r>
    <d v="2026-08-31T00:00:00"/>
    <x v="3"/>
    <s v="August"/>
    <x v="2"/>
    <n v="99"/>
    <n v="-0.18151109159546128"/>
    <x v="0"/>
    <n v="27661.493993440545"/>
    <n v="2.7187270715567289"/>
    <n v="3.9227481360999401"/>
    <n v="3.9227481360999401"/>
    <n v="6.5301413399879982"/>
    <m/>
    <n v="100"/>
    <n v="76.262178218596119"/>
    <n v="2738487.9053506139"/>
    <s v="Missing Data"/>
  </r>
  <r>
    <d v="2026-09-30T00:00:00"/>
    <x v="0"/>
    <s v="September"/>
    <x v="2"/>
    <n v="100"/>
    <n v="-0.1752566288817983"/>
    <x v="1"/>
    <n v="31732.519408653578"/>
    <n v="3.2354736613268527"/>
    <n v="3.4262154022415925"/>
    <n v="3.4262154022415925"/>
    <n v="5.2184553160511031"/>
    <n v="113854.45510233719"/>
    <n v="76"/>
    <n v="86.756660228487732"/>
    <n v="3173251.9408653579"/>
    <s v="OK"/>
  </r>
  <r>
    <d v="2026-10-30T00:00:00"/>
    <x v="1"/>
    <s v="October"/>
    <x v="3"/>
    <n v="89"/>
    <n v="-0.244055718732091"/>
    <x v="3"/>
    <n v="29765.397105604079"/>
    <n v="3.8971323398109137"/>
    <n v="3.4653974845911706"/>
    <n v="3.4653974845911706"/>
    <n v="5.5458855939520344"/>
    <n v="74613.390069066023"/>
    <n v="95"/>
    <n v="24.497112436790278"/>
    <n v="2649120.3423987632"/>
    <s v="OK"/>
  </r>
  <r>
    <d v="2026-11-29T00:00:00"/>
    <x v="3"/>
    <s v="November"/>
    <x v="3"/>
    <m/>
    <n v="-0.80070290024809565"/>
    <x v="2"/>
    <n v="32385.204136115608"/>
    <n v="2.8728552884153755"/>
    <n v="3.7361307218062176"/>
    <n v="3.7361307218062176"/>
    <n v="3.7616903024397468"/>
    <n v="134050.2931625921"/>
    <n v="86"/>
    <n v="79.801650939720389"/>
    <n v="0"/>
    <s v="Missing Data"/>
  </r>
  <r>
    <d v="2026-12-29T00:00:00"/>
    <x v="3"/>
    <s v="December"/>
    <x v="3"/>
    <n v="104"/>
    <n v="-0.15023877802714641"/>
    <x v="1"/>
    <n v="30384.109455301277"/>
    <n v="36.467789660833148"/>
    <n v="2.5886575909614375"/>
    <n v="2.5886575909614375"/>
    <n v="5.1403880223918552"/>
    <n v="104046.57592845603"/>
    <n v="96"/>
    <n v="88.068220585767634"/>
    <n v="3159947.383351333"/>
    <s v="OK"/>
  </r>
  <r>
    <d v="2027-01-28T00:00:00"/>
    <x v="2"/>
    <s v="January"/>
    <x v="0"/>
    <n v="96"/>
    <n v="-0.20027447973645018"/>
    <x v="2"/>
    <n v="23585.038879057152"/>
    <n v="2.8217090976882977"/>
    <n v="2.6973157074055956"/>
    <n v="2.6973157074055956"/>
    <n v="5.4397544595499063"/>
    <n v="132637.13798178217"/>
    <n v="87"/>
    <n v="42.890803396665149"/>
    <n v="2264163.7323894864"/>
    <s v="OK"/>
  </r>
  <r>
    <d v="2027-02-27T00:00:00"/>
    <x v="2"/>
    <s v="February"/>
    <x v="0"/>
    <n v="100"/>
    <n v="-0.1752566288817983"/>
    <x v="0"/>
    <n v="34981.334097235696"/>
    <n v="3.7332149912167631"/>
    <n v="1.8823481045656498"/>
    <n v="1.8823481045656498"/>
    <n v="8.6449517092359702"/>
    <n v="85339.340089520207"/>
    <n v="95"/>
    <n v="71.235781919460237"/>
    <n v="3498133.4097235696"/>
    <s v="OK"/>
  </r>
  <r>
    <d v="2027-03-29T00:00:00"/>
    <x v="1"/>
    <s v="March"/>
    <x v="0"/>
    <n v="105"/>
    <n v="-0.14398431531348344"/>
    <x v="2"/>
    <n v="27531.217084193438"/>
    <n v="3.4821792588512581"/>
    <n v="2.1839271439729502"/>
    <n v="2.1839271439729502"/>
    <n v="4.1656395690710042"/>
    <n v="136361.2384511565"/>
    <n v="83"/>
    <n v="45.132965106957769"/>
    <n v="2890777.793840311"/>
    <s v="OK"/>
  </r>
  <r>
    <d v="2027-04-28T00:00:00"/>
    <x v="2"/>
    <s v="April"/>
    <x v="1"/>
    <n v="81"/>
    <n v="-0.2940914204413948"/>
    <x v="2"/>
    <n v="22217.090506701243"/>
    <n v="2.6924340920472454"/>
    <n v="3.1157711497711418"/>
    <n v="3.1157711497711418"/>
    <n v="7.2570126865029252"/>
    <n v="115503.10988069566"/>
    <n v="109"/>
    <n v="96.637685318596326"/>
    <n v="1799584.3310428006"/>
    <s v="OK"/>
  </r>
  <r>
    <d v="2027-05-28T00:00:00"/>
    <x v="3"/>
    <s v="May"/>
    <x v="1"/>
    <n v="120"/>
    <n v="-5.0167374608538831E-2"/>
    <x v="3"/>
    <n v="27859.424195170439"/>
    <n v="4.082369677228586"/>
    <n v="3.7038844371688162"/>
    <n v="3.7038844371688162"/>
    <n v="6.6962305281589698"/>
    <n v="111060.80171704717"/>
    <n v="98"/>
    <n v="22.673885794840302"/>
    <n v="3343130.9034204525"/>
    <s v="OK"/>
  </r>
  <r>
    <d v="2027-06-27T00:00:00"/>
    <x v="3"/>
    <s v="June"/>
    <x v="1"/>
    <n v="97"/>
    <n v="-0.19402001702278721"/>
    <x v="3"/>
    <n v="37503.798953171558"/>
    <n v="3.1327042116009753"/>
    <n v="2.5869878669999999"/>
    <n v="23.605537243190007"/>
    <n v="5.8367636853881635"/>
    <n v="104680.48908706296"/>
    <n v="78"/>
    <n v="66.383427506636394"/>
    <n v="3637868.4984576409"/>
    <s v="OK"/>
  </r>
  <r>
    <d v="2027-07-27T00:00:00"/>
    <x v="0"/>
    <s v="July"/>
    <x v="2"/>
    <n v="99"/>
    <n v="-0.18151109159546128"/>
    <x v="0"/>
    <n v="34251.108710567467"/>
    <n v="3.0948737814928093"/>
    <n v="2.0498107351485886"/>
    <n v="2.0498107351485886"/>
    <n v="7.6103445810341599"/>
    <n v="95029.427638511013"/>
    <n v="91"/>
    <n v="33.320283763961207"/>
    <n v="3390859.7623461792"/>
    <s v="OK"/>
  </r>
  <r>
    <d v="2027-08-26T00:00:00"/>
    <x v="3"/>
    <s v="August"/>
    <x v="2"/>
    <n v="120"/>
    <n v="-5.0167374608538831E-2"/>
    <x v="1"/>
    <n v="28256.739327960706"/>
    <n v="3.6002845986154712"/>
    <n v="2.5005279588565972"/>
    <n v="2.5005279588565972"/>
    <n v="5.9465265671282355"/>
    <n v="124010.63316947746"/>
    <n v="86"/>
    <m/>
    <n v="3390808.7193552847"/>
    <s v="Missing Data"/>
  </r>
  <r>
    <d v="2027-09-25T00:00:00"/>
    <x v="1"/>
    <s v="September"/>
    <x v="2"/>
    <n v="90"/>
    <n v="-0.23780125601842803"/>
    <x v="3"/>
    <n v="28253.711478407855"/>
    <n v="4.0743186747143572"/>
    <n v="3.1012067489291146"/>
    <n v="3.1012067489291146"/>
    <n v="5.9669910348015147"/>
    <n v="102807.19739696094"/>
    <n v="86"/>
    <n v="34.071222673492969"/>
    <n v="2542834.0330567071"/>
    <s v="OK"/>
  </r>
  <r>
    <d v="2027-10-25T00:00:00"/>
    <x v="4"/>
    <s v="October"/>
    <x v="3"/>
    <n v="85"/>
    <n v="-0.26907356958674289"/>
    <x v="0"/>
    <n v="28391.824743913086"/>
    <n v="2.9920890905108015"/>
    <n v="1.0561451838664582"/>
    <n v="1.0561451838664582"/>
    <n v="5.4362552163789459"/>
    <n v="60658.605928256955"/>
    <n v="88"/>
    <n v="38.830660951868609"/>
    <n v="2413305.1032326124"/>
    <s v="OK"/>
  </r>
  <r>
    <d v="2027-11-24T00:00:00"/>
    <x v="0"/>
    <s v="November"/>
    <x v="3"/>
    <n v="84"/>
    <n v="-0.27532803230040587"/>
    <x v="2"/>
    <n v="40383.739917804203"/>
    <n v="3.5308399249239857"/>
    <n v="2.5869878669999999"/>
    <n v="0.20381904686276187"/>
    <n v="6.9682826589023534"/>
    <n v="77656.270765859954"/>
    <n v="90"/>
    <n v="59.549664883660647"/>
    <n v="3392234.1530955532"/>
    <s v="OK"/>
  </r>
  <r>
    <d v="2027-12-24T00:00:00"/>
    <x v="0"/>
    <s v="December"/>
    <x v="3"/>
    <m/>
    <n v="-0.80070290024809565"/>
    <x v="1"/>
    <n v="31909.677261157765"/>
    <n v="3.7144082501652864"/>
    <n v="1.9494631505084166"/>
    <n v="1.9494631505084166"/>
    <n v="6.8157630805730607"/>
    <n v="96283.08495614506"/>
    <n v="83"/>
    <n v="93.186795999750245"/>
    <n v="0"/>
    <s v="Missing Data"/>
  </r>
  <r>
    <d v="2028-01-23T00:00:00"/>
    <x v="1"/>
    <s v="January"/>
    <x v="0"/>
    <n v="112"/>
    <n v="-0.10020307631784262"/>
    <x v="3"/>
    <n v="32150.20823595535"/>
    <n v="3.8465528036315719"/>
    <n v="1.2792875740858414"/>
    <n v="1.2792875740858414"/>
    <n v="4.7491872550045446"/>
    <n v="106199.9796633111"/>
    <m/>
    <n v="36.937149771837667"/>
    <n v="3600823.322426999"/>
    <s v="Missing Data"/>
  </r>
  <r>
    <d v="2028-02-22T00:00:00"/>
    <x v="1"/>
    <s v="February"/>
    <x v="0"/>
    <n v="110"/>
    <n v="-0.11271200174516857"/>
    <x v="3"/>
    <n v="35151.417270159211"/>
    <n v="3.5882207776386128"/>
    <n v="1.991859802352689"/>
    <n v="1.991859802352689"/>
    <n v="3.9169033664814794"/>
    <n v="98868.230222002079"/>
    <n v="88"/>
    <n v="31.539201689448284"/>
    <n v="3866655.899717513"/>
    <s v="OK"/>
  </r>
  <r>
    <d v="2028-03-23T00:00:00"/>
    <x v="2"/>
    <s v="March"/>
    <x v="0"/>
    <n v="86"/>
    <n v="-0.26281910687307991"/>
    <x v="1"/>
    <n v="31193.945795132568"/>
    <n v="3.3164860804583389"/>
    <n v="2.3522196811825284"/>
    <n v="2.3522196811825284"/>
    <n v="5.2564232351252116"/>
    <n v="124379.41579587327"/>
    <n v="99"/>
    <n v="80.718146548322451"/>
    <n v="2682679.3383814008"/>
    <s v="OK"/>
  </r>
  <r>
    <d v="2028-04-22T00:00:00"/>
    <x v="0"/>
    <s v="April"/>
    <x v="1"/>
    <n v="104"/>
    <n v="-0.15023877802714641"/>
    <x v="2"/>
    <n v="287047.89270896482"/>
    <n v="3.0862048896756402"/>
    <n v="2.0467515909769864"/>
    <n v="2.0467515909769864"/>
    <n v="4.5399537227228244"/>
    <n v="60977.9627192275"/>
    <n v="100"/>
    <n v="60.04956258671448"/>
    <n v="29852980.841732342"/>
    <s v="OK"/>
  </r>
  <r>
    <d v="2028-05-22T00:00:00"/>
    <x v="2"/>
    <s v="May"/>
    <x v="1"/>
    <n v="107"/>
    <n v="-0.13147538988615748"/>
    <x v="1"/>
    <n v="29018.250754575107"/>
    <n v="35.43071941523187"/>
    <n v="3.9524675344707454"/>
    <n v="3.9524675344707454"/>
    <n v="5.4237705104615737"/>
    <n v="102871.7587301032"/>
    <n v="88"/>
    <n v="92.942808990541707"/>
    <n v="3104952.8307395363"/>
    <s v="OK"/>
  </r>
  <r>
    <d v="2028-06-21T00:00:00"/>
    <x v="3"/>
    <s v="June"/>
    <x v="1"/>
    <n v="93"/>
    <n v="-0.21903786787743912"/>
    <x v="1"/>
    <n v="29641.993702929682"/>
    <n v="2.9639304940071964"/>
    <n v="2.8267447646023198"/>
    <n v="2.8267447646023198"/>
    <n v="6.9849257616209668"/>
    <n v="63640.415492256907"/>
    <n v="83"/>
    <n v="31.729164572787383"/>
    <n v="2756705.4143724605"/>
    <s v="OK"/>
  </r>
  <r>
    <d v="2028-07-21T00:00:00"/>
    <x v="0"/>
    <s v="July"/>
    <x v="2"/>
    <n v="108"/>
    <n v="-0.1252209271724945"/>
    <x v="3"/>
    <n v="29813.888817450792"/>
    <n v="2.0393247582526963"/>
    <n v="2.8004743596108286"/>
    <n v="2.8004743596108286"/>
    <n v="4.9512380138958516"/>
    <n v="115194.24590968336"/>
    <n v="90"/>
    <n v="71.674231441843148"/>
    <n v="3219899.9922846854"/>
    <s v="OK"/>
  </r>
  <r>
    <d v="2028-08-20T00:00:00"/>
    <x v="0"/>
    <s v="August"/>
    <x v="2"/>
    <n v="96"/>
    <n v="-0.20027447973645018"/>
    <x v="2"/>
    <n v="33638.147718184897"/>
    <n v="3.7182799020788337"/>
    <n v="3.122207144043402"/>
    <n v="3.122207144043402"/>
    <n v="5.4486119424261101"/>
    <n v="98110.825711159938"/>
    <n v="88"/>
    <n v="38.630331692145205"/>
    <n v="3229262.1809457503"/>
    <s v="OK"/>
  </r>
  <r>
    <d v="2028-09-19T00:00:00"/>
    <x v="4"/>
    <s v="September"/>
    <x v="2"/>
    <n v="95"/>
    <n v="-0.20652894245011316"/>
    <x v="1"/>
    <n v="30259.729429036499"/>
    <n v="3.9519674205430975"/>
    <n v="1.3611668822192309"/>
    <n v="1.3611668822192309"/>
    <n v="5.5696272817700745"/>
    <m/>
    <n v="86"/>
    <n v="32.540834292131144"/>
    <n v="2874674.2957584672"/>
    <s v="Missing Data"/>
  </r>
  <r>
    <d v="2028-10-19T00:00:00"/>
    <x v="0"/>
    <s v="October"/>
    <x v="3"/>
    <n v="112"/>
    <n v="-0.10020307631784262"/>
    <x v="1"/>
    <n v="33663.200386077893"/>
    <n v="2.318533782229081"/>
    <n v="3.5391117874202687"/>
    <n v="3.5391117874202687"/>
    <n v="6.5181170586463413"/>
    <n v="82722.340788204674"/>
    <n v="81"/>
    <n v="74.67435321258165"/>
    <n v="3770278.443240724"/>
    <s v="OK"/>
  </r>
  <r>
    <d v="2028-11-18T00:00:00"/>
    <x v="3"/>
    <s v="November"/>
    <x v="3"/>
    <n v="108"/>
    <n v="-0.1252209271724945"/>
    <x v="3"/>
    <n v="29596.417099457089"/>
    <n v="2.9951346476450311"/>
    <n v="2.7653623493996284"/>
    <m/>
    <n v="2.8037327992184737"/>
    <n v="125589.29863315502"/>
    <n v="82"/>
    <n v="67.49476959269866"/>
    <n v="3196413.0467413655"/>
    <s v="Missing Data"/>
  </r>
  <r>
    <d v="2028-12-18T00:00:00"/>
    <x v="2"/>
    <s v="December"/>
    <x v="3"/>
    <n v="85"/>
    <n v="-0.26907356958674289"/>
    <x v="0"/>
    <n v="30393.175951580452"/>
    <n v="3.8095771305025989"/>
    <n v="3.1704806172412123"/>
    <n v="3.1704806172412123"/>
    <n v="4.771959646281644"/>
    <n v="120834.49328117703"/>
    <n v="106"/>
    <n v="80.3861966689865"/>
    <n v="2583419.9558843384"/>
    <s v="OK"/>
  </r>
  <r>
    <d v="2029-01-17T00:00:00"/>
    <x v="2"/>
    <s v="January"/>
    <x v="0"/>
    <m/>
    <n v="-0.80070290024809565"/>
    <x v="1"/>
    <n v="20008.996577339462"/>
    <n v="45.28747734855849"/>
    <n v="1.4281427669598445"/>
    <n v="1.4281427669598445"/>
    <n v="5.7535404307353675"/>
    <n v="111670.88606023775"/>
    <n v="97"/>
    <n v="44.757006115694587"/>
    <n v="0"/>
    <s v="Missing Data"/>
  </r>
  <r>
    <d v="2029-02-16T00:00:00"/>
    <x v="4"/>
    <s v="February"/>
    <x v="0"/>
    <n v="95"/>
    <n v="-0.20652894245011316"/>
    <x v="3"/>
    <n v="34581.638373512411"/>
    <n v="3.5103968538377042"/>
    <n v="0.94624123398393567"/>
    <n v="0.94624123398393567"/>
    <m/>
    <m/>
    <n v="77"/>
    <n v="55.837732510575194"/>
    <n v="3285255.6454836791"/>
    <s v="Missing Data"/>
  </r>
  <r>
    <d v="2029-03-18T00:00:00"/>
    <x v="3"/>
    <s v="March"/>
    <x v="0"/>
    <n v="97"/>
    <n v="-0.19402001702278721"/>
    <x v="1"/>
    <n v="31732.442379489963"/>
    <n v="3.1359985293854327"/>
    <n v="3.3178896580250288"/>
    <n v="3.3178896580250288"/>
    <n v="4.9097170629925539"/>
    <n v="111597.14570590264"/>
    <n v="88"/>
    <n v="52.437734106433481"/>
    <n v="3078046.9108105265"/>
    <s v="OK"/>
  </r>
  <r>
    <d v="2029-04-17T00:00:00"/>
    <x v="2"/>
    <s v="April"/>
    <x v="1"/>
    <n v="116"/>
    <n v="-7.518522546319073E-2"/>
    <x v="3"/>
    <n v="34990.050549298263"/>
    <n v="3.4085517794475799"/>
    <n v="2.8764095260975164"/>
    <n v="2.8764095260975164"/>
    <n v="3.2481367527497511"/>
    <n v="85862.148640253028"/>
    <n v="90"/>
    <n v="987.27157117321144"/>
    <n v="4058845.8637185986"/>
    <s v="OK"/>
  </r>
  <r>
    <d v="2029-05-17T00:00:00"/>
    <x v="1"/>
    <s v="May"/>
    <x v="1"/>
    <n v="95"/>
    <n v="-0.20652894245011316"/>
    <x v="0"/>
    <n v="15518.723109031554"/>
    <n v="4.1874382095740925"/>
    <n v="1.5979484456424897"/>
    <n v="1.5979484456424897"/>
    <n v="6.2436537351593637"/>
    <n v="117111.11318041425"/>
    <n v="86"/>
    <n v="43.379916539151033"/>
    <n v="1474278.6953579977"/>
    <s v="OK"/>
  </r>
  <r>
    <d v="2029-06-16T00:00:00"/>
    <x v="3"/>
    <s v="June"/>
    <x v="1"/>
    <n v="123"/>
    <n v="-3.1403986467549917E-2"/>
    <x v="0"/>
    <n v="40441.87352390364"/>
    <n v="3.1770179104377325"/>
    <n v="1.6303369187253056"/>
    <n v="1.6303369187253056"/>
    <n v="4.7375651334092446"/>
    <n v="132989.61788647843"/>
    <n v="96"/>
    <n v="43.58537906774135"/>
    <n v="4974350.4434401477"/>
    <s v="OK"/>
  </r>
  <r>
    <d v="2029-07-16T00:00:00"/>
    <x v="3"/>
    <s v="July"/>
    <x v="2"/>
    <n v="104"/>
    <n v="-0.15023877802714641"/>
    <x v="2"/>
    <n v="29302.051859224131"/>
    <n v="3.1004039966748733"/>
    <n v="3.6254347844147694"/>
    <n v="3.6254347844147694"/>
    <n v="4.0724000090915666"/>
    <n v="121412.21119958372"/>
    <n v="82"/>
    <m/>
    <n v="3047413.3933593095"/>
    <s v="Missing Data"/>
  </r>
  <r>
    <d v="2029-08-15T00:00:00"/>
    <x v="4"/>
    <s v="August"/>
    <x v="2"/>
    <n v="94"/>
    <n v="-0.21278340516377614"/>
    <x v="1"/>
    <n v="35540.914083687581"/>
    <n v="3.258628238908984"/>
    <n v="1.3105881071326722"/>
    <n v="1.3105881071326722"/>
    <n v="4.750785532344131"/>
    <n v="85407.950603851816"/>
    <n v="80"/>
    <n v="65.16752650322573"/>
    <n v="3340845.9238666329"/>
    <s v="OK"/>
  </r>
  <r>
    <d v="2029-09-14T00:00:00"/>
    <x v="2"/>
    <s v="September"/>
    <x v="2"/>
    <n v="105"/>
    <n v="-0.14398431531348344"/>
    <x v="2"/>
    <n v="24800.470364372348"/>
    <n v="3.0233356958706437"/>
    <n v="4.1426729532559632"/>
    <n v="4.1426729532559632"/>
    <n v="5.2785695708129809"/>
    <n v="1072283.4634546204"/>
    <n v="87"/>
    <n v="40.185819541099619"/>
    <n v="2604049.3882590965"/>
    <s v="OK"/>
  </r>
  <r>
    <d v="2029-10-14T00:00:00"/>
    <x v="3"/>
    <s v="October"/>
    <x v="3"/>
    <n v="109"/>
    <n v="-0.11896646445883154"/>
    <x v="2"/>
    <n v="33063.869525312846"/>
    <n v="3.561335157997398"/>
    <n v="2.5869878669999999"/>
    <n v="15.993792653521313"/>
    <n v="4.7743064025541448"/>
    <n v="74137.169124827051"/>
    <n v="85"/>
    <n v="93.223195230341915"/>
    <n v="3603961.7782591004"/>
    <s v="OK"/>
  </r>
  <r>
    <d v="2029-11-13T00:00:00"/>
    <x v="2"/>
    <s v="November"/>
    <x v="3"/>
    <n v="84"/>
    <n v="-0.27532803230040587"/>
    <x v="1"/>
    <n v="24732.922184131719"/>
    <n v="4.3123392292347802"/>
    <n v="3.1383919256083832"/>
    <n v="3.1383919256083832"/>
    <n v="2.8533207314811171"/>
    <n v="111447.80622351351"/>
    <n v="95"/>
    <n v="41.254845189301079"/>
    <n v="2077565.4634670643"/>
    <s v="OK"/>
  </r>
  <r>
    <d v="2029-12-13T00:00:00"/>
    <x v="1"/>
    <s v="December"/>
    <x v="3"/>
    <n v="79"/>
    <n v="-0.30660034586872076"/>
    <x v="1"/>
    <n v="26881.155196520973"/>
    <n v="3.6615396365580146"/>
    <n v="2.1713815242510153"/>
    <n v="2.1713815242510153"/>
    <n v="6.5764794362645587"/>
    <n v="109012.06825725078"/>
    <n v="97"/>
    <n v="91.66525852481557"/>
    <n v="2123611.2605251567"/>
    <s v="OK"/>
  </r>
  <r>
    <d v="2030-01-12T00:00:00"/>
    <x v="4"/>
    <s v="January"/>
    <x v="0"/>
    <n v="98"/>
    <n v="-0.18776555430912426"/>
    <x v="3"/>
    <n v="39570.156769333931"/>
    <n v="3.3738232489368563"/>
    <n v="3.1031874310823433"/>
    <n v="3.1031874310823433"/>
    <n v="7.0298500495344669"/>
    <n v="62603.673209356719"/>
    <n v="102"/>
    <n v="28.278005091726772"/>
    <n v="3877875.3633947251"/>
    <s v="OK"/>
  </r>
  <r>
    <d v="2030-02-11T00:00:00"/>
    <x v="1"/>
    <s v="February"/>
    <x v="0"/>
    <n v="96"/>
    <n v="-0.20027447973645018"/>
    <x v="3"/>
    <n v="29046.587996183269"/>
    <n v="3.354094365542228"/>
    <n v="1.9558859978858074"/>
    <n v="1.9558859978858074"/>
    <n v="6.2818263896074065"/>
    <n v="76764.323121752721"/>
    <n v="96"/>
    <n v="72.525016191972185"/>
    <n v="2788472.4476335938"/>
    <s v="OK"/>
  </r>
  <r>
    <d v="2030-03-13T00:00:00"/>
    <x v="4"/>
    <s v="March"/>
    <x v="0"/>
    <n v="88"/>
    <n v="-0.25031018144575395"/>
    <x v="0"/>
    <n v="31087.164365898614"/>
    <n v="2.7184045956516716"/>
    <n v="2.3372070939277059"/>
    <n v="2.3372070939277059"/>
    <n v="4.1347771954902202"/>
    <n v="94337.222065124661"/>
    <n v="82"/>
    <n v="925.58841475059489"/>
    <n v="2735670.4641990783"/>
    <s v="OK"/>
  </r>
  <r>
    <d v="2030-04-12T00:00:00"/>
    <x v="3"/>
    <s v="April"/>
    <x v="1"/>
    <n v="103"/>
    <n v="-0.15649324074080936"/>
    <x v="3"/>
    <n v="34350.338653443774"/>
    <n v="3.9415548885735796"/>
    <n v="2.5409191753957212"/>
    <n v="2.5409191753957212"/>
    <n v="5.2582101592629789"/>
    <n v="93982.805057183476"/>
    <n v="85"/>
    <n v="33.499955071858366"/>
    <n v="3538084.8813047088"/>
    <s v="OK"/>
  </r>
  <r>
    <d v="2030-05-12T00:00:00"/>
    <x v="4"/>
    <s v="May"/>
    <x v="1"/>
    <n v="83"/>
    <n v="-0.28158249501406885"/>
    <x v="1"/>
    <n v="32478.409439863022"/>
    <n v="3.4610814014935989"/>
    <n v="1.4978125442185273"/>
    <n v="1.4978125442185273"/>
    <n v="5.4921744217246502"/>
    <n v="75810.461291623898"/>
    <n v="82"/>
    <n v="97.466156807940393"/>
    <n v="2695707.9835086307"/>
    <s v="OK"/>
  </r>
  <r>
    <d v="2030-06-11T00:00:00"/>
    <x v="0"/>
    <s v="June"/>
    <x v="1"/>
    <n v="82"/>
    <n v="-0.28783695772773182"/>
    <x v="3"/>
    <n v="30752.094525717883"/>
    <n v="3.4097600432046873"/>
    <n v="3.2408243454201258"/>
    <n v="3.2408243454201258"/>
    <n v="6.2185532674742925"/>
    <n v="107779.57458704368"/>
    <m/>
    <n v="56.230668833240934"/>
    <n v="2521671.7511088662"/>
    <s v="Missing Data"/>
  </r>
  <r>
    <d v="2030-07-11T00:00:00"/>
    <x v="2"/>
    <s v="July"/>
    <x v="2"/>
    <n v="106"/>
    <n v="-0.13772985259982046"/>
    <x v="3"/>
    <n v="31824.805012331126"/>
    <n v="5.0965537839224302"/>
    <n v="1.9867864335284149"/>
    <n v="1.9867864335284149"/>
    <n v="6.3020085864616968"/>
    <n v="105029.47217881025"/>
    <n v="91"/>
    <m/>
    <n v="3373429.3313070992"/>
    <s v="Missing Data"/>
  </r>
  <r>
    <d v="2030-08-10T00:00:00"/>
    <x v="2"/>
    <s v="August"/>
    <x v="2"/>
    <n v="96"/>
    <n v="-0.20027447973645018"/>
    <x v="2"/>
    <n v="42017.077926191378"/>
    <n v="3.6493764541828431"/>
    <n v="2.2714000846599816"/>
    <n v="2.2714000846599816"/>
    <n v="4.6189914414658055"/>
    <n v="96114.61736042962"/>
    <n v="88"/>
    <n v="74.145603490403758"/>
    <n v="4033639.480914372"/>
    <s v="OK"/>
  </r>
  <r>
    <d v="2030-09-09T00:00:00"/>
    <x v="0"/>
    <s v="September"/>
    <x v="2"/>
    <n v="96"/>
    <n v="-0.20027447973645018"/>
    <x v="0"/>
    <n v="29711.906014832071"/>
    <n v="3.1241044749524081"/>
    <n v="1.5056506253914876"/>
    <n v="1.5056506253914876"/>
    <n v="5.5983946676962724"/>
    <n v="84884.169996832745"/>
    <n v="90"/>
    <n v="44.12694958988412"/>
    <n v="2852342.9774238789"/>
    <s v="OK"/>
  </r>
  <r>
    <d v="2030-10-09T00:00:00"/>
    <x v="1"/>
    <s v="October"/>
    <x v="3"/>
    <n v="109"/>
    <n v="-0.11896646445883154"/>
    <x v="1"/>
    <n v="31005.495233574838"/>
    <n v="3.2868212018972285"/>
    <n v="2.5869878669999999"/>
    <n v="-6.2333658795310498E-2"/>
    <n v="6.0487364855382895"/>
    <n v="120974.14252833127"/>
    <n v="710"/>
    <n v="35.064201993368513"/>
    <n v="3379598.9804596575"/>
    <s v="OK"/>
  </r>
  <r>
    <d v="2030-11-08T00:00:00"/>
    <x v="0"/>
    <s v="November"/>
    <x v="3"/>
    <n v="98"/>
    <n v="-0.18776555430912426"/>
    <x v="2"/>
    <n v="35253.271980038058"/>
    <n v="4.0742228545983776"/>
    <n v="2.3089722373998312"/>
    <n v="2.3089722373998312"/>
    <n v="7.2469867865761195"/>
    <n v="133108.1422617659"/>
    <n v="84"/>
    <n v="44.298803698007951"/>
    <n v="3454820.6540437299"/>
    <s v="OK"/>
  </r>
  <r>
    <d v="2030-12-08T00:00:00"/>
    <x v="3"/>
    <s v="December"/>
    <x v="3"/>
    <n v="86"/>
    <n v="-0.26281910687307991"/>
    <x v="3"/>
    <n v="35527.629664789922"/>
    <n v="3.5566352052688823"/>
    <n v="2.5869878669999999"/>
    <n v="49.126154216129159"/>
    <n v="6.3454078477896676"/>
    <m/>
    <n v="79"/>
    <n v="27.441392741013999"/>
    <n v="3055376.1511719334"/>
    <s v="Missing Data"/>
  </r>
  <r>
    <d v="2031-01-07T00:00:00"/>
    <x v="3"/>
    <s v="January"/>
    <x v="0"/>
    <n v="79"/>
    <n v="-0.30660034586872076"/>
    <x v="1"/>
    <n v="35935.1515278019"/>
    <n v="2.7808610108413165"/>
    <n v="3.2846042878980239"/>
    <n v="3.2846042878980239"/>
    <n v="6.4468680248506232"/>
    <n v="87756.661656903583"/>
    <n v="77"/>
    <n v="31.509437307466381"/>
    <n v="2838876.9706963501"/>
    <s v="OK"/>
  </r>
  <r>
    <d v="2031-02-06T00:00:00"/>
    <x v="2"/>
    <s v="February"/>
    <x v="0"/>
    <n v="86"/>
    <n v="-0.26281910687307991"/>
    <x v="0"/>
    <m/>
    <n v="3.9596144672876017"/>
    <n v="2.8004743596108286"/>
    <m/>
    <n v="5.6005919535152335"/>
    <n v="109824.15330823993"/>
    <n v="77"/>
    <n v="28.37283522771849"/>
    <n v="0"/>
    <s v="Missing Data"/>
  </r>
  <r>
    <d v="2031-03-08T00:00:00"/>
    <x v="3"/>
    <s v="March"/>
    <x v="0"/>
    <n v="108"/>
    <n v="-0.1252209271724945"/>
    <x v="3"/>
    <n v="24284.97543634758"/>
    <n v="3.1659279572305028"/>
    <n v="2.2371091707917321"/>
    <n v="2.2371091707917321"/>
    <n v="7.1925509742442042"/>
    <n v="92839.41240506027"/>
    <n v="105"/>
    <n v="53.835483499324617"/>
    <n v="2622777.3471255386"/>
    <s v="OK"/>
  </r>
  <r>
    <d v="2031-04-07T00:00:00"/>
    <x v="2"/>
    <s v="April"/>
    <x v="1"/>
    <n v="127"/>
    <n v="-6.3861356128980225E-3"/>
    <x v="3"/>
    <n v="38167.15766150548"/>
    <n v="4.4366488881087731"/>
    <n v="2.5224658928120465"/>
    <n v="2.5224658928120465"/>
    <n v="5.9917153551513973"/>
    <n v="97212.055986735315"/>
    <n v="100"/>
    <n v="83.646270100606912"/>
    <n v="4847229.0230111964"/>
    <s v="OK"/>
  </r>
  <r>
    <d v="2031-05-07T00:00:00"/>
    <x v="0"/>
    <s v="May"/>
    <x v="1"/>
    <n v="93"/>
    <n v="-0.21903786787743912"/>
    <x v="3"/>
    <n v="24268.27303490656"/>
    <n v="4.0400240328573247"/>
    <n v="3.5391117874202687"/>
    <m/>
    <m/>
    <n v="114793.06303449343"/>
    <n v="82"/>
    <n v="31.310684337307215"/>
    <n v="2256949.3922463101"/>
    <s v="Missing Data"/>
  </r>
  <r>
    <d v="2031-06-06T00:00:00"/>
    <x v="0"/>
    <s v="June"/>
    <x v="1"/>
    <n v="82"/>
    <n v="-0.28783695772773182"/>
    <x v="0"/>
    <n v="31513.177326195168"/>
    <n v="3.2763390521706244"/>
    <n v="1.3191871846911551"/>
    <n v="1.3191871846911551"/>
    <n v="7.1840439641502289"/>
    <n v="61812.87824985414"/>
    <n v="105"/>
    <n v="30.425634653786872"/>
    <n v="2584080.5407480039"/>
    <s v="OK"/>
  </r>
  <r>
    <d v="2031-07-06T00:00:00"/>
    <x v="0"/>
    <s v="July"/>
    <x v="2"/>
    <n v="104"/>
    <n v="-0.15023877802714641"/>
    <x v="3"/>
    <n v="26228.62074990321"/>
    <n v="4.1405081808675561"/>
    <n v="3.6143216946688721"/>
    <n v="3.6143216946688721"/>
    <n v="63.374839270468328"/>
    <n v="126366.04649705338"/>
    <n v="103"/>
    <n v="71.474315961386452"/>
    <n v="2727776.557989934"/>
    <s v="OK"/>
  </r>
  <r>
    <d v="2031-08-05T00:00:00"/>
    <x v="2"/>
    <s v="August"/>
    <x v="2"/>
    <n v="99"/>
    <n v="-0.18151109159546128"/>
    <x v="1"/>
    <n v="29679.308267035038"/>
    <n v="3.5339277552637016"/>
    <n v="3.2153813154412441"/>
    <n v="3.2153813154412441"/>
    <n v="4.968347174645821"/>
    <n v="101453.61048658683"/>
    <n v="84"/>
    <n v="35.7746385574453"/>
    <n v="2938251.5184364687"/>
    <s v="OK"/>
  </r>
  <r>
    <d v="2031-09-04T00:00:00"/>
    <x v="0"/>
    <s v="September"/>
    <x v="2"/>
    <n v="102"/>
    <n v="-0.16274770345447234"/>
    <x v="1"/>
    <n v="31643.812051517401"/>
    <n v="3.9263868375611097"/>
    <n v="3.2181857257079347"/>
    <n v="3.2181857257079347"/>
    <n v="4.9246084391209077"/>
    <n v="91770.137108756389"/>
    <n v="860"/>
    <n v="27.808803048719327"/>
    <n v="3227668.8292547748"/>
    <s v="OK"/>
  </r>
  <r>
    <d v="2031-10-04T00:00:00"/>
    <x v="0"/>
    <s v="October"/>
    <x v="3"/>
    <n v="76"/>
    <n v="-0.32536373400970964"/>
    <x v="3"/>
    <m/>
    <n v="3.7423664086472375"/>
    <n v="2.9384757388097271"/>
    <n v="2.9384757388097271"/>
    <n v="5.8558906541689142"/>
    <n v="98215.31691557102"/>
    <n v="91"/>
    <n v="33.347886256446209"/>
    <n v="0"/>
    <s v="Missing Data"/>
  </r>
  <r>
    <d v="2031-11-03T00:00:00"/>
    <x v="1"/>
    <s v="November"/>
    <x v="3"/>
    <n v="99"/>
    <n v="-0.18151109159546128"/>
    <x v="0"/>
    <n v="32109.603771176422"/>
    <n v="3.0768216725045634"/>
    <n v="2.51961665769399"/>
    <n v="2.51961665769399"/>
    <n v="6.0558217543211015"/>
    <n v="99248.587100410368"/>
    <n v="95"/>
    <n v="93.898511670142085"/>
    <n v="3178850.773346466"/>
    <s v="OK"/>
  </r>
  <r>
    <d v="2031-12-03T00:00:00"/>
    <x v="0"/>
    <s v="December"/>
    <x v="3"/>
    <n v="93"/>
    <n v="-0.21903786787743912"/>
    <x v="3"/>
    <n v="38068.556345293233"/>
    <n v="3.1782250838412689"/>
    <n v="3.17286123596682"/>
    <n v="3.17286123596682"/>
    <n v="5.736750718757448"/>
    <n v="65375.973931101493"/>
    <n v="85"/>
    <n v="85.71770022209526"/>
    <n v="3540375.7401122707"/>
    <s v="OK"/>
  </r>
  <r>
    <d v="2032-01-02T00:00:00"/>
    <x v="3"/>
    <s v="January"/>
    <x v="0"/>
    <n v="99"/>
    <n v="-0.18151109159546128"/>
    <x v="2"/>
    <n v="32267.671507569899"/>
    <n v="4.0149804087905805"/>
    <n v="3.0918141337413783"/>
    <n v="3.0918141337413783"/>
    <m/>
    <n v="129898.76454906471"/>
    <n v="99"/>
    <n v="48.325164988407529"/>
    <n v="3194499.4792494201"/>
    <s v="Missing Data"/>
  </r>
  <r>
    <d v="2032-02-01T00:00:00"/>
    <x v="2"/>
    <s v="February"/>
    <x v="0"/>
    <n v="102"/>
    <n v="-0.16274770345447234"/>
    <x v="3"/>
    <n v="28779.216823546758"/>
    <n v="3.3326123339467295"/>
    <n v="3.6254347844147694"/>
    <m/>
    <n v="7.5399488494916564"/>
    <n v="100826.51264541237"/>
    <n v="94"/>
    <n v="72.465661386191428"/>
    <n v="2935480.1160017694"/>
    <s v="Missing Data"/>
  </r>
  <r>
    <d v="2032-03-02T00:00:00"/>
    <x v="1"/>
    <s v="March"/>
    <x v="0"/>
    <n v="106"/>
    <n v="-0.13772985259982046"/>
    <x v="0"/>
    <n v="34820.435841441787"/>
    <n v="3.2981757683790018"/>
    <n v="1.926398227103099"/>
    <n v="1.926398227103099"/>
    <n v="6.7858517826818625"/>
    <n v="108860.04260894751"/>
    <n v="91"/>
    <n v="62.982053893443045"/>
    <n v="3690966.1991928294"/>
    <s v="OK"/>
  </r>
  <r>
    <d v="2032-04-01T00:00:00"/>
    <x v="4"/>
    <s v="April"/>
    <x v="1"/>
    <n v="94"/>
    <n v="-0.21278340516377614"/>
    <x v="0"/>
    <n v="35947.352444623204"/>
    <n v="3.0224387103253236"/>
    <n v="2.6018562952619866"/>
    <n v="2.6018562952619866"/>
    <n v="5.7287627095180289"/>
    <n v="119030.99541148086"/>
    <n v="87"/>
    <n v="74.16994107860512"/>
    <n v="3379051.1297945813"/>
    <s v="OK"/>
  </r>
  <r>
    <d v="2032-05-01T00:00:00"/>
    <x v="2"/>
    <s v="May"/>
    <x v="1"/>
    <n v="105"/>
    <n v="-0.14398431531348344"/>
    <x v="3"/>
    <n v="23861.960924315037"/>
    <n v="3.7117995327967304"/>
    <n v="4.0490201514951876"/>
    <n v="4.0490201514951876"/>
    <n v="6.6295726969209801"/>
    <n v="79576.750848793992"/>
    <n v="66"/>
    <n v="74.613692197020754"/>
    <n v="2505505.8970530787"/>
    <s v="OK"/>
  </r>
  <r>
    <d v="2032-05-31T00:00:00"/>
    <x v="3"/>
    <s v="May"/>
    <x v="1"/>
    <n v="1160"/>
    <n v="6.454473847600954"/>
    <x v="1"/>
    <n v="32987.000349249291"/>
    <n v="4.5312624596215727"/>
    <n v="3.1383919256083832"/>
    <m/>
    <n v="4.2609713157669526"/>
    <n v="109469.43798070456"/>
    <n v="86"/>
    <n v="70.298721204799435"/>
    <n v="38264920.405129179"/>
    <s v="Missing Data"/>
  </r>
  <r>
    <d v="2032-06-30T00:00:00"/>
    <x v="2"/>
    <s v="June"/>
    <x v="1"/>
    <n v="122"/>
    <n v="-3.7658449181212889E-2"/>
    <x v="2"/>
    <n v="33505.863711554492"/>
    <n v="2.9662335428728634"/>
    <n v="1.03247473424756"/>
    <n v="1.03247473424756"/>
    <n v="5.9775124599361709"/>
    <n v="94647.17818202413"/>
    <n v="80"/>
    <n v="41.288109482984687"/>
    <n v="4087715.372809648"/>
    <s v="OK"/>
  </r>
  <r>
    <d v="2032-07-30T00:00:00"/>
    <x v="3"/>
    <s v="July"/>
    <x v="2"/>
    <n v="103"/>
    <n v="-0.15649324074080936"/>
    <x v="0"/>
    <n v="28512.182483200042"/>
    <n v="3.5121097283363789"/>
    <n v="2.6647608412365167"/>
    <n v="2.6647608412365167"/>
    <m/>
    <n v="116935.41550432987"/>
    <n v="111"/>
    <n v="23.120513661025448"/>
    <n v="2936754.7957696044"/>
    <s v="Missing Data"/>
  </r>
  <r>
    <d v="2032-08-29T00:00:00"/>
    <x v="3"/>
    <s v="August"/>
    <x v="2"/>
    <n v="119"/>
    <n v="-5.6421837322201809E-2"/>
    <x v="0"/>
    <n v="36878.534066558095"/>
    <n v="4.2061102777077144"/>
    <n v="1.9558859978858074"/>
    <m/>
    <n v="5.2383449255291517"/>
    <m/>
    <n v="98"/>
    <n v="564.453425592087"/>
    <n v="4388545.5539204134"/>
    <s v="Missing Data"/>
  </r>
  <r>
    <d v="2032-09-28T00:00:00"/>
    <x v="4"/>
    <s v="September"/>
    <x v="2"/>
    <n v="76"/>
    <n v="-0.32536373400970964"/>
    <x v="1"/>
    <n v="29249.722064837366"/>
    <n v="3.4601793043771423"/>
    <n v="2.6733416643704082"/>
    <n v="2.6733416643704082"/>
    <n v="4.4828392856570982"/>
    <n v="98018.113995174615"/>
    <n v="98"/>
    <n v="91.277910775256302"/>
    <n v="2222978.8769276398"/>
    <s v="OK"/>
  </r>
  <r>
    <d v="2032-10-28T00:00:00"/>
    <x v="2"/>
    <s v="October"/>
    <x v="3"/>
    <n v="96"/>
    <n v="-0.20027447973645018"/>
    <x v="2"/>
    <m/>
    <n v="3.726185898124867"/>
    <n v="2.7439531979085001"/>
    <n v="2.7439531979085001"/>
    <n v="4.7174933336883269"/>
    <n v="87943.586884320772"/>
    <n v="93"/>
    <n v="65.559780681486075"/>
    <n v="0"/>
    <s v="Missing Data"/>
  </r>
  <r>
    <d v="2032-11-27T00:00:00"/>
    <x v="4"/>
    <s v="November"/>
    <x v="3"/>
    <n v="103"/>
    <n v="-0.15649324074080936"/>
    <x v="0"/>
    <n v="29134.640878580652"/>
    <m/>
    <n v="2.2767977453651951"/>
    <n v="2.2767977453651951"/>
    <n v="4.1924403551891345"/>
    <n v="108645.25901268311"/>
    <n v="106"/>
    <n v="86.591283336152628"/>
    <n v="3000868.010493807"/>
    <s v="Missing Data"/>
  </r>
  <r>
    <d v="2032-12-27T00:00:00"/>
    <x v="4"/>
    <s v="December"/>
    <x v="3"/>
    <n v="111"/>
    <n v="-0.10645753903150559"/>
    <x v="2"/>
    <n v="30077.895237907338"/>
    <n v="3.7141535486038242"/>
    <n v="3.9898634386020824"/>
    <n v="3.9898634386020824"/>
    <n v="45.582857102467564"/>
    <n v="109400.88374736405"/>
    <n v="93"/>
    <m/>
    <n v="3338646.3714077147"/>
    <s v="Missing Data"/>
  </r>
  <r>
    <d v="2033-01-26T00:00:00"/>
    <x v="2"/>
    <s v="January"/>
    <x v="0"/>
    <n v="97"/>
    <n v="-0.19402001702278721"/>
    <x v="3"/>
    <n v="24518.624565523991"/>
    <n v="3.4064278674977255"/>
    <n v="0.89909602152348445"/>
    <n v="0.89909602152348445"/>
    <n v="5.0553902816919649"/>
    <n v="85847.48210355948"/>
    <n v="72"/>
    <n v="33.089296331062101"/>
    <n v="2378306.5828558272"/>
    <s v="OK"/>
  </r>
  <r>
    <d v="2033-02-25T00:00:00"/>
    <x v="0"/>
    <s v="February"/>
    <x v="0"/>
    <n v="112"/>
    <n v="-0.10020307631784262"/>
    <x v="0"/>
    <n v="22799.745587028527"/>
    <n v="3.9928649978399315"/>
    <n v="1.6715029752197541"/>
    <n v="1.6715029752197541"/>
    <n v="3.8133195769856298"/>
    <n v="85756.522716479129"/>
    <n v="85"/>
    <n v="753.42211131358579"/>
    <n v="2553571.5057471949"/>
    <s v="OK"/>
  </r>
  <r>
    <d v="2033-03-27T00:00:00"/>
    <x v="0"/>
    <s v="March"/>
    <x v="0"/>
    <n v="99"/>
    <n v="-0.18151109159546128"/>
    <x v="2"/>
    <n v="37972.525316124862"/>
    <n v="4.0936930257823754"/>
    <n v="2.3967452398509526"/>
    <n v="2.3967452398509526"/>
    <n v="5.5187420007395236"/>
    <n v="97786.692628853416"/>
    <n v="86"/>
    <n v="73.943485896001974"/>
    <n v="3759280.0062963613"/>
    <s v="OK"/>
  </r>
  <r>
    <d v="2033-04-26T00:00:00"/>
    <x v="4"/>
    <s v="April"/>
    <x v="1"/>
    <n v="124"/>
    <n v="-2.5149523753886942E-2"/>
    <x v="0"/>
    <n v="25765.193258408362"/>
    <n v="4.7947818210093072"/>
    <n v="0.85681118884583274"/>
    <n v="0.85681118884583274"/>
    <m/>
    <n v="82067.155453695828"/>
    <n v="93"/>
    <n v="98.396435788662274"/>
    <n v="3194883.964042637"/>
    <s v="Missing Data"/>
  </r>
  <r>
    <d v="2033-05-26T00:00:00"/>
    <x v="1"/>
    <s v="May"/>
    <x v="1"/>
    <n v="91"/>
    <n v="-0.23154679330476505"/>
    <x v="3"/>
    <n v="25043.038252718463"/>
    <n v="3.7898165866067877"/>
    <n v="2.3241455955679289"/>
    <n v="2.3241455955679289"/>
    <n v="4.4106925838236961"/>
    <n v="116839.67390904254"/>
    <n v="87"/>
    <n v="98.848058716224031"/>
    <n v="2278916.4809973803"/>
    <s v="OK"/>
  </r>
  <r>
    <d v="2033-06-25T00:00:00"/>
    <x v="4"/>
    <s v="June"/>
    <x v="1"/>
    <n v="103"/>
    <n v="-0.15649324074080936"/>
    <x v="3"/>
    <n v="19233.049431981424"/>
    <n v="36.628981582910832"/>
    <n v="4.1614701657280184"/>
    <n v="4.1614701657280184"/>
    <n v="7.3231407083701221"/>
    <n v="92615.855991051081"/>
    <n v="81"/>
    <n v="74.934288937930361"/>
    <n v="1981004.0914940867"/>
    <s v="OK"/>
  </r>
  <r>
    <d v="2033-07-25T00:00:00"/>
    <x v="4"/>
    <s v="July"/>
    <x v="2"/>
    <n v="86"/>
    <n v="-0.26281910687307991"/>
    <x v="0"/>
    <n v="26805.191261552489"/>
    <m/>
    <n v="2.5208864882959618"/>
    <n v="2.5208864882959618"/>
    <n v="6.1129505062331138"/>
    <n v="41860.235613567173"/>
    <n v="84"/>
    <n v="39.489183358575545"/>
    <n v="2305246.4484935142"/>
    <s v="Missing Data"/>
  </r>
  <r>
    <d v="2033-08-24T00:00:00"/>
    <x v="4"/>
    <s v="August"/>
    <x v="2"/>
    <n v="101"/>
    <n v="-0.16900216616813532"/>
    <x v="3"/>
    <n v="23384.55103296251"/>
    <n v="3.3234168535946558"/>
    <n v="2.7307009057186833"/>
    <n v="2.7307009057186833"/>
    <n v="6.7366967027488691"/>
    <n v="92503.558867563872"/>
    <n v="93"/>
    <n v="83.884467050447924"/>
    <n v="2361839.6543292133"/>
    <s v="OK"/>
  </r>
  <r>
    <d v="2033-09-23T00:00:00"/>
    <x v="0"/>
    <s v="September"/>
    <x v="2"/>
    <n v="101"/>
    <n v="-0.16900216616813532"/>
    <x v="1"/>
    <n v="38210.075800681843"/>
    <m/>
    <n v="1.2398352348274198"/>
    <n v="1.2398352348274198"/>
    <n v="4.7105985353774358"/>
    <n v="79229.123583120556"/>
    <n v="86"/>
    <n v="28.562330736883048"/>
    <n v="3859217.655868866"/>
    <s v="Missing Data"/>
  </r>
  <r>
    <d v="2033-10-23T00:00:00"/>
    <x v="0"/>
    <s v="October"/>
    <x v="3"/>
    <n v="101"/>
    <n v="-0.16900216616813532"/>
    <x v="0"/>
    <n v="35049.085446713172"/>
    <n v="3.3522992949304853"/>
    <n v="1.8836385919605225"/>
    <n v="1.8836385919605225"/>
    <n v="6.5254302724799391"/>
    <n v="67374.483690781082"/>
    <n v="81"/>
    <n v="82.455944333730287"/>
    <n v="3539957.6301180306"/>
    <s v="OK"/>
  </r>
  <r>
    <d v="2033-11-22T00:00:00"/>
    <x v="0"/>
    <s v="November"/>
    <x v="3"/>
    <n v="113"/>
    <n v="-9.3948613604179651E-2"/>
    <x v="2"/>
    <n v="26559.248274111382"/>
    <m/>
    <n v="2.1248036196760629"/>
    <n v="2.1248036196760629"/>
    <n v="4.1896793195256254"/>
    <n v="75251.467235548553"/>
    <n v="99"/>
    <n v="92.815689931575719"/>
    <n v="3001195.0549745862"/>
    <s v="Missing Data"/>
  </r>
  <r>
    <d v="2033-12-22T00:00:00"/>
    <x v="4"/>
    <s v="December"/>
    <x v="3"/>
    <n v="87"/>
    <n v="-0.25656464415941693"/>
    <x v="2"/>
    <n v="41262.17902672154"/>
    <n v="4.1587987678039795"/>
    <n v="2.1822849032437661"/>
    <n v="2.1822849032437661"/>
    <n v="6.5682970010038106"/>
    <n v="102188.1694366594"/>
    <n v="86"/>
    <n v="50.626671581474824"/>
    <n v="3589809.5753247738"/>
    <s v="OK"/>
  </r>
  <r>
    <d v="2034-01-21T00:00:00"/>
    <x v="1"/>
    <s v="January"/>
    <x v="0"/>
    <n v="108"/>
    <n v="-0.1252209271724945"/>
    <x v="1"/>
    <n v="34908.827434957973"/>
    <n v="2.9967287173601793"/>
    <n v="3.7816437950037685"/>
    <n v="3.7816437950037685"/>
    <n v="5.7062072077522377"/>
    <m/>
    <n v="85"/>
    <n v="70.450823598646437"/>
    <n v="3770153.3629754609"/>
    <s v="Missing Data"/>
  </r>
  <r>
    <d v="2034-02-20T00:00:00"/>
    <x v="0"/>
    <s v="February"/>
    <x v="0"/>
    <n v="1060"/>
    <n v="5.8290275762346555"/>
    <x v="2"/>
    <n v="283758.43082456884"/>
    <n v="4.0699392805645225"/>
    <n v="3.0576910607251246"/>
    <n v="3.0576910607251246"/>
    <n v="6.1639014639817402"/>
    <n v="106263.6894772996"/>
    <n v="93"/>
    <n v="54.411418567746104"/>
    <n v="300783936.674043"/>
    <s v="OK"/>
  </r>
  <r>
    <d v="2034-03-22T00:00:00"/>
    <x v="2"/>
    <s v="March"/>
    <x v="0"/>
    <n v="87"/>
    <n v="-0.25656464415941693"/>
    <x v="1"/>
    <n v="17502.971425632135"/>
    <n v="4.1585575336699323"/>
    <n v="1.388542043062968"/>
    <n v="1.388542043062968"/>
    <n v="4.0892864732501781"/>
    <n v="87869.932235685206"/>
    <n v="87"/>
    <n v="55.021204399050276"/>
    <n v="1522758.5140299958"/>
    <s v="OK"/>
  </r>
  <r>
    <d v="2034-04-21T00:00:00"/>
    <x v="2"/>
    <s v="April"/>
    <x v="1"/>
    <n v="96"/>
    <n v="-0.20027447973645018"/>
    <x v="2"/>
    <n v="41454.712862953711"/>
    <n v="3.4409657365044608"/>
    <n v="2.7465047784320049"/>
    <n v="2.7465047784320049"/>
    <n v="4.4259161892680741"/>
    <n v="109118.08390341405"/>
    <n v="78"/>
    <n v="448.29671128649608"/>
    <n v="3979652.434843556"/>
    <s v="OK"/>
  </r>
  <r>
    <d v="2034-05-21T00:00:00"/>
    <x v="2"/>
    <s v="May"/>
    <x v="1"/>
    <n v="97"/>
    <n v="-0.19402001702278721"/>
    <x v="0"/>
    <n v="23052.137666182018"/>
    <n v="2.4390725504957027"/>
    <n v="2.998221748496785"/>
    <n v="2.998221748496785"/>
    <n v="6.216673861904062"/>
    <m/>
    <n v="75"/>
    <n v="80.970369636025964"/>
    <n v="2236057.3536196556"/>
    <s v="Missing Data"/>
  </r>
  <r>
    <d v="2034-06-20T00:00:00"/>
    <x v="3"/>
    <s v="June"/>
    <x v="1"/>
    <n v="116"/>
    <n v="-7.518522546319073E-2"/>
    <x v="0"/>
    <m/>
    <n v="3.1960890064527838"/>
    <n v="3.6401490385212663"/>
    <n v="3.6401490385212663"/>
    <n v="4.3619823949309593"/>
    <n v="86107.992616737116"/>
    <n v="77"/>
    <n v="94.894125133320415"/>
    <n v="0"/>
    <s v="Missing Data"/>
  </r>
  <r>
    <d v="2034-07-20T00:00:00"/>
    <x v="4"/>
    <s v="July"/>
    <x v="2"/>
    <n v="100"/>
    <n v="-0.1752566288817983"/>
    <x v="1"/>
    <n v="35112.852160048198"/>
    <n v="4.1484972732805545"/>
    <n v="3.0918141337413783"/>
    <m/>
    <n v="6.0558475505189477"/>
    <n v="76912.746635340314"/>
    <m/>
    <n v="95.260068738756885"/>
    <n v="3511285.2160048196"/>
    <s v="Missing Data"/>
  </r>
  <r>
    <d v="2034-08-19T00:00:00"/>
    <x v="2"/>
    <s v="August"/>
    <x v="2"/>
    <n v="97"/>
    <n v="-0.19402001702278721"/>
    <x v="3"/>
    <n v="42198.762031696366"/>
    <n v="3.4885659688505588"/>
    <n v="1.4849058081721314"/>
    <n v="1.4849058081721314"/>
    <n v="38.594346322477051"/>
    <n v="64963.423864965618"/>
    <n v="117"/>
    <n v="33.982502789994705"/>
    <n v="4093279.9170745476"/>
    <s v="OK"/>
  </r>
  <r>
    <d v="2034-09-18T00:00:00"/>
    <x v="4"/>
    <s v="September"/>
    <x v="2"/>
    <n v="100"/>
    <n v="-0.1752566288817983"/>
    <x v="1"/>
    <n v="36921.364092552591"/>
    <n v="3.0003488838525447"/>
    <n v="1.6891424887896618"/>
    <n v="1.6891424887896618"/>
    <n v="6.5178090552000016"/>
    <m/>
    <n v="97"/>
    <n v="89.979491972525281"/>
    <n v="3692136.4092552592"/>
    <s v="Missing Data"/>
  </r>
  <r>
    <d v="2034-10-18T00:00:00"/>
    <x v="2"/>
    <s v="October"/>
    <x v="3"/>
    <n v="99"/>
    <n v="-0.18151109159546128"/>
    <x v="1"/>
    <n v="32819.545600261801"/>
    <n v="3.2476125393858912"/>
    <n v="1.2424221410853837"/>
    <n v="1.2424221410853837"/>
    <n v="4.0209720222777889"/>
    <n v="103161.06979840263"/>
    <n v="103"/>
    <n v="78.994515314169774"/>
    <n v="3249135.0144259185"/>
    <s v="OK"/>
  </r>
  <r>
    <d v="2034-11-17T00:00:00"/>
    <x v="1"/>
    <s v="November"/>
    <x v="3"/>
    <n v="100"/>
    <n v="-0.1752566288817983"/>
    <x v="1"/>
    <n v="32973.771708326429"/>
    <n v="3.9203100132522763"/>
    <n v="2.2659801408930185"/>
    <n v="2.2659801408930185"/>
    <n v="6.1627599252154281"/>
    <n v="98067.526599702207"/>
    <m/>
    <n v="40.226992055223143"/>
    <n v="3297377.1708326428"/>
    <s v="Missing Data"/>
  </r>
  <r>
    <d v="2034-12-17T00:00:00"/>
    <x v="4"/>
    <s v="December"/>
    <x v="3"/>
    <n v="1040"/>
    <n v="5.7039383219613962"/>
    <x v="3"/>
    <n v="34267.077793901539"/>
    <m/>
    <n v="2.9663583744463344"/>
    <n v="2.9663583744463344"/>
    <n v="6.2507571203752015"/>
    <n v="91680.661441052827"/>
    <n v="85"/>
    <n v="25.382769033721164"/>
    <n v="35637760.905657597"/>
    <s v="Missing Data"/>
  </r>
  <r>
    <d v="2035-01-16T00:00:00"/>
    <x v="2"/>
    <s v="January"/>
    <x v="0"/>
    <n v="82"/>
    <n v="-0.28783695772773182"/>
    <x v="0"/>
    <n v="33794.642948933826"/>
    <n v="3.380533950415153"/>
    <n v="2.5869878669999999"/>
    <n v="34.873345165891017"/>
    <n v="4.6638738178845101"/>
    <n v="81085.078786064376"/>
    <n v="98"/>
    <n v="41.439781350750238"/>
    <n v="2771160.7218125737"/>
    <s v="OK"/>
  </r>
  <r>
    <d v="2035-02-15T00:00:00"/>
    <x v="0"/>
    <s v="February"/>
    <x v="0"/>
    <n v="87"/>
    <n v="-0.25656464415941693"/>
    <x v="1"/>
    <n v="31405.95711984688"/>
    <n v="3.3165877940926562"/>
    <n v="2.4240489763574771"/>
    <n v="2.4240489763574771"/>
    <n v="6.1984318805016727"/>
    <n v="112164.92383369937"/>
    <n v="93"/>
    <n v="92.97665894252205"/>
    <n v="2732318.2694266788"/>
    <s v="OK"/>
  </r>
  <r>
    <d v="2035-03-17T00:00:00"/>
    <x v="4"/>
    <s v="March"/>
    <x v="0"/>
    <n v="87"/>
    <n v="-0.25656464415941693"/>
    <x v="1"/>
    <n v="30521.005519759379"/>
    <n v="3.304120925478089"/>
    <n v="2.1801524767451559"/>
    <n v="2.1801524767451559"/>
    <n v="5.8125307160002668"/>
    <n v="73657.361601068304"/>
    <n v="69"/>
    <n v="70.654293991661774"/>
    <n v="2655327.4802190661"/>
    <s v="OK"/>
  </r>
  <r>
    <d v="2035-04-16T00:00:00"/>
    <x v="3"/>
    <s v="April"/>
    <x v="1"/>
    <n v="90"/>
    <n v="-0.23780125601842803"/>
    <x v="2"/>
    <n v="29687.034360502388"/>
    <n v="3.0387949077507486"/>
    <n v="2.6517579922487404"/>
    <n v="2.6517579922487404"/>
    <n v="4.8533897725687138"/>
    <n v="115520.5582768695"/>
    <n v="89"/>
    <n v="77.684372871829751"/>
    <n v="2671833.0924452147"/>
    <s v="OK"/>
  </r>
  <r>
    <d v="2035-05-16T00:00:00"/>
    <x v="0"/>
    <s v="May"/>
    <x v="1"/>
    <n v="115"/>
    <n v="-8.1439688176853695E-2"/>
    <x v="2"/>
    <n v="26230.17705566662"/>
    <n v="43.076878447347212"/>
    <n v="1.6648570983699771"/>
    <n v="1.6648570983699771"/>
    <m/>
    <n v="79955.6596214655"/>
    <n v="88"/>
    <n v="40.572188088727671"/>
    <n v="3016470.3614016613"/>
    <s v="Missing Data"/>
  </r>
  <r>
    <d v="2035-06-15T00:00:00"/>
    <x v="0"/>
    <s v="June"/>
    <x v="1"/>
    <n v="105"/>
    <n v="-0.14398431531348344"/>
    <x v="0"/>
    <n v="28596.624615666129"/>
    <n v="3.3388397653943303"/>
    <n v="4.5895387216947734"/>
    <n v="4.5895387216947734"/>
    <m/>
    <n v="84951.295252939308"/>
    <n v="115"/>
    <n v="77.551052445985619"/>
    <n v="3002645.5846449435"/>
    <s v="Missing Data"/>
  </r>
  <r>
    <d v="2035-07-15T00:00:00"/>
    <x v="3"/>
    <s v="July"/>
    <x v="2"/>
    <n v="90"/>
    <n v="-0.23780125601842803"/>
    <x v="1"/>
    <n v="21535.21592902307"/>
    <n v="4.108579260412748"/>
    <n v="0.89233897288194131"/>
    <n v="0.89233897288194131"/>
    <n v="5.9195800567596324"/>
    <n v="70664.296187686457"/>
    <n v="90"/>
    <n v="222.49720502233899"/>
    <n v="1938169.4336120763"/>
    <s v="OK"/>
  </r>
  <r>
    <d v="2035-08-14T00:00:00"/>
    <x v="0"/>
    <s v="August"/>
    <x v="2"/>
    <n v="89"/>
    <n v="-0.244055718732091"/>
    <x v="1"/>
    <n v="29508.30186602625"/>
    <n v="4.2606580259612254"/>
    <n v="2.6847405788957244"/>
    <n v="2.6847405788957244"/>
    <n v="3.6222366743655341"/>
    <n v="89971.957062287271"/>
    <n v="105"/>
    <n v="50.025707661841103"/>
    <n v="2626238.8660763362"/>
    <s v="OK"/>
  </r>
  <r>
    <d v="2035-09-13T00:00:00"/>
    <x v="0"/>
    <s v="September"/>
    <x v="2"/>
    <n v="89"/>
    <n v="-0.244055718732091"/>
    <x v="1"/>
    <n v="25057.044464245413"/>
    <n v="3.9991554490739802"/>
    <n v="4.5236062192296398"/>
    <n v="4.5236062192296398"/>
    <n v="5.6144130393295697"/>
    <n v="119506.24916955958"/>
    <n v="98"/>
    <n v="70.1402678833865"/>
    <n v="2230076.9573178417"/>
    <s v="OK"/>
  </r>
  <r>
    <d v="2035-10-13T00:00:00"/>
    <x v="2"/>
    <s v="October"/>
    <x v="3"/>
    <n v="86"/>
    <n v="-0.26281910687307991"/>
    <x v="0"/>
    <m/>
    <n v="3.2841898436409758"/>
    <n v="2.5067998445599979"/>
    <n v="2.5067998445599979"/>
    <n v="5.1838621407013008"/>
    <n v="110312.56176887912"/>
    <n v="85"/>
    <n v="31.687725243305618"/>
    <n v="0"/>
    <s v="Missing Data"/>
  </r>
  <r>
    <d v="2035-11-12T00:00:00"/>
    <x v="2"/>
    <s v="November"/>
    <x v="3"/>
    <n v="91"/>
    <n v="-0.23154679330476505"/>
    <x v="2"/>
    <n v="30899.470755767394"/>
    <n v="3.7018650451683048"/>
    <n v="2.3099609649985053"/>
    <n v="2.3099609649985053"/>
    <n v="6.3149713305258341"/>
    <n v="119568.4422405607"/>
    <n v="101"/>
    <n v="85.84028595575478"/>
    <n v="2811851.8387748329"/>
    <s v="OK"/>
  </r>
  <r>
    <d v="2035-12-12T00:00:00"/>
    <x v="4"/>
    <s v="December"/>
    <x v="3"/>
    <n v="100"/>
    <n v="-0.1752566288817983"/>
    <x v="1"/>
    <n v="36960.011431722996"/>
    <n v="3.4879021968045421"/>
    <n v="2.1425545771895727"/>
    <n v="2.1425545771895727"/>
    <n v="5.1375454006121632"/>
    <n v="110442.85091867871"/>
    <n v="93"/>
    <n v="38.80250390495349"/>
    <n v="3696001.1431722995"/>
    <s v="OK"/>
  </r>
  <r>
    <d v="2036-01-11T00:00:00"/>
    <x v="4"/>
    <s v="January"/>
    <x v="0"/>
    <n v="104"/>
    <n v="-0.15023877802714641"/>
    <x v="2"/>
    <n v="34591.583030011563"/>
    <n v="3.048149069634936"/>
    <n v="2.3196083182375924"/>
    <n v="2.3196083182375924"/>
    <n v="5.10466265638349"/>
    <n v="77926.60342939262"/>
    <n v="99"/>
    <n v="72.182489025475704"/>
    <n v="3597524.6351212026"/>
    <s v="OK"/>
  </r>
  <r>
    <d v="2036-02-10T00:00:00"/>
    <x v="4"/>
    <s v="February"/>
    <x v="0"/>
    <n v="80"/>
    <n v="-0.30034588315505778"/>
    <x v="0"/>
    <n v="22147.496981884113"/>
    <n v="3.6621796408608014"/>
    <n v="3.8728484746765304"/>
    <n v="3.8728484746765304"/>
    <n v="6.3782448451459546"/>
    <n v="93384.215513448857"/>
    <n v="87"/>
    <n v="52.415771406026373"/>
    <n v="1771799.7585507291"/>
    <s v="OK"/>
  </r>
  <r>
    <d v="2036-03-11T00:00:00"/>
    <x v="2"/>
    <s v="March"/>
    <x v="0"/>
    <n v="110"/>
    <n v="-0.11271200174516857"/>
    <x v="1"/>
    <n v="25051.859317148312"/>
    <m/>
    <n v="0.28813808867049318"/>
    <n v="0.28813808867049318"/>
    <n v="5.9020696349009407"/>
    <n v="84396.017417650743"/>
    <n v="87"/>
    <n v="67.683487638211773"/>
    <n v="2755704.5248863143"/>
    <s v="Missing Data"/>
  </r>
  <r>
    <d v="2036-04-10T00:00:00"/>
    <x v="4"/>
    <s v="April"/>
    <x v="1"/>
    <n v="90"/>
    <n v="-0.23780125601842803"/>
    <x v="1"/>
    <n v="34703.855939941081"/>
    <n v="4.0938396942307822"/>
    <n v="4.0334337012963255"/>
    <n v="4.0334337012963255"/>
    <n v="5.8793871486193341"/>
    <n v="126611.4980807808"/>
    <n v="89"/>
    <m/>
    <n v="3123347.0345946974"/>
    <s v="Missing Data"/>
  </r>
  <r>
    <d v="2036-05-10T00:00:00"/>
    <x v="0"/>
    <s v="May"/>
    <x v="1"/>
    <n v="96"/>
    <n v="-0.20027447973645018"/>
    <x v="1"/>
    <n v="25087.563032308452"/>
    <n v="3.2676913513508037"/>
    <n v="1.0760428475498549"/>
    <n v="1.0760428475498549"/>
    <n v="6.0631211077702316"/>
    <n v="76064.227071473768"/>
    <n v="86"/>
    <n v="21.353023993728584"/>
    <n v="2408406.0511016115"/>
    <s v="OK"/>
  </r>
  <r>
    <d v="2036-06-09T00:00:00"/>
    <x v="2"/>
    <s v="June"/>
    <x v="1"/>
    <n v="103"/>
    <n v="-0.15649324074080936"/>
    <x v="0"/>
    <n v="28876.834250014876"/>
    <n v="3.6005798279364196"/>
    <n v="2.233347670765585"/>
    <n v="2.233347670765585"/>
    <n v="3.657313452151473"/>
    <n v="117873.95378778221"/>
    <n v="80"/>
    <n v="92.765154190424099"/>
    <n v="2974313.9277515323"/>
    <s v="OK"/>
  </r>
  <r>
    <d v="2036-07-09T00:00:00"/>
    <x v="4"/>
    <s v="July"/>
    <x v="2"/>
    <n v="99"/>
    <n v="-0.18151109159546128"/>
    <x v="0"/>
    <n v="32750.260495122759"/>
    <n v="3.6416439357730712"/>
    <n v="2.0707555797013382"/>
    <n v="2.0707555797013382"/>
    <n v="6.408146415984378"/>
    <n v="117859.07740217539"/>
    <n v="91"/>
    <n v="41.570400701374624"/>
    <n v="3242275.789017153"/>
    <s v="OK"/>
  </r>
  <r>
    <d v="2036-08-08T00:00:00"/>
    <x v="0"/>
    <s v="August"/>
    <x v="2"/>
    <m/>
    <n v="-0.80070290024809565"/>
    <x v="0"/>
    <n v="25158.277725681823"/>
    <n v="3.3705475131479612"/>
    <n v="3.0885532697707196"/>
    <n v="3.0885532697707196"/>
    <n v="6.2349625528163228"/>
    <n v="136592.40403432175"/>
    <n v="84"/>
    <n v="85.574160222436731"/>
    <n v="0"/>
    <s v="Missing Data"/>
  </r>
  <r>
    <d v="2036-09-07T00:00:00"/>
    <x v="4"/>
    <s v="September"/>
    <x v="2"/>
    <n v="106"/>
    <n v="-0.13772985259982046"/>
    <x v="0"/>
    <n v="30526.877530729798"/>
    <n v="3.7933469007376375"/>
    <n v="0.90187564811625243"/>
    <n v="0.90187564811625243"/>
    <n v="4.2799802457082032"/>
    <n v="91806.268147410054"/>
    <n v="89"/>
    <n v="99.948024037776008"/>
    <n v="3235849.0182573586"/>
    <s v="OK"/>
  </r>
  <r>
    <d v="2036-10-07T00:00:00"/>
    <x v="1"/>
    <s v="October"/>
    <x v="3"/>
    <n v="100"/>
    <n v="-0.1752566288817983"/>
    <x v="2"/>
    <m/>
    <n v="3.2625481716887377"/>
    <n v="2.9621726660819427"/>
    <n v="2.9621726660819427"/>
    <n v="5.2071034315909586"/>
    <n v="114246.44319160325"/>
    <n v="113"/>
    <n v="36.914500639912895"/>
    <n v="0"/>
    <s v="Missing Data"/>
  </r>
  <r>
    <d v="2036-11-06T00:00:00"/>
    <x v="4"/>
    <s v="November"/>
    <x v="3"/>
    <n v="85"/>
    <n v="-0.26907356958674289"/>
    <x v="3"/>
    <n v="26993.161780243932"/>
    <n v="39.356486487286219"/>
    <n v="4.524309623286852"/>
    <n v="4.524309623286852"/>
    <n v="5.4528312548468429"/>
    <n v="145633.03673077686"/>
    <n v="89"/>
    <n v="41.213659294668446"/>
    <n v="2294418.7513207342"/>
    <s v="OK"/>
  </r>
  <r>
    <d v="2036-12-06T00:00:00"/>
    <x v="1"/>
    <s v="December"/>
    <x v="3"/>
    <n v="101"/>
    <n v="-0.16900216616813532"/>
    <x v="0"/>
    <n v="31598.909670712685"/>
    <n v="2.8270101598766257"/>
    <n v="1.1368259954071895"/>
    <n v="1.1368259954071895"/>
    <n v="5.3386038587179208"/>
    <n v="87647.166461326065"/>
    <n v="91"/>
    <n v="73.028783010773253"/>
    <n v="3191489.8767419811"/>
    <s v="OK"/>
  </r>
  <r>
    <d v="2037-01-05T00:00:00"/>
    <x v="4"/>
    <s v="January"/>
    <x v="0"/>
    <n v="93"/>
    <n v="-0.21903786787743912"/>
    <x v="2"/>
    <n v="22035.031332341656"/>
    <n v="3.5631897897732059"/>
    <n v="2.6897061676103955"/>
    <n v="2.6897061676103955"/>
    <n v="5.9006319598822419"/>
    <n v="69299.195049352798"/>
    <n v="83"/>
    <n v="97.2358907680497"/>
    <n v="2049257.913907774"/>
    <s v="OK"/>
  </r>
  <r>
    <d v="2037-02-04T00:00:00"/>
    <x v="3"/>
    <s v="February"/>
    <x v="0"/>
    <n v="91"/>
    <n v="-0.23154679330476505"/>
    <x v="0"/>
    <n v="32202.373689801996"/>
    <n v="4.4694644995291419"/>
    <n v="1.8380178222033909"/>
    <n v="1.8380178222033909"/>
    <n v="7.21764013819742"/>
    <n v="62399.79932184473"/>
    <n v="77"/>
    <n v="93.265147855259514"/>
    <n v="2930416.0057719816"/>
    <s v="OK"/>
  </r>
  <r>
    <d v="2037-03-06T00:00:00"/>
    <x v="4"/>
    <s v="March"/>
    <x v="0"/>
    <n v="103"/>
    <n v="-0.15649324074080936"/>
    <x v="1"/>
    <n v="29901.811005366595"/>
    <n v="2.9998343376972127"/>
    <n v="2.9258872061930359"/>
    <n v="2.9258872061930359"/>
    <n v="6.7981200732073948"/>
    <n v="114254.24057722662"/>
    <n v="95"/>
    <n v="60.23004160524679"/>
    <n v="3079886.5335527593"/>
    <s v="OK"/>
  </r>
  <r>
    <d v="2037-04-05T00:00:00"/>
    <x v="2"/>
    <s v="April"/>
    <x v="1"/>
    <n v="109"/>
    <n v="-0.11896646445883154"/>
    <x v="1"/>
    <n v="327624.49772085738"/>
    <n v="3.1611275147375744"/>
    <n v="2.519147777415752"/>
    <n v="2.519147777415752"/>
    <n v="3.9253369678823127"/>
    <n v="62336.995838828327"/>
    <n v="91"/>
    <n v="83.608822602137977"/>
    <n v="35711070.251573458"/>
    <s v="OK"/>
  </r>
  <r>
    <d v="2037-05-05T00:00:00"/>
    <x v="2"/>
    <s v="May"/>
    <x v="1"/>
    <n v="83"/>
    <n v="-0.28158249501406885"/>
    <x v="2"/>
    <n v="31119.570670323308"/>
    <n v="3.7569539248294577"/>
    <n v="1.8585130909556904"/>
    <n v="1.8585130909556904"/>
    <n v="6.2464839883672587"/>
    <n v="92553.618941241541"/>
    <n v="97"/>
    <m/>
    <n v="2582924.3656368344"/>
    <s v="Missing Data"/>
  </r>
  <r>
    <d v="2037-06-04T00:00:00"/>
    <x v="1"/>
    <s v="June"/>
    <x v="1"/>
    <n v="102"/>
    <n v="-0.16274770345447234"/>
    <x v="2"/>
    <n v="36820.702149869219"/>
    <n v="3.5897908909697991"/>
    <n v="2.9878722848710741"/>
    <n v="2.9878722848710741"/>
    <n v="70.947199834424907"/>
    <n v="108746.26374077922"/>
    <n v="97"/>
    <n v="98.195054736320984"/>
    <n v="3755711.6192866606"/>
    <s v="OK"/>
  </r>
  <r>
    <d v="2037-07-04T00:00:00"/>
    <x v="2"/>
    <s v="July"/>
    <x v="2"/>
    <n v="98"/>
    <n v="-0.18776555430912426"/>
    <x v="3"/>
    <n v="30626.122513239538"/>
    <n v="3.6753150496367795"/>
    <n v="4.3043481097867433"/>
    <n v="4.3043481097867433"/>
    <n v="5.9641702248270434"/>
    <n v="103703.51073659828"/>
    <n v="85"/>
    <n v="97.148258722878921"/>
    <n v="3001360.0062974747"/>
    <s v="OK"/>
  </r>
  <r>
    <d v="2037-08-03T00:00:00"/>
    <x v="0"/>
    <s v="August"/>
    <x v="2"/>
    <n v="93"/>
    <n v="-0.21903786787743912"/>
    <x v="1"/>
    <n v="27852.972294373736"/>
    <n v="3.7445935650738318"/>
    <n v="2.3090962082727011"/>
    <n v="2.3090962082727011"/>
    <m/>
    <n v="108508.89728368344"/>
    <n v="77"/>
    <n v="33.098316630333677"/>
    <n v="2590326.4233767577"/>
    <s v="Missing Data"/>
  </r>
  <r>
    <d v="2037-09-02T00:00:00"/>
    <x v="3"/>
    <s v="September"/>
    <x v="2"/>
    <n v="104"/>
    <n v="-0.15023877802714641"/>
    <x v="0"/>
    <n v="30611.487515161418"/>
    <n v="38.17360734280885"/>
    <n v="3.2197579421481821"/>
    <n v="3.2197579421481821"/>
    <n v="7.9147245348409179"/>
    <m/>
    <n v="100"/>
    <n v="43.953849984248528"/>
    <n v="3183594.7015767875"/>
    <s v="Missing Data"/>
  </r>
  <r>
    <d v="2037-10-02T00:00:00"/>
    <x v="3"/>
    <s v="October"/>
    <x v="3"/>
    <n v="96"/>
    <n v="-0.20027447973645018"/>
    <x v="1"/>
    <n v="32716.490145181939"/>
    <n v="4.0548499209781115"/>
    <n v="2.1801524767451559"/>
    <m/>
    <n v="6.7284514553283774"/>
    <n v="125577.31626626787"/>
    <n v="87"/>
    <n v="28.012399800541353"/>
    <n v="3140783.0539374659"/>
    <s v="Missing Data"/>
  </r>
  <r>
    <d v="2037-11-01T00:00:00"/>
    <x v="0"/>
    <s v="November"/>
    <x v="3"/>
    <n v="103"/>
    <n v="-0.15649324074080936"/>
    <x v="3"/>
    <n v="30244.300351628521"/>
    <n v="3.7049093284642565"/>
    <n v="1.5435636231819911"/>
    <n v="1.5435636231819911"/>
    <n v="5.7991703147700751"/>
    <n v="80953.672385224054"/>
    <n v="102"/>
    <n v="41.737407911854376"/>
    <n v="3115162.9362177378"/>
    <s v="OK"/>
  </r>
  <r>
    <d v="2037-12-01T00:00:00"/>
    <x v="1"/>
    <s v="December"/>
    <x v="3"/>
    <n v="85"/>
    <n v="-0.26907356958674289"/>
    <x v="3"/>
    <n v="30202.958456019413"/>
    <n v="3.3793711726907287"/>
    <n v="2.9724062778803773"/>
    <n v="2.9724062778803773"/>
    <m/>
    <n v="86460.097230829371"/>
    <n v="102"/>
    <n v="85.276463153216525"/>
    <n v="2567251.4687616499"/>
    <s v="Missing Data"/>
  </r>
  <r>
    <d v="2037-12-31T00:00:00"/>
    <x v="0"/>
    <s v="December"/>
    <x v="3"/>
    <n v="92"/>
    <n v="-0.22529233059110207"/>
    <x v="1"/>
    <n v="26490.041560966223"/>
    <m/>
    <n v="3.9841160285359649"/>
    <n v="3.9841160285359649"/>
    <n v="5.6738653997162691"/>
    <n v="84546.811094583521"/>
    <n v="98"/>
    <n v="50.265248573220759"/>
    <n v="2437083.8236088925"/>
    <s v="Missing Data"/>
  </r>
  <r>
    <d v="2038-01-30T00:00:00"/>
    <x v="0"/>
    <s v="January"/>
    <x v="0"/>
    <n v="90"/>
    <n v="-0.23780125601842803"/>
    <x v="1"/>
    <n v="26685.495412245258"/>
    <n v="4.449940967447608"/>
    <n v="2.8556133487856599"/>
    <n v="2.8556133487856599"/>
    <n v="5.5286836519419467"/>
    <n v="116603.8362372522"/>
    <n v="80"/>
    <n v="27.07175737174067"/>
    <n v="2401694.5871020732"/>
    <s v="OK"/>
  </r>
  <r>
    <d v="2038-03-01T00:00:00"/>
    <x v="3"/>
    <s v="March"/>
    <x v="0"/>
    <n v="83"/>
    <n v="-0.28158249501406885"/>
    <x v="3"/>
    <n v="22986.973641001532"/>
    <n v="3.4336831268087131"/>
    <n v="2.1869419694768455"/>
    <n v="2.1869419694768455"/>
    <n v="5.078302917143521"/>
    <n v="118007.97176790127"/>
    <n v="79"/>
    <n v="47.378041982312368"/>
    <n v="1907918.8122031272"/>
    <s v="OK"/>
  </r>
  <r>
    <d v="2038-03-31T00:00:00"/>
    <x v="4"/>
    <s v="March"/>
    <x v="0"/>
    <n v="86"/>
    <n v="-0.26281910687307991"/>
    <x v="2"/>
    <n v="38747.883715934695"/>
    <n v="3.0127353476646794"/>
    <n v="2.4992914054233539"/>
    <n v="2.4992914054233539"/>
    <n v="7.3760960305985295"/>
    <n v="109024.50638637017"/>
    <n v="91"/>
    <n v="98.510666739302408"/>
    <n v="3332317.9995703837"/>
    <s v="OK"/>
  </r>
  <r>
    <d v="2038-04-30T00:00:00"/>
    <x v="3"/>
    <s v="April"/>
    <x v="1"/>
    <n v="110"/>
    <n v="-0.11271200174516857"/>
    <x v="0"/>
    <n v="23780.683823043575"/>
    <n v="4.0535403346434862"/>
    <n v="1.2495922660302825"/>
    <n v="1.2495922660302825"/>
    <n v="4.5178856008695982"/>
    <n v="123669.87333779855"/>
    <n v="81"/>
    <n v="70.374687620736239"/>
    <n v="2615875.2205347931"/>
    <s v="OK"/>
  </r>
  <r>
    <d v="2038-05-30T00:00:00"/>
    <x v="3"/>
    <s v="May"/>
    <x v="1"/>
    <n v="89"/>
    <n v="-0.244055718732091"/>
    <x v="0"/>
    <m/>
    <n v="3.4398094180232008"/>
    <n v="3.1045153263553669"/>
    <n v="3.1045153263553669"/>
    <n v="7.3388412696137388"/>
    <n v="76439.182652472387"/>
    <n v="66"/>
    <n v="53.292875712492616"/>
    <n v="0"/>
    <s v="Missing Data"/>
  </r>
  <r>
    <d v="2038-06-29T00:00:00"/>
    <x v="2"/>
    <s v="June"/>
    <x v="1"/>
    <n v="118"/>
    <n v="-6.2676300035864774E-2"/>
    <x v="2"/>
    <n v="264079.63672154013"/>
    <n v="2.4136652269929817"/>
    <n v="3.3823330623234091"/>
    <n v="3.3823330623234091"/>
    <n v="6.0998369484884458"/>
    <n v="133344.48223102273"/>
    <n v="92"/>
    <n v="33.323081079781602"/>
    <n v="31161397.133141734"/>
    <s v="OK"/>
  </r>
  <r>
    <d v="2038-07-29T00:00:00"/>
    <x v="0"/>
    <s v="July"/>
    <x v="2"/>
    <n v="102"/>
    <n v="-0.16274770345447234"/>
    <x v="1"/>
    <n v="34474.621884722204"/>
    <n v="3.9237108385752109"/>
    <n v="2.0479096671669197"/>
    <n v="2.0479096671669197"/>
    <n v="3.8208325902376705"/>
    <n v="130464.77243424517"/>
    <n v="95"/>
    <n v="98.894143782695579"/>
    <n v="3516411.4322416647"/>
    <s v="OK"/>
  </r>
  <r>
    <d v="2038-08-28T00:00:00"/>
    <x v="3"/>
    <s v="August"/>
    <x v="2"/>
    <n v="108"/>
    <n v="-0.1252209271724945"/>
    <x v="3"/>
    <n v="28525.25160853986"/>
    <n v="3.2323359070230389"/>
    <n v="2.0299578522404986"/>
    <n v="2.0299578522404986"/>
    <n v="59.411791515897065"/>
    <n v="114712.43994491494"/>
    <m/>
    <n v="85.667920741050295"/>
    <n v="3080727.1737223049"/>
    <s v="Missing Data"/>
  </r>
  <r>
    <d v="2038-09-27T00:00:00"/>
    <x v="0"/>
    <s v="September"/>
    <x v="2"/>
    <n v="95"/>
    <n v="-0.20652894245011316"/>
    <x v="1"/>
    <n v="36238.710363368671"/>
    <n v="3.4547333588479194"/>
    <n v="2.7658782296520483"/>
    <n v="2.7658782296520483"/>
    <n v="2.9799681908180511"/>
    <n v="135635.97817542119"/>
    <n v="108"/>
    <m/>
    <n v="3442677.4845200237"/>
    <s v="Missing Data"/>
  </r>
  <r>
    <d v="2038-10-27T00:00:00"/>
    <x v="2"/>
    <s v="October"/>
    <x v="3"/>
    <n v="100"/>
    <n v="-0.1752566288817983"/>
    <x v="1"/>
    <n v="26632.546878780657"/>
    <n v="3.6659901652845073"/>
    <n v="2.0632802639594043"/>
    <n v="2.0632802639594043"/>
    <n v="6.2506096201972428"/>
    <n v="66867.535846444516"/>
    <n v="83"/>
    <n v="25.605495657695158"/>
    <n v="2663254.6878780657"/>
    <s v="OK"/>
  </r>
  <r>
    <d v="2038-11-26T00:00:00"/>
    <x v="0"/>
    <s v="November"/>
    <x v="3"/>
    <n v="86"/>
    <n v="-0.26281910687307991"/>
    <x v="3"/>
    <n v="31394.970811119008"/>
    <n v="3.5952498398895334"/>
    <n v="2.4338673853741777"/>
    <n v="2.4338673853741777"/>
    <n v="6.5622777795867897"/>
    <n v="89511.037274746966"/>
    <n v="96"/>
    <n v="24.530044590204643"/>
    <n v="2699967.4897562349"/>
    <s v="OK"/>
  </r>
  <r>
    <d v="2038-12-26T00:00:00"/>
    <x v="3"/>
    <s v="December"/>
    <x v="3"/>
    <n v="94"/>
    <n v="-0.21278340516377614"/>
    <x v="2"/>
    <n v="25823.264733701213"/>
    <n v="3.8547259085695198"/>
    <n v="2.5869878669999999"/>
    <n v="4.5997217891665159"/>
    <n v="4.7891728532175355"/>
    <n v="85293.930786360957"/>
    <n v="84"/>
    <n v="29.630251960442706"/>
    <n v="2427386.8849679139"/>
    <s v="OK"/>
  </r>
  <r>
    <d v="2039-01-25T00:00:00"/>
    <x v="0"/>
    <s v="January"/>
    <x v="0"/>
    <n v="88"/>
    <n v="-0.25031018144575395"/>
    <x v="0"/>
    <n v="40725.745638866938"/>
    <n v="3.2822568147150784"/>
    <n v="2.2529742992540034"/>
    <n v="2.2529742992540034"/>
    <n v="5.6482572351466986"/>
    <n v="114429.58647514686"/>
    <n v="92"/>
    <n v="66.46148668915373"/>
    <n v="3583865.6162202908"/>
    <s v="OK"/>
  </r>
  <r>
    <d v="2039-02-24T00:00:00"/>
    <x v="2"/>
    <s v="February"/>
    <x v="0"/>
    <n v="1010"/>
    <n v="5.5163044405515071"/>
    <x v="1"/>
    <n v="24062.007904852435"/>
    <n v="3.7565528990880415"/>
    <n v="2.5869878669999999"/>
    <n v="21.416598479787776"/>
    <n v="7.8449889205003434"/>
    <n v="78997.185207957082"/>
    <n v="790"/>
    <n v="94.301073696439389"/>
    <n v="24302627.983900961"/>
    <s v="OK"/>
  </r>
  <r>
    <d v="2039-03-26T00:00:00"/>
    <x v="4"/>
    <s v="March"/>
    <x v="0"/>
    <n v="95"/>
    <n v="-0.20652894245011316"/>
    <x v="1"/>
    <n v="31549.103551135137"/>
    <n v="3.3702266612080414"/>
    <n v="1.8524581943648408"/>
    <n v="1.8524581943648408"/>
    <n v="4.8931039548856763"/>
    <n v="115149.90298674972"/>
    <n v="98"/>
    <n v="59.739474240478756"/>
    <n v="2997164.8373578382"/>
    <s v="OK"/>
  </r>
  <r>
    <d v="2039-04-25T00:00:00"/>
    <x v="0"/>
    <s v="April"/>
    <x v="1"/>
    <n v="95"/>
    <n v="-0.20652894245011316"/>
    <x v="1"/>
    <n v="33168.884404660494"/>
    <n v="3.8694052404437516"/>
    <n v="3.2441919714999368"/>
    <n v="3.2441919714999368"/>
    <n v="4.2293108955320795"/>
    <n v="127410.72287993427"/>
    <n v="800"/>
    <n v="87.435638596495778"/>
    <n v="3151044.0184427467"/>
    <s v="OK"/>
  </r>
  <r>
    <d v="2039-05-25T00:00:00"/>
    <x v="3"/>
    <s v="May"/>
    <x v="1"/>
    <n v="92"/>
    <n v="-0.22529233059110207"/>
    <x v="3"/>
    <n v="32068.995487257493"/>
    <n v="3.8076837420065268"/>
    <n v="2.3187758267818972"/>
    <n v="2.3187758267818972"/>
    <n v="7.2779960829551182"/>
    <n v="113904.05800167998"/>
    <n v="93"/>
    <n v="55.670929588784624"/>
    <n v="2950347.5848276895"/>
    <s v="OK"/>
  </r>
  <r>
    <d v="2039-06-24T00:00:00"/>
    <x v="2"/>
    <s v="June"/>
    <x v="1"/>
    <n v="108"/>
    <n v="-0.1252209271724945"/>
    <x v="0"/>
    <n v="29073.561705611457"/>
    <n v="3.0322806489777023"/>
    <n v="1.850626961678574"/>
    <n v="1.850626961678574"/>
    <n v="7.855104628636953"/>
    <n v="105675.02047323002"/>
    <n v="90"/>
    <n v="76.686683661426017"/>
    <n v="3139944.6642060373"/>
    <s v="OK"/>
  </r>
  <r>
    <d v="2039-07-24T00:00:00"/>
    <x v="3"/>
    <s v="July"/>
    <x v="2"/>
    <n v="99"/>
    <n v="-0.18151109159546128"/>
    <x v="1"/>
    <n v="29350.896501332871"/>
    <n v="4.0429910580875159"/>
    <n v="2.6897061676103955"/>
    <m/>
    <n v="5.5044348062174171"/>
    <n v="80242.533181985025"/>
    <n v="85"/>
    <n v="78.549818982920073"/>
    <n v="2905738.7536319541"/>
    <s v="Missing Data"/>
  </r>
  <r>
    <d v="2039-08-23T00:00:00"/>
    <x v="3"/>
    <s v="August"/>
    <x v="2"/>
    <n v="95"/>
    <n v="-0.20652894245011316"/>
    <x v="0"/>
    <n v="30219.057359895549"/>
    <n v="3.2320182774429762"/>
    <n v="3.919603004513637"/>
    <n v="3.919603004513637"/>
    <n v="6.7137556424900273"/>
    <n v="83062.980677492713"/>
    <n v="81"/>
    <n v="33.91709647226709"/>
    <n v="2870810.4491900774"/>
    <s v="OK"/>
  </r>
  <r>
    <d v="2039-09-22T00:00:00"/>
    <x v="0"/>
    <s v="September"/>
    <x v="2"/>
    <n v="86"/>
    <n v="-0.26281910687307991"/>
    <x v="0"/>
    <n v="29264.989991857557"/>
    <n v="3.9040288991405725"/>
    <n v="1.8995764342612949"/>
    <n v="1.8995764342612949"/>
    <n v="7.109771098637057"/>
    <n v="124992.37810593334"/>
    <n v="80"/>
    <n v="48.897284718064938"/>
    <n v="2516789.1392997499"/>
    <s v="OK"/>
  </r>
  <r>
    <d v="2039-10-22T00:00:00"/>
    <x v="3"/>
    <s v="October"/>
    <x v="3"/>
    <n v="120"/>
    <n v="-5.0167374608538831E-2"/>
    <x v="3"/>
    <n v="34819.395583974547"/>
    <n v="3.6836436567006703"/>
    <n v="0.63346004863938377"/>
    <n v="0.63346004863938377"/>
    <n v="4.6090189209539396"/>
    <n v="115586.98007810664"/>
    <n v="88"/>
    <n v="70.984172523041906"/>
    <n v="4178327.4700769456"/>
    <s v="OK"/>
  </r>
  <r>
    <d v="2039-11-21T00:00:00"/>
    <x v="0"/>
    <s v="November"/>
    <x v="3"/>
    <n v="81"/>
    <n v="-0.2940914204413948"/>
    <x v="1"/>
    <n v="41052.61500795676"/>
    <n v="4.419091838397561"/>
    <n v="3.5075136898369221"/>
    <n v="3.5075136898369221"/>
    <n v="49.176329975585574"/>
    <n v="99219.609612449116"/>
    <n v="88"/>
    <m/>
    <n v="3325261.8156444975"/>
    <s v="Missing Data"/>
  </r>
  <r>
    <d v="2039-12-21T00:00:00"/>
    <x v="4"/>
    <s v="December"/>
    <x v="3"/>
    <n v="102"/>
    <n v="-0.16274770345447234"/>
    <x v="2"/>
    <n v="272125.4107496083"/>
    <n v="3.3882670088140738"/>
    <n v="1.8153701742399959"/>
    <n v="1.8153701742399959"/>
    <n v="6.9770494157856824"/>
    <n v="91641.809084682187"/>
    <n v="92"/>
    <n v="48.923215021036526"/>
    <n v="27756791.896460045"/>
    <s v="OK"/>
  </r>
  <r>
    <d v="2040-01-20T00:00:00"/>
    <x v="3"/>
    <s v="January"/>
    <x v="0"/>
    <n v="87"/>
    <n v="-0.25656464415941693"/>
    <x v="3"/>
    <n v="23150.985102104612"/>
    <n v="3.3253416019409014"/>
    <n v="3.2906255991627686"/>
    <n v="3.2906255991627686"/>
    <n v="7.5220171344502109"/>
    <n v="59483.842537772463"/>
    <n v="90"/>
    <n v="62.783957302495395"/>
    <n v="2014135.7038831012"/>
    <s v="OK"/>
  </r>
  <r>
    <d v="2040-02-19T00:00:00"/>
    <x v="3"/>
    <s v="February"/>
    <x v="0"/>
    <n v="90"/>
    <n v="-0.23780125601842803"/>
    <x v="0"/>
    <n v="29558.589758243725"/>
    <n v="3.4902901970561335"/>
    <n v="0.52989618228816449"/>
    <n v="0.52989618228816449"/>
    <n v="6.1754570322092253"/>
    <n v="78582.951626311231"/>
    <n v="97"/>
    <n v="99.697959443571094"/>
    <n v="2660273.078241935"/>
    <s v="OK"/>
  </r>
  <r>
    <d v="2040-03-20T00:00:00"/>
    <x v="3"/>
    <s v="March"/>
    <x v="0"/>
    <n v="89"/>
    <n v="-0.244055718732091"/>
    <x v="3"/>
    <n v="42898.546688271592"/>
    <n v="3.3484101085828621"/>
    <n v="3.3925973382993093"/>
    <n v="3.3925973382993093"/>
    <n v="4.4442227757975346"/>
    <n v="138228.38174279447"/>
    <n v="89"/>
    <m/>
    <n v="3817970.6552561717"/>
    <s v="Missing Data"/>
  </r>
  <r>
    <d v="2040-04-19T00:00:00"/>
    <x v="1"/>
    <s v="April"/>
    <x v="1"/>
    <n v="105"/>
    <n v="-0.14398431531348344"/>
    <x v="1"/>
    <n v="25981.627160151347"/>
    <n v="3.8999709509710252"/>
    <n v="1.2888280707192188"/>
    <n v="1.2888280707192188"/>
    <m/>
    <n v="74390.888579950668"/>
    <n v="106"/>
    <n v="85.284540569145889"/>
    <n v="2728070.8518158915"/>
    <s v="Missing Data"/>
  </r>
  <r>
    <d v="2040-05-19T00:00:00"/>
    <x v="1"/>
    <s v="May"/>
    <x v="1"/>
    <n v="96"/>
    <n v="-0.20027447973645018"/>
    <x v="2"/>
    <n v="38195.584027220335"/>
    <n v="2.6918446957817062"/>
    <n v="3.2307641190665244"/>
    <n v="3.2307641190665244"/>
    <n v="4.8628349226256429"/>
    <n v="103789.59642442162"/>
    <n v="91"/>
    <n v="54.565382805329421"/>
    <n v="3666776.0666131522"/>
    <s v="OK"/>
  </r>
  <r>
    <d v="2040-06-18T00:00:00"/>
    <x v="2"/>
    <s v="June"/>
    <x v="1"/>
    <n v="97"/>
    <n v="-0.19402001702278721"/>
    <x v="3"/>
    <n v="38388.504070382201"/>
    <n v="2.9731587904268229"/>
    <n v="2.514273067836434"/>
    <n v="2.514273067836434"/>
    <n v="5.0978346625942574"/>
    <n v="120148.87946390397"/>
    <m/>
    <n v="83.711257809576708"/>
    <n v="3723684.8948270734"/>
    <s v="Missing Data"/>
  </r>
  <r>
    <d v="2040-07-18T00:00:00"/>
    <x v="1"/>
    <s v="July"/>
    <x v="2"/>
    <n v="98"/>
    <n v="-0.18776555430912426"/>
    <x v="3"/>
    <n v="27232.058791460026"/>
    <n v="2.9660985392104036"/>
    <n v="1.5460605806033552"/>
    <n v="1.5460605806033552"/>
    <n v="5.9108054013875453"/>
    <n v="74901.546639954147"/>
    <n v="93"/>
    <n v="67.633184129608679"/>
    <n v="2668741.7615630827"/>
    <s v="OK"/>
  </r>
  <r>
    <d v="2040-08-17T00:00:00"/>
    <x v="2"/>
    <s v="August"/>
    <x v="2"/>
    <n v="990"/>
    <n v="5.3912151862782478"/>
    <x v="3"/>
    <n v="32844.915395926379"/>
    <n v="3.9751537959867878"/>
    <n v="2.0929636870732193"/>
    <n v="2.0929636870732193"/>
    <n v="7.3649925048577289"/>
    <n v="103694.20949562166"/>
    <n v="89"/>
    <n v="90.927635320191868"/>
    <n v="32516466.241967116"/>
    <s v="OK"/>
  </r>
  <r>
    <d v="2040-09-16T00:00:00"/>
    <x v="1"/>
    <s v="September"/>
    <x v="2"/>
    <n v="108"/>
    <n v="-0.1252209271724945"/>
    <x v="0"/>
    <n v="38141.983115642688"/>
    <m/>
    <n v="3.1863184569567009"/>
    <n v="3.1863184569567009"/>
    <n v="6.5247711718626684"/>
    <n v="118758.3107502131"/>
    <n v="73"/>
    <n v="52.875404188008794"/>
    <n v="4119334.1764894105"/>
    <s v="Missing Data"/>
  </r>
  <r>
    <d v="2040-10-16T00:00:00"/>
    <x v="4"/>
    <s v="October"/>
    <x v="3"/>
    <n v="92"/>
    <n v="-0.22529233059110207"/>
    <x v="0"/>
    <n v="28104.361295062565"/>
    <n v="3.4477753907312643"/>
    <n v="2.6058944531152344"/>
    <n v="2.6058944531152344"/>
    <n v="5.9978386004342923"/>
    <n v="100249.986438145"/>
    <n v="101"/>
    <n v="68.344353585718309"/>
    <n v="2585601.2391457558"/>
    <s v="OK"/>
  </r>
  <r>
    <d v="2040-11-15T00:00:00"/>
    <x v="2"/>
    <s v="November"/>
    <x v="3"/>
    <n v="97"/>
    <n v="-0.19402001702278721"/>
    <x v="2"/>
    <n v="28982.098199488191"/>
    <n v="3.4155891384049948"/>
    <n v="3.084412980472484"/>
    <n v="3.084412980472484"/>
    <n v="6.0559462361417271"/>
    <n v="157368.06111333537"/>
    <n v="81"/>
    <n v="70.401494449506188"/>
    <n v="2811263.5253503546"/>
    <s v="OK"/>
  </r>
  <r>
    <d v="2040-12-15T00:00:00"/>
    <x v="1"/>
    <s v="December"/>
    <x v="3"/>
    <n v="116"/>
    <n v="-7.518522546319073E-2"/>
    <x v="0"/>
    <n v="27091.595430256781"/>
    <n v="3.5350260815565906"/>
    <n v="4.4764405845154851"/>
    <n v="4.4764405845154851"/>
    <n v="5.552217602372159"/>
    <n v="66628.014822436089"/>
    <n v="98"/>
    <n v="53.390635344037861"/>
    <n v="3142625.0699097863"/>
    <s v="OK"/>
  </r>
  <r>
    <d v="2041-01-14T00:00:00"/>
    <x v="4"/>
    <s v="January"/>
    <x v="0"/>
    <m/>
    <n v="-0.80070290024809565"/>
    <x v="1"/>
    <n v="24926.216346535664"/>
    <n v="4.0809391513040953"/>
    <n v="0.93575838828894864"/>
    <n v="0.93575838828894864"/>
    <n v="6.1697674174222072"/>
    <n v="121174.57059767758"/>
    <n v="92"/>
    <n v="31.54496349499852"/>
    <n v="0"/>
    <s v="Missing Data"/>
  </r>
  <r>
    <d v="2041-02-13T00:00:00"/>
    <x v="1"/>
    <s v="February"/>
    <x v="0"/>
    <n v="87"/>
    <n v="-0.25656464415941693"/>
    <x v="2"/>
    <n v="26753.612274669966"/>
    <n v="3.0363234329047128"/>
    <n v="4.1172125749686241"/>
    <n v="4.1172125749686241"/>
    <n v="24.645279067668366"/>
    <n v="96543.965252070717"/>
    <m/>
    <n v="27.484752552986844"/>
    <n v="2327564.2678962871"/>
    <s v="Missing Data"/>
  </r>
  <r>
    <d v="2041-03-15T00:00:00"/>
    <x v="0"/>
    <s v="March"/>
    <x v="0"/>
    <n v="103"/>
    <n v="-0.15649324074080936"/>
    <x v="3"/>
    <n v="23880.298666188719"/>
    <n v="3.6191844913673927"/>
    <n v="2.6043559375232128"/>
    <n v="2.6043559375232128"/>
    <n v="5.144071049116242"/>
    <n v="115438.4030967335"/>
    <n v="101"/>
    <n v="21.333724047970648"/>
    <n v="2459670.7626174381"/>
    <s v="OK"/>
  </r>
  <r>
    <d v="2041-04-14T00:00:00"/>
    <x v="0"/>
    <s v="April"/>
    <x v="1"/>
    <n v="115"/>
    <n v="-8.1439688176853695E-2"/>
    <x v="2"/>
    <n v="30170.417341296132"/>
    <n v="39.87598814891215"/>
    <n v="1.6012159516768718"/>
    <n v="1.6012159516768718"/>
    <n v="5.7895863219001376"/>
    <n v="108826.14303398492"/>
    <n v="67"/>
    <n v="89.882741139617167"/>
    <n v="3469597.9942490552"/>
    <s v="OK"/>
  </r>
  <r>
    <d v="2041-05-14T00:00:00"/>
    <x v="4"/>
    <s v="May"/>
    <x v="1"/>
    <n v="88"/>
    <n v="-0.25031018144575395"/>
    <x v="3"/>
    <n v="26150.13384470679"/>
    <n v="3.7505470849699227"/>
    <n v="1.1696863742610102"/>
    <n v="1.1696863742610102"/>
    <n v="4.1187830996565911"/>
    <n v="85336.876057800066"/>
    <n v="101"/>
    <m/>
    <n v="2301211.7783341976"/>
    <s v="Missing Data"/>
  </r>
  <r>
    <d v="2041-06-13T00:00:00"/>
    <x v="3"/>
    <s v="June"/>
    <x v="1"/>
    <n v="920"/>
    <n v="4.9534027963218392"/>
    <x v="1"/>
    <n v="31168.92955895374"/>
    <n v="3.5947908082993716"/>
    <n v="2.3108796092229666"/>
    <n v="2.3108796092229666"/>
    <n v="5.9635879813738724"/>
    <n v="104579.9278491868"/>
    <n v="88"/>
    <n v="36.920539942541446"/>
    <n v="28675415.194237441"/>
    <s v="OK"/>
  </r>
  <r>
    <d v="2041-07-13T00:00:00"/>
    <x v="3"/>
    <s v="July"/>
    <x v="2"/>
    <n v="108"/>
    <n v="-0.1252209271724945"/>
    <x v="2"/>
    <n v="22220.521768981864"/>
    <n v="4.0005230462835701"/>
    <n v="3.4216501119244596"/>
    <n v="3.4216501119244596"/>
    <n v="5.2546345348166543"/>
    <n v="62841.970972034258"/>
    <n v="89"/>
    <n v="78.88283203408524"/>
    <n v="2399816.3510500412"/>
    <s v="OK"/>
  </r>
  <r>
    <d v="2041-08-12T00:00:00"/>
    <x v="0"/>
    <s v="August"/>
    <x v="2"/>
    <m/>
    <n v="-0.80070290024809565"/>
    <x v="2"/>
    <n v="31654.401161072285"/>
    <n v="2.1483838535003814"/>
    <n v="2.3724508796224657"/>
    <n v="2.3724508796224657"/>
    <n v="7.6065708379785875"/>
    <n v="112064.95001142788"/>
    <n v="92"/>
    <n v="45.60128904699134"/>
    <n v="0"/>
    <s v="Missing Data"/>
  </r>
  <r>
    <d v="2041-09-11T00:00:00"/>
    <x v="0"/>
    <s v="September"/>
    <x v="2"/>
    <n v="86"/>
    <n v="-0.26281910687307991"/>
    <x v="3"/>
    <n v="34167.644808044621"/>
    <n v="3.8389376597654539"/>
    <n v="4.011154930247347"/>
    <n v="4.011154930247347"/>
    <n v="7.3876236702578275"/>
    <n v="105963.16931981052"/>
    <n v="85"/>
    <n v="604.83575392946921"/>
    <n v="2938417.4534918373"/>
    <s v="OK"/>
  </r>
  <r>
    <d v="2041-10-11T00:00:00"/>
    <x v="3"/>
    <s v="October"/>
    <x v="3"/>
    <n v="87"/>
    <n v="-0.25656464415941693"/>
    <x v="2"/>
    <n v="20031.321787142722"/>
    <m/>
    <n v="1.0488243099484411"/>
    <n v="1.0488243099484411"/>
    <n v="4.9410333170582046"/>
    <n v="112773.20337286204"/>
    <n v="86"/>
    <n v="33.000885223796502"/>
    <n v="1742724.9954814168"/>
    <s v="Missing Data"/>
  </r>
  <r>
    <d v="2041-11-10T00:00:00"/>
    <x v="2"/>
    <s v="November"/>
    <x v="3"/>
    <n v="109"/>
    <n v="-0.11896646445883154"/>
    <x v="0"/>
    <n v="31870.282849237861"/>
    <n v="2.5846835515717714"/>
    <n v="2.4879110521539456"/>
    <n v="2.4879110521539456"/>
    <n v="5.3189947461199658"/>
    <n v="121162.366501743"/>
    <n v="93"/>
    <n v="96.779657716957544"/>
    <n v="3473860.8305669269"/>
    <s v="OK"/>
  </r>
  <r>
    <d v="2041-12-10T00:00:00"/>
    <x v="3"/>
    <s v="December"/>
    <x v="3"/>
    <n v="91"/>
    <n v="-0.23154679330476505"/>
    <x v="1"/>
    <n v="36138.344962366464"/>
    <n v="3.7556012997624904"/>
    <n v="1.2476065555868809"/>
    <n v="1.2476065555868809"/>
    <n v="5.4112629212699286"/>
    <n v="107352.39680419421"/>
    <n v="84"/>
    <n v="88.126512001378984"/>
    <n v="3288589.3915753481"/>
    <s v="OK"/>
  </r>
  <r>
    <d v="2042-01-09T00:00:00"/>
    <x v="1"/>
    <s v="January"/>
    <x v="0"/>
    <n v="107"/>
    <n v="-0.13147538988615748"/>
    <x v="1"/>
    <n v="23951.794906543972"/>
    <n v="4.1868292725814786"/>
    <n v="2.863631882624968"/>
    <n v="2.863631882624968"/>
    <n v="49.58008628608453"/>
    <n v="102961.78839596553"/>
    <n v="89"/>
    <n v="89.103169837200255"/>
    <n v="2562842.0550002051"/>
    <s v="OK"/>
  </r>
  <r>
    <d v="2042-02-08T00:00:00"/>
    <x v="2"/>
    <s v="February"/>
    <x v="0"/>
    <n v="106"/>
    <n v="-0.13772985259982046"/>
    <x v="2"/>
    <n v="38362.861934188521"/>
    <n v="3.4312757426861542"/>
    <n v="3.3868873900973004"/>
    <n v="3.3868873900973004"/>
    <n v="5.7340299808337525"/>
    <n v="82378.633266774152"/>
    <n v="98"/>
    <n v="52.541899885760415"/>
    <n v="4066463.3650239832"/>
    <s v="OK"/>
  </r>
  <r>
    <d v="2042-03-10T00:00:00"/>
    <x v="1"/>
    <s v="March"/>
    <x v="0"/>
    <n v="92"/>
    <n v="-0.22529233059110207"/>
    <x v="3"/>
    <n v="32095.095046830225"/>
    <n v="3.9764372736014693"/>
    <n v="2.079238206318947"/>
    <n v="2.079238206318947"/>
    <n v="4.5900615173348918"/>
    <n v="85755.584727018984"/>
    <n v="85"/>
    <n v="809.88897096573828"/>
    <n v="2952748.7443083809"/>
    <s v="OK"/>
  </r>
  <r>
    <d v="2042-04-09T00:00:00"/>
    <x v="0"/>
    <s v="April"/>
    <x v="1"/>
    <n v="90"/>
    <n v="-0.23780125601842803"/>
    <x v="3"/>
    <n v="26474.940721207957"/>
    <n v="4.3061391289943227"/>
    <n v="2.5869878669999999"/>
    <n v="-0.10421385662713423"/>
    <n v="4.1432615980749681"/>
    <n v="1237346.9240354663"/>
    <n v="70"/>
    <n v="31.510092431182414"/>
    <n v="2382744.664908716"/>
    <s v="OK"/>
  </r>
  <r>
    <d v="2042-05-09T00:00:00"/>
    <x v="2"/>
    <s v="May"/>
    <x v="1"/>
    <n v="102"/>
    <n v="-0.16274770345447234"/>
    <x v="0"/>
    <n v="29721.15461171147"/>
    <n v="4.1574572267920233"/>
    <n v="2.6989481467964946"/>
    <n v="2.6989481467964946"/>
    <n v="6.2472534686803218"/>
    <n v="1287267.0811411957"/>
    <n v="106"/>
    <n v="20.689520207342422"/>
    <n v="3031557.7703945702"/>
    <s v="OK"/>
  </r>
  <r>
    <d v="2042-06-08T00:00:00"/>
    <x v="1"/>
    <s v="June"/>
    <x v="1"/>
    <n v="99"/>
    <n v="-0.18151109159546128"/>
    <x v="0"/>
    <n v="32791.634562608611"/>
    <n v="4.3199822646856969"/>
    <n v="2.9367385517335096"/>
    <n v="2.9367385517335096"/>
    <n v="6.2554355010661729"/>
    <n v="95237.791273758921"/>
    <n v="91"/>
    <n v="21.597834606242252"/>
    <n v="3246371.8216982526"/>
    <s v="OK"/>
  </r>
  <r>
    <d v="2042-07-08T00:00:00"/>
    <x v="1"/>
    <s v="July"/>
    <x v="2"/>
    <n v="88"/>
    <n v="-0.25031018144575395"/>
    <x v="3"/>
    <m/>
    <n v="3.8710637455359462"/>
    <n v="2.9042947549616978"/>
    <n v="2.9042947549616978"/>
    <n v="4.5348210884080089"/>
    <n v="100920.05494506548"/>
    <n v="86"/>
    <n v="66.928138992364836"/>
    <n v="0"/>
    <s v="Missing Data"/>
  </r>
  <r>
    <d v="2042-08-07T00:00:00"/>
    <x v="2"/>
    <s v="August"/>
    <x v="2"/>
    <n v="100"/>
    <n v="-0.1752566288817983"/>
    <x v="1"/>
    <n v="32693.779962231845"/>
    <n v="3.5377168194507962"/>
    <n v="3.7357821918221541"/>
    <n v="3.7357821918221541"/>
    <n v="6.5744265169151195"/>
    <n v="81907.712500124675"/>
    <n v="92"/>
    <n v="56.431592419835262"/>
    <n v="3269377.9962231847"/>
    <s v="OK"/>
  </r>
  <r>
    <d v="2042-09-06T00:00:00"/>
    <x v="4"/>
    <s v="September"/>
    <x v="2"/>
    <m/>
    <n v="-0.80070290024809565"/>
    <x v="3"/>
    <n v="25396.632034603168"/>
    <n v="2.699017094051416"/>
    <n v="1.4289463203509511"/>
    <n v="1.4289463203509511"/>
    <n v="4.7421067250016025"/>
    <n v="123455.13690534889"/>
    <n v="75"/>
    <n v="61.441227912681583"/>
    <n v="0"/>
    <s v="Missing Data"/>
  </r>
  <r>
    <d v="2042-10-06T00:00:00"/>
    <x v="3"/>
    <s v="October"/>
    <x v="3"/>
    <n v="106"/>
    <n v="-0.13772985259982046"/>
    <x v="1"/>
    <n v="30846.80412018039"/>
    <n v="3.3769687559350259"/>
    <n v="3.1802161054504494"/>
    <n v="3.1802161054504494"/>
    <n v="5.803798285645577"/>
    <n v="113308.33647383557"/>
    <n v="116"/>
    <m/>
    <n v="3269761.2367391214"/>
    <s v="Missing Data"/>
  </r>
  <r>
    <d v="2042-11-05T00:00:00"/>
    <x v="1"/>
    <s v="November"/>
    <x v="3"/>
    <m/>
    <n v="-0.80070290024809565"/>
    <x v="1"/>
    <n v="22931.427515475101"/>
    <n v="3.0783767023419042"/>
    <n v="3.6925075124779747"/>
    <n v="3.6925075124779747"/>
    <n v="64.844128151349466"/>
    <n v="138824.34872927499"/>
    <n v="93"/>
    <n v="53.814929572594053"/>
    <n v="0"/>
    <s v="Missing Data"/>
  </r>
  <r>
    <d v="2042-12-05T00:00:00"/>
    <x v="3"/>
    <s v="December"/>
    <x v="3"/>
    <n v="98"/>
    <n v="-0.18776555430912426"/>
    <x v="1"/>
    <n v="29443.8696932565"/>
    <n v="4.5854713587489071"/>
    <n v="0.72141241599348316"/>
    <n v="0.72141241599348316"/>
    <n v="5.459664922355544"/>
    <n v="82433.538456405222"/>
    <n v="92"/>
    <n v="77.445452896068872"/>
    <n v="2885499.2299391371"/>
    <s v="OK"/>
  </r>
  <r>
    <d v="2043-01-04T00:00:00"/>
    <x v="3"/>
    <s v="January"/>
    <x v="0"/>
    <n v="119"/>
    <n v="-5.6421837322201809E-2"/>
    <x v="1"/>
    <n v="254804.61792676052"/>
    <n v="3.4120570937838317"/>
    <n v="2.8196518259189771"/>
    <n v="2.8196518259189771"/>
    <n v="6.0456890945693615"/>
    <n v="92439.84201963566"/>
    <n v="92"/>
    <n v="55.41549615739487"/>
    <n v="30321749.5332845"/>
    <s v="OK"/>
  </r>
  <r>
    <d v="2043-02-03T00:00:00"/>
    <x v="0"/>
    <s v="February"/>
    <x v="0"/>
    <n v="99"/>
    <n v="-0.18151109159546128"/>
    <x v="0"/>
    <n v="26322.350287051166"/>
    <n v="3.5616024033922429"/>
    <n v="1.9958201689923285"/>
    <n v="1.9958201689923285"/>
    <m/>
    <n v="104628.91845051144"/>
    <m/>
    <n v="78.577536504977786"/>
    <n v="2605912.6784180654"/>
    <s v="Missing Data"/>
  </r>
  <r>
    <d v="2043-03-05T00:00:00"/>
    <x v="3"/>
    <s v="March"/>
    <x v="0"/>
    <n v="87"/>
    <n v="-0.25656464415941693"/>
    <x v="2"/>
    <n v="36180.465876052185"/>
    <n v="3.7757426880202338"/>
    <n v="2.4184773268983539"/>
    <n v="2.4184773268983539"/>
    <n v="5.2642400998862833"/>
    <n v="112929.79075451542"/>
    <n v="94"/>
    <n v="38.641517151746783"/>
    <n v="3147700.5312165399"/>
    <s v="OK"/>
  </r>
  <r>
    <d v="2043-04-04T00:00:00"/>
    <x v="1"/>
    <s v="April"/>
    <x v="1"/>
    <m/>
    <n v="-0.80070290024809565"/>
    <x v="3"/>
    <n v="35456.550602971343"/>
    <n v="3.5218012231862268"/>
    <n v="2.8476764835383364"/>
    <n v="2.8476764835383364"/>
    <n v="5.2529686829435915"/>
    <n v="95686.647249047353"/>
    <n v="93"/>
    <n v="85.051360358538034"/>
    <n v="0"/>
    <s v="Missing Data"/>
  </r>
  <r>
    <d v="2043-05-04T00:00:00"/>
    <x v="0"/>
    <s v="May"/>
    <x v="1"/>
    <n v="103"/>
    <n v="-0.15649324074080936"/>
    <x v="1"/>
    <n v="33045.690604535885"/>
    <n v="4.3475255202153766"/>
    <n v="2.0127714358864477"/>
    <n v="2.0127714358864477"/>
    <n v="4.6041059841517136"/>
    <n v="82540.778190925994"/>
    <n v="84"/>
    <n v="67.074499236276182"/>
    <n v="3403706.1322671962"/>
    <s v="OK"/>
  </r>
  <r>
    <d v="2043-06-03T00:00:00"/>
    <x v="2"/>
    <s v="June"/>
    <x v="1"/>
    <n v="79"/>
    <n v="-0.30660034586872076"/>
    <x v="2"/>
    <n v="24538.436176637104"/>
    <n v="3.1886753191327739"/>
    <n v="1.8242919208383883"/>
    <n v="1.8242919208383883"/>
    <n v="5.2878710042610617"/>
    <n v="117628.15057847142"/>
    <n v="1050"/>
    <n v="36.861047954392497"/>
    <n v="1938536.4579543313"/>
    <s v="OK"/>
  </r>
  <r>
    <d v="2043-07-03T00:00:00"/>
    <x v="1"/>
    <s v="July"/>
    <x v="2"/>
    <n v="110"/>
    <n v="-0.11271200174516857"/>
    <x v="1"/>
    <n v="28417.957751525992"/>
    <n v="3.5973037276186215"/>
    <n v="2.5341524174880248"/>
    <n v="2.5341524174880248"/>
    <m/>
    <n v="114422.70725091163"/>
    <n v="95"/>
    <n v="38.937638068306633"/>
    <n v="3125975.3526678593"/>
    <s v="Missing Data"/>
  </r>
  <r>
    <d v="2043-08-02T00:00:00"/>
    <x v="0"/>
    <s v="August"/>
    <x v="2"/>
    <n v="95"/>
    <n v="-0.20652894245011316"/>
    <x v="1"/>
    <n v="36065.488499895917"/>
    <n v="3.1287647071509759"/>
    <n v="1.4127540611371974"/>
    <n v="1.4127540611371974"/>
    <n v="4.9106155034294741"/>
    <n v="81674.517988725507"/>
    <n v="80"/>
    <n v="70.242437165562961"/>
    <n v="3426221.4074901119"/>
    <s v="OK"/>
  </r>
  <r>
    <d v="2043-09-01T00:00:00"/>
    <x v="0"/>
    <s v="September"/>
    <x v="2"/>
    <n v="101"/>
    <n v="-0.16900216616813532"/>
    <x v="0"/>
    <n v="30708.584568199523"/>
    <n v="2.8399887443896472"/>
    <n v="1.4141748711148145"/>
    <n v="1.4141748711148145"/>
    <n v="5.1581494079563948"/>
    <n v="127108.85602210992"/>
    <n v="89"/>
    <n v="86.395167456995466"/>
    <n v="3101567.0413881517"/>
    <s v="OK"/>
  </r>
  <r>
    <d v="2043-10-01T00:00:00"/>
    <x v="3"/>
    <s v="October"/>
    <x v="3"/>
    <n v="95"/>
    <n v="-0.20652894245011316"/>
    <x v="2"/>
    <n v="41596.64769990847"/>
    <n v="3.1941154545473571"/>
    <n v="3.1793732829565036"/>
    <n v="3.1793732829565036"/>
    <n v="5.1925842970055438"/>
    <n v="123403.97418393208"/>
    <n v="93"/>
    <m/>
    <n v="3951681.5314913047"/>
    <s v="Missing Data"/>
  </r>
  <r>
    <d v="2043-10-31T00:00:00"/>
    <x v="2"/>
    <s v="October"/>
    <x v="3"/>
    <n v="107"/>
    <n v="-0.13147538988615748"/>
    <x v="1"/>
    <n v="31966.589196971858"/>
    <n v="3.4814816014757941"/>
    <n v="1.3512059648413439"/>
    <n v="1.3512059648413439"/>
    <n v="5.2102030649550652"/>
    <n v="102685.92994495586"/>
    <n v="85"/>
    <n v="40.664034330207379"/>
    <n v="3420425.0440759887"/>
    <s v="OK"/>
  </r>
  <r>
    <d v="2043-11-30T00:00:00"/>
    <x v="1"/>
    <s v="November"/>
    <x v="3"/>
    <n v="91"/>
    <n v="-0.23154679330476505"/>
    <x v="2"/>
    <m/>
    <n v="3.2853488877413701"/>
    <n v="3.1663125009092119"/>
    <n v="3.1663125009092119"/>
    <n v="5.4258829601678453"/>
    <n v="101591.95724752072"/>
    <n v="81"/>
    <n v="89.360928552848037"/>
    <n v="0"/>
    <s v="Missing Data"/>
  </r>
  <r>
    <d v="2043-12-30T00:00:00"/>
    <x v="1"/>
    <s v="December"/>
    <x v="3"/>
    <n v="87"/>
    <n v="-0.25656464415941693"/>
    <x v="2"/>
    <n v="28454.417678987495"/>
    <n v="3.153789510063072"/>
    <n v="2.9625912928539511"/>
    <n v="2.9625912928539511"/>
    <n v="6.075329821703277"/>
    <n v="111081.15542231814"/>
    <n v="81"/>
    <m/>
    <n v="2475534.3380719121"/>
    <s v="Missing Data"/>
  </r>
  <r>
    <d v="2044-01-29T00:00:00"/>
    <x v="3"/>
    <s v="January"/>
    <x v="0"/>
    <n v="100"/>
    <n v="-0.1752566288817983"/>
    <x v="1"/>
    <n v="30667.704523911412"/>
    <n v="2.7968412681640831"/>
    <n v="0.77419327120940329"/>
    <n v="0.77419327120940329"/>
    <n v="6.5494204889590275"/>
    <n v="82765.938594874839"/>
    <n v="88"/>
    <n v="55.846838982646119"/>
    <n v="3066770.4523911411"/>
    <s v="OK"/>
  </r>
  <r>
    <d v="2044-02-28T00:00:00"/>
    <x v="2"/>
    <s v="February"/>
    <x v="0"/>
    <n v="117"/>
    <n v="-6.8930762749527752E-2"/>
    <x v="0"/>
    <n v="29237.650818097281"/>
    <n v="3.4584472136856528"/>
    <n v="2.3724508796224657"/>
    <m/>
    <n v="4.7202817277820799"/>
    <n v="100600.62958328164"/>
    <n v="88"/>
    <n v="59.032015622344147"/>
    <n v="3420805.145717382"/>
    <s v="Missing Data"/>
  </r>
  <r>
    <d v="2044-03-29T00:00:00"/>
    <x v="1"/>
    <s v="March"/>
    <x v="0"/>
    <n v="102"/>
    <n v="-0.16274770345447234"/>
    <x v="3"/>
    <m/>
    <n v="2.7476398129844988"/>
    <n v="4.011154930247347"/>
    <m/>
    <n v="4.0561589735330266"/>
    <n v="56952.329107816389"/>
    <n v="103"/>
    <m/>
    <n v="0"/>
    <s v="Missing Data"/>
  </r>
  <r>
    <d v="2044-04-28T00:00:00"/>
    <x v="2"/>
    <s v="April"/>
    <x v="1"/>
    <n v="88"/>
    <n v="-0.25031018144575395"/>
    <x v="1"/>
    <n v="34783.511583972919"/>
    <n v="3.8800279818448011"/>
    <n v="1.5188344688603184"/>
    <n v="1.5188344688603184"/>
    <n v="4.2495467053082763"/>
    <n v="117529.11291005871"/>
    <n v="91"/>
    <n v="70.144210405187522"/>
    <n v="3060949.0193896168"/>
    <s v="OK"/>
  </r>
  <r>
    <d v="2044-05-28T00:00:00"/>
    <x v="1"/>
    <s v="May"/>
    <x v="1"/>
    <n v="100"/>
    <n v="-0.1752566288817983"/>
    <x v="3"/>
    <n v="26070.052697460254"/>
    <n v="3.5412198764672516"/>
    <n v="2.0355957376906124"/>
    <n v="2.0355957376906124"/>
    <n v="4.9153564945660877"/>
    <n v="68770.135551162821"/>
    <m/>
    <n v="48.699400843431093"/>
    <n v="2607005.2697460256"/>
    <s v="Missing Data"/>
  </r>
  <r>
    <d v="2044-06-27T00:00:00"/>
    <x v="3"/>
    <s v="June"/>
    <x v="1"/>
    <n v="81"/>
    <n v="-0.2940914204413948"/>
    <x v="1"/>
    <n v="23343.83523221111"/>
    <n v="2.7712242502675348"/>
    <n v="2.9620608932518966"/>
    <n v="2.9620608932518966"/>
    <n v="5.0776944186201893"/>
    <n v="130068.39656857998"/>
    <n v="95"/>
    <n v="99.651614133947945"/>
    <n v="1890850.6538090999"/>
    <s v="OK"/>
  </r>
  <r>
    <d v="2044-07-27T00:00:00"/>
    <x v="4"/>
    <s v="July"/>
    <x v="2"/>
    <n v="91"/>
    <n v="-0.23154679330476505"/>
    <x v="0"/>
    <n v="20818.973134483516"/>
    <n v="3.3453954614750683"/>
    <n v="3.2833905092825955"/>
    <n v="3.2833905092825955"/>
    <n v="4.5760047205630512"/>
    <n v="93397.598120670998"/>
    <n v="109"/>
    <n v="58.414681220951024"/>
    <n v="1894526.5552379999"/>
    <s v="OK"/>
  </r>
  <r>
    <d v="2044-08-26T00:00:00"/>
    <x v="1"/>
    <s v="August"/>
    <x v="2"/>
    <n v="90"/>
    <n v="-0.23780125601842803"/>
    <x v="3"/>
    <n v="32539.956634562717"/>
    <n v="3.1239217972047086"/>
    <n v="3.3868873900973004"/>
    <m/>
    <n v="3.9446600029001266"/>
    <n v="95766.66036137646"/>
    <n v="85"/>
    <n v="58.870848495169056"/>
    <n v="2928596.0971106444"/>
    <s v="Missing Data"/>
  </r>
  <r>
    <d v="2044-09-25T00:00:00"/>
    <x v="0"/>
    <s v="September"/>
    <x v="2"/>
    <n v="102"/>
    <n v="-0.16274770345447234"/>
    <x v="3"/>
    <n v="24483.166969130631"/>
    <n v="3.6595872552095901"/>
    <n v="1.9024898053083583"/>
    <n v="1.9024898053083583"/>
    <n v="4.9526550070309741"/>
    <n v="87445.321878309886"/>
    <n v="81"/>
    <n v="65.268142992853754"/>
    <n v="2497283.0308513241"/>
    <s v="OK"/>
  </r>
  <r>
    <d v="2044-10-25T00:00:00"/>
    <x v="0"/>
    <s v="October"/>
    <x v="3"/>
    <n v="109"/>
    <n v="-0.11896646445883154"/>
    <x v="2"/>
    <n v="19235.547035237585"/>
    <n v="4.1702252230115722"/>
    <n v="3.9223698616985079"/>
    <n v="3.9223698616985079"/>
    <n v="5.7177119441367656"/>
    <n v="94239.222521558477"/>
    <n v="97"/>
    <n v="93.340480249499734"/>
    <n v="2096674.6268408967"/>
    <s v="OK"/>
  </r>
  <r>
    <d v="2044-11-24T00:00:00"/>
    <x v="4"/>
    <s v="November"/>
    <x v="3"/>
    <n v="101"/>
    <n v="-0.16900216616813532"/>
    <x v="0"/>
    <n v="31942.893022654822"/>
    <n v="2.5624137651771277"/>
    <n v="4.2388996637975787"/>
    <n v="4.2388996637975787"/>
    <n v="6.2140353590026773"/>
    <n v="128370.62690296074"/>
    <n v="87"/>
    <n v="84.065447988780022"/>
    <n v="3226232.1952881371"/>
    <s v="OK"/>
  </r>
  <r>
    <d v="2044-12-24T00:00:00"/>
    <x v="1"/>
    <s v="December"/>
    <x v="3"/>
    <n v="97"/>
    <n v="-0.19402001702278721"/>
    <x v="0"/>
    <n v="42464.997587163954"/>
    <n v="35.575130395737084"/>
    <n v="3.4788580507817954"/>
    <n v="3.4788580507817954"/>
    <n v="4.8310923362700144"/>
    <n v="50243.826869298413"/>
    <n v="94"/>
    <n v="56.090405583827312"/>
    <n v="4119104.7659549038"/>
    <s v="OK"/>
  </r>
  <r>
    <d v="2045-01-23T00:00:00"/>
    <x v="0"/>
    <s v="January"/>
    <x v="0"/>
    <n v="88"/>
    <n v="-0.25031018144575395"/>
    <x v="2"/>
    <n v="29969.645442300534"/>
    <n v="3.41993360221668"/>
    <n v="2.5853181425650242"/>
    <n v="2.5853181425650242"/>
    <n v="5.004402613427879"/>
    <n v="125539.30772176376"/>
    <n v="990"/>
    <n v="77.495941277823675"/>
    <n v="2637328.798922447"/>
    <s v="OK"/>
  </r>
  <r>
    <d v="2045-02-22T00:00:00"/>
    <x v="0"/>
    <s v="February"/>
    <x v="0"/>
    <n v="960"/>
    <n v="5.2035813048683588"/>
    <x v="1"/>
    <n v="34192.453872258207"/>
    <n v="3.8356700382252327"/>
    <n v="1.6917342783590736"/>
    <n v="1.6917342783590736"/>
    <n v="4.3879620293832273"/>
    <n v="106760.46962203416"/>
    <m/>
    <n v="66.898839902460935"/>
    <n v="32824755.71736788"/>
    <s v="Missing Data"/>
  </r>
  <r>
    <d v="2045-03-24T00:00:00"/>
    <x v="1"/>
    <s v="March"/>
    <x v="0"/>
    <n v="104"/>
    <n v="-0.15023877802714641"/>
    <x v="0"/>
    <n v="30409.146792737825"/>
    <m/>
    <n v="1.6695555934434347"/>
    <n v="1.6695555934434347"/>
    <n v="5.4622729955502685"/>
    <n v="75859.567042855691"/>
    <n v="111"/>
    <n v="59.389363896099916"/>
    <n v="3162551.2664447338"/>
    <s v="Missing Data"/>
  </r>
  <r>
    <d v="2045-04-23T00:00:00"/>
    <x v="2"/>
    <s v="April"/>
    <x v="1"/>
    <n v="106"/>
    <n v="-0.13772985259982046"/>
    <x v="2"/>
    <n v="29505.551734044286"/>
    <n v="3.1240153341305903"/>
    <n v="3.0225141052657576"/>
    <n v="3.0225141052657576"/>
    <n v="4.481885638971022"/>
    <n v="78493.75213901524"/>
    <n v="85"/>
    <n v="35.385261822748042"/>
    <n v="3127588.4838086944"/>
    <s v="OK"/>
  </r>
  <r>
    <d v="2045-05-23T00:00:00"/>
    <x v="1"/>
    <s v="May"/>
    <x v="1"/>
    <n v="91"/>
    <n v="-0.23154679330476505"/>
    <x v="3"/>
    <n v="34595.382414938846"/>
    <n v="3.3404730321666909"/>
    <n v="2.9183982208886836"/>
    <n v="2.9183982208886836"/>
    <m/>
    <n v="133527.86054416405"/>
    <n v="87"/>
    <n v="57.114901076391277"/>
    <n v="3148179.799759435"/>
    <s v="Missing Data"/>
  </r>
  <r>
    <d v="2045-06-22T00:00:00"/>
    <x v="2"/>
    <s v="June"/>
    <x v="1"/>
    <n v="110"/>
    <n v="-0.11271200174516857"/>
    <x v="3"/>
    <n v="28548.627279056742"/>
    <n v="3.1019870715982556"/>
    <n v="3.9015985929464296"/>
    <n v="3.9015985929464296"/>
    <n v="3.3569602096790665"/>
    <n v="81089.862401145379"/>
    <n v="88"/>
    <n v="39.665486961805968"/>
    <n v="3140349.0006962414"/>
    <s v="OK"/>
  </r>
  <r>
    <d v="2045-07-22T00:00:00"/>
    <x v="4"/>
    <s v="July"/>
    <x v="2"/>
    <n v="104"/>
    <n v="-0.15023877802714641"/>
    <x v="0"/>
    <n v="31336.961570359515"/>
    <n v="4.038003569299299"/>
    <n v="3.1504500925361389"/>
    <n v="3.1504500925361389"/>
    <n v="5.0684443930570451"/>
    <n v="76932.989788080813"/>
    <n v="82"/>
    <n v="93.187371988132369"/>
    <n v="3259044.0033173896"/>
    <s v="OK"/>
  </r>
  <r>
    <d v="2045-08-21T00:00:00"/>
    <x v="3"/>
    <s v="August"/>
    <x v="2"/>
    <n v="85"/>
    <n v="-0.26907356958674289"/>
    <x v="2"/>
    <n v="31608.489030980068"/>
    <n v="3.5106558243359709"/>
    <n v="0.99691969824018201"/>
    <n v="0.99691969824018201"/>
    <n v="5.8613288070300902"/>
    <n v="122746.29084729459"/>
    <n v="84"/>
    <n v="46.832545079707756"/>
    <n v="2686721.5676333057"/>
    <s v="OK"/>
  </r>
  <r>
    <d v="2045-09-20T00:00:00"/>
    <x v="4"/>
    <s v="September"/>
    <x v="2"/>
    <n v="107"/>
    <n v="-0.13147538988615748"/>
    <x v="0"/>
    <n v="26659.547731784754"/>
    <n v="4.4505953428765039"/>
    <n v="3.5519476177229183"/>
    <n v="3.5519476177229183"/>
    <n v="5.7206014195870054"/>
    <n v="106771.05752571828"/>
    <n v="79"/>
    <n v="96.181121162669783"/>
    <n v="2852571.6073009688"/>
    <s v="OK"/>
  </r>
  <r>
    <d v="2045-10-20T00:00:00"/>
    <x v="3"/>
    <s v="October"/>
    <x v="3"/>
    <n v="111"/>
    <n v="-0.10645753903150559"/>
    <x v="3"/>
    <n v="34960.211747682617"/>
    <n v="3.4696695930926897"/>
    <n v="1.501939372685587"/>
    <n v="1.501939372685587"/>
    <n v="8.7316403967765961"/>
    <n v="81241.488469272022"/>
    <n v="87"/>
    <n v="62.644423207576892"/>
    <n v="3880583.5039927703"/>
    <s v="OK"/>
  </r>
  <r>
    <d v="2045-11-19T00:00:00"/>
    <x v="0"/>
    <s v="November"/>
    <x v="3"/>
    <m/>
    <n v="-0.80070290024809565"/>
    <x v="1"/>
    <n v="29125.201216522957"/>
    <n v="3.1457966165447688"/>
    <n v="2.1160287280476484"/>
    <n v="2.1160287280476484"/>
    <m/>
    <n v="104332.49950809238"/>
    <n v="92"/>
    <n v="70.523550294092828"/>
    <n v="0"/>
    <s v="Missing Data"/>
  </r>
  <r>
    <d v="2045-12-19T00:00:00"/>
    <x v="0"/>
    <s v="December"/>
    <x v="3"/>
    <n v="94"/>
    <n v="-0.21278340516377614"/>
    <x v="0"/>
    <n v="26221.274202535777"/>
    <n v="2.7431428036935865"/>
    <n v="2.7502002062516944"/>
    <n v="2.7502002062516944"/>
    <n v="4.295134483789588"/>
    <n v="79484.946327194455"/>
    <n v="79"/>
    <n v="63.435235559146221"/>
    <n v="2464799.7750383629"/>
    <s v="OK"/>
  </r>
  <r>
    <d v="2046-01-18T00:00:00"/>
    <x v="0"/>
    <s v="January"/>
    <x v="0"/>
    <n v="91"/>
    <n v="-0.23154679330476505"/>
    <x v="0"/>
    <n v="32682.549217852018"/>
    <n v="2.5984301618720274"/>
    <n v="4.4956674897839646"/>
    <n v="4.4956674897839646"/>
    <n v="5.3854429034931126"/>
    <n v="122016.4279684521"/>
    <n v="95"/>
    <n v="30.350449357336071"/>
    <n v="2974111.9788245335"/>
    <s v="OK"/>
  </r>
  <r>
    <d v="2046-02-17T00:00:00"/>
    <x v="2"/>
    <s v="February"/>
    <x v="0"/>
    <n v="89"/>
    <n v="-0.244055718732091"/>
    <x v="3"/>
    <n v="25507.660091044814"/>
    <n v="2.7079320284972552"/>
    <n v="2.5869878669999999"/>
    <n v="5.6099185560053613"/>
    <n v="3.368504399840258"/>
    <n v="121227.41929746268"/>
    <n v="96"/>
    <n v="50.065697520635275"/>
    <n v="2270181.7481029886"/>
    <s v="OK"/>
  </r>
  <r>
    <d v="2046-03-19T00:00:00"/>
    <x v="3"/>
    <s v="March"/>
    <x v="0"/>
    <n v="98"/>
    <n v="-0.18776555430912426"/>
    <x v="2"/>
    <n v="30140.90578684564"/>
    <m/>
    <n v="3.1067230591361827"/>
    <n v="3.1067230591361827"/>
    <n v="5.4032803008438872"/>
    <n v="110640.12397643886"/>
    <n v="90"/>
    <n v="27.931688982209913"/>
    <n v="2953808.7671108725"/>
    <s v="Missing Data"/>
  </r>
  <r>
    <d v="2046-04-18T00:00:00"/>
    <x v="0"/>
    <s v="April"/>
    <x v="1"/>
    <n v="110"/>
    <n v="-0.11271200174516857"/>
    <x v="1"/>
    <n v="29954.405016778983"/>
    <n v="3.7543625116149668"/>
    <n v="2.3168033812796121"/>
    <n v="2.3168033812796121"/>
    <n v="4.50033273159909"/>
    <n v="107233.22122494034"/>
    <n v="95"/>
    <n v="69.836323534670541"/>
    <n v="3294984.5518456879"/>
    <s v="OK"/>
  </r>
  <r>
    <d v="2046-05-18T00:00:00"/>
    <x v="1"/>
    <s v="May"/>
    <x v="1"/>
    <n v="93"/>
    <n v="-0.21903786787743912"/>
    <x v="1"/>
    <n v="35429.477829157891"/>
    <n v="2.7094046489839334"/>
    <n v="3.0345056484805504"/>
    <n v="3.0345056484805504"/>
    <m/>
    <n v="135223.76249734749"/>
    <m/>
    <n v="55.749935616035117"/>
    <n v="3294941.4381116838"/>
    <s v="Missing Data"/>
  </r>
  <r>
    <d v="2046-06-17T00:00:00"/>
    <x v="3"/>
    <s v="June"/>
    <x v="1"/>
    <n v="103"/>
    <n v="-0.15649324074080936"/>
    <x v="3"/>
    <n v="32373.491164399762"/>
    <n v="3.9475191570380579"/>
    <n v="3.3876554258738363"/>
    <n v="3.3876554258738363"/>
    <n v="4.8405516704853584"/>
    <m/>
    <n v="96"/>
    <n v="82.238797725674942"/>
    <n v="3334469.5899331756"/>
    <s v="Missing Data"/>
  </r>
  <r>
    <d v="2046-07-17T00:00:00"/>
    <x v="3"/>
    <s v="July"/>
    <x v="2"/>
    <m/>
    <n v="-0.80070290024809565"/>
    <x v="0"/>
    <m/>
    <m/>
    <n v="2.1793323744428084"/>
    <n v="2.1793323744428084"/>
    <n v="5.3598809010457042"/>
    <n v="76362.517491583974"/>
    <n v="89"/>
    <n v="37.637638479949587"/>
    <n v="0"/>
    <s v="Missing Data"/>
  </r>
  <r>
    <d v="2046-08-16T00:00:00"/>
    <x v="2"/>
    <s v="August"/>
    <x v="2"/>
    <n v="101"/>
    <n v="-0.16900216616813532"/>
    <x v="1"/>
    <n v="34088.831496001432"/>
    <n v="3.5733965059927746"/>
    <n v="2.5869878669999999"/>
    <n v="42.952113559123219"/>
    <n v="4.7373305903147163"/>
    <m/>
    <n v="87"/>
    <n v="33.165284674346793"/>
    <n v="3442971.9810961448"/>
    <s v="Missing Data"/>
  </r>
  <r>
    <d v="2046-09-15T00:00:00"/>
    <x v="4"/>
    <s v="September"/>
    <x v="2"/>
    <n v="94"/>
    <n v="-0.21278340516377614"/>
    <x v="3"/>
    <n v="369510.37745086564"/>
    <n v="4.3061103141277126"/>
    <n v="2.7300707591914022"/>
    <n v="2.7300707591914022"/>
    <n v="7.5866216222239977"/>
    <n v="1417209.4099074227"/>
    <n v="96"/>
    <n v="52.506578477101428"/>
    <n v="34733975.48038137"/>
    <s v="OK"/>
  </r>
  <r>
    <d v="2046-10-15T00:00:00"/>
    <x v="2"/>
    <s v="October"/>
    <x v="3"/>
    <n v="108"/>
    <n v="-0.1252209271724945"/>
    <x v="0"/>
    <n v="32789.051531759309"/>
    <n v="3.9484196579327659"/>
    <n v="2.9977430890913941"/>
    <n v="2.9977430890913941"/>
    <n v="5.1145086806585063"/>
    <n v="79704.810136282962"/>
    <n v="102"/>
    <n v="94.126830657470492"/>
    <n v="3541217.5654300055"/>
    <s v="OK"/>
  </r>
  <r>
    <d v="2046-11-14T00:00:00"/>
    <x v="0"/>
    <s v="November"/>
    <x v="3"/>
    <n v="113"/>
    <n v="-9.3948613604179651E-2"/>
    <x v="3"/>
    <n v="30051.763099216903"/>
    <n v="3.3657346760470839"/>
    <n v="3.1659242520544613"/>
    <n v="3.1659242520544613"/>
    <n v="7.6990684521750419"/>
    <n v="92770.744666120285"/>
    <n v="72"/>
    <n v="76.833745200992936"/>
    <n v="3395849.2302115099"/>
    <s v="OK"/>
  </r>
  <r>
    <d v="2046-12-14T00:00:00"/>
    <x v="1"/>
    <s v="December"/>
    <x v="3"/>
    <n v="115"/>
    <n v="-8.1439688176853695E-2"/>
    <x v="0"/>
    <n v="23440.818838249201"/>
    <n v="3.0544038872923562"/>
    <n v="2.9215866106144555"/>
    <n v="2.9215866106144555"/>
    <n v="6.4769821145419195"/>
    <m/>
    <n v="88"/>
    <n v="53.513889983433494"/>
    <n v="2695694.166398658"/>
    <s v="Missing Data"/>
  </r>
  <r>
    <d v="2047-01-13T00:00:00"/>
    <x v="1"/>
    <s v="January"/>
    <x v="0"/>
    <n v="98"/>
    <n v="-0.18776555430912426"/>
    <x v="0"/>
    <n v="24674.431684623138"/>
    <n v="2.4240922993353475"/>
    <n v="3.3389405004696124"/>
    <n v="3.3389405004696124"/>
    <n v="6.0784800728024635"/>
    <n v="98921.903019885212"/>
    <n v="81"/>
    <n v="61.381773580344841"/>
    <n v="2418094.3050930677"/>
    <s v="OK"/>
  </r>
  <r>
    <d v="2047-02-12T00:00:00"/>
    <x v="0"/>
    <s v="February"/>
    <x v="0"/>
    <n v="93"/>
    <n v="-0.21903786787743912"/>
    <x v="1"/>
    <n v="28473.876478226663"/>
    <n v="3.1404233403787898"/>
    <n v="2.5869878669999999"/>
    <n v="18.827468134530768"/>
    <n v="5.942479776781024"/>
    <n v="80353.928392453701"/>
    <n v="92"/>
    <n v="26.737040894167869"/>
    <n v="2648070.5124750794"/>
    <s v="OK"/>
  </r>
  <r>
    <d v="2047-03-14T00:00:00"/>
    <x v="1"/>
    <s v="March"/>
    <x v="0"/>
    <n v="104"/>
    <n v="-0.15023877802714641"/>
    <x v="0"/>
    <n v="26952.438989203583"/>
    <m/>
    <n v="1.9416982460539693"/>
    <n v="1.9416982460539693"/>
    <n v="5.9725567578595022"/>
    <n v="122437.15712460942"/>
    <m/>
    <n v="98.766071710089051"/>
    <n v="2803053.6548771728"/>
    <s v="Missing Data"/>
  </r>
  <r>
    <d v="2047-04-13T00:00:00"/>
    <x v="2"/>
    <s v="April"/>
    <x v="1"/>
    <n v="870"/>
    <n v="4.6406796606386909"/>
    <x v="0"/>
    <n v="29065.143485072771"/>
    <n v="3.0064102364244079"/>
    <n v="1.3998457670283051"/>
    <n v="1.3998457670283051"/>
    <n v="3.1867929047852681"/>
    <n v="146400.81444034519"/>
    <n v="102"/>
    <n v="73.312584375593516"/>
    <n v="25286674.832013309"/>
    <s v="OK"/>
  </r>
  <r>
    <d v="2047-05-13T00:00:00"/>
    <x v="2"/>
    <s v="May"/>
    <x v="1"/>
    <n v="89"/>
    <n v="-0.244055718732091"/>
    <x v="1"/>
    <m/>
    <n v="3.4343715164538478"/>
    <n v="3.9223698616985079"/>
    <m/>
    <n v="5.1653399270190921"/>
    <n v="103922.62918047815"/>
    <n v="80"/>
    <n v="42.832325477073795"/>
    <n v="0"/>
    <s v="Missing Data"/>
  </r>
  <r>
    <d v="2047-06-12T00:00:00"/>
    <x v="0"/>
    <s v="June"/>
    <x v="1"/>
    <n v="86"/>
    <n v="-0.26281910687307991"/>
    <x v="1"/>
    <n v="32648.463771783652"/>
    <n v="3.5384259414793839"/>
    <n v="3.2789365035121141"/>
    <n v="3.2789365035121141"/>
    <n v="6.5141895654211854"/>
    <n v="81918.634205279988"/>
    <n v="84"/>
    <m/>
    <n v="2807767.8843733943"/>
    <s v="Missing Data"/>
  </r>
  <r>
    <d v="2047-07-12T00:00:00"/>
    <x v="1"/>
    <s v="July"/>
    <x v="2"/>
    <n v="93"/>
    <n v="-0.21903786787743912"/>
    <x v="2"/>
    <n v="29647.506109704544"/>
    <n v="3.3875720090959609"/>
    <n v="2.9577728661518856"/>
    <n v="2.9577728661518856"/>
    <n v="5.4413233798310729"/>
    <n v="69020.789498930506"/>
    <n v="89"/>
    <n v="28.75858928551952"/>
    <n v="2757218.0682025226"/>
    <s v="OK"/>
  </r>
  <r>
    <d v="2047-08-11T00:00:00"/>
    <x v="3"/>
    <s v="August"/>
    <x v="2"/>
    <n v="104"/>
    <n v="-0.15023877802714641"/>
    <x v="3"/>
    <n v="32432.50821913101"/>
    <n v="3.1749987095882704"/>
    <n v="4.1744924333475373"/>
    <n v="4.1744924333475373"/>
    <n v="3.8137721838357099"/>
    <n v="105159.51962442361"/>
    <n v="79"/>
    <n v="97.266933504606683"/>
    <n v="3372980.8547896249"/>
    <s v="OK"/>
  </r>
  <r>
    <d v="2047-09-10T00:00:00"/>
    <x v="4"/>
    <s v="September"/>
    <x v="2"/>
    <n v="91"/>
    <n v="-0.23154679330476505"/>
    <x v="1"/>
    <m/>
    <m/>
    <n v="2.4944039811709535"/>
    <n v="2.4944039811709535"/>
    <n v="5.4371146593070367"/>
    <n v="122077.54686632515"/>
    <m/>
    <n v="33.982799030669277"/>
    <n v="0"/>
    <s v="Missing Data"/>
  </r>
  <r>
    <d v="2047-10-10T00:00:00"/>
    <x v="3"/>
    <s v="October"/>
    <x v="3"/>
    <n v="113"/>
    <n v="-9.3948613604179651E-2"/>
    <x v="1"/>
    <n v="20122.667168230644"/>
    <n v="3.7209703247847044"/>
    <n v="3.1687416555925125"/>
    <n v="3.1687416555925125"/>
    <n v="7.5449266195065894"/>
    <n v="1095033.5492990762"/>
    <n v="80"/>
    <n v="71.842425444417131"/>
    <n v="2273861.3900100626"/>
    <s v="OK"/>
  </r>
  <r>
    <d v="2047-11-09T00:00:00"/>
    <x v="2"/>
    <s v="November"/>
    <x v="3"/>
    <n v="103"/>
    <n v="-0.15649324074080936"/>
    <x v="1"/>
    <n v="25303.323030906227"/>
    <n v="2.9548004612785768"/>
    <n v="1.4082991238606857"/>
    <n v="1.4082991238606857"/>
    <n v="6.9962700586416631"/>
    <n v="99951.923181622929"/>
    <n v="89"/>
    <m/>
    <n v="2606242.2721833414"/>
    <s v="Missing Data"/>
  </r>
  <r>
    <d v="2047-12-09T00:00:00"/>
    <x v="2"/>
    <s v="December"/>
    <x v="3"/>
    <n v="98"/>
    <n v="-0.18776555430912426"/>
    <x v="3"/>
    <n v="29279.562221391923"/>
    <n v="4.2054661898731354"/>
    <n v="2.112900297525599"/>
    <n v="2.112900297525599"/>
    <n v="5.4255951887607621"/>
    <n v="88214.566964213882"/>
    <n v="75"/>
    <n v="77.404910611882855"/>
    <n v="2869397.0976964086"/>
    <s v="OK"/>
  </r>
  <r>
    <d v="2048-01-08T00:00:00"/>
    <x v="2"/>
    <s v="January"/>
    <x v="0"/>
    <n v="100"/>
    <n v="-0.1752566288817983"/>
    <x v="3"/>
    <n v="23951.526285794462"/>
    <n v="3.4507059338578689"/>
    <n v="3.1955377575657775"/>
    <n v="3.1955377575657775"/>
    <n v="6.6417391324697039"/>
    <n v="78156.72734563821"/>
    <n v="84"/>
    <n v="82.145709379222481"/>
    <n v="2395152.6285794461"/>
    <s v="OK"/>
  </r>
  <r>
    <d v="2048-02-07T00:00:00"/>
    <x v="2"/>
    <s v="February"/>
    <x v="0"/>
    <n v="89"/>
    <n v="-0.244055718732091"/>
    <x v="1"/>
    <n v="32999.643649981022"/>
    <n v="3.509424811472424"/>
    <n v="3.3491021107431438"/>
    <n v="3.3491021107431438"/>
    <n v="5.0601915755583375"/>
    <n v="116695.02652649765"/>
    <n v="65"/>
    <n v="73.873578312914617"/>
    <n v="2936968.284848311"/>
    <s v="OK"/>
  </r>
  <r>
    <d v="2048-03-08T00:00:00"/>
    <x v="4"/>
    <s v="March"/>
    <x v="0"/>
    <n v="83"/>
    <n v="-0.28158249501406885"/>
    <x v="0"/>
    <n v="37653.754161718491"/>
    <n v="3.8541072116282784"/>
    <n v="2.2060330523358176"/>
    <n v="2.2060330523358176"/>
    <n v="3.4553540958079374"/>
    <n v="118275.43242771171"/>
    <n v="98"/>
    <n v="69.159956820415402"/>
    <n v="3125261.5954226349"/>
    <s v="OK"/>
  </r>
  <r>
    <d v="2048-04-07T00:00:00"/>
    <x v="0"/>
    <s v="April"/>
    <x v="1"/>
    <n v="92"/>
    <n v="-0.22529233059110207"/>
    <x v="2"/>
    <n v="36093.809258486581"/>
    <n v="3.616608065631751"/>
    <n v="2.4284007481419332"/>
    <n v="2.4284007481419332"/>
    <n v="4.3906408142445343"/>
    <n v="69085.404266185331"/>
    <n v="89"/>
    <n v="91.397527516160935"/>
    <n v="3320630.4517807653"/>
    <s v="OK"/>
  </r>
  <r>
    <d v="2048-05-07T00:00:00"/>
    <x v="2"/>
    <s v="May"/>
    <x v="1"/>
    <m/>
    <n v="-0.80070290024809565"/>
    <x v="3"/>
    <n v="28932.785645348958"/>
    <n v="3.9765683169566226"/>
    <n v="0.98212625331919057"/>
    <n v="0.98212625331919057"/>
    <n v="7.3754665222098374"/>
    <n v="131796.77956361367"/>
    <n v="88"/>
    <n v="26.290136879180643"/>
    <n v="0"/>
    <s v="Missing Data"/>
  </r>
  <r>
    <d v="2048-06-06T00:00:00"/>
    <x v="1"/>
    <s v="June"/>
    <x v="1"/>
    <m/>
    <n v="-0.80070290024809565"/>
    <x v="1"/>
    <n v="37453.630684249758"/>
    <n v="3.6435620826009121"/>
    <n v="2.1429707991933906"/>
    <n v="2.1429707991933906"/>
    <n v="5.1712083018048354"/>
    <n v="111481.42441788003"/>
    <n v="98"/>
    <m/>
    <n v="0"/>
    <s v="Missing Data"/>
  </r>
  <r>
    <d v="2048-07-06T00:00:00"/>
    <x v="4"/>
    <s v="July"/>
    <x v="2"/>
    <n v="102"/>
    <n v="-0.16274770345447234"/>
    <x v="0"/>
    <n v="30743.337286010559"/>
    <n v="3.1937813126797812"/>
    <n v="3.3903831635197861"/>
    <n v="3.3903831635197861"/>
    <m/>
    <n v="127991.89290291586"/>
    <n v="88"/>
    <n v="39.862998370467679"/>
    <n v="3135820.4031730769"/>
    <s v="Missing Data"/>
  </r>
  <r>
    <d v="2048-08-05T00:00:00"/>
    <x v="2"/>
    <s v="August"/>
    <x v="2"/>
    <n v="107"/>
    <n v="-0.13147538988615748"/>
    <x v="1"/>
    <n v="28314.570144409805"/>
    <n v="3.6807517626030508"/>
    <n v="3.0752050161065663"/>
    <n v="3.0752050161065663"/>
    <m/>
    <n v="73157.445030297706"/>
    <n v="89"/>
    <n v="99.041116965233726"/>
    <n v="3029659.0054518492"/>
    <s v="Missing Data"/>
  </r>
  <r>
    <d v="2048-09-04T00:00:00"/>
    <x v="1"/>
    <s v="September"/>
    <x v="2"/>
    <n v="103"/>
    <n v="-0.15649324074080936"/>
    <x v="3"/>
    <n v="269329.86682295299"/>
    <n v="2.928136896339669"/>
    <n v="3.0006657213812096"/>
    <n v="3.0006657213812096"/>
    <n v="7.784963907487608"/>
    <n v="72683.516891691223"/>
    <n v="103"/>
    <n v="51.151182373349883"/>
    <n v="27740976.282764159"/>
    <s v="OK"/>
  </r>
  <r>
    <d v="2048-10-04T00:00:00"/>
    <x v="2"/>
    <s v="October"/>
    <x v="3"/>
    <n v="100"/>
    <n v="-0.1752566288817983"/>
    <x v="1"/>
    <m/>
    <n v="3.5542798528882615"/>
    <n v="2.5497736871809602"/>
    <n v="2.5497736871809602"/>
    <n v="7.4511506984344757"/>
    <n v="97020.613804654058"/>
    <n v="85"/>
    <n v="78.609015939231895"/>
    <n v="0"/>
    <s v="Missing Data"/>
  </r>
  <r>
    <d v="2048-11-03T00:00:00"/>
    <x v="0"/>
    <s v="November"/>
    <x v="3"/>
    <m/>
    <n v="-0.80070290024809565"/>
    <x v="3"/>
    <n v="28059.115907293857"/>
    <n v="3.4833850046777695"/>
    <n v="2.5070631586281764"/>
    <n v="2.5070631586281764"/>
    <n v="8.1625362801377612"/>
    <n v="110055.68853790389"/>
    <n v="90"/>
    <m/>
    <n v="0"/>
    <s v="Missing Data"/>
  </r>
  <r>
    <d v="2048-12-03T00:00:00"/>
    <x v="4"/>
    <s v="December"/>
    <x v="3"/>
    <n v="85"/>
    <n v="-0.26907356958674289"/>
    <x v="2"/>
    <n v="30852.08111187744"/>
    <n v="3.3959415713637302"/>
    <n v="1.8396788605265528"/>
    <n v="1.8396788605265528"/>
    <n v="5.3091457475199384"/>
    <n v="135927.21645853927"/>
    <n v="84"/>
    <n v="36.966498998190218"/>
    <n v="2622426.8945095823"/>
    <s v="OK"/>
  </r>
  <r>
    <d v="2049-01-02T00:00:00"/>
    <x v="0"/>
    <s v="January"/>
    <x v="0"/>
    <n v="107"/>
    <n v="-0.13147538988615748"/>
    <x v="1"/>
    <n v="30802.869905249325"/>
    <n v="3.4357312442805346"/>
    <n v="3.1988284202025348"/>
    <n v="3.1988284202025348"/>
    <n v="5.8547493864965139"/>
    <n v="114121.57827630264"/>
    <n v="78"/>
    <n v="39.119814416924108"/>
    <n v="3295907.0798616777"/>
    <s v="OK"/>
  </r>
  <r>
    <d v="2049-02-01T00:00:00"/>
    <x v="4"/>
    <s v="February"/>
    <x v="0"/>
    <n v="106"/>
    <n v="-0.13772985259982046"/>
    <x v="3"/>
    <n v="30015.230100767072"/>
    <n v="2.5590754772511803"/>
    <n v="2.9209729443893897"/>
    <n v="2.9209729443893897"/>
    <n v="3.6800289406950508"/>
    <n v="95146.374463759334"/>
    <n v="84"/>
    <n v="42.502765084242725"/>
    <n v="3181614.3906813096"/>
    <s v="OK"/>
  </r>
  <r>
    <d v="2049-03-03T00:00:00"/>
    <x v="2"/>
    <s v="March"/>
    <x v="0"/>
    <n v="92"/>
    <n v="-0.22529233059110207"/>
    <x v="2"/>
    <n v="32184.690848731749"/>
    <n v="3.2256375461295193"/>
    <n v="2.9920188479927994"/>
    <n v="2.9920188479927994"/>
    <n v="7.2723213113419289"/>
    <n v="79472.615846682165"/>
    <n v="70"/>
    <n v="52.890182260750336"/>
    <n v="2960991.558083321"/>
    <s v="OK"/>
  </r>
  <r>
    <d v="2049-04-02T00:00:00"/>
    <x v="2"/>
    <s v="April"/>
    <x v="1"/>
    <n v="110"/>
    <n v="-0.11271200174516857"/>
    <x v="2"/>
    <n v="35953.231373931703"/>
    <m/>
    <n v="1.9739651573324197"/>
    <n v="1.9739651573324197"/>
    <n v="4.0986645384784781"/>
    <n v="124600.011454383"/>
    <n v="74"/>
    <n v="38.746005252042146"/>
    <n v="3954855.4511324875"/>
    <s v="Missing Data"/>
  </r>
  <r>
    <d v="2049-05-02T00:00:00"/>
    <x v="4"/>
    <s v="May"/>
    <x v="1"/>
    <n v="93"/>
    <n v="-0.21903786787743912"/>
    <x v="1"/>
    <n v="34747.770677206616"/>
    <n v="3.5799281959987002"/>
    <n v="0.34665708012875562"/>
    <n v="0.34665708012875562"/>
    <n v="5.7601306765151552"/>
    <n v="80705.89148498571"/>
    <n v="88"/>
    <n v="21.572118619747826"/>
    <n v="3231542.6729802154"/>
    <s v="OK"/>
  </r>
  <r>
    <d v="2049-06-01T00:00:00"/>
    <x v="1"/>
    <s v="June"/>
    <x v="1"/>
    <m/>
    <n v="-0.80070290024809565"/>
    <x v="3"/>
    <n v="22575.510157750483"/>
    <n v="2.9861624295370208"/>
    <n v="3.5971527117536954"/>
    <n v="3.5971527117536954"/>
    <n v="4.1832369668405871"/>
    <n v="132569.37109544643"/>
    <m/>
    <n v="90.351444544575642"/>
    <n v="0"/>
    <s v="Missing Data"/>
  </r>
  <r>
    <d v="2049-07-01T00:00:00"/>
    <x v="1"/>
    <s v="July"/>
    <x v="2"/>
    <n v="117"/>
    <n v="-6.8930762749527752E-2"/>
    <x v="3"/>
    <n v="17230.394325490226"/>
    <n v="4.1328539204323507"/>
    <n v="2.0211625439915957"/>
    <n v="2.0211625439915957"/>
    <n v="4.7933598079135651"/>
    <n v="94312.307007869807"/>
    <n v="74"/>
    <n v="97.248786510470723"/>
    <n v="2015956.1360823563"/>
    <s v="OK"/>
  </r>
  <r>
    <d v="2049-07-31T00:00:00"/>
    <x v="2"/>
    <s v="July"/>
    <x v="2"/>
    <n v="122"/>
    <n v="-3.7658449181212889E-2"/>
    <x v="0"/>
    <n v="34671.599556196365"/>
    <n v="3.0669125758927498"/>
    <n v="1.6372242359568794"/>
    <n v="1.6372242359568794"/>
    <n v="4.4952850827403594"/>
    <n v="131811.641452357"/>
    <n v="85"/>
    <n v="473.2563096252544"/>
    <n v="4229935.1458559567"/>
    <s v="OK"/>
  </r>
  <r>
    <d v="2049-08-30T00:00:00"/>
    <x v="2"/>
    <s v="August"/>
    <x v="2"/>
    <n v="90"/>
    <n v="-0.23780125601842803"/>
    <x v="2"/>
    <n v="23165.606507922894"/>
    <n v="3.9847286002633684"/>
    <n v="3.1934789119139939"/>
    <n v="3.1934789119139939"/>
    <n v="4.7705496871890185"/>
    <n v="113578.62580118557"/>
    <n v="105"/>
    <n v="47.080550354037825"/>
    <n v="2084904.5857130603"/>
    <s v="OK"/>
  </r>
  <r>
    <d v="2049-09-29T00:00:00"/>
    <x v="0"/>
    <s v="September"/>
    <x v="2"/>
    <n v="113"/>
    <n v="-9.3948613604179651E-2"/>
    <x v="0"/>
    <n v="28876.172990536583"/>
    <n v="3.7135971809358423"/>
    <n v="2.1079873600808705"/>
    <n v="2.1079873600808705"/>
    <n v="4.853052756221226"/>
    <n v="97260.090211150833"/>
    <n v="75"/>
    <n v="20.567345021949677"/>
    <n v="3263007.5479306336"/>
    <s v="OK"/>
  </r>
  <r>
    <d v="2049-10-29T00:00:00"/>
    <x v="2"/>
    <s v="October"/>
    <x v="3"/>
    <n v="110"/>
    <n v="-0.11271200174516857"/>
    <x v="1"/>
    <n v="24149.434869703204"/>
    <n v="3.1768863450780986"/>
    <n v="3.5599363840466216"/>
    <n v="3.5599363840466216"/>
    <n v="4.8420774460899079"/>
    <n v="89612.072563477472"/>
    <n v="89"/>
    <n v="744.20055066429927"/>
    <n v="2656437.8356673522"/>
    <s v="OK"/>
  </r>
  <r>
    <d v="2049-11-28T00:00:00"/>
    <x v="4"/>
    <s v="November"/>
    <x v="3"/>
    <n v="106"/>
    <n v="-0.13772985259982046"/>
    <x v="3"/>
    <n v="20990.097812099899"/>
    <m/>
    <n v="3.1170059495766975"/>
    <n v="3.1170059495766975"/>
    <n v="6.5000006941363688"/>
    <m/>
    <n v="84"/>
    <m/>
    <n v="2224950.3680825895"/>
    <s v="Missing Data"/>
  </r>
  <r>
    <d v="2049-12-28T00:00:00"/>
    <x v="1"/>
    <s v="December"/>
    <x v="3"/>
    <n v="92"/>
    <n v="-0.22529233059110207"/>
    <x v="1"/>
    <n v="32707.313641023939"/>
    <n v="2.9031815841217599"/>
    <n v="3.2789365035121141"/>
    <m/>
    <n v="4.1741646483249761"/>
    <n v="108566.33384750475"/>
    <n v="91"/>
    <n v="31.728664028800253"/>
    <n v="3009072.8549742023"/>
    <s v="Missing Data"/>
  </r>
  <r>
    <d v="2050-01-27T00:00:00"/>
    <x v="1"/>
    <s v="January"/>
    <x v="0"/>
    <n v="121"/>
    <n v="-4.391291189487586E-2"/>
    <x v="1"/>
    <n v="33795.775801513235"/>
    <n v="3.9595770868050009"/>
    <n v="1.1340442887994657"/>
    <n v="1.1340442887994657"/>
    <m/>
    <m/>
    <n v="101"/>
    <n v="32.773307949372061"/>
    <n v="4089288.8719831016"/>
    <s v="Missing Data"/>
  </r>
  <r>
    <d v="2050-02-26T00:00:00"/>
    <x v="0"/>
    <s v="February"/>
    <x v="0"/>
    <n v="89"/>
    <n v="-0.244055718732091"/>
    <x v="0"/>
    <n v="27117.447996366402"/>
    <n v="4.0002911590214891"/>
    <n v="3.7119439853864007"/>
    <n v="3.7119439853864007"/>
    <n v="6.9615509827666697"/>
    <n v="88123.771838625893"/>
    <n v="93"/>
    <n v="83.206659997715022"/>
    <n v="2413452.8716766099"/>
    <s v="OK"/>
  </r>
  <r>
    <d v="2050-03-28T00:00:00"/>
    <x v="1"/>
    <s v="March"/>
    <x v="0"/>
    <n v="117"/>
    <n v="-6.8930762749527752E-2"/>
    <x v="2"/>
    <n v="17044.788539275451"/>
    <n v="3.1646898954616773"/>
    <n v="2.761250531233856"/>
    <n v="2.761250531233856"/>
    <n v="4.8841643625839248"/>
    <n v="966873.71793647355"/>
    <n v="91"/>
    <n v="69.303259868331565"/>
    <n v="1994240.2590952278"/>
    <s v="OK"/>
  </r>
  <r>
    <d v="2050-04-27T00:00:00"/>
    <x v="1"/>
    <s v="April"/>
    <x v="1"/>
    <n v="106"/>
    <n v="-0.13772985259982046"/>
    <x v="0"/>
    <n v="27268.777758737586"/>
    <m/>
    <n v="2.1307228607537967"/>
    <n v="2.1307228607537967"/>
    <m/>
    <n v="101571.540594383"/>
    <n v="93"/>
    <n v="23.588844610217361"/>
    <n v="2890490.4424261842"/>
    <s v="Missing Data"/>
  </r>
  <r>
    <d v="2050-05-27T00:00:00"/>
    <x v="3"/>
    <s v="May"/>
    <x v="1"/>
    <n v="121"/>
    <n v="-4.391291189487586E-2"/>
    <x v="0"/>
    <n v="31959.020027012732"/>
    <n v="3.3749767427005235"/>
    <n v="2.643388467342251"/>
    <n v="2.643388467342251"/>
    <n v="5.2233704497836992"/>
    <n v="57425.31811170376"/>
    <n v="98"/>
    <n v="69.803759236982529"/>
    <n v="3867041.4232685403"/>
    <s v="OK"/>
  </r>
  <r>
    <d v="2050-06-26T00:00:00"/>
    <x v="4"/>
    <s v="June"/>
    <x v="1"/>
    <n v="95"/>
    <n v="-0.20652894245011316"/>
    <x v="3"/>
    <n v="22605.442156129357"/>
    <n v="3.6443468146399285"/>
    <n v="0.72376476710168003"/>
    <n v="0.72376476710168003"/>
    <n v="6.9156702500328517"/>
    <n v="109163.36229577397"/>
    <n v="87"/>
    <n v="44.713417827501289"/>
    <n v="2147517.0048322887"/>
    <s v="OK"/>
  </r>
  <r>
    <d v="2050-07-26T00:00:00"/>
    <x v="3"/>
    <s v="July"/>
    <x v="2"/>
    <n v="91"/>
    <n v="-0.23154679330476505"/>
    <x v="3"/>
    <n v="30916.799598895777"/>
    <n v="3.6301609193856104"/>
    <n v="2.9086528114806707"/>
    <n v="2.9086528114806707"/>
    <n v="5.7329291571440288"/>
    <n v="80405.575505663859"/>
    <n v="88"/>
    <n v="49.498012437667676"/>
    <n v="2813428.7634995156"/>
    <s v="OK"/>
  </r>
  <r>
    <d v="2050-08-25T00:00:00"/>
    <x v="1"/>
    <s v="August"/>
    <x v="2"/>
    <n v="82"/>
    <n v="-0.28783695772773182"/>
    <x v="0"/>
    <n v="299234.50754135021"/>
    <n v="3.432845629264726"/>
    <n v="1.4706284918179284"/>
    <n v="1.4706284918179284"/>
    <n v="4.8625428464708822"/>
    <n v="76933.351935885104"/>
    <n v="89"/>
    <n v="815.78513463750414"/>
    <n v="24537229.618390717"/>
    <s v="OK"/>
  </r>
  <r>
    <d v="2050-09-24T00:00:00"/>
    <x v="0"/>
    <s v="September"/>
    <x v="2"/>
    <n v="950"/>
    <n v="5.1410366777317291"/>
    <x v="0"/>
    <n v="32896.457498005439"/>
    <n v="3.9054041365798913"/>
    <n v="1.1473297141564656"/>
    <n v="1.1473297141564656"/>
    <n v="6.0806519814256479"/>
    <n v="66253.113057785784"/>
    <n v="92"/>
    <m/>
    <n v="31251634.623105168"/>
    <s v="Missing Data"/>
  </r>
  <r>
    <d v="2050-10-24T00:00:00"/>
    <x v="0"/>
    <s v="October"/>
    <x v="3"/>
    <n v="81"/>
    <n v="-0.2940914204413948"/>
    <x v="2"/>
    <n v="30597.901842070765"/>
    <n v="3.8967443602761067"/>
    <n v="2.5869878669999999"/>
    <n v="9.7764081378210896"/>
    <n v="4.1772494201962918"/>
    <n v="64122.150042642192"/>
    <n v="99"/>
    <n v="52.028530147186451"/>
    <n v="2478430.0492077321"/>
    <s v="OK"/>
  </r>
  <r>
    <d v="2050-11-23T00:00:00"/>
    <x v="1"/>
    <s v="November"/>
    <x v="3"/>
    <n v="101"/>
    <n v="-0.16900216616813532"/>
    <x v="1"/>
    <n v="25134.655295592223"/>
    <n v="2.6257340133809097"/>
    <n v="3.6126883749899252"/>
    <n v="3.6126883749899252"/>
    <n v="6.3176314125315374"/>
    <n v="72891.049937754215"/>
    <n v="82"/>
    <n v="95.772234880508378"/>
    <n v="2538600.1848548148"/>
    <s v="OK"/>
  </r>
  <r>
    <d v="2050-12-23T00:00:00"/>
    <x v="2"/>
    <s v="December"/>
    <x v="3"/>
    <n v="95"/>
    <n v="-0.20652894245011316"/>
    <x v="3"/>
    <n v="35982.857508322457"/>
    <n v="4.1521701214390765"/>
    <n v="2.5869878669999999"/>
    <n v="18.707366063072111"/>
    <n v="5.9903287692421214"/>
    <n v="85819.580847390185"/>
    <n v="83"/>
    <n v="52.51701743616578"/>
    <n v="3418371.4632906336"/>
    <s v="OK"/>
  </r>
  <r>
    <d v="2051-01-22T00:00:00"/>
    <x v="3"/>
    <s v="January"/>
    <x v="0"/>
    <n v="114"/>
    <n v="-8.7694150890516673E-2"/>
    <x v="3"/>
    <n v="29207.352134865148"/>
    <n v="2.6687540059821631"/>
    <n v="4.0337277099164996"/>
    <n v="4.0337277099164996"/>
    <n v="5.1306298346333392"/>
    <n v="139065.18275053136"/>
    <n v="94"/>
    <n v="81.746882818408793"/>
    <n v="3329638.143374627"/>
    <s v="OK"/>
  </r>
  <r>
    <d v="2051-02-21T00:00:00"/>
    <x v="1"/>
    <s v="February"/>
    <x v="0"/>
    <n v="92"/>
    <n v="-0.22529233059110207"/>
    <x v="3"/>
    <m/>
    <n v="4.0162731021708282"/>
    <n v="1.9641985369477022"/>
    <n v="1.9641985369477022"/>
    <n v="4.4936970418633226"/>
    <n v="89482.406482095917"/>
    <n v="88"/>
    <n v="58.710181165140725"/>
    <n v="0"/>
    <s v="Missing Data"/>
  </r>
  <r>
    <d v="2051-03-23T00:00:00"/>
    <x v="0"/>
    <s v="March"/>
    <x v="0"/>
    <n v="113"/>
    <n v="-9.3948613604179651E-2"/>
    <x v="2"/>
    <n v="25333.660204634019"/>
    <m/>
    <n v="0.79264204240705327"/>
    <n v="0.79264204240705327"/>
    <n v="4.4359828932598511"/>
    <n v="103555.00212536062"/>
    <n v="92"/>
    <n v="91.802586121766723"/>
    <n v="2862703.6031236444"/>
    <s v="Missing Data"/>
  </r>
  <r>
    <d v="2051-04-22T00:00:00"/>
    <x v="0"/>
    <s v="April"/>
    <x v="1"/>
    <n v="113"/>
    <n v="-9.3948613604179651E-2"/>
    <x v="0"/>
    <n v="27783.588744042449"/>
    <n v="2.9545167848924008"/>
    <n v="1.3834755600513409"/>
    <n v="1.3834755600513409"/>
    <n v="6.1417808036150925"/>
    <n v="108009.62773012658"/>
    <n v="78"/>
    <n v="92.620899492014289"/>
    <n v="3139545.5280767968"/>
    <s v="OK"/>
  </r>
  <r>
    <d v="2051-05-22T00:00:00"/>
    <x v="3"/>
    <s v="May"/>
    <x v="1"/>
    <n v="120"/>
    <n v="-5.0167374608538831E-2"/>
    <x v="2"/>
    <n v="25575.986429865494"/>
    <n v="3.2945928560227076"/>
    <n v="3.7358116200069387"/>
    <n v="3.7358116200069387"/>
    <n v="6.9747766029868741"/>
    <m/>
    <n v="102"/>
    <n v="26.99334462968671"/>
    <n v="3069118.3715838594"/>
    <s v="Missing Data"/>
  </r>
  <r>
    <d v="2051-06-21T00:00:00"/>
    <x v="4"/>
    <s v="June"/>
    <x v="1"/>
    <n v="108"/>
    <n v="-0.1252209271724945"/>
    <x v="3"/>
    <n v="29135.269700382883"/>
    <n v="2.9471476657570319"/>
    <n v="2.3441018220633323"/>
    <n v="2.3441018220633323"/>
    <n v="4.7352307035654464"/>
    <n v="98451.130785480127"/>
    <n v="96"/>
    <n v="94.919466504818061"/>
    <n v="3146609.1276413514"/>
    <s v="OK"/>
  </r>
  <r>
    <d v="2051-07-21T00:00:00"/>
    <x v="1"/>
    <s v="July"/>
    <x v="2"/>
    <n v="99"/>
    <n v="-0.18151109159546128"/>
    <x v="2"/>
    <n v="38558.542400711718"/>
    <n v="3.3925394848556323"/>
    <n v="1.9517127035093991"/>
    <n v="1.9517127035093991"/>
    <n v="6.0500640442617808"/>
    <n v="76094.1247280151"/>
    <n v="75"/>
    <n v="86.042787321633256"/>
    <n v="3817295.6976704602"/>
    <s v="OK"/>
  </r>
  <r>
    <d v="2051-08-20T00:00:00"/>
    <x v="1"/>
    <s v="August"/>
    <x v="2"/>
    <n v="108"/>
    <n v="-0.1252209271724945"/>
    <x v="1"/>
    <n v="23140.494285343219"/>
    <n v="3.3459828579071296"/>
    <n v="2.6600182258527876"/>
    <n v="2.6600182258527876"/>
    <n v="2.9955675776775177"/>
    <n v="129018.55096558423"/>
    <n v="87"/>
    <n v="83.304857145013358"/>
    <n v="2499173.3828170677"/>
    <s v="OK"/>
  </r>
  <r>
    <d v="2051-09-19T00:00:00"/>
    <x v="4"/>
    <s v="September"/>
    <x v="2"/>
    <n v="98"/>
    <n v="-0.18776555430912426"/>
    <x v="2"/>
    <n v="21932.193010616294"/>
    <n v="3.8898302661346698"/>
    <n v="3.0017827361675451"/>
    <n v="3.0017827361675451"/>
    <n v="4.7984587232113602"/>
    <n v="136143.93287275769"/>
    <n v="114"/>
    <n v="36.072907174841795"/>
    <n v="2149354.9150403971"/>
    <s v="OK"/>
  </r>
  <r>
    <d v="2051-10-19T00:00:00"/>
    <x v="3"/>
    <s v="October"/>
    <x v="3"/>
    <n v="92"/>
    <n v="-0.22529233059110207"/>
    <x v="0"/>
    <n v="37355.85163746804"/>
    <n v="4.155154373059804"/>
    <n v="3.6173988159024608"/>
    <n v="3.6173988159024608"/>
    <n v="5.4627292805549175"/>
    <n v="66346.826117546283"/>
    <n v="86"/>
    <n v="84.409536700373195"/>
    <n v="3436738.3506470597"/>
    <s v="OK"/>
  </r>
  <r>
    <d v="2051-11-18T00:00:00"/>
    <x v="3"/>
    <s v="November"/>
    <x v="3"/>
    <n v="96"/>
    <n v="-0.20027447973645018"/>
    <x v="1"/>
    <n v="28953.381614240669"/>
    <n v="4.197841905394978"/>
    <n v="3.948499229892926"/>
    <n v="3.948499229892926"/>
    <n v="4.4083798996217993"/>
    <n v="79519.428182272415"/>
    <n v="85"/>
    <n v="88.01061877480295"/>
    <n v="2779524.6349671041"/>
    <s v="OK"/>
  </r>
  <r>
    <d v="2051-12-18T00:00:00"/>
    <x v="0"/>
    <s v="December"/>
    <x v="3"/>
    <n v="94"/>
    <n v="-0.21278340516377614"/>
    <x v="0"/>
    <n v="26654.636306700417"/>
    <n v="3.218915986710849"/>
    <n v="2.5869878669999999"/>
    <n v="21.402313542109145"/>
    <n v="4.3761923502524844"/>
    <m/>
    <n v="95"/>
    <n v="43.132026756332074"/>
    <n v="2505535.8128298391"/>
    <s v="Missing Data"/>
  </r>
  <r>
    <d v="2052-01-17T00:00:00"/>
    <x v="4"/>
    <s v="January"/>
    <x v="0"/>
    <n v="75"/>
    <n v="-0.33161819672337262"/>
    <x v="2"/>
    <n v="35199.52343698038"/>
    <n v="3.3953890631277361"/>
    <n v="1.1739523139179617"/>
    <n v="1.1739523139179617"/>
    <n v="4.6986645322373368"/>
    <n v="80709.244101796168"/>
    <n v="97"/>
    <n v="96.180806268985904"/>
    <n v="2639964.2577735283"/>
    <s v="OK"/>
  </r>
  <r>
    <d v="2052-02-16T00:00:00"/>
    <x v="3"/>
    <s v="February"/>
    <x v="0"/>
    <n v="97"/>
    <n v="-0.19402001702278721"/>
    <x v="2"/>
    <n v="26971.922301315681"/>
    <n v="2.658280903889525"/>
    <n v="2.086534838876724"/>
    <n v="2.086534838876724"/>
    <n v="5.850631273991648"/>
    <n v="110119.31106911731"/>
    <n v="68"/>
    <n v="23.988811711933138"/>
    <n v="2616276.4632276208"/>
    <s v="OK"/>
  </r>
  <r>
    <d v="2052-03-17T00:00:00"/>
    <x v="2"/>
    <s v="March"/>
    <x v="0"/>
    <n v="1090"/>
    <n v="6.0166614576445445"/>
    <x v="0"/>
    <m/>
    <n v="3.0970649667519057"/>
    <n v="2.7602805065828862"/>
    <n v="2.7602805065828862"/>
    <n v="5.2752051779123503"/>
    <n v="85434.555951867733"/>
    <n v="86"/>
    <n v="31.992740259771175"/>
    <n v="0"/>
    <s v="Missing Data"/>
  </r>
  <r>
    <d v="2052-04-16T00:00:00"/>
    <x v="1"/>
    <s v="April"/>
    <x v="1"/>
    <n v="98"/>
    <n v="-0.18776555430912426"/>
    <x v="3"/>
    <n v="33389.629356696343"/>
    <n v="3.9824258165487287"/>
    <n v="1.5362410737893892"/>
    <n v="1.5362410737893892"/>
    <n v="2.8141225200100335"/>
    <n v="143301.12135613203"/>
    <n v="90"/>
    <n v="63.006491044121148"/>
    <n v="3272183.6769562415"/>
    <s v="OK"/>
  </r>
  <r>
    <d v="2052-05-16T00:00:00"/>
    <x v="0"/>
    <s v="May"/>
    <x v="1"/>
    <n v="121"/>
    <n v="-4.391291189487586E-2"/>
    <x v="0"/>
    <n v="27560.442959271488"/>
    <n v="4.3077914117741161"/>
    <n v="1.5428490851049572"/>
    <n v="1.5428490851049572"/>
    <n v="2.9551598168379205"/>
    <n v="123810.97188687192"/>
    <n v="80"/>
    <n v="66.063397689784779"/>
    <n v="3334813.5980718499"/>
    <s v="OK"/>
  </r>
  <r>
    <d v="2052-06-15T00:00:00"/>
    <x v="4"/>
    <s v="June"/>
    <x v="1"/>
    <n v="103"/>
    <n v="-0.15649324074080936"/>
    <x v="3"/>
    <n v="40786.541066327518"/>
    <m/>
    <n v="2.5869878669999999"/>
    <n v="28.437878815498856"/>
    <n v="4.7717617865713891"/>
    <n v="104251.4806126443"/>
    <n v="88"/>
    <n v="716.12006664072271"/>
    <n v="4201013.7298317347"/>
    <s v="Missing Data"/>
  </r>
  <r>
    <d v="2052-07-15T00:00:00"/>
    <x v="0"/>
    <s v="July"/>
    <x v="2"/>
    <n v="121"/>
    <n v="-4.391291189487586E-2"/>
    <x v="2"/>
    <m/>
    <n v="32.037678704235532"/>
    <n v="2.4513476484295489"/>
    <n v="2.4513476484295489"/>
    <n v="6.0492239032642621"/>
    <n v="120539.72526639464"/>
    <n v="95"/>
    <n v="21.357530345237315"/>
    <n v="0"/>
    <s v="Missing Data"/>
  </r>
  <r>
    <d v="2052-08-14T00:00:00"/>
    <x v="3"/>
    <s v="August"/>
    <x v="2"/>
    <n v="103"/>
    <n v="-0.15649324074080936"/>
    <x v="0"/>
    <n v="33710.476860046532"/>
    <n v="3.4867971215205364"/>
    <n v="2.5327969954115863"/>
    <n v="2.5327969954115863"/>
    <n v="2.2029941887297184"/>
    <n v="122118.00848714617"/>
    <n v="93"/>
    <n v="96.829341969770425"/>
    <n v="3472179.1165847927"/>
    <s v="OK"/>
  </r>
  <r>
    <d v="2052-09-13T00:00:00"/>
    <x v="3"/>
    <s v="September"/>
    <x v="2"/>
    <n v="91"/>
    <n v="-0.23154679330476505"/>
    <x v="0"/>
    <n v="31496.462902032461"/>
    <m/>
    <n v="1.7415046652999306"/>
    <n v="1.7415046652999306"/>
    <m/>
    <n v="88721.050238835131"/>
    <n v="95"/>
    <n v="23.567047418731519"/>
    <n v="2866178.1240849542"/>
    <s v="Missing Data"/>
  </r>
  <r>
    <d v="2052-10-13T00:00:00"/>
    <x v="2"/>
    <s v="October"/>
    <x v="3"/>
    <n v="91"/>
    <n v="-0.23154679330476505"/>
    <x v="3"/>
    <n v="36508.706446993994"/>
    <n v="3.0951982400391769"/>
    <n v="2.2695992857942326"/>
    <n v="2.2695992857942326"/>
    <n v="4.8685025721790947"/>
    <n v="83675.655109160711"/>
    <n v="93"/>
    <n v="31.444956217872189"/>
    <n v="3322292.2866764534"/>
    <s v="OK"/>
  </r>
  <r>
    <d v="2052-11-12T00:00:00"/>
    <x v="1"/>
    <s v="November"/>
    <x v="3"/>
    <m/>
    <n v="-0.80070290024809565"/>
    <x v="2"/>
    <n v="37807.555983634265"/>
    <n v="3.7120305222320447"/>
    <n v="1.5757668557316955"/>
    <n v="1.5757668557316955"/>
    <n v="7.166005333850137"/>
    <n v="101562.86125939294"/>
    <n v="81"/>
    <n v="21.12116140208456"/>
    <n v="0"/>
    <s v="Missing Data"/>
  </r>
  <r>
    <d v="2052-12-12T00:00:00"/>
    <x v="4"/>
    <s v="December"/>
    <x v="3"/>
    <n v="97"/>
    <n v="-0.19402001702278721"/>
    <x v="2"/>
    <n v="30160.020745328835"/>
    <n v="3.263080326464542"/>
    <n v="3.3901984111247869"/>
    <n v="3.3901984111247869"/>
    <n v="5.0379738259445634"/>
    <n v="117232.72248995888"/>
    <n v="89"/>
    <n v="65.348674663527575"/>
    <n v="2925522.0122968969"/>
    <s v="OK"/>
  </r>
  <r>
    <d v="2053-01-11T00:00:00"/>
    <x v="0"/>
    <s v="January"/>
    <x v="0"/>
    <n v="106"/>
    <n v="-0.13772985259982046"/>
    <x v="3"/>
    <n v="26232.910648269084"/>
    <n v="3.4927738645608604"/>
    <n v="0.72376476710168003"/>
    <m/>
    <n v="5.9595867816891142"/>
    <n v="102781.20797306835"/>
    <n v="73"/>
    <n v="94.581350713677779"/>
    <n v="2780688.5287165227"/>
    <s v="Missing Data"/>
  </r>
  <r>
    <d v="2053-02-10T00:00:00"/>
    <x v="1"/>
    <s v="February"/>
    <x v="0"/>
    <n v="110"/>
    <n v="-0.11271200174516857"/>
    <x v="0"/>
    <n v="32299.860714695584"/>
    <m/>
    <n v="0.65381213776190616"/>
    <n v="0.65381213776190616"/>
    <n v="56.695085681049555"/>
    <n v="68460.070356180047"/>
    <n v="860"/>
    <n v="73.275773286437129"/>
    <n v="3552984.6786165144"/>
    <s v="Missing Data"/>
  </r>
  <r>
    <d v="2053-03-12T00:00:00"/>
    <x v="3"/>
    <s v="March"/>
    <x v="0"/>
    <n v="91"/>
    <n v="-0.23154679330476505"/>
    <x v="0"/>
    <n v="26611.423151239469"/>
    <n v="3.5032111349054689"/>
    <n v="1.57048913980759"/>
    <n v="1.57048913980759"/>
    <n v="2.9433202242313592"/>
    <n v="83943.511120983152"/>
    <n v="91"/>
    <n v="85.812597478434185"/>
    <n v="2421639.5067627919"/>
    <s v="OK"/>
  </r>
  <r>
    <d v="2053-04-11T00:00:00"/>
    <x v="1"/>
    <s v="April"/>
    <x v="1"/>
    <n v="103"/>
    <n v="-0.15649324074080936"/>
    <x v="2"/>
    <n v="40066.936237633112"/>
    <n v="3.2818070547367157"/>
    <n v="1.0034707449099209"/>
    <n v="1.0034707449099209"/>
    <n v="6.4218486599580844"/>
    <n v="98520.542728112443"/>
    <n v="84"/>
    <n v="21.062496276686407"/>
    <n v="4126894.4324762104"/>
    <s v="OK"/>
  </r>
  <r>
    <d v="2053-05-11T00:00:00"/>
    <x v="0"/>
    <s v="May"/>
    <x v="1"/>
    <n v="84"/>
    <n v="-0.27532803230040587"/>
    <x v="1"/>
    <n v="30682.676655413688"/>
    <n v="3.4451950980370847"/>
    <n v="1.8499760655931019"/>
    <n v="1.8499760655931019"/>
    <n v="5.7584758065475459"/>
    <n v="98486.687913483402"/>
    <n v="81"/>
    <n v="63.361223878378084"/>
    <n v="2577344.8390547498"/>
    <s v="OK"/>
  </r>
  <r>
    <d v="2053-06-10T00:00:00"/>
    <x v="1"/>
    <s v="June"/>
    <x v="1"/>
    <n v="93"/>
    <n v="-0.21903786787743912"/>
    <x v="0"/>
    <n v="28173.392243439455"/>
    <n v="3.4558185203973322"/>
    <n v="2.4165620302096391"/>
    <n v="2.4165620302096391"/>
    <n v="6.1099223676095074"/>
    <n v="139450.84353579616"/>
    <n v="96"/>
    <n v="56.765038200441751"/>
    <n v="2620125.4786398695"/>
    <s v="OK"/>
  </r>
  <r>
    <d v="2053-07-10T00:00:00"/>
    <x v="3"/>
    <s v="July"/>
    <x v="2"/>
    <n v="113"/>
    <n v="-9.3948613604179651E-2"/>
    <x v="3"/>
    <n v="309234.01529324544"/>
    <n v="3.3149944850589361"/>
    <n v="1.0503547803014699"/>
    <n v="1.0503547803014699"/>
    <n v="10.211485247723591"/>
    <n v="72280.24115202004"/>
    <n v="86"/>
    <n v="59.917435537663444"/>
    <n v="34943443.728136733"/>
    <s v="OK"/>
  </r>
  <r>
    <d v="2053-08-09T00:00:00"/>
    <x v="1"/>
    <s v="August"/>
    <x v="2"/>
    <n v="105"/>
    <n v="-0.14398431531348344"/>
    <x v="0"/>
    <n v="23264.368552351516"/>
    <n v="3.370601968666449"/>
    <n v="1.5781401868746867"/>
    <n v="1.5781401868746867"/>
    <n v="29.990644726016939"/>
    <n v="110111.78483671749"/>
    <n v="99"/>
    <n v="25.777054826815036"/>
    <n v="2442758.6979969093"/>
    <s v="OK"/>
  </r>
  <r>
    <d v="2053-09-08T00:00:00"/>
    <x v="4"/>
    <s v="September"/>
    <x v="2"/>
    <n v="83"/>
    <n v="-0.28158249501406885"/>
    <x v="2"/>
    <n v="25141.929807446744"/>
    <n v="4.2993235852523588"/>
    <n v="1.4960426279185015"/>
    <n v="1.4960426279185015"/>
    <n v="7.5696359797133299"/>
    <n v="129782.26216656579"/>
    <n v="72"/>
    <n v="74.754828885544597"/>
    <n v="2086780.1740180799"/>
    <s v="OK"/>
  </r>
  <r>
    <d v="2053-10-08T00:00:00"/>
    <x v="1"/>
    <s v="October"/>
    <x v="3"/>
    <n v="96"/>
    <n v="-0.20027447973645018"/>
    <x v="3"/>
    <n v="36002.069539722128"/>
    <n v="3.7804597239706195"/>
    <n v="2.707267329398944"/>
    <n v="2.707267329398944"/>
    <n v="5.1550629767195737"/>
    <n v="145428.99490845593"/>
    <n v="83"/>
    <n v="60.257633188690754"/>
    <n v="3456198.6758133243"/>
    <s v="OK"/>
  </r>
  <r>
    <d v="2053-11-07T00:00:00"/>
    <x v="4"/>
    <s v="November"/>
    <x v="3"/>
    <n v="107"/>
    <n v="-0.13147538988615748"/>
    <x v="1"/>
    <n v="26715.528605143023"/>
    <n v="3.3522598409854196"/>
    <n v="2.5693443370362505"/>
    <n v="2.5693443370362505"/>
    <n v="5.8447946852836115"/>
    <n v="91912.051536320767"/>
    <n v="98"/>
    <n v="81.211907988901118"/>
    <n v="2858561.5607503033"/>
    <s v="OK"/>
  </r>
  <r>
    <d v="2053-12-07T00:00:00"/>
    <x v="1"/>
    <s v="December"/>
    <x v="3"/>
    <n v="83"/>
    <n v="-0.28158249501406885"/>
    <x v="0"/>
    <n v="24765.445086590302"/>
    <n v="3.8484772022553679"/>
    <n v="1.7782624466627466"/>
    <n v="1.7782624466627466"/>
    <n v="5.4453853056385091"/>
    <n v="109828.589054404"/>
    <n v="101"/>
    <n v="58.823250724937225"/>
    <n v="2055531.9421869949"/>
    <s v="OK"/>
  </r>
  <r>
    <d v="2054-01-06T00:00:00"/>
    <x v="3"/>
    <s v="January"/>
    <x v="0"/>
    <n v="105"/>
    <n v="-0.14398431531348344"/>
    <x v="2"/>
    <n v="32683.26376263643"/>
    <n v="3.333090255121995"/>
    <n v="2.6768208721393978"/>
    <n v="2.6768208721393978"/>
    <n v="4.990916399922348"/>
    <n v="111395.20714397293"/>
    <n v="950"/>
    <n v="31.950530898114565"/>
    <n v="3431742.6950768251"/>
    <s v="OK"/>
  </r>
  <r>
    <d v="2054-02-05T00:00:00"/>
    <x v="2"/>
    <s v="February"/>
    <x v="0"/>
    <n v="112"/>
    <n v="-0.10020307631784262"/>
    <x v="2"/>
    <n v="35928.520773314987"/>
    <n v="4.0865623187933204"/>
    <n v="1.9533199154127345"/>
    <n v="1.9533199154127345"/>
    <n v="4.8162004861134893"/>
    <n v="103909.63463106581"/>
    <n v="71"/>
    <n v="71.860556326225762"/>
    <n v="4023994.3266112786"/>
    <s v="OK"/>
  </r>
  <r>
    <d v="2054-03-07T00:00:00"/>
    <x v="2"/>
    <s v="March"/>
    <x v="0"/>
    <n v="99"/>
    <n v="-0.18151109159546128"/>
    <x v="0"/>
    <n v="33594.766553325331"/>
    <n v="3.6848210960990468"/>
    <n v="2.2283448896739468"/>
    <n v="2.2283448896739468"/>
    <n v="5.8954104826876108"/>
    <n v="98023.095975213873"/>
    <n v="85"/>
    <n v="33.790908968413298"/>
    <n v="3325881.8887792076"/>
    <s v="OK"/>
  </r>
  <r>
    <d v="2054-04-06T00:00:00"/>
    <x v="4"/>
    <s v="April"/>
    <x v="1"/>
    <n v="111"/>
    <n v="-0.10645753903150559"/>
    <x v="0"/>
    <n v="34980.238429029079"/>
    <n v="3.4463489279978856"/>
    <n v="4.1734520902985368"/>
    <n v="4.1734520902985368"/>
    <n v="3.6793915639939851"/>
    <n v="108719.50779000092"/>
    <n v="98"/>
    <n v="89.791565068385196"/>
    <n v="3882806.4656222276"/>
    <s v="OK"/>
  </r>
  <r>
    <d v="2054-05-06T00:00:00"/>
    <x v="4"/>
    <s v="May"/>
    <x v="1"/>
    <n v="105"/>
    <n v="-0.14398431531348344"/>
    <x v="0"/>
    <n v="26216.024557152698"/>
    <n v="3.723858462905139"/>
    <n v="3.8404610517903479"/>
    <n v="3.8404610517903479"/>
    <n v="6.4006950010261185"/>
    <n v="49355.07829560629"/>
    <n v="100"/>
    <n v="69.049299125539321"/>
    <n v="2752682.5785010331"/>
    <s v="OK"/>
  </r>
  <r>
    <d v="2054-06-05T00:00:00"/>
    <x v="2"/>
    <s v="June"/>
    <x v="1"/>
    <n v="93"/>
    <n v="-0.21903786787743912"/>
    <x v="0"/>
    <n v="22890.94666629078"/>
    <n v="2.7145619239657504"/>
    <n v="1.2004187630724024"/>
    <n v="1.2004187630724024"/>
    <n v="5.0005667141376957"/>
    <n v="113641.38980125263"/>
    <n v="88"/>
    <n v="32.57631068455634"/>
    <n v="2128858.0399650424"/>
    <s v="OK"/>
  </r>
  <r>
    <d v="2054-07-05T00:00:00"/>
    <x v="3"/>
    <s v="July"/>
    <x v="2"/>
    <n v="109"/>
    <n v="-0.11896646445883154"/>
    <x v="0"/>
    <n v="37506.668259777434"/>
    <n v="2.9366162655450974"/>
    <n v="3.3297324178791747"/>
    <n v="3.3297324178791747"/>
    <n v="4.143916793151571"/>
    <n v="102523.55807323934"/>
    <n v="82"/>
    <n v="96.987044598496539"/>
    <n v="4088226.8403157406"/>
    <s v="OK"/>
  </r>
  <r>
    <d v="2054-08-04T00:00:00"/>
    <x v="3"/>
    <s v="August"/>
    <x v="2"/>
    <n v="106"/>
    <n v="-0.13772985259982046"/>
    <x v="2"/>
    <n v="28386.60080578932"/>
    <n v="2.9030374968004722"/>
    <n v="2.5869878669999999"/>
    <n v="33.113965544915921"/>
    <n v="4.9599845704050232"/>
    <n v="95550.502064434695"/>
    <n v="930"/>
    <n v="61.469237066825649"/>
    <n v="3008979.6854136679"/>
    <s v="OK"/>
  </r>
  <r>
    <d v="2054-09-03T00:00:00"/>
    <x v="1"/>
    <s v="September"/>
    <x v="2"/>
    <n v="106"/>
    <n v="-0.13772985259982046"/>
    <x v="3"/>
    <n v="28745.834917724762"/>
    <n v="3.5714715473818535"/>
    <n v="1.3517367112473817"/>
    <n v="1.3517367112473817"/>
    <n v="7.0085790602350873"/>
    <n v="140937.24391439115"/>
    <n v="79"/>
    <n v="25.831876149732402"/>
    <n v="3047058.5012788246"/>
    <s v="OK"/>
  </r>
  <r>
    <d v="2054-10-03T00:00:00"/>
    <x v="4"/>
    <s v="October"/>
    <x v="3"/>
    <n v="103"/>
    <n v="-0.15649324074080936"/>
    <x v="3"/>
    <n v="36640.970709245288"/>
    <n v="4.3662574997425461"/>
    <n v="2.7602805065828862"/>
    <m/>
    <n v="4.8575978955805326"/>
    <n v="86501.319624188953"/>
    <n v="92"/>
    <n v="70.146632353205376"/>
    <n v="3774019.9830522649"/>
    <s v="Missing Data"/>
  </r>
  <r>
    <d v="2054-11-02T00:00:00"/>
    <x v="3"/>
    <s v="November"/>
    <x v="3"/>
    <n v="113"/>
    <n v="-9.3948613604179651E-2"/>
    <x v="1"/>
    <n v="32781.150047003299"/>
    <n v="4.6156500730963161"/>
    <n v="4.0379319184125526"/>
    <n v="4.0379319184125526"/>
    <n v="5.9301443418515447"/>
    <n v="91938.480218699391"/>
    <m/>
    <n v="40.255912561024815"/>
    <n v="3704269.9553113729"/>
    <s v="Missing Data"/>
  </r>
  <r>
    <d v="2054-12-02T00:00:00"/>
    <x v="0"/>
    <s v="December"/>
    <x v="3"/>
    <n v="111"/>
    <n v="-0.10645753903150559"/>
    <x v="3"/>
    <n v="322794.38860408036"/>
    <n v="3.8190255507203785"/>
    <n v="1.3774551937555861"/>
    <n v="1.3774551937555861"/>
    <n v="4.6228524691414323"/>
    <n v="1398310.6604409469"/>
    <n v="92"/>
    <n v="84.2954761501842"/>
    <n v="35830177.135052919"/>
    <s v="OK"/>
  </r>
  <r>
    <d v="2055-01-01T00:00:00"/>
    <x v="1"/>
    <s v="January"/>
    <x v="0"/>
    <m/>
    <n v="-0.80070290024809565"/>
    <x v="1"/>
    <n v="40825.011724505421"/>
    <n v="3.7504222374722285"/>
    <n v="1.5824971789857365"/>
    <n v="1.5824971789857365"/>
    <n v="6.4095062199083435"/>
    <m/>
    <n v="92"/>
    <n v="85.425765885295249"/>
    <n v="0"/>
    <s v="Missing Data"/>
  </r>
  <r>
    <d v="2055-01-31T00:00:00"/>
    <x v="1"/>
    <s v="January"/>
    <x v="0"/>
    <n v="89"/>
    <n v="-0.244055718732091"/>
    <x v="2"/>
    <n v="26782.408848099287"/>
    <n v="2.5994711329236306"/>
    <n v="3.5176614668435024"/>
    <n v="3.5176614668435024"/>
    <m/>
    <n v="88997.69434126922"/>
    <n v="90"/>
    <n v="98.315788468372943"/>
    <n v="2383634.3874808364"/>
    <s v="Missing Data"/>
  </r>
  <r>
    <d v="2055-03-02T00:00:00"/>
    <x v="2"/>
    <s v="March"/>
    <x v="0"/>
    <n v="111"/>
    <n v="-0.10645753903150559"/>
    <x v="3"/>
    <n v="34639.200640406183"/>
    <n v="3.2286631001329891"/>
    <n v="2.7714953108256482"/>
    <n v="2.7714953108256482"/>
    <n v="7.7183305999556939"/>
    <n v="97059.491531382999"/>
    <n v="82"/>
    <n v="60.149562481960295"/>
    <n v="3844951.2710850863"/>
    <s v="OK"/>
  </r>
  <r>
    <d v="2055-04-01T00:00:00"/>
    <x v="4"/>
    <s v="April"/>
    <x v="1"/>
    <n v="104"/>
    <n v="-0.15023877802714641"/>
    <x v="3"/>
    <m/>
    <n v="3.1061081240458805"/>
    <n v="3.0514762752395233"/>
    <n v="3.0514762752395233"/>
    <n v="5.2893232654009417"/>
    <n v="1168146.8964259098"/>
    <n v="850"/>
    <n v="56.396550378218969"/>
    <n v="0"/>
    <s v="Missing Data"/>
  </r>
  <r>
    <d v="2055-05-01T00:00:00"/>
    <x v="3"/>
    <s v="May"/>
    <x v="1"/>
    <m/>
    <n v="-0.80070290024809565"/>
    <x v="3"/>
    <n v="31342.961394316284"/>
    <n v="3.1895762008744422"/>
    <n v="2.8405892164004967"/>
    <n v="2.8405892164004967"/>
    <n v="6.3023857657094879"/>
    <n v="104156.05014706627"/>
    <n v="90"/>
    <n v="802.78048435718449"/>
    <n v="0"/>
    <s v="Missing Data"/>
  </r>
  <r>
    <d v="2055-05-31T00:00:00"/>
    <x v="3"/>
    <s v="May"/>
    <x v="1"/>
    <n v="109"/>
    <n v="-0.11896646445883154"/>
    <x v="2"/>
    <n v="37642.342132062658"/>
    <n v="3.4159280907076051"/>
    <n v="2.890695920928144"/>
    <n v="2.890695920928144"/>
    <n v="5.6176810474467338"/>
    <n v="74147.493056954743"/>
    <n v="83"/>
    <n v="30.597652507354127"/>
    <n v="4103015.2923948299"/>
    <s v="OK"/>
  </r>
  <r>
    <d v="2055-06-30T00:00:00"/>
    <x v="1"/>
    <s v="June"/>
    <x v="1"/>
    <n v="108"/>
    <n v="-0.1252209271724945"/>
    <x v="3"/>
    <n v="32539.178781448118"/>
    <n v="3.2639547111514364"/>
    <n v="1.173527871688917"/>
    <n v="1.173527871688917"/>
    <n v="7.0550461382356175"/>
    <n v="89356.628737456209"/>
    <m/>
    <n v="63.753241103449938"/>
    <n v="3514231.3083963967"/>
    <s v="Missing Data"/>
  </r>
  <r>
    <d v="2055-07-30T00:00:00"/>
    <x v="4"/>
    <s v="July"/>
    <x v="2"/>
    <n v="127"/>
    <n v="-6.3861356128980225E-3"/>
    <x v="2"/>
    <n v="32691.480395248163"/>
    <n v="2.510350094812106"/>
    <n v="3.5473177066214481"/>
    <n v="3.5473177066214481"/>
    <n v="4.6374011348695232"/>
    <n v="87852.91133575578"/>
    <n v="102"/>
    <n v="63.699808010468075"/>
    <n v="4151818.0101965168"/>
    <s v="OK"/>
  </r>
  <r>
    <d v="2055-08-29T00:00:00"/>
    <x v="4"/>
    <s v="August"/>
    <x v="2"/>
    <n v="104"/>
    <n v="-0.15023877802714641"/>
    <x v="3"/>
    <n v="35362.536686549014"/>
    <n v="3.8739551280587667"/>
    <n v="3.6695899924277735"/>
    <n v="3.6695899924277735"/>
    <n v="6.3940063754527374"/>
    <n v="98455.579095539084"/>
    <n v="76"/>
    <n v="27.157849824830976"/>
    <n v="3677703.8154010973"/>
    <s v="OK"/>
  </r>
  <r>
    <d v="2055-09-28T00:00:00"/>
    <x v="4"/>
    <s v="September"/>
    <x v="2"/>
    <n v="106"/>
    <n v="-0.13772985259982046"/>
    <x v="3"/>
    <n v="28175.236352285574"/>
    <n v="2.9636284871300966"/>
    <n v="2.2706092559319724"/>
    <n v="2.2706092559319724"/>
    <n v="5.2663632446599822"/>
    <n v="108516.87317259658"/>
    <n v="99"/>
    <n v="53.438726840553088"/>
    <n v="2986575.0533422707"/>
    <s v="OK"/>
  </r>
  <r>
    <d v="2055-10-28T00:00:00"/>
    <x v="2"/>
    <s v="October"/>
    <x v="3"/>
    <n v="94"/>
    <n v="-0.21278340516377614"/>
    <x v="3"/>
    <n v="25803.951663304968"/>
    <n v="3.6196234320555747"/>
    <n v="2.4565230501861377"/>
    <n v="2.4565230501861377"/>
    <n v="5.4229741874698023"/>
    <n v="108364.11511775944"/>
    <n v="77"/>
    <n v="88.262783885376152"/>
    <n v="2425571.4563506669"/>
    <s v="OK"/>
  </r>
  <r>
    <d v="2055-11-27T00:00:00"/>
    <x v="3"/>
    <s v="November"/>
    <x v="3"/>
    <n v="81"/>
    <n v="-0.2940914204413948"/>
    <x v="1"/>
    <n v="24775.954029894834"/>
    <n v="4.5370413348749867"/>
    <n v="0.96889249744427786"/>
    <n v="0.96889249744427786"/>
    <n v="5.6101029813380476"/>
    <n v="64479.764919031957"/>
    <n v="101"/>
    <n v="88.492289759572827"/>
    <n v="2006852.2764214815"/>
    <s v="OK"/>
  </r>
  <r>
    <d v="2055-12-27T00:00:00"/>
    <x v="4"/>
    <s v="December"/>
    <x v="3"/>
    <n v="95"/>
    <n v="-0.20652894245011316"/>
    <x v="0"/>
    <n v="20168.217053119992"/>
    <n v="3.0403077042067883"/>
    <n v="3.0142547560178348"/>
    <n v="3.0142547560178348"/>
    <n v="5.8026884757120127"/>
    <n v="121278.81975121712"/>
    <n v="94"/>
    <n v="27.939013193574482"/>
    <n v="1915980.6200463993"/>
    <s v="OK"/>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d v="2015-01-01T00:00:00"/>
    <x v="0"/>
    <x v="0"/>
    <n v="96"/>
    <n v="99.077532934131725"/>
    <n v="200"/>
    <n v="100.92246706586828"/>
    <n v="7"/>
    <n v="4400"/>
    <n v="9.9077532934131725"/>
    <n v="-61.291453892215586"/>
    <n v="-61.291453892215586"/>
    <n v="0"/>
    <n v="-59.446519760479035"/>
    <n v="-0.7"/>
    <n v="29.723259880239521"/>
  </r>
  <r>
    <d v="2015-01-31T00:00:00"/>
    <x v="0"/>
    <x v="0"/>
    <n v="107"/>
    <n v="99.078697130788512"/>
    <n v="200"/>
    <n v="100.92130286921149"/>
    <n v="7"/>
    <n v="4400"/>
    <n v="9.9078697130788527"/>
    <n v="-61.289824016896077"/>
    <n v="-61.289824016896077"/>
    <n v="0"/>
    <n v="-59.447218278473102"/>
    <n v="-0.7"/>
    <n v="29.723609139236558"/>
  </r>
  <r>
    <d v="2015-03-02T00:00:00"/>
    <x v="1"/>
    <x v="1"/>
    <n v="88"/>
    <n v="99.0798613274453"/>
    <n v="185"/>
    <n v="85.9201386725547"/>
    <n v="10"/>
    <n v="4070"/>
    <n v="9.9079861327445311"/>
    <n v="42.883681053124192"/>
    <n v="42.883681053124192"/>
    <n v="0"/>
    <n v="29.723958398233592"/>
    <n v="0.2"/>
    <n v="118.89583359293435"/>
  </r>
  <r>
    <d v="2015-04-01T00:00:00"/>
    <x v="2"/>
    <x v="2"/>
    <n v="103"/>
    <n v="99.081025524102088"/>
    <n v="250"/>
    <n v="150.91897447589793"/>
    <n v="5"/>
    <n v="5500"/>
    <n v="9.9081025524102095"/>
    <n v="-27.067692570770319"/>
    <n v="-27.067692570770319"/>
    <n v="0"/>
    <n v="24.770256381025519"/>
    <n v="0.15"/>
    <n v="113.94317935271739"/>
  </r>
  <r>
    <d v="2015-05-01T00:00:00"/>
    <x v="2"/>
    <x v="3"/>
    <n v="111"/>
    <n v="99.082189720758876"/>
    <n v="250"/>
    <n v="150.91781027924111"/>
    <n v="5"/>
    <n v="5500"/>
    <n v="9.908218972075888"/>
    <n v="-27.065073128292525"/>
    <n v="-27.065073128292525"/>
    <n v="0"/>
    <n v="24.770547430189708"/>
    <n v="0.15"/>
    <n v="113.9445181788727"/>
  </r>
  <r>
    <d v="2015-05-31T00:00:00"/>
    <x v="2"/>
    <x v="3"/>
    <n v="90"/>
    <n v="99.083353917415664"/>
    <n v="250"/>
    <n v="150.91664608258435"/>
    <n v="5"/>
    <n v="5500"/>
    <n v="9.9083353917415664"/>
    <n v="-27.062453685814774"/>
    <n v="-27.062453685814774"/>
    <n v="0"/>
    <n v="24.770838479353912"/>
    <n v="0.15"/>
    <n v="113.945857005028"/>
  </r>
  <r>
    <d v="2015-06-30T00:00:00"/>
    <x v="0"/>
    <x v="4"/>
    <n v="94"/>
    <n v="99.084518114072452"/>
    <n v="200"/>
    <n v="100.91548188592755"/>
    <n v="7"/>
    <n v="4400"/>
    <n v="9.9084518114072466"/>
    <n v="-61.281674640298561"/>
    <n v="-61.281674640298561"/>
    <n v="0"/>
    <n v="-59.450710868443466"/>
    <n v="-0.7"/>
    <n v="29.72535543422174"/>
  </r>
  <r>
    <d v="2015-07-30T00:00:00"/>
    <x v="3"/>
    <x v="5"/>
    <n v="98"/>
    <n v="99.08568231072924"/>
    <n v="190"/>
    <n v="90.91431768927076"/>
    <n v="11"/>
    <n v="4180"/>
    <n v="9.9085682310729251"/>
    <n v="8.1713646214584799"/>
    <n v="8.1713646214584799"/>
    <n v="0"/>
    <n v="0"/>
    <n v="-0.1"/>
    <n v="89.17711407965632"/>
  </r>
  <r>
    <d v="2015-08-29T00:00:00"/>
    <x v="0"/>
    <x v="6"/>
    <n v="103"/>
    <n v="99.086846507386028"/>
    <n v="200"/>
    <n v="100.91315349261397"/>
    <n v="7"/>
    <n v="4400"/>
    <n v="9.9086846507386035"/>
    <n v="-61.278414889659558"/>
    <n v="-61.278414889659558"/>
    <n v="0"/>
    <n v="-59.452107904431614"/>
    <n v="-0.7"/>
    <n v="29.726053952215814"/>
  </r>
  <r>
    <d v="2015-09-28T00:00:00"/>
    <x v="3"/>
    <x v="7"/>
    <n v="94"/>
    <n v="99.088010704042816"/>
    <n v="190"/>
    <n v="90.911989295957184"/>
    <n v="11"/>
    <n v="4180"/>
    <n v="9.9088010704042819"/>
    <n v="8.1760214080856315"/>
    <n v="8.1760214080856315"/>
    <n v="0"/>
    <n v="0"/>
    <n v="-0.1"/>
    <n v="89.179209633638536"/>
  </r>
  <r>
    <d v="2015-10-28T00:00:00"/>
    <x v="4"/>
    <x v="8"/>
    <n v="99"/>
    <n v="99.089174900699589"/>
    <n v="150"/>
    <n v="50.910825099300411"/>
    <n v="13"/>
    <n v="3300"/>
    <n v="9.9089174900699604"/>
    <n v="46.196566303385197"/>
    <n v="46.196566303385197"/>
    <n v="0"/>
    <n v="-1.9817834980139821"/>
    <n v="-0.12"/>
    <n v="87.19847391261564"/>
  </r>
  <r>
    <d v="2015-11-27T00:00:00"/>
    <x v="0"/>
    <x v="9"/>
    <n v="90"/>
    <n v="99.090339097356377"/>
    <n v="200"/>
    <n v="100.90966090264362"/>
    <n v="7"/>
    <n v="4400"/>
    <n v="9.9090339097356388"/>
    <n v="-61.273525263701067"/>
    <n v="-61.273525263701067"/>
    <n v="0"/>
    <n v="-59.454203458413822"/>
    <n v="-0.7"/>
    <n v="29.727101729206918"/>
  </r>
  <r>
    <d v="2015-12-27T00:00:00"/>
    <x v="0"/>
    <x v="10"/>
    <n v="100"/>
    <n v="99.091503294013165"/>
    <n v="200"/>
    <n v="100.90849670598683"/>
    <n v="7"/>
    <n v="4400"/>
    <n v="9.9091503294013172"/>
    <n v="-61.271895388381566"/>
    <n v="-61.271895388381566"/>
    <n v="0"/>
    <n v="-59.454901976407896"/>
    <n v="-0.7"/>
    <n v="29.727450988203955"/>
  </r>
  <r>
    <d v="2016-01-26T00:00:00"/>
    <x v="0"/>
    <x v="0"/>
    <n v="103"/>
    <n v="99.092667490669953"/>
    <n v="200"/>
    <n v="100.90733250933005"/>
    <n v="7"/>
    <n v="4400"/>
    <n v="9.9092667490669957"/>
    <n v="-61.270265513062064"/>
    <n v="-61.270265513062064"/>
    <n v="0"/>
    <n v="-59.45560049440197"/>
    <n v="-0.7"/>
    <n v="29.727800247200989"/>
  </r>
  <r>
    <d v="2016-02-25T00:00:00"/>
    <x v="2"/>
    <x v="11"/>
    <n v="94"/>
    <n v="99.093831687326741"/>
    <n v="250"/>
    <n v="150.90616831267326"/>
    <n v="5"/>
    <n v="5500"/>
    <n v="9.9093831687326741"/>
    <n v="-27.03887870351484"/>
    <n v="-27.03887870351484"/>
    <n v="0"/>
    <n v="24.773457921831678"/>
    <n v="0.15"/>
    <n v="113.95790644042575"/>
  </r>
  <r>
    <d v="2016-03-26T00:00:00"/>
    <x v="2"/>
    <x v="1"/>
    <n v="105"/>
    <n v="99.094995883983529"/>
    <n v="250"/>
    <n v="150.90500411601647"/>
    <n v="5"/>
    <n v="5500"/>
    <n v="9.9094995883983543"/>
    <n v="-27.03625926103706"/>
    <n v="-27.03625926103706"/>
    <n v="0"/>
    <n v="24.773748970995882"/>
    <n v="0.15"/>
    <n v="113.95924526658105"/>
  </r>
  <r>
    <d v="2016-04-25T00:00:00"/>
    <x v="3"/>
    <x v="2"/>
    <n v="86"/>
    <n v="99.096160080640317"/>
    <n v="190"/>
    <n v="90.903839919359683"/>
    <n v="11"/>
    <n v="4180"/>
    <n v="9.9096160080640328"/>
    <n v="8.1923201612806338"/>
    <n v="8.1923201612806338"/>
    <n v="0"/>
    <n v="0"/>
    <n v="-0.1"/>
    <n v="89.186544072576282"/>
  </r>
  <r>
    <d v="2016-05-25T00:00:00"/>
    <x v="3"/>
    <x v="3"/>
    <n v="92"/>
    <n v="99.097324277297105"/>
    <n v="190"/>
    <n v="90.902675722702895"/>
    <n v="11"/>
    <n v="4180"/>
    <n v="9.9097324277297112"/>
    <n v="8.1946485545942096"/>
    <n v="8.1946485545942096"/>
    <n v="0"/>
    <n v="0"/>
    <n v="-0.1"/>
    <n v="89.187591849567397"/>
  </r>
  <r>
    <d v="2016-06-24T00:00:00"/>
    <x v="0"/>
    <x v="4"/>
    <n v="94"/>
    <n v="99.098488473953893"/>
    <n v="200"/>
    <n v="100.90151152604611"/>
    <n v="7"/>
    <n v="4400"/>
    <n v="9.9098488473953896"/>
    <n v="-61.262116136464549"/>
    <n v="-61.262116136464549"/>
    <n v="0"/>
    <n v="-59.459093084372334"/>
    <n v="-0.7"/>
    <n v="29.729546542186171"/>
  </r>
  <r>
    <d v="2016-07-24T00:00:00"/>
    <x v="3"/>
    <x v="5"/>
    <n v="101"/>
    <n v="99.099652670610681"/>
    <n v="190"/>
    <n v="90.900347329389319"/>
    <n v="11"/>
    <n v="4180"/>
    <n v="9.9099652670610681"/>
    <n v="8.1993053412213612"/>
    <n v="8.1993053412213612"/>
    <n v="0"/>
    <n v="0"/>
    <n v="-0.1"/>
    <n v="89.189687403549613"/>
  </r>
  <r>
    <d v="2016-08-23T00:00:00"/>
    <x v="2"/>
    <x v="6"/>
    <n v="103"/>
    <n v="99.100816867267469"/>
    <n v="250"/>
    <n v="150.89918313273253"/>
    <n v="5"/>
    <n v="5500"/>
    <n v="9.9100816867267483"/>
    <n v="-27.023162048648203"/>
    <n v="-27.023162048648203"/>
    <n v="0"/>
    <n v="24.77520421681686"/>
    <n v="0.15"/>
    <n v="113.96593939735757"/>
  </r>
  <r>
    <d v="2016-09-22T00:00:00"/>
    <x v="3"/>
    <x v="7"/>
    <n v="84"/>
    <n v="99.101981063924256"/>
    <n v="190"/>
    <n v="90.898018936075744"/>
    <n v="11"/>
    <n v="4180"/>
    <n v="9.9101981063924267"/>
    <n v="8.2039621278485129"/>
    <n v="8.2039621278485129"/>
    <n v="0"/>
    <n v="0"/>
    <n v="-0.1"/>
    <n v="89.191782957531828"/>
  </r>
  <r>
    <d v="2016-10-22T00:00:00"/>
    <x v="4"/>
    <x v="8"/>
    <n v="76"/>
    <n v="99.10314526058103"/>
    <n v="150"/>
    <n v="50.89685473941897"/>
    <n v="13"/>
    <n v="3300"/>
    <n v="9.9103145260581034"/>
    <n v="46.22422761595044"/>
    <n v="46.22422761595044"/>
    <n v="0"/>
    <n v="-1.9820629052116203"/>
    <n v="-0.12"/>
    <n v="87.210767829311308"/>
  </r>
  <r>
    <d v="2016-11-21T00:00:00"/>
    <x v="2"/>
    <x v="9"/>
    <n v="100"/>
    <n v="99.104309457237818"/>
    <n v="250"/>
    <n v="150.89569054276217"/>
    <n v="5"/>
    <n v="5500"/>
    <n v="9.9104309457237818"/>
    <n v="-27.015303721214906"/>
    <n v="-27.015303721214906"/>
    <n v="0"/>
    <n v="24.776077364309444"/>
    <n v="0.15"/>
    <n v="113.96995587582349"/>
  </r>
  <r>
    <d v="2016-12-21T00:00:00"/>
    <x v="4"/>
    <x v="10"/>
    <n v="111"/>
    <n v="99.105473653894606"/>
    <n v="150"/>
    <n v="50.894526346105394"/>
    <n v="13"/>
    <n v="3300"/>
    <n v="9.910547365389462"/>
    <n v="46.228837834711328"/>
    <n v="46.228837834711328"/>
    <n v="0"/>
    <n v="-1.9821094730778839"/>
    <n v="-0.12"/>
    <n v="87.21281681542726"/>
  </r>
  <r>
    <d v="2017-01-20T00:00:00"/>
    <x v="3"/>
    <x v="0"/>
    <n v="93"/>
    <n v="99.106637850551394"/>
    <n v="190"/>
    <n v="90.893362149448606"/>
    <n v="11"/>
    <n v="4180"/>
    <n v="9.9106637850551405"/>
    <n v="8.2132757011027877"/>
    <n v="8.2132757011027877"/>
    <n v="0"/>
    <n v="0"/>
    <n v="-0.1"/>
    <n v="89.195974065496259"/>
  </r>
  <r>
    <d v="2017-02-19T00:00:00"/>
    <x v="1"/>
    <x v="11"/>
    <n v="87"/>
    <n v="99.107802047208182"/>
    <n v="185"/>
    <n v="85.892197952791818"/>
    <n v="10"/>
    <n v="4070"/>
    <n v="9.9107802047208189"/>
    <n v="42.947944708578817"/>
    <n v="42.947944708578817"/>
    <n v="0"/>
    <n v="29.732340614162453"/>
    <n v="0.2"/>
    <n v="118.92936245664981"/>
  </r>
  <r>
    <d v="2017-03-21T00:00:00"/>
    <x v="0"/>
    <x v="1"/>
    <n v="108"/>
    <n v="99.10896624386497"/>
    <n v="200"/>
    <n v="100.89103375613503"/>
    <n v="7"/>
    <n v="4400"/>
    <n v="9.9108966243864973"/>
    <n v="-61.247447258589041"/>
    <n v="-61.247447258589041"/>
    <n v="0"/>
    <n v="-59.46537974631898"/>
    <n v="-0.7"/>
    <n v="29.732689873159494"/>
  </r>
  <r>
    <d v="2017-04-20T00:00:00"/>
    <x v="2"/>
    <x v="2"/>
    <n v="106"/>
    <n v="99.110130440521758"/>
    <n v="250"/>
    <n v="150.88986955947826"/>
    <n v="5"/>
    <n v="5500"/>
    <n v="9.9110130440521758"/>
    <n v="-41.868726074904316"/>
    <n v="-41.868726074904316"/>
    <n v="0"/>
    <n v="9.9110130440521829"/>
    <n v="0"/>
    <n v="99.110130440521758"/>
  </r>
  <r>
    <d v="2017-05-20T00:00:00"/>
    <x v="4"/>
    <x v="3"/>
    <n v="108"/>
    <n v="99.111294637178545"/>
    <n v="150"/>
    <n v="50.888705362821455"/>
    <n v="13"/>
    <n v="3300"/>
    <n v="9.911129463717856"/>
    <n v="58.133718738074947"/>
    <n v="58.133718738074947"/>
    <n v="0"/>
    <n v="9.911129463717856"/>
    <n v="0"/>
    <n v="99.111294637178545"/>
  </r>
  <r>
    <d v="2017-06-19T00:00:00"/>
    <x v="1"/>
    <x v="4"/>
    <n v="96"/>
    <n v="99.112458833835333"/>
    <n v="185"/>
    <n v="85.887541166164667"/>
    <n v="10"/>
    <n v="4070"/>
    <n v="9.9112458833835344"/>
    <n v="23.136163551054196"/>
    <n v="23.136163551054196"/>
    <n v="0"/>
    <n v="9.9112458833835291"/>
    <n v="0"/>
    <n v="99.112458833835333"/>
  </r>
  <r>
    <d v="2017-07-19T00:00:00"/>
    <x v="1"/>
    <x v="5"/>
    <n v="113"/>
    <n v="99.113623030492121"/>
    <n v="185"/>
    <n v="85.886376969507879"/>
    <n v="10"/>
    <n v="4070"/>
    <n v="9.9113623030492128"/>
    <n v="23.138608364033459"/>
    <n v="23.138608364033459"/>
    <n v="0"/>
    <n v="9.9113623030492164"/>
    <n v="0"/>
    <n v="99.113623030492121"/>
  </r>
  <r>
    <d v="2017-08-18T00:00:00"/>
    <x v="2"/>
    <x v="6"/>
    <n v="95"/>
    <n v="99.114787227148909"/>
    <n v="250"/>
    <n v="150.88521277285111"/>
    <n v="5"/>
    <n v="5500"/>
    <n v="9.9114787227148913"/>
    <n v="-41.858946822987306"/>
    <n v="-41.858946822987306"/>
    <n v="0"/>
    <n v="9.9114787227148895"/>
    <n v="0"/>
    <n v="99.114787227148909"/>
  </r>
  <r>
    <d v="2017-09-17T00:00:00"/>
    <x v="2"/>
    <x v="7"/>
    <n v="94"/>
    <n v="99.115951423805683"/>
    <n v="250"/>
    <n v="150.88404857619432"/>
    <n v="5"/>
    <n v="5500"/>
    <n v="9.9115951423805697"/>
    <n v="-41.856502010008057"/>
    <n v="-41.856502010008057"/>
    <n v="0"/>
    <n v="9.9115951423805768"/>
    <n v="0"/>
    <n v="99.115951423805683"/>
  </r>
  <r>
    <d v="2017-10-17T00:00:00"/>
    <x v="1"/>
    <x v="8"/>
    <n v="107"/>
    <n v="99.117115620462471"/>
    <n v="185"/>
    <n v="85.882884379537529"/>
    <n v="10"/>
    <n v="4070"/>
    <n v="9.9117115620462481"/>
    <n v="23.145942802971192"/>
    <n v="23.145942802971192"/>
    <n v="0"/>
    <n v="9.9117115620462499"/>
    <n v="0"/>
    <n v="99.117115620462471"/>
  </r>
  <r>
    <d v="2017-11-16T00:00:00"/>
    <x v="0"/>
    <x v="9"/>
    <n v="114"/>
    <n v="99.118279817119259"/>
    <n v="200"/>
    <n v="100.88172018288074"/>
    <n v="7"/>
    <n v="4400"/>
    <n v="9.9118279817119266"/>
    <n v="8.1483876159504405"/>
    <n v="8.1483876159504405"/>
    <n v="0"/>
    <n v="9.911827981711923"/>
    <n v="0"/>
    <n v="99.118279817119259"/>
  </r>
  <r>
    <d v="2017-12-16T00:00:00"/>
    <x v="0"/>
    <x v="10"/>
    <n v="86"/>
    <n v="99.119444013776047"/>
    <n v="200"/>
    <n v="100.88055598622395"/>
    <n v="7"/>
    <n v="4400"/>
    <n v="9.911944401377605"/>
    <n v="8.1508324289297036"/>
    <n v="8.1508324289297036"/>
    <n v="0"/>
    <n v="9.9119444013776103"/>
    <n v="0"/>
    <n v="99.119444013776047"/>
  </r>
  <r>
    <d v="2018-01-15T00:00:00"/>
    <x v="4"/>
    <x v="0"/>
    <n v="100"/>
    <n v="99.120608210432835"/>
    <n v="150"/>
    <n v="50.879391789567165"/>
    <n v="13"/>
    <n v="3300"/>
    <n v="9.9120608210432835"/>
    <n v="58.153277241908953"/>
    <n v="58.153277241908953"/>
    <n v="0"/>
    <n v="9.9120608210432835"/>
    <n v="0"/>
    <n v="99.120608210432835"/>
  </r>
  <r>
    <d v="2018-02-14T00:00:00"/>
    <x v="0"/>
    <x v="11"/>
    <n v="108"/>
    <n v="99.121772407089622"/>
    <n v="200"/>
    <n v="100.87822759291038"/>
    <n v="7"/>
    <n v="4400"/>
    <n v="9.9121772407089637"/>
    <n v="8.1557220548882015"/>
    <n v="8.1557220548882015"/>
    <n v="0"/>
    <n v="9.9121772407089566"/>
    <n v="0"/>
    <n v="99.121772407089622"/>
  </r>
  <r>
    <d v="2018-03-16T00:00:00"/>
    <x v="1"/>
    <x v="1"/>
    <n v="101"/>
    <n v="99.12293660374641"/>
    <n v="185"/>
    <n v="85.87706339625359"/>
    <n v="10"/>
    <n v="4070"/>
    <n v="9.9122936603746421"/>
    <n v="23.158166867867465"/>
    <n v="23.158166867867465"/>
    <n v="0"/>
    <n v="9.9122936603746439"/>
    <n v="0"/>
    <n v="99.12293660374641"/>
  </r>
  <r>
    <d v="2018-04-15T00:00:00"/>
    <x v="1"/>
    <x v="2"/>
    <n v="94"/>
    <n v="99.124100800403198"/>
    <n v="185"/>
    <n v="85.875899199596802"/>
    <n v="10"/>
    <n v="4070"/>
    <n v="9.9124100800403205"/>
    <n v="23.160611680846714"/>
    <n v="23.160611680846714"/>
    <n v="0"/>
    <n v="9.912410080040317"/>
    <n v="0"/>
    <n v="99.124100800403198"/>
  </r>
  <r>
    <d v="2018-05-15T00:00:00"/>
    <x v="3"/>
    <x v="3"/>
    <n v="116"/>
    <n v="99.125264997059986"/>
    <n v="190"/>
    <n v="90.874735002940014"/>
    <n v="11"/>
    <n v="4180"/>
    <n v="9.912526499705999"/>
    <n v="18.163056493825977"/>
    <n v="18.163056493825977"/>
    <n v="0"/>
    <n v="9.9125264997060043"/>
    <n v="0"/>
    <n v="99.125264997059986"/>
  </r>
  <r>
    <d v="2018-06-14T00:00:00"/>
    <x v="1"/>
    <x v="4"/>
    <n v="97"/>
    <n v="99.126429193716774"/>
    <n v="185"/>
    <n v="85.873570806283226"/>
    <n v="10"/>
    <n v="4070"/>
    <n v="9.9126429193716774"/>
    <n v="23.165501306805226"/>
    <n v="23.165501306805226"/>
    <n v="0"/>
    <n v="9.9126429193716774"/>
    <n v="0"/>
    <n v="99.126429193716774"/>
  </r>
  <r>
    <d v="2018-07-14T00:00:00"/>
    <x v="0"/>
    <x v="5"/>
    <n v="96"/>
    <n v="99.127593390373562"/>
    <n v="200"/>
    <n v="100.87240660962644"/>
    <n v="7"/>
    <n v="4400"/>
    <n v="9.9127593390373576"/>
    <n v="8.1679461197844887"/>
    <n v="8.1679461197844887"/>
    <n v="0"/>
    <n v="9.9127593390373647"/>
    <n v="0"/>
    <n v="99.127593390373562"/>
  </r>
  <r>
    <d v="2018-08-13T00:00:00"/>
    <x v="4"/>
    <x v="6"/>
    <n v="94"/>
    <n v="99.128757587030336"/>
    <n v="150"/>
    <n v="50.871242412969664"/>
    <n v="13"/>
    <n v="3300"/>
    <n v="9.9128757587030343"/>
    <n v="58.170390932763709"/>
    <n v="58.170390932763709"/>
    <n v="0"/>
    <n v="9.9128757587030378"/>
    <n v="0"/>
    <n v="99.128757587030336"/>
  </r>
  <r>
    <d v="2018-09-12T00:00:00"/>
    <x v="3"/>
    <x v="7"/>
    <n v="118"/>
    <n v="99.129921783687124"/>
    <n v="190"/>
    <n v="90.870078216312876"/>
    <n v="11"/>
    <n v="4180"/>
    <n v="9.9129921783687127"/>
    <n v="18.172835745742958"/>
    <n v="18.172835745742958"/>
    <n v="0"/>
    <n v="9.9129921783687109"/>
    <n v="0"/>
    <n v="99.129921783687124"/>
  </r>
  <r>
    <d v="2018-10-12T00:00:00"/>
    <x v="0"/>
    <x v="8"/>
    <n v="104"/>
    <n v="99.131085980343912"/>
    <n v="200"/>
    <n v="100.86891401965609"/>
    <n v="7"/>
    <n v="4400"/>
    <n v="9.9131085980343912"/>
    <n v="8.175280558722207"/>
    <n v="8.175280558722207"/>
    <n v="0"/>
    <n v="9.913108598034384"/>
    <n v="0"/>
    <n v="99.131085980343912"/>
  </r>
  <r>
    <d v="2018-11-11T00:00:00"/>
    <x v="4"/>
    <x v="9"/>
    <n v="96"/>
    <n v="99.132250177000699"/>
    <n v="150"/>
    <n v="50.867749822999301"/>
    <n v="13"/>
    <n v="3300"/>
    <n v="9.9132250177000714"/>
    <n v="58.17772537170147"/>
    <n v="58.17772537170147"/>
    <n v="0"/>
    <n v="9.9132250177000714"/>
    <n v="0"/>
    <n v="99.132250177000699"/>
  </r>
  <r>
    <d v="2018-12-11T00:00:00"/>
    <x v="0"/>
    <x v="10"/>
    <n v="115"/>
    <n v="99.133414373657487"/>
    <n v="200"/>
    <n v="100.86658562634251"/>
    <n v="7"/>
    <n v="4400"/>
    <n v="9.9133414373657498"/>
    <n v="8.1801701846807191"/>
    <n v="8.1801701846807191"/>
    <n v="0"/>
    <n v="9.9133414373657445"/>
    <n v="0"/>
    <n v="99.133414373657487"/>
  </r>
  <r>
    <d v="2019-01-10T00:00:00"/>
    <x v="3"/>
    <x v="0"/>
    <n v="94"/>
    <n v="99.134578570314275"/>
    <n v="190"/>
    <n v="90.865421429685725"/>
    <n v="11"/>
    <n v="4180"/>
    <n v="9.9134578570314282"/>
    <n v="18.182614997659982"/>
    <n v="18.182614997659982"/>
    <n v="0"/>
    <n v="9.9134578570314318"/>
    <n v="0"/>
    <n v="99.134578570314275"/>
  </r>
  <r>
    <d v="2019-02-09T00:00:00"/>
    <x v="1"/>
    <x v="11"/>
    <n v="91"/>
    <n v="99.135742766971063"/>
    <n v="185"/>
    <n v="85.864257233028937"/>
    <n v="10"/>
    <n v="4070"/>
    <n v="9.9135742766971067"/>
    <n v="23.185059810639231"/>
    <n v="23.185059810639231"/>
    <n v="0"/>
    <n v="9.9135742766971049"/>
    <n v="0"/>
    <n v="99.135742766971063"/>
  </r>
  <r>
    <d v="2019-03-11T00:00:00"/>
    <x v="3"/>
    <x v="1"/>
    <n v="110"/>
    <n v="99.136906963627851"/>
    <n v="190"/>
    <n v="90.863093036372149"/>
    <n v="11"/>
    <n v="4180"/>
    <n v="9.9136906963627851"/>
    <n v="18.187504623618494"/>
    <n v="18.187504623618494"/>
    <n v="0"/>
    <n v="9.9136906963627922"/>
    <n v="0"/>
    <n v="99.136906963627851"/>
  </r>
  <r>
    <d v="2019-04-10T00:00:00"/>
    <x v="1"/>
    <x v="2"/>
    <n v="98"/>
    <n v="99.138071160284639"/>
    <n v="185"/>
    <n v="85.861928839715361"/>
    <n v="10"/>
    <n v="4070"/>
    <n v="9.9138071160284653"/>
    <n v="23.189949436597743"/>
    <n v="23.189949436597743"/>
    <n v="0"/>
    <n v="9.9138071160284653"/>
    <n v="0"/>
    <n v="99.138071160284639"/>
  </r>
  <r>
    <d v="2019-05-10T00:00:00"/>
    <x v="3"/>
    <x v="3"/>
    <n v="86"/>
    <n v="99.139235356941427"/>
    <n v="190"/>
    <n v="90.860764643058573"/>
    <n v="11"/>
    <n v="4180"/>
    <n v="9.9139235356941438"/>
    <n v="18.192394249576992"/>
    <n v="18.192394249576992"/>
    <n v="0"/>
    <n v="9.9139235356941384"/>
    <n v="0"/>
    <n v="99.139235356941427"/>
  </r>
  <r>
    <d v="2019-06-09T00:00:00"/>
    <x v="2"/>
    <x v="4"/>
    <n v="121"/>
    <n v="99.140399553598215"/>
    <n v="250"/>
    <n v="150.85960044640177"/>
    <n v="5"/>
    <n v="5500"/>
    <n v="9.9140399553598222"/>
    <n v="-41.805160937443731"/>
    <n v="-41.805160937443731"/>
    <n v="0"/>
    <n v="9.9140399553598257"/>
    <n v="0"/>
    <n v="99.140399553598215"/>
  </r>
  <r>
    <d v="2019-07-09T00:00:00"/>
    <x v="0"/>
    <x v="5"/>
    <n v="100"/>
    <n v="99.141563750254988"/>
    <n v="200"/>
    <n v="100.85843624974501"/>
    <n v="7"/>
    <n v="4400"/>
    <n v="9.9141563750254988"/>
    <n v="8.1972838755354758"/>
    <n v="8.1972838755354758"/>
    <n v="0"/>
    <n v="9.9141563750254988"/>
    <n v="0"/>
    <n v="99.141563750254988"/>
  </r>
  <r>
    <d v="2019-08-08T00:00:00"/>
    <x v="0"/>
    <x v="6"/>
    <n v="96"/>
    <n v="99.142727946911776"/>
    <n v="200"/>
    <n v="100.85727205308822"/>
    <n v="7"/>
    <n v="4400"/>
    <n v="9.9142727946911791"/>
    <n v="8.1997286885147389"/>
    <n v="8.1997286885147389"/>
    <n v="0"/>
    <n v="9.9142727946911862"/>
    <n v="0"/>
    <n v="99.142727946911776"/>
  </r>
  <r>
    <d v="2019-09-07T00:00:00"/>
    <x v="2"/>
    <x v="7"/>
    <n v="127"/>
    <n v="99.143892143568564"/>
    <n v="250"/>
    <n v="150.85610785643144"/>
    <n v="5"/>
    <n v="5500"/>
    <n v="9.9143892143568575"/>
    <n v="-41.797826498506012"/>
    <n v="-41.797826498506012"/>
    <n v="0"/>
    <n v="9.9143892143568593"/>
    <n v="0"/>
    <n v="99.143892143568564"/>
  </r>
  <r>
    <d v="2019-10-07T00:00:00"/>
    <x v="1"/>
    <x v="8"/>
    <n v="100"/>
    <n v="99.145056340225352"/>
    <n v="185"/>
    <n v="85.854943659774648"/>
    <n v="10"/>
    <n v="4070"/>
    <n v="9.9145056340225359"/>
    <n v="23.204618314473237"/>
    <n v="23.204618314473237"/>
    <n v="0"/>
    <n v="9.9145056340225324"/>
    <n v="0"/>
    <n v="99.145056340225352"/>
  </r>
  <r>
    <d v="2019-11-06T00:00:00"/>
    <x v="0"/>
    <x v="9"/>
    <n v="93"/>
    <n v="99.14622053688214"/>
    <n v="200"/>
    <n v="100.85377946311786"/>
    <n v="7"/>
    <n v="4400"/>
    <n v="9.9146220536882144"/>
    <n v="8.2070631274524999"/>
    <n v="8.2070631274524999"/>
    <n v="0"/>
    <n v="9.9146220536882197"/>
    <n v="0"/>
    <n v="99.14622053688214"/>
  </r>
  <r>
    <d v="2019-12-06T00:00:00"/>
    <x v="2"/>
    <x v="10"/>
    <n v="103"/>
    <n v="99.147384733538928"/>
    <n v="250"/>
    <n v="150.85261526646107"/>
    <n v="5"/>
    <n v="5500"/>
    <n v="9.9147384733538928"/>
    <n v="-41.790492059568251"/>
    <n v="-41.790492059568251"/>
    <n v="0"/>
    <n v="9.9147384733538928"/>
    <n v="0"/>
    <n v="99.147384733538928"/>
  </r>
  <r>
    <d v="2020-01-05T00:00:00"/>
    <x v="0"/>
    <x v="0"/>
    <n v="78"/>
    <n v="99.148548930195716"/>
    <n v="200"/>
    <n v="100.85145106980428"/>
    <n v="7"/>
    <n v="4400"/>
    <n v="9.914854893019573"/>
    <n v="8.2119527534109977"/>
    <n v="8.2119527534109977"/>
    <n v="0"/>
    <n v="9.9148548930195659"/>
    <n v="0"/>
    <n v="99.148548930195716"/>
  </r>
  <r>
    <d v="2020-02-04T00:00:00"/>
    <x v="4"/>
    <x v="11"/>
    <n v="116"/>
    <n v="99.149713126852504"/>
    <n v="150"/>
    <n v="50.850286873147496"/>
    <n v="13"/>
    <n v="3300"/>
    <n v="9.9149713126852514"/>
    <n v="58.214397566390261"/>
    <n v="58.214397566390261"/>
    <n v="0"/>
    <n v="9.9149713126852532"/>
    <n v="0"/>
    <n v="99.149713126852504"/>
  </r>
  <r>
    <d v="2020-03-05T00:00:00"/>
    <x v="1"/>
    <x v="1"/>
    <n v="88"/>
    <n v="99.150877323509292"/>
    <n v="185"/>
    <n v="85.849122676490708"/>
    <n v="10"/>
    <n v="4070"/>
    <n v="9.9150877323509299"/>
    <n v="23.21684237936951"/>
    <n v="23.21684237936951"/>
    <n v="0"/>
    <n v="9.9150877323509263"/>
    <n v="0"/>
    <n v="99.150877323509292"/>
  </r>
  <r>
    <d v="2020-04-04T00:00:00"/>
    <x v="4"/>
    <x v="2"/>
    <n v="105"/>
    <n v="99.15204152016608"/>
    <n v="150"/>
    <n v="50.84795847983392"/>
    <n v="13"/>
    <n v="3300"/>
    <n v="9.9152041520166083"/>
    <n v="58.219287192348773"/>
    <n v="58.219287192348773"/>
    <n v="0"/>
    <n v="9.9152041520166136"/>
    <n v="0"/>
    <n v="99.15204152016608"/>
  </r>
  <r>
    <d v="2020-05-04T00:00:00"/>
    <x v="1"/>
    <x v="3"/>
    <n v="92"/>
    <n v="99.153205716822868"/>
    <n v="185"/>
    <n v="85.846794283177132"/>
    <n v="10"/>
    <n v="4070"/>
    <n v="9.9153205716822868"/>
    <n v="23.221732005328022"/>
    <n v="23.221732005328022"/>
    <n v="0"/>
    <n v="9.9153205716822868"/>
    <n v="0"/>
    <n v="99.153205716822868"/>
  </r>
  <r>
    <d v="2020-06-03T00:00:00"/>
    <x v="2"/>
    <x v="4"/>
    <n v="96"/>
    <n v="99.154369913479641"/>
    <n v="250"/>
    <n v="150.84563008652037"/>
    <n v="5"/>
    <n v="5500"/>
    <n v="9.9154369913479652"/>
    <n v="-41.775823181692772"/>
    <n v="-41.775823181692772"/>
    <n v="0"/>
    <n v="9.9154369913479599"/>
    <n v="0"/>
    <n v="99.154369913479641"/>
  </r>
  <r>
    <d v="2020-07-03T00:00:00"/>
    <x v="1"/>
    <x v="5"/>
    <n v="104"/>
    <n v="99.155534110136429"/>
    <n v="185"/>
    <n v="85.844465889863571"/>
    <n v="10"/>
    <n v="4070"/>
    <n v="9.9155534110136436"/>
    <n v="23.226621631286505"/>
    <n v="23.226621631286505"/>
    <n v="0"/>
    <n v="9.9155534110136472"/>
    <n v="0"/>
    <n v="99.155534110136429"/>
  </r>
  <r>
    <d v="2020-08-02T00:00:00"/>
    <x v="1"/>
    <x v="6"/>
    <n v="84"/>
    <n v="99.156698306793217"/>
    <n v="185"/>
    <n v="85.843301693206783"/>
    <n v="10"/>
    <n v="4070"/>
    <n v="9.9156698306793221"/>
    <n v="23.229066444265754"/>
    <n v="23.229066444265754"/>
    <n v="0"/>
    <n v="9.9156698306793203"/>
    <n v="0"/>
    <n v="99.156698306793217"/>
  </r>
  <r>
    <d v="2020-09-01T00:00:00"/>
    <x v="2"/>
    <x v="7"/>
    <n v="95"/>
    <n v="99.157862503450005"/>
    <n v="250"/>
    <n v="150.84213749654998"/>
    <n v="5"/>
    <n v="5500"/>
    <n v="9.9157862503450005"/>
    <n v="-41.768488742754982"/>
    <n v="-41.768488742754982"/>
    <n v="0"/>
    <n v="9.9157862503449934"/>
    <n v="0"/>
    <n v="99.157862503450005"/>
  </r>
  <r>
    <d v="2020-10-01T00:00:00"/>
    <x v="1"/>
    <x v="8"/>
    <n v="105"/>
    <n v="99.159026700106793"/>
    <n v="185"/>
    <n v="85.840973299893207"/>
    <n v="10"/>
    <n v="4070"/>
    <n v="9.9159026700106807"/>
    <n v="23.233956070224266"/>
    <n v="23.233956070224266"/>
    <n v="0"/>
    <n v="9.9159026700106807"/>
    <n v="0"/>
    <n v="99.159026700106793"/>
  </r>
  <r>
    <d v="2020-10-31T00:00:00"/>
    <x v="0"/>
    <x v="8"/>
    <n v="100"/>
    <n v="99.160190896763581"/>
    <n v="200"/>
    <n v="100.83980910323642"/>
    <n v="7"/>
    <n v="4400"/>
    <n v="9.9160190896763591"/>
    <n v="8.2364008832035154"/>
    <n v="8.2364008832035154"/>
    <n v="0"/>
    <n v="9.9160190896763538"/>
    <n v="0"/>
    <n v="99.160190896763581"/>
  </r>
  <r>
    <d v="2020-11-30T00:00:00"/>
    <x v="3"/>
    <x v="9"/>
    <n v="104"/>
    <n v="99.161355093420369"/>
    <n v="190"/>
    <n v="90.838644906579631"/>
    <n v="11"/>
    <n v="4180"/>
    <n v="9.9161355093420376"/>
    <n v="18.238845696182779"/>
    <n v="18.238845696182779"/>
    <n v="0"/>
    <n v="9.9161355093420411"/>
    <n v="0"/>
    <n v="99.161355093420369"/>
  </r>
  <r>
    <d v="2020-12-30T00:00:00"/>
    <x v="2"/>
    <x v="10"/>
    <n v="106"/>
    <n v="99.162519290077157"/>
    <n v="250"/>
    <n v="150.83748070992283"/>
    <n v="5"/>
    <n v="5500"/>
    <n v="9.916251929007716"/>
    <n v="-41.758709490837958"/>
    <n v="-41.758709490837958"/>
    <n v="0"/>
    <n v="9.9162519290077142"/>
    <n v="0"/>
    <n v="99.162519290077157"/>
  </r>
  <r>
    <d v="2021-01-29T00:00:00"/>
    <x v="3"/>
    <x v="0"/>
    <n v="120"/>
    <n v="99.163683486733945"/>
    <n v="190"/>
    <n v="90.836316513266055"/>
    <n v="11"/>
    <n v="4180"/>
    <n v="9.9163683486733945"/>
    <n v="18.243735322141291"/>
    <n v="18.243735322141291"/>
    <n v="0"/>
    <n v="9.9163683486734016"/>
    <n v="0"/>
    <n v="99.163683486733945"/>
  </r>
  <r>
    <d v="2021-02-28T00:00:00"/>
    <x v="2"/>
    <x v="11"/>
    <n v="106"/>
    <n v="99.164847683390732"/>
    <n v="250"/>
    <n v="150.83515231660925"/>
    <n v="5"/>
    <n v="5500"/>
    <n v="9.9164847683390747"/>
    <n v="-41.753819864879446"/>
    <n v="-41.753819864879446"/>
    <n v="0"/>
    <n v="9.9164847683390747"/>
    <n v="0"/>
    <n v="99.164847683390732"/>
  </r>
  <r>
    <d v="2021-03-30T00:00:00"/>
    <x v="2"/>
    <x v="1"/>
    <n v="118"/>
    <n v="99.16601188004752"/>
    <n v="250"/>
    <n v="150.83398811995249"/>
    <n v="5"/>
    <n v="5500"/>
    <n v="9.9166011880047531"/>
    <n v="-41.751375051900226"/>
    <n v="-41.751375051900226"/>
    <n v="0"/>
    <n v="9.9166011880047478"/>
    <n v="0"/>
    <n v="99.16601188004752"/>
  </r>
  <r>
    <d v="2021-04-29T00:00:00"/>
    <x v="4"/>
    <x v="2"/>
    <n v="92"/>
    <n v="99.167176076704294"/>
    <n v="150"/>
    <n v="50.832823923295706"/>
    <n v="13"/>
    <n v="3300"/>
    <n v="9.9167176076704298"/>
    <n v="58.251069761079023"/>
    <n v="58.251069761079023"/>
    <n v="0"/>
    <n v="9.9167176076704351"/>
    <n v="0"/>
    <n v="99.167176076704294"/>
  </r>
  <r>
    <d v="2021-05-29T00:00:00"/>
    <x v="4"/>
    <x v="3"/>
    <n v="110"/>
    <n v="99.168340273361082"/>
    <n v="150"/>
    <n v="50.831659726638918"/>
    <n v="13"/>
    <n v="3300"/>
    <n v="9.9168340273361082"/>
    <n v="58.253514574058272"/>
    <n v="58.253514574058272"/>
    <n v="0"/>
    <n v="9.9168340273361082"/>
    <n v="0"/>
    <n v="99.168340273361082"/>
  </r>
  <r>
    <d v="2021-06-28T00:00:00"/>
    <x v="1"/>
    <x v="4"/>
    <n v="101"/>
    <n v="99.16950447001787"/>
    <n v="185"/>
    <n v="85.83049552998213"/>
    <n v="10"/>
    <n v="4070"/>
    <n v="9.9169504470017884"/>
    <n v="23.255959387037535"/>
    <n v="23.255959387037535"/>
    <n v="0"/>
    <n v="9.9169504470017955"/>
    <n v="0"/>
    <n v="99.16950447001787"/>
  </r>
  <r>
    <d v="2021-07-28T00:00:00"/>
    <x v="3"/>
    <x v="5"/>
    <n v="84"/>
    <n v="99.170668666674658"/>
    <n v="190"/>
    <n v="90.829331333325342"/>
    <n v="11"/>
    <n v="4180"/>
    <n v="9.9170668666674668"/>
    <n v="18.258404200016784"/>
    <n v="18.258404200016784"/>
    <n v="0"/>
    <n v="9.9170668666674686"/>
    <n v="0"/>
    <n v="99.170668666674658"/>
  </r>
  <r>
    <d v="2021-08-27T00:00:00"/>
    <x v="2"/>
    <x v="6"/>
    <n v="115"/>
    <n v="99.171832863331446"/>
    <n v="250"/>
    <n v="150.82816713666855"/>
    <n v="5"/>
    <n v="5500"/>
    <n v="9.9171832863331453"/>
    <n v="-41.739150987003967"/>
    <n v="-41.739150987003967"/>
    <n v="0"/>
    <n v="9.9171832863331417"/>
    <n v="0"/>
    <n v="99.171832863331446"/>
  </r>
  <r>
    <d v="2021-09-26T00:00:00"/>
    <x v="1"/>
    <x v="7"/>
    <n v="95"/>
    <n v="99.172997059988234"/>
    <n v="185"/>
    <n v="85.827002940011766"/>
    <n v="10"/>
    <n v="4070"/>
    <n v="9.9172997059988237"/>
    <n v="23.263293825975296"/>
    <n v="23.263293825975296"/>
    <n v="0"/>
    <n v="9.917299705998829"/>
    <n v="0"/>
    <n v="99.172997059988234"/>
  </r>
  <r>
    <d v="2021-10-26T00:00:00"/>
    <x v="0"/>
    <x v="8"/>
    <n v="114"/>
    <n v="99.174161256645021"/>
    <n v="200"/>
    <n v="100.82583874335498"/>
    <n v="7"/>
    <n v="4400"/>
    <n v="9.9174161256645021"/>
    <n v="8.2657386389545451"/>
    <n v="8.2657386389545451"/>
    <n v="0"/>
    <n v="9.9174161256645021"/>
    <n v="0"/>
    <n v="99.174161256645021"/>
  </r>
  <r>
    <d v="2021-11-25T00:00:00"/>
    <x v="2"/>
    <x v="9"/>
    <n v="104"/>
    <n v="99.175325453301809"/>
    <n v="250"/>
    <n v="150.82467454669819"/>
    <n v="5"/>
    <n v="5500"/>
    <n v="9.9175325453301824"/>
    <n v="-41.731816548066206"/>
    <n v="-41.731816548066206"/>
    <n v="0"/>
    <n v="9.9175325453301753"/>
    <n v="0"/>
    <n v="99.175325453301809"/>
  </r>
  <r>
    <d v="2021-12-25T00:00:00"/>
    <x v="0"/>
    <x v="10"/>
    <n v="89"/>
    <n v="99.176489649958597"/>
    <n v="200"/>
    <n v="100.8235103500414"/>
    <n v="7"/>
    <n v="4400"/>
    <n v="9.9176489649958608"/>
    <n v="8.2706282649130571"/>
    <n v="8.2706282649130571"/>
    <n v="0"/>
    <n v="9.9176489649958626"/>
    <n v="0"/>
    <n v="99.176489649958597"/>
  </r>
  <r>
    <d v="2022-01-24T00:00:00"/>
    <x v="1"/>
    <x v="0"/>
    <n v="101"/>
    <n v="99.177653846615385"/>
    <n v="185"/>
    <n v="85.822346153384615"/>
    <n v="10"/>
    <n v="4070"/>
    <n v="9.9177653846615392"/>
    <n v="23.273073077892306"/>
    <n v="23.273073077892306"/>
    <n v="0"/>
    <n v="9.9177653846615357"/>
    <n v="0"/>
    <n v="99.177653846615385"/>
  </r>
  <r>
    <d v="2022-02-23T00:00:00"/>
    <x v="4"/>
    <x v="11"/>
    <n v="85"/>
    <n v="99.178818043272173"/>
    <n v="150"/>
    <n v="50.821181956727827"/>
    <n v="13"/>
    <n v="3300"/>
    <n v="9.9178818043272177"/>
    <n v="58.275517890871569"/>
    <n v="58.275517890871569"/>
    <n v="0"/>
    <n v="9.917881804327223"/>
    <n v="0"/>
    <n v="99.178818043272173"/>
  </r>
  <r>
    <d v="2022-03-25T00:00:00"/>
    <x v="1"/>
    <x v="1"/>
    <n v="101"/>
    <n v="99.179982239928947"/>
    <n v="185"/>
    <n v="85.820017760071053"/>
    <n v="10"/>
    <n v="4070"/>
    <n v="9.9179982239928961"/>
    <n v="23.27796270385079"/>
    <n v="23.27796270385079"/>
    <n v="0"/>
    <n v="9.9179982239928961"/>
    <n v="0"/>
    <n v="99.179982239928947"/>
  </r>
  <r>
    <d v="2022-04-24T00:00:00"/>
    <x v="0"/>
    <x v="2"/>
    <n v="104"/>
    <n v="99.181146436585735"/>
    <n v="200"/>
    <n v="100.81885356341427"/>
    <n v="7"/>
    <n v="4400"/>
    <n v="9.9181146436585745"/>
    <n v="8.2804075168300386"/>
    <n v="8.2804075168300386"/>
    <n v="0"/>
    <n v="9.9181146436585692"/>
    <n v="0"/>
    <n v="99.181146436585735"/>
  </r>
  <r>
    <d v="2022-05-24T00:00:00"/>
    <x v="2"/>
    <x v="3"/>
    <n v="106"/>
    <n v="99.182310633242523"/>
    <n v="250"/>
    <n v="150.81768936675746"/>
    <n v="5"/>
    <n v="5500"/>
    <n v="9.918231063324253"/>
    <n v="-41.717147670190684"/>
    <n v="-41.717147670190684"/>
    <n v="0"/>
    <n v="9.9182310633242565"/>
    <n v="0"/>
    <n v="99.182310633242523"/>
  </r>
  <r>
    <d v="2022-06-23T00:00:00"/>
    <x v="3"/>
    <x v="4"/>
    <n v="95"/>
    <n v="99.183474829899311"/>
    <n v="190"/>
    <n v="90.816525170100689"/>
    <n v="11"/>
    <n v="4180"/>
    <n v="9.9183474829899314"/>
    <n v="18.285297142788551"/>
    <n v="18.285297142788551"/>
    <n v="0"/>
    <n v="9.9183474829899296"/>
    <n v="0"/>
    <n v="99.183474829899311"/>
  </r>
  <r>
    <d v="2022-07-23T00:00:00"/>
    <x v="1"/>
    <x v="5"/>
    <n v="104"/>
    <n v="99.184639026556098"/>
    <n v="185"/>
    <n v="85.815360973443902"/>
    <n v="10"/>
    <n v="4070"/>
    <n v="9.9184639026556098"/>
    <n v="23.2877419557678"/>
    <n v="23.2877419557678"/>
    <n v="0"/>
    <n v="9.9184639026556027"/>
    <n v="0"/>
    <n v="99.184639026556098"/>
  </r>
  <r>
    <d v="2022-08-22T00:00:00"/>
    <x v="2"/>
    <x v="6"/>
    <n v="105"/>
    <n v="99.185803223212886"/>
    <n v="250"/>
    <n v="150.81419677678713"/>
    <n v="5"/>
    <n v="5500"/>
    <n v="9.9185803223212901"/>
    <n v="-41.709813231252951"/>
    <n v="-41.709813231252951"/>
    <n v="0"/>
    <n v="9.9185803223212901"/>
    <n v="0"/>
    <n v="99.185803223212886"/>
  </r>
  <r>
    <d v="2022-09-21T00:00:00"/>
    <x v="4"/>
    <x v="7"/>
    <n v="84"/>
    <n v="99.186967419869674"/>
    <n v="150"/>
    <n v="50.813032580130326"/>
    <n v="13"/>
    <n v="3300"/>
    <n v="9.9186967419869685"/>
    <n v="58.292631581726312"/>
    <n v="58.292631581726312"/>
    <n v="0"/>
    <n v="9.9186967419869632"/>
    <n v="0"/>
    <n v="99.186967419869674"/>
  </r>
  <r>
    <d v="2022-10-21T00:00:00"/>
    <x v="4"/>
    <x v="8"/>
    <n v="93"/>
    <n v="99.188131616526462"/>
    <n v="150"/>
    <n v="50.811868383473538"/>
    <n v="13"/>
    <n v="3300"/>
    <n v="9.9188131616526469"/>
    <n v="58.295076394705575"/>
    <n v="58.295076394705575"/>
    <n v="0"/>
    <n v="9.9188131616526505"/>
    <n v="0"/>
    <n v="99.188131616526462"/>
  </r>
  <r>
    <d v="2022-11-20T00:00:00"/>
    <x v="4"/>
    <x v="9"/>
    <n v="115"/>
    <n v="99.18929581318325"/>
    <n v="150"/>
    <n v="50.81070418681675"/>
    <n v="13"/>
    <n v="3300"/>
    <n v="9.9189295813183254"/>
    <n v="58.297521207684824"/>
    <n v="58.297521207684824"/>
    <n v="0"/>
    <n v="9.9189295813183236"/>
    <n v="0"/>
    <n v="99.18929581318325"/>
  </r>
  <r>
    <d v="2022-12-20T00:00:00"/>
    <x v="2"/>
    <x v="10"/>
    <n v="109"/>
    <n v="99.190460009840038"/>
    <n v="250"/>
    <n v="150.80953999015998"/>
    <n v="5"/>
    <n v="5500"/>
    <n v="9.9190460009840038"/>
    <n v="-41.700033979335927"/>
    <n v="-41.700033979335927"/>
    <n v="0"/>
    <n v="9.9190460009840109"/>
    <n v="0"/>
    <n v="99.190460009840038"/>
  </r>
  <r>
    <d v="2023-01-19T00:00:00"/>
    <x v="1"/>
    <x v="0"/>
    <n v="102"/>
    <n v="99.191624206496826"/>
    <n v="185"/>
    <n v="85.808375793503174"/>
    <n v="10"/>
    <n v="4070"/>
    <n v="9.919162420649684"/>
    <n v="23.302410833643336"/>
    <n v="23.302410833643336"/>
    <n v="0"/>
    <n v="9.919162420649684"/>
    <n v="0"/>
    <n v="99.191624206496826"/>
  </r>
  <r>
    <d v="2023-02-18T00:00:00"/>
    <x v="2"/>
    <x v="11"/>
    <n v="100"/>
    <n v="99.1927884031536"/>
    <n v="250"/>
    <n v="150.8072115968464"/>
    <n v="5"/>
    <n v="5500"/>
    <n v="9.9192788403153607"/>
    <n v="-41.695144353377444"/>
    <n v="-41.695144353377444"/>
    <n v="0"/>
    <n v="9.9192788403153571"/>
    <n v="0"/>
    <n v="99.1927884031536"/>
  </r>
  <r>
    <d v="2023-03-20T00:00:00"/>
    <x v="2"/>
    <x v="1"/>
    <n v="93"/>
    <n v="99.193952599810387"/>
    <n v="250"/>
    <n v="150.80604740018961"/>
    <n v="5"/>
    <n v="5500"/>
    <n v="9.9193952599810391"/>
    <n v="-41.692699540398181"/>
    <n v="-41.692699540398181"/>
    <n v="0"/>
    <n v="9.9193952599810444"/>
    <n v="0"/>
    <n v="99.193952599810387"/>
  </r>
  <r>
    <d v="2023-04-19T00:00:00"/>
    <x v="3"/>
    <x v="2"/>
    <n v="121"/>
    <n v="99.195116796467175"/>
    <n v="190"/>
    <n v="90.804883203532825"/>
    <n v="11"/>
    <n v="4180"/>
    <n v="9.9195116796467175"/>
    <n v="18.309745272581068"/>
    <n v="18.309745272581068"/>
    <n v="0"/>
    <n v="9.9195116796467175"/>
    <n v="0"/>
    <n v="99.195116796467175"/>
  </r>
  <r>
    <d v="2023-05-19T00:00:00"/>
    <x v="3"/>
    <x v="3"/>
    <n v="117"/>
    <n v="99.196280993123963"/>
    <n v="190"/>
    <n v="90.803719006876037"/>
    <n v="11"/>
    <n v="4180"/>
    <n v="9.9196280993123978"/>
    <n v="18.312190085560331"/>
    <n v="18.312190085560331"/>
    <n v="0"/>
    <n v="9.9196280993124049"/>
    <n v="0"/>
    <n v="99.196280993123963"/>
  </r>
  <r>
    <d v="2023-06-18T00:00:00"/>
    <x v="1"/>
    <x v="4"/>
    <n v="98"/>
    <n v="99.197445189780751"/>
    <n v="185"/>
    <n v="85.802554810219249"/>
    <n v="10"/>
    <n v="4070"/>
    <n v="9.9197445189780762"/>
    <n v="23.31463489853958"/>
    <n v="23.31463489853958"/>
    <n v="0"/>
    <n v="9.919744518978078"/>
    <n v="0"/>
    <n v="99.197445189780751"/>
  </r>
  <r>
    <d v="2023-07-18T00:00:00"/>
    <x v="3"/>
    <x v="5"/>
    <n v="94"/>
    <n v="99.198609386437539"/>
    <n v="190"/>
    <n v="90.801390613562461"/>
    <n v="11"/>
    <n v="4180"/>
    <n v="9.9198609386437546"/>
    <n v="18.317079711518829"/>
    <n v="18.317079711518829"/>
    <n v="0"/>
    <n v="9.9198609386437511"/>
    <n v="0"/>
    <n v="99.198609386437539"/>
  </r>
  <r>
    <d v="2023-08-17T00:00:00"/>
    <x v="4"/>
    <x v="6"/>
    <n v="112"/>
    <n v="99.199773583094327"/>
    <n v="150"/>
    <n v="50.800226416905673"/>
    <n v="13"/>
    <n v="3300"/>
    <n v="9.9199773583094331"/>
    <n v="58.319524524498092"/>
    <n v="58.319524524498092"/>
    <n v="0"/>
    <n v="9.9199773583094384"/>
    <n v="0"/>
    <n v="99.199773583094327"/>
  </r>
  <r>
    <d v="2023-09-16T00:00:00"/>
    <x v="3"/>
    <x v="7"/>
    <n v="89"/>
    <n v="99.200937779751115"/>
    <n v="190"/>
    <n v="90.799062220248885"/>
    <n v="11"/>
    <n v="4180"/>
    <n v="9.9200937779751115"/>
    <n v="18.321969337477341"/>
    <n v="18.321969337477341"/>
    <n v="0"/>
    <n v="9.9200937779751115"/>
    <n v="0"/>
    <n v="99.200937779751115"/>
  </r>
  <r>
    <d v="2023-10-16T00:00:00"/>
    <x v="4"/>
    <x v="8"/>
    <n v="119"/>
    <n v="99.202101976407903"/>
    <n v="150"/>
    <n v="50.797898023592097"/>
    <n v="13"/>
    <n v="3300"/>
    <n v="9.9202101976407917"/>
    <n v="58.32441415045659"/>
    <n v="58.32441415045659"/>
    <n v="0"/>
    <n v="9.9202101976407846"/>
    <n v="0"/>
    <n v="99.202101976407903"/>
  </r>
  <r>
    <d v="2023-11-15T00:00:00"/>
    <x v="1"/>
    <x v="9"/>
    <n v="102"/>
    <n v="99.203266173064691"/>
    <n v="185"/>
    <n v="85.796733826935309"/>
    <n v="10"/>
    <n v="4070"/>
    <n v="9.9203266173064701"/>
    <n v="23.326858963435853"/>
    <n v="23.326858963435853"/>
    <n v="0"/>
    <n v="9.9203266173064719"/>
    <n v="0"/>
    <n v="99.203266173064691"/>
  </r>
  <r>
    <d v="2023-12-15T00:00:00"/>
    <x v="2"/>
    <x v="10"/>
    <n v="87"/>
    <n v="99.204430369721479"/>
    <n v="250"/>
    <n v="150.79556963027852"/>
    <n v="5"/>
    <n v="5500"/>
    <n v="9.9204430369721486"/>
    <n v="-41.670696223584898"/>
    <n v="-41.670696223584898"/>
    <n v="0"/>
    <n v="9.920443036972145"/>
    <n v="0"/>
    <n v="99.204430369721479"/>
  </r>
  <r>
    <d v="2024-01-14T00:00:00"/>
    <x v="2"/>
    <x v="0"/>
    <n v="113"/>
    <n v="99.205594566378252"/>
    <n v="250"/>
    <n v="150.79440543362176"/>
    <n v="5"/>
    <n v="5500"/>
    <n v="9.9205594566378252"/>
    <n v="-41.668251410605677"/>
    <n v="-41.668251410605677"/>
    <n v="0"/>
    <n v="9.9205594566378323"/>
    <n v="0"/>
    <n v="99.205594566378252"/>
  </r>
  <r>
    <d v="2024-02-13T00:00:00"/>
    <x v="3"/>
    <x v="11"/>
    <n v="106"/>
    <n v="99.20675876303504"/>
    <n v="190"/>
    <n v="90.79324123696496"/>
    <n v="11"/>
    <n v="4180"/>
    <n v="9.9206758763035054"/>
    <n v="18.334193402373586"/>
    <n v="18.334193402373586"/>
    <n v="0"/>
    <n v="9.9206758763035054"/>
    <n v="0"/>
    <n v="99.20675876303504"/>
  </r>
  <r>
    <d v="2024-03-14T00:00:00"/>
    <x v="4"/>
    <x v="1"/>
    <n v="96"/>
    <n v="99.207922959691828"/>
    <n v="150"/>
    <n v="50.792077040308172"/>
    <n v="13"/>
    <n v="3300"/>
    <n v="9.9207922959691839"/>
    <n v="58.336638215352835"/>
    <n v="58.336638215352835"/>
    <n v="0"/>
    <n v="9.9207922959691786"/>
    <n v="0"/>
    <n v="99.207922959691828"/>
  </r>
  <r>
    <d v="2024-04-13T00:00:00"/>
    <x v="0"/>
    <x v="2"/>
    <n v="110"/>
    <n v="99.209087156348616"/>
    <n v="200"/>
    <n v="100.79091284365138"/>
    <n v="7"/>
    <n v="4400"/>
    <n v="9.9209087156348623"/>
    <n v="8.339083028332098"/>
    <n v="8.339083028332098"/>
    <n v="0"/>
    <n v="9.9209087156348659"/>
    <n v="0"/>
    <n v="99.209087156348616"/>
  </r>
  <r>
    <d v="2024-05-13T00:00:00"/>
    <x v="0"/>
    <x v="3"/>
    <n v="100"/>
    <n v="99.210251353005404"/>
    <n v="200"/>
    <n v="100.7897486469946"/>
    <n v="7"/>
    <n v="4400"/>
    <n v="9.9210251353005408"/>
    <n v="8.3415278413113469"/>
    <n v="8.3415278413113469"/>
    <n v="0"/>
    <n v="9.921025135300539"/>
    <n v="0"/>
    <n v="99.210251353005404"/>
  </r>
  <r>
    <d v="2024-06-12T00:00:00"/>
    <x v="0"/>
    <x v="4"/>
    <n v="84"/>
    <n v="99.211415549662192"/>
    <n v="200"/>
    <n v="100.78858445033781"/>
    <n v="7"/>
    <n v="4400"/>
    <n v="9.9211415549662192"/>
    <n v="8.3439726542905959"/>
    <n v="8.3439726542905959"/>
    <n v="0"/>
    <n v="9.9211415549662121"/>
    <n v="0"/>
    <n v="99.211415549662192"/>
  </r>
  <r>
    <d v="2024-07-12T00:00:00"/>
    <x v="2"/>
    <x v="5"/>
    <n v="106"/>
    <n v="99.21257974631898"/>
    <n v="250"/>
    <n v="150.78742025368103"/>
    <n v="5"/>
    <n v="5500"/>
    <n v="9.9212579746318994"/>
    <n v="-41.653582532730155"/>
    <n v="-41.653582532730155"/>
    <n v="0"/>
    <n v="9.9212579746318994"/>
    <n v="0"/>
    <n v="99.21257974631898"/>
  </r>
  <r>
    <d v="2024-08-11T00:00:00"/>
    <x v="2"/>
    <x v="6"/>
    <n v="114"/>
    <n v="99.213743942975768"/>
    <n v="250"/>
    <n v="150.78625605702422"/>
    <n v="5"/>
    <n v="5500"/>
    <n v="9.9213743942975778"/>
    <n v="-41.651137719750878"/>
    <n v="-41.651137719750878"/>
    <n v="0"/>
    <n v="9.9213743942975725"/>
    <n v="0"/>
    <n v="99.213743942975768"/>
  </r>
  <r>
    <d v="2024-09-10T00:00:00"/>
    <x v="4"/>
    <x v="7"/>
    <n v="96"/>
    <n v="99.214908139632556"/>
    <n v="150"/>
    <n v="50.785091860367444"/>
    <n v="13"/>
    <n v="3300"/>
    <n v="9.9214908139632563"/>
    <n v="58.351307093228371"/>
    <n v="58.351307093228371"/>
    <n v="0"/>
    <n v="9.9214908139632598"/>
    <n v="0"/>
    <n v="99.214908139632556"/>
  </r>
  <r>
    <d v="2024-10-10T00:00:00"/>
    <x v="3"/>
    <x v="8"/>
    <n v="102"/>
    <n v="99.216072336289344"/>
    <n v="190"/>
    <n v="90.783927663710656"/>
    <n v="11"/>
    <n v="4180"/>
    <n v="9.9216072336289347"/>
    <n v="18.35375190620762"/>
    <n v="18.35375190620762"/>
    <n v="0"/>
    <n v="9.9216072336289329"/>
    <n v="0"/>
    <n v="99.216072336289344"/>
  </r>
  <r>
    <d v="2024-11-09T00:00:00"/>
    <x v="0"/>
    <x v="9"/>
    <n v="106"/>
    <n v="99.217236532946131"/>
    <n v="200"/>
    <n v="100.78276346705387"/>
    <n v="7"/>
    <n v="4400"/>
    <n v="9.9217236532946131"/>
    <n v="8.3561967191868831"/>
    <n v="8.3561967191868831"/>
    <n v="0"/>
    <n v="9.9217236532946202"/>
    <n v="0"/>
    <n v="99.217236532946131"/>
  </r>
  <r>
    <d v="2024-12-09T00:00:00"/>
    <x v="4"/>
    <x v="10"/>
    <n v="93"/>
    <n v="99.218400729602905"/>
    <n v="150"/>
    <n v="50.781599270397095"/>
    <n v="13"/>
    <n v="3300"/>
    <n v="9.9218400729602916"/>
    <n v="58.358641532166104"/>
    <n v="58.358641532166104"/>
    <n v="0"/>
    <n v="9.9218400729602934"/>
    <n v="0"/>
    <n v="99.218400729602905"/>
  </r>
  <r>
    <d v="2025-01-08T00:00:00"/>
    <x v="4"/>
    <x v="0"/>
    <n v="100"/>
    <n v="99.219564926259693"/>
    <n v="150"/>
    <n v="50.780435073740307"/>
    <n v="13"/>
    <n v="3300"/>
    <n v="9.92195649262597"/>
    <n v="58.361086345145353"/>
    <n v="58.361086345145353"/>
    <n v="0"/>
    <n v="9.9219564926259665"/>
    <n v="0"/>
    <n v="99.219564926259693"/>
  </r>
  <r>
    <d v="2025-02-07T00:00:00"/>
    <x v="3"/>
    <x v="11"/>
    <n v="111"/>
    <n v="99.220729122916481"/>
    <n v="190"/>
    <n v="90.779270877083519"/>
    <n v="11"/>
    <n v="4180"/>
    <n v="9.9220729122916484"/>
    <n v="18.363531158124616"/>
    <n v="18.363531158124616"/>
    <n v="0"/>
    <n v="9.9220729122916538"/>
    <n v="0"/>
    <n v="99.220729122916481"/>
  </r>
  <r>
    <d v="2025-03-09T00:00:00"/>
    <x v="4"/>
    <x v="1"/>
    <n v="87"/>
    <n v="99.221893319573269"/>
    <n v="150"/>
    <n v="50.778106680426731"/>
    <n v="13"/>
    <n v="3300"/>
    <n v="9.9221893319573269"/>
    <n v="58.365975971103865"/>
    <n v="58.365975971103865"/>
    <n v="0"/>
    <n v="9.9221893319573269"/>
    <n v="0"/>
    <n v="99.221893319573269"/>
  </r>
  <r>
    <d v="2025-04-08T00:00:00"/>
    <x v="3"/>
    <x v="2"/>
    <n v="100"/>
    <n v="99.223057516230057"/>
    <n v="190"/>
    <n v="90.776942483769943"/>
    <n v="11"/>
    <n v="4180"/>
    <n v="9.9223057516230071"/>
    <n v="18.368420784083128"/>
    <n v="18.368420784083128"/>
    <n v="0"/>
    <n v="9.9223057516230142"/>
    <n v="0"/>
    <n v="99.223057516230057"/>
  </r>
  <r>
    <d v="2025-05-08T00:00:00"/>
    <x v="1"/>
    <x v="3"/>
    <n v="104"/>
    <n v="99.224221712886845"/>
    <n v="185"/>
    <n v="85.775778287113155"/>
    <n v="10"/>
    <n v="4070"/>
    <n v="9.9224221712886855"/>
    <n v="23.370865597062377"/>
    <n v="23.370865597062377"/>
    <n v="0"/>
    <n v="9.9224221712886873"/>
    <n v="0"/>
    <n v="99.224221712886845"/>
  </r>
  <r>
    <d v="2025-06-07T00:00:00"/>
    <x v="3"/>
    <x v="4"/>
    <n v="78"/>
    <n v="99.225385909543633"/>
    <n v="190"/>
    <n v="90.774614090456367"/>
    <n v="11"/>
    <n v="4180"/>
    <n v="9.922538590954364"/>
    <n v="18.373310410041626"/>
    <n v="18.373310410041626"/>
    <n v="0"/>
    <n v="9.9225385909543604"/>
    <n v="0"/>
    <n v="99.225385909543633"/>
  </r>
  <r>
    <d v="2025-07-07T00:00:00"/>
    <x v="0"/>
    <x v="5"/>
    <n v="101"/>
    <n v="99.22655010620042"/>
    <n v="200"/>
    <n v="100.77344989379958"/>
    <n v="7"/>
    <n v="4400"/>
    <n v="9.9226550106200424"/>
    <n v="8.3757552230208887"/>
    <n v="8.3757552230208887"/>
    <n v="0"/>
    <n v="9.9226550106200477"/>
    <n v="0"/>
    <n v="99.22655010620042"/>
  </r>
  <r>
    <d v="2025-08-06T00:00:00"/>
    <x v="0"/>
    <x v="6"/>
    <n v="100"/>
    <n v="99.227714302857208"/>
    <n v="200"/>
    <n v="100.77228569714279"/>
    <n v="7"/>
    <n v="4400"/>
    <n v="9.9227714302857208"/>
    <n v="8.3782000360001376"/>
    <n v="8.3782000360001376"/>
    <n v="0"/>
    <n v="9.9227714302857208"/>
    <n v="0"/>
    <n v="99.227714302857208"/>
  </r>
  <r>
    <d v="2025-09-05T00:00:00"/>
    <x v="3"/>
    <x v="7"/>
    <n v="109"/>
    <n v="99.228878499513996"/>
    <n v="190"/>
    <n v="90.771121500486004"/>
    <n v="11"/>
    <n v="4180"/>
    <n v="9.9228878499514011"/>
    <n v="18.380644848979387"/>
    <n v="18.380644848979387"/>
    <n v="0"/>
    <n v="9.9228878499513939"/>
    <n v="0"/>
    <n v="99.228878499513996"/>
  </r>
  <r>
    <d v="2025-10-05T00:00:00"/>
    <x v="1"/>
    <x v="8"/>
    <n v="98"/>
    <n v="99.230042696170784"/>
    <n v="185"/>
    <n v="85.769957303829216"/>
    <n v="10"/>
    <n v="4070"/>
    <n v="9.9230042696170795"/>
    <n v="23.38308966195865"/>
    <n v="23.38308966195865"/>
    <n v="0"/>
    <n v="9.9230042696170813"/>
    <n v="0"/>
    <n v="99.230042696170784"/>
  </r>
  <r>
    <d v="2025-11-04T00:00:00"/>
    <x v="1"/>
    <x v="9"/>
    <n v="111"/>
    <n v="99.231206892827558"/>
    <n v="185"/>
    <n v="85.768793107172442"/>
    <n v="10"/>
    <n v="4070"/>
    <n v="9.9231206892827561"/>
    <n v="23.38553447493787"/>
    <n v="23.38553447493787"/>
    <n v="0"/>
    <n v="9.9231206892827544"/>
    <n v="0"/>
    <n v="99.231206892827558"/>
  </r>
  <r>
    <d v="2025-12-04T00:00:00"/>
    <x v="0"/>
    <x v="10"/>
    <n v="97"/>
    <n v="99.232371089484346"/>
    <n v="200"/>
    <n v="100.76762891051565"/>
    <n v="7"/>
    <n v="4400"/>
    <n v="9.9232371089484346"/>
    <n v="8.3879792879171333"/>
    <n v="8.3879792879171333"/>
    <n v="0"/>
    <n v="9.9232371089484417"/>
    <n v="0"/>
    <n v="99.232371089484346"/>
  </r>
  <r>
    <d v="2026-01-03T00:00:00"/>
    <x v="1"/>
    <x v="0"/>
    <n v="88"/>
    <n v="99.233535286141134"/>
    <n v="185"/>
    <n v="85.766464713858866"/>
    <n v="10"/>
    <n v="4070"/>
    <n v="9.9233535286141148"/>
    <n v="23.390424100896382"/>
    <n v="23.390424100896382"/>
    <n v="0"/>
    <n v="9.9233535286141148"/>
    <n v="0"/>
    <n v="99.233535286141134"/>
  </r>
  <r>
    <d v="2026-02-02T00:00:00"/>
    <x v="4"/>
    <x v="11"/>
    <n v="101"/>
    <n v="99.234699482797922"/>
    <n v="150"/>
    <n v="50.765300517202078"/>
    <n v="13"/>
    <n v="3300"/>
    <n v="9.9234699482797932"/>
    <n v="58.392868913875631"/>
    <n v="58.392868913875631"/>
    <n v="0"/>
    <n v="9.9234699482797879"/>
    <n v="0"/>
    <n v="99.234699482797922"/>
  </r>
  <r>
    <d v="2026-03-04T00:00:00"/>
    <x v="2"/>
    <x v="1"/>
    <n v="105"/>
    <n v="99.23586367945471"/>
    <n v="250"/>
    <n v="150.76413632054528"/>
    <n v="5"/>
    <n v="5500"/>
    <n v="9.9235863679454717"/>
    <n v="-41.604686273145091"/>
    <n v="-41.604686273145091"/>
    <n v="0"/>
    <n v="9.9235863679454752"/>
    <n v="0"/>
    <n v="99.23586367945471"/>
  </r>
  <r>
    <d v="2026-04-03T00:00:00"/>
    <x v="4"/>
    <x v="2"/>
    <n v="102"/>
    <n v="99.237027876111497"/>
    <n v="150"/>
    <n v="50.762972123888503"/>
    <n v="13"/>
    <n v="3300"/>
    <n v="9.9237027876111501"/>
    <n v="58.397758539834143"/>
    <n v="58.397758539834143"/>
    <n v="0"/>
    <n v="9.9237027876111483"/>
    <n v="0"/>
    <n v="99.237027876111497"/>
  </r>
  <r>
    <d v="2026-05-03T00:00:00"/>
    <x v="0"/>
    <x v="3"/>
    <n v="98"/>
    <n v="99.238192072768285"/>
    <n v="200"/>
    <n v="100.76180792723171"/>
    <n v="7"/>
    <n v="4400"/>
    <n v="9.9238192072768285"/>
    <n v="8.4002033528133921"/>
    <n v="8.4002033528133921"/>
    <n v="0"/>
    <n v="9.9238192072768214"/>
    <n v="0"/>
    <n v="99.238192072768285"/>
  </r>
  <r>
    <d v="2026-06-02T00:00:00"/>
    <x v="1"/>
    <x v="4"/>
    <n v="96"/>
    <n v="99.239356269425073"/>
    <n v="185"/>
    <n v="85.760643730574927"/>
    <n v="10"/>
    <n v="4070"/>
    <n v="9.9239356269425087"/>
    <n v="23.402648165792655"/>
    <n v="23.402648165792655"/>
    <n v="0"/>
    <n v="9.9239356269425087"/>
    <n v="0"/>
    <n v="99.239356269425073"/>
  </r>
  <r>
    <d v="2026-07-02T00:00:00"/>
    <x v="3"/>
    <x v="5"/>
    <n v="76"/>
    <n v="99.240520466081861"/>
    <n v="190"/>
    <n v="90.759479533918139"/>
    <n v="11"/>
    <n v="4180"/>
    <n v="9.9240520466081872"/>
    <n v="18.405092978771904"/>
    <n v="18.405092978771904"/>
    <n v="0"/>
    <n v="9.9240520466081819"/>
    <n v="0"/>
    <n v="99.240520466081861"/>
  </r>
  <r>
    <d v="2026-08-01T00:00:00"/>
    <x v="2"/>
    <x v="6"/>
    <n v="112"/>
    <n v="99.241684662738649"/>
    <n v="250"/>
    <n v="150.75831533726137"/>
    <n v="5"/>
    <n v="5500"/>
    <n v="9.9241684662738656"/>
    <n v="-41.592462208248847"/>
    <n v="-41.592462208248847"/>
    <n v="0"/>
    <n v="9.9241684662738692"/>
    <n v="0"/>
    <n v="99.241684662738649"/>
  </r>
  <r>
    <d v="2026-08-31T00:00:00"/>
    <x v="3"/>
    <x v="6"/>
    <n v="99"/>
    <n v="99.242848859395437"/>
    <n v="190"/>
    <n v="90.757151140604563"/>
    <n v="11"/>
    <n v="4180"/>
    <n v="9.9242848859395441"/>
    <n v="18.409982604730416"/>
    <n v="18.409982604730416"/>
    <n v="0"/>
    <n v="9.9242848859395423"/>
    <n v="0"/>
    <n v="99.242848859395437"/>
  </r>
  <r>
    <d v="2026-09-30T00:00:00"/>
    <x v="0"/>
    <x v="7"/>
    <n v="100"/>
    <n v="99.244013056052211"/>
    <n v="200"/>
    <n v="100.75598694394779"/>
    <n v="7"/>
    <n v="4400"/>
    <n v="9.9244013056052225"/>
    <n v="8.4124274177096368"/>
    <n v="8.4124274177096368"/>
    <n v="0"/>
    <n v="9.9244013056052154"/>
    <n v="0"/>
    <n v="99.244013056052211"/>
  </r>
  <r>
    <d v="2026-10-30T00:00:00"/>
    <x v="1"/>
    <x v="8"/>
    <n v="89"/>
    <n v="99.245177252708999"/>
    <n v="185"/>
    <n v="85.754822747291001"/>
    <n v="10"/>
    <n v="4070"/>
    <n v="9.9245177252709009"/>
    <n v="23.4148722306889"/>
    <n v="23.4148722306889"/>
    <n v="0"/>
    <n v="9.9245177252709027"/>
    <n v="0"/>
    <n v="99.245177252708999"/>
  </r>
  <r>
    <d v="2026-11-29T00:00:00"/>
    <x v="3"/>
    <x v="9"/>
    <n v="102"/>
    <n v="99.246341449365787"/>
    <n v="190"/>
    <n v="90.753658550634213"/>
    <n v="11"/>
    <n v="4180"/>
    <n v="9.9246341449365794"/>
    <n v="18.417317043668149"/>
    <n v="18.417317043668149"/>
    <n v="0"/>
    <n v="9.9246341449365758"/>
    <n v="0"/>
    <n v="99.246341449365787"/>
  </r>
  <r>
    <d v="2026-12-29T00:00:00"/>
    <x v="3"/>
    <x v="10"/>
    <n v="104"/>
    <n v="99.247505646022574"/>
    <n v="190"/>
    <n v="90.752494353977426"/>
    <n v="11"/>
    <n v="4180"/>
    <n v="9.9247505646022578"/>
    <n v="18.419761856647412"/>
    <n v="18.419761856647412"/>
    <n v="0"/>
    <n v="9.9247505646022631"/>
    <n v="0"/>
    <n v="99.247505646022574"/>
  </r>
  <r>
    <d v="2027-01-28T00:00:00"/>
    <x v="2"/>
    <x v="0"/>
    <n v="96"/>
    <n v="99.248669842679362"/>
    <n v="250"/>
    <n v="150.75133015732064"/>
    <n v="5"/>
    <n v="5500"/>
    <n v="9.9248669842679362"/>
    <n v="-41.577793330373339"/>
    <n v="-41.577793330373339"/>
    <n v="0"/>
    <n v="9.9248669842679362"/>
    <n v="0"/>
    <n v="99.248669842679362"/>
  </r>
  <r>
    <d v="2027-02-27T00:00:00"/>
    <x v="2"/>
    <x v="11"/>
    <n v="100"/>
    <n v="99.24983403933615"/>
    <n v="250"/>
    <n v="150.75016596066385"/>
    <n v="5"/>
    <n v="5500"/>
    <n v="9.9249834039336164"/>
    <n v="-41.575348517394076"/>
    <n v="-41.575348517394076"/>
    <n v="0"/>
    <n v="9.9249834039336235"/>
    <n v="0"/>
    <n v="99.24983403933615"/>
  </r>
  <r>
    <d v="2027-03-29T00:00:00"/>
    <x v="1"/>
    <x v="1"/>
    <n v="105"/>
    <n v="99.250998235992938"/>
    <n v="185"/>
    <n v="85.749001764007062"/>
    <n v="10"/>
    <n v="4070"/>
    <n v="9.9250998235992949"/>
    <n v="23.427096295585173"/>
    <n v="23.427096295585173"/>
    <n v="0"/>
    <n v="9.9250998235992967"/>
    <n v="0"/>
    <n v="99.250998235992938"/>
  </r>
  <r>
    <d v="2027-04-28T00:00:00"/>
    <x v="2"/>
    <x v="2"/>
    <n v="81"/>
    <n v="99.252162432649726"/>
    <n v="250"/>
    <n v="150.74783756735027"/>
    <n v="5"/>
    <n v="5500"/>
    <n v="9.9252162432649733"/>
    <n v="-41.570458891435578"/>
    <n v="-41.570458891435578"/>
    <n v="0"/>
    <n v="9.9252162432649698"/>
    <n v="0"/>
    <n v="99.252162432649726"/>
  </r>
  <r>
    <d v="2027-05-28T00:00:00"/>
    <x v="3"/>
    <x v="3"/>
    <n v="120"/>
    <n v="99.253326629306514"/>
    <n v="190"/>
    <n v="90.746673370693486"/>
    <n v="11"/>
    <n v="4180"/>
    <n v="9.9253326629306518"/>
    <n v="18.431985921543685"/>
    <n v="18.431985921543685"/>
    <n v="0"/>
    <n v="9.9253326629306571"/>
    <n v="0"/>
    <n v="99.253326629306514"/>
  </r>
  <r>
    <d v="2027-06-27T00:00:00"/>
    <x v="3"/>
    <x v="4"/>
    <n v="97"/>
    <n v="99.254490825963302"/>
    <n v="190"/>
    <n v="90.745509174036698"/>
    <n v="11"/>
    <n v="4180"/>
    <n v="9.9254490825963302"/>
    <n v="18.434430734522934"/>
    <n v="18.434430734522934"/>
    <n v="0"/>
    <n v="9.9254490825963302"/>
    <n v="0"/>
    <n v="99.254490825963302"/>
  </r>
  <r>
    <d v="2027-07-27T00:00:00"/>
    <x v="0"/>
    <x v="5"/>
    <n v="99"/>
    <n v="99.25565502262009"/>
    <n v="200"/>
    <n v="100.74434497737991"/>
    <n v="7"/>
    <n v="4400"/>
    <n v="9.9255655022620104"/>
    <n v="8.4368755475021828"/>
    <n v="8.4368755475021828"/>
    <n v="0"/>
    <n v="9.9255655022620033"/>
    <n v="0"/>
    <n v="99.25565502262009"/>
  </r>
  <r>
    <d v="2027-08-26T00:00:00"/>
    <x v="3"/>
    <x v="6"/>
    <n v="120"/>
    <n v="99.256819219276878"/>
    <n v="190"/>
    <n v="90.743180780723122"/>
    <n v="11"/>
    <n v="4180"/>
    <n v="9.9256819219276888"/>
    <n v="18.439320360481446"/>
    <n v="18.439320360481446"/>
    <n v="0"/>
    <n v="9.9256819219276906"/>
    <n v="0"/>
    <n v="99.256819219276878"/>
  </r>
  <r>
    <d v="2027-09-25T00:00:00"/>
    <x v="1"/>
    <x v="7"/>
    <n v="90"/>
    <n v="99.257983415933651"/>
    <n v="185"/>
    <n v="85.742016584066349"/>
    <n v="10"/>
    <n v="4070"/>
    <n v="9.9257983415933655"/>
    <n v="23.441765173460666"/>
    <n v="23.441765173460666"/>
    <n v="0"/>
    <n v="9.9257983415933637"/>
    <n v="0"/>
    <n v="99.257983415933651"/>
  </r>
  <r>
    <d v="2027-10-25T00:00:00"/>
    <x v="4"/>
    <x v="8"/>
    <n v="85"/>
    <n v="99.259147612590439"/>
    <n v="150"/>
    <n v="50.740852387409561"/>
    <n v="13"/>
    <n v="3300"/>
    <n v="9.9259147612590439"/>
    <n v="58.44420998643993"/>
    <n v="58.44420998643993"/>
    <n v="0"/>
    <n v="9.925914761259051"/>
    <n v="0"/>
    <n v="99.259147612590439"/>
  </r>
  <r>
    <d v="2027-11-24T00:00:00"/>
    <x v="0"/>
    <x v="9"/>
    <n v="84"/>
    <n v="99.260311809247227"/>
    <n v="200"/>
    <n v="100.73968819075277"/>
    <n v="7"/>
    <n v="4400"/>
    <n v="9.9260311809247241"/>
    <n v="8.4466547994191785"/>
    <n v="8.4466547994191785"/>
    <n v="0"/>
    <n v="9.9260311809247241"/>
    <n v="0"/>
    <n v="99.260311809247227"/>
  </r>
  <r>
    <d v="2027-12-24T00:00:00"/>
    <x v="0"/>
    <x v="10"/>
    <n v="106"/>
    <n v="99.261476005904015"/>
    <n v="200"/>
    <n v="100.73852399409598"/>
    <n v="7"/>
    <n v="4400"/>
    <n v="9.9261476005904026"/>
    <n v="8.4490996123984274"/>
    <n v="8.4490996123984274"/>
    <n v="0"/>
    <n v="9.9261476005903972"/>
    <n v="0"/>
    <n v="99.261476005904015"/>
  </r>
  <r>
    <d v="2028-01-23T00:00:00"/>
    <x v="1"/>
    <x v="0"/>
    <n v="112"/>
    <n v="99.262640202560803"/>
    <n v="185"/>
    <n v="85.737359797439197"/>
    <n v="10"/>
    <n v="4070"/>
    <n v="9.926264020256081"/>
    <n v="23.451544425377691"/>
    <n v="23.451544425377691"/>
    <n v="0"/>
    <n v="9.9262640202560846"/>
    <n v="0"/>
    <n v="99.262640202560803"/>
  </r>
  <r>
    <d v="2028-02-22T00:00:00"/>
    <x v="1"/>
    <x v="11"/>
    <n v="110"/>
    <n v="99.263804399217591"/>
    <n v="185"/>
    <n v="85.736195600782409"/>
    <n v="10"/>
    <n v="4070"/>
    <n v="9.9263804399217594"/>
    <n v="23.453989238356939"/>
    <n v="23.453989238356939"/>
    <n v="0"/>
    <n v="9.9263804399217577"/>
    <n v="0"/>
    <n v="99.263804399217591"/>
  </r>
  <r>
    <d v="2028-03-23T00:00:00"/>
    <x v="2"/>
    <x v="1"/>
    <n v="86"/>
    <n v="99.264968595874379"/>
    <n v="250"/>
    <n v="150.73503140412561"/>
    <n v="5"/>
    <n v="5500"/>
    <n v="9.9264968595874379"/>
    <n v="-41.543565948663797"/>
    <n v="-41.543565948663797"/>
    <n v="0"/>
    <n v="9.9264968595874308"/>
    <n v="0"/>
    <n v="99.264968595874379"/>
  </r>
  <r>
    <d v="2028-04-22T00:00:00"/>
    <x v="0"/>
    <x v="2"/>
    <n v="104"/>
    <n v="99.266132792531167"/>
    <n v="200"/>
    <n v="100.73386720746883"/>
    <n v="7"/>
    <n v="4400"/>
    <n v="9.9266132792531181"/>
    <n v="8.4588788643154516"/>
    <n v="8.4588788643154516"/>
    <n v="0"/>
    <n v="9.9266132792531181"/>
    <n v="0"/>
    <n v="99.266132792531167"/>
  </r>
  <r>
    <d v="2028-05-22T00:00:00"/>
    <x v="2"/>
    <x v="3"/>
    <n v="107"/>
    <n v="99.267296989187955"/>
    <n v="250"/>
    <n v="150.73270301081203"/>
    <n v="5"/>
    <n v="5500"/>
    <n v="9.9267296989187965"/>
    <n v="-41.538676322705285"/>
    <n v="-41.538676322705285"/>
    <n v="0"/>
    <n v="9.9267296989187912"/>
    <n v="0"/>
    <n v="99.267296989187955"/>
  </r>
  <r>
    <d v="2028-06-21T00:00:00"/>
    <x v="3"/>
    <x v="4"/>
    <n v="93"/>
    <n v="99.268461185844743"/>
    <n v="190"/>
    <n v="90.731538814155257"/>
    <n v="11"/>
    <n v="4180"/>
    <n v="9.926846118584475"/>
    <n v="18.463768490273964"/>
    <n v="18.463768490273964"/>
    <n v="0"/>
    <n v="9.9268461185844785"/>
    <n v="0"/>
    <n v="99.268461185844743"/>
  </r>
  <r>
    <d v="2028-07-21T00:00:00"/>
    <x v="0"/>
    <x v="5"/>
    <n v="108"/>
    <n v="99.26962538250153"/>
    <n v="200"/>
    <n v="100.73037461749847"/>
    <n v="7"/>
    <n v="4400"/>
    <n v="9.9269625382501534"/>
    <n v="8.4662133032532125"/>
    <n v="8.4662133032532125"/>
    <n v="0"/>
    <n v="9.9269625382501516"/>
    <n v="0"/>
    <n v="99.26962538250153"/>
  </r>
  <r>
    <d v="2028-08-20T00:00:00"/>
    <x v="0"/>
    <x v="6"/>
    <n v="96"/>
    <n v="99.270789579158304"/>
    <n v="200"/>
    <n v="100.7292104208417"/>
    <n v="7"/>
    <n v="4400"/>
    <n v="9.9270789579158318"/>
    <n v="8.468658116232433"/>
    <n v="8.468658116232433"/>
    <n v="0"/>
    <n v="9.9270789579158247"/>
    <n v="0"/>
    <n v="99.270789579158304"/>
  </r>
  <r>
    <d v="2028-09-19T00:00:00"/>
    <x v="4"/>
    <x v="7"/>
    <n v="95"/>
    <n v="99.271953775815092"/>
    <n v="150"/>
    <n v="50.728046224184908"/>
    <n v="13"/>
    <n v="3300"/>
    <n v="9.9271953775815103"/>
    <n v="58.471102929211696"/>
    <n v="58.471102929211696"/>
    <n v="0"/>
    <n v="9.927195377581512"/>
    <n v="0"/>
    <n v="99.271953775815092"/>
  </r>
  <r>
    <d v="2028-10-19T00:00:00"/>
    <x v="0"/>
    <x v="8"/>
    <n v="112"/>
    <n v="99.27311797247188"/>
    <n v="200"/>
    <n v="100.72688202752812"/>
    <n v="7"/>
    <n v="4400"/>
    <n v="9.9273117972471887"/>
    <n v="8.4735477421909451"/>
    <n v="8.4735477421909451"/>
    <n v="0"/>
    <n v="9.9273117972471852"/>
    <n v="0"/>
    <n v="99.27311797247188"/>
  </r>
  <r>
    <d v="2028-11-18T00:00:00"/>
    <x v="3"/>
    <x v="9"/>
    <n v="108"/>
    <n v="99.274282169128668"/>
    <n v="190"/>
    <n v="90.725717830871332"/>
    <n v="11"/>
    <n v="4180"/>
    <n v="9.9274282169128671"/>
    <n v="18.475992555170208"/>
    <n v="18.475992555170208"/>
    <n v="0"/>
    <n v="9.9274282169128725"/>
    <n v="0"/>
    <n v="99.274282169128668"/>
  </r>
  <r>
    <d v="2028-12-18T00:00:00"/>
    <x v="2"/>
    <x v="10"/>
    <n v="85"/>
    <n v="99.275446365785456"/>
    <n v="250"/>
    <n v="150.72455363421454"/>
    <n v="5"/>
    <n v="5500"/>
    <n v="9.9275446365785456"/>
    <n v="-41.521562631850543"/>
    <n v="-41.521562631850543"/>
    <n v="0"/>
    <n v="9.9275446365785456"/>
    <n v="0"/>
    <n v="99.275446365785456"/>
  </r>
  <r>
    <d v="2029-01-17T00:00:00"/>
    <x v="2"/>
    <x v="0"/>
    <n v="87"/>
    <n v="99.276610562442244"/>
    <n v="250"/>
    <n v="150.72338943755776"/>
    <n v="5"/>
    <n v="5500"/>
    <n v="9.9276610562442258"/>
    <n v="-41.51911781887128"/>
    <n v="-41.51911781887128"/>
    <n v="0"/>
    <n v="9.9276610562442329"/>
    <n v="0"/>
    <n v="99.276610562442244"/>
  </r>
  <r>
    <d v="2029-02-16T00:00:00"/>
    <x v="4"/>
    <x v="11"/>
    <n v="95"/>
    <n v="99.277774759099032"/>
    <n v="150"/>
    <n v="50.722225240900968"/>
    <n v="13"/>
    <n v="3300"/>
    <n v="9.9277774759099042"/>
    <n v="58.483326994107969"/>
    <n v="58.483326994107969"/>
    <n v="0"/>
    <n v="9.927777475909906"/>
    <n v="0"/>
    <n v="99.277774759099032"/>
  </r>
  <r>
    <d v="2029-03-18T00:00:00"/>
    <x v="3"/>
    <x v="1"/>
    <n v="97"/>
    <n v="99.27893895575582"/>
    <n v="190"/>
    <n v="90.72106104424418"/>
    <n v="11"/>
    <n v="4180"/>
    <n v="9.9278938955755827"/>
    <n v="18.485771807087218"/>
    <n v="18.485771807087218"/>
    <n v="0"/>
    <n v="9.9278938955755791"/>
    <n v="0"/>
    <n v="99.27893895575582"/>
  </r>
  <r>
    <d v="2029-04-17T00:00:00"/>
    <x v="2"/>
    <x v="2"/>
    <n v="116"/>
    <n v="99.280103152412607"/>
    <n v="250"/>
    <n v="150.71989684758739"/>
    <n v="5"/>
    <n v="5500"/>
    <n v="9.9280103152412611"/>
    <n v="-41.511783379933519"/>
    <n v="-41.511783379933519"/>
    <n v="0"/>
    <n v="9.9280103152412664"/>
    <n v="0"/>
    <n v="99.280103152412607"/>
  </r>
  <r>
    <d v="2029-05-17T00:00:00"/>
    <x v="1"/>
    <x v="3"/>
    <n v="95"/>
    <n v="99.281267349069395"/>
    <n v="185"/>
    <n v="85.718732650930605"/>
    <n v="10"/>
    <n v="4070"/>
    <n v="9.9281267349069395"/>
    <n v="23.49066143304573"/>
    <n v="23.49066143304573"/>
    <n v="0"/>
    <n v="9.9281267349069395"/>
    <n v="0"/>
    <n v="99.281267349069395"/>
  </r>
  <r>
    <d v="2029-06-16T00:00:00"/>
    <x v="3"/>
    <x v="4"/>
    <n v="123"/>
    <n v="99.282431545726183"/>
    <n v="190"/>
    <n v="90.717568454273817"/>
    <n v="11"/>
    <n v="4180"/>
    <n v="9.9282431545726197"/>
    <n v="18.493106246024979"/>
    <n v="18.493106246024979"/>
    <n v="0"/>
    <n v="9.9282431545726126"/>
    <n v="0"/>
    <n v="99.282431545726183"/>
  </r>
  <r>
    <d v="2029-07-16T00:00:00"/>
    <x v="3"/>
    <x v="5"/>
    <n v="104"/>
    <n v="99.283595742382957"/>
    <n v="190"/>
    <n v="90.716404257617043"/>
    <n v="11"/>
    <n v="4180"/>
    <n v="9.9283595742382964"/>
    <n v="18.495551059004214"/>
    <n v="18.495551059004214"/>
    <n v="0"/>
    <n v="9.9283595742383"/>
    <n v="0"/>
    <n v="99.283595742382957"/>
  </r>
  <r>
    <d v="2029-08-15T00:00:00"/>
    <x v="4"/>
    <x v="6"/>
    <n v="94"/>
    <n v="99.284759939039745"/>
    <n v="150"/>
    <n v="50.715240060960255"/>
    <n v="13"/>
    <n v="3300"/>
    <n v="9.9284759939039748"/>
    <n v="58.497995871983463"/>
    <n v="58.497995871983463"/>
    <n v="0"/>
    <n v="9.9284759939039731"/>
    <n v="0"/>
    <n v="99.284759939039745"/>
  </r>
  <r>
    <d v="2029-09-14T00:00:00"/>
    <x v="2"/>
    <x v="7"/>
    <n v="105"/>
    <n v="99.285924135696533"/>
    <n v="250"/>
    <n v="150.71407586430348"/>
    <n v="5"/>
    <n v="5500"/>
    <n v="9.9285924135696533"/>
    <n v="-41.499559315037288"/>
    <n v="-41.499559315037288"/>
    <n v="0"/>
    <n v="9.9285924135696604"/>
    <n v="0"/>
    <n v="99.285924135696533"/>
  </r>
  <r>
    <d v="2029-10-14T00:00:00"/>
    <x v="3"/>
    <x v="8"/>
    <n v="109"/>
    <n v="99.287088332353321"/>
    <n v="190"/>
    <n v="90.712911667646679"/>
    <n v="11"/>
    <n v="4180"/>
    <n v="9.9287088332353335"/>
    <n v="18.502885497941975"/>
    <n v="18.502885497941975"/>
    <n v="0"/>
    <n v="9.9287088332353335"/>
    <n v="0"/>
    <n v="99.287088332353321"/>
  </r>
  <r>
    <d v="2029-11-13T00:00:00"/>
    <x v="2"/>
    <x v="9"/>
    <n v="84"/>
    <n v="99.288252529010109"/>
    <n v="250"/>
    <n v="150.71174747098991"/>
    <n v="5"/>
    <n v="5500"/>
    <n v="9.9288252529010119"/>
    <n v="-41.49466968907879"/>
    <n v="-41.49466968907879"/>
    <n v="0"/>
    <n v="9.9288252529010066"/>
    <n v="0"/>
    <n v="99.288252529010109"/>
  </r>
  <r>
    <d v="2029-12-13T00:00:00"/>
    <x v="1"/>
    <x v="10"/>
    <n v="79"/>
    <n v="99.289416725666896"/>
    <n v="185"/>
    <n v="85.710583274333104"/>
    <n v="10"/>
    <n v="4070"/>
    <n v="9.9289416725666904"/>
    <n v="23.507775123900487"/>
    <n v="23.507775123900487"/>
    <n v="0"/>
    <n v="9.9289416725666939"/>
    <n v="0"/>
    <n v="99.289416725666896"/>
  </r>
  <r>
    <d v="2030-01-12T00:00:00"/>
    <x v="4"/>
    <x v="0"/>
    <n v="98"/>
    <n v="99.290580922323684"/>
    <n v="150"/>
    <n v="50.709419077676316"/>
    <n v="13"/>
    <n v="3300"/>
    <n v="9.9290580922323688"/>
    <n v="58.510219936879736"/>
    <n v="58.510219936879736"/>
    <n v="0"/>
    <n v="9.929058092232367"/>
    <n v="0"/>
    <n v="99.290580922323684"/>
  </r>
  <r>
    <d v="2030-02-11T00:00:00"/>
    <x v="1"/>
    <x v="11"/>
    <n v="96"/>
    <n v="99.291745118980472"/>
    <n v="185"/>
    <n v="85.708254881019528"/>
    <n v="10"/>
    <n v="4070"/>
    <n v="9.9291745118980472"/>
    <n v="23.512664749858985"/>
    <n v="23.512664749858985"/>
    <n v="0"/>
    <n v="9.9291745118980401"/>
    <n v="0"/>
    <n v="99.291745118980472"/>
  </r>
  <r>
    <d v="2030-03-13T00:00:00"/>
    <x v="4"/>
    <x v="1"/>
    <n v="88"/>
    <n v="99.29290931563726"/>
    <n v="150"/>
    <n v="50.70709068436274"/>
    <n v="13"/>
    <n v="3300"/>
    <n v="9.9292909315637274"/>
    <n v="58.515109562838248"/>
    <n v="58.515109562838248"/>
    <n v="0"/>
    <n v="9.9292909315637274"/>
    <n v="0"/>
    <n v="99.29290931563726"/>
  </r>
  <r>
    <d v="2030-04-12T00:00:00"/>
    <x v="3"/>
    <x v="2"/>
    <n v="103"/>
    <n v="99.294073512294048"/>
    <n v="190"/>
    <n v="90.705926487705952"/>
    <n v="11"/>
    <n v="4180"/>
    <n v="9.9294073512294059"/>
    <n v="18.517554375817497"/>
    <n v="18.517554375817497"/>
    <n v="0"/>
    <n v="9.9294073512294005"/>
    <n v="0"/>
    <n v="99.294073512294048"/>
  </r>
  <r>
    <d v="2030-05-12T00:00:00"/>
    <x v="4"/>
    <x v="3"/>
    <n v="83"/>
    <n v="99.295237708950836"/>
    <n v="150"/>
    <n v="50.704762291049164"/>
    <n v="13"/>
    <n v="3300"/>
    <n v="9.9295237708950843"/>
    <n v="58.51999918879676"/>
    <n v="58.51999918879676"/>
    <n v="0"/>
    <n v="9.9295237708950879"/>
    <n v="0"/>
    <n v="99.295237708950836"/>
  </r>
  <r>
    <d v="2030-06-11T00:00:00"/>
    <x v="0"/>
    <x v="4"/>
    <n v="82"/>
    <n v="99.29640190560761"/>
    <n v="200"/>
    <n v="100.70359809439239"/>
    <n v="7"/>
    <n v="4400"/>
    <n v="9.929640190560761"/>
    <n v="8.5224440017759804"/>
    <n v="8.5224440017759804"/>
    <n v="0"/>
    <n v="9.929640190560761"/>
    <n v="0"/>
    <n v="99.29640190560761"/>
  </r>
  <r>
    <d v="2030-07-11T00:00:00"/>
    <x v="2"/>
    <x v="5"/>
    <n v="106"/>
    <n v="99.297566102264398"/>
    <n v="250"/>
    <n v="150.7024338977356"/>
    <n v="5"/>
    <n v="5500"/>
    <n v="9.9297566102264412"/>
    <n v="-41.475111185244771"/>
    <n v="-41.475111185244771"/>
    <n v="0"/>
    <n v="9.9297566102264341"/>
    <n v="0"/>
    <n v="99.297566102264398"/>
  </r>
  <r>
    <d v="2030-08-10T00:00:00"/>
    <x v="2"/>
    <x v="6"/>
    <n v="96"/>
    <n v="99.298730298921186"/>
    <n v="250"/>
    <n v="150.70126970107881"/>
    <n v="5"/>
    <n v="5500"/>
    <n v="9.9298730298921196"/>
    <n v="-41.472666372265508"/>
    <n v="-41.472666372265508"/>
    <n v="0"/>
    <n v="9.9298730298921214"/>
    <n v="0"/>
    <n v="99.298730298921186"/>
  </r>
  <r>
    <d v="2030-09-09T00:00:00"/>
    <x v="0"/>
    <x v="7"/>
    <n v="96"/>
    <n v="99.299894495577973"/>
    <n v="200"/>
    <n v="100.70010550442203"/>
    <n v="7"/>
    <n v="4400"/>
    <n v="9.9299894495577981"/>
    <n v="8.5297784407137414"/>
    <n v="8.5297784407137414"/>
    <n v="0"/>
    <n v="9.9299894495577945"/>
    <n v="0"/>
    <n v="99.299894495577973"/>
  </r>
  <r>
    <d v="2030-10-09T00:00:00"/>
    <x v="1"/>
    <x v="8"/>
    <n v="109"/>
    <n v="99.301058692234761"/>
    <n v="185"/>
    <n v="85.698941307765239"/>
    <n v="10"/>
    <n v="4070"/>
    <n v="9.9301058692234765"/>
    <n v="23.532223253693004"/>
    <n v="23.532223253693004"/>
    <n v="0"/>
    <n v="9.9301058692234818"/>
    <n v="0"/>
    <n v="99.301058692234761"/>
  </r>
  <r>
    <d v="2030-11-08T00:00:00"/>
    <x v="0"/>
    <x v="9"/>
    <n v="98"/>
    <n v="99.302222888891549"/>
    <n v="200"/>
    <n v="100.69777711110845"/>
    <n v="7"/>
    <n v="4400"/>
    <n v="9.9302222888891549"/>
    <n v="8.5346680666722534"/>
    <n v="8.5346680666722534"/>
    <n v="0"/>
    <n v="9.9302222888891549"/>
    <n v="0"/>
    <n v="99.302222888891549"/>
  </r>
  <r>
    <d v="2030-12-08T00:00:00"/>
    <x v="3"/>
    <x v="10"/>
    <n v="86"/>
    <n v="99.303387085548337"/>
    <n v="190"/>
    <n v="90.696612914451663"/>
    <n v="11"/>
    <n v="4180"/>
    <n v="9.9303387085548351"/>
    <n v="18.537112879651517"/>
    <n v="18.537112879651517"/>
    <n v="0"/>
    <n v="9.9303387085548422"/>
    <n v="0"/>
    <n v="99.303387085548337"/>
  </r>
  <r>
    <d v="2031-01-07T00:00:00"/>
    <x v="3"/>
    <x v="0"/>
    <n v="79"/>
    <n v="99.304551282205125"/>
    <n v="190"/>
    <n v="90.695448717794875"/>
    <n v="11"/>
    <n v="4180"/>
    <n v="9.9304551282205136"/>
    <n v="18.539557692630765"/>
    <n v="18.539557692630765"/>
    <n v="0"/>
    <n v="9.9304551282205153"/>
    <n v="0"/>
    <n v="99.304551282205125"/>
  </r>
  <r>
    <d v="2031-02-06T00:00:00"/>
    <x v="2"/>
    <x v="11"/>
    <n v="86"/>
    <n v="99.305715478861913"/>
    <n v="250"/>
    <n v="150.69428452113809"/>
    <n v="5"/>
    <n v="5500"/>
    <n v="9.930571547886192"/>
    <n v="-41.457997494389986"/>
    <n v="-41.457997494389986"/>
    <n v="0"/>
    <n v="9.9305715478861885"/>
    <n v="0"/>
    <n v="99.305715478861913"/>
  </r>
  <r>
    <d v="2031-03-08T00:00:00"/>
    <x v="3"/>
    <x v="1"/>
    <n v="108"/>
    <n v="99.306879675518701"/>
    <n v="190"/>
    <n v="90.693120324481299"/>
    <n v="11"/>
    <n v="4180"/>
    <n v="9.9306879675518704"/>
    <n v="18.544447318589278"/>
    <n v="18.544447318589278"/>
    <n v="0"/>
    <n v="9.9306879675518758"/>
    <n v="0"/>
    <n v="99.306879675518701"/>
  </r>
  <r>
    <d v="2031-04-07T00:00:00"/>
    <x v="2"/>
    <x v="2"/>
    <n v="127"/>
    <n v="99.308043872175489"/>
    <n v="250"/>
    <n v="150.69195612782451"/>
    <n v="5"/>
    <n v="5500"/>
    <n v="9.9308043872175489"/>
    <n v="-41.453107868431474"/>
    <n v="-41.453107868431474"/>
    <n v="0"/>
    <n v="9.9308043872175489"/>
    <n v="0"/>
    <n v="99.308043872175489"/>
  </r>
  <r>
    <d v="2031-05-07T00:00:00"/>
    <x v="0"/>
    <x v="3"/>
    <n v="93"/>
    <n v="99.309208068832262"/>
    <n v="200"/>
    <n v="100.69079193116774"/>
    <n v="7"/>
    <n v="4400"/>
    <n v="9.9309208068832273"/>
    <n v="8.549336944547747"/>
    <n v="8.549336944547747"/>
    <n v="0"/>
    <n v="9.930920806883222"/>
    <n v="0"/>
    <n v="99.309208068832262"/>
  </r>
  <r>
    <d v="2031-06-06T00:00:00"/>
    <x v="0"/>
    <x v="4"/>
    <n v="82"/>
    <n v="99.31037226548905"/>
    <n v="200"/>
    <n v="100.68962773451095"/>
    <n v="7"/>
    <n v="4400"/>
    <n v="9.9310372265489057"/>
    <n v="8.5517817575270101"/>
    <n v="8.5517817575270101"/>
    <n v="0"/>
    <n v="9.9310372265489093"/>
    <n v="0"/>
    <n v="99.31037226548905"/>
  </r>
  <r>
    <d v="2031-07-06T00:00:00"/>
    <x v="0"/>
    <x v="5"/>
    <n v="104"/>
    <n v="99.311536462145838"/>
    <n v="200"/>
    <n v="100.68846353785416"/>
    <n v="7"/>
    <n v="4400"/>
    <n v="9.9311536462145842"/>
    <n v="8.554226570506259"/>
    <n v="8.554226570506259"/>
    <n v="0"/>
    <n v="9.9311536462145824"/>
    <n v="0"/>
    <n v="99.311536462145838"/>
  </r>
  <r>
    <d v="2031-08-05T00:00:00"/>
    <x v="2"/>
    <x v="6"/>
    <n v="99"/>
    <n v="99.312700658802626"/>
    <n v="250"/>
    <n v="150.68729934119739"/>
    <n v="5"/>
    <n v="5500"/>
    <n v="9.9312700658802626"/>
    <n v="-41.443328616514492"/>
    <n v="-41.443328616514492"/>
    <n v="0"/>
    <n v="9.9312700658802697"/>
    <n v="0"/>
    <n v="99.312700658802626"/>
  </r>
  <r>
    <d v="2031-09-04T00:00:00"/>
    <x v="0"/>
    <x v="7"/>
    <n v="102"/>
    <n v="99.313864855459414"/>
    <n v="200"/>
    <n v="100.68613514454059"/>
    <n v="7"/>
    <n v="4400"/>
    <n v="9.9313864855459428"/>
    <n v="8.5591161964647711"/>
    <n v="8.5591161964647711"/>
    <n v="0"/>
    <n v="9.9313864855459428"/>
    <n v="0"/>
    <n v="99.313864855459414"/>
  </r>
  <r>
    <d v="2031-10-04T00:00:00"/>
    <x v="0"/>
    <x v="8"/>
    <n v="76"/>
    <n v="99.315029052116202"/>
    <n v="200"/>
    <n v="100.6849709478838"/>
    <n v="7"/>
    <n v="4400"/>
    <n v="9.9315029052116213"/>
    <n v="8.56156100944402"/>
    <n v="8.56156100944402"/>
    <n v="0"/>
    <n v="9.9315029052116159"/>
    <n v="0"/>
    <n v="99.315029052116202"/>
  </r>
  <r>
    <d v="2031-11-03T00:00:00"/>
    <x v="1"/>
    <x v="9"/>
    <n v="99"/>
    <n v="99.31619324877299"/>
    <n v="185"/>
    <n v="85.68380675122701"/>
    <n v="10"/>
    <n v="4070"/>
    <n v="9.9316193248772997"/>
    <n v="23.564005822423283"/>
    <n v="23.564005822423283"/>
    <n v="0"/>
    <n v="9.9316193248773033"/>
    <n v="0"/>
    <n v="99.31619324877299"/>
  </r>
  <r>
    <d v="2031-12-03T00:00:00"/>
    <x v="0"/>
    <x v="10"/>
    <n v="93"/>
    <n v="99.317357445429778"/>
    <n v="200"/>
    <n v="100.68264255457022"/>
    <n v="7"/>
    <n v="4400"/>
    <n v="9.9317357445429781"/>
    <n v="8.566450635402532"/>
    <n v="8.566450635402532"/>
    <n v="0"/>
    <n v="9.9317357445429764"/>
    <n v="0"/>
    <n v="99.317357445429778"/>
  </r>
  <r>
    <d v="2032-01-02T00:00:00"/>
    <x v="3"/>
    <x v="0"/>
    <n v="99"/>
    <n v="99.318521642086566"/>
    <n v="190"/>
    <n v="90.681478357913434"/>
    <n v="11"/>
    <n v="4180"/>
    <n v="9.9318521642086566"/>
    <n v="18.568895448381781"/>
    <n v="18.568895448381781"/>
    <n v="0"/>
    <n v="9.9318521642086495"/>
    <n v="0"/>
    <n v="99.318521642086566"/>
  </r>
  <r>
    <d v="2032-02-01T00:00:00"/>
    <x v="2"/>
    <x v="11"/>
    <n v="102"/>
    <n v="99.319685838743354"/>
    <n v="250"/>
    <n v="150.68031416125666"/>
    <n v="5"/>
    <n v="5500"/>
    <n v="9.9319685838743368"/>
    <n v="-41.42865973863897"/>
    <n v="-41.42865973863897"/>
    <n v="0"/>
    <n v="9.9319685838743368"/>
    <n v="0"/>
    <n v="99.319685838743354"/>
  </r>
  <r>
    <d v="2032-03-02T00:00:00"/>
    <x v="1"/>
    <x v="1"/>
    <n v="106"/>
    <n v="99.320850035400142"/>
    <n v="185"/>
    <n v="85.679149964599858"/>
    <n v="10"/>
    <n v="4070"/>
    <n v="9.9320850035400152"/>
    <n v="23.573785074340293"/>
    <n v="23.573785074340293"/>
    <n v="0"/>
    <n v="9.9320850035400099"/>
    <n v="0"/>
    <n v="99.320850035400142"/>
  </r>
  <r>
    <d v="2032-04-01T00:00:00"/>
    <x v="4"/>
    <x v="2"/>
    <n v="94"/>
    <n v="99.322014232056915"/>
    <n v="150"/>
    <n v="50.677985767943085"/>
    <n v="13"/>
    <n v="3300"/>
    <n v="9.9322014232056919"/>
    <n v="58.576229887319528"/>
    <n v="58.576229887319528"/>
    <n v="0"/>
    <n v="9.9322014232056972"/>
    <n v="0"/>
    <n v="99.322014232056915"/>
  </r>
  <r>
    <d v="2032-05-01T00:00:00"/>
    <x v="2"/>
    <x v="3"/>
    <n v="105"/>
    <n v="99.323178428713703"/>
    <n v="250"/>
    <n v="150.6768215712863"/>
    <n v="5"/>
    <n v="5500"/>
    <n v="9.9323178428713703"/>
    <n v="-41.421325299701223"/>
    <n v="-41.421325299701223"/>
    <n v="0"/>
    <n v="9.9323178428713703"/>
    <n v="0"/>
    <n v="99.323178428713703"/>
  </r>
  <r>
    <d v="2032-05-31T00:00:00"/>
    <x v="3"/>
    <x v="3"/>
    <n v="100"/>
    <n v="99.324342625370491"/>
    <n v="190"/>
    <n v="90.675657374629509"/>
    <n v="11"/>
    <n v="4180"/>
    <n v="9.9324342625370505"/>
    <n v="18.581119513278026"/>
    <n v="18.581119513278026"/>
    <n v="0"/>
    <n v="9.9324342625370434"/>
    <n v="0"/>
    <n v="99.324342625370491"/>
  </r>
  <r>
    <d v="2032-06-30T00:00:00"/>
    <x v="2"/>
    <x v="4"/>
    <n v="122"/>
    <n v="99.325506822027279"/>
    <n v="250"/>
    <n v="150.67449317797272"/>
    <n v="5"/>
    <n v="5500"/>
    <n v="9.932550682202729"/>
    <n v="-41.416435673742711"/>
    <n v="-41.416435673742711"/>
    <n v="0"/>
    <n v="9.9325506822027307"/>
    <n v="0"/>
    <n v="99.325506822027279"/>
  </r>
  <r>
    <d v="2032-07-30T00:00:00"/>
    <x v="3"/>
    <x v="5"/>
    <n v="103"/>
    <n v="99.326671018684067"/>
    <n v="190"/>
    <n v="90.673328981315933"/>
    <n v="11"/>
    <n v="4180"/>
    <n v="9.9326671018684074"/>
    <n v="18.586009139236538"/>
    <n v="18.586009139236538"/>
    <n v="0"/>
    <n v="9.9326671018684038"/>
    <n v="0"/>
    <n v="99.326671018684067"/>
  </r>
  <r>
    <d v="2032-08-29T00:00:00"/>
    <x v="3"/>
    <x v="6"/>
    <n v="119"/>
    <n v="99.327835215340855"/>
    <n v="190"/>
    <n v="90.672164784659145"/>
    <n v="11"/>
    <n v="4180"/>
    <n v="9.9327835215340858"/>
    <n v="18.588453952215801"/>
    <n v="18.588453952215801"/>
    <n v="0"/>
    <n v="9.9327835215340912"/>
    <n v="0"/>
    <n v="99.327835215340855"/>
  </r>
  <r>
    <d v="2032-09-28T00:00:00"/>
    <x v="4"/>
    <x v="7"/>
    <n v="76"/>
    <n v="99.328999411997643"/>
    <n v="150"/>
    <n v="50.671000588002357"/>
    <n v="13"/>
    <n v="3300"/>
    <n v="9.9328999411997643"/>
    <n v="58.59089876519505"/>
    <n v="58.59089876519505"/>
    <n v="0"/>
    <n v="9.9328999411997643"/>
    <n v="0"/>
    <n v="99.328999411997643"/>
  </r>
  <r>
    <d v="2032-10-28T00:00:00"/>
    <x v="2"/>
    <x v="8"/>
    <n v="96"/>
    <n v="99.330163608654431"/>
    <n v="250"/>
    <n v="150.66983639134557"/>
    <n v="5"/>
    <n v="5500"/>
    <n v="9.9330163608654445"/>
    <n v="-41.406656421825687"/>
    <n v="-41.406656421825687"/>
    <n v="0"/>
    <n v="9.9330163608654516"/>
    <n v="0"/>
    <n v="99.330163608654431"/>
  </r>
  <r>
    <d v="2032-11-27T00:00:00"/>
    <x v="4"/>
    <x v="9"/>
    <n v="103"/>
    <n v="99.331327805311219"/>
    <n v="150"/>
    <n v="50.668672194688781"/>
    <n v="13"/>
    <n v="3300"/>
    <n v="9.9331327805311229"/>
    <n v="58.595788391153562"/>
    <n v="58.595788391153562"/>
    <n v="0"/>
    <n v="9.9331327805311247"/>
    <n v="0"/>
    <n v="99.331327805311219"/>
  </r>
  <r>
    <d v="2032-12-27T00:00:00"/>
    <x v="4"/>
    <x v="10"/>
    <n v="111"/>
    <n v="99.332492001968006"/>
    <n v="150"/>
    <n v="50.667507998031994"/>
    <n v="13"/>
    <n v="3300"/>
    <n v="9.9332492001968014"/>
    <n v="58.598233204132811"/>
    <n v="58.598233204132811"/>
    <n v="0"/>
    <n v="9.9332492001967978"/>
    <n v="0"/>
    <n v="99.332492001968006"/>
  </r>
  <r>
    <d v="2033-01-26T00:00:00"/>
    <x v="2"/>
    <x v="0"/>
    <n v="97"/>
    <n v="99.333656198624794"/>
    <n v="250"/>
    <n v="150.66634380137521"/>
    <n v="5"/>
    <n v="5500"/>
    <n v="9.9333656198624798"/>
    <n v="-41.399321982887926"/>
    <n v="-41.399321982887926"/>
    <n v="0"/>
    <n v="9.9333656198624851"/>
    <n v="0"/>
    <n v="99.333656198624794"/>
  </r>
  <r>
    <d v="2033-02-25T00:00:00"/>
    <x v="0"/>
    <x v="11"/>
    <n v="112"/>
    <n v="99.334820395281568"/>
    <n v="200"/>
    <n v="100.66517960471843"/>
    <n v="7"/>
    <n v="4400"/>
    <n v="9.9334820395281582"/>
    <n v="8.6031228300912943"/>
    <n v="8.6031228300912943"/>
    <n v="0"/>
    <n v="9.9334820395281582"/>
    <n v="0"/>
    <n v="99.334820395281568"/>
  </r>
  <r>
    <d v="2033-03-27T00:00:00"/>
    <x v="0"/>
    <x v="1"/>
    <n v="99"/>
    <n v="99.335984591938356"/>
    <n v="200"/>
    <n v="100.66401540806164"/>
    <n v="7"/>
    <n v="4400"/>
    <n v="9.9335984591938367"/>
    <n v="8.6055676430705432"/>
    <n v="8.6055676430705432"/>
    <n v="0"/>
    <n v="9.9335984591938313"/>
    <n v="0"/>
    <n v="99.335984591938356"/>
  </r>
  <r>
    <d v="2033-04-26T00:00:00"/>
    <x v="4"/>
    <x v="2"/>
    <n v="124"/>
    <n v="99.337148788595144"/>
    <n v="150"/>
    <n v="50.662851211404856"/>
    <n v="13"/>
    <n v="3300"/>
    <n v="9.9337148788595151"/>
    <n v="58.608012456049806"/>
    <n v="58.608012456049806"/>
    <n v="0"/>
    <n v="9.9337148788595186"/>
    <n v="0"/>
    <n v="99.337148788595144"/>
  </r>
  <r>
    <d v="2033-05-26T00:00:00"/>
    <x v="1"/>
    <x v="3"/>
    <n v="91"/>
    <n v="99.338312985251932"/>
    <n v="185"/>
    <n v="85.661687014748068"/>
    <n v="10"/>
    <n v="4070"/>
    <n v="9.9338312985251935"/>
    <n v="23.610457269029055"/>
    <n v="23.610457269029055"/>
    <n v="0"/>
    <n v="9.9338312985251918"/>
    <n v="0"/>
    <n v="99.338312985251932"/>
  </r>
  <r>
    <d v="2033-06-25T00:00:00"/>
    <x v="4"/>
    <x v="4"/>
    <n v="103"/>
    <n v="99.33947718190872"/>
    <n v="150"/>
    <n v="50.66052281809128"/>
    <n v="13"/>
    <n v="3300"/>
    <n v="9.933947718190872"/>
    <n v="58.612902082008318"/>
    <n v="58.612902082008318"/>
    <n v="0"/>
    <n v="9.9339477181908791"/>
    <n v="0"/>
    <n v="99.33947718190872"/>
  </r>
  <r>
    <d v="2033-07-25T00:00:00"/>
    <x v="4"/>
    <x v="5"/>
    <n v="86"/>
    <n v="99.340641378565508"/>
    <n v="150"/>
    <n v="50.659358621434492"/>
    <n v="13"/>
    <n v="3300"/>
    <n v="9.9340641378565522"/>
    <n v="58.615346894987567"/>
    <n v="58.615346894987567"/>
    <n v="0"/>
    <n v="9.9340641378565522"/>
    <n v="0"/>
    <n v="99.340641378565508"/>
  </r>
  <r>
    <d v="2033-08-24T00:00:00"/>
    <x v="4"/>
    <x v="6"/>
    <n v="101"/>
    <n v="99.341805575222295"/>
    <n v="150"/>
    <n v="50.658194424777705"/>
    <n v="13"/>
    <n v="3300"/>
    <n v="9.9341805575222306"/>
    <n v="58.617791707966816"/>
    <n v="58.617791707966816"/>
    <n v="0"/>
    <n v="9.9341805575222253"/>
    <n v="0"/>
    <n v="99.341805575222295"/>
  </r>
  <r>
    <d v="2033-09-23T00:00:00"/>
    <x v="0"/>
    <x v="7"/>
    <n v="101"/>
    <n v="99.342969771879083"/>
    <n v="200"/>
    <n v="100.65703022812092"/>
    <n v="7"/>
    <n v="4400"/>
    <n v="9.9342969771879091"/>
    <n v="8.6202365209460794"/>
    <n v="8.6202365209460794"/>
    <n v="0"/>
    <n v="9.9342969771879126"/>
    <n v="0"/>
    <n v="99.342969771879083"/>
  </r>
  <r>
    <d v="2033-10-23T00:00:00"/>
    <x v="0"/>
    <x v="8"/>
    <n v="101"/>
    <n v="99.344133968535871"/>
    <n v="200"/>
    <n v="100.65586603146413"/>
    <n v="7"/>
    <n v="4400"/>
    <n v="9.9344133968535875"/>
    <n v="8.6226813339253283"/>
    <n v="8.6226813339253283"/>
    <n v="0"/>
    <n v="9.9344133968535857"/>
    <n v="0"/>
    <n v="99.344133968535871"/>
  </r>
  <r>
    <d v="2033-11-22T00:00:00"/>
    <x v="0"/>
    <x v="9"/>
    <n v="113"/>
    <n v="99.345298165192659"/>
    <n v="200"/>
    <n v="100.65470183480734"/>
    <n v="7"/>
    <n v="4400"/>
    <n v="9.9345298165192659"/>
    <n v="8.6251261469045772"/>
    <n v="8.6251261469045772"/>
    <n v="0"/>
    <n v="9.9345298165192588"/>
    <n v="0"/>
    <n v="99.345298165192659"/>
  </r>
  <r>
    <d v="2033-12-22T00:00:00"/>
    <x v="4"/>
    <x v="10"/>
    <n v="87"/>
    <n v="99.346462361849447"/>
    <n v="150"/>
    <n v="50.653537638150553"/>
    <n v="13"/>
    <n v="3300"/>
    <n v="9.9346462361849461"/>
    <n v="58.62757095988384"/>
    <n v="58.62757095988384"/>
    <n v="0"/>
    <n v="9.9346462361849461"/>
    <n v="0"/>
    <n v="99.346462361849447"/>
  </r>
  <r>
    <d v="2034-01-21T00:00:00"/>
    <x v="1"/>
    <x v="0"/>
    <n v="108"/>
    <n v="99.347626558506221"/>
    <n v="185"/>
    <n v="85.652373441493779"/>
    <n v="10"/>
    <n v="4070"/>
    <n v="9.9347626558506228"/>
    <n v="23.630015772863061"/>
    <n v="23.630015772863061"/>
    <n v="0"/>
    <n v="9.9347626558506192"/>
    <n v="0"/>
    <n v="99.347626558506221"/>
  </r>
  <r>
    <d v="2034-02-20T00:00:00"/>
    <x v="0"/>
    <x v="11"/>
    <n v="100"/>
    <n v="99.348790755163009"/>
    <n v="200"/>
    <n v="100.65120924483699"/>
    <n v="7"/>
    <n v="4400"/>
    <n v="9.9348790755163012"/>
    <n v="8.632460585842324"/>
    <n v="8.632460585842324"/>
    <n v="0"/>
    <n v="9.9348790755163066"/>
    <n v="0"/>
    <n v="99.348790755163009"/>
  </r>
  <r>
    <d v="2034-03-22T00:00:00"/>
    <x v="2"/>
    <x v="1"/>
    <n v="87"/>
    <n v="99.349954951819797"/>
    <n v="250"/>
    <n v="150.6500450481802"/>
    <n v="5"/>
    <n v="5500"/>
    <n v="9.9349954951819797"/>
    <n v="-41.365094601178427"/>
    <n v="-41.365094601178427"/>
    <n v="0"/>
    <n v="9.9349954951819797"/>
    <n v="0"/>
    <n v="99.349954951819797"/>
  </r>
  <r>
    <d v="2034-04-21T00:00:00"/>
    <x v="2"/>
    <x v="2"/>
    <n v="96"/>
    <n v="99.351119148476585"/>
    <n v="250"/>
    <n v="150.64888085152342"/>
    <n v="5"/>
    <n v="5500"/>
    <n v="9.9351119148476599"/>
    <n v="-41.362649788199178"/>
    <n v="-41.362649788199178"/>
    <n v="0"/>
    <n v="9.9351119148476528"/>
    <n v="0"/>
    <n v="99.351119148476585"/>
  </r>
  <r>
    <d v="2034-05-21T00:00:00"/>
    <x v="2"/>
    <x v="3"/>
    <n v="97"/>
    <n v="99.352283345133372"/>
    <n v="250"/>
    <n v="150.64771665486663"/>
    <n v="5"/>
    <n v="5500"/>
    <n v="9.9352283345133383"/>
    <n v="-41.360204975219915"/>
    <n v="-41.360204975219915"/>
    <n v="0"/>
    <n v="9.9352283345133401"/>
    <n v="0"/>
    <n v="99.352283345133372"/>
  </r>
  <r>
    <d v="2034-06-20T00:00:00"/>
    <x v="3"/>
    <x v="4"/>
    <n v="116"/>
    <n v="99.35344754179016"/>
    <n v="190"/>
    <n v="90.64655245820984"/>
    <n v="11"/>
    <n v="4180"/>
    <n v="9.9353447541790167"/>
    <n v="18.642239837759334"/>
    <n v="18.642239837759334"/>
    <n v="0"/>
    <n v="9.9353447541790132"/>
    <n v="0"/>
    <n v="99.35344754179016"/>
  </r>
  <r>
    <d v="2034-07-20T00:00:00"/>
    <x v="4"/>
    <x v="5"/>
    <n v="100"/>
    <n v="99.354611738446948"/>
    <n v="150"/>
    <n v="50.645388261553052"/>
    <n v="13"/>
    <n v="3300"/>
    <n v="9.9354611738446952"/>
    <n v="58.644684650738597"/>
    <n v="58.644684650738597"/>
    <n v="0"/>
    <n v="9.9354611738447005"/>
    <n v="0"/>
    <n v="99.354611738446948"/>
  </r>
  <r>
    <d v="2034-08-19T00:00:00"/>
    <x v="2"/>
    <x v="6"/>
    <n v="97"/>
    <n v="99.355775935103736"/>
    <n v="250"/>
    <n v="150.64422406489626"/>
    <n v="5"/>
    <n v="5500"/>
    <n v="9.9355775935103736"/>
    <n v="-41.352870536282154"/>
    <n v="-41.352870536282154"/>
    <n v="0"/>
    <n v="9.9355775935103736"/>
    <n v="0"/>
    <n v="99.355775935103736"/>
  </r>
  <r>
    <d v="2034-09-18T00:00:00"/>
    <x v="4"/>
    <x v="7"/>
    <n v="100"/>
    <n v="99.356940131760524"/>
    <n v="150"/>
    <n v="50.643059868239476"/>
    <n v="13"/>
    <n v="3300"/>
    <n v="9.9356940131760538"/>
    <n v="58.649574276697109"/>
    <n v="58.649574276697109"/>
    <n v="0"/>
    <n v="9.9356940131760609"/>
    <n v="0"/>
    <n v="99.356940131760524"/>
  </r>
  <r>
    <d v="2034-10-18T00:00:00"/>
    <x v="2"/>
    <x v="8"/>
    <n v="99"/>
    <n v="99.358104328417312"/>
    <n v="250"/>
    <n v="150.64189567158269"/>
    <n v="5"/>
    <n v="5500"/>
    <n v="9.9358104328417323"/>
    <n v="-41.347980910323642"/>
    <n v="-41.347980910323642"/>
    <n v="0"/>
    <n v="9.935810432841734"/>
    <n v="0"/>
    <n v="99.358104328417312"/>
  </r>
  <r>
    <d v="2034-11-17T00:00:00"/>
    <x v="1"/>
    <x v="9"/>
    <n v="100"/>
    <n v="99.3592685250741"/>
    <n v="185"/>
    <n v="85.6407314749259"/>
    <n v="10"/>
    <n v="4070"/>
    <n v="9.9359268525074107"/>
    <n v="23.654463902655607"/>
    <n v="23.654463902655607"/>
    <n v="0"/>
    <n v="9.9359268525074071"/>
    <n v="0"/>
    <n v="99.3592685250741"/>
  </r>
  <r>
    <d v="2034-12-17T00:00:00"/>
    <x v="4"/>
    <x v="10"/>
    <n v="100"/>
    <n v="99.360432721730874"/>
    <n v="150"/>
    <n v="50.639567278269126"/>
    <n v="13"/>
    <n v="3300"/>
    <n v="9.9360432721730874"/>
    <n v="58.656908715634827"/>
    <n v="58.656908715634827"/>
    <n v="0"/>
    <n v="9.9360432721730803"/>
    <n v="0"/>
    <n v="99.360432721730874"/>
  </r>
  <r>
    <d v="2035-01-16T00:00:00"/>
    <x v="2"/>
    <x v="0"/>
    <n v="82"/>
    <n v="99.361596918387662"/>
    <n v="250"/>
    <n v="150.63840308161235"/>
    <n v="5"/>
    <n v="5500"/>
    <n v="9.9361596918387676"/>
    <n v="-41.340646471385924"/>
    <n v="-41.340646471385924"/>
    <n v="0"/>
    <n v="9.9361596918387676"/>
    <n v="0"/>
    <n v="99.361596918387662"/>
  </r>
  <r>
    <d v="2035-02-15T00:00:00"/>
    <x v="0"/>
    <x v="11"/>
    <n v="87"/>
    <n v="99.362761115044449"/>
    <n v="200"/>
    <n v="100.63723888495555"/>
    <n v="7"/>
    <n v="4400"/>
    <n v="9.936276111504446"/>
    <n v="8.6617983415933395"/>
    <n v="8.6617983415933395"/>
    <n v="0"/>
    <n v="9.9362761115044407"/>
    <n v="0"/>
    <n v="99.362761115044449"/>
  </r>
  <r>
    <d v="2035-03-17T00:00:00"/>
    <x v="4"/>
    <x v="1"/>
    <n v="87"/>
    <n v="99.363925311701237"/>
    <n v="150"/>
    <n v="50.636074688298763"/>
    <n v="13"/>
    <n v="3300"/>
    <n v="9.9363925311701244"/>
    <n v="58.664243154572603"/>
    <n v="58.664243154572603"/>
    <n v="0"/>
    <n v="9.936392531170128"/>
    <n v="0"/>
    <n v="99.363925311701237"/>
  </r>
  <r>
    <d v="2035-04-16T00:00:00"/>
    <x v="3"/>
    <x v="2"/>
    <n v="90"/>
    <n v="99.365089508358025"/>
    <n v="190"/>
    <n v="90.634910491641975"/>
    <n v="11"/>
    <n v="4180"/>
    <n v="9.9365089508358029"/>
    <n v="18.666687967551852"/>
    <n v="18.666687967551852"/>
    <n v="0"/>
    <n v="9.9365089508358011"/>
    <n v="0"/>
    <n v="99.365089508358025"/>
  </r>
  <r>
    <d v="2035-05-16T00:00:00"/>
    <x v="0"/>
    <x v="3"/>
    <n v="115"/>
    <n v="99.366253705014813"/>
    <n v="200"/>
    <n v="100.63374629498519"/>
    <n v="7"/>
    <n v="4400"/>
    <n v="9.9366253705014813"/>
    <n v="8.6691327805311147"/>
    <n v="8.6691327805311147"/>
    <n v="0"/>
    <n v="9.9366253705014884"/>
    <n v="0"/>
    <n v="99.366253705014813"/>
  </r>
  <r>
    <d v="2035-06-15T00:00:00"/>
    <x v="0"/>
    <x v="4"/>
    <n v="105"/>
    <n v="99.367417901671601"/>
    <n v="200"/>
    <n v="100.6325820983284"/>
    <n v="7"/>
    <n v="4400"/>
    <n v="9.9367417901671615"/>
    <n v="8.6715775935103636"/>
    <n v="8.6715775935103636"/>
    <n v="0"/>
    <n v="9.9367417901671615"/>
    <n v="0"/>
    <n v="99.367417901671601"/>
  </r>
  <r>
    <d v="2035-07-15T00:00:00"/>
    <x v="3"/>
    <x v="5"/>
    <n v="90"/>
    <n v="99.368582098328389"/>
    <n v="190"/>
    <n v="90.631417901671611"/>
    <n v="11"/>
    <n v="4180"/>
    <n v="9.93685820983284"/>
    <n v="18.674022406489613"/>
    <n v="18.674022406489613"/>
    <n v="0"/>
    <n v="9.9368582098328346"/>
    <n v="0"/>
    <n v="99.368582098328389"/>
  </r>
  <r>
    <d v="2035-08-14T00:00:00"/>
    <x v="0"/>
    <x v="6"/>
    <n v="89"/>
    <n v="99.369746294985177"/>
    <n v="200"/>
    <n v="100.63025370501482"/>
    <n v="7"/>
    <n v="4400"/>
    <n v="9.9369746294985184"/>
    <n v="8.6764672194688757"/>
    <n v="8.6764672194688757"/>
    <n v="0"/>
    <n v="9.9369746294985219"/>
    <n v="0"/>
    <n v="99.369746294985177"/>
  </r>
  <r>
    <d v="2035-09-13T00:00:00"/>
    <x v="0"/>
    <x v="7"/>
    <n v="89"/>
    <n v="99.370910491641965"/>
    <n v="200"/>
    <n v="100.62908950835804"/>
    <n v="7"/>
    <n v="4400"/>
    <n v="9.9370910491641968"/>
    <n v="8.6789120324481246"/>
    <n v="8.6789120324481246"/>
    <n v="0"/>
    <n v="9.9370910491641951"/>
    <n v="0"/>
    <n v="99.370910491641965"/>
  </r>
  <r>
    <d v="2035-10-13T00:00:00"/>
    <x v="2"/>
    <x v="8"/>
    <n v="86"/>
    <n v="99.372074688298753"/>
    <n v="250"/>
    <n v="150.62792531170123"/>
    <n v="5"/>
    <n v="5500"/>
    <n v="9.9372074688298753"/>
    <n v="-41.318643154572612"/>
    <n v="-41.318643154572612"/>
    <n v="0"/>
    <n v="9.9372074688298682"/>
    <n v="0"/>
    <n v="99.372074688298753"/>
  </r>
  <r>
    <d v="2035-11-12T00:00:00"/>
    <x v="2"/>
    <x v="9"/>
    <n v="91"/>
    <n v="99.373238884955526"/>
    <n v="250"/>
    <n v="150.62676111504447"/>
    <n v="5"/>
    <n v="5500"/>
    <n v="9.9373238884955537"/>
    <n v="-41.316198341593392"/>
    <n v="-41.316198341593392"/>
    <n v="0"/>
    <n v="9.9373238884955555"/>
    <n v="0"/>
    <n v="99.373238884955526"/>
  </r>
  <r>
    <d v="2035-12-12T00:00:00"/>
    <x v="4"/>
    <x v="10"/>
    <n v="100"/>
    <n v="99.374403081612314"/>
    <n v="150"/>
    <n v="50.625596918387686"/>
    <n v="13"/>
    <n v="3300"/>
    <n v="9.9374403081612321"/>
    <n v="58.686246471385857"/>
    <n v="58.686246471385857"/>
    <n v="0"/>
    <n v="9.9374403081612286"/>
    <n v="0"/>
    <n v="99.374403081612314"/>
  </r>
  <r>
    <d v="2036-01-11T00:00:00"/>
    <x v="4"/>
    <x v="0"/>
    <n v="104"/>
    <n v="99.375567278269102"/>
    <n v="150"/>
    <n v="50.624432721730898"/>
    <n v="13"/>
    <n v="3300"/>
    <n v="9.9375567278269106"/>
    <n v="58.68869128436512"/>
    <n v="58.68869128436512"/>
    <n v="0"/>
    <n v="9.9375567278269159"/>
    <n v="0"/>
    <n v="99.375567278269102"/>
  </r>
  <r>
    <d v="2036-02-10T00:00:00"/>
    <x v="4"/>
    <x v="11"/>
    <n v="80"/>
    <n v="99.37673147492589"/>
    <n v="150"/>
    <n v="50.62326852507411"/>
    <n v="13"/>
    <n v="3300"/>
    <n v="9.937673147492589"/>
    <n v="58.691136097344369"/>
    <n v="58.691136097344369"/>
    <n v="0"/>
    <n v="9.937673147492589"/>
    <n v="0"/>
    <n v="99.37673147492589"/>
  </r>
  <r>
    <d v="2036-03-11T00:00:00"/>
    <x v="2"/>
    <x v="1"/>
    <n v="110"/>
    <n v="99.377895671582678"/>
    <n v="250"/>
    <n v="150.62210432841732"/>
    <n v="5"/>
    <n v="5500"/>
    <n v="9.9377895671582692"/>
    <n v="-41.306419089676382"/>
    <n v="-41.306419089676382"/>
    <n v="0"/>
    <n v="9.9377895671582621"/>
    <n v="0"/>
    <n v="99.377895671582678"/>
  </r>
  <r>
    <d v="2036-04-10T00:00:00"/>
    <x v="4"/>
    <x v="2"/>
    <n v="90"/>
    <n v="99.379059868239466"/>
    <n v="150"/>
    <n v="50.620940131760534"/>
    <n v="13"/>
    <n v="3300"/>
    <n v="9.9379059868239477"/>
    <n v="58.696025723302881"/>
    <n v="58.696025723302881"/>
    <n v="0"/>
    <n v="9.9379059868239494"/>
    <n v="0"/>
    <n v="99.379059868239466"/>
  </r>
  <r>
    <d v="2036-05-10T00:00:00"/>
    <x v="0"/>
    <x v="3"/>
    <n v="96"/>
    <n v="99.380224064896254"/>
    <n v="200"/>
    <n v="100.61977593510375"/>
    <n v="7"/>
    <n v="4400"/>
    <n v="9.9380224064896261"/>
    <n v="8.6984705362821302"/>
    <n v="8.6984705362821302"/>
    <n v="0"/>
    <n v="9.9380224064896225"/>
    <n v="0"/>
    <n v="99.380224064896254"/>
  </r>
  <r>
    <d v="2036-06-09T00:00:00"/>
    <x v="2"/>
    <x v="4"/>
    <n v="103"/>
    <n v="99.381388261553042"/>
    <n v="250"/>
    <n v="150.61861173844696"/>
    <n v="5"/>
    <n v="5500"/>
    <n v="9.9381388261553045"/>
    <n v="-41.299084650738607"/>
    <n v="-41.299084650738607"/>
    <n v="0"/>
    <n v="9.9381388261553099"/>
    <n v="0"/>
    <n v="99.381388261553042"/>
  </r>
  <r>
    <d v="2036-07-09T00:00:00"/>
    <x v="4"/>
    <x v="5"/>
    <n v="99"/>
    <n v="99.38255245820983"/>
    <n v="150"/>
    <n v="50.61744754179017"/>
    <n v="13"/>
    <n v="3300"/>
    <n v="9.938255245820983"/>
    <n v="58.703360162240642"/>
    <n v="58.703360162240642"/>
    <n v="0"/>
    <n v="9.938255245820983"/>
    <n v="0"/>
    <n v="99.38255245820983"/>
  </r>
  <r>
    <d v="2036-08-08T00:00:00"/>
    <x v="0"/>
    <x v="6"/>
    <n v="76"/>
    <n v="99.383716654866618"/>
    <n v="200"/>
    <n v="100.61628334513338"/>
    <n v="7"/>
    <n v="4400"/>
    <n v="9.9383716654866632"/>
    <n v="8.7058049752199054"/>
    <n v="8.7058049752199054"/>
    <n v="0"/>
    <n v="9.9383716654866703"/>
    <n v="0"/>
    <n v="99.383716654866618"/>
  </r>
  <r>
    <d v="2036-09-07T00:00:00"/>
    <x v="4"/>
    <x v="7"/>
    <n v="106"/>
    <n v="99.384880851523405"/>
    <n v="150"/>
    <n v="50.615119148476595"/>
    <n v="13"/>
    <n v="3300"/>
    <n v="9.9384880851523416"/>
    <n v="58.708249788199154"/>
    <n v="58.708249788199154"/>
    <n v="0"/>
    <n v="9.9384880851523434"/>
    <n v="0"/>
    <n v="99.384880851523405"/>
  </r>
  <r>
    <d v="2036-10-07T00:00:00"/>
    <x v="1"/>
    <x v="8"/>
    <n v="100"/>
    <n v="99.386045048180193"/>
    <n v="185"/>
    <n v="85.613954951819807"/>
    <n v="10"/>
    <n v="4070"/>
    <n v="9.93860450481802"/>
    <n v="23.710694601178403"/>
    <n v="23.710694601178403"/>
    <n v="0"/>
    <n v="9.9386045048180165"/>
    <n v="0"/>
    <n v="99.386045048180193"/>
  </r>
  <r>
    <d v="2036-11-06T00:00:00"/>
    <x v="4"/>
    <x v="9"/>
    <n v="85"/>
    <n v="99.387209244836967"/>
    <n v="150"/>
    <n v="50.612790755163033"/>
    <n v="13"/>
    <n v="3300"/>
    <n v="9.9387209244836967"/>
    <n v="58.713139414157624"/>
    <n v="58.713139414157624"/>
    <n v="0"/>
    <n v="9.9387209244836896"/>
    <n v="0"/>
    <n v="99.387209244836967"/>
  </r>
  <r>
    <d v="2036-12-06T00:00:00"/>
    <x v="1"/>
    <x v="10"/>
    <n v="101"/>
    <n v="99.388373441493755"/>
    <n v="185"/>
    <n v="85.611626558506245"/>
    <n v="10"/>
    <n v="4070"/>
    <n v="9.9388373441493769"/>
    <n v="23.715584227136887"/>
    <n v="23.715584227136887"/>
    <n v="0"/>
    <n v="9.9388373441493769"/>
    <n v="0"/>
    <n v="99.388373441493755"/>
  </r>
  <r>
    <d v="2037-01-05T00:00:00"/>
    <x v="4"/>
    <x v="0"/>
    <n v="93"/>
    <n v="99.389537638150543"/>
    <n v="150"/>
    <n v="50.610462361849457"/>
    <n v="13"/>
    <n v="3300"/>
    <n v="9.9389537638150554"/>
    <n v="58.718029040116136"/>
    <n v="58.718029040116136"/>
    <n v="0"/>
    <n v="9.93895376381505"/>
    <n v="0"/>
    <n v="99.389537638150543"/>
  </r>
  <r>
    <d v="2037-02-04T00:00:00"/>
    <x v="3"/>
    <x v="11"/>
    <n v="91"/>
    <n v="99.390701834807331"/>
    <n v="190"/>
    <n v="90.609298165192669"/>
    <n v="11"/>
    <n v="4180"/>
    <n v="9.9390701834807338"/>
    <n v="18.720473853095399"/>
    <n v="18.720473853095399"/>
    <n v="0"/>
    <n v="9.9390701834807373"/>
    <n v="0"/>
    <n v="99.390701834807331"/>
  </r>
  <r>
    <d v="2037-03-06T00:00:00"/>
    <x v="4"/>
    <x v="1"/>
    <n v="103"/>
    <n v="99.391866031464119"/>
    <n v="150"/>
    <n v="50.608133968535881"/>
    <n v="13"/>
    <n v="3300"/>
    <n v="9.9391866031464122"/>
    <n v="58.722918666074648"/>
    <n v="58.722918666074648"/>
    <n v="0"/>
    <n v="9.9391866031464104"/>
    <n v="0"/>
    <n v="99.391866031464119"/>
  </r>
  <r>
    <d v="2037-04-05T00:00:00"/>
    <x v="2"/>
    <x v="2"/>
    <n v="109"/>
    <n v="99.393030228120907"/>
    <n v="250"/>
    <n v="150.60696977187911"/>
    <n v="5"/>
    <n v="5500"/>
    <n v="9.9393030228120907"/>
    <n v="-41.274636520946103"/>
    <n v="-41.274636520946103"/>
    <n v="0"/>
    <n v="9.9393030228120978"/>
    <n v="0"/>
    <n v="99.393030228120907"/>
  </r>
  <r>
    <d v="2037-05-05T00:00:00"/>
    <x v="2"/>
    <x v="3"/>
    <n v="83"/>
    <n v="99.394194424777695"/>
    <n v="250"/>
    <n v="150.60580557522229"/>
    <n v="5"/>
    <n v="5500"/>
    <n v="9.9394194424777709"/>
    <n v="-41.272191707966826"/>
    <n v="-41.272191707966826"/>
    <n v="0"/>
    <n v="9.9394194424777709"/>
    <n v="0"/>
    <n v="99.394194424777695"/>
  </r>
  <r>
    <d v="2037-06-04T00:00:00"/>
    <x v="1"/>
    <x v="4"/>
    <n v="102"/>
    <n v="99.395358621434482"/>
    <n v="185"/>
    <n v="85.604641378565518"/>
    <n v="10"/>
    <n v="4070"/>
    <n v="9.9395358621434493"/>
    <n v="23.730253105012409"/>
    <n v="23.730253105012409"/>
    <n v="0"/>
    <n v="9.939535862143444"/>
    <n v="0"/>
    <n v="99.395358621434482"/>
  </r>
  <r>
    <d v="2037-07-04T00:00:00"/>
    <x v="2"/>
    <x v="5"/>
    <n v="98"/>
    <n v="99.39652281809127"/>
    <n v="250"/>
    <n v="150.60347718190872"/>
    <n v="5"/>
    <n v="5500"/>
    <n v="9.9396522818091277"/>
    <n v="-41.267302082008314"/>
    <n v="-41.267302082008314"/>
    <n v="0"/>
    <n v="9.9396522818091313"/>
    <n v="0"/>
    <n v="99.39652281809127"/>
  </r>
  <r>
    <d v="2037-08-03T00:00:00"/>
    <x v="0"/>
    <x v="6"/>
    <n v="93"/>
    <n v="99.397687014748058"/>
    <n v="200"/>
    <n v="100.60231298525194"/>
    <n v="7"/>
    <n v="4400"/>
    <n v="9.9397687014748062"/>
    <n v="8.7351427309709209"/>
    <n v="8.7351427309709209"/>
    <n v="0"/>
    <n v="9.9397687014748044"/>
    <n v="0"/>
    <n v="99.397687014748058"/>
  </r>
  <r>
    <d v="2037-09-02T00:00:00"/>
    <x v="3"/>
    <x v="7"/>
    <n v="104"/>
    <n v="99.398851211404832"/>
    <n v="190"/>
    <n v="90.601148788595168"/>
    <n v="11"/>
    <n v="4180"/>
    <n v="9.9398851211404846"/>
    <n v="18.737587543950156"/>
    <n v="18.737587543950156"/>
    <n v="0"/>
    <n v="9.9398851211404917"/>
    <n v="0"/>
    <n v="99.398851211404832"/>
  </r>
  <r>
    <d v="2037-10-02T00:00:00"/>
    <x v="3"/>
    <x v="8"/>
    <n v="96"/>
    <n v="99.40001540806162"/>
    <n v="190"/>
    <n v="90.59998459193838"/>
    <n v="11"/>
    <n v="4180"/>
    <n v="9.940001540806163"/>
    <n v="18.740032356929405"/>
    <n v="18.740032356929405"/>
    <n v="0"/>
    <n v="9.9400015408061648"/>
    <n v="0"/>
    <n v="99.40001540806162"/>
  </r>
  <r>
    <d v="2037-11-01T00:00:00"/>
    <x v="0"/>
    <x v="9"/>
    <n v="103"/>
    <n v="99.401179604718408"/>
    <n v="200"/>
    <n v="100.59882039528159"/>
    <n v="7"/>
    <n v="4400"/>
    <n v="9.9401179604718415"/>
    <n v="8.7424771699086534"/>
    <n v="8.7424771699086534"/>
    <n v="0"/>
    <n v="9.9401179604718379"/>
    <n v="0"/>
    <n v="99.401179604718408"/>
  </r>
  <r>
    <d v="2037-12-01T00:00:00"/>
    <x v="1"/>
    <x v="10"/>
    <n v="85"/>
    <n v="99.402343801375196"/>
    <n v="185"/>
    <n v="85.597656198624804"/>
    <n v="10"/>
    <n v="4070"/>
    <n v="9.9402343801375199"/>
    <n v="23.744921982887917"/>
    <n v="23.744921982887917"/>
    <n v="0"/>
    <n v="9.9402343801375252"/>
    <n v="0"/>
    <n v="99.402343801375196"/>
  </r>
  <r>
    <d v="2037-12-31T00:00:00"/>
    <x v="0"/>
    <x v="10"/>
    <n v="92"/>
    <n v="99.403507998031984"/>
    <n v="200"/>
    <n v="100.59649200196802"/>
    <n v="7"/>
    <n v="4400"/>
    <n v="9.9403507998031984"/>
    <n v="8.7473667958671655"/>
    <n v="8.7473667958671655"/>
    <n v="0"/>
    <n v="9.9403507998031984"/>
    <n v="0"/>
    <n v="99.403507998031984"/>
  </r>
  <r>
    <d v="2038-01-30T00:00:00"/>
    <x v="0"/>
    <x v="0"/>
    <n v="90"/>
    <n v="99.404672194688771"/>
    <n v="200"/>
    <n v="100.59532780531123"/>
    <n v="7"/>
    <n v="4400"/>
    <n v="9.9404672194688786"/>
    <n v="8.7498116088464144"/>
    <n v="8.7498116088464144"/>
    <n v="0"/>
    <n v="9.9404672194688715"/>
    <n v="0"/>
    <n v="99.404672194688771"/>
  </r>
  <r>
    <d v="2038-03-01T00:00:00"/>
    <x v="3"/>
    <x v="1"/>
    <n v="83"/>
    <n v="99.405836391345559"/>
    <n v="190"/>
    <n v="90.594163608654441"/>
    <n v="11"/>
    <n v="4180"/>
    <n v="9.940583639134557"/>
    <n v="18.752256421825678"/>
    <n v="18.752256421825678"/>
    <n v="0"/>
    <n v="9.9405836391345588"/>
    <n v="0"/>
    <n v="99.405836391345559"/>
  </r>
  <r>
    <d v="2038-03-31T00:00:00"/>
    <x v="4"/>
    <x v="1"/>
    <n v="86"/>
    <n v="99.407000588002347"/>
    <n v="150"/>
    <n v="50.592999411997653"/>
    <n v="13"/>
    <n v="3300"/>
    <n v="9.9407000588002354"/>
    <n v="58.754701234804926"/>
    <n v="58.754701234804926"/>
    <n v="0"/>
    <n v="9.9407000588002319"/>
    <n v="0"/>
    <n v="99.407000588002347"/>
  </r>
  <r>
    <d v="2038-04-30T00:00:00"/>
    <x v="3"/>
    <x v="2"/>
    <n v="110"/>
    <n v="99.408164784659135"/>
    <n v="190"/>
    <n v="90.591835215340865"/>
    <n v="11"/>
    <n v="4180"/>
    <n v="9.9408164784659139"/>
    <n v="18.75714604778419"/>
    <n v="18.75714604778419"/>
    <n v="0"/>
    <n v="9.9408164784659192"/>
    <n v="0"/>
    <n v="99.408164784659135"/>
  </r>
  <r>
    <d v="2038-05-30T00:00:00"/>
    <x v="3"/>
    <x v="3"/>
    <n v="89"/>
    <n v="99.409328981315923"/>
    <n v="190"/>
    <n v="90.590671018684077"/>
    <n v="11"/>
    <n v="4180"/>
    <n v="9.9409328981315923"/>
    <n v="18.759590860763439"/>
    <n v="18.759590860763439"/>
    <n v="0"/>
    <n v="9.9409328981315923"/>
    <n v="0"/>
    <n v="99.409328981315923"/>
  </r>
  <r>
    <d v="2038-06-29T00:00:00"/>
    <x v="2"/>
    <x v="4"/>
    <n v="118"/>
    <n v="99.410493177972711"/>
    <n v="250"/>
    <n v="150.58950682202729"/>
    <n v="5"/>
    <n v="5500"/>
    <n v="9.9410493177972725"/>
    <n v="-41.237964326257298"/>
    <n v="-41.237964326257298"/>
    <n v="0"/>
    <n v="9.9410493177972796"/>
    <n v="0"/>
    <n v="99.410493177972711"/>
  </r>
  <r>
    <d v="2038-07-29T00:00:00"/>
    <x v="0"/>
    <x v="5"/>
    <n v="102"/>
    <n v="99.411657374629499"/>
    <n v="200"/>
    <n v="100.5883426253705"/>
    <n v="7"/>
    <n v="4400"/>
    <n v="9.941165737462951"/>
    <n v="8.7644804867219506"/>
    <n v="8.7644804867219506"/>
    <n v="0"/>
    <n v="9.9411657374629527"/>
    <n v="0"/>
    <n v="99.411657374629499"/>
  </r>
  <r>
    <d v="2038-08-28T00:00:00"/>
    <x v="3"/>
    <x v="6"/>
    <n v="108"/>
    <n v="99.412821571286273"/>
    <n v="190"/>
    <n v="90.587178428713727"/>
    <n v="11"/>
    <n v="4180"/>
    <n v="9.9412821571286276"/>
    <n v="18.766925299701171"/>
    <n v="18.766925299701171"/>
    <n v="0"/>
    <n v="9.9412821571286258"/>
    <n v="0"/>
    <n v="99.412821571286273"/>
  </r>
  <r>
    <d v="2038-09-27T00:00:00"/>
    <x v="0"/>
    <x v="7"/>
    <n v="95"/>
    <n v="99.413985767943061"/>
    <n v="200"/>
    <n v="100.58601423205694"/>
    <n v="7"/>
    <n v="4400"/>
    <n v="9.9413985767943061"/>
    <n v="8.76937011268042"/>
    <n v="8.76937011268042"/>
    <n v="0"/>
    <n v="9.9413985767942989"/>
    <n v="0"/>
    <n v="99.413985767943061"/>
  </r>
  <r>
    <d v="2038-10-27T00:00:00"/>
    <x v="2"/>
    <x v="8"/>
    <n v="100"/>
    <n v="99.415149964599848"/>
    <n v="250"/>
    <n v="150.58485003540017"/>
    <n v="5"/>
    <n v="5500"/>
    <n v="9.9415149964599863"/>
    <n v="-41.228185074340331"/>
    <n v="-41.228185074340331"/>
    <n v="0"/>
    <n v="9.9415149964599863"/>
    <n v="0"/>
    <n v="99.415149964599848"/>
  </r>
  <r>
    <d v="2038-11-26T00:00:00"/>
    <x v="0"/>
    <x v="9"/>
    <n v="86"/>
    <n v="99.416314161256636"/>
    <n v="200"/>
    <n v="100.58368583874336"/>
    <n v="7"/>
    <n v="4400"/>
    <n v="9.9416314161256647"/>
    <n v="8.774259738638932"/>
    <n v="8.774259738638932"/>
    <n v="0"/>
    <n v="9.9416314161256594"/>
    <n v="0"/>
    <n v="99.416314161256636"/>
  </r>
  <r>
    <d v="2038-12-26T00:00:00"/>
    <x v="3"/>
    <x v="10"/>
    <n v="94"/>
    <n v="99.417478357913424"/>
    <n v="190"/>
    <n v="90.582521642086576"/>
    <n v="11"/>
    <n v="4180"/>
    <n v="9.9417478357913431"/>
    <n v="18.776704551618195"/>
    <n v="18.776704551618195"/>
    <n v="0"/>
    <n v="9.9417478357913467"/>
    <n v="0"/>
    <n v="99.417478357913424"/>
  </r>
  <r>
    <d v="2039-01-25T00:00:00"/>
    <x v="0"/>
    <x v="0"/>
    <n v="88"/>
    <n v="99.418642554570212"/>
    <n v="200"/>
    <n v="100.58135744542979"/>
    <n v="7"/>
    <n v="4400"/>
    <n v="9.9418642554570216"/>
    <n v="8.7791493645974441"/>
    <n v="8.7791493645974441"/>
    <n v="0"/>
    <n v="9.9418642554570198"/>
    <n v="0"/>
    <n v="99.418642554570212"/>
  </r>
  <r>
    <d v="2039-02-24T00:00:00"/>
    <x v="2"/>
    <x v="11"/>
    <n v="100"/>
    <n v="99.419806751227"/>
    <n v="250"/>
    <n v="150.58019324877301"/>
    <n v="5"/>
    <n v="5500"/>
    <n v="9.9419806751227"/>
    <n v="-41.218405822423307"/>
    <n v="-41.218405822423307"/>
    <n v="0"/>
    <n v="9.9419806751227071"/>
    <n v="0"/>
    <n v="99.419806751227"/>
  </r>
  <r>
    <d v="2039-03-26T00:00:00"/>
    <x v="4"/>
    <x v="1"/>
    <n v="95"/>
    <n v="99.420970947883788"/>
    <n v="150"/>
    <n v="50.579029052116212"/>
    <n v="13"/>
    <n v="3300"/>
    <n v="9.9420970947883802"/>
    <n v="58.784038990555956"/>
    <n v="58.784038990555956"/>
    <n v="0"/>
    <n v="9.9420970947883802"/>
    <n v="0"/>
    <n v="99.420970947883788"/>
  </r>
  <r>
    <d v="2039-04-25T00:00:00"/>
    <x v="0"/>
    <x v="2"/>
    <n v="95"/>
    <n v="99.422135144540576"/>
    <n v="200"/>
    <n v="100.57786485545942"/>
    <n v="7"/>
    <n v="4400"/>
    <n v="9.9422135144540587"/>
    <n v="8.7864838035352051"/>
    <n v="8.7864838035352051"/>
    <n v="0"/>
    <n v="9.9422135144540533"/>
    <n v="0"/>
    <n v="99.422135144540576"/>
  </r>
  <r>
    <d v="2039-05-25T00:00:00"/>
    <x v="3"/>
    <x v="3"/>
    <n v="92"/>
    <n v="99.423299341197364"/>
    <n v="190"/>
    <n v="90.576700658802636"/>
    <n v="11"/>
    <n v="4180"/>
    <n v="9.9423299341197371"/>
    <n v="18.788928616514468"/>
    <n v="18.788928616514468"/>
    <n v="0"/>
    <n v="9.9423299341197406"/>
    <n v="0"/>
    <n v="99.423299341197364"/>
  </r>
  <r>
    <d v="2039-06-24T00:00:00"/>
    <x v="2"/>
    <x v="4"/>
    <n v="108"/>
    <n v="99.424463537854152"/>
    <n v="250"/>
    <n v="150.57553646214586"/>
    <n v="5"/>
    <n v="5500"/>
    <n v="9.9424463537854155"/>
    <n v="-41.208626570506297"/>
    <n v="-41.208626570506297"/>
    <n v="0"/>
    <n v="9.9424463537854137"/>
    <n v="0"/>
    <n v="99.424463537854152"/>
  </r>
  <r>
    <d v="2039-07-24T00:00:00"/>
    <x v="3"/>
    <x v="5"/>
    <n v="99"/>
    <n v="99.425627734510925"/>
    <n v="190"/>
    <n v="90.574372265489075"/>
    <n v="11"/>
    <n v="4180"/>
    <n v="9.942562773451094"/>
    <n v="18.793818242472952"/>
    <n v="18.793818242472952"/>
    <n v="0"/>
    <n v="9.9425627734511011"/>
    <n v="0"/>
    <n v="99.425627734510925"/>
  </r>
  <r>
    <d v="2039-08-23T00:00:00"/>
    <x v="3"/>
    <x v="6"/>
    <n v="95"/>
    <n v="99.426791931167713"/>
    <n v="190"/>
    <n v="90.573208068832287"/>
    <n v="11"/>
    <n v="4180"/>
    <n v="9.9426791931167724"/>
    <n v="18.796263055452201"/>
    <n v="18.796263055452201"/>
    <n v="0"/>
    <n v="9.9426791931167742"/>
    <n v="0"/>
    <n v="99.426791931167713"/>
  </r>
  <r>
    <d v="2039-09-22T00:00:00"/>
    <x v="0"/>
    <x v="7"/>
    <n v="86"/>
    <n v="99.427956127824501"/>
    <n v="200"/>
    <n v="100.5720438721755"/>
    <n v="7"/>
    <n v="4400"/>
    <n v="9.9427956127824508"/>
    <n v="8.7987078684314497"/>
    <n v="8.7987078684314497"/>
    <n v="0"/>
    <n v="9.9427956127824473"/>
    <n v="0"/>
    <n v="99.427956127824501"/>
  </r>
  <r>
    <d v="2039-10-22T00:00:00"/>
    <x v="3"/>
    <x v="8"/>
    <n v="120"/>
    <n v="99.429120324481289"/>
    <n v="190"/>
    <n v="90.570879675518711"/>
    <n v="11"/>
    <n v="4180"/>
    <n v="9.9429120324481293"/>
    <n v="18.801152681410713"/>
    <n v="18.801152681410713"/>
    <n v="0"/>
    <n v="9.9429120324481346"/>
    <n v="0"/>
    <n v="99.429120324481289"/>
  </r>
  <r>
    <d v="2039-11-21T00:00:00"/>
    <x v="0"/>
    <x v="9"/>
    <n v="81"/>
    <n v="99.430284521138077"/>
    <n v="200"/>
    <n v="100.56971547886192"/>
    <n v="7"/>
    <n v="4400"/>
    <n v="9.9430284521138077"/>
    <n v="8.8035974943899618"/>
    <n v="8.8035974943899618"/>
    <n v="0"/>
    <n v="9.9430284521138077"/>
    <n v="0"/>
    <n v="99.430284521138077"/>
  </r>
  <r>
    <d v="2039-12-21T00:00:00"/>
    <x v="4"/>
    <x v="10"/>
    <n v="102"/>
    <n v="99.431448717794865"/>
    <n v="150"/>
    <n v="50.568551282205135"/>
    <n v="13"/>
    <n v="3300"/>
    <n v="9.9431448717794879"/>
    <n v="58.806042307369211"/>
    <n v="58.806042307369211"/>
    <n v="0"/>
    <n v="9.9431448717794808"/>
    <n v="0"/>
    <n v="99.431448717794865"/>
  </r>
  <r>
    <d v="2040-01-20T00:00:00"/>
    <x v="3"/>
    <x v="0"/>
    <n v="87"/>
    <n v="99.432612914451653"/>
    <n v="190"/>
    <n v="90.567387085548347"/>
    <n v="11"/>
    <n v="4180"/>
    <n v="9.9432612914451663"/>
    <n v="18.808487120348474"/>
    <n v="18.808487120348474"/>
    <n v="0"/>
    <n v="9.9432612914451681"/>
    <n v="0"/>
    <n v="99.432612914451653"/>
  </r>
  <r>
    <d v="2040-02-19T00:00:00"/>
    <x v="3"/>
    <x v="11"/>
    <n v="90"/>
    <n v="99.433777111108441"/>
    <n v="190"/>
    <n v="90.566222888891559"/>
    <n v="11"/>
    <n v="4180"/>
    <n v="9.9433777111108448"/>
    <n v="18.810931933327723"/>
    <n v="18.810931933327723"/>
    <n v="0"/>
    <n v="9.9433777111108412"/>
    <n v="0"/>
    <n v="99.433777111108441"/>
  </r>
  <r>
    <d v="2040-03-20T00:00:00"/>
    <x v="3"/>
    <x v="1"/>
    <n v="89"/>
    <n v="99.434941307765229"/>
    <n v="190"/>
    <n v="90.565058692234771"/>
    <n v="11"/>
    <n v="4180"/>
    <n v="9.9434941307765232"/>
    <n v="18.813376746306986"/>
    <n v="18.813376746306986"/>
    <n v="0"/>
    <n v="9.9434941307765286"/>
    <n v="0"/>
    <n v="99.434941307765229"/>
  </r>
  <r>
    <d v="2040-04-19T00:00:00"/>
    <x v="1"/>
    <x v="2"/>
    <n v="105"/>
    <n v="99.436105504422017"/>
    <n v="185"/>
    <n v="85.563894495577983"/>
    <n v="10"/>
    <n v="4070"/>
    <n v="9.9436105504422017"/>
    <n v="23.815821559286235"/>
    <n v="23.815821559286235"/>
    <n v="0"/>
    <n v="9.9436105504422017"/>
    <n v="0"/>
    <n v="99.436105504422017"/>
  </r>
  <r>
    <d v="2040-05-19T00:00:00"/>
    <x v="1"/>
    <x v="3"/>
    <n v="96"/>
    <n v="99.437269701078804"/>
    <n v="185"/>
    <n v="85.562730298921196"/>
    <n v="10"/>
    <n v="4070"/>
    <n v="9.9437269701078819"/>
    <n v="23.818266372265498"/>
    <n v="23.818266372265498"/>
    <n v="0"/>
    <n v="9.943726970107889"/>
    <n v="0"/>
    <n v="99.437269701078804"/>
  </r>
  <r>
    <d v="2040-06-18T00:00:00"/>
    <x v="2"/>
    <x v="4"/>
    <n v="97"/>
    <n v="99.438433897735578"/>
    <n v="250"/>
    <n v="150.56156610226441"/>
    <n v="5"/>
    <n v="5500"/>
    <n v="9.9438433897735585"/>
    <n v="-41.179288814755267"/>
    <n v="-41.179288814755267"/>
    <n v="0"/>
    <n v="9.9438433897735621"/>
    <n v="0"/>
    <n v="99.438433897735578"/>
  </r>
  <r>
    <d v="2040-07-18T00:00:00"/>
    <x v="1"/>
    <x v="5"/>
    <n v="98"/>
    <n v="99.439598094392366"/>
    <n v="185"/>
    <n v="85.560401905607634"/>
    <n v="10"/>
    <n v="4070"/>
    <n v="9.943959809439237"/>
    <n v="23.823155998223967"/>
    <n v="23.823155998223967"/>
    <n v="0"/>
    <n v="9.9439598094392352"/>
    <n v="0"/>
    <n v="99.439598094392366"/>
  </r>
  <r>
    <d v="2040-08-17T00:00:00"/>
    <x v="2"/>
    <x v="6"/>
    <n v="100"/>
    <n v="99.440762291049154"/>
    <n v="250"/>
    <n v="150.55923770895083"/>
    <n v="5"/>
    <n v="5500"/>
    <n v="9.9440762291049154"/>
    <n v="-41.17439918879677"/>
    <n v="-41.17439918879677"/>
    <n v="0"/>
    <n v="9.9440762291049083"/>
    <n v="0"/>
    <n v="99.440762291049154"/>
  </r>
  <r>
    <d v="2040-09-16T00:00:00"/>
    <x v="1"/>
    <x v="7"/>
    <n v="108"/>
    <n v="99.441926487705942"/>
    <n v="185"/>
    <n v="85.558073512294058"/>
    <n v="10"/>
    <n v="4070"/>
    <n v="9.9441926487705956"/>
    <n v="23.828045624182479"/>
    <n v="23.828045624182479"/>
    <n v="0"/>
    <n v="9.9441926487705956"/>
    <n v="0"/>
    <n v="99.441926487705942"/>
  </r>
  <r>
    <d v="2040-10-16T00:00:00"/>
    <x v="4"/>
    <x v="8"/>
    <n v="92"/>
    <n v="99.44309068436273"/>
    <n v="150"/>
    <n v="50.55690931563727"/>
    <n v="13"/>
    <n v="3300"/>
    <n v="9.944309068436274"/>
    <n v="58.830490437161728"/>
    <n v="58.830490437161728"/>
    <n v="0"/>
    <n v="9.9443090684362687"/>
    <n v="0"/>
    <n v="99.44309068436273"/>
  </r>
  <r>
    <d v="2040-11-15T00:00:00"/>
    <x v="2"/>
    <x v="9"/>
    <n v="97"/>
    <n v="99.444254881019518"/>
    <n v="250"/>
    <n v="150.5557451189805"/>
    <n v="5"/>
    <n v="5500"/>
    <n v="9.9444254881019525"/>
    <n v="-41.167064749859023"/>
    <n v="-41.167064749859023"/>
    <n v="0"/>
    <n v="9.944425488101956"/>
    <n v="0"/>
    <n v="99.444254881019518"/>
  </r>
  <r>
    <d v="2040-12-15T00:00:00"/>
    <x v="1"/>
    <x v="10"/>
    <n v="116"/>
    <n v="99.445419077676306"/>
    <n v="185"/>
    <n v="85.554580922323694"/>
    <n v="10"/>
    <n v="4070"/>
    <n v="9.9445419077676309"/>
    <n v="23.83538006312024"/>
    <n v="23.83538006312024"/>
    <n v="0"/>
    <n v="9.9445419077676291"/>
    <n v="0"/>
    <n v="99.445419077676306"/>
  </r>
  <r>
    <d v="2041-01-14T00:00:00"/>
    <x v="4"/>
    <x v="0"/>
    <n v="103"/>
    <n v="99.446583274333094"/>
    <n v="150"/>
    <n v="50.553416725666906"/>
    <n v="13"/>
    <n v="3300"/>
    <n v="9.9446583274333094"/>
    <n v="58.837824876099504"/>
    <n v="58.837824876099504"/>
    <n v="0"/>
    <n v="9.9446583274333165"/>
    <n v="0"/>
    <n v="99.446583274333094"/>
  </r>
  <r>
    <d v="2041-02-13T00:00:00"/>
    <x v="1"/>
    <x v="11"/>
    <n v="87"/>
    <n v="99.447747470989881"/>
    <n v="185"/>
    <n v="85.552252529010119"/>
    <n v="10"/>
    <n v="4070"/>
    <n v="9.9447747470989896"/>
    <n v="23.840269689078752"/>
    <n v="23.840269689078752"/>
    <n v="0"/>
    <n v="9.9447747470989896"/>
    <n v="0"/>
    <n v="99.447747470989881"/>
  </r>
  <r>
    <d v="2041-03-15T00:00:00"/>
    <x v="0"/>
    <x v="1"/>
    <n v="103"/>
    <n v="99.448911667646669"/>
    <n v="200"/>
    <n v="100.55108833235333"/>
    <n v="7"/>
    <n v="4400"/>
    <n v="9.944891166764668"/>
    <n v="8.8427145020580014"/>
    <n v="8.8427145020580014"/>
    <n v="0"/>
    <n v="9.9448911667646627"/>
    <n v="0"/>
    <n v="99.448911667646669"/>
  </r>
  <r>
    <d v="2041-04-14T00:00:00"/>
    <x v="0"/>
    <x v="2"/>
    <n v="115"/>
    <n v="99.450075864303457"/>
    <n v="200"/>
    <n v="100.54992413569654"/>
    <n v="7"/>
    <n v="4400"/>
    <n v="9.9450075864303464"/>
    <n v="8.8451593150372645"/>
    <n v="8.8451593150372645"/>
    <n v="0"/>
    <n v="9.94500758643035"/>
    <n v="0"/>
    <n v="99.450075864303457"/>
  </r>
  <r>
    <d v="2041-05-14T00:00:00"/>
    <x v="4"/>
    <x v="3"/>
    <n v="88"/>
    <n v="99.451240060960231"/>
    <n v="150"/>
    <n v="50.548759939039769"/>
    <n v="13"/>
    <n v="3300"/>
    <n v="9.9451240060960231"/>
    <n v="58.847604128016485"/>
    <n v="58.847604128016485"/>
    <n v="0"/>
    <n v="9.9451240060960231"/>
    <n v="0"/>
    <n v="99.451240060960231"/>
  </r>
  <r>
    <d v="2041-06-13T00:00:00"/>
    <x v="3"/>
    <x v="4"/>
    <n v="100"/>
    <n v="99.452404257617019"/>
    <n v="190"/>
    <n v="90.547595742382981"/>
    <n v="11"/>
    <n v="4180"/>
    <n v="9.9452404257617033"/>
    <n v="18.850048940995748"/>
    <n v="18.850048940995748"/>
    <n v="0"/>
    <n v="9.9452404257617104"/>
    <n v="0"/>
    <n v="99.452404257617019"/>
  </r>
  <r>
    <d v="2041-07-13T00:00:00"/>
    <x v="3"/>
    <x v="5"/>
    <n v="108"/>
    <n v="99.453568454273807"/>
    <n v="190"/>
    <n v="90.546431545726193"/>
    <n v="11"/>
    <n v="4180"/>
    <n v="9.9453568454273817"/>
    <n v="18.852493753974997"/>
    <n v="18.852493753974997"/>
    <n v="0"/>
    <n v="9.9453568454273835"/>
    <n v="0"/>
    <n v="99.453568454273807"/>
  </r>
  <r>
    <d v="2041-08-12T00:00:00"/>
    <x v="0"/>
    <x v="6"/>
    <n v="96"/>
    <n v="99.454732650930595"/>
    <n v="200"/>
    <n v="100.54526734906941"/>
    <n v="7"/>
    <n v="4400"/>
    <n v="9.9454732650930602"/>
    <n v="8.854938566954246"/>
    <n v="8.854938566954246"/>
    <n v="0"/>
    <n v="9.9454732650930566"/>
    <n v="0"/>
    <n v="99.454732650930595"/>
  </r>
  <r>
    <d v="2041-09-11T00:00:00"/>
    <x v="0"/>
    <x v="7"/>
    <n v="86"/>
    <n v="99.455896847587383"/>
    <n v="200"/>
    <n v="100.54410315241262"/>
    <n v="7"/>
    <n v="4400"/>
    <n v="9.9455896847587386"/>
    <n v="8.8573833799335091"/>
    <n v="8.8573833799335091"/>
    <n v="0"/>
    <n v="9.9455896847587439"/>
    <n v="0"/>
    <n v="99.455896847587383"/>
  </r>
  <r>
    <d v="2041-10-11T00:00:00"/>
    <x v="3"/>
    <x v="8"/>
    <n v="87"/>
    <n v="99.45706104424417"/>
    <n v="190"/>
    <n v="90.54293895575583"/>
    <n v="11"/>
    <n v="4180"/>
    <n v="9.945706104424417"/>
    <n v="18.859828192912758"/>
    <n v="18.859828192912758"/>
    <n v="0"/>
    <n v="9.945706104424417"/>
    <n v="0"/>
    <n v="99.45706104424417"/>
  </r>
  <r>
    <d v="2041-11-10T00:00:00"/>
    <x v="2"/>
    <x v="9"/>
    <n v="109"/>
    <n v="99.458225240900958"/>
    <n v="250"/>
    <n v="150.54177475909904"/>
    <n v="5"/>
    <n v="5500"/>
    <n v="9.9458225240900973"/>
    <n v="-41.137726994107993"/>
    <n v="-41.137726994107993"/>
    <n v="0"/>
    <n v="9.9458225240900902"/>
    <n v="0"/>
    <n v="99.458225240900958"/>
  </r>
  <r>
    <d v="2041-12-10T00:00:00"/>
    <x v="3"/>
    <x v="10"/>
    <n v="91"/>
    <n v="99.459389437557746"/>
    <n v="190"/>
    <n v="90.540610562442254"/>
    <n v="11"/>
    <n v="4180"/>
    <n v="9.9459389437557757"/>
    <n v="18.86471781887127"/>
    <n v="18.86471781887127"/>
    <n v="0"/>
    <n v="9.9459389437557775"/>
    <n v="0"/>
    <n v="99.459389437557746"/>
  </r>
  <r>
    <d v="2042-01-09T00:00:00"/>
    <x v="1"/>
    <x v="0"/>
    <n v="107"/>
    <n v="99.460553634214534"/>
    <n v="185"/>
    <n v="85.539446365785466"/>
    <n v="10"/>
    <n v="4070"/>
    <n v="9.9460553634214541"/>
    <n v="23.867162631850519"/>
    <n v="23.867162631850519"/>
    <n v="0"/>
    <n v="9.9460553634214506"/>
    <n v="0"/>
    <n v="99.460553634214534"/>
  </r>
  <r>
    <d v="2042-02-08T00:00:00"/>
    <x v="2"/>
    <x v="11"/>
    <n v="106"/>
    <n v="99.461717830871322"/>
    <n v="250"/>
    <n v="150.53828216912868"/>
    <n v="5"/>
    <n v="5500"/>
    <n v="9.9461717830871326"/>
    <n v="-41.130392555170218"/>
    <n v="-41.130392555170218"/>
    <n v="0"/>
    <n v="9.9461717830871379"/>
    <n v="0"/>
    <n v="99.461717830871322"/>
  </r>
  <r>
    <d v="2042-03-10T00:00:00"/>
    <x v="1"/>
    <x v="1"/>
    <n v="92"/>
    <n v="99.46288202752811"/>
    <n v="185"/>
    <n v="85.53711797247189"/>
    <n v="10"/>
    <n v="4070"/>
    <n v="9.946288202752811"/>
    <n v="23.872052257809031"/>
    <n v="23.872052257809031"/>
    <n v="0"/>
    <n v="9.946288202752811"/>
    <n v="0"/>
    <n v="99.46288202752811"/>
  </r>
  <r>
    <d v="2042-04-09T00:00:00"/>
    <x v="0"/>
    <x v="2"/>
    <n v="90"/>
    <n v="99.464046224184884"/>
    <n v="200"/>
    <n v="100.53595377581512"/>
    <n v="7"/>
    <n v="4400"/>
    <n v="9.9464046224184894"/>
    <n v="8.8744970707882516"/>
    <n v="8.8744970707882516"/>
    <n v="0"/>
    <n v="9.9464046224184841"/>
    <n v="0"/>
    <n v="99.464046224184884"/>
  </r>
  <r>
    <d v="2042-05-09T00:00:00"/>
    <x v="2"/>
    <x v="3"/>
    <n v="102"/>
    <n v="99.465210420841672"/>
    <n v="250"/>
    <n v="150.53478957915831"/>
    <n v="5"/>
    <n v="5500"/>
    <n v="9.9465210420841679"/>
    <n v="-41.123058116232471"/>
    <n v="-41.123058116232471"/>
    <n v="0"/>
    <n v="9.9465210420841714"/>
    <n v="0"/>
    <n v="99.465210420841672"/>
  </r>
  <r>
    <d v="2042-06-08T00:00:00"/>
    <x v="1"/>
    <x v="4"/>
    <n v="99"/>
    <n v="99.46637461749846"/>
    <n v="185"/>
    <n v="85.53362538250154"/>
    <n v="10"/>
    <n v="4070"/>
    <n v="9.9466374617498463"/>
    <n v="23.879386696746764"/>
    <n v="23.879386696746764"/>
    <n v="0"/>
    <n v="9.9466374617498445"/>
    <n v="0"/>
    <n v="99.46637461749846"/>
  </r>
  <r>
    <d v="2042-07-08T00:00:00"/>
    <x v="1"/>
    <x v="5"/>
    <n v="88"/>
    <n v="99.467538814155247"/>
    <n v="185"/>
    <n v="85.532461185844753"/>
    <n v="10"/>
    <n v="4070"/>
    <n v="9.9467538814155247"/>
    <n v="23.881831509726013"/>
    <n v="23.881831509726013"/>
    <n v="0"/>
    <n v="9.9467538814155176"/>
    <n v="0"/>
    <n v="99.467538814155247"/>
  </r>
  <r>
    <d v="2042-08-07T00:00:00"/>
    <x v="2"/>
    <x v="6"/>
    <n v="100"/>
    <n v="99.468703010812035"/>
    <n v="250"/>
    <n v="150.53129698918798"/>
    <n v="5"/>
    <n v="5500"/>
    <n v="9.946870301081205"/>
    <n v="-41.115723677294739"/>
    <n v="-41.115723677294739"/>
    <n v="0"/>
    <n v="9.946870301081205"/>
    <n v="0"/>
    <n v="99.468703010812035"/>
  </r>
  <r>
    <d v="2042-09-06T00:00:00"/>
    <x v="4"/>
    <x v="7"/>
    <n v="100"/>
    <n v="99.469867207468823"/>
    <n v="150"/>
    <n v="50.530132792531177"/>
    <n v="13"/>
    <n v="3300"/>
    <n v="9.9469867207468834"/>
    <n v="58.886721135684525"/>
    <n v="58.886721135684525"/>
    <n v="0"/>
    <n v="9.9469867207468781"/>
    <n v="0"/>
    <n v="99.469867207468823"/>
  </r>
  <r>
    <d v="2042-10-06T00:00:00"/>
    <x v="3"/>
    <x v="8"/>
    <n v="106"/>
    <n v="99.471031404125611"/>
    <n v="190"/>
    <n v="90.528968595874389"/>
    <n v="11"/>
    <n v="4180"/>
    <n v="9.9471031404125618"/>
    <n v="18.889165948663788"/>
    <n v="18.889165948663788"/>
    <n v="0"/>
    <n v="9.9471031404125654"/>
    <n v="0"/>
    <n v="99.471031404125611"/>
  </r>
  <r>
    <d v="2042-11-05T00:00:00"/>
    <x v="1"/>
    <x v="9"/>
    <n v="94"/>
    <n v="99.472195600782399"/>
    <n v="185"/>
    <n v="85.527804399217601"/>
    <n v="10"/>
    <n v="4070"/>
    <n v="9.9472195600782403"/>
    <n v="23.891610761643037"/>
    <n v="23.891610761643037"/>
    <n v="0"/>
    <n v="9.9472195600782385"/>
    <n v="0"/>
    <n v="99.472195600782399"/>
  </r>
  <r>
    <d v="2042-12-05T00:00:00"/>
    <x v="3"/>
    <x v="10"/>
    <n v="98"/>
    <n v="99.473359797439187"/>
    <n v="190"/>
    <n v="90.526640202560813"/>
    <n v="11"/>
    <n v="4180"/>
    <n v="9.9473359797439187"/>
    <n v="18.8940555746223"/>
    <n v="18.8940555746223"/>
    <n v="0"/>
    <n v="9.9473359797439258"/>
    <n v="0"/>
    <n v="99.473359797439187"/>
  </r>
  <r>
    <d v="2043-01-04T00:00:00"/>
    <x v="3"/>
    <x v="0"/>
    <n v="119"/>
    <n v="99.474523994095975"/>
    <n v="190"/>
    <n v="90.525476005904025"/>
    <n v="11"/>
    <n v="4180"/>
    <n v="9.9474523994095989"/>
    <n v="18.896500387601549"/>
    <n v="18.896500387601549"/>
    <n v="0"/>
    <n v="9.9474523994095989"/>
    <n v="0"/>
    <n v="99.474523994095975"/>
  </r>
  <r>
    <d v="2043-02-03T00:00:00"/>
    <x v="0"/>
    <x v="11"/>
    <n v="99"/>
    <n v="99.475688190752763"/>
    <n v="200"/>
    <n v="100.52431180924724"/>
    <n v="7"/>
    <n v="4400"/>
    <n v="9.9475688190752773"/>
    <n v="8.8989452005807976"/>
    <n v="8.8989452005807976"/>
    <n v="0"/>
    <n v="9.947568819075272"/>
    <n v="0"/>
    <n v="99.475688190752763"/>
  </r>
  <r>
    <d v="2043-03-05T00:00:00"/>
    <x v="3"/>
    <x v="1"/>
    <n v="87"/>
    <n v="99.476852387409537"/>
    <n v="190"/>
    <n v="90.523147612590463"/>
    <n v="11"/>
    <n v="4180"/>
    <n v="9.947685238740954"/>
    <n v="18.901390013560032"/>
    <n v="18.901390013560032"/>
    <n v="0"/>
    <n v="9.9476852387409593"/>
    <n v="0"/>
    <n v="99.476852387409537"/>
  </r>
  <r>
    <d v="2043-04-04T00:00:00"/>
    <x v="1"/>
    <x v="2"/>
    <n v="92"/>
    <n v="99.478016584066324"/>
    <n v="185"/>
    <n v="85.521983415933676"/>
    <n v="10"/>
    <n v="4070"/>
    <n v="9.9478016584066324"/>
    <n v="23.903834826539281"/>
    <n v="23.903834826539281"/>
    <n v="0"/>
    <n v="9.9478016584066324"/>
    <n v="0"/>
    <n v="99.478016584066324"/>
  </r>
  <r>
    <d v="2043-05-04T00:00:00"/>
    <x v="0"/>
    <x v="3"/>
    <n v="103"/>
    <n v="99.479180780723112"/>
    <n v="200"/>
    <n v="100.52081921927689"/>
    <n v="7"/>
    <n v="4400"/>
    <n v="9.9479180780723127"/>
    <n v="8.9062796395185444"/>
    <n v="8.9062796395185444"/>
    <n v="0"/>
    <n v="9.9479180780723198"/>
    <n v="0"/>
    <n v="99.479180780723112"/>
  </r>
  <r>
    <d v="2043-06-03T00:00:00"/>
    <x v="2"/>
    <x v="4"/>
    <n v="79"/>
    <n v="99.4803449773799"/>
    <n v="250"/>
    <n v="150.5196550226201"/>
    <n v="5"/>
    <n v="5500"/>
    <n v="9.9480344977379911"/>
    <n v="-41.091275547502207"/>
    <n v="-41.091275547502207"/>
    <n v="0"/>
    <n v="9.9480344977379929"/>
    <n v="0"/>
    <n v="99.4803449773799"/>
  </r>
  <r>
    <d v="2043-07-03T00:00:00"/>
    <x v="1"/>
    <x v="5"/>
    <n v="110"/>
    <n v="99.481509174036688"/>
    <n v="185"/>
    <n v="85.518490825963312"/>
    <n v="10"/>
    <n v="4070"/>
    <n v="9.9481509174036695"/>
    <n v="23.911169265477042"/>
    <n v="23.911169265477042"/>
    <n v="0"/>
    <n v="9.948150917403666"/>
    <n v="0"/>
    <n v="99.481509174036688"/>
  </r>
  <r>
    <d v="2043-08-02T00:00:00"/>
    <x v="0"/>
    <x v="6"/>
    <n v="95"/>
    <n v="99.482673370693476"/>
    <n v="200"/>
    <n v="100.51732662930652"/>
    <n v="7"/>
    <n v="4400"/>
    <n v="9.948267337069348"/>
    <n v="8.9136140784563054"/>
    <n v="8.9136140784563054"/>
    <n v="0"/>
    <n v="9.9482673370693533"/>
    <n v="0"/>
    <n v="99.482673370693476"/>
  </r>
  <r>
    <d v="2043-09-01T00:00:00"/>
    <x v="0"/>
    <x v="7"/>
    <n v="101"/>
    <n v="99.483837567350264"/>
    <n v="200"/>
    <n v="100.51616243264974"/>
    <n v="7"/>
    <n v="4400"/>
    <n v="9.9483837567350264"/>
    <n v="8.9160588914355543"/>
    <n v="8.9160588914355543"/>
    <n v="0"/>
    <n v="9.9483837567350264"/>
    <n v="0"/>
    <n v="99.483837567350264"/>
  </r>
  <r>
    <d v="2043-10-01T00:00:00"/>
    <x v="3"/>
    <x v="8"/>
    <n v="95"/>
    <n v="99.485001764007052"/>
    <n v="190"/>
    <n v="90.514998235992948"/>
    <n v="11"/>
    <n v="4180"/>
    <n v="9.9485001764007066"/>
    <n v="18.918503704414803"/>
    <n v="18.918503704414803"/>
    <n v="0"/>
    <n v="9.9485001764006995"/>
    <n v="0"/>
    <n v="99.485001764007052"/>
  </r>
  <r>
    <d v="2043-10-31T00:00:00"/>
    <x v="2"/>
    <x v="8"/>
    <n v="107"/>
    <n v="99.48616596066384"/>
    <n v="250"/>
    <n v="150.51383403933616"/>
    <n v="5"/>
    <n v="5500"/>
    <n v="9.948616596066385"/>
    <n v="-41.079051482605934"/>
    <n v="-41.079051482605934"/>
    <n v="0"/>
    <n v="9.9486165960663868"/>
    <n v="0"/>
    <n v="99.48616596066384"/>
  </r>
  <r>
    <d v="2043-11-30T00:00:00"/>
    <x v="1"/>
    <x v="9"/>
    <n v="91"/>
    <n v="99.487330157320628"/>
    <n v="185"/>
    <n v="85.512669842679372"/>
    <n v="10"/>
    <n v="4070"/>
    <n v="9.9487330157320635"/>
    <n v="23.923393330373315"/>
    <n v="23.923393330373315"/>
    <n v="0"/>
    <n v="9.9487330157320599"/>
    <n v="0"/>
    <n v="99.487330157320628"/>
  </r>
  <r>
    <d v="2043-12-30T00:00:00"/>
    <x v="1"/>
    <x v="10"/>
    <n v="87"/>
    <n v="99.488494353977416"/>
    <n v="185"/>
    <n v="85.511505646022584"/>
    <n v="10"/>
    <n v="4070"/>
    <n v="9.9488494353977419"/>
    <n v="23.925838143352578"/>
    <n v="23.925838143352578"/>
    <n v="0"/>
    <n v="9.9488494353977472"/>
    <n v="0"/>
    <n v="99.488494353977416"/>
  </r>
  <r>
    <d v="2044-01-29T00:00:00"/>
    <x v="3"/>
    <x v="0"/>
    <n v="100"/>
    <n v="99.489658550634189"/>
    <n v="190"/>
    <n v="90.510341449365811"/>
    <n v="11"/>
    <n v="4180"/>
    <n v="9.9489658550634203"/>
    <n v="18.928282956331799"/>
    <n v="18.928282956331799"/>
    <n v="0"/>
    <n v="9.9489658550634203"/>
    <n v="0"/>
    <n v="99.489658550634189"/>
  </r>
  <r>
    <d v="2044-02-28T00:00:00"/>
    <x v="2"/>
    <x v="11"/>
    <n v="117"/>
    <n v="99.490822747290977"/>
    <n v="250"/>
    <n v="150.50917725270904"/>
    <n v="5"/>
    <n v="5500"/>
    <n v="9.9490822747290988"/>
    <n v="-41.069272230688966"/>
    <n v="-41.069272230688966"/>
    <n v="0"/>
    <n v="9.9490822747290935"/>
    <n v="0"/>
    <n v="99.490822747290977"/>
  </r>
  <r>
    <d v="2044-03-29T00:00:00"/>
    <x v="1"/>
    <x v="1"/>
    <n v="102"/>
    <n v="99.491986943947765"/>
    <n v="185"/>
    <n v="85.508013056052235"/>
    <n v="10"/>
    <n v="4070"/>
    <n v="9.9491986943947772"/>
    <n v="23.933172582290311"/>
    <n v="23.933172582290311"/>
    <n v="0"/>
    <n v="9.9491986943947808"/>
    <n v="0"/>
    <n v="99.491986943947765"/>
  </r>
  <r>
    <d v="2044-04-28T00:00:00"/>
    <x v="2"/>
    <x v="2"/>
    <n v="88"/>
    <n v="99.493151140604553"/>
    <n v="250"/>
    <n v="150.50684885939546"/>
    <n v="5"/>
    <n v="5500"/>
    <n v="9.9493151140604557"/>
    <n v="-41.064382604730454"/>
    <n v="-41.064382604730454"/>
    <n v="0"/>
    <n v="9.9493151140604539"/>
    <n v="0"/>
    <n v="99.493151140604553"/>
  </r>
  <r>
    <d v="2044-05-28T00:00:00"/>
    <x v="1"/>
    <x v="3"/>
    <n v="100"/>
    <n v="99.494315337261341"/>
    <n v="185"/>
    <n v="85.505684662738659"/>
    <n v="10"/>
    <n v="4070"/>
    <n v="9.9494315337261341"/>
    <n v="23.938062208248809"/>
    <n v="23.938062208248809"/>
    <n v="0"/>
    <n v="9.949431533726127"/>
    <n v="0"/>
    <n v="99.494315337261341"/>
  </r>
  <r>
    <d v="2044-06-27T00:00:00"/>
    <x v="3"/>
    <x v="4"/>
    <n v="81"/>
    <n v="99.495479533918129"/>
    <n v="190"/>
    <n v="90.504520466081871"/>
    <n v="11"/>
    <n v="4180"/>
    <n v="9.9495479533918143"/>
    <n v="18.940507021228072"/>
    <n v="18.940507021228072"/>
    <n v="0"/>
    <n v="9.9495479533918143"/>
    <n v="0"/>
    <n v="99.495479533918129"/>
  </r>
  <r>
    <d v="2044-07-27T00:00:00"/>
    <x v="4"/>
    <x v="5"/>
    <n v="91"/>
    <n v="99.496643730574917"/>
    <n v="150"/>
    <n v="50.503356269425083"/>
    <n v="13"/>
    <n v="3300"/>
    <n v="9.9496643730574927"/>
    <n v="58.942951834207321"/>
    <n v="58.942951834207321"/>
    <n v="0"/>
    <n v="9.9496643730574874"/>
    <n v="0"/>
    <n v="99.496643730574917"/>
  </r>
  <r>
    <d v="2044-08-26T00:00:00"/>
    <x v="1"/>
    <x v="6"/>
    <n v="90"/>
    <n v="99.497807927231705"/>
    <n v="185"/>
    <n v="85.502192072768295"/>
    <n v="10"/>
    <n v="4070"/>
    <n v="9.9497807927231712"/>
    <n v="23.945396647186584"/>
    <n v="23.945396647186584"/>
    <n v="0"/>
    <n v="9.9497807927231747"/>
    <n v="0"/>
    <n v="99.497807927231705"/>
  </r>
  <r>
    <d v="2044-09-25T00:00:00"/>
    <x v="0"/>
    <x v="7"/>
    <n v="102"/>
    <n v="99.498972123888493"/>
    <n v="200"/>
    <n v="100.50102787611151"/>
    <n v="7"/>
    <n v="4400"/>
    <n v="9.9498972123888496"/>
    <n v="8.9478414601658329"/>
    <n v="8.9478414601658329"/>
    <n v="0"/>
    <n v="9.9498972123888478"/>
    <n v="0"/>
    <n v="99.498972123888493"/>
  </r>
  <r>
    <d v="2044-10-25T00:00:00"/>
    <x v="0"/>
    <x v="8"/>
    <n v="109"/>
    <n v="99.50013632054528"/>
    <n v="200"/>
    <n v="100.49986367945472"/>
    <n v="7"/>
    <n v="4400"/>
    <n v="9.950013632054528"/>
    <n v="8.9502862731450961"/>
    <n v="8.9502862731450961"/>
    <n v="0"/>
    <n v="9.9500136320545352"/>
    <n v="0"/>
    <n v="99.50013632054528"/>
  </r>
  <r>
    <d v="2044-11-24T00:00:00"/>
    <x v="4"/>
    <x v="9"/>
    <n v="101"/>
    <n v="99.501300517202068"/>
    <n v="150"/>
    <n v="50.498699482797932"/>
    <n v="13"/>
    <n v="3300"/>
    <n v="9.9501300517202083"/>
    <n v="58.952731086124345"/>
    <n v="58.952731086124345"/>
    <n v="0"/>
    <n v="9.9501300517202083"/>
    <n v="0"/>
    <n v="99.501300517202068"/>
  </r>
  <r>
    <d v="2044-12-24T00:00:00"/>
    <x v="1"/>
    <x v="10"/>
    <n v="97"/>
    <n v="99.502464713858842"/>
    <n v="185"/>
    <n v="85.497535286141158"/>
    <n v="10"/>
    <n v="4070"/>
    <n v="9.9502464713858849"/>
    <n v="23.955175899103565"/>
    <n v="23.955175899103565"/>
    <n v="0"/>
    <n v="9.9502464713858814"/>
    <n v="0"/>
    <n v="99.502464713858842"/>
  </r>
  <r>
    <d v="2045-01-23T00:00:00"/>
    <x v="0"/>
    <x v="0"/>
    <n v="88"/>
    <n v="99.50362891051563"/>
    <n v="200"/>
    <n v="100.49637108948437"/>
    <n v="7"/>
    <n v="4400"/>
    <n v="9.9503628910515634"/>
    <n v="8.9576207120828286"/>
    <n v="8.9576207120828286"/>
    <n v="0"/>
    <n v="9.9503628910515687"/>
    <n v="0"/>
    <n v="99.50362891051563"/>
  </r>
  <r>
    <d v="2045-02-22T00:00:00"/>
    <x v="0"/>
    <x v="11"/>
    <n v="100"/>
    <n v="99.504793107172418"/>
    <n v="200"/>
    <n v="100.49520689282758"/>
    <n v="7"/>
    <n v="4400"/>
    <n v="9.9504793107172418"/>
    <n v="8.9600655250620775"/>
    <n v="8.9600655250620775"/>
    <n v="0"/>
    <n v="9.9504793107172418"/>
    <n v="0"/>
    <n v="99.504793107172418"/>
  </r>
  <r>
    <d v="2045-03-24T00:00:00"/>
    <x v="1"/>
    <x v="1"/>
    <n v="104"/>
    <n v="99.505957303829206"/>
    <n v="185"/>
    <n v="85.494042696170794"/>
    <n v="10"/>
    <n v="4070"/>
    <n v="9.950595730382922"/>
    <n v="23.962510338041341"/>
    <n v="23.962510338041341"/>
    <n v="0"/>
    <n v="9.9505957303829291"/>
    <n v="0"/>
    <n v="99.505957303829206"/>
  </r>
  <r>
    <d v="2045-04-23T00:00:00"/>
    <x v="2"/>
    <x v="2"/>
    <n v="106"/>
    <n v="99.507121500485994"/>
    <n v="250"/>
    <n v="150.49287849951401"/>
    <n v="5"/>
    <n v="5500"/>
    <n v="9.9507121500486004"/>
    <n v="-41.03504484897941"/>
    <n v="-41.03504484897941"/>
    <n v="0"/>
    <n v="9.9507121500486022"/>
    <n v="0"/>
    <n v="99.507121500485994"/>
  </r>
  <r>
    <d v="2045-05-23T00:00:00"/>
    <x v="1"/>
    <x v="3"/>
    <n v="91"/>
    <n v="99.508285697142782"/>
    <n v="185"/>
    <n v="85.491714302857218"/>
    <n v="10"/>
    <n v="4070"/>
    <n v="9.9508285697142789"/>
    <n v="23.967399963999839"/>
    <n v="23.967399963999839"/>
    <n v="0"/>
    <n v="9.9508285697142753"/>
    <n v="0"/>
    <n v="99.508285697142782"/>
  </r>
  <r>
    <d v="2045-06-22T00:00:00"/>
    <x v="2"/>
    <x v="4"/>
    <n v="110"/>
    <n v="99.50944989379957"/>
    <n v="250"/>
    <n v="150.49055010620043"/>
    <n v="5"/>
    <n v="5500"/>
    <n v="9.9509449893799573"/>
    <n v="-41.030155223020898"/>
    <n v="-41.030155223020898"/>
    <n v="0"/>
    <n v="9.9509449893799626"/>
    <n v="0"/>
    <n v="99.50944989379957"/>
  </r>
  <r>
    <d v="2045-07-22T00:00:00"/>
    <x v="4"/>
    <x v="5"/>
    <n v="104"/>
    <n v="99.510614090456357"/>
    <n v="150"/>
    <n v="50.489385909543643"/>
    <n v="13"/>
    <n v="3300"/>
    <n v="9.9510614090456357"/>
    <n v="58.972289589958351"/>
    <n v="58.972289589958351"/>
    <n v="0"/>
    <n v="9.9510614090456357"/>
    <n v="0"/>
    <n v="99.510614090456357"/>
  </r>
  <r>
    <d v="2045-08-21T00:00:00"/>
    <x v="3"/>
    <x v="6"/>
    <n v="85"/>
    <n v="99.511778287113145"/>
    <n v="190"/>
    <n v="90.488221712886855"/>
    <n v="11"/>
    <n v="4180"/>
    <n v="9.951177828711316"/>
    <n v="18.974734402937599"/>
    <n v="18.974734402937599"/>
    <n v="0"/>
    <n v="9.9511778287113088"/>
    <n v="0"/>
    <n v="99.511778287113145"/>
  </r>
  <r>
    <d v="2045-09-20T00:00:00"/>
    <x v="4"/>
    <x v="7"/>
    <n v="107"/>
    <n v="99.512942483769933"/>
    <n v="150"/>
    <n v="50.487057516230067"/>
    <n v="13"/>
    <n v="3300"/>
    <n v="9.9512942483769944"/>
    <n v="58.977179215916863"/>
    <n v="58.977179215916863"/>
    <n v="0"/>
    <n v="9.9512942483769962"/>
    <n v="0"/>
    <n v="99.512942483769933"/>
  </r>
  <r>
    <d v="2045-10-20T00:00:00"/>
    <x v="3"/>
    <x v="8"/>
    <n v="111"/>
    <n v="99.514106680426721"/>
    <n v="190"/>
    <n v="90.485893319573279"/>
    <n v="11"/>
    <n v="4180"/>
    <n v="9.9514106680426728"/>
    <n v="18.979624028896112"/>
    <n v="18.979624028896112"/>
    <n v="0"/>
    <n v="9.9514106680426693"/>
    <n v="0"/>
    <n v="99.514106680426721"/>
  </r>
  <r>
    <d v="2045-11-19T00:00:00"/>
    <x v="0"/>
    <x v="9"/>
    <n v="107"/>
    <n v="99.515270877083509"/>
    <n v="200"/>
    <n v="100.48472912291649"/>
    <n v="7"/>
    <n v="4400"/>
    <n v="9.9515270877083513"/>
    <n v="8.9820688418753747"/>
    <n v="8.9820688418753747"/>
    <n v="0"/>
    <n v="9.9515270877083566"/>
    <n v="0"/>
    <n v="99.515270877083509"/>
  </r>
  <r>
    <d v="2045-12-19T00:00:00"/>
    <x v="0"/>
    <x v="10"/>
    <n v="94"/>
    <n v="99.516435073740283"/>
    <n v="200"/>
    <n v="100.48356492625972"/>
    <n v="7"/>
    <n v="4400"/>
    <n v="9.9516435073740297"/>
    <n v="8.9845136548545952"/>
    <n v="8.9845136548545952"/>
    <n v="0"/>
    <n v="9.9516435073740297"/>
    <n v="0"/>
    <n v="99.516435073740283"/>
  </r>
  <r>
    <d v="2046-01-18T00:00:00"/>
    <x v="0"/>
    <x v="0"/>
    <n v="91"/>
    <n v="99.517599270397071"/>
    <n v="200"/>
    <n v="100.48240072960293"/>
    <n v="7"/>
    <n v="4400"/>
    <n v="9.9517599270397081"/>
    <n v="8.9869584678338441"/>
    <n v="8.9869584678338441"/>
    <n v="0"/>
    <n v="9.9517599270397028"/>
    <n v="0"/>
    <n v="99.517599270397071"/>
  </r>
  <r>
    <d v="2046-02-17T00:00:00"/>
    <x v="2"/>
    <x v="11"/>
    <n v="89"/>
    <n v="99.518763467053859"/>
    <n v="250"/>
    <n v="150.48123653294613"/>
    <n v="5"/>
    <n v="5500"/>
    <n v="9.9518763467053866"/>
    <n v="-41.010596719186879"/>
    <n v="-41.010596719186879"/>
    <n v="0"/>
    <n v="9.9518763467053901"/>
    <n v="0"/>
    <n v="99.518763467053859"/>
  </r>
  <r>
    <d v="2046-03-19T00:00:00"/>
    <x v="3"/>
    <x v="1"/>
    <n v="98"/>
    <n v="99.519927663710646"/>
    <n v="190"/>
    <n v="90.480072336289354"/>
    <n v="11"/>
    <n v="4180"/>
    <n v="9.951992766371065"/>
    <n v="18.991848093792356"/>
    <n v="18.991848093792356"/>
    <n v="0"/>
    <n v="9.9519927663710632"/>
    <n v="0"/>
    <n v="99.519927663710646"/>
  </r>
  <r>
    <d v="2046-04-18T00:00:00"/>
    <x v="0"/>
    <x v="2"/>
    <n v="110"/>
    <n v="99.521091860367434"/>
    <n v="200"/>
    <n v="100.47890813963257"/>
    <n v="7"/>
    <n v="4400"/>
    <n v="9.9521091860367434"/>
    <n v="8.9942929067716051"/>
    <n v="8.9942929067716051"/>
    <n v="0"/>
    <n v="9.9521091860367363"/>
    <n v="0"/>
    <n v="99.521091860367434"/>
  </r>
  <r>
    <d v="2046-05-18T00:00:00"/>
    <x v="1"/>
    <x v="3"/>
    <n v="93"/>
    <n v="99.522256057024222"/>
    <n v="185"/>
    <n v="85.477743942975778"/>
    <n v="10"/>
    <n v="4070"/>
    <n v="9.9522256057024236"/>
    <n v="23.996737719750868"/>
    <n v="23.996737719750868"/>
    <n v="0"/>
    <n v="9.9522256057024236"/>
    <n v="0"/>
    <n v="99.522256057024222"/>
  </r>
  <r>
    <d v="2046-06-17T00:00:00"/>
    <x v="3"/>
    <x v="4"/>
    <n v="103"/>
    <n v="99.52342025368101"/>
    <n v="190"/>
    <n v="90.47657974631899"/>
    <n v="11"/>
    <n v="4180"/>
    <n v="9.9523420253681021"/>
    <n v="18.999182532730117"/>
    <n v="18.999182532730117"/>
    <n v="0"/>
    <n v="9.9523420253680968"/>
    <n v="0"/>
    <n v="99.52342025368101"/>
  </r>
  <r>
    <d v="2046-07-17T00:00:00"/>
    <x v="3"/>
    <x v="5"/>
    <n v="100"/>
    <n v="99.524584450337798"/>
    <n v="190"/>
    <n v="90.475415549662202"/>
    <n v="11"/>
    <n v="4180"/>
    <n v="9.9524584450337805"/>
    <n v="19.00162734570938"/>
    <n v="19.00162734570938"/>
    <n v="0"/>
    <n v="9.9524584450337841"/>
    <n v="0"/>
    <n v="99.524584450337798"/>
  </r>
  <r>
    <d v="2046-08-16T00:00:00"/>
    <x v="2"/>
    <x v="6"/>
    <n v="101"/>
    <n v="99.525748646994586"/>
    <n v="250"/>
    <n v="150.4742513530054"/>
    <n v="5"/>
    <n v="5500"/>
    <n v="9.952574864699459"/>
    <n v="-40.995927841311357"/>
    <n v="-40.995927841311357"/>
    <n v="0"/>
    <n v="9.9525748646994572"/>
    <n v="0"/>
    <n v="99.525748646994586"/>
  </r>
  <r>
    <d v="2046-09-15T00:00:00"/>
    <x v="4"/>
    <x v="7"/>
    <n v="94"/>
    <n v="99.526912843651374"/>
    <n v="150"/>
    <n v="50.473087156348626"/>
    <n v="13"/>
    <n v="3300"/>
    <n v="9.9526912843651374"/>
    <n v="59.006516971667892"/>
    <n v="59.006516971667892"/>
    <n v="0"/>
    <n v="9.9526912843651445"/>
    <n v="0"/>
    <n v="99.526912843651374"/>
  </r>
  <r>
    <d v="2046-10-15T00:00:00"/>
    <x v="2"/>
    <x v="8"/>
    <n v="108"/>
    <n v="99.528077040308148"/>
    <n v="250"/>
    <n v="150.47192295969185"/>
    <n v="5"/>
    <n v="5500"/>
    <n v="9.9528077040308158"/>
    <n v="-40.991038215352887"/>
    <n v="-40.991038215352887"/>
    <n v="0"/>
    <n v="9.9528077040308176"/>
    <n v="0"/>
    <n v="99.528077040308148"/>
  </r>
  <r>
    <d v="2046-11-14T00:00:00"/>
    <x v="0"/>
    <x v="9"/>
    <n v="113"/>
    <n v="99.529241236964936"/>
    <n v="200"/>
    <n v="100.47075876303506"/>
    <n v="7"/>
    <n v="4400"/>
    <n v="9.9529241236964943"/>
    <n v="9.0114065976263618"/>
    <n v="9.0114065976263618"/>
    <n v="0"/>
    <n v="9.9529241236964907"/>
    <n v="0"/>
    <n v="99.529241236964936"/>
  </r>
  <r>
    <d v="2046-12-14T00:00:00"/>
    <x v="1"/>
    <x v="10"/>
    <n v="115"/>
    <n v="99.530405433621723"/>
    <n v="185"/>
    <n v="85.469594566378277"/>
    <n v="10"/>
    <n v="4070"/>
    <n v="9.9530405433621727"/>
    <n v="24.013851410605625"/>
    <n v="24.013851410605625"/>
    <n v="0"/>
    <n v="9.953040543362178"/>
    <n v="0"/>
    <n v="99.530405433621723"/>
  </r>
  <r>
    <d v="2047-01-13T00:00:00"/>
    <x v="1"/>
    <x v="0"/>
    <n v="98"/>
    <n v="99.531569630278511"/>
    <n v="185"/>
    <n v="85.468430369721489"/>
    <n v="10"/>
    <n v="4070"/>
    <n v="9.9531569630278511"/>
    <n v="24.016296223584874"/>
    <n v="24.016296223584874"/>
    <n v="0"/>
    <n v="9.9531569630278511"/>
    <n v="0"/>
    <n v="99.531569630278511"/>
  </r>
  <r>
    <d v="2047-02-12T00:00:00"/>
    <x v="0"/>
    <x v="11"/>
    <n v="93"/>
    <n v="99.532733826935299"/>
    <n v="200"/>
    <n v="100.4672661730647"/>
    <n v="7"/>
    <n v="4400"/>
    <n v="9.9532733826935313"/>
    <n v="9.0187410365641369"/>
    <n v="9.0187410365641369"/>
    <n v="0"/>
    <n v="9.9532733826935385"/>
    <n v="0"/>
    <n v="99.532733826935299"/>
  </r>
  <r>
    <d v="2047-03-14T00:00:00"/>
    <x v="1"/>
    <x v="1"/>
    <n v="104"/>
    <n v="99.533898023592087"/>
    <n v="185"/>
    <n v="85.466101976407913"/>
    <n v="10"/>
    <n v="4070"/>
    <n v="9.9533898023592098"/>
    <n v="24.021185849543386"/>
    <n v="24.021185849543386"/>
    <n v="0"/>
    <n v="9.9533898023592116"/>
    <n v="0"/>
    <n v="99.533898023592087"/>
  </r>
  <r>
    <d v="2047-04-13T00:00:00"/>
    <x v="2"/>
    <x v="2"/>
    <n v="100"/>
    <n v="99.535062220248875"/>
    <n v="250"/>
    <n v="150.46493777975112"/>
    <n v="5"/>
    <n v="5500"/>
    <n v="9.9535062220248882"/>
    <n v="-40.976369337477365"/>
    <n v="-40.976369337477365"/>
    <n v="0"/>
    <n v="9.9535062220248847"/>
    <n v="0"/>
    <n v="99.535062220248875"/>
  </r>
  <r>
    <d v="2047-05-13T00:00:00"/>
    <x v="2"/>
    <x v="3"/>
    <n v="89"/>
    <n v="99.536226416905663"/>
    <n v="250"/>
    <n v="150.46377358309434"/>
    <n v="5"/>
    <n v="5500"/>
    <n v="9.9536226416905667"/>
    <n v="-40.973924524498102"/>
    <n v="-40.973924524498102"/>
    <n v="0"/>
    <n v="9.953622641690572"/>
    <n v="0"/>
    <n v="99.536226416905663"/>
  </r>
  <r>
    <d v="2047-06-12T00:00:00"/>
    <x v="0"/>
    <x v="4"/>
    <n v="86"/>
    <n v="99.537390613562451"/>
    <n v="200"/>
    <n v="100.46260938643755"/>
    <n v="7"/>
    <n v="4400"/>
    <n v="9.9537390613562451"/>
    <n v="9.0285202884811468"/>
    <n v="9.0285202884811468"/>
    <n v="0"/>
    <n v="9.9537390613562451"/>
    <n v="0"/>
    <n v="99.537390613562451"/>
  </r>
  <r>
    <d v="2047-07-12T00:00:00"/>
    <x v="1"/>
    <x v="5"/>
    <n v="93"/>
    <n v="99.538554810219239"/>
    <n v="185"/>
    <n v="85.461445189780761"/>
    <n v="10"/>
    <n v="4070"/>
    <n v="9.9538554810219253"/>
    <n v="24.030965101460396"/>
    <n v="24.030965101460396"/>
    <n v="0"/>
    <n v="9.9538554810219182"/>
    <n v="0"/>
    <n v="99.538554810219239"/>
  </r>
  <r>
    <d v="2047-08-11T00:00:00"/>
    <x v="3"/>
    <x v="6"/>
    <n v="104"/>
    <n v="99.539719006876027"/>
    <n v="190"/>
    <n v="90.460280993123973"/>
    <n v="11"/>
    <n v="4180"/>
    <n v="9.9539719006876037"/>
    <n v="19.033409914439659"/>
    <n v="19.033409914439659"/>
    <n v="0"/>
    <n v="9.9539719006876055"/>
    <n v="0"/>
    <n v="99.539719006876027"/>
  </r>
  <r>
    <d v="2047-09-10T00:00:00"/>
    <x v="4"/>
    <x v="7"/>
    <n v="91"/>
    <n v="99.540883203532815"/>
    <n v="150"/>
    <n v="50.459116796467185"/>
    <n v="13"/>
    <n v="3300"/>
    <n v="9.9540883203532822"/>
    <n v="59.035854727418908"/>
    <n v="59.035854727418908"/>
    <n v="0"/>
    <n v="9.9540883203532786"/>
    <n v="0"/>
    <n v="99.540883203532815"/>
  </r>
  <r>
    <d v="2047-10-10T00:00:00"/>
    <x v="3"/>
    <x v="8"/>
    <n v="113"/>
    <n v="99.542047400189588"/>
    <n v="190"/>
    <n v="90.457952599810412"/>
    <n v="11"/>
    <n v="4180"/>
    <n v="9.9542047400189588"/>
    <n v="19.038299540398143"/>
    <n v="19.038299540398143"/>
    <n v="0"/>
    <n v="9.9542047400189659"/>
    <n v="0"/>
    <n v="99.542047400189588"/>
  </r>
  <r>
    <d v="2047-11-09T00:00:00"/>
    <x v="2"/>
    <x v="9"/>
    <n v="103"/>
    <n v="99.543211596846376"/>
    <n v="250"/>
    <n v="150.45678840315361"/>
    <n v="5"/>
    <n v="5500"/>
    <n v="9.954321159684639"/>
    <n v="-40.959255646622594"/>
    <n v="-40.959255646622594"/>
    <n v="0"/>
    <n v="9.954321159684639"/>
    <n v="0"/>
    <n v="99.543211596846376"/>
  </r>
  <r>
    <d v="2047-12-09T00:00:00"/>
    <x v="2"/>
    <x v="10"/>
    <n v="98"/>
    <n v="99.544375793503164"/>
    <n v="250"/>
    <n v="150.45562420649685"/>
    <n v="5"/>
    <n v="5500"/>
    <n v="9.9544375793503175"/>
    <n v="-40.956810833643374"/>
    <n v="-40.956810833643374"/>
    <n v="0"/>
    <n v="9.9544375793503121"/>
    <n v="0"/>
    <n v="99.544375793503164"/>
  </r>
  <r>
    <d v="2048-01-08T00:00:00"/>
    <x v="2"/>
    <x v="0"/>
    <n v="100"/>
    <n v="99.545539990159952"/>
    <n v="250"/>
    <n v="150.45446000984003"/>
    <n v="5"/>
    <n v="5500"/>
    <n v="9.9545539990159959"/>
    <n v="-40.954366020664082"/>
    <n v="-40.954366020664082"/>
    <n v="0"/>
    <n v="9.9545539990159995"/>
    <n v="0"/>
    <n v="99.545539990159952"/>
  </r>
  <r>
    <d v="2048-02-07T00:00:00"/>
    <x v="2"/>
    <x v="11"/>
    <n v="89"/>
    <n v="99.54670418681674"/>
    <n v="250"/>
    <n v="150.45329581318327"/>
    <n v="5"/>
    <n v="5500"/>
    <n v="9.9546704186816743"/>
    <n v="-40.951921207684862"/>
    <n v="-40.951921207684862"/>
    <n v="0"/>
    <n v="9.9546704186816726"/>
    <n v="0"/>
    <n v="99.54670418681674"/>
  </r>
  <r>
    <d v="2048-03-08T00:00:00"/>
    <x v="4"/>
    <x v="1"/>
    <n v="83"/>
    <n v="99.547868383473528"/>
    <n v="150"/>
    <n v="50.452131616526472"/>
    <n v="13"/>
    <n v="3300"/>
    <n v="9.9547868383473528"/>
    <n v="59.050523605294401"/>
    <n v="59.050523605294401"/>
    <n v="0"/>
    <n v="9.9547868383473457"/>
    <n v="0"/>
    <n v="99.547868383473528"/>
  </r>
  <r>
    <d v="2048-04-07T00:00:00"/>
    <x v="0"/>
    <x v="2"/>
    <n v="92"/>
    <n v="99.549032580130316"/>
    <n v="200"/>
    <n v="100.45096741986968"/>
    <n v="7"/>
    <n v="4400"/>
    <n v="9.954903258013033"/>
    <n v="9.0529684182736645"/>
    <n v="9.0529684182736645"/>
    <n v="0"/>
    <n v="9.954903258013033"/>
    <n v="0"/>
    <n v="99.549032580130316"/>
  </r>
  <r>
    <d v="2048-05-07T00:00:00"/>
    <x v="2"/>
    <x v="3"/>
    <n v="81"/>
    <n v="99.550196776787104"/>
    <n v="250"/>
    <n v="150.44980322321288"/>
    <n v="5"/>
    <n v="5500"/>
    <n v="9.9550196776787114"/>
    <n v="-40.944586768747072"/>
    <n v="-40.944586768747072"/>
    <n v="0"/>
    <n v="9.9550196776787061"/>
    <n v="0"/>
    <n v="99.550196776787104"/>
  </r>
  <r>
    <d v="2048-06-06T00:00:00"/>
    <x v="1"/>
    <x v="4"/>
    <n v="91"/>
    <n v="99.551360973443892"/>
    <n v="185"/>
    <n v="85.448639026556108"/>
    <n v="10"/>
    <n v="4070"/>
    <n v="9.9551360973443899"/>
    <n v="24.057858044232177"/>
    <n v="24.057858044232177"/>
    <n v="0"/>
    <n v="9.9551360973443934"/>
    <n v="0"/>
    <n v="99.551360973443892"/>
  </r>
  <r>
    <d v="2048-07-06T00:00:00"/>
    <x v="4"/>
    <x v="5"/>
    <n v="102"/>
    <n v="99.552525170100679"/>
    <n v="150"/>
    <n v="50.447474829899321"/>
    <n v="13"/>
    <n v="3300"/>
    <n v="9.9552525170100683"/>
    <n v="59.060302857211425"/>
    <n v="59.060302857211425"/>
    <n v="0"/>
    <n v="9.9552525170100665"/>
    <n v="0"/>
    <n v="99.552525170100679"/>
  </r>
  <r>
    <d v="2048-08-05T00:00:00"/>
    <x v="2"/>
    <x v="6"/>
    <n v="107"/>
    <n v="99.553689366757453"/>
    <n v="250"/>
    <n v="150.44631063324255"/>
    <n v="5"/>
    <n v="5500"/>
    <n v="9.9553689366757467"/>
    <n v="-40.937252329809354"/>
    <n v="-40.937252329809354"/>
    <n v="0"/>
    <n v="9.9553689366757396"/>
    <n v="0"/>
    <n v="99.553689366757453"/>
  </r>
  <r>
    <d v="2048-09-04T00:00:00"/>
    <x v="1"/>
    <x v="7"/>
    <n v="103"/>
    <n v="99.554853563414241"/>
    <n v="185"/>
    <n v="85.445146436585759"/>
    <n v="10"/>
    <n v="4070"/>
    <n v="9.9554853563414252"/>
    <n v="24.065192483169909"/>
    <n v="24.065192483169909"/>
    <n v="0"/>
    <n v="9.955485356341427"/>
    <n v="0"/>
    <n v="99.554853563414241"/>
  </r>
  <r>
    <d v="2048-10-04T00:00:00"/>
    <x v="2"/>
    <x v="8"/>
    <n v="100"/>
    <n v="99.556017760071029"/>
    <n v="250"/>
    <n v="150.44398223992897"/>
    <n v="5"/>
    <n v="5500"/>
    <n v="9.9556017760071036"/>
    <n v="-40.932362703850842"/>
    <n v="-40.932362703850842"/>
    <n v="0"/>
    <n v="9.9556017760071001"/>
    <n v="0"/>
    <n v="99.556017760071029"/>
  </r>
  <r>
    <d v="2048-11-03T00:00:00"/>
    <x v="0"/>
    <x v="9"/>
    <n v="97"/>
    <n v="99.557181956727817"/>
    <n v="200"/>
    <n v="100.44281804327218"/>
    <n v="7"/>
    <n v="4400"/>
    <n v="9.955718195672782"/>
    <n v="9.0700821091284212"/>
    <n v="9.0700821091284212"/>
    <n v="0"/>
    <n v="9.9557181956727874"/>
    <n v="0"/>
    <n v="99.557181956727817"/>
  </r>
  <r>
    <d v="2048-12-03T00:00:00"/>
    <x v="4"/>
    <x v="10"/>
    <n v="85"/>
    <n v="99.558346153384605"/>
    <n v="150"/>
    <n v="50.441653846615395"/>
    <n v="13"/>
    <n v="3300"/>
    <n v="9.9558346153384605"/>
    <n v="59.07252692210767"/>
    <n v="59.07252692210767"/>
    <n v="0"/>
    <n v="9.9558346153384605"/>
    <n v="0"/>
    <n v="99.558346153384605"/>
  </r>
  <r>
    <d v="2049-01-02T00:00:00"/>
    <x v="0"/>
    <x v="0"/>
    <n v="107"/>
    <n v="99.559510350041393"/>
    <n v="200"/>
    <n v="100.44048964995861"/>
    <n v="7"/>
    <n v="4400"/>
    <n v="9.9559510350041407"/>
    <n v="9.0749717350869332"/>
    <n v="9.0749717350869332"/>
    <n v="0"/>
    <n v="9.9559510350041478"/>
    <n v="0"/>
    <n v="99.559510350041393"/>
  </r>
  <r>
    <d v="2049-02-01T00:00:00"/>
    <x v="4"/>
    <x v="11"/>
    <n v="106"/>
    <n v="99.560674546698181"/>
    <n v="150"/>
    <n v="50.439325453301819"/>
    <n v="13"/>
    <n v="3300"/>
    <n v="9.9560674546698191"/>
    <n v="59.077416548066182"/>
    <n v="59.077416548066182"/>
    <n v="0"/>
    <n v="9.9560674546698209"/>
    <n v="0"/>
    <n v="99.560674546698181"/>
  </r>
  <r>
    <d v="2049-03-03T00:00:00"/>
    <x v="2"/>
    <x v="1"/>
    <n v="92"/>
    <n v="99.561838743354969"/>
    <n v="250"/>
    <n v="150.43816125664503"/>
    <n v="5"/>
    <n v="5500"/>
    <n v="9.9561838743354976"/>
    <n v="-40.920138638954569"/>
    <n v="-40.920138638954569"/>
    <n v="0"/>
    <n v="9.956183874335494"/>
    <n v="0"/>
    <n v="99.561838743354969"/>
  </r>
  <r>
    <d v="2049-04-02T00:00:00"/>
    <x v="2"/>
    <x v="2"/>
    <n v="110"/>
    <n v="99.563002940011756"/>
    <n v="250"/>
    <n v="150.43699705998824"/>
    <n v="5"/>
    <n v="5500"/>
    <n v="9.956300294001176"/>
    <n v="-40.917693825975306"/>
    <n v="-40.917693825975306"/>
    <n v="0"/>
    <n v="9.9563002940011813"/>
    <n v="0"/>
    <n v="99.563002940011756"/>
  </r>
  <r>
    <d v="2049-05-02T00:00:00"/>
    <x v="4"/>
    <x v="3"/>
    <n v="93"/>
    <n v="99.564167136668544"/>
    <n v="150"/>
    <n v="50.435832863331456"/>
    <n v="13"/>
    <n v="3300"/>
    <n v="9.9564167136668544"/>
    <n v="59.084750987003943"/>
    <n v="59.084750987003943"/>
    <n v="0"/>
    <n v="9.9564167136668544"/>
    <n v="0"/>
    <n v="99.564167136668544"/>
  </r>
  <r>
    <d v="2049-06-01T00:00:00"/>
    <x v="1"/>
    <x v="4"/>
    <n v="104"/>
    <n v="99.565331333325332"/>
    <n v="185"/>
    <n v="85.434668666674668"/>
    <n v="10"/>
    <n v="4070"/>
    <n v="9.9565331333325346"/>
    <n v="24.087195799983192"/>
    <n v="24.087195799983192"/>
    <n v="0"/>
    <n v="9.9565331333325275"/>
    <n v="0"/>
    <n v="99.565331333325332"/>
  </r>
  <r>
    <d v="2049-07-01T00:00:00"/>
    <x v="1"/>
    <x v="5"/>
    <n v="117"/>
    <n v="99.56649552998212"/>
    <n v="185"/>
    <n v="85.43350447001788"/>
    <n v="10"/>
    <n v="4070"/>
    <n v="9.9566495529982131"/>
    <n v="24.089640612962455"/>
    <n v="24.089640612962455"/>
    <n v="0"/>
    <n v="9.9566495529982149"/>
    <n v="0"/>
    <n v="99.56649552998212"/>
  </r>
  <r>
    <d v="2049-07-31T00:00:00"/>
    <x v="2"/>
    <x v="5"/>
    <n v="122"/>
    <n v="99.567659726638894"/>
    <n v="250"/>
    <n v="150.43234027336109"/>
    <n v="5"/>
    <n v="5500"/>
    <n v="9.9567659726638897"/>
    <n v="-40.90791457405831"/>
    <n v="-40.90791457405831"/>
    <n v="0"/>
    <n v="9.956765972663888"/>
    <n v="0"/>
    <n v="99.567659726638894"/>
  </r>
  <r>
    <d v="2049-08-30T00:00:00"/>
    <x v="2"/>
    <x v="6"/>
    <n v="90"/>
    <n v="99.568823923295682"/>
    <n v="250"/>
    <n v="150.43117607670433"/>
    <n v="5"/>
    <n v="5500"/>
    <n v="9.9568823923295682"/>
    <n v="-40.905469761079075"/>
    <n v="-40.905469761079075"/>
    <n v="0"/>
    <n v="9.9568823923295753"/>
    <n v="0"/>
    <n v="99.568823923295682"/>
  </r>
  <r>
    <d v="2049-09-29T00:00:00"/>
    <x v="0"/>
    <x v="7"/>
    <n v="113"/>
    <n v="99.56998811995247"/>
    <n v="200"/>
    <n v="100.43001188004753"/>
    <n v="7"/>
    <n v="4400"/>
    <n v="9.9569988119952484"/>
    <n v="9.0969750519001877"/>
    <n v="9.0969750519001877"/>
    <n v="0"/>
    <n v="9.9569988119952484"/>
    <n v="0"/>
    <n v="99.56998811995247"/>
  </r>
  <r>
    <d v="2049-10-29T00:00:00"/>
    <x v="2"/>
    <x v="8"/>
    <n v="110"/>
    <n v="99.571152316609258"/>
    <n v="250"/>
    <n v="150.42884768339076"/>
    <n v="5"/>
    <n v="5500"/>
    <n v="9.9571152316609268"/>
    <n v="-40.900580135120578"/>
    <n v="-40.900580135120578"/>
    <n v="0"/>
    <n v="9.9571152316609215"/>
    <n v="0"/>
    <n v="99.571152316609258"/>
  </r>
  <r>
    <d v="2049-11-28T00:00:00"/>
    <x v="4"/>
    <x v="9"/>
    <n v="106"/>
    <n v="99.572316513266045"/>
    <n v="150"/>
    <n v="50.427683486733955"/>
    <n v="13"/>
    <n v="3300"/>
    <n v="9.9572316513266053"/>
    <n v="59.1018646778587"/>
    <n v="59.1018646778587"/>
    <n v="0"/>
    <n v="9.9572316513266088"/>
    <n v="0"/>
    <n v="99.572316513266045"/>
  </r>
  <r>
    <d v="2049-12-28T00:00:00"/>
    <x v="1"/>
    <x v="10"/>
    <n v="92"/>
    <n v="99.573480709922833"/>
    <n v="185"/>
    <n v="85.426519290077167"/>
    <n v="10"/>
    <n v="4070"/>
    <n v="9.9573480709922837"/>
    <n v="24.104309490837949"/>
    <n v="24.104309490837949"/>
    <n v="0"/>
    <n v="9.9573480709922819"/>
    <n v="0"/>
    <n v="99.573480709922833"/>
  </r>
  <r>
    <d v="2050-01-27T00:00:00"/>
    <x v="1"/>
    <x v="0"/>
    <n v="121"/>
    <n v="99.574644906579621"/>
    <n v="185"/>
    <n v="85.425355093420379"/>
    <n v="10"/>
    <n v="4070"/>
    <n v="9.9574644906579621"/>
    <n v="24.106754303817198"/>
    <n v="24.106754303817198"/>
    <n v="0"/>
    <n v="9.957464490657955"/>
    <n v="0"/>
    <n v="99.574644906579621"/>
  </r>
  <r>
    <d v="2050-02-26T00:00:00"/>
    <x v="0"/>
    <x v="11"/>
    <n v="89"/>
    <n v="99.575809103236409"/>
    <n v="200"/>
    <n v="100.42419089676359"/>
    <n v="7"/>
    <n v="4400"/>
    <n v="9.9575809103236423"/>
    <n v="9.1091991167964608"/>
    <n v="9.1091991167964608"/>
    <n v="0"/>
    <n v="9.9575809103236423"/>
    <n v="0"/>
    <n v="99.575809103236409"/>
  </r>
  <r>
    <d v="2050-03-28T00:00:00"/>
    <x v="1"/>
    <x v="1"/>
    <n v="117"/>
    <n v="99.576973299893197"/>
    <n v="185"/>
    <n v="85.423026700106803"/>
    <n v="10"/>
    <n v="4070"/>
    <n v="9.9576973299893208"/>
    <n v="24.11164392977571"/>
    <n v="24.11164392977571"/>
    <n v="0"/>
    <n v="9.9576973299893154"/>
    <n v="0"/>
    <n v="99.576973299893197"/>
  </r>
  <r>
    <d v="2050-04-27T00:00:00"/>
    <x v="1"/>
    <x v="2"/>
    <n v="106"/>
    <n v="99.578137496549985"/>
    <n v="185"/>
    <n v="85.421862503450015"/>
    <n v="10"/>
    <n v="4070"/>
    <n v="9.9578137496549992"/>
    <n v="24.114088742754973"/>
    <n v="24.114088742754973"/>
    <n v="0"/>
    <n v="9.9578137496550028"/>
    <n v="0"/>
    <n v="99.578137496549985"/>
  </r>
  <r>
    <d v="2050-05-27T00:00:00"/>
    <x v="3"/>
    <x v="3"/>
    <n v="121"/>
    <n v="99.579301693206773"/>
    <n v="190"/>
    <n v="90.420698306793227"/>
    <n v="11"/>
    <n v="4180"/>
    <n v="9.9579301693206776"/>
    <n v="19.116533555734222"/>
    <n v="19.116533555734222"/>
    <n v="0"/>
    <n v="9.9579301693206759"/>
    <n v="0"/>
    <n v="99.579301693206773"/>
  </r>
  <r>
    <d v="2050-06-26T00:00:00"/>
    <x v="4"/>
    <x v="4"/>
    <n v="95"/>
    <n v="99.580465889863547"/>
    <n v="150"/>
    <n v="50.419534110136453"/>
    <n v="13"/>
    <n v="3300"/>
    <n v="9.9580465889863561"/>
    <n v="59.118978368713442"/>
    <n v="59.118978368713442"/>
    <n v="0"/>
    <n v="9.958046588986349"/>
    <n v="0"/>
    <n v="99.580465889863547"/>
  </r>
  <r>
    <d v="2050-07-26T00:00:00"/>
    <x v="3"/>
    <x v="5"/>
    <n v="91"/>
    <n v="99.581630086520335"/>
    <n v="190"/>
    <n v="90.418369913479665"/>
    <n v="11"/>
    <n v="4180"/>
    <n v="9.9581630086520345"/>
    <n v="19.121423181692705"/>
    <n v="19.121423181692705"/>
    <n v="0"/>
    <n v="9.9581630086520363"/>
    <n v="0"/>
    <n v="99.581630086520335"/>
  </r>
  <r>
    <d v="2050-08-25T00:00:00"/>
    <x v="1"/>
    <x v="6"/>
    <n v="82"/>
    <n v="99.582794283177122"/>
    <n v="185"/>
    <n v="85.417205716822878"/>
    <n v="10"/>
    <n v="4070"/>
    <n v="9.958279428317713"/>
    <n v="24.123867994671954"/>
    <n v="24.123867994671954"/>
    <n v="0"/>
    <n v="9.9582794283177094"/>
    <n v="0"/>
    <n v="99.582794283177122"/>
  </r>
  <r>
    <d v="2050-09-24T00:00:00"/>
    <x v="0"/>
    <x v="7"/>
    <n v="100"/>
    <n v="99.58395847983391"/>
    <n v="200"/>
    <n v="100.41604152016609"/>
    <n v="7"/>
    <n v="4400"/>
    <n v="9.9583958479833914"/>
    <n v="9.1263128076512174"/>
    <n v="9.1263128076512174"/>
    <n v="0"/>
    <n v="9.9583958479833967"/>
    <n v="0"/>
    <n v="99.58395847983391"/>
  </r>
  <r>
    <d v="2050-10-24T00:00:00"/>
    <x v="0"/>
    <x v="8"/>
    <n v="81"/>
    <n v="99.585122676490698"/>
    <n v="200"/>
    <n v="100.4148773235093"/>
    <n v="7"/>
    <n v="4400"/>
    <n v="9.9585122676490698"/>
    <n v="9.1287576206304664"/>
    <n v="9.1287576206304664"/>
    <n v="0"/>
    <n v="9.9585122676490698"/>
    <n v="0"/>
    <n v="99.585122676490698"/>
  </r>
  <r>
    <d v="2050-11-23T00:00:00"/>
    <x v="1"/>
    <x v="9"/>
    <n v="101"/>
    <n v="99.586286873147486"/>
    <n v="185"/>
    <n v="85.413713126852514"/>
    <n v="10"/>
    <n v="4070"/>
    <n v="9.95862868731475"/>
    <n v="24.131202433609729"/>
    <n v="24.131202433609729"/>
    <n v="0"/>
    <n v="9.9586286873147571"/>
    <n v="0"/>
    <n v="99.586286873147486"/>
  </r>
  <r>
    <d v="2050-12-23T00:00:00"/>
    <x v="2"/>
    <x v="10"/>
    <n v="95"/>
    <n v="99.587451069804274"/>
    <n v="250"/>
    <n v="150.41254893019573"/>
    <n v="5"/>
    <n v="5500"/>
    <n v="9.9587451069804285"/>
    <n v="-40.866352753411022"/>
    <n v="-40.866352753411022"/>
    <n v="0"/>
    <n v="9.9587451069804303"/>
    <n v="0"/>
    <n v="99.587451069804274"/>
  </r>
  <r>
    <d v="2051-01-22T00:00:00"/>
    <x v="3"/>
    <x v="0"/>
    <n v="114"/>
    <n v="99.588615266461062"/>
    <n v="190"/>
    <n v="90.411384733538938"/>
    <n v="11"/>
    <n v="4180"/>
    <n v="9.9588615266461069"/>
    <n v="19.136092059568227"/>
    <n v="19.136092059568227"/>
    <n v="0"/>
    <n v="9.9588615266461034"/>
    <n v="0"/>
    <n v="99.588615266461062"/>
  </r>
  <r>
    <d v="2051-02-21T00:00:00"/>
    <x v="1"/>
    <x v="11"/>
    <n v="92"/>
    <n v="99.58977946311785"/>
    <n v="185"/>
    <n v="85.41022053688215"/>
    <n v="10"/>
    <n v="4070"/>
    <n v="9.9589779463117853"/>
    <n v="24.13853687254749"/>
    <n v="24.13853687254749"/>
    <n v="0"/>
    <n v="9.9589779463117907"/>
    <n v="0"/>
    <n v="99.58977946311785"/>
  </r>
  <r>
    <d v="2051-03-23T00:00:00"/>
    <x v="0"/>
    <x v="1"/>
    <n v="113"/>
    <n v="99.590943659774638"/>
    <n v="200"/>
    <n v="100.40905634022536"/>
    <n v="7"/>
    <n v="4400"/>
    <n v="9.9590943659774638"/>
    <n v="9.1409816855267394"/>
    <n v="9.1409816855267394"/>
    <n v="0"/>
    <n v="9.9590943659774638"/>
    <n v="0"/>
    <n v="99.590943659774638"/>
  </r>
  <r>
    <d v="2051-04-22T00:00:00"/>
    <x v="0"/>
    <x v="2"/>
    <n v="113"/>
    <n v="99.592107856431426"/>
    <n v="200"/>
    <n v="100.40789214356857"/>
    <n v="7"/>
    <n v="4400"/>
    <n v="9.959210785643144"/>
    <n v="9.1434264985059883"/>
    <n v="9.1434264985059883"/>
    <n v="0"/>
    <n v="9.9592107856431369"/>
    <n v="0"/>
    <n v="99.592107856431426"/>
  </r>
  <r>
    <d v="2051-05-22T00:00:00"/>
    <x v="3"/>
    <x v="3"/>
    <n v="120"/>
    <n v="99.593272053088199"/>
    <n v="190"/>
    <n v="90.406727946911801"/>
    <n v="11"/>
    <n v="4180"/>
    <n v="9.9593272053088207"/>
    <n v="19.145871311485223"/>
    <n v="19.145871311485223"/>
    <n v="0"/>
    <n v="9.9593272053088242"/>
    <n v="0"/>
    <n v="99.593272053088199"/>
  </r>
  <r>
    <d v="2051-06-21T00:00:00"/>
    <x v="4"/>
    <x v="4"/>
    <n v="108"/>
    <n v="99.594436249744987"/>
    <n v="150"/>
    <n v="50.405563750255013"/>
    <n v="13"/>
    <n v="3300"/>
    <n v="9.9594436249744991"/>
    <n v="59.148316124464472"/>
    <n v="59.148316124464472"/>
    <n v="0"/>
    <n v="9.9594436249744973"/>
    <n v="0"/>
    <n v="99.594436249744987"/>
  </r>
  <r>
    <d v="2051-07-21T00:00:00"/>
    <x v="1"/>
    <x v="5"/>
    <n v="99"/>
    <n v="99.595600446401775"/>
    <n v="185"/>
    <n v="85.404399553598225"/>
    <n v="10"/>
    <n v="4070"/>
    <n v="9.9595600446401775"/>
    <n v="24.150760937443735"/>
    <n v="24.150760937443735"/>
    <n v="0"/>
    <n v="9.9595600446401846"/>
    <n v="0"/>
    <n v="99.595600446401775"/>
  </r>
  <r>
    <d v="2051-08-20T00:00:00"/>
    <x v="1"/>
    <x v="6"/>
    <n v="108"/>
    <n v="99.596764643058563"/>
    <n v="185"/>
    <n v="85.403235356941437"/>
    <n v="10"/>
    <n v="4070"/>
    <n v="9.9596764643058577"/>
    <n v="24.153205750422984"/>
    <n v="24.153205750422984"/>
    <n v="0"/>
    <n v="9.9596764643058577"/>
    <n v="0"/>
    <n v="99.596764643058563"/>
  </r>
  <r>
    <d v="2051-09-19T00:00:00"/>
    <x v="4"/>
    <x v="7"/>
    <n v="98"/>
    <n v="99.597928839715351"/>
    <n v="150"/>
    <n v="50.402071160284649"/>
    <n v="13"/>
    <n v="3300"/>
    <n v="9.9597928839715362"/>
    <n v="59.155650563402233"/>
    <n v="59.155650563402233"/>
    <n v="0"/>
    <n v="9.9597928839715308"/>
    <n v="0"/>
    <n v="99.597928839715351"/>
  </r>
  <r>
    <d v="2051-10-19T00:00:00"/>
    <x v="3"/>
    <x v="8"/>
    <n v="92"/>
    <n v="99.599093036372139"/>
    <n v="190"/>
    <n v="90.400906963627861"/>
    <n v="11"/>
    <n v="4180"/>
    <n v="9.9599093036372146"/>
    <n v="19.158095376381496"/>
    <n v="19.158095376381496"/>
    <n v="0"/>
    <n v="9.9599093036372182"/>
    <n v="0"/>
    <n v="99.599093036372139"/>
  </r>
  <r>
    <d v="2051-11-18T00:00:00"/>
    <x v="3"/>
    <x v="9"/>
    <n v="96"/>
    <n v="99.600257233028927"/>
    <n v="190"/>
    <n v="90.399742766971073"/>
    <n v="11"/>
    <n v="4180"/>
    <n v="9.960025723302893"/>
    <n v="19.160540189360745"/>
    <n v="19.160540189360745"/>
    <n v="0"/>
    <n v="9.9600257233028913"/>
    <n v="0"/>
    <n v="99.600257233028927"/>
  </r>
  <r>
    <d v="2051-12-18T00:00:00"/>
    <x v="0"/>
    <x v="10"/>
    <n v="94"/>
    <n v="99.601421429685715"/>
    <n v="200"/>
    <n v="100.39857857031429"/>
    <n v="7"/>
    <n v="4400"/>
    <n v="9.9601421429685715"/>
    <n v="9.1629850023399939"/>
    <n v="9.1629850023399939"/>
    <n v="0"/>
    <n v="9.9601421429685644"/>
    <n v="0"/>
    <n v="99.601421429685715"/>
  </r>
  <r>
    <d v="2052-01-17T00:00:00"/>
    <x v="4"/>
    <x v="0"/>
    <n v="75"/>
    <n v="99.602585626342503"/>
    <n v="150"/>
    <n v="50.397414373657497"/>
    <n v="13"/>
    <n v="3300"/>
    <n v="9.9602585626342517"/>
    <n v="59.165429815319257"/>
    <n v="59.165429815319257"/>
    <n v="0"/>
    <n v="9.9602585626342517"/>
    <n v="0"/>
    <n v="99.602585626342503"/>
  </r>
  <r>
    <d v="2052-02-16T00:00:00"/>
    <x v="3"/>
    <x v="11"/>
    <n v="97"/>
    <n v="99.603749822999291"/>
    <n v="190"/>
    <n v="90.396250177000709"/>
    <n v="11"/>
    <n v="4180"/>
    <n v="9.9603749822999301"/>
    <n v="19.167874628298506"/>
    <n v="19.167874628298506"/>
    <n v="0"/>
    <n v="9.9603749822999248"/>
    <n v="0"/>
    <n v="99.603749822999291"/>
  </r>
  <r>
    <d v="2052-03-17T00:00:00"/>
    <x v="2"/>
    <x v="1"/>
    <n v="100"/>
    <n v="99.604914019656078"/>
    <n v="250"/>
    <n v="150.39508598034394"/>
    <n v="5"/>
    <n v="5500"/>
    <n v="9.9604914019656086"/>
    <n v="-40.829680558722245"/>
    <n v="-40.829680558722245"/>
    <n v="0"/>
    <n v="9.9604914019656121"/>
    <n v="0"/>
    <n v="99.604914019656078"/>
  </r>
  <r>
    <d v="2052-04-16T00:00:00"/>
    <x v="1"/>
    <x v="2"/>
    <n v="98"/>
    <n v="99.606078216312852"/>
    <n v="185"/>
    <n v="85.393921783687148"/>
    <n v="10"/>
    <n v="4070"/>
    <n v="9.9606078216312852"/>
    <n v="24.17276425425699"/>
    <n v="24.17276425425699"/>
    <n v="0"/>
    <n v="9.9606078216312852"/>
    <n v="0"/>
    <n v="99.606078216312852"/>
  </r>
  <r>
    <d v="2052-05-16T00:00:00"/>
    <x v="0"/>
    <x v="3"/>
    <n v="121"/>
    <n v="99.60724241296964"/>
    <n v="200"/>
    <n v="100.39275758703036"/>
    <n v="7"/>
    <n v="4400"/>
    <n v="9.9607242412969654"/>
    <n v="9.1752090672362385"/>
    <n v="9.1752090672362385"/>
    <n v="0"/>
    <n v="9.9607242412969583"/>
    <n v="0"/>
    <n v="99.60724241296964"/>
  </r>
  <r>
    <d v="2052-06-15T00:00:00"/>
    <x v="4"/>
    <x v="4"/>
    <n v="103"/>
    <n v="99.608406609626428"/>
    <n v="150"/>
    <n v="50.391593390373572"/>
    <n v="13"/>
    <n v="3300"/>
    <n v="9.9608406609626439"/>
    <n v="59.177653880215502"/>
    <n v="59.177653880215502"/>
    <n v="0"/>
    <n v="9.9608406609626456"/>
    <n v="0"/>
    <n v="99.608406609626428"/>
  </r>
  <r>
    <d v="2052-07-15T00:00:00"/>
    <x v="0"/>
    <x v="5"/>
    <n v="121"/>
    <n v="99.609570806283216"/>
    <n v="200"/>
    <n v="100.39042919371678"/>
    <n v="7"/>
    <n v="4400"/>
    <n v="9.9609570806283223"/>
    <n v="9.1800986931947506"/>
    <n v="9.1800986931947506"/>
    <n v="0"/>
    <n v="9.9609570806283187"/>
    <n v="0"/>
    <n v="99.609570806283216"/>
  </r>
  <r>
    <d v="2052-08-14T00:00:00"/>
    <x v="3"/>
    <x v="6"/>
    <n v="103"/>
    <n v="99.610735002940004"/>
    <n v="190"/>
    <n v="90.389264997059996"/>
    <n v="11"/>
    <n v="4180"/>
    <n v="9.9610735002940007"/>
    <n v="19.182543506174014"/>
    <n v="19.182543506174014"/>
    <n v="0"/>
    <n v="9.9610735002940061"/>
    <n v="0"/>
    <n v="99.610735002940004"/>
  </r>
  <r>
    <d v="2052-09-13T00:00:00"/>
    <x v="3"/>
    <x v="7"/>
    <n v="91"/>
    <n v="99.611899199596792"/>
    <n v="190"/>
    <n v="90.388100800403208"/>
    <n v="11"/>
    <n v="4180"/>
    <n v="9.9611899199596792"/>
    <n v="19.184988319153263"/>
    <n v="19.184988319153263"/>
    <n v="0"/>
    <n v="9.9611899199596792"/>
    <n v="0"/>
    <n v="99.611899199596792"/>
  </r>
  <r>
    <d v="2052-10-13T00:00:00"/>
    <x v="2"/>
    <x v="8"/>
    <n v="91"/>
    <n v="99.61306339625358"/>
    <n v="250"/>
    <n v="150.38693660374642"/>
    <n v="5"/>
    <n v="5500"/>
    <n v="9.9613063396253594"/>
    <n v="-40.812566867867474"/>
    <n v="-40.812566867867474"/>
    <n v="0"/>
    <n v="9.9613063396253665"/>
    <n v="0"/>
    <n v="99.61306339625358"/>
  </r>
  <r>
    <d v="2052-11-12T00:00:00"/>
    <x v="1"/>
    <x v="9"/>
    <n v="107"/>
    <n v="99.614227592910368"/>
    <n v="185"/>
    <n v="85.385772407089632"/>
    <n v="10"/>
    <n v="4070"/>
    <n v="9.9614227592910378"/>
    <n v="24.189877945111775"/>
    <n v="24.189877945111775"/>
    <n v="0"/>
    <n v="9.9614227592910396"/>
    <n v="0"/>
    <n v="99.614227592910368"/>
  </r>
  <r>
    <d v="2052-12-12T00:00:00"/>
    <x v="4"/>
    <x v="10"/>
    <n v="97"/>
    <n v="99.615391789567155"/>
    <n v="150"/>
    <n v="50.384608210432845"/>
    <n v="13"/>
    <n v="3300"/>
    <n v="9.9615391789567163"/>
    <n v="59.192322758091024"/>
    <n v="59.192322758091024"/>
    <n v="0"/>
    <n v="9.9615391789567127"/>
    <n v="0"/>
    <n v="99.615391789567155"/>
  </r>
  <r>
    <d v="2053-01-11T00:00:00"/>
    <x v="0"/>
    <x v="0"/>
    <n v="106"/>
    <n v="99.616555986223943"/>
    <n v="200"/>
    <n v="100.38344401377606"/>
    <n v="7"/>
    <n v="4400"/>
    <n v="9.9616555986223947"/>
    <n v="9.1947675710702867"/>
    <n v="9.1947675710702867"/>
    <n v="0"/>
    <n v="9.9616555986224"/>
    <n v="0"/>
    <n v="99.616555986223943"/>
  </r>
  <r>
    <d v="2053-02-10T00:00:00"/>
    <x v="1"/>
    <x v="11"/>
    <n v="110"/>
    <n v="99.617720182880731"/>
    <n v="185"/>
    <n v="85.382279817119269"/>
    <n v="10"/>
    <n v="4070"/>
    <n v="9.9617720182880731"/>
    <n v="24.197212384049536"/>
    <n v="24.197212384049536"/>
    <n v="0"/>
    <n v="9.9617720182880731"/>
    <n v="0"/>
    <n v="99.617720182880731"/>
  </r>
  <r>
    <d v="2053-03-12T00:00:00"/>
    <x v="3"/>
    <x v="1"/>
    <n v="91"/>
    <n v="99.618884379537505"/>
    <n v="190"/>
    <n v="90.381115620462495"/>
    <n v="11"/>
    <n v="4180"/>
    <n v="9.9618884379537516"/>
    <n v="19.199657197028756"/>
    <n v="19.199657197028756"/>
    <n v="0"/>
    <n v="9.9618884379537462"/>
    <n v="0"/>
    <n v="99.618884379537505"/>
  </r>
  <r>
    <d v="2053-04-11T00:00:00"/>
    <x v="1"/>
    <x v="2"/>
    <n v="103"/>
    <n v="99.620048576194293"/>
    <n v="185"/>
    <n v="85.379951423805707"/>
    <n v="10"/>
    <n v="4070"/>
    <n v="9.96200485761943"/>
    <n v="24.202102010008019"/>
    <n v="24.202102010008019"/>
    <n v="0"/>
    <n v="9.9620048576194336"/>
    <n v="0"/>
    <n v="99.620048576194293"/>
  </r>
  <r>
    <d v="2053-05-11T00:00:00"/>
    <x v="0"/>
    <x v="3"/>
    <n v="84"/>
    <n v="99.621212772851081"/>
    <n v="200"/>
    <n v="100.37878722714892"/>
    <n v="7"/>
    <n v="4400"/>
    <n v="9.9621212772851084"/>
    <n v="9.2045468229872682"/>
    <n v="9.2045468229872682"/>
    <n v="0"/>
    <n v="9.9621212772851067"/>
    <n v="0"/>
    <n v="99.621212772851081"/>
  </r>
  <r>
    <d v="2053-06-10T00:00:00"/>
    <x v="1"/>
    <x v="4"/>
    <n v="93"/>
    <n v="99.622376969507869"/>
    <n v="185"/>
    <n v="85.377623030492131"/>
    <n v="10"/>
    <n v="4070"/>
    <n v="9.9622376969507869"/>
    <n v="24.206991635966531"/>
    <n v="24.206991635966531"/>
    <n v="0"/>
    <n v="9.962237696950794"/>
    <n v="0"/>
    <n v="99.622376969507869"/>
  </r>
  <r>
    <d v="2053-07-10T00:00:00"/>
    <x v="3"/>
    <x v="5"/>
    <n v="113"/>
    <n v="99.623541166164657"/>
    <n v="190"/>
    <n v="90.376458833835343"/>
    <n v="11"/>
    <n v="4180"/>
    <n v="9.9623541166164671"/>
    <n v="19.20943644894578"/>
    <n v="19.20943644894578"/>
    <n v="0"/>
    <n v="9.9623541166164671"/>
    <n v="0"/>
    <n v="99.623541166164657"/>
  </r>
  <r>
    <d v="2053-08-09T00:00:00"/>
    <x v="1"/>
    <x v="6"/>
    <n v="105"/>
    <n v="99.624705362821445"/>
    <n v="185"/>
    <n v="85.375294637178555"/>
    <n v="10"/>
    <n v="4070"/>
    <n v="9.9624705362821455"/>
    <n v="24.211881261925029"/>
    <n v="24.211881261925029"/>
    <n v="0"/>
    <n v="9.9624705362821402"/>
    <n v="0"/>
    <n v="99.624705362821445"/>
  </r>
  <r>
    <d v="2053-09-08T00:00:00"/>
    <x v="4"/>
    <x v="7"/>
    <n v="83"/>
    <n v="99.625869559478232"/>
    <n v="150"/>
    <n v="50.374130440521768"/>
    <n v="13"/>
    <n v="3300"/>
    <n v="9.962586955947824"/>
    <n v="59.214326074904292"/>
    <n v="59.214326074904292"/>
    <n v="0"/>
    <n v="9.9625869559478275"/>
    <n v="0"/>
    <n v="99.625869559478232"/>
  </r>
  <r>
    <d v="2053-10-08T00:00:00"/>
    <x v="1"/>
    <x v="8"/>
    <n v="96"/>
    <n v="99.62703375613502"/>
    <n v="185"/>
    <n v="85.37296624386498"/>
    <n v="10"/>
    <n v="4070"/>
    <n v="9.9627033756135024"/>
    <n v="24.216770887883541"/>
    <n v="24.216770887883541"/>
    <n v="0"/>
    <n v="9.9627033756135006"/>
    <n v="0"/>
    <n v="99.62703375613502"/>
  </r>
  <r>
    <d v="2053-11-07T00:00:00"/>
    <x v="4"/>
    <x v="9"/>
    <n v="107"/>
    <n v="99.628197952791808"/>
    <n v="150"/>
    <n v="50.371802047208192"/>
    <n v="13"/>
    <n v="3300"/>
    <n v="9.9628197952791808"/>
    <n v="59.21921570086279"/>
    <n v="59.21921570086279"/>
    <n v="0"/>
    <n v="9.9628197952791737"/>
    <n v="0"/>
    <n v="99.628197952791808"/>
  </r>
  <r>
    <d v="2053-12-07T00:00:00"/>
    <x v="1"/>
    <x v="10"/>
    <n v="83"/>
    <n v="99.629362149448596"/>
    <n v="185"/>
    <n v="85.370637850551404"/>
    <n v="10"/>
    <n v="4070"/>
    <n v="9.962936214944861"/>
    <n v="24.221660513842053"/>
    <n v="24.221660513842053"/>
    <n v="0"/>
    <n v="9.962936214944861"/>
    <n v="0"/>
    <n v="99.629362149448596"/>
  </r>
  <r>
    <d v="2054-01-06T00:00:00"/>
    <x v="3"/>
    <x v="0"/>
    <n v="105"/>
    <n v="99.630526346105384"/>
    <n v="190"/>
    <n v="90.369473653894616"/>
    <n v="11"/>
    <n v="4180"/>
    <n v="9.9630526346105395"/>
    <n v="19.224105326821302"/>
    <n v="19.224105326821302"/>
    <n v="0"/>
    <n v="9.9630526346105341"/>
    <n v="0"/>
    <n v="99.630526346105384"/>
  </r>
  <r>
    <d v="2054-02-05T00:00:00"/>
    <x v="2"/>
    <x v="11"/>
    <n v="112"/>
    <n v="99.631690542762158"/>
    <n v="250"/>
    <n v="150.36830945723784"/>
    <n v="5"/>
    <n v="5500"/>
    <n v="9.9631690542762161"/>
    <n v="-40.773449860199463"/>
    <n v="-40.773449860199463"/>
    <n v="0"/>
    <n v="9.9631690542762215"/>
    <n v="0"/>
    <n v="99.631690542762158"/>
  </r>
  <r>
    <d v="2054-03-07T00:00:00"/>
    <x v="2"/>
    <x v="1"/>
    <n v="99"/>
    <n v="99.632854739418946"/>
    <n v="250"/>
    <n v="150.36714526058105"/>
    <n v="5"/>
    <n v="5500"/>
    <n v="9.9632854739418946"/>
    <n v="-40.771005047220214"/>
    <n v="-40.771005047220214"/>
    <n v="0"/>
    <n v="9.9632854739418946"/>
    <n v="0"/>
    <n v="99.632854739418946"/>
  </r>
  <r>
    <d v="2054-04-06T00:00:00"/>
    <x v="4"/>
    <x v="2"/>
    <n v="111"/>
    <n v="99.634018936075734"/>
    <n v="150"/>
    <n v="50.365981063924266"/>
    <n v="13"/>
    <n v="3300"/>
    <n v="9.9634018936075748"/>
    <n v="59.231439765759035"/>
    <n v="59.231439765759035"/>
    <n v="0"/>
    <n v="9.9634018936075677"/>
    <n v="0"/>
    <n v="99.634018936075734"/>
  </r>
  <r>
    <d v="2054-05-06T00:00:00"/>
    <x v="4"/>
    <x v="3"/>
    <n v="105"/>
    <n v="99.635183132732521"/>
    <n v="150"/>
    <n v="50.364816867267479"/>
    <n v="13"/>
    <n v="3300"/>
    <n v="9.9635183132732532"/>
    <n v="59.233884578738298"/>
    <n v="59.233884578738298"/>
    <n v="0"/>
    <n v="9.963518313273255"/>
    <n v="0"/>
    <n v="99.635183132732521"/>
  </r>
  <r>
    <d v="2054-06-05T00:00:00"/>
    <x v="2"/>
    <x v="4"/>
    <n v="93"/>
    <n v="99.636347329389309"/>
    <n v="250"/>
    <n v="150.36365267061069"/>
    <n v="5"/>
    <n v="5500"/>
    <n v="9.9636347329389316"/>
    <n v="-40.763670608282453"/>
    <n v="-40.763670608282453"/>
    <n v="0"/>
    <n v="9.9636347329389281"/>
    <n v="0"/>
    <n v="99.636347329389309"/>
  </r>
  <r>
    <d v="2054-07-05T00:00:00"/>
    <x v="3"/>
    <x v="5"/>
    <n v="109"/>
    <n v="99.637511526046097"/>
    <n v="190"/>
    <n v="90.362488473953903"/>
    <n v="11"/>
    <n v="4180"/>
    <n v="9.9637511526046101"/>
    <n v="19.23877420469681"/>
    <n v="19.23877420469681"/>
    <n v="0"/>
    <n v="9.9637511526046154"/>
    <n v="0"/>
    <n v="99.637511526046097"/>
  </r>
  <r>
    <d v="2054-08-04T00:00:00"/>
    <x v="3"/>
    <x v="6"/>
    <n v="106"/>
    <n v="99.638675722702885"/>
    <n v="190"/>
    <n v="90.361324277297115"/>
    <n v="11"/>
    <n v="4180"/>
    <n v="9.9638675722702885"/>
    <n v="19.241219017676059"/>
    <n v="19.241219017676059"/>
    <n v="0"/>
    <n v="9.9638675722702885"/>
    <n v="0"/>
    <n v="99.638675722702885"/>
  </r>
  <r>
    <d v="2054-09-03T00:00:00"/>
    <x v="1"/>
    <x v="7"/>
    <n v="106"/>
    <n v="99.639839919359673"/>
    <n v="185"/>
    <n v="85.360160080640327"/>
    <n v="10"/>
    <n v="4070"/>
    <n v="9.9639839919359687"/>
    <n v="24.243663830655322"/>
    <n v="24.243663830655322"/>
    <n v="0"/>
    <n v="9.9639839919359758"/>
    <n v="0"/>
    <n v="99.639839919359673"/>
  </r>
  <r>
    <d v="2054-10-03T00:00:00"/>
    <x v="4"/>
    <x v="8"/>
    <n v="103"/>
    <n v="99.641004116016461"/>
    <n v="150"/>
    <n v="50.358995883983539"/>
    <n v="13"/>
    <n v="3300"/>
    <n v="9.9641004116016472"/>
    <n v="59.246108643634571"/>
    <n v="59.246108643634571"/>
    <n v="0"/>
    <n v="9.9641004116016489"/>
    <n v="0"/>
    <n v="99.641004116016461"/>
  </r>
  <r>
    <d v="2054-11-02T00:00:00"/>
    <x v="3"/>
    <x v="9"/>
    <n v="113"/>
    <n v="99.642168312673249"/>
    <n v="190"/>
    <n v="90.357831687326751"/>
    <n v="11"/>
    <n v="4180"/>
    <n v="9.9642168312673256"/>
    <n v="19.24855345661382"/>
    <n v="19.24855345661382"/>
    <n v="0"/>
    <n v="9.964216831267322"/>
    <n v="0"/>
    <n v="99.642168312673249"/>
  </r>
  <r>
    <d v="2054-12-02T00:00:00"/>
    <x v="0"/>
    <x v="10"/>
    <n v="111"/>
    <n v="99.643332509330037"/>
    <n v="200"/>
    <n v="100.35666749066996"/>
    <n v="7"/>
    <n v="4400"/>
    <n v="9.964333250933004"/>
    <n v="9.250998269593083"/>
    <n v="9.250998269593083"/>
    <n v="0"/>
    <n v="9.9643332509330094"/>
    <n v="0"/>
    <n v="99.643332509330037"/>
  </r>
  <r>
    <d v="2055-01-01T00:00:00"/>
    <x v="1"/>
    <x v="0"/>
    <n v="92"/>
    <n v="99.644496705986811"/>
    <n v="185"/>
    <n v="85.355503294013189"/>
    <n v="10"/>
    <n v="4070"/>
    <n v="9.9644496705986825"/>
    <n v="24.253443082572304"/>
    <n v="24.253443082572304"/>
    <n v="0"/>
    <n v="9.9644496705986825"/>
    <n v="0"/>
    <n v="99.644496705986811"/>
  </r>
  <r>
    <d v="2055-01-31T00:00:00"/>
    <x v="1"/>
    <x v="0"/>
    <n v="89"/>
    <n v="99.645660902643598"/>
    <n v="185"/>
    <n v="85.354339097356402"/>
    <n v="10"/>
    <n v="4070"/>
    <n v="9.9645660902643609"/>
    <n v="24.255887895551552"/>
    <n v="24.255887895551552"/>
    <n v="0"/>
    <n v="9.9645660902643556"/>
    <n v="0"/>
    <n v="99.645660902643598"/>
  </r>
  <r>
    <d v="2055-03-02T00:00:00"/>
    <x v="2"/>
    <x v="1"/>
    <n v="111"/>
    <n v="99.646825099300386"/>
    <n v="250"/>
    <n v="150.35317490069963"/>
    <n v="5"/>
    <n v="5500"/>
    <n v="9.9646825099300393"/>
    <n v="-40.741667291469199"/>
    <n v="-40.741667291469199"/>
    <n v="0"/>
    <n v="9.9646825099300429"/>
    <n v="0"/>
    <n v="99.646825099300386"/>
  </r>
  <r>
    <d v="2055-04-01T00:00:00"/>
    <x v="4"/>
    <x v="2"/>
    <n v="104"/>
    <n v="99.647989295957174"/>
    <n v="150"/>
    <n v="50.352010704042826"/>
    <n v="13"/>
    <n v="3300"/>
    <n v="9.9647989295957178"/>
    <n v="59.260777521510065"/>
    <n v="59.260777521510065"/>
    <n v="0"/>
    <n v="9.964798929595716"/>
    <n v="0"/>
    <n v="99.647989295957174"/>
  </r>
  <r>
    <d v="2055-05-01T00:00:00"/>
    <x v="3"/>
    <x v="3"/>
    <n v="108"/>
    <n v="99.649153492613962"/>
    <n v="190"/>
    <n v="90.350846507386038"/>
    <n v="11"/>
    <n v="4180"/>
    <n v="9.9649153492613962"/>
    <n v="19.263222334489328"/>
    <n v="19.263222334489328"/>
    <n v="0"/>
    <n v="9.9649153492614033"/>
    <n v="0"/>
    <n v="99.649153492613962"/>
  </r>
  <r>
    <d v="2055-05-31T00:00:00"/>
    <x v="3"/>
    <x v="3"/>
    <n v="109"/>
    <n v="99.65031768927075"/>
    <n v="190"/>
    <n v="90.34968231072925"/>
    <n v="11"/>
    <n v="4180"/>
    <n v="9.9650317689270764"/>
    <n v="19.265667147468577"/>
    <n v="19.265667147468577"/>
    <n v="0"/>
    <n v="9.9650317689270764"/>
    <n v="0"/>
    <n v="99.65031768927075"/>
  </r>
  <r>
    <d v="2055-06-30T00:00:00"/>
    <x v="1"/>
    <x v="4"/>
    <n v="108"/>
    <n v="99.651481885927538"/>
    <n v="185"/>
    <n v="85.348518114072462"/>
    <n v="10"/>
    <n v="4070"/>
    <n v="9.9651481885927549"/>
    <n v="24.268111960447825"/>
    <n v="24.268111960447825"/>
    <n v="0"/>
    <n v="9.9651481885927495"/>
    <n v="0"/>
    <n v="99.651481885927538"/>
  </r>
  <r>
    <d v="2055-07-30T00:00:00"/>
    <x v="4"/>
    <x v="5"/>
    <n v="127"/>
    <n v="99.652646082584326"/>
    <n v="150"/>
    <n v="50.347353917415674"/>
    <n v="13"/>
    <n v="3300"/>
    <n v="9.9652646082584333"/>
    <n v="59.270556773427089"/>
    <n v="59.270556773427089"/>
    <n v="0"/>
    <n v="9.9652646082584369"/>
    <n v="0"/>
    <n v="99.652646082584326"/>
  </r>
  <r>
    <d v="2055-08-29T00:00:00"/>
    <x v="4"/>
    <x v="6"/>
    <n v="104"/>
    <n v="99.653810279241114"/>
    <n v="150"/>
    <n v="50.346189720758886"/>
    <n v="13"/>
    <n v="3300"/>
    <n v="9.9653810279241117"/>
    <n v="59.273001586406338"/>
    <n v="59.273001586406338"/>
    <n v="0"/>
    <n v="9.96538102792411"/>
    <n v="0"/>
    <n v="99.653810279241114"/>
  </r>
  <r>
    <d v="2055-09-28T00:00:00"/>
    <x v="4"/>
    <x v="7"/>
    <n v="106"/>
    <n v="99.654974475897902"/>
    <n v="150"/>
    <n v="50.345025524102098"/>
    <n v="13"/>
    <n v="3300"/>
    <n v="9.9654974475897902"/>
    <n v="59.275446399385586"/>
    <n v="59.275446399385586"/>
    <n v="0"/>
    <n v="9.9654974475897831"/>
    <n v="0"/>
    <n v="99.654974475897902"/>
  </r>
  <r>
    <d v="2055-10-28T00:00:00"/>
    <x v="2"/>
    <x v="8"/>
    <n v="94"/>
    <n v="99.65613867255469"/>
    <n v="250"/>
    <n v="150.34386132744532"/>
    <n v="5"/>
    <n v="5500"/>
    <n v="9.9656138672554704"/>
    <n v="-40.722108787635165"/>
    <n v="-40.722108787635165"/>
    <n v="0"/>
    <n v="9.9656138672554704"/>
    <n v="0"/>
    <n v="99.65613867255469"/>
  </r>
  <r>
    <d v="2055-11-27T00:00:00"/>
    <x v="3"/>
    <x v="9"/>
    <n v="81"/>
    <n v="99.657302869211463"/>
    <n v="190"/>
    <n v="90.342697130788537"/>
    <n v="11"/>
    <n v="4180"/>
    <n v="9.965730286921147"/>
    <n v="19.28033602534407"/>
    <n v="19.28033602534407"/>
    <n v="0"/>
    <n v="9.9657302869211435"/>
    <n v="0"/>
    <n v="99.657302869211463"/>
  </r>
  <r>
    <d v="2055-12-27T00:00:00"/>
    <x v="4"/>
    <x v="10"/>
    <n v="95"/>
    <n v="99.658467065868251"/>
    <n v="150"/>
    <n v="50.341532934131749"/>
    <n v="13"/>
    <n v="3300"/>
    <n v="9.9658467065868255"/>
    <n v="59.282780838323333"/>
    <n v="59.282780838323333"/>
    <n v="0"/>
    <n v="9.9658467065868308"/>
    <n v="0"/>
    <n v="99.65846706586825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d v="2015-01-01T00:00:00"/>
    <x v="0"/>
    <s v="South"/>
    <s v="John Doe"/>
    <x v="0"/>
    <s v="Showroom footfall has decreased due to rising fuel prices."/>
    <s v="Delay production by 1 week"/>
    <n v="-0.7"/>
  </r>
  <r>
    <d v="2015-01-31T00:00:00"/>
    <x v="0"/>
    <s v="East"/>
    <s v="Priya Sharma"/>
    <x v="0"/>
    <s v="Showroom footfall has decreased due to rising fuel prices."/>
    <s v="Delay production by 1 week"/>
    <n v="-0.7"/>
  </r>
  <r>
    <d v="2015-03-02T00:00:00"/>
    <x v="1"/>
    <s v="East"/>
    <s v="Ahmed Khan"/>
    <x v="1"/>
    <s v="Multiple lost sales this month due to lack of hatchback availability."/>
    <s v="Add 200 extra units"/>
    <n v="0.2"/>
  </r>
  <r>
    <d v="2015-04-01T00:00:00"/>
    <x v="2"/>
    <s v="South"/>
    <s v="John Doe"/>
    <x v="2"/>
    <s v="Sudden increase in SUV inquiries after recent promotions."/>
    <s v="Increase forecast by 15%"/>
    <n v="0.15"/>
  </r>
  <r>
    <d v="2015-05-01T00:00:00"/>
    <x v="2"/>
    <s v="North"/>
    <s v="John D."/>
    <x v="2"/>
    <s v="Sudden increase in SUV inquiries after recent promotions."/>
    <s v="Increase forecast by 15%"/>
    <n v="0.15"/>
  </r>
  <r>
    <d v="2015-05-31T00:00:00"/>
    <x v="2"/>
    <s v="West"/>
    <s v="Ahmed Khan"/>
    <x v="2"/>
    <s v="Sudden increase in SUV inquiries after recent promotions."/>
    <s v="Increase forecast by 15%"/>
    <n v="0.15"/>
  </r>
  <r>
    <d v="2015-06-30T00:00:00"/>
    <x v="0"/>
    <s v="South"/>
    <s v="Lisa Chen"/>
    <x v="0"/>
    <s v="Showroom footfall has decreased due to rising fuel prices."/>
    <s v="Delay production by 1 week"/>
    <n v="-0.7"/>
  </r>
  <r>
    <d v="2015-07-30T00:00:00"/>
    <x v="3"/>
    <s v="South"/>
    <s v="Rahul Mehta"/>
    <x v="3"/>
    <s v="Competitor slashed prices for similar vehicles by 10%, affecting our Electric sales."/>
    <s v="Reduce forecast by 10%"/>
    <n v="-0.1"/>
  </r>
  <r>
    <d v="2015-08-29T00:00:00"/>
    <x v="0"/>
    <s v="North"/>
    <s v="Anjali R."/>
    <x v="0"/>
    <s v="Showroom footfall has decreased due to rising fuel prices."/>
    <s v="Delay production by 1 week"/>
    <n v="-0.7"/>
  </r>
  <r>
    <d v="2015-09-28T00:00:00"/>
    <x v="3"/>
    <s v="South"/>
    <s v="Rahul Mehta"/>
    <x v="3"/>
    <s v="Competitor slashed prices for similar vehicles by 10%, affecting our Electric sales."/>
    <s v="Reduce forecast by 10%"/>
    <n v="-0.1"/>
  </r>
  <r>
    <d v="2015-10-28T00:00:00"/>
    <x v="4"/>
    <s v="South"/>
    <s v="Anjali R."/>
    <x v="4"/>
    <s v="Sales typically drop in the rainy season; expecting lower demand for convertibles."/>
    <s v="Shift 100 units to North"/>
    <n v="-0.12"/>
  </r>
  <r>
    <d v="2015-11-27T00:00:00"/>
    <x v="0"/>
    <s v="South"/>
    <s v="Rahul Mehta"/>
    <x v="0"/>
    <s v="Showroom footfall has decreased due to rising fuel prices."/>
    <s v="Delay production by 1 week"/>
    <n v="-0.7"/>
  </r>
  <r>
    <d v="2015-12-27T00:00:00"/>
    <x v="0"/>
    <s v="South"/>
    <s v="Priya Sharma"/>
    <x v="0"/>
    <s v="Showroom footfall has decreased due to rising fuel prices."/>
    <s v="Delay production by 1 week"/>
    <n v="-0.7"/>
  </r>
  <r>
    <d v="2016-01-26T00:00:00"/>
    <x v="0"/>
    <s v="South"/>
    <s v="Rahul Mehta"/>
    <x v="0"/>
    <s v="Showroom footfall has decreased due to rising fuel prices."/>
    <s v="Delay production by 1 week"/>
    <n v="-0.7"/>
  </r>
  <r>
    <d v="2016-02-25T00:00:00"/>
    <x v="2"/>
    <s v="East"/>
    <s v="Rahul Mehta"/>
    <x v="2"/>
    <s v="Sudden increase in SUV inquiries after recent promotions."/>
    <s v="Increase forecast by 15%"/>
    <n v="0.15"/>
  </r>
  <r>
    <d v="2016-03-26T00:00:00"/>
    <x v="2"/>
    <s v="East"/>
    <s v="Anjali R."/>
    <x v="2"/>
    <s v="Sudden increase in SUV inquiries after recent promotions."/>
    <s v="Increase forecast by 15%"/>
    <n v="0.15"/>
  </r>
  <r>
    <d v="2016-04-25T00:00:00"/>
    <x v="3"/>
    <s v="East"/>
    <s v="Anjali R."/>
    <x v="3"/>
    <s v="Competitor slashed prices for similar vehicles by 10%, affecting our Electric sales."/>
    <s v="Reduce forecast by 10%"/>
    <n v="-0.1"/>
  </r>
  <r>
    <d v="2016-05-25T00:00:00"/>
    <x v="3"/>
    <s v="West"/>
    <s v="John D."/>
    <x v="3"/>
    <s v="Competitor slashed prices for similar vehicles by 10%, affecting our Electric sales."/>
    <s v="Reduce forecast by 10%"/>
    <n v="-0.1"/>
  </r>
  <r>
    <d v="2016-06-24T00:00:00"/>
    <x v="0"/>
    <s v="East"/>
    <s v="Rahul Mehta"/>
    <x v="0"/>
    <s v="Showroom footfall has decreased due to rising fuel prices."/>
    <s v="Delay production by 1 week"/>
    <n v="-0.7"/>
  </r>
  <r>
    <d v="2016-07-24T00:00:00"/>
    <x v="3"/>
    <s v="East"/>
    <s v="John Doe"/>
    <x v="3"/>
    <s v="Competitor slashed prices for similar vehicles by 10%, affecting our Electric sales."/>
    <s v="Reduce forecast by 10%"/>
    <n v="-0.1"/>
  </r>
  <r>
    <d v="2016-08-23T00:00:00"/>
    <x v="2"/>
    <s v="East"/>
    <s v="Priya Sharma"/>
    <x v="2"/>
    <s v="Sudden increase in SUV inquiries after recent promotions."/>
    <s v="Increase forecast by 15%"/>
    <n v="0.15"/>
  </r>
  <r>
    <d v="2016-09-22T00:00:00"/>
    <x v="3"/>
    <s v="East"/>
    <s v="Lisa Chen"/>
    <x v="3"/>
    <s v="Competitor slashed prices for similar vehicles by 10%, affecting our Electric sales."/>
    <s v="Reduce forecast by 10%"/>
    <n v="-0.1"/>
  </r>
  <r>
    <d v="2016-10-22T00:00:00"/>
    <x v="4"/>
    <s v="South"/>
    <s v="Anjali R."/>
    <x v="4"/>
    <s v="Sales typically drop in the rainy season; expecting lower demand for convertibles."/>
    <s v="Shift 100 units to North"/>
    <n v="-0.12"/>
  </r>
  <r>
    <d v="2016-11-21T00:00:00"/>
    <x v="2"/>
    <s v="North"/>
    <s v="John D."/>
    <x v="2"/>
    <s v="Sudden increase in SUV inquiries after recent promotions."/>
    <s v="Increase forecast by 15%"/>
    <n v="0.15"/>
  </r>
  <r>
    <d v="2016-12-21T00:00:00"/>
    <x v="4"/>
    <s v="North"/>
    <s v="Priya Sharma"/>
    <x v="4"/>
    <s v="Sales typically drop in the rainy season; expecting lower demand for convertibles."/>
    <s v="Shift 100 units to North"/>
    <n v="-0.12"/>
  </r>
  <r>
    <d v="2017-01-20T00:00:00"/>
    <x v="3"/>
    <s v="East"/>
    <s v="John Doe"/>
    <x v="3"/>
    <s v="Competitor slashed prices for similar vehicles by 10%, affecting our Electric sales."/>
    <s v="Reduce forecast by 10%"/>
    <n v="-0.1"/>
  </r>
  <r>
    <d v="2017-02-19T00:00:00"/>
    <x v="1"/>
    <s v="East"/>
    <s v="Priya Sharma"/>
    <x v="1"/>
    <s v="Multiple lost sales this month due to lack of hatchback availability."/>
    <s v="Add 200 extra units"/>
    <n v="0.2"/>
  </r>
  <r>
    <d v="2017-03-21T00:00:00"/>
    <x v="0"/>
    <s v="West"/>
    <s v="Lisa Chen"/>
    <x v="0"/>
    <s v="Showroom footfall has decreased due to rising fuel prices."/>
    <s v="Delay production by 1 week"/>
    <n v="-0.7"/>
  </r>
  <r>
    <d v="2017-04-20T00:00:00"/>
    <x v="2"/>
    <s v="North"/>
    <m/>
    <x v="2"/>
    <m/>
    <m/>
    <m/>
  </r>
  <r>
    <d v="2017-05-20T00:00:00"/>
    <x v="4"/>
    <s v="West"/>
    <m/>
    <x v="4"/>
    <m/>
    <m/>
    <m/>
  </r>
  <r>
    <d v="2017-06-19T00:00:00"/>
    <x v="1"/>
    <s v="North"/>
    <m/>
    <x v="5"/>
    <m/>
    <m/>
    <m/>
  </r>
  <r>
    <d v="2017-07-19T00:00:00"/>
    <x v="1"/>
    <s v="South"/>
    <m/>
    <x v="5"/>
    <m/>
    <m/>
    <m/>
  </r>
  <r>
    <d v="2017-08-18T00:00:00"/>
    <x v="2"/>
    <s v="East"/>
    <m/>
    <x v="5"/>
    <m/>
    <m/>
    <m/>
  </r>
  <r>
    <d v="2017-09-17T00:00:00"/>
    <x v="2"/>
    <s v="West"/>
    <m/>
    <x v="5"/>
    <m/>
    <m/>
    <m/>
  </r>
  <r>
    <d v="2017-10-17T00:00:00"/>
    <x v="1"/>
    <s v="North"/>
    <m/>
    <x v="5"/>
    <m/>
    <m/>
    <m/>
  </r>
  <r>
    <d v="2017-11-16T00:00:00"/>
    <x v="0"/>
    <s v="West"/>
    <m/>
    <x v="5"/>
    <m/>
    <m/>
    <m/>
  </r>
  <r>
    <d v="2017-12-16T00:00:00"/>
    <x v="0"/>
    <s v="North"/>
    <m/>
    <x v="5"/>
    <m/>
    <m/>
    <m/>
  </r>
  <r>
    <d v="2018-01-15T00:00:00"/>
    <x v="4"/>
    <s v="West"/>
    <m/>
    <x v="5"/>
    <m/>
    <m/>
    <m/>
  </r>
  <r>
    <d v="2018-02-14T00:00:00"/>
    <x v="0"/>
    <s v="West"/>
    <m/>
    <x v="5"/>
    <m/>
    <m/>
    <m/>
  </r>
  <r>
    <d v="2018-03-16T00:00:00"/>
    <x v="1"/>
    <s v="East"/>
    <m/>
    <x v="5"/>
    <m/>
    <m/>
    <m/>
  </r>
  <r>
    <d v="2018-04-15T00:00:00"/>
    <x v="1"/>
    <s v="North"/>
    <m/>
    <x v="5"/>
    <m/>
    <m/>
    <m/>
  </r>
  <r>
    <d v="2018-05-15T00:00:00"/>
    <x v="3"/>
    <s v="East"/>
    <m/>
    <x v="5"/>
    <m/>
    <m/>
    <m/>
  </r>
  <r>
    <d v="2018-06-14T00:00:00"/>
    <x v="1"/>
    <s v="North"/>
    <m/>
    <x v="5"/>
    <m/>
    <m/>
    <m/>
  </r>
  <r>
    <d v="2018-07-14T00:00:00"/>
    <x v="0"/>
    <s v="East"/>
    <m/>
    <x v="5"/>
    <m/>
    <m/>
    <m/>
  </r>
  <r>
    <d v="2018-08-13T00:00:00"/>
    <x v="4"/>
    <s v="South"/>
    <m/>
    <x v="5"/>
    <m/>
    <m/>
    <m/>
  </r>
  <r>
    <d v="2018-09-12T00:00:00"/>
    <x v="3"/>
    <s v="South"/>
    <m/>
    <x v="5"/>
    <m/>
    <m/>
    <m/>
  </r>
  <r>
    <d v="2018-10-12T00:00:00"/>
    <x v="0"/>
    <s v="North"/>
    <m/>
    <x v="5"/>
    <m/>
    <m/>
    <m/>
  </r>
  <r>
    <d v="2018-11-11T00:00:00"/>
    <x v="4"/>
    <s v="South"/>
    <m/>
    <x v="5"/>
    <m/>
    <m/>
    <m/>
  </r>
  <r>
    <d v="2018-12-11T00:00:00"/>
    <x v="0"/>
    <s v="East"/>
    <m/>
    <x v="5"/>
    <m/>
    <m/>
    <m/>
  </r>
  <r>
    <d v="2019-01-10T00:00:00"/>
    <x v="3"/>
    <s v="South"/>
    <m/>
    <x v="5"/>
    <m/>
    <m/>
    <m/>
  </r>
  <r>
    <d v="2019-02-09T00:00:00"/>
    <x v="1"/>
    <s v="South"/>
    <m/>
    <x v="5"/>
    <m/>
    <m/>
    <m/>
  </r>
  <r>
    <d v="2019-03-11T00:00:00"/>
    <x v="3"/>
    <s v="East"/>
    <m/>
    <x v="5"/>
    <m/>
    <m/>
    <m/>
  </r>
  <r>
    <d v="2019-04-10T00:00:00"/>
    <x v="1"/>
    <s v="North"/>
    <m/>
    <x v="5"/>
    <m/>
    <m/>
    <m/>
  </r>
  <r>
    <d v="2019-05-10T00:00:00"/>
    <x v="3"/>
    <s v="East"/>
    <m/>
    <x v="5"/>
    <m/>
    <m/>
    <m/>
  </r>
  <r>
    <d v="2019-06-09T00:00:00"/>
    <x v="2"/>
    <s v="West"/>
    <m/>
    <x v="5"/>
    <m/>
    <m/>
    <m/>
  </r>
  <r>
    <d v="2019-07-09T00:00:00"/>
    <x v="0"/>
    <s v="West"/>
    <m/>
    <x v="5"/>
    <m/>
    <m/>
    <m/>
  </r>
  <r>
    <d v="2019-08-08T00:00:00"/>
    <x v="0"/>
    <s v="West"/>
    <m/>
    <x v="5"/>
    <m/>
    <m/>
    <m/>
  </r>
  <r>
    <d v="2019-09-07T00:00:00"/>
    <x v="2"/>
    <s v="North"/>
    <m/>
    <x v="5"/>
    <m/>
    <m/>
    <m/>
  </r>
  <r>
    <d v="2019-10-07T00:00:00"/>
    <x v="1"/>
    <s v="North"/>
    <m/>
    <x v="5"/>
    <m/>
    <m/>
    <m/>
  </r>
  <r>
    <d v="2019-11-06T00:00:00"/>
    <x v="0"/>
    <s v="West"/>
    <m/>
    <x v="5"/>
    <m/>
    <m/>
    <m/>
  </r>
  <r>
    <d v="2019-12-06T00:00:00"/>
    <x v="2"/>
    <s v="East"/>
    <m/>
    <x v="5"/>
    <m/>
    <m/>
    <m/>
  </r>
  <r>
    <d v="2020-01-05T00:00:00"/>
    <x v="0"/>
    <s v="West"/>
    <m/>
    <x v="5"/>
    <m/>
    <m/>
    <m/>
  </r>
  <r>
    <d v="2020-02-04T00:00:00"/>
    <x v="4"/>
    <s v="West"/>
    <m/>
    <x v="5"/>
    <m/>
    <m/>
    <m/>
  </r>
  <r>
    <d v="2020-03-05T00:00:00"/>
    <x v="1"/>
    <s v="North"/>
    <m/>
    <x v="5"/>
    <m/>
    <m/>
    <m/>
  </r>
  <r>
    <d v="2020-04-04T00:00:00"/>
    <x v="4"/>
    <s v="West"/>
    <m/>
    <x v="5"/>
    <m/>
    <m/>
    <m/>
  </r>
  <r>
    <d v="2020-05-04T00:00:00"/>
    <x v="1"/>
    <s v="North"/>
    <m/>
    <x v="5"/>
    <m/>
    <m/>
    <m/>
  </r>
  <r>
    <d v="2020-06-03T00:00:00"/>
    <x v="2"/>
    <s v="West"/>
    <m/>
    <x v="5"/>
    <m/>
    <m/>
    <m/>
  </r>
  <r>
    <d v="2020-07-03T00:00:00"/>
    <x v="1"/>
    <s v="East"/>
    <m/>
    <x v="5"/>
    <m/>
    <m/>
    <m/>
  </r>
  <r>
    <d v="2020-08-02T00:00:00"/>
    <x v="1"/>
    <s v="West"/>
    <m/>
    <x v="5"/>
    <m/>
    <m/>
    <m/>
  </r>
  <r>
    <d v="2020-09-01T00:00:00"/>
    <x v="2"/>
    <s v="West"/>
    <m/>
    <x v="5"/>
    <m/>
    <m/>
    <m/>
  </r>
  <r>
    <d v="2020-10-01T00:00:00"/>
    <x v="1"/>
    <s v="North"/>
    <m/>
    <x v="5"/>
    <m/>
    <m/>
    <m/>
  </r>
  <r>
    <d v="2020-10-31T00:00:00"/>
    <x v="0"/>
    <s v="North"/>
    <m/>
    <x v="5"/>
    <m/>
    <m/>
    <m/>
  </r>
  <r>
    <d v="2020-11-30T00:00:00"/>
    <x v="3"/>
    <s v="West"/>
    <m/>
    <x v="5"/>
    <m/>
    <m/>
    <m/>
  </r>
  <r>
    <d v="2020-12-30T00:00:00"/>
    <x v="2"/>
    <s v="East"/>
    <m/>
    <x v="5"/>
    <m/>
    <m/>
    <m/>
  </r>
  <r>
    <d v="2021-01-29T00:00:00"/>
    <x v="3"/>
    <s v="South"/>
    <m/>
    <x v="5"/>
    <m/>
    <m/>
    <m/>
  </r>
  <r>
    <d v="2021-02-28T00:00:00"/>
    <x v="2"/>
    <s v="North"/>
    <m/>
    <x v="5"/>
    <m/>
    <m/>
    <m/>
  </r>
  <r>
    <d v="2021-03-30T00:00:00"/>
    <x v="2"/>
    <s v="West"/>
    <m/>
    <x v="5"/>
    <m/>
    <m/>
    <m/>
  </r>
  <r>
    <d v="2021-04-29T00:00:00"/>
    <x v="4"/>
    <s v="South"/>
    <m/>
    <x v="5"/>
    <m/>
    <m/>
    <m/>
  </r>
  <r>
    <d v="2021-05-29T00:00:00"/>
    <x v="4"/>
    <s v="South"/>
    <m/>
    <x v="5"/>
    <m/>
    <m/>
    <m/>
  </r>
  <r>
    <d v="2021-06-28T00:00:00"/>
    <x v="1"/>
    <s v="North"/>
    <m/>
    <x v="5"/>
    <m/>
    <m/>
    <m/>
  </r>
  <r>
    <d v="2021-07-28T00:00:00"/>
    <x v="3"/>
    <s v="East"/>
    <m/>
    <x v="5"/>
    <m/>
    <m/>
    <m/>
  </r>
  <r>
    <d v="2021-08-27T00:00:00"/>
    <x v="2"/>
    <s v="East"/>
    <m/>
    <x v="5"/>
    <m/>
    <m/>
    <m/>
  </r>
  <r>
    <d v="2021-09-26T00:00:00"/>
    <x v="1"/>
    <s v="East"/>
    <m/>
    <x v="5"/>
    <m/>
    <m/>
    <m/>
  </r>
  <r>
    <d v="2021-10-26T00:00:00"/>
    <x v="0"/>
    <s v="South"/>
    <m/>
    <x v="5"/>
    <m/>
    <m/>
    <m/>
  </r>
  <r>
    <d v="2021-11-25T00:00:00"/>
    <x v="2"/>
    <s v="South"/>
    <m/>
    <x v="5"/>
    <m/>
    <m/>
    <m/>
  </r>
  <r>
    <d v="2021-12-25T00:00:00"/>
    <x v="0"/>
    <s v="West"/>
    <m/>
    <x v="5"/>
    <m/>
    <m/>
    <m/>
  </r>
  <r>
    <d v="2022-01-24T00:00:00"/>
    <x v="1"/>
    <s v="West"/>
    <m/>
    <x v="5"/>
    <m/>
    <m/>
    <m/>
  </r>
  <r>
    <d v="2022-02-23T00:00:00"/>
    <x v="4"/>
    <s v="North"/>
    <m/>
    <x v="5"/>
    <m/>
    <m/>
    <m/>
  </r>
  <r>
    <d v="2022-03-25T00:00:00"/>
    <x v="1"/>
    <s v="South"/>
    <m/>
    <x v="5"/>
    <m/>
    <m/>
    <m/>
  </r>
  <r>
    <d v="2022-04-24T00:00:00"/>
    <x v="0"/>
    <s v="West"/>
    <m/>
    <x v="5"/>
    <m/>
    <m/>
    <m/>
  </r>
  <r>
    <d v="2022-05-24T00:00:00"/>
    <x v="2"/>
    <s v="East"/>
    <m/>
    <x v="5"/>
    <m/>
    <m/>
    <m/>
  </r>
  <r>
    <d v="2022-06-23T00:00:00"/>
    <x v="3"/>
    <s v="West"/>
    <m/>
    <x v="5"/>
    <m/>
    <m/>
    <m/>
  </r>
  <r>
    <d v="2022-07-23T00:00:00"/>
    <x v="1"/>
    <s v="North"/>
    <m/>
    <x v="5"/>
    <m/>
    <m/>
    <m/>
  </r>
  <r>
    <d v="2022-08-22T00:00:00"/>
    <x v="2"/>
    <s v="North"/>
    <m/>
    <x v="5"/>
    <m/>
    <m/>
    <m/>
  </r>
  <r>
    <d v="2022-09-21T00:00:00"/>
    <x v="4"/>
    <s v="South"/>
    <m/>
    <x v="5"/>
    <m/>
    <m/>
    <m/>
  </r>
  <r>
    <d v="2022-10-21T00:00:00"/>
    <x v="4"/>
    <s v="South"/>
    <m/>
    <x v="5"/>
    <m/>
    <m/>
    <m/>
  </r>
  <r>
    <d v="2022-11-20T00:00:00"/>
    <x v="4"/>
    <s v="West"/>
    <m/>
    <x v="5"/>
    <m/>
    <m/>
    <m/>
  </r>
  <r>
    <d v="2022-12-20T00:00:00"/>
    <x v="2"/>
    <s v="North"/>
    <m/>
    <x v="5"/>
    <m/>
    <m/>
    <m/>
  </r>
  <r>
    <d v="2023-01-19T00:00:00"/>
    <x v="1"/>
    <s v="West"/>
    <m/>
    <x v="5"/>
    <m/>
    <m/>
    <m/>
  </r>
  <r>
    <d v="2023-02-18T00:00:00"/>
    <x v="2"/>
    <s v="South"/>
    <m/>
    <x v="5"/>
    <m/>
    <m/>
    <m/>
  </r>
  <r>
    <d v="2023-03-20T00:00:00"/>
    <x v="2"/>
    <s v="North"/>
    <m/>
    <x v="5"/>
    <m/>
    <m/>
    <m/>
  </r>
  <r>
    <d v="2023-04-19T00:00:00"/>
    <x v="3"/>
    <s v="East"/>
    <m/>
    <x v="5"/>
    <m/>
    <m/>
    <m/>
  </r>
  <r>
    <d v="2023-05-19T00:00:00"/>
    <x v="3"/>
    <s v="South"/>
    <m/>
    <x v="5"/>
    <m/>
    <m/>
    <m/>
  </r>
  <r>
    <d v="2023-06-18T00:00:00"/>
    <x v="1"/>
    <s v="West"/>
    <m/>
    <x v="5"/>
    <m/>
    <m/>
    <m/>
  </r>
  <r>
    <d v="2023-07-18T00:00:00"/>
    <x v="3"/>
    <s v="South"/>
    <m/>
    <x v="5"/>
    <m/>
    <m/>
    <m/>
  </r>
  <r>
    <d v="2023-08-17T00:00:00"/>
    <x v="4"/>
    <s v="North"/>
    <m/>
    <x v="5"/>
    <m/>
    <m/>
    <m/>
  </r>
  <r>
    <d v="2023-09-16T00:00:00"/>
    <x v="3"/>
    <s v="East"/>
    <m/>
    <x v="5"/>
    <m/>
    <m/>
    <m/>
  </r>
  <r>
    <d v="2023-10-16T00:00:00"/>
    <x v="4"/>
    <s v="East"/>
    <m/>
    <x v="5"/>
    <m/>
    <m/>
    <m/>
  </r>
  <r>
    <d v="2023-11-15T00:00:00"/>
    <x v="1"/>
    <s v="East"/>
    <m/>
    <x v="5"/>
    <m/>
    <m/>
    <m/>
  </r>
  <r>
    <d v="2023-12-15T00:00:00"/>
    <x v="2"/>
    <s v="South"/>
    <m/>
    <x v="5"/>
    <m/>
    <m/>
    <m/>
  </r>
  <r>
    <d v="2024-01-14T00:00:00"/>
    <x v="2"/>
    <s v="East"/>
    <m/>
    <x v="5"/>
    <m/>
    <m/>
    <m/>
  </r>
  <r>
    <d v="2024-02-13T00:00:00"/>
    <x v="3"/>
    <s v="East"/>
    <m/>
    <x v="5"/>
    <m/>
    <m/>
    <m/>
  </r>
  <r>
    <d v="2024-03-14T00:00:00"/>
    <x v="4"/>
    <s v="South"/>
    <m/>
    <x v="5"/>
    <m/>
    <m/>
    <m/>
  </r>
  <r>
    <d v="2024-04-13T00:00:00"/>
    <x v="0"/>
    <s v="East"/>
    <m/>
    <x v="5"/>
    <m/>
    <m/>
    <m/>
  </r>
  <r>
    <d v="2024-05-13T00:00:00"/>
    <x v="0"/>
    <s v="North"/>
    <m/>
    <x v="5"/>
    <m/>
    <m/>
    <m/>
  </r>
  <r>
    <d v="2024-06-12T00:00:00"/>
    <x v="0"/>
    <s v="North"/>
    <m/>
    <x v="5"/>
    <m/>
    <m/>
    <m/>
  </r>
  <r>
    <d v="2024-07-12T00:00:00"/>
    <x v="2"/>
    <s v="South"/>
    <m/>
    <x v="5"/>
    <m/>
    <m/>
    <m/>
  </r>
  <r>
    <d v="2024-08-11T00:00:00"/>
    <x v="2"/>
    <s v="South"/>
    <m/>
    <x v="5"/>
    <m/>
    <m/>
    <m/>
  </r>
  <r>
    <d v="2024-09-10T00:00:00"/>
    <x v="4"/>
    <s v="North"/>
    <m/>
    <x v="5"/>
    <m/>
    <m/>
    <m/>
  </r>
  <r>
    <d v="2024-10-10T00:00:00"/>
    <x v="3"/>
    <s v="East"/>
    <m/>
    <x v="5"/>
    <m/>
    <m/>
    <m/>
  </r>
  <r>
    <d v="2024-11-09T00:00:00"/>
    <x v="0"/>
    <s v="North"/>
    <m/>
    <x v="5"/>
    <m/>
    <m/>
    <m/>
  </r>
  <r>
    <d v="2024-12-09T00:00:00"/>
    <x v="4"/>
    <s v="South"/>
    <m/>
    <x v="5"/>
    <m/>
    <m/>
    <m/>
  </r>
  <r>
    <d v="2025-01-08T00:00:00"/>
    <x v="4"/>
    <s v="North"/>
    <m/>
    <x v="5"/>
    <m/>
    <m/>
    <m/>
  </r>
  <r>
    <d v="2025-02-07T00:00:00"/>
    <x v="3"/>
    <s v="West"/>
    <m/>
    <x v="5"/>
    <m/>
    <m/>
    <m/>
  </r>
  <r>
    <d v="2025-03-09T00:00:00"/>
    <x v="4"/>
    <s v="South"/>
    <m/>
    <x v="5"/>
    <m/>
    <m/>
    <m/>
  </r>
  <r>
    <d v="2025-04-08T00:00:00"/>
    <x v="3"/>
    <s v="South"/>
    <m/>
    <x v="5"/>
    <m/>
    <m/>
    <m/>
  </r>
  <r>
    <d v="2025-05-08T00:00:00"/>
    <x v="1"/>
    <s v="South"/>
    <m/>
    <x v="5"/>
    <m/>
    <m/>
    <m/>
  </r>
  <r>
    <d v="2025-06-07T00:00:00"/>
    <x v="3"/>
    <s v="East"/>
    <m/>
    <x v="5"/>
    <m/>
    <m/>
    <m/>
  </r>
  <r>
    <d v="2025-07-07T00:00:00"/>
    <x v="0"/>
    <s v="South"/>
    <m/>
    <x v="5"/>
    <m/>
    <m/>
    <m/>
  </r>
  <r>
    <d v="2025-08-06T00:00:00"/>
    <x v="0"/>
    <s v="North"/>
    <m/>
    <x v="5"/>
    <m/>
    <m/>
    <m/>
  </r>
  <r>
    <d v="2025-09-05T00:00:00"/>
    <x v="3"/>
    <s v="South"/>
    <m/>
    <x v="5"/>
    <m/>
    <m/>
    <m/>
  </r>
  <r>
    <d v="2025-10-05T00:00:00"/>
    <x v="1"/>
    <s v="North"/>
    <m/>
    <x v="5"/>
    <m/>
    <m/>
    <m/>
  </r>
  <r>
    <d v="2025-11-04T00:00:00"/>
    <x v="1"/>
    <s v="North"/>
    <m/>
    <x v="5"/>
    <m/>
    <m/>
    <m/>
  </r>
  <r>
    <d v="2025-12-04T00:00:00"/>
    <x v="0"/>
    <s v="West"/>
    <m/>
    <x v="5"/>
    <m/>
    <m/>
    <m/>
  </r>
  <r>
    <d v="2026-01-03T00:00:00"/>
    <x v="1"/>
    <s v="West"/>
    <m/>
    <x v="5"/>
    <m/>
    <m/>
    <m/>
  </r>
  <r>
    <d v="2026-02-02T00:00:00"/>
    <x v="4"/>
    <s v="South"/>
    <m/>
    <x v="5"/>
    <m/>
    <m/>
    <m/>
  </r>
  <r>
    <d v="2026-03-04T00:00:00"/>
    <x v="2"/>
    <s v="East"/>
    <m/>
    <x v="5"/>
    <m/>
    <m/>
    <m/>
  </r>
  <r>
    <d v="2026-04-03T00:00:00"/>
    <x v="4"/>
    <s v="North"/>
    <m/>
    <x v="5"/>
    <m/>
    <m/>
    <m/>
  </r>
  <r>
    <d v="2026-05-03T00:00:00"/>
    <x v="0"/>
    <s v="North"/>
    <m/>
    <x v="5"/>
    <m/>
    <m/>
    <m/>
  </r>
  <r>
    <d v="2026-06-02T00:00:00"/>
    <x v="1"/>
    <s v="West"/>
    <m/>
    <x v="5"/>
    <m/>
    <m/>
    <m/>
  </r>
  <r>
    <d v="2026-07-02T00:00:00"/>
    <x v="3"/>
    <s v="South"/>
    <m/>
    <x v="5"/>
    <m/>
    <m/>
    <m/>
  </r>
  <r>
    <d v="2026-08-01T00:00:00"/>
    <x v="2"/>
    <s v="North"/>
    <m/>
    <x v="5"/>
    <m/>
    <m/>
    <m/>
  </r>
  <r>
    <d v="2026-08-31T00:00:00"/>
    <x v="3"/>
    <s v="West"/>
    <m/>
    <x v="5"/>
    <m/>
    <m/>
    <m/>
  </r>
  <r>
    <d v="2026-09-30T00:00:00"/>
    <x v="0"/>
    <s v="North"/>
    <m/>
    <x v="5"/>
    <m/>
    <m/>
    <m/>
  </r>
  <r>
    <d v="2026-10-30T00:00:00"/>
    <x v="1"/>
    <s v="North"/>
    <m/>
    <x v="5"/>
    <m/>
    <m/>
    <m/>
  </r>
  <r>
    <d v="2026-11-29T00:00:00"/>
    <x v="3"/>
    <s v="East"/>
    <m/>
    <x v="5"/>
    <m/>
    <m/>
    <m/>
  </r>
  <r>
    <d v="2026-12-29T00:00:00"/>
    <x v="3"/>
    <s v="East"/>
    <m/>
    <x v="5"/>
    <m/>
    <m/>
    <m/>
  </r>
  <r>
    <d v="2027-01-28T00:00:00"/>
    <x v="2"/>
    <s v="South"/>
    <m/>
    <x v="5"/>
    <m/>
    <m/>
    <m/>
  </r>
  <r>
    <d v="2027-02-27T00:00:00"/>
    <x v="2"/>
    <s v="East"/>
    <m/>
    <x v="5"/>
    <m/>
    <m/>
    <m/>
  </r>
  <r>
    <d v="2027-03-29T00:00:00"/>
    <x v="1"/>
    <s v="West"/>
    <m/>
    <x v="5"/>
    <m/>
    <m/>
    <m/>
  </r>
  <r>
    <d v="2027-04-28T00:00:00"/>
    <x v="2"/>
    <s v="East"/>
    <m/>
    <x v="5"/>
    <m/>
    <m/>
    <m/>
  </r>
  <r>
    <d v="2027-05-28T00:00:00"/>
    <x v="3"/>
    <s v="East"/>
    <m/>
    <x v="5"/>
    <m/>
    <m/>
    <m/>
  </r>
  <r>
    <d v="2027-06-27T00:00:00"/>
    <x v="3"/>
    <s v="West"/>
    <m/>
    <x v="5"/>
    <m/>
    <m/>
    <m/>
  </r>
  <r>
    <d v="2027-07-27T00:00:00"/>
    <x v="0"/>
    <s v="South"/>
    <m/>
    <x v="5"/>
    <m/>
    <m/>
    <m/>
  </r>
  <r>
    <d v="2027-08-26T00:00:00"/>
    <x v="3"/>
    <s v="West"/>
    <m/>
    <x v="5"/>
    <m/>
    <m/>
    <m/>
  </r>
  <r>
    <d v="2027-09-25T00:00:00"/>
    <x v="1"/>
    <s v="East"/>
    <m/>
    <x v="5"/>
    <m/>
    <m/>
    <m/>
  </r>
  <r>
    <d v="2027-10-25T00:00:00"/>
    <x v="4"/>
    <s v="West"/>
    <m/>
    <x v="5"/>
    <m/>
    <m/>
    <m/>
  </r>
  <r>
    <d v="2027-11-24T00:00:00"/>
    <x v="0"/>
    <s v="North"/>
    <m/>
    <x v="5"/>
    <m/>
    <m/>
    <m/>
  </r>
  <r>
    <d v="2027-12-24T00:00:00"/>
    <x v="0"/>
    <s v="East"/>
    <m/>
    <x v="5"/>
    <m/>
    <m/>
    <m/>
  </r>
  <r>
    <d v="2028-01-23T00:00:00"/>
    <x v="1"/>
    <s v="West"/>
    <m/>
    <x v="5"/>
    <m/>
    <m/>
    <m/>
  </r>
  <r>
    <d v="2028-02-22T00:00:00"/>
    <x v="1"/>
    <s v="South"/>
    <m/>
    <x v="5"/>
    <m/>
    <m/>
    <m/>
  </r>
  <r>
    <d v="2028-03-23T00:00:00"/>
    <x v="2"/>
    <s v="North"/>
    <m/>
    <x v="5"/>
    <m/>
    <m/>
    <m/>
  </r>
  <r>
    <d v="2028-04-22T00:00:00"/>
    <x v="0"/>
    <s v="South"/>
    <m/>
    <x v="5"/>
    <m/>
    <m/>
    <m/>
  </r>
  <r>
    <d v="2028-05-22T00:00:00"/>
    <x v="2"/>
    <s v="East"/>
    <m/>
    <x v="5"/>
    <m/>
    <m/>
    <m/>
  </r>
  <r>
    <d v="2028-06-21T00:00:00"/>
    <x v="3"/>
    <s v="South"/>
    <m/>
    <x v="5"/>
    <m/>
    <m/>
    <m/>
  </r>
  <r>
    <d v="2028-07-21T00:00:00"/>
    <x v="0"/>
    <s v="South"/>
    <m/>
    <x v="5"/>
    <m/>
    <m/>
    <m/>
  </r>
  <r>
    <d v="2028-08-20T00:00:00"/>
    <x v="0"/>
    <s v="North"/>
    <m/>
    <x v="5"/>
    <m/>
    <m/>
    <m/>
  </r>
  <r>
    <d v="2028-09-19T00:00:00"/>
    <x v="4"/>
    <s v="North"/>
    <m/>
    <x v="5"/>
    <m/>
    <m/>
    <m/>
  </r>
  <r>
    <d v="2028-10-19T00:00:00"/>
    <x v="0"/>
    <s v="North"/>
    <m/>
    <x v="5"/>
    <m/>
    <m/>
    <m/>
  </r>
  <r>
    <d v="2028-11-18T00:00:00"/>
    <x v="3"/>
    <s v="South"/>
    <m/>
    <x v="5"/>
    <m/>
    <m/>
    <m/>
  </r>
  <r>
    <d v="2028-12-18T00:00:00"/>
    <x v="2"/>
    <s v="West"/>
    <m/>
    <x v="5"/>
    <m/>
    <m/>
    <m/>
  </r>
  <r>
    <d v="2029-01-17T00:00:00"/>
    <x v="2"/>
    <s v="South"/>
    <m/>
    <x v="5"/>
    <m/>
    <m/>
    <m/>
  </r>
  <r>
    <d v="2029-02-16T00:00:00"/>
    <x v="4"/>
    <s v="South"/>
    <m/>
    <x v="5"/>
    <m/>
    <m/>
    <m/>
  </r>
  <r>
    <d v="2029-03-18T00:00:00"/>
    <x v="3"/>
    <s v="North"/>
    <m/>
    <x v="5"/>
    <m/>
    <m/>
    <m/>
  </r>
  <r>
    <d v="2029-04-17T00:00:00"/>
    <x v="2"/>
    <s v="West"/>
    <m/>
    <x v="5"/>
    <m/>
    <m/>
    <m/>
  </r>
  <r>
    <d v="2029-05-17T00:00:00"/>
    <x v="1"/>
    <s v="North"/>
    <m/>
    <x v="5"/>
    <m/>
    <m/>
    <m/>
  </r>
  <r>
    <d v="2029-06-16T00:00:00"/>
    <x v="3"/>
    <s v="South"/>
    <m/>
    <x v="5"/>
    <m/>
    <m/>
    <m/>
  </r>
  <r>
    <d v="2029-07-16T00:00:00"/>
    <x v="3"/>
    <s v="East"/>
    <m/>
    <x v="5"/>
    <m/>
    <m/>
    <m/>
  </r>
  <r>
    <d v="2029-08-15T00:00:00"/>
    <x v="4"/>
    <s v="East"/>
    <m/>
    <x v="5"/>
    <m/>
    <m/>
    <m/>
  </r>
  <r>
    <d v="2029-09-14T00:00:00"/>
    <x v="2"/>
    <s v="West"/>
    <m/>
    <x v="5"/>
    <m/>
    <m/>
    <m/>
  </r>
  <r>
    <d v="2029-10-14T00:00:00"/>
    <x v="3"/>
    <s v="East"/>
    <m/>
    <x v="5"/>
    <m/>
    <m/>
    <m/>
  </r>
  <r>
    <d v="2029-11-13T00:00:00"/>
    <x v="2"/>
    <s v="West"/>
    <m/>
    <x v="5"/>
    <m/>
    <m/>
    <m/>
  </r>
  <r>
    <d v="2029-12-13T00:00:00"/>
    <x v="1"/>
    <s v="East"/>
    <m/>
    <x v="5"/>
    <m/>
    <m/>
    <m/>
  </r>
  <r>
    <d v="2030-01-12T00:00:00"/>
    <x v="4"/>
    <s v="North"/>
    <m/>
    <x v="5"/>
    <m/>
    <m/>
    <m/>
  </r>
  <r>
    <d v="2030-02-11T00:00:00"/>
    <x v="1"/>
    <s v="West"/>
    <m/>
    <x v="5"/>
    <m/>
    <m/>
    <m/>
  </r>
  <r>
    <d v="2030-03-13T00:00:00"/>
    <x v="4"/>
    <s v="North"/>
    <m/>
    <x v="5"/>
    <m/>
    <m/>
    <m/>
  </r>
  <r>
    <d v="2030-04-12T00:00:00"/>
    <x v="3"/>
    <s v="West"/>
    <m/>
    <x v="5"/>
    <m/>
    <m/>
    <m/>
  </r>
  <r>
    <d v="2030-05-12T00:00:00"/>
    <x v="4"/>
    <s v="North"/>
    <m/>
    <x v="5"/>
    <m/>
    <m/>
    <m/>
  </r>
  <r>
    <d v="2030-06-11T00:00:00"/>
    <x v="0"/>
    <s v="North"/>
    <m/>
    <x v="5"/>
    <m/>
    <m/>
    <m/>
  </r>
  <r>
    <d v="2030-07-11T00:00:00"/>
    <x v="2"/>
    <s v="South"/>
    <m/>
    <x v="5"/>
    <m/>
    <m/>
    <m/>
  </r>
  <r>
    <d v="2030-08-10T00:00:00"/>
    <x v="2"/>
    <s v="West"/>
    <m/>
    <x v="5"/>
    <m/>
    <m/>
    <m/>
  </r>
  <r>
    <d v="2030-09-09T00:00:00"/>
    <x v="0"/>
    <s v="East"/>
    <m/>
    <x v="5"/>
    <m/>
    <m/>
    <m/>
  </r>
  <r>
    <d v="2030-10-09T00:00:00"/>
    <x v="1"/>
    <s v="South"/>
    <m/>
    <x v="5"/>
    <m/>
    <m/>
    <m/>
  </r>
  <r>
    <d v="2030-11-08T00:00:00"/>
    <x v="0"/>
    <s v="West"/>
    <m/>
    <x v="5"/>
    <m/>
    <m/>
    <m/>
  </r>
  <r>
    <d v="2030-12-08T00:00:00"/>
    <x v="3"/>
    <s v="North"/>
    <m/>
    <x v="5"/>
    <m/>
    <m/>
    <m/>
  </r>
  <r>
    <d v="2031-01-07T00:00:00"/>
    <x v="3"/>
    <s v="South"/>
    <m/>
    <x v="5"/>
    <m/>
    <m/>
    <m/>
  </r>
  <r>
    <d v="2031-02-06T00:00:00"/>
    <x v="2"/>
    <s v="West"/>
    <m/>
    <x v="5"/>
    <m/>
    <m/>
    <m/>
  </r>
  <r>
    <d v="2031-03-08T00:00:00"/>
    <x v="3"/>
    <s v="West"/>
    <m/>
    <x v="5"/>
    <m/>
    <m/>
    <m/>
  </r>
  <r>
    <d v="2031-04-07T00:00:00"/>
    <x v="2"/>
    <s v="North"/>
    <m/>
    <x v="5"/>
    <m/>
    <m/>
    <m/>
  </r>
  <r>
    <d v="2031-05-07T00:00:00"/>
    <x v="0"/>
    <s v="South"/>
    <m/>
    <x v="5"/>
    <m/>
    <m/>
    <m/>
  </r>
  <r>
    <d v="2031-06-06T00:00:00"/>
    <x v="0"/>
    <s v="West"/>
    <m/>
    <x v="5"/>
    <m/>
    <m/>
    <m/>
  </r>
  <r>
    <d v="2031-07-06T00:00:00"/>
    <x v="0"/>
    <s v="South"/>
    <m/>
    <x v="5"/>
    <m/>
    <m/>
    <m/>
  </r>
  <r>
    <d v="2031-08-05T00:00:00"/>
    <x v="2"/>
    <s v="North"/>
    <m/>
    <x v="5"/>
    <m/>
    <m/>
    <m/>
  </r>
  <r>
    <d v="2031-09-04T00:00:00"/>
    <x v="0"/>
    <s v="West"/>
    <m/>
    <x v="5"/>
    <m/>
    <m/>
    <m/>
  </r>
  <r>
    <d v="2031-10-04T00:00:00"/>
    <x v="0"/>
    <s v="West"/>
    <m/>
    <x v="5"/>
    <m/>
    <m/>
    <m/>
  </r>
  <r>
    <d v="2031-11-03T00:00:00"/>
    <x v="1"/>
    <s v="East"/>
    <m/>
    <x v="5"/>
    <m/>
    <m/>
    <m/>
  </r>
  <r>
    <d v="2031-12-03T00:00:00"/>
    <x v="0"/>
    <s v="West"/>
    <m/>
    <x v="5"/>
    <m/>
    <m/>
    <m/>
  </r>
  <r>
    <d v="2032-01-02T00:00:00"/>
    <x v="3"/>
    <s v="West"/>
    <m/>
    <x v="5"/>
    <m/>
    <m/>
    <m/>
  </r>
  <r>
    <d v="2032-02-01T00:00:00"/>
    <x v="2"/>
    <s v="West"/>
    <m/>
    <x v="5"/>
    <m/>
    <m/>
    <m/>
  </r>
  <r>
    <d v="2032-03-02T00:00:00"/>
    <x v="1"/>
    <s v="North"/>
    <m/>
    <x v="5"/>
    <m/>
    <m/>
    <m/>
  </r>
  <r>
    <d v="2032-04-01T00:00:00"/>
    <x v="4"/>
    <s v="West"/>
    <m/>
    <x v="5"/>
    <m/>
    <m/>
    <m/>
  </r>
  <r>
    <d v="2032-05-01T00:00:00"/>
    <x v="2"/>
    <s v="East"/>
    <m/>
    <x v="5"/>
    <m/>
    <m/>
    <m/>
  </r>
  <r>
    <d v="2032-05-31T00:00:00"/>
    <x v="3"/>
    <s v="East"/>
    <m/>
    <x v="5"/>
    <m/>
    <m/>
    <m/>
  </r>
  <r>
    <d v="2032-06-30T00:00:00"/>
    <x v="2"/>
    <s v="East"/>
    <m/>
    <x v="5"/>
    <m/>
    <m/>
    <m/>
  </r>
  <r>
    <d v="2032-07-30T00:00:00"/>
    <x v="3"/>
    <s v="West"/>
    <m/>
    <x v="5"/>
    <m/>
    <m/>
    <m/>
  </r>
  <r>
    <d v="2032-08-29T00:00:00"/>
    <x v="3"/>
    <s v="North"/>
    <m/>
    <x v="5"/>
    <m/>
    <m/>
    <m/>
  </r>
  <r>
    <d v="2032-09-28T00:00:00"/>
    <x v="4"/>
    <s v="North"/>
    <m/>
    <x v="5"/>
    <m/>
    <m/>
    <m/>
  </r>
  <r>
    <d v="2032-10-28T00:00:00"/>
    <x v="2"/>
    <s v="North"/>
    <m/>
    <x v="5"/>
    <m/>
    <m/>
    <m/>
  </r>
  <r>
    <d v="2032-11-27T00:00:00"/>
    <x v="4"/>
    <s v="East"/>
    <m/>
    <x v="5"/>
    <m/>
    <m/>
    <m/>
  </r>
  <r>
    <d v="2032-12-27T00:00:00"/>
    <x v="4"/>
    <s v="South"/>
    <m/>
    <x v="5"/>
    <m/>
    <m/>
    <m/>
  </r>
  <r>
    <d v="2033-01-26T00:00:00"/>
    <x v="2"/>
    <s v="East"/>
    <m/>
    <x v="5"/>
    <m/>
    <m/>
    <m/>
  </r>
  <r>
    <d v="2033-02-25T00:00:00"/>
    <x v="0"/>
    <s v="South"/>
    <m/>
    <x v="5"/>
    <m/>
    <m/>
    <m/>
  </r>
  <r>
    <d v="2033-03-27T00:00:00"/>
    <x v="0"/>
    <s v="North"/>
    <m/>
    <x v="5"/>
    <m/>
    <m/>
    <m/>
  </r>
  <r>
    <d v="2033-04-26T00:00:00"/>
    <x v="4"/>
    <s v="West"/>
    <m/>
    <x v="5"/>
    <m/>
    <m/>
    <m/>
  </r>
  <r>
    <d v="2033-05-26T00:00:00"/>
    <x v="1"/>
    <s v="South"/>
    <m/>
    <x v="5"/>
    <m/>
    <m/>
    <m/>
  </r>
  <r>
    <d v="2033-06-25T00:00:00"/>
    <x v="4"/>
    <s v="North"/>
    <m/>
    <x v="5"/>
    <m/>
    <m/>
    <m/>
  </r>
  <r>
    <d v="2033-07-25T00:00:00"/>
    <x v="4"/>
    <s v="North"/>
    <m/>
    <x v="5"/>
    <m/>
    <m/>
    <m/>
  </r>
  <r>
    <d v="2033-08-24T00:00:00"/>
    <x v="4"/>
    <s v="South"/>
    <m/>
    <x v="5"/>
    <m/>
    <m/>
    <m/>
  </r>
  <r>
    <d v="2033-09-23T00:00:00"/>
    <x v="0"/>
    <s v="East"/>
    <m/>
    <x v="5"/>
    <m/>
    <m/>
    <m/>
  </r>
  <r>
    <d v="2033-10-23T00:00:00"/>
    <x v="0"/>
    <s v="South"/>
    <m/>
    <x v="5"/>
    <m/>
    <m/>
    <m/>
  </r>
  <r>
    <d v="2033-11-22T00:00:00"/>
    <x v="0"/>
    <s v="North"/>
    <m/>
    <x v="5"/>
    <m/>
    <m/>
    <m/>
  </r>
  <r>
    <d v="2033-12-22T00:00:00"/>
    <x v="4"/>
    <s v="North"/>
    <m/>
    <x v="5"/>
    <m/>
    <m/>
    <m/>
  </r>
  <r>
    <d v="2034-01-21T00:00:00"/>
    <x v="1"/>
    <s v="East"/>
    <m/>
    <x v="5"/>
    <m/>
    <m/>
    <m/>
  </r>
  <r>
    <d v="2034-02-20T00:00:00"/>
    <x v="0"/>
    <s v="East"/>
    <m/>
    <x v="5"/>
    <m/>
    <m/>
    <m/>
  </r>
  <r>
    <d v="2034-03-22T00:00:00"/>
    <x v="2"/>
    <s v="East"/>
    <m/>
    <x v="5"/>
    <m/>
    <m/>
    <m/>
  </r>
  <r>
    <d v="2034-04-21T00:00:00"/>
    <x v="2"/>
    <s v="South"/>
    <m/>
    <x v="5"/>
    <m/>
    <m/>
    <m/>
  </r>
  <r>
    <d v="2034-05-21T00:00:00"/>
    <x v="2"/>
    <s v="East"/>
    <m/>
    <x v="5"/>
    <m/>
    <m/>
    <m/>
  </r>
  <r>
    <d v="2034-06-20T00:00:00"/>
    <x v="3"/>
    <s v="West"/>
    <m/>
    <x v="5"/>
    <m/>
    <m/>
    <m/>
  </r>
  <r>
    <d v="2034-07-20T00:00:00"/>
    <x v="4"/>
    <s v="West"/>
    <m/>
    <x v="5"/>
    <m/>
    <m/>
    <m/>
  </r>
  <r>
    <d v="2034-08-19T00:00:00"/>
    <x v="2"/>
    <s v="East"/>
    <m/>
    <x v="5"/>
    <m/>
    <m/>
    <m/>
  </r>
  <r>
    <d v="2034-09-18T00:00:00"/>
    <x v="4"/>
    <s v="South"/>
    <m/>
    <x v="5"/>
    <m/>
    <m/>
    <m/>
  </r>
  <r>
    <d v="2034-10-18T00:00:00"/>
    <x v="2"/>
    <s v="East"/>
    <m/>
    <x v="5"/>
    <m/>
    <m/>
    <m/>
  </r>
  <r>
    <d v="2034-11-17T00:00:00"/>
    <x v="1"/>
    <s v="South"/>
    <m/>
    <x v="5"/>
    <m/>
    <m/>
    <m/>
  </r>
  <r>
    <d v="2034-12-17T00:00:00"/>
    <x v="4"/>
    <s v="North"/>
    <m/>
    <x v="5"/>
    <m/>
    <m/>
    <m/>
  </r>
  <r>
    <d v="2035-01-16T00:00:00"/>
    <x v="2"/>
    <s v="South"/>
    <m/>
    <x v="5"/>
    <m/>
    <m/>
    <m/>
  </r>
  <r>
    <d v="2035-02-15T00:00:00"/>
    <x v="0"/>
    <s v="South"/>
    <m/>
    <x v="5"/>
    <m/>
    <m/>
    <m/>
  </r>
  <r>
    <d v="2035-03-17T00:00:00"/>
    <x v="4"/>
    <s v="West"/>
    <m/>
    <x v="5"/>
    <m/>
    <m/>
    <m/>
  </r>
  <r>
    <d v="2035-04-16T00:00:00"/>
    <x v="3"/>
    <s v="North"/>
    <m/>
    <x v="5"/>
    <m/>
    <m/>
    <m/>
  </r>
  <r>
    <d v="2035-05-16T00:00:00"/>
    <x v="0"/>
    <s v="South"/>
    <m/>
    <x v="5"/>
    <m/>
    <m/>
    <m/>
  </r>
  <r>
    <d v="2035-06-15T00:00:00"/>
    <x v="0"/>
    <s v="East"/>
    <m/>
    <x v="5"/>
    <m/>
    <m/>
    <m/>
  </r>
  <r>
    <d v="2035-07-15T00:00:00"/>
    <x v="3"/>
    <s v="North"/>
    <m/>
    <x v="5"/>
    <m/>
    <m/>
    <m/>
  </r>
  <r>
    <d v="2035-08-14T00:00:00"/>
    <x v="0"/>
    <s v="East"/>
    <m/>
    <x v="5"/>
    <m/>
    <m/>
    <m/>
  </r>
  <r>
    <d v="2035-09-13T00:00:00"/>
    <x v="0"/>
    <s v="West"/>
    <m/>
    <x v="5"/>
    <m/>
    <m/>
    <m/>
  </r>
  <r>
    <d v="2035-10-13T00:00:00"/>
    <x v="2"/>
    <s v="North"/>
    <m/>
    <x v="5"/>
    <m/>
    <m/>
    <m/>
  </r>
  <r>
    <d v="2035-11-12T00:00:00"/>
    <x v="2"/>
    <s v="East"/>
    <m/>
    <x v="5"/>
    <m/>
    <m/>
    <m/>
  </r>
  <r>
    <d v="2035-12-12T00:00:00"/>
    <x v="4"/>
    <s v="North"/>
    <m/>
    <x v="5"/>
    <m/>
    <m/>
    <m/>
  </r>
  <r>
    <d v="2036-01-11T00:00:00"/>
    <x v="4"/>
    <s v="South"/>
    <m/>
    <x v="5"/>
    <m/>
    <m/>
    <m/>
  </r>
  <r>
    <d v="2036-02-10T00:00:00"/>
    <x v="4"/>
    <s v="South"/>
    <m/>
    <x v="5"/>
    <m/>
    <m/>
    <m/>
  </r>
  <r>
    <d v="2036-03-11T00:00:00"/>
    <x v="2"/>
    <s v="West"/>
    <m/>
    <x v="5"/>
    <m/>
    <m/>
    <m/>
  </r>
  <r>
    <d v="2036-04-10T00:00:00"/>
    <x v="4"/>
    <s v="West"/>
    <m/>
    <x v="5"/>
    <m/>
    <m/>
    <m/>
  </r>
  <r>
    <d v="2036-05-10T00:00:00"/>
    <x v="0"/>
    <s v="East"/>
    <m/>
    <x v="5"/>
    <m/>
    <m/>
    <m/>
  </r>
  <r>
    <d v="2036-06-09T00:00:00"/>
    <x v="2"/>
    <s v="South"/>
    <m/>
    <x v="5"/>
    <m/>
    <m/>
    <m/>
  </r>
  <r>
    <d v="2036-07-09T00:00:00"/>
    <x v="4"/>
    <s v="East"/>
    <m/>
    <x v="5"/>
    <m/>
    <m/>
    <m/>
  </r>
  <r>
    <d v="2036-08-08T00:00:00"/>
    <x v="0"/>
    <s v="West"/>
    <m/>
    <x v="5"/>
    <m/>
    <m/>
    <m/>
  </r>
  <r>
    <d v="2036-09-07T00:00:00"/>
    <x v="4"/>
    <s v="North"/>
    <m/>
    <x v="5"/>
    <m/>
    <m/>
    <m/>
  </r>
  <r>
    <d v="2036-10-07T00:00:00"/>
    <x v="1"/>
    <s v="South"/>
    <m/>
    <x v="5"/>
    <m/>
    <m/>
    <m/>
  </r>
  <r>
    <d v="2036-11-06T00:00:00"/>
    <x v="4"/>
    <s v="North"/>
    <m/>
    <x v="5"/>
    <m/>
    <m/>
    <m/>
  </r>
  <r>
    <d v="2036-12-06T00:00:00"/>
    <x v="1"/>
    <s v="North"/>
    <m/>
    <x v="5"/>
    <m/>
    <m/>
    <m/>
  </r>
  <r>
    <d v="2037-01-05T00:00:00"/>
    <x v="4"/>
    <s v="North"/>
    <m/>
    <x v="5"/>
    <m/>
    <m/>
    <m/>
  </r>
  <r>
    <d v="2037-02-04T00:00:00"/>
    <x v="3"/>
    <s v="North"/>
    <m/>
    <x v="5"/>
    <m/>
    <m/>
    <m/>
  </r>
  <r>
    <d v="2037-03-06T00:00:00"/>
    <x v="4"/>
    <s v="South"/>
    <m/>
    <x v="5"/>
    <m/>
    <m/>
    <m/>
  </r>
  <r>
    <d v="2037-04-05T00:00:00"/>
    <x v="2"/>
    <s v="West"/>
    <m/>
    <x v="5"/>
    <m/>
    <m/>
    <m/>
  </r>
  <r>
    <d v="2037-05-05T00:00:00"/>
    <x v="2"/>
    <s v="North"/>
    <m/>
    <x v="5"/>
    <m/>
    <m/>
    <m/>
  </r>
  <r>
    <d v="2037-06-04T00:00:00"/>
    <x v="1"/>
    <s v="East"/>
    <m/>
    <x v="5"/>
    <m/>
    <m/>
    <m/>
  </r>
  <r>
    <d v="2037-07-04T00:00:00"/>
    <x v="2"/>
    <s v="South"/>
    <m/>
    <x v="5"/>
    <m/>
    <m/>
    <m/>
  </r>
  <r>
    <d v="2037-08-03T00:00:00"/>
    <x v="0"/>
    <s v="East"/>
    <m/>
    <x v="5"/>
    <m/>
    <m/>
    <m/>
  </r>
  <r>
    <d v="2037-09-02T00:00:00"/>
    <x v="3"/>
    <s v="South"/>
    <m/>
    <x v="5"/>
    <m/>
    <m/>
    <m/>
  </r>
  <r>
    <d v="2037-10-02T00:00:00"/>
    <x v="3"/>
    <s v="West"/>
    <m/>
    <x v="5"/>
    <m/>
    <m/>
    <m/>
  </r>
  <r>
    <d v="2037-11-01T00:00:00"/>
    <x v="0"/>
    <s v="East"/>
    <m/>
    <x v="5"/>
    <m/>
    <m/>
    <m/>
  </r>
  <r>
    <d v="2037-12-01T00:00:00"/>
    <x v="1"/>
    <s v="North"/>
    <m/>
    <x v="5"/>
    <m/>
    <m/>
    <m/>
  </r>
  <r>
    <d v="2037-12-31T00:00:00"/>
    <x v="0"/>
    <s v="West"/>
    <m/>
    <x v="5"/>
    <m/>
    <m/>
    <m/>
  </r>
  <r>
    <d v="2038-01-30T00:00:00"/>
    <x v="0"/>
    <s v="West"/>
    <m/>
    <x v="5"/>
    <m/>
    <m/>
    <m/>
  </r>
  <r>
    <d v="2038-03-01T00:00:00"/>
    <x v="3"/>
    <s v="North"/>
    <m/>
    <x v="5"/>
    <m/>
    <m/>
    <m/>
  </r>
  <r>
    <d v="2038-03-31T00:00:00"/>
    <x v="4"/>
    <s v="West"/>
    <m/>
    <x v="5"/>
    <m/>
    <m/>
    <m/>
  </r>
  <r>
    <d v="2038-04-30T00:00:00"/>
    <x v="3"/>
    <s v="West"/>
    <m/>
    <x v="5"/>
    <m/>
    <m/>
    <m/>
  </r>
  <r>
    <d v="2038-05-30T00:00:00"/>
    <x v="3"/>
    <s v="East"/>
    <m/>
    <x v="5"/>
    <m/>
    <m/>
    <m/>
  </r>
  <r>
    <d v="2038-06-29T00:00:00"/>
    <x v="2"/>
    <s v="South"/>
    <m/>
    <x v="5"/>
    <m/>
    <m/>
    <m/>
  </r>
  <r>
    <d v="2038-07-29T00:00:00"/>
    <x v="0"/>
    <s v="East"/>
    <m/>
    <x v="5"/>
    <m/>
    <m/>
    <m/>
  </r>
  <r>
    <d v="2038-08-28T00:00:00"/>
    <x v="3"/>
    <s v="East"/>
    <m/>
    <x v="5"/>
    <m/>
    <m/>
    <m/>
  </r>
  <r>
    <d v="2038-09-27T00:00:00"/>
    <x v="0"/>
    <s v="South"/>
    <m/>
    <x v="5"/>
    <m/>
    <m/>
    <m/>
  </r>
  <r>
    <d v="2038-10-27T00:00:00"/>
    <x v="2"/>
    <s v="West"/>
    <m/>
    <x v="5"/>
    <m/>
    <m/>
    <m/>
  </r>
  <r>
    <d v="2038-11-26T00:00:00"/>
    <x v="0"/>
    <s v="West"/>
    <m/>
    <x v="5"/>
    <m/>
    <m/>
    <m/>
  </r>
  <r>
    <d v="2038-12-26T00:00:00"/>
    <x v="3"/>
    <s v="West"/>
    <m/>
    <x v="5"/>
    <m/>
    <m/>
    <m/>
  </r>
  <r>
    <d v="2039-01-25T00:00:00"/>
    <x v="0"/>
    <s v="North"/>
    <m/>
    <x v="5"/>
    <m/>
    <m/>
    <m/>
  </r>
  <r>
    <d v="2039-02-24T00:00:00"/>
    <x v="2"/>
    <s v="East"/>
    <m/>
    <x v="5"/>
    <m/>
    <m/>
    <m/>
  </r>
  <r>
    <d v="2039-03-26T00:00:00"/>
    <x v="4"/>
    <s v="South"/>
    <m/>
    <x v="5"/>
    <m/>
    <m/>
    <m/>
  </r>
  <r>
    <d v="2039-04-25T00:00:00"/>
    <x v="0"/>
    <s v="East"/>
    <m/>
    <x v="5"/>
    <m/>
    <m/>
    <m/>
  </r>
  <r>
    <d v="2039-05-25T00:00:00"/>
    <x v="3"/>
    <s v="West"/>
    <m/>
    <x v="5"/>
    <m/>
    <m/>
    <m/>
  </r>
  <r>
    <d v="2039-06-24T00:00:00"/>
    <x v="2"/>
    <s v="West"/>
    <m/>
    <x v="5"/>
    <m/>
    <m/>
    <m/>
  </r>
  <r>
    <d v="2039-07-24T00:00:00"/>
    <x v="3"/>
    <s v="West"/>
    <m/>
    <x v="5"/>
    <m/>
    <m/>
    <m/>
  </r>
  <r>
    <d v="2039-08-23T00:00:00"/>
    <x v="3"/>
    <s v="North"/>
    <m/>
    <x v="5"/>
    <m/>
    <m/>
    <m/>
  </r>
  <r>
    <d v="2039-09-22T00:00:00"/>
    <x v="0"/>
    <s v="West"/>
    <m/>
    <x v="5"/>
    <m/>
    <m/>
    <m/>
  </r>
  <r>
    <d v="2039-10-22T00:00:00"/>
    <x v="3"/>
    <s v="South"/>
    <m/>
    <x v="5"/>
    <m/>
    <m/>
    <m/>
  </r>
  <r>
    <d v="2039-11-21T00:00:00"/>
    <x v="0"/>
    <s v="East"/>
    <m/>
    <x v="5"/>
    <m/>
    <m/>
    <m/>
  </r>
  <r>
    <d v="2039-12-21T00:00:00"/>
    <x v="4"/>
    <s v="West"/>
    <m/>
    <x v="5"/>
    <m/>
    <m/>
    <m/>
  </r>
  <r>
    <d v="2040-01-20T00:00:00"/>
    <x v="3"/>
    <s v="East"/>
    <m/>
    <x v="5"/>
    <m/>
    <m/>
    <m/>
  </r>
  <r>
    <d v="2040-02-19T00:00:00"/>
    <x v="3"/>
    <s v="North"/>
    <m/>
    <x v="5"/>
    <m/>
    <m/>
    <m/>
  </r>
  <r>
    <d v="2040-03-20T00:00:00"/>
    <x v="3"/>
    <s v="East"/>
    <m/>
    <x v="5"/>
    <m/>
    <m/>
    <m/>
  </r>
  <r>
    <d v="2040-04-19T00:00:00"/>
    <x v="1"/>
    <s v="North"/>
    <m/>
    <x v="5"/>
    <m/>
    <m/>
    <m/>
  </r>
  <r>
    <d v="2040-05-19T00:00:00"/>
    <x v="1"/>
    <s v="East"/>
    <m/>
    <x v="5"/>
    <m/>
    <m/>
    <m/>
  </r>
  <r>
    <d v="2040-06-18T00:00:00"/>
    <x v="2"/>
    <s v="South"/>
    <m/>
    <x v="5"/>
    <m/>
    <m/>
    <m/>
  </r>
  <r>
    <d v="2040-07-18T00:00:00"/>
    <x v="1"/>
    <s v="East"/>
    <m/>
    <x v="5"/>
    <m/>
    <m/>
    <m/>
  </r>
  <r>
    <d v="2040-08-17T00:00:00"/>
    <x v="2"/>
    <s v="South"/>
    <m/>
    <x v="5"/>
    <m/>
    <m/>
    <m/>
  </r>
  <r>
    <d v="2040-09-16T00:00:00"/>
    <x v="1"/>
    <s v="West"/>
    <m/>
    <x v="5"/>
    <m/>
    <m/>
    <m/>
  </r>
  <r>
    <d v="2040-10-16T00:00:00"/>
    <x v="4"/>
    <s v="North"/>
    <m/>
    <x v="5"/>
    <m/>
    <m/>
    <m/>
  </r>
  <r>
    <d v="2040-11-15T00:00:00"/>
    <x v="2"/>
    <s v="North"/>
    <m/>
    <x v="5"/>
    <m/>
    <m/>
    <m/>
  </r>
  <r>
    <d v="2040-12-15T00:00:00"/>
    <x v="1"/>
    <s v="East"/>
    <m/>
    <x v="5"/>
    <m/>
    <m/>
    <m/>
  </r>
  <r>
    <d v="2041-01-14T00:00:00"/>
    <x v="4"/>
    <s v="West"/>
    <m/>
    <x v="5"/>
    <m/>
    <m/>
    <m/>
  </r>
  <r>
    <d v="2041-02-13T00:00:00"/>
    <x v="1"/>
    <s v="North"/>
    <m/>
    <x v="5"/>
    <m/>
    <m/>
    <m/>
  </r>
  <r>
    <d v="2041-03-15T00:00:00"/>
    <x v="0"/>
    <s v="West"/>
    <m/>
    <x v="5"/>
    <m/>
    <m/>
    <m/>
  </r>
  <r>
    <d v="2041-04-14T00:00:00"/>
    <x v="0"/>
    <s v="South"/>
    <m/>
    <x v="5"/>
    <m/>
    <m/>
    <m/>
  </r>
  <r>
    <d v="2041-05-14T00:00:00"/>
    <x v="4"/>
    <s v="West"/>
    <m/>
    <x v="5"/>
    <m/>
    <m/>
    <m/>
  </r>
  <r>
    <d v="2041-06-13T00:00:00"/>
    <x v="3"/>
    <s v="East"/>
    <m/>
    <x v="5"/>
    <m/>
    <m/>
    <m/>
  </r>
  <r>
    <d v="2041-07-13T00:00:00"/>
    <x v="3"/>
    <s v="South"/>
    <m/>
    <x v="5"/>
    <m/>
    <m/>
    <m/>
  </r>
  <r>
    <d v="2041-08-12T00:00:00"/>
    <x v="0"/>
    <s v="North"/>
    <m/>
    <x v="5"/>
    <m/>
    <m/>
    <m/>
  </r>
  <r>
    <d v="2041-09-11T00:00:00"/>
    <x v="0"/>
    <s v="North"/>
    <m/>
    <x v="5"/>
    <m/>
    <m/>
    <m/>
  </r>
  <r>
    <d v="2041-10-11T00:00:00"/>
    <x v="3"/>
    <s v="North"/>
    <m/>
    <x v="5"/>
    <m/>
    <m/>
    <m/>
  </r>
  <r>
    <d v="2041-11-10T00:00:00"/>
    <x v="2"/>
    <s v="South"/>
    <m/>
    <x v="5"/>
    <m/>
    <m/>
    <m/>
  </r>
  <r>
    <d v="2041-12-10T00:00:00"/>
    <x v="3"/>
    <s v="East"/>
    <m/>
    <x v="5"/>
    <m/>
    <m/>
    <m/>
  </r>
  <r>
    <d v="2042-01-09T00:00:00"/>
    <x v="1"/>
    <s v="South"/>
    <m/>
    <x v="5"/>
    <m/>
    <m/>
    <m/>
  </r>
  <r>
    <d v="2042-02-08T00:00:00"/>
    <x v="2"/>
    <s v="East"/>
    <m/>
    <x v="5"/>
    <m/>
    <m/>
    <m/>
  </r>
  <r>
    <d v="2042-03-10T00:00:00"/>
    <x v="1"/>
    <s v="West"/>
    <m/>
    <x v="5"/>
    <m/>
    <m/>
    <m/>
  </r>
  <r>
    <d v="2042-04-09T00:00:00"/>
    <x v="0"/>
    <s v="North"/>
    <m/>
    <x v="5"/>
    <m/>
    <m/>
    <m/>
  </r>
  <r>
    <d v="2042-05-09T00:00:00"/>
    <x v="2"/>
    <s v="East"/>
    <m/>
    <x v="5"/>
    <m/>
    <m/>
    <m/>
  </r>
  <r>
    <d v="2042-06-08T00:00:00"/>
    <x v="1"/>
    <s v="North"/>
    <m/>
    <x v="5"/>
    <m/>
    <m/>
    <m/>
  </r>
  <r>
    <d v="2042-07-08T00:00:00"/>
    <x v="1"/>
    <s v="South"/>
    <m/>
    <x v="5"/>
    <m/>
    <m/>
    <m/>
  </r>
  <r>
    <d v="2042-08-07T00:00:00"/>
    <x v="2"/>
    <s v="West"/>
    <m/>
    <x v="5"/>
    <m/>
    <m/>
    <m/>
  </r>
  <r>
    <d v="2042-09-06T00:00:00"/>
    <x v="4"/>
    <s v="West"/>
    <m/>
    <x v="5"/>
    <m/>
    <m/>
    <m/>
  </r>
  <r>
    <d v="2042-10-06T00:00:00"/>
    <x v="3"/>
    <s v="West"/>
    <m/>
    <x v="5"/>
    <m/>
    <m/>
    <m/>
  </r>
  <r>
    <d v="2042-11-05T00:00:00"/>
    <x v="1"/>
    <s v="West"/>
    <m/>
    <x v="5"/>
    <m/>
    <m/>
    <m/>
  </r>
  <r>
    <d v="2042-12-05T00:00:00"/>
    <x v="3"/>
    <s v="East"/>
    <m/>
    <x v="5"/>
    <m/>
    <m/>
    <m/>
  </r>
  <r>
    <d v="2043-01-04T00:00:00"/>
    <x v="3"/>
    <s v="East"/>
    <m/>
    <x v="5"/>
    <m/>
    <m/>
    <m/>
  </r>
  <r>
    <d v="2043-02-03T00:00:00"/>
    <x v="0"/>
    <s v="South"/>
    <m/>
    <x v="5"/>
    <m/>
    <m/>
    <m/>
  </r>
  <r>
    <d v="2043-03-05T00:00:00"/>
    <x v="3"/>
    <s v="East"/>
    <m/>
    <x v="5"/>
    <m/>
    <m/>
    <m/>
  </r>
  <r>
    <d v="2043-04-04T00:00:00"/>
    <x v="1"/>
    <s v="South"/>
    <m/>
    <x v="5"/>
    <m/>
    <m/>
    <m/>
  </r>
  <r>
    <d v="2043-05-04T00:00:00"/>
    <x v="0"/>
    <s v="West"/>
    <m/>
    <x v="5"/>
    <m/>
    <m/>
    <m/>
  </r>
  <r>
    <d v="2043-06-03T00:00:00"/>
    <x v="2"/>
    <s v="West"/>
    <m/>
    <x v="5"/>
    <m/>
    <m/>
    <m/>
  </r>
  <r>
    <d v="2043-07-03T00:00:00"/>
    <x v="1"/>
    <s v="West"/>
    <m/>
    <x v="5"/>
    <m/>
    <m/>
    <m/>
  </r>
  <r>
    <d v="2043-08-02T00:00:00"/>
    <x v="0"/>
    <s v="East"/>
    <m/>
    <x v="5"/>
    <m/>
    <m/>
    <m/>
  </r>
  <r>
    <d v="2043-09-01T00:00:00"/>
    <x v="0"/>
    <s v="East"/>
    <m/>
    <x v="5"/>
    <m/>
    <m/>
    <m/>
  </r>
  <r>
    <d v="2043-10-01T00:00:00"/>
    <x v="3"/>
    <s v="North"/>
    <m/>
    <x v="5"/>
    <m/>
    <m/>
    <m/>
  </r>
  <r>
    <d v="2043-10-31T00:00:00"/>
    <x v="2"/>
    <s v="South"/>
    <m/>
    <x v="5"/>
    <m/>
    <m/>
    <m/>
  </r>
  <r>
    <d v="2043-11-30T00:00:00"/>
    <x v="1"/>
    <s v="North"/>
    <m/>
    <x v="5"/>
    <m/>
    <m/>
    <m/>
  </r>
  <r>
    <d v="2043-12-30T00:00:00"/>
    <x v="1"/>
    <s v="South"/>
    <m/>
    <x v="5"/>
    <m/>
    <m/>
    <m/>
  </r>
  <r>
    <d v="2044-01-29T00:00:00"/>
    <x v="3"/>
    <s v="South"/>
    <m/>
    <x v="5"/>
    <m/>
    <m/>
    <m/>
  </r>
  <r>
    <d v="2044-02-28T00:00:00"/>
    <x v="2"/>
    <s v="East"/>
    <m/>
    <x v="5"/>
    <m/>
    <m/>
    <m/>
  </r>
  <r>
    <d v="2044-03-29T00:00:00"/>
    <x v="1"/>
    <s v="West"/>
    <m/>
    <x v="5"/>
    <m/>
    <m/>
    <m/>
  </r>
  <r>
    <d v="2044-04-28T00:00:00"/>
    <x v="2"/>
    <s v="East"/>
    <m/>
    <x v="5"/>
    <m/>
    <m/>
    <m/>
  </r>
  <r>
    <d v="2044-05-28T00:00:00"/>
    <x v="1"/>
    <s v="South"/>
    <m/>
    <x v="5"/>
    <m/>
    <m/>
    <m/>
  </r>
  <r>
    <d v="2044-06-27T00:00:00"/>
    <x v="3"/>
    <s v="North"/>
    <m/>
    <x v="5"/>
    <m/>
    <m/>
    <m/>
  </r>
  <r>
    <d v="2044-07-27T00:00:00"/>
    <x v="4"/>
    <s v="West"/>
    <m/>
    <x v="5"/>
    <m/>
    <m/>
    <m/>
  </r>
  <r>
    <d v="2044-08-26T00:00:00"/>
    <x v="1"/>
    <s v="South"/>
    <m/>
    <x v="5"/>
    <m/>
    <m/>
    <m/>
  </r>
  <r>
    <d v="2044-09-25T00:00:00"/>
    <x v="0"/>
    <s v="North"/>
    <m/>
    <x v="5"/>
    <m/>
    <m/>
    <m/>
  </r>
  <r>
    <d v="2044-10-25T00:00:00"/>
    <x v="0"/>
    <s v="South"/>
    <m/>
    <x v="5"/>
    <m/>
    <m/>
    <m/>
  </r>
  <r>
    <d v="2044-11-24T00:00:00"/>
    <x v="4"/>
    <s v="East"/>
    <m/>
    <x v="5"/>
    <m/>
    <m/>
    <m/>
  </r>
  <r>
    <d v="2044-12-24T00:00:00"/>
    <x v="1"/>
    <s v="North"/>
    <m/>
    <x v="5"/>
    <m/>
    <m/>
    <m/>
  </r>
  <r>
    <d v="2045-01-23T00:00:00"/>
    <x v="0"/>
    <s v="South"/>
    <m/>
    <x v="5"/>
    <m/>
    <m/>
    <m/>
  </r>
  <r>
    <d v="2045-02-22T00:00:00"/>
    <x v="0"/>
    <s v="West"/>
    <m/>
    <x v="5"/>
    <m/>
    <m/>
    <m/>
  </r>
  <r>
    <d v="2045-03-24T00:00:00"/>
    <x v="1"/>
    <s v="West"/>
    <m/>
    <x v="5"/>
    <m/>
    <m/>
    <m/>
  </r>
  <r>
    <d v="2045-04-23T00:00:00"/>
    <x v="2"/>
    <s v="West"/>
    <m/>
    <x v="5"/>
    <m/>
    <m/>
    <m/>
  </r>
  <r>
    <d v="2045-05-23T00:00:00"/>
    <x v="1"/>
    <s v="East"/>
    <m/>
    <x v="5"/>
    <m/>
    <m/>
    <m/>
  </r>
  <r>
    <d v="2045-06-22T00:00:00"/>
    <x v="2"/>
    <s v="North"/>
    <m/>
    <x v="5"/>
    <m/>
    <m/>
    <m/>
  </r>
  <r>
    <d v="2045-07-22T00:00:00"/>
    <x v="4"/>
    <s v="North"/>
    <m/>
    <x v="5"/>
    <m/>
    <m/>
    <m/>
  </r>
  <r>
    <d v="2045-08-21T00:00:00"/>
    <x v="3"/>
    <s v="East"/>
    <m/>
    <x v="5"/>
    <m/>
    <m/>
    <m/>
  </r>
  <r>
    <d v="2045-09-20T00:00:00"/>
    <x v="4"/>
    <s v="South"/>
    <m/>
    <x v="5"/>
    <m/>
    <m/>
    <m/>
  </r>
  <r>
    <d v="2045-10-20T00:00:00"/>
    <x v="3"/>
    <s v="East"/>
    <m/>
    <x v="5"/>
    <m/>
    <m/>
    <m/>
  </r>
  <r>
    <d v="2045-11-19T00:00:00"/>
    <x v="0"/>
    <s v="East"/>
    <m/>
    <x v="5"/>
    <m/>
    <m/>
    <m/>
  </r>
  <r>
    <d v="2045-12-19T00:00:00"/>
    <x v="0"/>
    <s v="North"/>
    <m/>
    <x v="5"/>
    <m/>
    <m/>
    <m/>
  </r>
  <r>
    <d v="2046-01-18T00:00:00"/>
    <x v="0"/>
    <s v="North"/>
    <m/>
    <x v="5"/>
    <m/>
    <m/>
    <m/>
  </r>
  <r>
    <d v="2046-02-17T00:00:00"/>
    <x v="2"/>
    <s v="West"/>
    <m/>
    <x v="5"/>
    <m/>
    <m/>
    <m/>
  </r>
  <r>
    <d v="2046-03-19T00:00:00"/>
    <x v="3"/>
    <s v="West"/>
    <m/>
    <x v="5"/>
    <m/>
    <m/>
    <m/>
  </r>
  <r>
    <d v="2046-04-18T00:00:00"/>
    <x v="0"/>
    <s v="South"/>
    <m/>
    <x v="5"/>
    <m/>
    <m/>
    <m/>
  </r>
  <r>
    <d v="2046-05-18T00:00:00"/>
    <x v="1"/>
    <s v="North"/>
    <m/>
    <x v="5"/>
    <m/>
    <m/>
    <m/>
  </r>
  <r>
    <d v="2046-06-17T00:00:00"/>
    <x v="3"/>
    <s v="South"/>
    <m/>
    <x v="5"/>
    <m/>
    <m/>
    <m/>
  </r>
  <r>
    <d v="2046-07-17T00:00:00"/>
    <x v="3"/>
    <s v="West"/>
    <m/>
    <x v="5"/>
    <m/>
    <m/>
    <m/>
  </r>
  <r>
    <d v="2046-08-16T00:00:00"/>
    <x v="2"/>
    <s v="North"/>
    <m/>
    <x v="5"/>
    <m/>
    <m/>
    <m/>
  </r>
  <r>
    <d v="2046-09-15T00:00:00"/>
    <x v="4"/>
    <s v="West"/>
    <m/>
    <x v="5"/>
    <m/>
    <m/>
    <m/>
  </r>
  <r>
    <d v="2046-10-15T00:00:00"/>
    <x v="2"/>
    <s v="North"/>
    <m/>
    <x v="5"/>
    <m/>
    <m/>
    <m/>
  </r>
  <r>
    <d v="2046-11-14T00:00:00"/>
    <x v="0"/>
    <s v="West"/>
    <m/>
    <x v="5"/>
    <m/>
    <m/>
    <m/>
  </r>
  <r>
    <d v="2046-12-14T00:00:00"/>
    <x v="1"/>
    <s v="North"/>
    <m/>
    <x v="5"/>
    <m/>
    <m/>
    <m/>
  </r>
  <r>
    <d v="2047-01-13T00:00:00"/>
    <x v="1"/>
    <s v="East"/>
    <m/>
    <x v="5"/>
    <m/>
    <m/>
    <m/>
  </r>
  <r>
    <d v="2047-02-12T00:00:00"/>
    <x v="0"/>
    <s v="West"/>
    <m/>
    <x v="5"/>
    <m/>
    <m/>
    <m/>
  </r>
  <r>
    <d v="2047-03-14T00:00:00"/>
    <x v="1"/>
    <s v="South"/>
    <m/>
    <x v="5"/>
    <m/>
    <m/>
    <m/>
  </r>
  <r>
    <d v="2047-04-13T00:00:00"/>
    <x v="2"/>
    <s v="North"/>
    <m/>
    <x v="5"/>
    <m/>
    <m/>
    <m/>
  </r>
  <r>
    <d v="2047-05-13T00:00:00"/>
    <x v="2"/>
    <s v="East"/>
    <m/>
    <x v="5"/>
    <m/>
    <m/>
    <m/>
  </r>
  <r>
    <d v="2047-06-12T00:00:00"/>
    <x v="0"/>
    <s v="South"/>
    <m/>
    <x v="5"/>
    <m/>
    <m/>
    <m/>
  </r>
  <r>
    <d v="2047-07-12T00:00:00"/>
    <x v="1"/>
    <s v="South"/>
    <m/>
    <x v="5"/>
    <m/>
    <m/>
    <m/>
  </r>
  <r>
    <d v="2047-08-11T00:00:00"/>
    <x v="3"/>
    <s v="West"/>
    <m/>
    <x v="5"/>
    <m/>
    <m/>
    <m/>
  </r>
  <r>
    <d v="2047-09-10T00:00:00"/>
    <x v="4"/>
    <s v="West"/>
    <m/>
    <x v="5"/>
    <m/>
    <m/>
    <m/>
  </r>
  <r>
    <d v="2047-10-10T00:00:00"/>
    <x v="3"/>
    <s v="West"/>
    <m/>
    <x v="5"/>
    <m/>
    <m/>
    <m/>
  </r>
  <r>
    <d v="2047-11-09T00:00:00"/>
    <x v="2"/>
    <s v="North"/>
    <m/>
    <x v="5"/>
    <m/>
    <m/>
    <m/>
  </r>
  <r>
    <d v="2047-12-09T00:00:00"/>
    <x v="2"/>
    <s v="North"/>
    <m/>
    <x v="5"/>
    <m/>
    <m/>
    <m/>
  </r>
  <r>
    <d v="2048-01-08T00:00:00"/>
    <x v="2"/>
    <s v="North"/>
    <m/>
    <x v="5"/>
    <m/>
    <m/>
    <m/>
  </r>
  <r>
    <d v="2048-02-07T00:00:00"/>
    <x v="2"/>
    <s v="East"/>
    <m/>
    <x v="5"/>
    <m/>
    <m/>
    <m/>
  </r>
  <r>
    <d v="2048-03-08T00:00:00"/>
    <x v="4"/>
    <s v="East"/>
    <m/>
    <x v="5"/>
    <m/>
    <m/>
    <m/>
  </r>
  <r>
    <d v="2048-04-07T00:00:00"/>
    <x v="0"/>
    <s v="North"/>
    <m/>
    <x v="5"/>
    <m/>
    <m/>
    <m/>
  </r>
  <r>
    <d v="2048-05-07T00:00:00"/>
    <x v="2"/>
    <s v="East"/>
    <m/>
    <x v="5"/>
    <m/>
    <m/>
    <m/>
  </r>
  <r>
    <d v="2048-06-06T00:00:00"/>
    <x v="1"/>
    <s v="East"/>
    <m/>
    <x v="5"/>
    <m/>
    <m/>
    <m/>
  </r>
  <r>
    <d v="2048-07-06T00:00:00"/>
    <x v="4"/>
    <s v="East"/>
    <m/>
    <x v="5"/>
    <m/>
    <m/>
    <m/>
  </r>
  <r>
    <d v="2048-08-05T00:00:00"/>
    <x v="2"/>
    <s v="East"/>
    <m/>
    <x v="5"/>
    <m/>
    <m/>
    <m/>
  </r>
  <r>
    <d v="2048-09-04T00:00:00"/>
    <x v="1"/>
    <s v="South"/>
    <m/>
    <x v="5"/>
    <m/>
    <m/>
    <m/>
  </r>
  <r>
    <d v="2048-10-04T00:00:00"/>
    <x v="2"/>
    <s v="North"/>
    <m/>
    <x v="5"/>
    <m/>
    <m/>
    <m/>
  </r>
  <r>
    <d v="2048-11-03T00:00:00"/>
    <x v="0"/>
    <s v="East"/>
    <m/>
    <x v="5"/>
    <m/>
    <m/>
    <m/>
  </r>
  <r>
    <d v="2048-12-03T00:00:00"/>
    <x v="4"/>
    <s v="North"/>
    <m/>
    <x v="5"/>
    <m/>
    <m/>
    <m/>
  </r>
  <r>
    <d v="2049-01-02T00:00:00"/>
    <x v="0"/>
    <s v="East"/>
    <m/>
    <x v="5"/>
    <m/>
    <m/>
    <m/>
  </r>
  <r>
    <d v="2049-02-01T00:00:00"/>
    <x v="4"/>
    <s v="South"/>
    <m/>
    <x v="5"/>
    <m/>
    <m/>
    <m/>
  </r>
  <r>
    <d v="2049-03-03T00:00:00"/>
    <x v="2"/>
    <s v="South"/>
    <m/>
    <x v="5"/>
    <m/>
    <m/>
    <m/>
  </r>
  <r>
    <d v="2049-04-02T00:00:00"/>
    <x v="2"/>
    <s v="East"/>
    <m/>
    <x v="5"/>
    <m/>
    <m/>
    <m/>
  </r>
  <r>
    <d v="2049-05-02T00:00:00"/>
    <x v="4"/>
    <s v="South"/>
    <m/>
    <x v="5"/>
    <m/>
    <m/>
    <m/>
  </r>
  <r>
    <d v="2049-06-01T00:00:00"/>
    <x v="1"/>
    <s v="North"/>
    <m/>
    <x v="5"/>
    <m/>
    <m/>
    <m/>
  </r>
  <r>
    <d v="2049-07-01T00:00:00"/>
    <x v="1"/>
    <s v="West"/>
    <m/>
    <x v="5"/>
    <m/>
    <m/>
    <m/>
  </r>
  <r>
    <d v="2049-07-31T00:00:00"/>
    <x v="2"/>
    <s v="South"/>
    <m/>
    <x v="5"/>
    <m/>
    <m/>
    <m/>
  </r>
  <r>
    <d v="2049-08-30T00:00:00"/>
    <x v="2"/>
    <s v="North"/>
    <m/>
    <x v="5"/>
    <m/>
    <m/>
    <m/>
  </r>
  <r>
    <d v="2049-09-29T00:00:00"/>
    <x v="0"/>
    <s v="West"/>
    <m/>
    <x v="5"/>
    <m/>
    <m/>
    <m/>
  </r>
  <r>
    <d v="2049-10-29T00:00:00"/>
    <x v="2"/>
    <s v="East"/>
    <m/>
    <x v="5"/>
    <m/>
    <m/>
    <m/>
  </r>
  <r>
    <d v="2049-11-28T00:00:00"/>
    <x v="4"/>
    <s v="North"/>
    <m/>
    <x v="5"/>
    <m/>
    <m/>
    <m/>
  </r>
  <r>
    <d v="2049-12-28T00:00:00"/>
    <x v="1"/>
    <s v="West"/>
    <m/>
    <x v="5"/>
    <m/>
    <m/>
    <m/>
  </r>
  <r>
    <d v="2050-01-27T00:00:00"/>
    <x v="1"/>
    <s v="East"/>
    <m/>
    <x v="5"/>
    <m/>
    <m/>
    <m/>
  </r>
  <r>
    <d v="2050-02-26T00:00:00"/>
    <x v="0"/>
    <s v="North"/>
    <m/>
    <x v="5"/>
    <m/>
    <m/>
    <m/>
  </r>
  <r>
    <d v="2050-03-28T00:00:00"/>
    <x v="1"/>
    <s v="West"/>
    <m/>
    <x v="5"/>
    <m/>
    <m/>
    <m/>
  </r>
  <r>
    <d v="2050-04-27T00:00:00"/>
    <x v="1"/>
    <s v="East"/>
    <m/>
    <x v="5"/>
    <m/>
    <m/>
    <m/>
  </r>
  <r>
    <d v="2050-05-27T00:00:00"/>
    <x v="3"/>
    <s v="West"/>
    <m/>
    <x v="5"/>
    <m/>
    <m/>
    <m/>
  </r>
  <r>
    <d v="2050-06-26T00:00:00"/>
    <x v="4"/>
    <s v="West"/>
    <m/>
    <x v="5"/>
    <m/>
    <m/>
    <m/>
  </r>
  <r>
    <d v="2050-07-26T00:00:00"/>
    <x v="3"/>
    <s v="West"/>
    <m/>
    <x v="5"/>
    <m/>
    <m/>
    <m/>
  </r>
  <r>
    <d v="2050-08-25T00:00:00"/>
    <x v="1"/>
    <s v="East"/>
    <m/>
    <x v="5"/>
    <m/>
    <m/>
    <m/>
  </r>
  <r>
    <d v="2050-09-24T00:00:00"/>
    <x v="0"/>
    <s v="South"/>
    <m/>
    <x v="5"/>
    <m/>
    <m/>
    <m/>
  </r>
  <r>
    <d v="2050-10-24T00:00:00"/>
    <x v="0"/>
    <s v="East"/>
    <m/>
    <x v="5"/>
    <m/>
    <m/>
    <m/>
  </r>
  <r>
    <d v="2050-11-23T00:00:00"/>
    <x v="1"/>
    <s v="North"/>
    <m/>
    <x v="5"/>
    <m/>
    <m/>
    <m/>
  </r>
  <r>
    <d v="2050-12-23T00:00:00"/>
    <x v="2"/>
    <s v="North"/>
    <m/>
    <x v="5"/>
    <m/>
    <m/>
    <m/>
  </r>
  <r>
    <d v="2051-01-22T00:00:00"/>
    <x v="3"/>
    <s v="East"/>
    <m/>
    <x v="5"/>
    <m/>
    <m/>
    <m/>
  </r>
  <r>
    <d v="2051-02-21T00:00:00"/>
    <x v="1"/>
    <s v="North"/>
    <m/>
    <x v="5"/>
    <m/>
    <m/>
    <m/>
  </r>
  <r>
    <d v="2051-03-23T00:00:00"/>
    <x v="0"/>
    <s v="South"/>
    <m/>
    <x v="5"/>
    <m/>
    <m/>
    <m/>
  </r>
  <r>
    <d v="2051-04-22T00:00:00"/>
    <x v="0"/>
    <s v="South"/>
    <m/>
    <x v="5"/>
    <m/>
    <m/>
    <m/>
  </r>
  <r>
    <d v="2051-05-22T00:00:00"/>
    <x v="3"/>
    <s v="North"/>
    <m/>
    <x v="5"/>
    <m/>
    <m/>
    <m/>
  </r>
  <r>
    <d v="2051-06-21T00:00:00"/>
    <x v="4"/>
    <s v="South"/>
    <m/>
    <x v="5"/>
    <m/>
    <m/>
    <m/>
  </r>
  <r>
    <d v="2051-07-21T00:00:00"/>
    <x v="1"/>
    <s v="South"/>
    <m/>
    <x v="5"/>
    <m/>
    <m/>
    <m/>
  </r>
  <r>
    <d v="2051-08-20T00:00:00"/>
    <x v="1"/>
    <s v="South"/>
    <m/>
    <x v="5"/>
    <m/>
    <m/>
    <m/>
  </r>
  <r>
    <d v="2051-09-19T00:00:00"/>
    <x v="4"/>
    <s v="South"/>
    <m/>
    <x v="5"/>
    <m/>
    <m/>
    <m/>
  </r>
  <r>
    <d v="2051-10-19T00:00:00"/>
    <x v="3"/>
    <s v="West"/>
    <m/>
    <x v="5"/>
    <m/>
    <m/>
    <m/>
  </r>
  <r>
    <d v="2051-11-18T00:00:00"/>
    <x v="3"/>
    <s v="East"/>
    <m/>
    <x v="5"/>
    <m/>
    <m/>
    <m/>
  </r>
  <r>
    <d v="2051-12-18T00:00:00"/>
    <x v="0"/>
    <s v="South"/>
    <m/>
    <x v="5"/>
    <m/>
    <m/>
    <m/>
  </r>
  <r>
    <d v="2052-01-17T00:00:00"/>
    <x v="4"/>
    <s v="West"/>
    <m/>
    <x v="5"/>
    <m/>
    <m/>
    <m/>
  </r>
  <r>
    <d v="2052-02-16T00:00:00"/>
    <x v="3"/>
    <s v="North"/>
    <m/>
    <x v="5"/>
    <m/>
    <m/>
    <m/>
  </r>
  <r>
    <d v="2052-03-17T00:00:00"/>
    <x v="2"/>
    <s v="South"/>
    <m/>
    <x v="5"/>
    <m/>
    <m/>
    <m/>
  </r>
  <r>
    <d v="2052-04-16T00:00:00"/>
    <x v="1"/>
    <s v="South"/>
    <m/>
    <x v="5"/>
    <m/>
    <m/>
    <m/>
  </r>
  <r>
    <d v="2052-05-16T00:00:00"/>
    <x v="0"/>
    <s v="North"/>
    <m/>
    <x v="5"/>
    <m/>
    <m/>
    <m/>
  </r>
  <r>
    <d v="2052-06-15T00:00:00"/>
    <x v="4"/>
    <s v="North"/>
    <m/>
    <x v="5"/>
    <m/>
    <m/>
    <m/>
  </r>
  <r>
    <d v="2052-07-15T00:00:00"/>
    <x v="0"/>
    <s v="South"/>
    <m/>
    <x v="5"/>
    <m/>
    <m/>
    <m/>
  </r>
  <r>
    <d v="2052-08-14T00:00:00"/>
    <x v="3"/>
    <s v="North"/>
    <m/>
    <x v="5"/>
    <m/>
    <m/>
    <m/>
  </r>
  <r>
    <d v="2052-09-13T00:00:00"/>
    <x v="3"/>
    <s v="North"/>
    <m/>
    <x v="5"/>
    <m/>
    <m/>
    <m/>
  </r>
  <r>
    <d v="2052-10-13T00:00:00"/>
    <x v="2"/>
    <s v="South"/>
    <m/>
    <x v="5"/>
    <m/>
    <m/>
    <m/>
  </r>
  <r>
    <d v="2052-11-12T00:00:00"/>
    <x v="1"/>
    <s v="South"/>
    <m/>
    <x v="5"/>
    <m/>
    <m/>
    <m/>
  </r>
  <r>
    <d v="2052-12-12T00:00:00"/>
    <x v="4"/>
    <s v="East"/>
    <m/>
    <x v="5"/>
    <m/>
    <m/>
    <m/>
  </r>
  <r>
    <d v="2053-01-11T00:00:00"/>
    <x v="0"/>
    <s v="South"/>
    <m/>
    <x v="5"/>
    <m/>
    <m/>
    <m/>
  </r>
  <r>
    <d v="2053-02-10T00:00:00"/>
    <x v="1"/>
    <s v="South"/>
    <m/>
    <x v="5"/>
    <m/>
    <m/>
    <m/>
  </r>
  <r>
    <d v="2053-03-12T00:00:00"/>
    <x v="3"/>
    <s v="North"/>
    <m/>
    <x v="5"/>
    <m/>
    <m/>
    <m/>
  </r>
  <r>
    <d v="2053-04-11T00:00:00"/>
    <x v="1"/>
    <s v="East"/>
    <m/>
    <x v="5"/>
    <m/>
    <m/>
    <m/>
  </r>
  <r>
    <d v="2053-05-11T00:00:00"/>
    <x v="0"/>
    <s v="North"/>
    <m/>
    <x v="5"/>
    <m/>
    <m/>
    <m/>
  </r>
  <r>
    <d v="2053-06-10T00:00:00"/>
    <x v="1"/>
    <s v="North"/>
    <m/>
    <x v="5"/>
    <m/>
    <m/>
    <m/>
  </r>
  <r>
    <d v="2053-07-10T00:00:00"/>
    <x v="3"/>
    <s v="West"/>
    <m/>
    <x v="5"/>
    <m/>
    <m/>
    <m/>
  </r>
  <r>
    <d v="2053-08-09T00:00:00"/>
    <x v="1"/>
    <s v="North"/>
    <m/>
    <x v="5"/>
    <m/>
    <m/>
    <m/>
  </r>
  <r>
    <d v="2053-09-08T00:00:00"/>
    <x v="4"/>
    <s v="East"/>
    <m/>
    <x v="5"/>
    <m/>
    <m/>
    <m/>
  </r>
  <r>
    <d v="2053-10-08T00:00:00"/>
    <x v="1"/>
    <s v="South"/>
    <m/>
    <x v="5"/>
    <m/>
    <m/>
    <m/>
  </r>
  <r>
    <d v="2053-11-07T00:00:00"/>
    <x v="4"/>
    <s v="East"/>
    <m/>
    <x v="5"/>
    <m/>
    <m/>
    <m/>
  </r>
  <r>
    <d v="2053-12-07T00:00:00"/>
    <x v="1"/>
    <s v="North"/>
    <m/>
    <x v="5"/>
    <m/>
    <m/>
    <m/>
  </r>
  <r>
    <d v="2054-01-06T00:00:00"/>
    <x v="3"/>
    <s v="West"/>
    <m/>
    <x v="5"/>
    <m/>
    <m/>
    <m/>
  </r>
  <r>
    <d v="2054-02-05T00:00:00"/>
    <x v="2"/>
    <s v="East"/>
    <m/>
    <x v="5"/>
    <m/>
    <m/>
    <m/>
  </r>
  <r>
    <d v="2054-03-07T00:00:00"/>
    <x v="2"/>
    <s v="West"/>
    <m/>
    <x v="5"/>
    <m/>
    <m/>
    <m/>
  </r>
  <r>
    <d v="2054-04-06T00:00:00"/>
    <x v="4"/>
    <s v="South"/>
    <m/>
    <x v="5"/>
    <m/>
    <m/>
    <m/>
  </r>
  <r>
    <d v="2054-05-06T00:00:00"/>
    <x v="4"/>
    <s v="North"/>
    <m/>
    <x v="5"/>
    <m/>
    <m/>
    <m/>
  </r>
  <r>
    <d v="2054-06-05T00:00:00"/>
    <x v="2"/>
    <s v="North"/>
    <m/>
    <x v="5"/>
    <m/>
    <m/>
    <m/>
  </r>
  <r>
    <d v="2054-07-05T00:00:00"/>
    <x v="3"/>
    <s v="East"/>
    <m/>
    <x v="5"/>
    <m/>
    <m/>
    <m/>
  </r>
  <r>
    <d v="2054-08-04T00:00:00"/>
    <x v="3"/>
    <s v="North"/>
    <m/>
    <x v="5"/>
    <m/>
    <m/>
    <m/>
  </r>
  <r>
    <d v="2054-09-03T00:00:00"/>
    <x v="1"/>
    <s v="West"/>
    <m/>
    <x v="5"/>
    <m/>
    <m/>
    <m/>
  </r>
  <r>
    <d v="2054-10-03T00:00:00"/>
    <x v="4"/>
    <s v="East"/>
    <m/>
    <x v="5"/>
    <m/>
    <m/>
    <m/>
  </r>
  <r>
    <d v="2054-11-02T00:00:00"/>
    <x v="3"/>
    <s v="West"/>
    <m/>
    <x v="5"/>
    <m/>
    <m/>
    <m/>
  </r>
  <r>
    <d v="2054-12-02T00:00:00"/>
    <x v="0"/>
    <s v="North"/>
    <m/>
    <x v="5"/>
    <m/>
    <m/>
    <m/>
  </r>
  <r>
    <d v="2055-01-01T00:00:00"/>
    <x v="1"/>
    <s v="North"/>
    <m/>
    <x v="5"/>
    <m/>
    <m/>
    <m/>
  </r>
  <r>
    <d v="2055-01-31T00:00:00"/>
    <x v="1"/>
    <s v="East"/>
    <m/>
    <x v="5"/>
    <m/>
    <m/>
    <m/>
  </r>
  <r>
    <d v="2055-03-02T00:00:00"/>
    <x v="2"/>
    <s v="North"/>
    <m/>
    <x v="5"/>
    <m/>
    <m/>
    <m/>
  </r>
  <r>
    <d v="2055-04-01T00:00:00"/>
    <x v="4"/>
    <s v="West"/>
    <m/>
    <x v="5"/>
    <m/>
    <m/>
    <m/>
  </r>
  <r>
    <d v="2055-05-01T00:00:00"/>
    <x v="3"/>
    <s v="North"/>
    <m/>
    <x v="5"/>
    <m/>
    <m/>
    <m/>
  </r>
  <r>
    <d v="2055-05-31T00:00:00"/>
    <x v="3"/>
    <s v="West"/>
    <m/>
    <x v="5"/>
    <m/>
    <m/>
    <m/>
  </r>
  <r>
    <d v="2055-06-30T00:00:00"/>
    <x v="1"/>
    <s v="South"/>
    <m/>
    <x v="5"/>
    <m/>
    <m/>
    <m/>
  </r>
  <r>
    <d v="2055-07-30T00:00:00"/>
    <x v="4"/>
    <s v="West"/>
    <m/>
    <x v="5"/>
    <m/>
    <m/>
    <m/>
  </r>
  <r>
    <d v="2055-08-29T00:00:00"/>
    <x v="4"/>
    <s v="East"/>
    <m/>
    <x v="5"/>
    <m/>
    <m/>
    <m/>
  </r>
  <r>
    <d v="2055-09-28T00:00:00"/>
    <x v="4"/>
    <s v="West"/>
    <m/>
    <x v="5"/>
    <m/>
    <m/>
    <m/>
  </r>
  <r>
    <d v="2055-10-28T00:00:00"/>
    <x v="2"/>
    <s v="North"/>
    <m/>
    <x v="5"/>
    <m/>
    <m/>
    <m/>
  </r>
  <r>
    <d v="2055-11-27T00:00:00"/>
    <x v="3"/>
    <s v="West"/>
    <m/>
    <x v="5"/>
    <m/>
    <m/>
    <m/>
  </r>
  <r>
    <d v="2055-12-27T00:00:00"/>
    <x v="4"/>
    <s v="South"/>
    <m/>
    <x v="5"/>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d v="2015-01-01T00:00:00"/>
    <x v="0"/>
    <x v="0"/>
    <n v="96"/>
    <n v="99.077532934131725"/>
    <n v="29.723259880239521"/>
    <n v="0.30961729041916175"/>
  </r>
  <r>
    <d v="2015-01-31T00:00:00"/>
    <x v="0"/>
    <x v="0"/>
    <n v="107"/>
    <n v="99.078697130788512"/>
    <n v="29.723609139236558"/>
    <n v="0.27779073961903322"/>
  </r>
  <r>
    <d v="2015-03-02T00:00:00"/>
    <x v="1"/>
    <x v="1"/>
    <n v="88"/>
    <n v="99.0798613274453"/>
    <n v="118.89583359293435"/>
    <n v="0.64891098189847329"/>
  </r>
  <r>
    <d v="2015-04-01T00:00:00"/>
    <x v="2"/>
    <x v="2"/>
    <n v="103"/>
    <n v="99.081025524102088"/>
    <n v="113.94317935271739"/>
    <n v="0.89375554026487969"/>
  </r>
  <r>
    <d v="2015-05-01T00:00:00"/>
    <x v="3"/>
    <x v="2"/>
    <n v="111"/>
    <n v="99.082189720758876"/>
    <n v="113.9445181788727"/>
    <n v="0.97347280919934509"/>
  </r>
  <r>
    <d v="2015-05-31T00:00:00"/>
    <x v="3"/>
    <x v="2"/>
    <n v="90"/>
    <n v="99.083353917415664"/>
    <n v="113.945857005028"/>
    <n v="0.73393492216635559"/>
  </r>
  <r>
    <d v="2015-06-30T00:00:00"/>
    <x v="4"/>
    <x v="0"/>
    <n v="94"/>
    <n v="99.084518114072452"/>
    <n v="29.72535543422174"/>
    <n v="0.31622718547044404"/>
  </r>
  <r>
    <d v="2015-07-30T00:00:00"/>
    <x v="5"/>
    <x v="3"/>
    <n v="98"/>
    <n v="99.08568231072924"/>
    <n v="89.17711407965632"/>
    <n v="0.90997055183322773"/>
  </r>
  <r>
    <d v="2015-08-29T00:00:00"/>
    <x v="6"/>
    <x v="0"/>
    <n v="103"/>
    <n v="99.086846507386028"/>
    <n v="29.726053952215814"/>
    <n v="0.28860246555549329"/>
  </r>
  <r>
    <d v="2015-09-28T00:00:00"/>
    <x v="7"/>
    <x v="3"/>
    <n v="94"/>
    <n v="99.088010704042816"/>
    <n v="89.179209633638536"/>
    <n v="0.94871499610253762"/>
  </r>
  <r>
    <d v="2015-10-28T00:00:00"/>
    <x v="8"/>
    <x v="4"/>
    <n v="99"/>
    <n v="99.089174900699589"/>
    <n v="87.19847391261564"/>
    <n v="0.8807926657839964"/>
  </r>
  <r>
    <d v="2015-11-27T00:00:00"/>
    <x v="9"/>
    <x v="0"/>
    <n v="90"/>
    <n v="99.090339097356377"/>
    <n v="29.727101729206918"/>
    <n v="0.33030113032452135"/>
  </r>
  <r>
    <d v="2015-12-27T00:00:00"/>
    <x v="10"/>
    <x v="0"/>
    <n v="100"/>
    <n v="99.091503294013165"/>
    <n v="29.727450988203955"/>
    <n v="0.29727450988203952"/>
  </r>
  <r>
    <d v="2016-01-26T00:00:00"/>
    <x v="0"/>
    <x v="0"/>
    <n v="103"/>
    <n v="99.092667490669953"/>
    <n v="29.727800247200989"/>
    <n v="0.2886194198757378"/>
  </r>
  <r>
    <d v="2016-02-25T00:00:00"/>
    <x v="11"/>
    <x v="2"/>
    <n v="94"/>
    <n v="99.093831687326741"/>
    <n v="113.95790644042575"/>
    <n v="0.78768184637844951"/>
  </r>
  <r>
    <d v="2016-03-26T00:00:00"/>
    <x v="1"/>
    <x v="2"/>
    <n v="105"/>
    <n v="99.094995883983529"/>
    <n v="113.95924526658105"/>
    <n v="0.91467385460398998"/>
  </r>
  <r>
    <d v="2016-04-25T00:00:00"/>
    <x v="2"/>
    <x v="3"/>
    <n v="86"/>
    <n v="99.096160080640317"/>
    <n v="89.186544072576282"/>
    <n v="0.96294716194678742"/>
  </r>
  <r>
    <d v="2016-05-25T00:00:00"/>
    <x v="3"/>
    <x v="3"/>
    <n v="92"/>
    <n v="99.097324277297105"/>
    <n v="89.187591849567397"/>
    <n v="0.96943034619094992"/>
  </r>
  <r>
    <d v="2016-06-24T00:00:00"/>
    <x v="4"/>
    <x v="0"/>
    <n v="94"/>
    <n v="99.098488473953893"/>
    <n v="29.729546542186171"/>
    <n v="0.31627177172538479"/>
  </r>
  <r>
    <d v="2016-07-24T00:00:00"/>
    <x v="5"/>
    <x v="3"/>
    <n v="101"/>
    <n v="99.099652670610681"/>
    <n v="89.189687403549613"/>
    <n v="0.88306621191633283"/>
  </r>
  <r>
    <d v="2016-08-23T00:00:00"/>
    <x v="6"/>
    <x v="2"/>
    <n v="103"/>
    <n v="99.100816867267469"/>
    <n v="113.96593939735757"/>
    <n v="0.89353456895769345"/>
  </r>
  <r>
    <d v="2016-09-22T00:00:00"/>
    <x v="7"/>
    <x v="3"/>
    <n v="84"/>
    <n v="99.101981063924256"/>
    <n v="89.191782957531828"/>
    <n v="0.93819306002938296"/>
  </r>
  <r>
    <d v="2016-10-22T00:00:00"/>
    <x v="8"/>
    <x v="4"/>
    <n v="76"/>
    <n v="99.10314526058103"/>
    <n v="87.210767829311308"/>
    <n v="0.85248989698274591"/>
  </r>
  <r>
    <d v="2016-11-21T00:00:00"/>
    <x v="9"/>
    <x v="2"/>
    <n v="100"/>
    <n v="99.104309457237818"/>
    <n v="113.96995587582349"/>
    <n v="0.86030044124176519"/>
  </r>
  <r>
    <d v="2016-12-21T00:00:00"/>
    <x v="10"/>
    <x v="4"/>
    <n v="111"/>
    <n v="99.105473653894606"/>
    <n v="87.21281681542726"/>
    <n v="0.78570105239123655"/>
  </r>
  <r>
    <d v="2017-01-20T00:00:00"/>
    <x v="0"/>
    <x v="3"/>
    <n v="93"/>
    <n v="99.106637850551394"/>
    <n v="89.195974065496259"/>
    <n v="0.95909649532791674"/>
  </r>
  <r>
    <d v="2017-02-19T00:00:00"/>
    <x v="11"/>
    <x v="1"/>
    <n v="87"/>
    <n v="99.107802047208182"/>
    <n v="118.92936245664981"/>
    <n v="0.63299583383161129"/>
  </r>
  <r>
    <d v="2017-03-21T00:00:00"/>
    <x v="1"/>
    <x v="0"/>
    <n v="108"/>
    <n v="99.10896624386497"/>
    <n v="29.732689873159494"/>
    <n v="0.2753026840107361"/>
  </r>
  <r>
    <d v="2017-04-20T00:00:00"/>
    <x v="2"/>
    <x v="2"/>
    <n v="106"/>
    <n v="99.110130440521758"/>
    <n v="99.110130440521758"/>
    <n v="0.93500123057095996"/>
  </r>
  <r>
    <d v="2017-05-20T00:00:00"/>
    <x v="3"/>
    <x v="4"/>
    <n v="108"/>
    <n v="99.111294637178545"/>
    <n v="99.111294637178545"/>
    <n v="0.91769717256646799"/>
  </r>
  <r>
    <d v="2017-06-19T00:00:00"/>
    <x v="4"/>
    <x v="1"/>
    <n v="96"/>
    <n v="99.112458833835333"/>
    <n v="99.112458833835333"/>
    <n v="0.96757855381421531"/>
  </r>
  <r>
    <d v="2017-07-19T00:00:00"/>
    <x v="5"/>
    <x v="1"/>
    <n v="113"/>
    <n v="99.113623030492121"/>
    <n v="99.113623030492121"/>
    <n v="0.87711170823444351"/>
  </r>
  <r>
    <d v="2017-08-18T00:00:00"/>
    <x v="6"/>
    <x v="2"/>
    <n v="95"/>
    <n v="99.114787227148909"/>
    <n v="99.114787227148909"/>
    <n v="0.95668645024053778"/>
  </r>
  <r>
    <d v="2017-09-17T00:00:00"/>
    <x v="7"/>
    <x v="2"/>
    <n v="94"/>
    <n v="99.115951423805683"/>
    <n v="99.115951423805683"/>
    <n v="0.94557498485313107"/>
  </r>
  <r>
    <d v="2017-10-17T00:00:00"/>
    <x v="8"/>
    <x v="1"/>
    <n v="107"/>
    <n v="99.117115620462471"/>
    <n v="99.117115620462471"/>
    <n v="0.92632818336880818"/>
  </r>
  <r>
    <d v="2017-11-16T00:00:00"/>
    <x v="9"/>
    <x v="0"/>
    <n v="114"/>
    <n v="99.118279817119259"/>
    <n v="99.118279817119259"/>
    <n v="0.86945859488701105"/>
  </r>
  <r>
    <d v="2017-12-16T00:00:00"/>
    <x v="10"/>
    <x v="0"/>
    <n v="86"/>
    <n v="99.119444013776047"/>
    <n v="99.119444013776047"/>
    <n v="0.84744832542120874"/>
  </r>
  <r>
    <d v="2018-01-15T00:00:00"/>
    <x v="0"/>
    <x v="4"/>
    <n v="100"/>
    <n v="99.120608210432835"/>
    <n v="99.120608210432835"/>
    <n v="0.99120608210432837"/>
  </r>
  <r>
    <d v="2018-02-14T00:00:00"/>
    <x v="11"/>
    <x v="0"/>
    <n v="108"/>
    <n v="99.121772407089622"/>
    <n v="99.121772407089622"/>
    <n v="0.91779418895453357"/>
  </r>
  <r>
    <d v="2018-03-16T00:00:00"/>
    <x v="1"/>
    <x v="1"/>
    <n v="101"/>
    <n v="99.12293660374641"/>
    <n v="99.12293660374641"/>
    <n v="0.9814152138984793"/>
  </r>
  <r>
    <d v="2018-04-15T00:00:00"/>
    <x v="2"/>
    <x v="1"/>
    <n v="94"/>
    <n v="99.124100800403198"/>
    <n v="99.124100800403198"/>
    <n v="0.9454882893574128"/>
  </r>
  <r>
    <d v="2018-05-15T00:00:00"/>
    <x v="3"/>
    <x v="3"/>
    <n v="116"/>
    <n v="99.125264997059986"/>
    <n v="99.125264997059986"/>
    <n v="0.85452814652637921"/>
  </r>
  <r>
    <d v="2018-06-14T00:00:00"/>
    <x v="4"/>
    <x v="1"/>
    <n v="97"/>
    <n v="99.126429193716774"/>
    <n v="99.126429193716774"/>
    <n v="0.97807804954931166"/>
  </r>
  <r>
    <d v="2018-07-14T00:00:00"/>
    <x v="5"/>
    <x v="0"/>
    <n v="96"/>
    <n v="99.127593390373562"/>
    <n v="99.127593390373562"/>
    <n v="0.96742090218360877"/>
  </r>
  <r>
    <d v="2018-08-13T00:00:00"/>
    <x v="6"/>
    <x v="4"/>
    <n v="94"/>
    <n v="99.128757587030336"/>
    <n v="99.128757587030336"/>
    <n v="0.94543874907414538"/>
  </r>
  <r>
    <d v="2018-09-12T00:00:00"/>
    <x v="7"/>
    <x v="3"/>
    <n v="118"/>
    <n v="99.129921783687124"/>
    <n v="99.129921783687124"/>
    <n v="0.84008408291260273"/>
  </r>
  <r>
    <d v="2018-10-12T00:00:00"/>
    <x v="8"/>
    <x v="0"/>
    <n v="104"/>
    <n v="99.131085980343912"/>
    <n v="99.131085980343912"/>
    <n v="0.95318351904176835"/>
  </r>
  <r>
    <d v="2018-11-11T00:00:00"/>
    <x v="9"/>
    <x v="4"/>
    <n v="96"/>
    <n v="99.132250177000699"/>
    <n v="99.132250177000699"/>
    <n v="0.96737239398957608"/>
  </r>
  <r>
    <d v="2018-12-11T00:00:00"/>
    <x v="10"/>
    <x v="0"/>
    <n v="115"/>
    <n v="99.133414373657487"/>
    <n v="99.133414373657487"/>
    <n v="0.86202969020571729"/>
  </r>
  <r>
    <d v="2019-01-10T00:00:00"/>
    <x v="0"/>
    <x v="3"/>
    <n v="94"/>
    <n v="99.134578570314275"/>
    <n v="99.134578570314275"/>
    <n v="0.94537682372006093"/>
  </r>
  <r>
    <d v="2019-02-09T00:00:00"/>
    <x v="11"/>
    <x v="1"/>
    <n v="91"/>
    <n v="99.135742766971063"/>
    <n v="99.135742766971063"/>
    <n v="0.91059623332998829"/>
  </r>
  <r>
    <d v="2019-03-11T00:00:00"/>
    <x v="1"/>
    <x v="3"/>
    <n v="110"/>
    <n v="99.136906963627851"/>
    <n v="99.136906963627851"/>
    <n v="0.90124460876025325"/>
  </r>
  <r>
    <d v="2019-04-10T00:00:00"/>
    <x v="2"/>
    <x v="1"/>
    <n v="98"/>
    <n v="99.138071160284639"/>
    <n v="99.138071160284639"/>
    <n v="0.9883870289766874"/>
  </r>
  <r>
    <d v="2019-05-10T00:00:00"/>
    <x v="3"/>
    <x v="3"/>
    <n v="86"/>
    <n v="99.139235356941427"/>
    <n v="99.139235356941427"/>
    <n v="0.8472181935239369"/>
  </r>
  <r>
    <d v="2019-06-09T00:00:00"/>
    <x v="4"/>
    <x v="2"/>
    <n v="121"/>
    <n v="99.140399553598215"/>
    <n v="99.140399553598215"/>
    <n v="0.81934214507105962"/>
  </r>
  <r>
    <d v="2019-07-09T00:00:00"/>
    <x v="5"/>
    <x v="0"/>
    <n v="100"/>
    <n v="99.141563750254988"/>
    <n v="99.141563750254988"/>
    <n v="0.99141563750254991"/>
  </r>
  <r>
    <d v="2019-08-08T00:00:00"/>
    <x v="6"/>
    <x v="0"/>
    <n v="96"/>
    <n v="99.142727946911776"/>
    <n v="99.142727946911776"/>
    <n v="0.96726325055300233"/>
  </r>
  <r>
    <d v="2019-09-07T00:00:00"/>
    <x v="7"/>
    <x v="2"/>
    <n v="127"/>
    <n v="99.143892143568564"/>
    <n v="99.143892143568564"/>
    <n v="0.78066056805959505"/>
  </r>
  <r>
    <d v="2019-10-07T00:00:00"/>
    <x v="8"/>
    <x v="1"/>
    <n v="100"/>
    <n v="99.145056340225352"/>
    <n v="99.145056340225352"/>
    <n v="0.99145056340225357"/>
  </r>
  <r>
    <d v="2019-11-06T00:00:00"/>
    <x v="9"/>
    <x v="0"/>
    <n v="93"/>
    <n v="99.14622053688214"/>
    <n v="99.14622053688214"/>
    <n v="0.93391160713029953"/>
  </r>
  <r>
    <d v="2019-12-06T00:00:00"/>
    <x v="10"/>
    <x v="2"/>
    <n v="103"/>
    <n v="99.147384733538928"/>
    <n v="99.147384733538928"/>
    <n v="0.96259596828678573"/>
  </r>
  <r>
    <d v="2020-01-05T00:00:00"/>
    <x v="0"/>
    <x v="0"/>
    <n v="78"/>
    <n v="99.148548930195716"/>
    <n v="99.148548930195716"/>
    <n v="0.72886475730518319"/>
  </r>
  <r>
    <d v="2020-02-04T00:00:00"/>
    <x v="11"/>
    <x v="4"/>
    <n v="116"/>
    <n v="99.149713126852504"/>
    <n v="99.149713126852504"/>
    <n v="0.85473890626596982"/>
  </r>
  <r>
    <d v="2020-03-05T00:00:00"/>
    <x v="1"/>
    <x v="1"/>
    <n v="88"/>
    <n v="99.150877323509292"/>
    <n v="99.150877323509292"/>
    <n v="0.87328548496012171"/>
  </r>
  <r>
    <d v="2020-04-04T00:00:00"/>
    <x v="2"/>
    <x v="4"/>
    <n v="105"/>
    <n v="99.15204152016608"/>
    <n v="99.15204152016608"/>
    <n v="0.94430515733491505"/>
  </r>
  <r>
    <d v="2020-05-04T00:00:00"/>
    <x v="3"/>
    <x v="1"/>
    <n v="92"/>
    <n v="99.153205716822868"/>
    <n v="99.153205716822868"/>
    <n v="0.92224776394757757"/>
  </r>
  <r>
    <d v="2020-06-03T00:00:00"/>
    <x v="4"/>
    <x v="2"/>
    <n v="96"/>
    <n v="99.154369913479641"/>
    <n v="99.154369913479641"/>
    <n v="0.9671419800679204"/>
  </r>
  <r>
    <d v="2020-07-03T00:00:00"/>
    <x v="5"/>
    <x v="1"/>
    <n v="104"/>
    <n v="99.155534110136429"/>
    <n v="99.155534110136429"/>
    <n v="0.95341859721285027"/>
  </r>
  <r>
    <d v="2020-08-02T00:00:00"/>
    <x v="6"/>
    <x v="1"/>
    <n v="84"/>
    <n v="99.156698306793217"/>
    <n v="99.156698306793217"/>
    <n v="0.8195631153953189"/>
  </r>
  <r>
    <d v="2020-09-01T00:00:00"/>
    <x v="7"/>
    <x v="2"/>
    <n v="95"/>
    <n v="99.157862503450005"/>
    <n v="99.157862503450005"/>
    <n v="0.9562330262794736"/>
  </r>
  <r>
    <d v="2020-10-01T00:00:00"/>
    <x v="8"/>
    <x v="1"/>
    <n v="105"/>
    <n v="99.159026700106793"/>
    <n v="99.159026700106793"/>
    <n v="0.94437168285815998"/>
  </r>
  <r>
    <d v="2020-10-31T00:00:00"/>
    <x v="8"/>
    <x v="0"/>
    <n v="100"/>
    <n v="99.160190896763581"/>
    <n v="99.160190896763581"/>
    <n v="0.99160190896763578"/>
  </r>
  <r>
    <d v="2020-11-30T00:00:00"/>
    <x v="9"/>
    <x v="3"/>
    <n v="104"/>
    <n v="99.161355093420369"/>
    <n v="99.161355093420369"/>
    <n v="0.9534745682059651"/>
  </r>
  <r>
    <d v="2020-12-30T00:00:00"/>
    <x v="10"/>
    <x v="2"/>
    <n v="106"/>
    <n v="99.162519290077157"/>
    <n v="99.162519290077157"/>
    <n v="0.93549546500072789"/>
  </r>
  <r>
    <d v="2021-01-29T00:00:00"/>
    <x v="0"/>
    <x v="3"/>
    <n v="120"/>
    <n v="99.163683486733945"/>
    <n v="99.163683486733945"/>
    <n v="0.82636402905611617"/>
  </r>
  <r>
    <d v="2021-02-28T00:00:00"/>
    <x v="11"/>
    <x v="2"/>
    <n v="106"/>
    <n v="99.164847683390732"/>
    <n v="99.164847683390732"/>
    <n v="0.93551743097538431"/>
  </r>
  <r>
    <d v="2021-03-30T00:00:00"/>
    <x v="1"/>
    <x v="2"/>
    <n v="118"/>
    <n v="99.16601188004752"/>
    <n v="99.16601188004752"/>
    <n v="0.84038993118684335"/>
  </r>
  <r>
    <d v="2021-04-29T00:00:00"/>
    <x v="2"/>
    <x v="4"/>
    <n v="92"/>
    <n v="99.167176076704294"/>
    <n v="99.167176076704294"/>
    <n v="0.92209591220973597"/>
  </r>
  <r>
    <d v="2021-05-29T00:00:00"/>
    <x v="3"/>
    <x v="4"/>
    <n v="110"/>
    <n v="99.168340273361082"/>
    <n v="99.168340273361082"/>
    <n v="0.90153036612146442"/>
  </r>
  <r>
    <d v="2021-06-28T00:00:00"/>
    <x v="4"/>
    <x v="1"/>
    <n v="101"/>
    <n v="99.16950447001787"/>
    <n v="99.16950447001787"/>
    <n v="0.981876281881365"/>
  </r>
  <r>
    <d v="2021-07-28T00:00:00"/>
    <x v="5"/>
    <x v="3"/>
    <n v="84"/>
    <n v="99.170668666674658"/>
    <n v="99.170668666674658"/>
    <n v="0.8193968015872064"/>
  </r>
  <r>
    <d v="2021-08-27T00:00:00"/>
    <x v="6"/>
    <x v="2"/>
    <n v="115"/>
    <n v="99.171832863331446"/>
    <n v="99.171832863331446"/>
    <n v="0.86236376402896908"/>
  </r>
  <r>
    <d v="2021-09-26T00:00:00"/>
    <x v="7"/>
    <x v="1"/>
    <n v="95"/>
    <n v="99.172997059988234"/>
    <n v="99.172997059988234"/>
    <n v="0.95607371515801864"/>
  </r>
  <r>
    <d v="2021-10-26T00:00:00"/>
    <x v="8"/>
    <x v="0"/>
    <n v="114"/>
    <n v="99.174161256645021"/>
    <n v="99.174161256645021"/>
    <n v="0.86994878295302647"/>
  </r>
  <r>
    <d v="2021-11-25T00:00:00"/>
    <x v="9"/>
    <x v="2"/>
    <n v="104"/>
    <n v="99.175325453301809"/>
    <n v="99.175325453301809"/>
    <n v="0.95360889858944042"/>
  </r>
  <r>
    <d v="2021-12-25T00:00:00"/>
    <x v="10"/>
    <x v="0"/>
    <n v="89"/>
    <n v="99.176489649958597"/>
    <n v="99.176489649958597"/>
    <n v="0.88565741966338651"/>
  </r>
  <r>
    <d v="2022-01-24T00:00:00"/>
    <x v="0"/>
    <x v="1"/>
    <n v="101"/>
    <n v="99.177653846615385"/>
    <n v="99.177653846615385"/>
    <n v="0.98195696877837013"/>
  </r>
  <r>
    <d v="2022-02-23T00:00:00"/>
    <x v="11"/>
    <x v="4"/>
    <n v="85"/>
    <n v="99.178818043272173"/>
    <n v="99.178818043272173"/>
    <n v="0.8331903759615038"/>
  </r>
  <r>
    <d v="2022-03-25T00:00:00"/>
    <x v="1"/>
    <x v="1"/>
    <n v="101"/>
    <n v="99.179982239928947"/>
    <n v="99.179982239928947"/>
    <n v="0.98198002217751434"/>
  </r>
  <r>
    <d v="2022-04-24T00:00:00"/>
    <x v="2"/>
    <x v="0"/>
    <n v="104"/>
    <n v="99.181146436585735"/>
    <n v="99.181146436585735"/>
    <n v="0.95366486958255514"/>
  </r>
  <r>
    <d v="2022-05-24T00:00:00"/>
    <x v="3"/>
    <x v="2"/>
    <n v="106"/>
    <n v="99.182310633242523"/>
    <n v="99.182310633242523"/>
    <n v="0.93568217578530677"/>
  </r>
  <r>
    <d v="2022-06-23T00:00:00"/>
    <x v="4"/>
    <x v="3"/>
    <n v="95"/>
    <n v="99.183474829899311"/>
    <n v="99.183474829899311"/>
    <n v="0.95596342284316516"/>
  </r>
  <r>
    <d v="2022-07-23T00:00:00"/>
    <x v="5"/>
    <x v="1"/>
    <n v="104"/>
    <n v="99.184639026556098"/>
    <n v="99.184639026556098"/>
    <n v="0.95369845217842397"/>
  </r>
  <r>
    <d v="2022-08-22T00:00:00"/>
    <x v="6"/>
    <x v="2"/>
    <n v="105"/>
    <n v="99.185803223212886"/>
    <n v="99.185803223212886"/>
    <n v="0.94462669736393223"/>
  </r>
  <r>
    <d v="2022-09-21T00:00:00"/>
    <x v="7"/>
    <x v="4"/>
    <n v="84"/>
    <n v="99.186967419869674"/>
    <n v="99.186967419869674"/>
    <n v="0.81920276881107534"/>
  </r>
  <r>
    <d v="2022-10-21T00:00:00"/>
    <x v="8"/>
    <x v="4"/>
    <n v="93"/>
    <n v="99.188131616526462"/>
    <n v="99.188131616526462"/>
    <n v="0.93346095035993049"/>
  </r>
  <r>
    <d v="2022-11-20T00:00:00"/>
    <x v="9"/>
    <x v="4"/>
    <n v="115"/>
    <n v="99.18929581318325"/>
    <n v="99.18929581318325"/>
    <n v="0.86251561576681091"/>
  </r>
  <r>
    <d v="2022-12-20T00:00:00"/>
    <x v="10"/>
    <x v="2"/>
    <n v="109"/>
    <n v="99.190460009840038"/>
    <n v="99.190460009840038"/>
    <n v="0.91000422027376182"/>
  </r>
  <r>
    <d v="2023-01-19T00:00:00"/>
    <x v="0"/>
    <x v="1"/>
    <n v="102"/>
    <n v="99.191624206496826"/>
    <n v="99.191624206496826"/>
    <n v="0.97246690398526303"/>
  </r>
  <r>
    <d v="2023-02-18T00:00:00"/>
    <x v="11"/>
    <x v="2"/>
    <n v="100"/>
    <n v="99.1927884031536"/>
    <n v="99.1927884031536"/>
    <n v="0.99192788403153598"/>
  </r>
  <r>
    <d v="2023-03-20T00:00:00"/>
    <x v="1"/>
    <x v="2"/>
    <n v="93"/>
    <n v="99.193952599810387"/>
    <n v="99.193952599810387"/>
    <n v="0.93339835914182379"/>
  </r>
  <r>
    <d v="2023-04-19T00:00:00"/>
    <x v="2"/>
    <x v="3"/>
    <n v="121"/>
    <n v="99.195116796467175"/>
    <n v="99.195116796467175"/>
    <n v="0.81979435368981135"/>
  </r>
  <r>
    <d v="2023-05-19T00:00:00"/>
    <x v="3"/>
    <x v="3"/>
    <n v="117"/>
    <n v="99.196280993123963"/>
    <n v="99.196280993123963"/>
    <n v="0.84783146147969202"/>
  </r>
  <r>
    <d v="2023-06-18T00:00:00"/>
    <x v="4"/>
    <x v="1"/>
    <n v="98"/>
    <n v="99.197445189780751"/>
    <n v="99.197445189780751"/>
    <n v="0.9877811715328495"/>
  </r>
  <r>
    <d v="2023-07-18T00:00:00"/>
    <x v="5"/>
    <x v="3"/>
    <n v="94"/>
    <n v="99.198609386437539"/>
    <n v="99.198609386437539"/>
    <n v="0.94469564482513257"/>
  </r>
  <r>
    <d v="2023-08-17T00:00:00"/>
    <x v="6"/>
    <x v="4"/>
    <n v="112"/>
    <n v="99.199773583094327"/>
    <n v="99.199773583094327"/>
    <n v="0.88571226413477078"/>
  </r>
  <r>
    <d v="2023-09-16T00:00:00"/>
    <x v="7"/>
    <x v="3"/>
    <n v="89"/>
    <n v="99.200937779751115"/>
    <n v="99.200937779751115"/>
    <n v="0.8853827215758302"/>
  </r>
  <r>
    <d v="2023-10-16T00:00:00"/>
    <x v="8"/>
    <x v="4"/>
    <n v="119"/>
    <n v="99.202101976407903"/>
    <n v="99.202101976407903"/>
    <n v="0.83363110904544457"/>
  </r>
  <r>
    <d v="2023-11-15T00:00:00"/>
    <x v="9"/>
    <x v="1"/>
    <n v="102"/>
    <n v="99.203266173064691"/>
    <n v="99.203266173064691"/>
    <n v="0.97258104091239894"/>
  </r>
  <r>
    <d v="2023-12-15T00:00:00"/>
    <x v="10"/>
    <x v="2"/>
    <n v="87"/>
    <n v="99.204430369721479"/>
    <n v="99.204430369721479"/>
    <n v="0.85971919115262674"/>
  </r>
  <r>
    <d v="2024-01-14T00:00:00"/>
    <x v="0"/>
    <x v="2"/>
    <n v="113"/>
    <n v="99.205594566378252"/>
    <n v="99.205594566378252"/>
    <n v="0.87792561563166593"/>
  </r>
  <r>
    <d v="2024-02-13T00:00:00"/>
    <x v="11"/>
    <x v="3"/>
    <n v="106"/>
    <n v="99.20675876303504"/>
    <n v="99.20675876303504"/>
    <n v="0.9359128185191985"/>
  </r>
  <r>
    <d v="2024-03-14T00:00:00"/>
    <x v="1"/>
    <x v="4"/>
    <n v="96"/>
    <n v="99.207922959691828"/>
    <n v="99.207922959691828"/>
    <n v="0.96658413583654346"/>
  </r>
  <r>
    <d v="2024-04-13T00:00:00"/>
    <x v="2"/>
    <x v="0"/>
    <n v="110"/>
    <n v="99.209087156348616"/>
    <n v="99.209087156348616"/>
    <n v="0.90190079233044196"/>
  </r>
  <r>
    <d v="2024-05-13T00:00:00"/>
    <x v="3"/>
    <x v="0"/>
    <n v="100"/>
    <n v="99.210251353005404"/>
    <n v="99.210251353005404"/>
    <n v="0.99210251353005408"/>
  </r>
  <r>
    <d v="2024-06-12T00:00:00"/>
    <x v="4"/>
    <x v="0"/>
    <n v="84"/>
    <n v="99.211415549662192"/>
    <n v="99.211415549662192"/>
    <n v="0.8189117196468787"/>
  </r>
  <r>
    <d v="2024-07-12T00:00:00"/>
    <x v="5"/>
    <x v="2"/>
    <n v="106"/>
    <n v="99.21257974631898"/>
    <n v="99.21257974631898"/>
    <n v="0.93596773345583939"/>
  </r>
  <r>
    <d v="2024-08-11T00:00:00"/>
    <x v="6"/>
    <x v="2"/>
    <n v="114"/>
    <n v="99.213743942975768"/>
    <n v="99.213743942975768"/>
    <n v="0.87029599949978742"/>
  </r>
  <r>
    <d v="2024-09-10T00:00:00"/>
    <x v="7"/>
    <x v="4"/>
    <n v="96"/>
    <n v="99.214908139632556"/>
    <n v="99.214908139632556"/>
    <n v="0.96651137354549421"/>
  </r>
  <r>
    <d v="2024-10-10T00:00:00"/>
    <x v="8"/>
    <x v="3"/>
    <n v="102"/>
    <n v="99.216072336289344"/>
    <n v="99.216072336289344"/>
    <n v="0.97270659153224848"/>
  </r>
  <r>
    <d v="2024-11-09T00:00:00"/>
    <x v="9"/>
    <x v="0"/>
    <n v="106"/>
    <n v="99.217236532946131"/>
    <n v="99.217236532946131"/>
    <n v="0.93601166540515224"/>
  </r>
  <r>
    <d v="2024-12-09T00:00:00"/>
    <x v="10"/>
    <x v="4"/>
    <n v="93"/>
    <n v="99.218400729602905"/>
    <n v="99.218400729602905"/>
    <n v="0.93313547602577518"/>
  </r>
  <r>
    <d v="2025-01-08T00:00:00"/>
    <x v="0"/>
    <x v="4"/>
    <n v="100"/>
    <n v="99.219564926259693"/>
    <n v="99.219564926259693"/>
    <n v="0.99219564926259696"/>
  </r>
  <r>
    <d v="2025-02-07T00:00:00"/>
    <x v="11"/>
    <x v="3"/>
    <n v="111"/>
    <n v="99.220729122916481"/>
    <n v="99.220729122916481"/>
    <n v="0.89388044254879717"/>
  </r>
  <r>
    <d v="2025-03-09T00:00:00"/>
    <x v="1"/>
    <x v="4"/>
    <n v="87"/>
    <n v="99.221893319573269"/>
    <n v="99.221893319573269"/>
    <n v="0.85951846759111183"/>
  </r>
  <r>
    <d v="2025-04-08T00:00:00"/>
    <x v="2"/>
    <x v="3"/>
    <n v="100"/>
    <n v="99.223057516230057"/>
    <n v="99.223057516230057"/>
    <n v="0.99223057516230062"/>
  </r>
  <r>
    <d v="2025-05-08T00:00:00"/>
    <x v="3"/>
    <x v="1"/>
    <n v="104"/>
    <n v="99.224221712886845"/>
    <n v="99.224221712886845"/>
    <n v="0.95407905493160428"/>
  </r>
  <r>
    <d v="2025-06-07T00:00:00"/>
    <x v="4"/>
    <x v="3"/>
    <n v="78"/>
    <n v="99.225385909543633"/>
    <n v="99.225385909543633"/>
    <n v="0.72787966782636371"/>
  </r>
  <r>
    <d v="2025-07-07T00:00:00"/>
    <x v="5"/>
    <x v="0"/>
    <n v="101"/>
    <n v="99.22655010620042"/>
    <n v="99.22655010620042"/>
    <n v="0.98244109016040015"/>
  </r>
  <r>
    <d v="2025-08-06T00:00:00"/>
    <x v="6"/>
    <x v="0"/>
    <n v="100"/>
    <n v="99.227714302857208"/>
    <n v="99.227714302857208"/>
    <n v="0.99227714302857206"/>
  </r>
  <r>
    <d v="2025-09-05T00:00:00"/>
    <x v="7"/>
    <x v="3"/>
    <n v="109"/>
    <n v="99.228878499513996"/>
    <n v="99.228878499513996"/>
    <n v="0.91035668348177978"/>
  </r>
  <r>
    <d v="2025-10-05T00:00:00"/>
    <x v="8"/>
    <x v="1"/>
    <n v="98"/>
    <n v="99.230042696170784"/>
    <n v="99.230042696170784"/>
    <n v="0.98744854391662462"/>
  </r>
  <r>
    <d v="2025-11-04T00:00:00"/>
    <x v="9"/>
    <x v="1"/>
    <n v="111"/>
    <n v="99.231206892827558"/>
    <n v="99.231206892827558"/>
    <n v="0.89397483687232038"/>
  </r>
  <r>
    <d v="2025-12-04T00:00:00"/>
    <x v="10"/>
    <x v="0"/>
    <n v="97"/>
    <n v="99.232371089484346"/>
    <n v="99.232371089484346"/>
    <n v="0.97698586505686236"/>
  </r>
  <r>
    <d v="2026-01-03T00:00:00"/>
    <x v="0"/>
    <x v="1"/>
    <n v="88"/>
    <n v="99.233535286141134"/>
    <n v="99.233535286141134"/>
    <n v="0.8723461899302144"/>
  </r>
  <r>
    <d v="2026-02-02T00:00:00"/>
    <x v="11"/>
    <x v="4"/>
    <n v="101"/>
    <n v="99.234699482797922"/>
    <n v="99.234699482797922"/>
    <n v="0.98252177705740518"/>
  </r>
  <r>
    <d v="2026-03-04T00:00:00"/>
    <x v="1"/>
    <x v="2"/>
    <n v="105"/>
    <n v="99.23586367945471"/>
    <n v="99.23586367945471"/>
    <n v="0.94510346361385433"/>
  </r>
  <r>
    <d v="2026-04-03T00:00:00"/>
    <x v="2"/>
    <x v="4"/>
    <n v="102"/>
    <n v="99.237027876111497"/>
    <n v="99.237027876111497"/>
    <n v="0.97291203800109316"/>
  </r>
  <r>
    <d v="2026-05-03T00:00:00"/>
    <x v="3"/>
    <x v="0"/>
    <n v="98"/>
    <n v="99.238192072768285"/>
    <n v="99.238192072768285"/>
    <n v="0.98736538701256849"/>
  </r>
  <r>
    <d v="2026-06-02T00:00:00"/>
    <x v="4"/>
    <x v="1"/>
    <n v="96"/>
    <n v="99.239356269425073"/>
    <n v="99.239356269425073"/>
    <n v="0.96625670552682219"/>
  </r>
  <r>
    <d v="2026-07-02T00:00:00"/>
    <x v="5"/>
    <x v="3"/>
    <n v="76"/>
    <n v="99.240520466081861"/>
    <n v="99.240520466081861"/>
    <n v="0.6942036780778702"/>
  </r>
  <r>
    <d v="2026-08-01T00:00:00"/>
    <x v="6"/>
    <x v="2"/>
    <n v="112"/>
    <n v="99.241684662738649"/>
    <n v="99.241684662738649"/>
    <n v="0.88608647020302367"/>
  </r>
  <r>
    <d v="2026-08-31T00:00:00"/>
    <x v="6"/>
    <x v="3"/>
    <n v="99"/>
    <n v="99.242848859395437"/>
    <n v="99.242848859395437"/>
    <n v="0.99754698121822793"/>
  </r>
  <r>
    <d v="2026-09-30T00:00:00"/>
    <x v="7"/>
    <x v="0"/>
    <n v="100"/>
    <n v="99.244013056052211"/>
    <n v="99.244013056052211"/>
    <n v="0.99244013056052216"/>
  </r>
  <r>
    <d v="2026-10-30T00:00:00"/>
    <x v="8"/>
    <x v="1"/>
    <n v="89"/>
    <n v="99.245177252708999"/>
    <n v="99.245177252708999"/>
    <n v="0.88488564884596632"/>
  </r>
  <r>
    <d v="2026-11-29T00:00:00"/>
    <x v="9"/>
    <x v="3"/>
    <n v="102"/>
    <n v="99.246341449365787"/>
    <n v="99.246341449365787"/>
    <n v="0.97300334754280182"/>
  </r>
  <r>
    <d v="2026-12-29T00:00:00"/>
    <x v="10"/>
    <x v="3"/>
    <n v="104"/>
    <n v="99.247505646022574"/>
    <n v="99.247505646022574"/>
    <n v="0.95430293890406326"/>
  </r>
  <r>
    <d v="2027-01-28T00:00:00"/>
    <x v="0"/>
    <x v="2"/>
    <n v="96"/>
    <n v="99.248669842679362"/>
    <n v="99.248669842679362"/>
    <n v="0.96615968913875661"/>
  </r>
  <r>
    <d v="2027-02-27T00:00:00"/>
    <x v="11"/>
    <x v="2"/>
    <n v="100"/>
    <n v="99.24983403933615"/>
    <n v="99.24983403933615"/>
    <n v="0.99249834039336149"/>
  </r>
  <r>
    <d v="2027-03-29T00:00:00"/>
    <x v="1"/>
    <x v="1"/>
    <n v="105"/>
    <n v="99.250998235992938"/>
    <n v="99.250998235992938"/>
    <n v="0.94524760224755178"/>
  </r>
  <r>
    <d v="2027-04-28T00:00:00"/>
    <x v="2"/>
    <x v="2"/>
    <n v="81"/>
    <n v="99.252162432649726"/>
    <n v="99.252162432649726"/>
    <n v="0.77466466132531209"/>
  </r>
  <r>
    <d v="2027-05-28T00:00:00"/>
    <x v="3"/>
    <x v="3"/>
    <n v="120"/>
    <n v="99.253326629306514"/>
    <n v="99.253326629306514"/>
    <n v="0.82711105524422091"/>
  </r>
  <r>
    <d v="2027-06-27T00:00:00"/>
    <x v="4"/>
    <x v="3"/>
    <n v="97"/>
    <n v="99.254490825963302"/>
    <n v="99.254490825963302"/>
    <n v="0.97675782653646082"/>
  </r>
  <r>
    <d v="2027-07-27T00:00:00"/>
    <x v="5"/>
    <x v="0"/>
    <n v="99"/>
    <n v="99.25565502262009"/>
    <n v="99.25565502262009"/>
    <n v="0.99741762603414053"/>
  </r>
  <r>
    <d v="2027-08-26T00:00:00"/>
    <x v="6"/>
    <x v="3"/>
    <n v="120"/>
    <n v="99.256819219276878"/>
    <n v="99.256819219276878"/>
    <n v="0.82714016016064063"/>
  </r>
  <r>
    <d v="2027-09-25T00:00:00"/>
    <x v="7"/>
    <x v="1"/>
    <n v="90"/>
    <n v="99.257983415933651"/>
    <n v="99.257983415933651"/>
    <n v="0.89713351760073723"/>
  </r>
  <r>
    <d v="2027-10-25T00:00:00"/>
    <x v="8"/>
    <x v="4"/>
    <n v="85"/>
    <n v="99.259147612590439"/>
    <n v="99.259147612590439"/>
    <n v="0.83224532220481839"/>
  </r>
  <r>
    <d v="2027-11-24T00:00:00"/>
    <x v="9"/>
    <x v="0"/>
    <n v="84"/>
    <n v="99.260311809247227"/>
    <n v="99.260311809247227"/>
    <n v="0.81832962131848541"/>
  </r>
  <r>
    <d v="2027-12-24T00:00:00"/>
    <x v="10"/>
    <x v="0"/>
    <n v="106"/>
    <n v="99.261476005904015"/>
    <n v="99.261476005904015"/>
    <n v="0.93642901892362274"/>
  </r>
  <r>
    <d v="2028-01-23T00:00:00"/>
    <x v="0"/>
    <x v="1"/>
    <n v="112"/>
    <n v="99.262640202560803"/>
    <n v="99.262640202560803"/>
    <n v="0.88627357323715006"/>
  </r>
  <r>
    <d v="2028-02-22T00:00:00"/>
    <x v="11"/>
    <x v="1"/>
    <n v="110"/>
    <n v="99.263804399217591"/>
    <n v="99.263804399217591"/>
    <n v="0.90239822181106899"/>
  </r>
  <r>
    <d v="2028-03-23T00:00:00"/>
    <x v="1"/>
    <x v="2"/>
    <n v="86"/>
    <n v="99.264968595874379"/>
    <n v="99.264968595874379"/>
    <n v="0.84575617911773981"/>
  </r>
  <r>
    <d v="2028-04-22T00:00:00"/>
    <x v="2"/>
    <x v="0"/>
    <n v="104"/>
    <n v="99.266132792531167"/>
    <n v="99.266132792531167"/>
    <n v="0.95448204608203047"/>
  </r>
  <r>
    <d v="2028-05-22T00:00:00"/>
    <x v="3"/>
    <x v="2"/>
    <n v="107"/>
    <n v="99.267296989187955"/>
    <n v="99.267296989187955"/>
    <n v="0.92773174756250421"/>
  </r>
  <r>
    <d v="2028-06-21T00:00:00"/>
    <x v="4"/>
    <x v="3"/>
    <n v="93"/>
    <n v="99.268461185844743"/>
    <n v="99.268461185844743"/>
    <n v="0.93259719155005649"/>
  </r>
  <r>
    <d v="2028-07-21T00:00:00"/>
    <x v="5"/>
    <x v="0"/>
    <n v="108"/>
    <n v="99.26962538250153"/>
    <n v="99.26962538250153"/>
    <n v="0.91916319798612522"/>
  </r>
  <r>
    <d v="2028-08-20T00:00:00"/>
    <x v="6"/>
    <x v="0"/>
    <n v="96"/>
    <n v="99.270789579158304"/>
    <n v="99.270789579158304"/>
    <n v="0.96592927521710104"/>
  </r>
  <r>
    <d v="2028-09-19T00:00:00"/>
    <x v="7"/>
    <x v="4"/>
    <n v="95"/>
    <n v="99.271953775815092"/>
    <n v="99.271953775815092"/>
    <n v="0.9550320655177359"/>
  </r>
  <r>
    <d v="2028-10-19T00:00:00"/>
    <x v="8"/>
    <x v="0"/>
    <n v="112"/>
    <n v="99.27311797247188"/>
    <n v="99.27311797247188"/>
    <n v="0.8863671247542132"/>
  </r>
  <r>
    <d v="2028-11-18T00:00:00"/>
    <x v="9"/>
    <x v="3"/>
    <n v="108"/>
    <n v="99.274282169128668"/>
    <n v="99.274282169128668"/>
    <n v="0.91920631638082095"/>
  </r>
  <r>
    <d v="2028-12-18T00:00:00"/>
    <x v="10"/>
    <x v="2"/>
    <n v="85"/>
    <n v="99.275446365785456"/>
    <n v="99.275446365785456"/>
    <n v="0.83205357216722997"/>
  </r>
  <r>
    <d v="2029-01-17T00:00:00"/>
    <x v="0"/>
    <x v="2"/>
    <n v="87"/>
    <n v="99.276610562442244"/>
    <n v="99.276610562442244"/>
    <n v="0.85888953376503174"/>
  </r>
  <r>
    <d v="2029-02-16T00:00:00"/>
    <x v="11"/>
    <x v="4"/>
    <n v="95"/>
    <n v="99.277774759099032"/>
    <n v="99.277774759099032"/>
    <n v="0.95497079200948387"/>
  </r>
  <r>
    <d v="2029-03-18T00:00:00"/>
    <x v="1"/>
    <x v="3"/>
    <n v="97"/>
    <n v="99.27893895575582"/>
    <n v="99.27893895575582"/>
    <n v="0.97650578396128018"/>
  </r>
  <r>
    <d v="2029-04-17T00:00:00"/>
    <x v="2"/>
    <x v="2"/>
    <n v="116"/>
    <n v="99.280103152412607"/>
    <n v="99.280103152412607"/>
    <n v="0.85586295821045355"/>
  </r>
  <r>
    <d v="2029-05-17T00:00:00"/>
    <x v="3"/>
    <x v="1"/>
    <n v="95"/>
    <n v="99.281267349069395"/>
    <n v="99.281267349069395"/>
    <n v="0.95493402790453263"/>
  </r>
  <r>
    <d v="2029-06-16T00:00:00"/>
    <x v="4"/>
    <x v="3"/>
    <n v="123"/>
    <n v="99.282431545726183"/>
    <n v="99.282431545726183"/>
    <n v="0.80717424020915596"/>
  </r>
  <r>
    <d v="2029-07-16T00:00:00"/>
    <x v="5"/>
    <x v="3"/>
    <n v="104"/>
    <n v="99.283595742382957"/>
    <n v="99.283595742382957"/>
    <n v="0.95464995906137462"/>
  </r>
  <r>
    <d v="2029-08-15T00:00:00"/>
    <x v="6"/>
    <x v="4"/>
    <n v="94"/>
    <n v="99.284759939039745"/>
    <n v="99.284759939039745"/>
    <n v="0.94377914958468356"/>
  </r>
  <r>
    <d v="2029-09-14T00:00:00"/>
    <x v="7"/>
    <x v="2"/>
    <n v="105"/>
    <n v="99.285924135696533"/>
    <n v="99.285924135696533"/>
    <n v="0.94558022986377654"/>
  </r>
  <r>
    <d v="2029-10-14T00:00:00"/>
    <x v="8"/>
    <x v="3"/>
    <n v="109"/>
    <n v="99.287088332353321"/>
    <n v="99.287088332353321"/>
    <n v="0.91089071864544335"/>
  </r>
  <r>
    <d v="2029-11-13T00:00:00"/>
    <x v="9"/>
    <x v="2"/>
    <n v="84"/>
    <n v="99.288252529010109"/>
    <n v="99.288252529010109"/>
    <n v="0.81799699370226064"/>
  </r>
  <r>
    <d v="2029-12-13T00:00:00"/>
    <x v="10"/>
    <x v="1"/>
    <n v="79"/>
    <n v="99.289416725666896"/>
    <n v="99.289416725666896"/>
    <n v="0.74317194018143162"/>
  </r>
  <r>
    <d v="2030-01-12T00:00:00"/>
    <x v="0"/>
    <x v="4"/>
    <n v="98"/>
    <n v="99.290580922323684"/>
    <n v="99.290580922323684"/>
    <n v="0.98683080691506442"/>
  </r>
  <r>
    <d v="2030-02-11T00:00:00"/>
    <x v="11"/>
    <x v="1"/>
    <n v="96"/>
    <n v="99.291745118980472"/>
    <n v="99.291745118980472"/>
    <n v="0.96571098834395341"/>
  </r>
  <r>
    <d v="2030-03-13T00:00:00"/>
    <x v="1"/>
    <x v="4"/>
    <n v="88"/>
    <n v="99.29290931563726"/>
    <n v="99.29290931563726"/>
    <n v="0.87167148504957659"/>
  </r>
  <r>
    <d v="2030-04-12T00:00:00"/>
    <x v="2"/>
    <x v="3"/>
    <n v="103"/>
    <n v="99.294073512294048"/>
    <n v="99.294073512294048"/>
    <n v="0.96402013118732088"/>
  </r>
  <r>
    <d v="2030-05-12T00:00:00"/>
    <x v="3"/>
    <x v="4"/>
    <n v="83"/>
    <n v="99.295237708950836"/>
    <n v="99.295237708950836"/>
    <n v="0.80367183483191762"/>
  </r>
  <r>
    <d v="2030-06-11T00:00:00"/>
    <x v="4"/>
    <x v="0"/>
    <n v="82"/>
    <n v="99.29640190560761"/>
    <n v="99.29640190560761"/>
    <n v="0.78906826944380959"/>
  </r>
  <r>
    <d v="2030-07-11T00:00:00"/>
    <x v="5"/>
    <x v="2"/>
    <n v="106"/>
    <n v="99.297566102264398"/>
    <n v="99.297566102264398"/>
    <n v="0.93676949153079625"/>
  </r>
  <r>
    <d v="2030-08-10T00:00:00"/>
    <x v="6"/>
    <x v="2"/>
    <n v="96"/>
    <n v="99.298730298921186"/>
    <n v="99.298730298921186"/>
    <n v="0.96563822605290428"/>
  </r>
  <r>
    <d v="2030-09-09T00:00:00"/>
    <x v="7"/>
    <x v="0"/>
    <n v="96"/>
    <n v="99.299894495577973"/>
    <n v="99.299894495577973"/>
    <n v="0.96562609900439611"/>
  </r>
  <r>
    <d v="2030-10-09T00:00:00"/>
    <x v="8"/>
    <x v="1"/>
    <n v="109"/>
    <n v="99.301058692234761"/>
    <n v="99.301058692234761"/>
    <n v="0.91101888708472256"/>
  </r>
  <r>
    <d v="2030-11-08T00:00:00"/>
    <x v="9"/>
    <x v="0"/>
    <n v="98"/>
    <n v="99.302222888891549"/>
    <n v="99.302222888891549"/>
    <n v="0.98671201133784137"/>
  </r>
  <r>
    <d v="2030-12-08T00:00:00"/>
    <x v="10"/>
    <x v="3"/>
    <n v="86"/>
    <n v="99.303387085548337"/>
    <n v="99.303387085548337"/>
    <n v="0.84530945249362399"/>
  </r>
  <r>
    <d v="2031-01-07T00:00:00"/>
    <x v="0"/>
    <x v="3"/>
    <n v="79"/>
    <n v="99.304551282205125"/>
    <n v="99.304551282205125"/>
    <n v="0.74298036351639074"/>
  </r>
  <r>
    <d v="2031-02-06T00:00:00"/>
    <x v="11"/>
    <x v="2"/>
    <n v="86"/>
    <n v="99.305715478861913"/>
    <n v="99.305715478861913"/>
    <n v="0.84528237815276852"/>
  </r>
  <r>
    <d v="2031-03-08T00:00:00"/>
    <x v="1"/>
    <x v="3"/>
    <n v="108"/>
    <n v="99.306879675518701"/>
    <n v="99.306879675518701"/>
    <n v="0.91950814514369172"/>
  </r>
  <r>
    <d v="2031-04-07T00:00:00"/>
    <x v="2"/>
    <x v="2"/>
    <n v="127"/>
    <n v="99.308043872175489"/>
    <n v="99.308043872175489"/>
    <n v="0.7819531013557125"/>
  </r>
  <r>
    <d v="2031-05-07T00:00:00"/>
    <x v="3"/>
    <x v="0"/>
    <n v="93"/>
    <n v="99.309208068832262"/>
    <n v="99.309208068832262"/>
    <n v="0.93215905302330904"/>
  </r>
  <r>
    <d v="2031-06-06T00:00:00"/>
    <x v="4"/>
    <x v="0"/>
    <n v="82"/>
    <n v="99.31037226548905"/>
    <n v="99.31037226548905"/>
    <n v="0.788897899201353"/>
  </r>
  <r>
    <d v="2031-07-06T00:00:00"/>
    <x v="5"/>
    <x v="0"/>
    <n v="104"/>
    <n v="99.311536462145838"/>
    <n v="99.311536462145838"/>
    <n v="0.95491861982832538"/>
  </r>
  <r>
    <d v="2031-08-05T00:00:00"/>
    <x v="6"/>
    <x v="2"/>
    <n v="99"/>
    <n v="99.312700658802626"/>
    <n v="99.312700658802626"/>
    <n v="0.99684140748684213"/>
  </r>
  <r>
    <d v="2031-09-04T00:00:00"/>
    <x v="7"/>
    <x v="0"/>
    <n v="102"/>
    <n v="99.313864855459414"/>
    <n v="99.313864855459414"/>
    <n v="0.97366534172019037"/>
  </r>
  <r>
    <d v="2031-10-04T00:00:00"/>
    <x v="8"/>
    <x v="0"/>
    <n v="76"/>
    <n v="99.315029052116202"/>
    <n v="99.315029052116202"/>
    <n v="0.69322330194583937"/>
  </r>
  <r>
    <d v="2031-11-03T00:00:00"/>
    <x v="9"/>
    <x v="1"/>
    <n v="99"/>
    <n v="99.31619324877299"/>
    <n v="99.31619324877299"/>
    <n v="0.99680612880027286"/>
  </r>
  <r>
    <d v="2031-12-03T00:00:00"/>
    <x v="10"/>
    <x v="0"/>
    <n v="93"/>
    <n v="99.317357445429778"/>
    <n v="99.317357445429778"/>
    <n v="0.93207142531795939"/>
  </r>
  <r>
    <d v="2032-01-02T00:00:00"/>
    <x v="0"/>
    <x v="3"/>
    <n v="99"/>
    <n v="99.318521642086566"/>
    <n v="99.318521642086566"/>
    <n v="0.99678260967589327"/>
  </r>
  <r>
    <d v="2032-02-01T00:00:00"/>
    <x v="11"/>
    <x v="2"/>
    <n v="102"/>
    <n v="99.319685838743354"/>
    <n v="99.319685838743354"/>
    <n v="0.97372241018375838"/>
  </r>
  <r>
    <d v="2032-03-02T00:00:00"/>
    <x v="1"/>
    <x v="1"/>
    <n v="106"/>
    <n v="99.320850035400142"/>
    <n v="99.320850035400142"/>
    <n v="0.93698915127735982"/>
  </r>
  <r>
    <d v="2032-04-01T00:00:00"/>
    <x v="2"/>
    <x v="4"/>
    <n v="94"/>
    <n v="99.322014232056915"/>
    <n v="99.322014232056915"/>
    <n v="0.9433828273185435"/>
  </r>
  <r>
    <d v="2032-05-01T00:00:00"/>
    <x v="3"/>
    <x v="2"/>
    <n v="105"/>
    <n v="99.323178428713703"/>
    <n v="99.323178428713703"/>
    <n v="0.94593503265441625"/>
  </r>
  <r>
    <d v="2032-05-31T00:00:00"/>
    <x v="3"/>
    <x v="3"/>
    <n v="100"/>
    <n v="99.324342625370491"/>
    <n v="99.324342625370491"/>
    <n v="0.99324342625370488"/>
  </r>
  <r>
    <d v="2032-06-30T00:00:00"/>
    <x v="4"/>
    <x v="2"/>
    <n v="122"/>
    <n v="99.325506822027279"/>
    <n v="99.325506822027279"/>
    <n v="0.81414349854120727"/>
  </r>
  <r>
    <d v="2032-07-30T00:00:00"/>
    <x v="5"/>
    <x v="3"/>
    <n v="103"/>
    <n v="99.326671018684067"/>
    <n v="99.326671018684067"/>
    <n v="0.96433661183188413"/>
  </r>
  <r>
    <d v="2032-08-29T00:00:00"/>
    <x v="6"/>
    <x v="3"/>
    <n v="119"/>
    <n v="99.327835215340855"/>
    <n v="99.327835215340855"/>
    <n v="0.83468769088521721"/>
  </r>
  <r>
    <d v="2032-09-28T00:00:00"/>
    <x v="7"/>
    <x v="4"/>
    <n v="76"/>
    <n v="99.328999411997643"/>
    <n v="99.328999411997643"/>
    <n v="0.69303948142108363"/>
  </r>
  <r>
    <d v="2032-10-28T00:00:00"/>
    <x v="8"/>
    <x v="2"/>
    <n v="96"/>
    <n v="99.330163608654431"/>
    <n v="99.330163608654431"/>
    <n v="0.96531079574318301"/>
  </r>
  <r>
    <d v="2032-11-27T00:00:00"/>
    <x v="9"/>
    <x v="4"/>
    <n v="103"/>
    <n v="99.331327805311219"/>
    <n v="99.331327805311219"/>
    <n v="0.96438182335253608"/>
  </r>
  <r>
    <d v="2032-12-27T00:00:00"/>
    <x v="10"/>
    <x v="4"/>
    <n v="111"/>
    <n v="99.332492001968006"/>
    <n v="99.332492001968006"/>
    <n v="0.89488731533304511"/>
  </r>
  <r>
    <d v="2033-01-26T00:00:00"/>
    <x v="0"/>
    <x v="2"/>
    <n v="97"/>
    <n v="99.333656198624794"/>
    <n v="99.333656198624794"/>
    <n v="0.97594168867397124"/>
  </r>
  <r>
    <d v="2033-02-25T00:00:00"/>
    <x v="11"/>
    <x v="0"/>
    <n v="112"/>
    <n v="99.334820395281568"/>
    <n v="99.334820395281568"/>
    <n v="0.88691803924358548"/>
  </r>
  <r>
    <d v="2033-03-27T00:00:00"/>
    <x v="1"/>
    <x v="0"/>
    <n v="99"/>
    <n v="99.335984591938356"/>
    <n v="99.335984591938356"/>
    <n v="0.99660621624304691"/>
  </r>
  <r>
    <d v="2033-04-26T00:00:00"/>
    <x v="2"/>
    <x v="4"/>
    <n v="124"/>
    <n v="99.337148788595144"/>
    <n v="99.337148788595144"/>
    <n v="0.8011060386177028"/>
  </r>
  <r>
    <d v="2033-05-26T00:00:00"/>
    <x v="3"/>
    <x v="1"/>
    <n v="91"/>
    <n v="99.338312985251932"/>
    <n v="99.338312985251932"/>
    <n v="0.90837018697525351"/>
  </r>
  <r>
    <d v="2033-06-25T00:00:00"/>
    <x v="4"/>
    <x v="4"/>
    <n v="103"/>
    <n v="99.33947718190872"/>
    <n v="99.33947718190872"/>
    <n v="0.96446094351367684"/>
  </r>
  <r>
    <d v="2033-07-25T00:00:00"/>
    <x v="5"/>
    <x v="4"/>
    <n v="86"/>
    <n v="99.340641378565508"/>
    <n v="99.340641378565508"/>
    <n v="0.84487626303993602"/>
  </r>
  <r>
    <d v="2033-08-24T00:00:00"/>
    <x v="6"/>
    <x v="4"/>
    <n v="101"/>
    <n v="99.341805575222295"/>
    <n v="99.341805575222295"/>
    <n v="0.98358223341804252"/>
  </r>
  <r>
    <d v="2033-09-23T00:00:00"/>
    <x v="7"/>
    <x v="0"/>
    <n v="101"/>
    <n v="99.342969771879083"/>
    <n v="99.342969771879083"/>
    <n v="0.98359376011761468"/>
  </r>
  <r>
    <d v="2033-10-23T00:00:00"/>
    <x v="8"/>
    <x v="0"/>
    <n v="101"/>
    <n v="99.344133968535871"/>
    <n v="99.344133968535871"/>
    <n v="0.98360528681718684"/>
  </r>
  <r>
    <d v="2033-11-22T00:00:00"/>
    <x v="9"/>
    <x v="0"/>
    <n v="113"/>
    <n v="99.345298165192659"/>
    <n v="99.345298165192659"/>
    <n v="0.87916193066542181"/>
  </r>
  <r>
    <d v="2033-12-22T00:00:00"/>
    <x v="10"/>
    <x v="4"/>
    <n v="87"/>
    <n v="99.346462361849447"/>
    <n v="99.346462361849447"/>
    <n v="0.85808663951897191"/>
  </r>
  <r>
    <d v="2034-01-21T00:00:00"/>
    <x v="0"/>
    <x v="1"/>
    <n v="108"/>
    <n v="99.347626558506221"/>
    <n v="99.347626558506221"/>
    <n v="0.91988543109727983"/>
  </r>
  <r>
    <d v="2034-02-20T00:00:00"/>
    <x v="11"/>
    <x v="0"/>
    <n v="100"/>
    <n v="99.348790755163009"/>
    <n v="99.348790755163009"/>
    <n v="0.99348790755163008"/>
  </r>
  <r>
    <d v="2034-03-22T00:00:00"/>
    <x v="1"/>
    <x v="2"/>
    <n v="87"/>
    <n v="99.349954951819797"/>
    <n v="99.349954951819797"/>
    <n v="0.85804649480666906"/>
  </r>
  <r>
    <d v="2034-04-21T00:00:00"/>
    <x v="2"/>
    <x v="2"/>
    <n v="96"/>
    <n v="99.351119148476585"/>
    <n v="99.351119148476585"/>
    <n v="0.96509250887003561"/>
  </r>
  <r>
    <d v="2034-05-21T00:00:00"/>
    <x v="3"/>
    <x v="2"/>
    <n v="97"/>
    <n v="99.352283345133372"/>
    <n v="99.352283345133372"/>
    <n v="0.97574965623573839"/>
  </r>
  <r>
    <d v="2034-06-20T00:00:00"/>
    <x v="4"/>
    <x v="3"/>
    <n v="116"/>
    <n v="99.35344754179016"/>
    <n v="99.35344754179016"/>
    <n v="0.85649523742922551"/>
  </r>
  <r>
    <d v="2034-07-20T00:00:00"/>
    <x v="5"/>
    <x v="4"/>
    <n v="100"/>
    <n v="99.354611738446948"/>
    <n v="99.354611738446948"/>
    <n v="0.99354611738446952"/>
  </r>
  <r>
    <d v="2034-08-19T00:00:00"/>
    <x v="6"/>
    <x v="2"/>
    <n v="97"/>
    <n v="99.355775935103736"/>
    <n v="99.355775935103736"/>
    <n v="0.9757136501535697"/>
  </r>
  <r>
    <d v="2034-09-18T00:00:00"/>
    <x v="7"/>
    <x v="4"/>
    <n v="100"/>
    <n v="99.356940131760524"/>
    <n v="99.356940131760524"/>
    <n v="0.99356940131760529"/>
  </r>
  <r>
    <d v="2034-10-18T00:00:00"/>
    <x v="8"/>
    <x v="2"/>
    <n v="99"/>
    <n v="99.358104328417312"/>
    <n v="99.358104328417312"/>
    <n v="0.99638278456144125"/>
  </r>
  <r>
    <d v="2034-11-17T00:00:00"/>
    <x v="9"/>
    <x v="1"/>
    <n v="100"/>
    <n v="99.3592685250741"/>
    <n v="99.3592685250741"/>
    <n v="0.99359268525074096"/>
  </r>
  <r>
    <d v="2034-12-17T00:00:00"/>
    <x v="10"/>
    <x v="4"/>
    <n v="100"/>
    <n v="99.360432721730874"/>
    <n v="99.360432721730874"/>
    <n v="0.99360432721730874"/>
  </r>
  <r>
    <d v="2035-01-16T00:00:00"/>
    <x v="0"/>
    <x v="2"/>
    <n v="82"/>
    <n v="99.361596918387662"/>
    <n v="99.361596918387662"/>
    <n v="0.7882732083123456"/>
  </r>
  <r>
    <d v="2035-02-15T00:00:00"/>
    <x v="11"/>
    <x v="0"/>
    <n v="87"/>
    <n v="99.362761115044449"/>
    <n v="99.362761115044449"/>
    <n v="0.85789929752822469"/>
  </r>
  <r>
    <d v="2035-03-17T00:00:00"/>
    <x v="1"/>
    <x v="4"/>
    <n v="87"/>
    <n v="99.363925311701237"/>
    <n v="99.363925311701237"/>
    <n v="0.857885915957457"/>
  </r>
  <r>
    <d v="2035-04-16T00:00:00"/>
    <x v="2"/>
    <x v="3"/>
    <n v="90"/>
    <n v="99.365089508358025"/>
    <n v="99.365089508358025"/>
    <n v="0.89594344990713304"/>
  </r>
  <r>
    <d v="2035-05-16T00:00:00"/>
    <x v="3"/>
    <x v="0"/>
    <n v="115"/>
    <n v="99.366253705014813"/>
    <n v="99.366253705014813"/>
    <n v="0.86405438004360713"/>
  </r>
  <r>
    <d v="2035-06-15T00:00:00"/>
    <x v="4"/>
    <x v="0"/>
    <n v="105"/>
    <n v="99.367417901671601"/>
    <n v="99.367417901671601"/>
    <n v="0.946356360968301"/>
  </r>
  <r>
    <d v="2035-07-15T00:00:00"/>
    <x v="5"/>
    <x v="3"/>
    <n v="90"/>
    <n v="99.368582098328389"/>
    <n v="99.368582098328389"/>
    <n v="0.89590464335190678"/>
  </r>
  <r>
    <d v="2035-08-14T00:00:00"/>
    <x v="6"/>
    <x v="0"/>
    <n v="89"/>
    <n v="99.369746294985177"/>
    <n v="99.369746294985177"/>
    <n v="0.88348599668555983"/>
  </r>
  <r>
    <d v="2035-09-13T00:00:00"/>
    <x v="7"/>
    <x v="0"/>
    <n v="89"/>
    <n v="99.370910491641965"/>
    <n v="99.370910491641965"/>
    <n v="0.88347291582424758"/>
  </r>
  <r>
    <d v="2035-10-13T00:00:00"/>
    <x v="8"/>
    <x v="2"/>
    <n v="86"/>
    <n v="99.372074688298753"/>
    <n v="99.372074688298753"/>
    <n v="0.8445107594383866"/>
  </r>
  <r>
    <d v="2035-11-12T00:00:00"/>
    <x v="9"/>
    <x v="2"/>
    <n v="91"/>
    <n v="99.373238884955526"/>
    <n v="99.373238884955526"/>
    <n v="0.90798638587960956"/>
  </r>
  <r>
    <d v="2035-12-12T00:00:00"/>
    <x v="10"/>
    <x v="4"/>
    <n v="100"/>
    <n v="99.374403081612314"/>
    <n v="99.374403081612314"/>
    <n v="0.99374403081612317"/>
  </r>
  <r>
    <d v="2036-01-11T00:00:00"/>
    <x v="0"/>
    <x v="4"/>
    <n v="104"/>
    <n v="99.375567278269102"/>
    <n v="99.375567278269102"/>
    <n v="0.9555343007525875"/>
  </r>
  <r>
    <d v="2036-02-10T00:00:00"/>
    <x v="11"/>
    <x v="4"/>
    <n v="80"/>
    <n v="99.37673147492589"/>
    <n v="99.37673147492589"/>
    <n v="0.75779085656342637"/>
  </r>
  <r>
    <d v="2036-03-11T00:00:00"/>
    <x v="1"/>
    <x v="2"/>
    <n v="110"/>
    <n v="99.377895671582678"/>
    <n v="99.377895671582678"/>
    <n v="0.90343541519620618"/>
  </r>
  <r>
    <d v="2036-04-10T00:00:00"/>
    <x v="2"/>
    <x v="4"/>
    <n v="90"/>
    <n v="99.379059868239466"/>
    <n v="99.379059868239466"/>
    <n v="0.89578822368622812"/>
  </r>
  <r>
    <d v="2036-05-10T00:00:00"/>
    <x v="3"/>
    <x v="0"/>
    <n v="96"/>
    <n v="99.380224064896254"/>
    <n v="99.380224064896254"/>
    <n v="0.96478933265733069"/>
  </r>
  <r>
    <d v="2036-06-09T00:00:00"/>
    <x v="4"/>
    <x v="2"/>
    <n v="103"/>
    <n v="99.381388261553042"/>
    <n v="99.381388261553042"/>
    <n v="0.9648678471995441"/>
  </r>
  <r>
    <d v="2036-07-09T00:00:00"/>
    <x v="5"/>
    <x v="4"/>
    <n v="99"/>
    <n v="99.38255245820983"/>
    <n v="99.38255245820983"/>
    <n v="0.99613583375545622"/>
  </r>
  <r>
    <d v="2036-08-08T00:00:00"/>
    <x v="6"/>
    <x v="0"/>
    <n v="76"/>
    <n v="99.383716654866618"/>
    <n v="99.383716654866618"/>
    <n v="0.69231951769912348"/>
  </r>
  <r>
    <d v="2036-09-07T00:00:00"/>
    <x v="7"/>
    <x v="4"/>
    <n v="106"/>
    <n v="99.384880851523405"/>
    <n v="99.384880851523405"/>
    <n v="0.93759321558040953"/>
  </r>
  <r>
    <d v="2036-10-07T00:00:00"/>
    <x v="8"/>
    <x v="1"/>
    <n v="100"/>
    <n v="99.386045048180193"/>
    <n v="99.386045048180193"/>
    <n v="0.99386045048180194"/>
  </r>
  <r>
    <d v="2036-11-06T00:00:00"/>
    <x v="9"/>
    <x v="4"/>
    <n v="85"/>
    <n v="99.387209244836967"/>
    <n v="99.387209244836967"/>
    <n v="0.83073871476662386"/>
  </r>
  <r>
    <d v="2036-12-06T00:00:00"/>
    <x v="10"/>
    <x v="1"/>
    <n v="101"/>
    <n v="99.388373441493755"/>
    <n v="99.388373441493755"/>
    <n v="0.98404330140092822"/>
  </r>
  <r>
    <d v="2037-01-05T00:00:00"/>
    <x v="0"/>
    <x v="4"/>
    <n v="93"/>
    <n v="99.389537638150543"/>
    <n v="99.389537638150543"/>
    <n v="0.93129529421343504"/>
  </r>
  <r>
    <d v="2037-02-04T00:00:00"/>
    <x v="11"/>
    <x v="3"/>
    <n v="91"/>
    <n v="99.390701834807331"/>
    <n v="99.390701834807331"/>
    <n v="0.90779448533178753"/>
  </r>
  <r>
    <d v="2037-03-06T00:00:00"/>
    <x v="1"/>
    <x v="4"/>
    <n v="103"/>
    <n v="99.391866031464119"/>
    <n v="99.391866031464119"/>
    <n v="0.96496957312101084"/>
  </r>
  <r>
    <d v="2037-04-05T00:00:00"/>
    <x v="2"/>
    <x v="2"/>
    <n v="109"/>
    <n v="99.393030228120907"/>
    <n v="99.393030228120907"/>
    <n v="0.91186266264331106"/>
  </r>
  <r>
    <d v="2037-05-05T00:00:00"/>
    <x v="3"/>
    <x v="2"/>
    <n v="83"/>
    <n v="99.394194424777695"/>
    <n v="99.394194424777695"/>
    <n v="0.80247958524364227"/>
  </r>
  <r>
    <d v="2037-06-04T00:00:00"/>
    <x v="4"/>
    <x v="1"/>
    <n v="102"/>
    <n v="99.395358621434482"/>
    <n v="99.395358621434482"/>
    <n v="0.97446430021014196"/>
  </r>
  <r>
    <d v="2037-07-04T00:00:00"/>
    <x v="5"/>
    <x v="2"/>
    <n v="98"/>
    <n v="99.39652281809127"/>
    <n v="99.39652281809127"/>
    <n v="0.98574976716233398"/>
  </r>
  <r>
    <d v="2037-08-03T00:00:00"/>
    <x v="6"/>
    <x v="0"/>
    <n v="93"/>
    <n v="99.397687014748058"/>
    <n v="99.397687014748058"/>
    <n v="0.9312076665080854"/>
  </r>
  <r>
    <d v="2037-09-02T00:00:00"/>
    <x v="7"/>
    <x v="3"/>
    <n v="104"/>
    <n v="99.398851211404832"/>
    <n v="99.398851211404832"/>
    <n v="0.95575818472504648"/>
  </r>
  <r>
    <d v="2037-10-02T00:00:00"/>
    <x v="8"/>
    <x v="3"/>
    <n v="96"/>
    <n v="99.40001540806162"/>
    <n v="99.40001540806162"/>
    <n v="0.96458317283269146"/>
  </r>
  <r>
    <d v="2037-11-01T00:00:00"/>
    <x v="9"/>
    <x v="0"/>
    <n v="103"/>
    <n v="99.401179604718408"/>
    <n v="99.401179604718408"/>
    <n v="0.96505999616231464"/>
  </r>
  <r>
    <d v="2037-12-01T00:00:00"/>
    <x v="10"/>
    <x v="1"/>
    <n v="85"/>
    <n v="99.402343801375196"/>
    <n v="99.402343801375196"/>
    <n v="0.83056066116029181"/>
  </r>
  <r>
    <d v="2037-12-31T00:00:00"/>
    <x v="10"/>
    <x v="0"/>
    <n v="92"/>
    <n v="99.403507998031984"/>
    <n v="99.403507998031984"/>
    <n v="0.91952708697791319"/>
  </r>
  <r>
    <d v="2038-01-30T00:00:00"/>
    <x v="0"/>
    <x v="0"/>
    <n v="90"/>
    <n v="99.404672194688771"/>
    <n v="99.404672194688771"/>
    <n v="0.89550364228123591"/>
  </r>
  <r>
    <d v="2038-03-01T00:00:00"/>
    <x v="1"/>
    <x v="3"/>
    <n v="83"/>
    <n v="99.405836391345559"/>
    <n v="99.405836391345559"/>
    <n v="0.80233932058619806"/>
  </r>
  <r>
    <d v="2038-03-31T00:00:00"/>
    <x v="1"/>
    <x v="4"/>
    <n v="86"/>
    <n v="99.407000588002347"/>
    <n v="99.407000588002347"/>
    <n v="0.8441046443255541"/>
  </r>
  <r>
    <d v="2038-04-30T00:00:00"/>
    <x v="2"/>
    <x v="3"/>
    <n v="110"/>
    <n v="99.408164784659135"/>
    <n v="99.408164784659135"/>
    <n v="0.90371058895144674"/>
  </r>
  <r>
    <d v="2038-05-30T00:00:00"/>
    <x v="3"/>
    <x v="3"/>
    <n v="89"/>
    <n v="99.409328981315923"/>
    <n v="99.409328981315923"/>
    <n v="0.8830412474009447"/>
  </r>
  <r>
    <d v="2038-06-29T00:00:00"/>
    <x v="4"/>
    <x v="2"/>
    <n v="118"/>
    <n v="99.410493177972711"/>
    <n v="99.410493177972711"/>
    <n v="0.84246180659298908"/>
  </r>
  <r>
    <d v="2038-07-29T00:00:00"/>
    <x v="5"/>
    <x v="0"/>
    <n v="102"/>
    <n v="99.411657374629499"/>
    <n v="99.411657374629499"/>
    <n v="0.97462409190813237"/>
  </r>
  <r>
    <d v="2038-08-28T00:00:00"/>
    <x v="6"/>
    <x v="3"/>
    <n v="108"/>
    <n v="99.412821571286273"/>
    <n v="99.412821571286273"/>
    <n v="0.92048908862302103"/>
  </r>
  <r>
    <d v="2038-09-27T00:00:00"/>
    <x v="7"/>
    <x v="0"/>
    <n v="95"/>
    <n v="99.413985767943061"/>
    <n v="99.413985767943061"/>
    <n v="0.95353699191638885"/>
  </r>
  <r>
    <d v="2038-10-27T00:00:00"/>
    <x v="8"/>
    <x v="2"/>
    <n v="100"/>
    <n v="99.415149964599848"/>
    <n v="99.415149964599848"/>
    <n v="0.99415149964599847"/>
  </r>
  <r>
    <d v="2038-11-26T00:00:00"/>
    <x v="9"/>
    <x v="0"/>
    <n v="86"/>
    <n v="99.416314161256636"/>
    <n v="99.416314161256636"/>
    <n v="0.8439963469621321"/>
  </r>
  <r>
    <d v="2038-12-26T00:00:00"/>
    <x v="10"/>
    <x v="3"/>
    <n v="94"/>
    <n v="99.417478357913424"/>
    <n v="99.417478357913424"/>
    <n v="0.94236725151155931"/>
  </r>
  <r>
    <d v="2039-01-25T00:00:00"/>
    <x v="0"/>
    <x v="0"/>
    <n v="88"/>
    <n v="99.418642554570212"/>
    <n v="99.418642554570212"/>
    <n v="0.8702426982435203"/>
  </r>
  <r>
    <d v="2039-02-24T00:00:00"/>
    <x v="11"/>
    <x v="2"/>
    <n v="100"/>
    <n v="99.419806751227"/>
    <n v="99.419806751227"/>
    <n v="0.99419806751227002"/>
  </r>
  <r>
    <d v="2039-03-26T00:00:00"/>
    <x v="1"/>
    <x v="4"/>
    <n v="95"/>
    <n v="99.420970947883788"/>
    <n v="99.420970947883788"/>
    <n v="0.95346346370648649"/>
  </r>
  <r>
    <d v="2039-04-25T00:00:00"/>
    <x v="2"/>
    <x v="0"/>
    <n v="95"/>
    <n v="99.422135144540576"/>
    <n v="99.422135144540576"/>
    <n v="0.95345120900483604"/>
  </r>
  <r>
    <d v="2039-05-25T00:00:00"/>
    <x v="3"/>
    <x v="3"/>
    <n v="92"/>
    <n v="99.423299341197364"/>
    <n v="99.423299341197364"/>
    <n v="0.91931196368263735"/>
  </r>
  <r>
    <d v="2039-06-24T00:00:00"/>
    <x v="4"/>
    <x v="2"/>
    <n v="108"/>
    <n v="99.424463537854152"/>
    <n v="99.424463537854152"/>
    <n v="0.92059688460976064"/>
  </r>
  <r>
    <d v="2039-07-24T00:00:00"/>
    <x v="5"/>
    <x v="3"/>
    <n v="99"/>
    <n v="99.425627734510925"/>
    <n v="99.425627734510925"/>
    <n v="0.99570072995443515"/>
  </r>
  <r>
    <d v="2039-08-23T00:00:00"/>
    <x v="6"/>
    <x v="3"/>
    <n v="95"/>
    <n v="99.426791931167713"/>
    <n v="99.426791931167713"/>
    <n v="0.95340219019823458"/>
  </r>
  <r>
    <d v="2039-09-22T00:00:00"/>
    <x v="7"/>
    <x v="0"/>
    <n v="86"/>
    <n v="99.427956127824501"/>
    <n v="99.427956127824501"/>
    <n v="0.84386097525785464"/>
  </r>
  <r>
    <d v="2039-10-22T00:00:00"/>
    <x v="8"/>
    <x v="3"/>
    <n v="120"/>
    <n v="99.429120324481289"/>
    <n v="99.429120324481289"/>
    <n v="0.82857600270401077"/>
  </r>
  <r>
    <d v="2039-11-21T00:00:00"/>
    <x v="9"/>
    <x v="0"/>
    <n v="81"/>
    <n v="99.430284521138077"/>
    <n v="99.430284521138077"/>
    <n v="0.77246562319582623"/>
  </r>
  <r>
    <d v="2039-12-21T00:00:00"/>
    <x v="10"/>
    <x v="4"/>
    <n v="102"/>
    <n v="99.431448717794865"/>
    <n v="99.431448717794865"/>
    <n v="0.97481812468426343"/>
  </r>
  <r>
    <d v="2040-01-20T00:00:00"/>
    <x v="0"/>
    <x v="3"/>
    <n v="87"/>
    <n v="99.432612914451653"/>
    <n v="99.432612914451653"/>
    <n v="0.85709640328216485"/>
  </r>
  <r>
    <d v="2040-02-19T00:00:00"/>
    <x v="11"/>
    <x v="3"/>
    <n v="90"/>
    <n v="99.433777111108441"/>
    <n v="99.433777111108441"/>
    <n v="0.89518025432101733"/>
  </r>
  <r>
    <d v="2040-03-20T00:00:00"/>
    <x v="1"/>
    <x v="3"/>
    <n v="89"/>
    <n v="99.434941307765229"/>
    <n v="99.434941307765229"/>
    <n v="0.88275346845207614"/>
  </r>
  <r>
    <d v="2040-04-19T00:00:00"/>
    <x v="2"/>
    <x v="1"/>
    <n v="105"/>
    <n v="99.436105504422017"/>
    <n v="99.436105504422017"/>
    <n v="0.94701052861354307"/>
  </r>
  <r>
    <d v="2040-05-19T00:00:00"/>
    <x v="3"/>
    <x v="1"/>
    <n v="96"/>
    <n v="99.437269701078804"/>
    <n v="99.437269701078804"/>
    <n v="0.96419510728042912"/>
  </r>
  <r>
    <d v="2040-06-18T00:00:00"/>
    <x v="4"/>
    <x v="2"/>
    <n v="97"/>
    <n v="99.438433897735578"/>
    <n v="99.438433897735578"/>
    <n v="0.97486150620891154"/>
  </r>
  <r>
    <d v="2040-07-18T00:00:00"/>
    <x v="5"/>
    <x v="1"/>
    <n v="98"/>
    <n v="99.439598094392366"/>
    <n v="99.439598094392366"/>
    <n v="0.98531022352660846"/>
  </r>
  <r>
    <d v="2040-08-17T00:00:00"/>
    <x v="6"/>
    <x v="2"/>
    <n v="100"/>
    <n v="99.440762291049154"/>
    <n v="99.440762291049154"/>
    <n v="0.99440762291049156"/>
  </r>
  <r>
    <d v="2040-09-16T00:00:00"/>
    <x v="7"/>
    <x v="1"/>
    <n v="108"/>
    <n v="99.441926487705942"/>
    <n v="99.441926487705942"/>
    <n v="0.92075857858986987"/>
  </r>
  <r>
    <d v="2040-10-16T00:00:00"/>
    <x v="8"/>
    <x v="4"/>
    <n v="92"/>
    <n v="99.44309068436273"/>
    <n v="99.44309068436273"/>
    <n v="0.91909684038736161"/>
  </r>
  <r>
    <d v="2040-11-15T00:00:00"/>
    <x v="9"/>
    <x v="2"/>
    <n v="97"/>
    <n v="99.444254881019518"/>
    <n v="99.444254881019518"/>
    <n v="0.97480149607196376"/>
  </r>
  <r>
    <d v="2040-12-15T00:00:00"/>
    <x v="10"/>
    <x v="1"/>
    <n v="116"/>
    <n v="99.445419077676306"/>
    <n v="99.445419077676306"/>
    <n v="0.85728809549720952"/>
  </r>
  <r>
    <d v="2041-01-14T00:00:00"/>
    <x v="0"/>
    <x v="4"/>
    <n v="103"/>
    <n v="99.446583274333094"/>
    <n v="99.446583274333094"/>
    <n v="0.96550080848867081"/>
  </r>
  <r>
    <d v="2041-02-13T00:00:00"/>
    <x v="11"/>
    <x v="1"/>
    <n v="87"/>
    <n v="99.447747470989881"/>
    <n v="99.447747470989881"/>
    <n v="0.85692244286218533"/>
  </r>
  <r>
    <d v="2041-03-15T00:00:00"/>
    <x v="1"/>
    <x v="0"/>
    <n v="103"/>
    <n v="99.448911667646669"/>
    <n v="99.448911667646669"/>
    <n v="0.96552341424899679"/>
  </r>
  <r>
    <d v="2041-04-14T00:00:00"/>
    <x v="2"/>
    <x v="0"/>
    <n v="115"/>
    <n v="99.450075864303457"/>
    <n v="99.450075864303457"/>
    <n v="0.86478326838524744"/>
  </r>
  <r>
    <d v="2041-05-14T00:00:00"/>
    <x v="3"/>
    <x v="4"/>
    <n v="88"/>
    <n v="99.451240060960231"/>
    <n v="99.451240060960231"/>
    <n v="0.86987227203454287"/>
  </r>
  <r>
    <d v="2041-06-13T00:00:00"/>
    <x v="4"/>
    <x v="3"/>
    <n v="100"/>
    <n v="99.452404257617019"/>
    <n v="99.452404257617019"/>
    <n v="0.99452404257617022"/>
  </r>
  <r>
    <d v="2041-07-13T00:00:00"/>
    <x v="5"/>
    <x v="3"/>
    <n v="108"/>
    <n v="99.453568454273807"/>
    <n v="99.453568454273807"/>
    <n v="0.92086637457660936"/>
  </r>
  <r>
    <d v="2041-08-12T00:00:00"/>
    <x v="6"/>
    <x v="0"/>
    <n v="96"/>
    <n v="99.454732650930595"/>
    <n v="99.454732650930595"/>
    <n v="0.96401320155280634"/>
  </r>
  <r>
    <d v="2041-09-11T00:00:00"/>
    <x v="7"/>
    <x v="0"/>
    <n v="86"/>
    <n v="99.455896847587383"/>
    <n v="99.455896847587383"/>
    <n v="0.84353608316758855"/>
  </r>
  <r>
    <d v="2041-10-11T00:00:00"/>
    <x v="8"/>
    <x v="3"/>
    <n v="87"/>
    <n v="99.45706104424417"/>
    <n v="99.45706104424417"/>
    <n v="0.85681539029604403"/>
  </r>
  <r>
    <d v="2041-11-10T00:00:00"/>
    <x v="9"/>
    <x v="2"/>
    <n v="109"/>
    <n v="99.458225240900958"/>
    <n v="99.458225240900958"/>
    <n v="0.91246078202661429"/>
  </r>
  <r>
    <d v="2041-12-10T00:00:00"/>
    <x v="10"/>
    <x v="3"/>
    <n v="91"/>
    <n v="99.459389437557746"/>
    <n v="99.459389437557746"/>
    <n v="0.90703967651035444"/>
  </r>
  <r>
    <d v="2042-01-09T00:00:00"/>
    <x v="0"/>
    <x v="1"/>
    <n v="107"/>
    <n v="99.460553634214534"/>
    <n v="99.460553634214534"/>
    <n v="0.92953788443191154"/>
  </r>
  <r>
    <d v="2042-02-08T00:00:00"/>
    <x v="11"/>
    <x v="2"/>
    <n v="106"/>
    <n v="99.461717830871322"/>
    <n v="99.461717830871322"/>
    <n v="0.93831809274406908"/>
  </r>
  <r>
    <d v="2042-03-10T00:00:00"/>
    <x v="1"/>
    <x v="1"/>
    <n v="92"/>
    <n v="99.46288202752811"/>
    <n v="99.46288202752811"/>
    <n v="0.91888171709208577"/>
  </r>
  <r>
    <d v="2042-04-09T00:00:00"/>
    <x v="2"/>
    <x v="0"/>
    <n v="90"/>
    <n v="99.464046224184884"/>
    <n v="99.464046224184884"/>
    <n v="0.89484393084239022"/>
  </r>
  <r>
    <d v="2042-05-09T00:00:00"/>
    <x v="3"/>
    <x v="2"/>
    <n v="102"/>
    <n v="99.465210420841672"/>
    <n v="99.465210420841672"/>
    <n v="0.97514912177295754"/>
  </r>
  <r>
    <d v="2042-06-08T00:00:00"/>
    <x v="4"/>
    <x v="1"/>
    <n v="99"/>
    <n v="99.46637461749846"/>
    <n v="99.46637461749846"/>
    <n v="0.99528914527779333"/>
  </r>
  <r>
    <d v="2042-07-08T00:00:00"/>
    <x v="5"/>
    <x v="1"/>
    <n v="88"/>
    <n v="99.467538814155247"/>
    <n v="99.467538814155247"/>
    <n v="0.86968705893005405"/>
  </r>
  <r>
    <d v="2042-08-07T00:00:00"/>
    <x v="6"/>
    <x v="2"/>
    <n v="100"/>
    <n v="99.468703010812035"/>
    <n v="99.468703010812035"/>
    <n v="0.99468703010812032"/>
  </r>
  <r>
    <d v="2042-09-06T00:00:00"/>
    <x v="7"/>
    <x v="4"/>
    <n v="100"/>
    <n v="99.469867207468823"/>
    <n v="99.469867207468823"/>
    <n v="0.99469867207468821"/>
  </r>
  <r>
    <d v="2042-10-06T00:00:00"/>
    <x v="8"/>
    <x v="3"/>
    <n v="106"/>
    <n v="99.471031404125611"/>
    <n v="99.471031404125611"/>
    <n v="0.93840595664269444"/>
  </r>
  <r>
    <d v="2042-11-05T00:00:00"/>
    <x v="9"/>
    <x v="1"/>
    <n v="94"/>
    <n v="99.472195600782399"/>
    <n v="99.472195600782399"/>
    <n v="0.94178515318316602"/>
  </r>
  <r>
    <d v="2042-12-05T00:00:00"/>
    <x v="10"/>
    <x v="3"/>
    <n v="98"/>
    <n v="99.473359797439187"/>
    <n v="99.473359797439187"/>
    <n v="0.98496571635266139"/>
  </r>
  <r>
    <d v="2043-01-04T00:00:00"/>
    <x v="0"/>
    <x v="3"/>
    <n v="119"/>
    <n v="99.474523994095975"/>
    <n v="99.474523994095975"/>
    <n v="0.83592036969828554"/>
  </r>
  <r>
    <d v="2043-02-03T00:00:00"/>
    <x v="11"/>
    <x v="0"/>
    <n v="99"/>
    <n v="99.475688190752763"/>
    <n v="99.475688190752763"/>
    <n v="0.99519506878027508"/>
  </r>
  <r>
    <d v="2043-03-05T00:00:00"/>
    <x v="1"/>
    <x v="3"/>
    <n v="87"/>
    <n v="99.476852387409537"/>
    <n v="99.476852387409537"/>
    <n v="0.85658790359299386"/>
  </r>
  <r>
    <d v="2043-04-04T00:00:00"/>
    <x v="2"/>
    <x v="1"/>
    <n v="92"/>
    <n v="99.478016584066324"/>
    <n v="99.478016584066324"/>
    <n v="0.91871721104275739"/>
  </r>
  <r>
    <d v="2043-05-04T00:00:00"/>
    <x v="3"/>
    <x v="0"/>
    <n v="103"/>
    <n v="99.479180780723112"/>
    <n v="99.479180780723112"/>
    <n v="0.96581728913323406"/>
  </r>
  <r>
    <d v="2043-06-03T00:00:00"/>
    <x v="4"/>
    <x v="2"/>
    <n v="79"/>
    <n v="99.4803449773799"/>
    <n v="99.4803449773799"/>
    <n v="0.74075512686860878"/>
  </r>
  <r>
    <d v="2043-07-03T00:00:00"/>
    <x v="5"/>
    <x v="1"/>
    <n v="110"/>
    <n v="99.481509174036688"/>
    <n v="99.481509174036688"/>
    <n v="0.90437735612760628"/>
  </r>
  <r>
    <d v="2043-08-02T00:00:00"/>
    <x v="6"/>
    <x v="0"/>
    <n v="95"/>
    <n v="99.482673370693476"/>
    <n v="99.482673370693476"/>
    <n v="0.95281396451901601"/>
  </r>
  <r>
    <d v="2043-09-01T00:00:00"/>
    <x v="7"/>
    <x v="0"/>
    <n v="101"/>
    <n v="99.483837567350264"/>
    <n v="99.483837567350264"/>
    <n v="0.98498849076584416"/>
  </r>
  <r>
    <d v="2043-10-01T00:00:00"/>
    <x v="8"/>
    <x v="3"/>
    <n v="95"/>
    <n v="99.485001764007052"/>
    <n v="99.485001764007052"/>
    <n v="0.95278945511571522"/>
  </r>
  <r>
    <d v="2043-10-31T00:00:00"/>
    <x v="8"/>
    <x v="2"/>
    <n v="107"/>
    <n v="99.48616596066384"/>
    <n v="99.48616596066384"/>
    <n v="0.92977725196882099"/>
  </r>
  <r>
    <d v="2043-11-30T00:00:00"/>
    <x v="9"/>
    <x v="1"/>
    <n v="91"/>
    <n v="99.487330157320628"/>
    <n v="99.487330157320628"/>
    <n v="0.90673263563383921"/>
  </r>
  <r>
    <d v="2043-12-30T00:00:00"/>
    <x v="10"/>
    <x v="1"/>
    <n v="87"/>
    <n v="99.488494353977416"/>
    <n v="99.488494353977416"/>
    <n v="0.85645408788531707"/>
  </r>
  <r>
    <d v="2044-01-29T00:00:00"/>
    <x v="0"/>
    <x v="3"/>
    <n v="100"/>
    <n v="99.489658550634189"/>
    <n v="99.489658550634189"/>
    <n v="0.99489658550634186"/>
  </r>
  <r>
    <d v="2044-02-28T00:00:00"/>
    <x v="11"/>
    <x v="2"/>
    <n v="117"/>
    <n v="99.490822747290977"/>
    <n v="99.490822747290977"/>
    <n v="0.85034891237000831"/>
  </r>
  <r>
    <d v="2044-03-29T00:00:00"/>
    <x v="1"/>
    <x v="1"/>
    <n v="102"/>
    <n v="99.491986943947765"/>
    <n v="99.491986943947765"/>
    <n v="0.97541163670537023"/>
  </r>
  <r>
    <d v="2044-04-28T00:00:00"/>
    <x v="2"/>
    <x v="2"/>
    <n v="88"/>
    <n v="99.493151140604553"/>
    <n v="99.493151140604553"/>
    <n v="0.86939600976585729"/>
  </r>
  <r>
    <d v="2044-05-28T00:00:00"/>
    <x v="3"/>
    <x v="1"/>
    <n v="100"/>
    <n v="99.494315337261341"/>
    <n v="99.494315337261341"/>
    <n v="0.99494315337261341"/>
  </r>
  <r>
    <d v="2044-06-27T00:00:00"/>
    <x v="4"/>
    <x v="3"/>
    <n v="81"/>
    <n v="99.495479533918129"/>
    <n v="99.495479533918129"/>
    <n v="0.77166074649483796"/>
  </r>
  <r>
    <d v="2044-07-27T00:00:00"/>
    <x v="5"/>
    <x v="4"/>
    <n v="91"/>
    <n v="99.496643730574917"/>
    <n v="99.496643730574917"/>
    <n v="0.90663028867500095"/>
  </r>
  <r>
    <d v="2044-08-26T00:00:00"/>
    <x v="6"/>
    <x v="1"/>
    <n v="90"/>
    <n v="99.497807927231705"/>
    <n v="99.497807927231705"/>
    <n v="0.89446880080853663"/>
  </r>
  <r>
    <d v="2044-09-25T00:00:00"/>
    <x v="7"/>
    <x v="0"/>
    <n v="102"/>
    <n v="99.498972123888493"/>
    <n v="99.498972123888493"/>
    <n v="0.97548011886165187"/>
  </r>
  <r>
    <d v="2044-10-25T00:00:00"/>
    <x v="8"/>
    <x v="0"/>
    <n v="109"/>
    <n v="99.50013632054528"/>
    <n v="99.50013632054528"/>
    <n v="0.91284528734445214"/>
  </r>
  <r>
    <d v="2044-11-24T00:00:00"/>
    <x v="9"/>
    <x v="4"/>
    <n v="101"/>
    <n v="99.501300517202068"/>
    <n v="99.501300517202068"/>
    <n v="0.98516139125942637"/>
  </r>
  <r>
    <d v="2044-12-24T00:00:00"/>
    <x v="10"/>
    <x v="1"/>
    <n v="97"/>
    <n v="99.502464713858842"/>
    <n v="99.502464713858842"/>
    <n v="0.97420139470248612"/>
  </r>
  <r>
    <d v="2045-01-23T00:00:00"/>
    <x v="0"/>
    <x v="0"/>
    <n v="88"/>
    <n v="99.50362891051563"/>
    <n v="99.50362891051563"/>
    <n v="0.86927694419868606"/>
  </r>
  <r>
    <d v="2045-02-22T00:00:00"/>
    <x v="11"/>
    <x v="0"/>
    <n v="100"/>
    <n v="99.504793107172418"/>
    <n v="99.504793107172418"/>
    <n v="0.99504793107172418"/>
  </r>
  <r>
    <d v="2045-03-24T00:00:00"/>
    <x v="1"/>
    <x v="1"/>
    <n v="104"/>
    <n v="99.505957303829206"/>
    <n v="99.505957303829206"/>
    <n v="0.95678805099835773"/>
  </r>
  <r>
    <d v="2045-04-23T00:00:00"/>
    <x v="2"/>
    <x v="2"/>
    <n v="106"/>
    <n v="99.507121500485994"/>
    <n v="99.507121500485994"/>
    <n v="0.93874642924986784"/>
  </r>
  <r>
    <d v="2045-05-23T00:00:00"/>
    <x v="3"/>
    <x v="1"/>
    <n v="91"/>
    <n v="99.508285697142782"/>
    <n v="99.508285697142782"/>
    <n v="0.90650235497645293"/>
  </r>
  <r>
    <d v="2045-06-22T00:00:00"/>
    <x v="4"/>
    <x v="2"/>
    <n v="110"/>
    <n v="99.50944989379957"/>
    <n v="99.50944989379957"/>
    <n v="0.90463136267090516"/>
  </r>
  <r>
    <d v="2045-07-22T00:00:00"/>
    <x v="5"/>
    <x v="4"/>
    <n v="104"/>
    <n v="99.510614090456357"/>
    <n v="99.510614090456357"/>
    <n v="0.95683282779284962"/>
  </r>
  <r>
    <d v="2045-08-21T00:00:00"/>
    <x v="6"/>
    <x v="3"/>
    <n v="85"/>
    <n v="99.511778287113145"/>
    <n v="99.511778287113145"/>
    <n v="0.82927319662219823"/>
  </r>
  <r>
    <d v="2045-09-20T00:00:00"/>
    <x v="7"/>
    <x v="4"/>
    <n v="107"/>
    <n v="99.512942483769933"/>
    <n v="99.512942483769933"/>
    <n v="0.93002749984831712"/>
  </r>
  <r>
    <d v="2045-10-20T00:00:00"/>
    <x v="8"/>
    <x v="3"/>
    <n v="111"/>
    <n v="99.514106680426721"/>
    <n v="99.514106680426721"/>
    <n v="0.89652348360744794"/>
  </r>
  <r>
    <d v="2045-11-19T00:00:00"/>
    <x v="9"/>
    <x v="0"/>
    <n v="107"/>
    <n v="99.515270877083509"/>
    <n v="99.515270877083509"/>
    <n v="0.93004926053349068"/>
  </r>
  <r>
    <d v="2045-12-19T00:00:00"/>
    <x v="10"/>
    <x v="0"/>
    <n v="94"/>
    <n v="99.516435073740283"/>
    <n v="99.516435073740283"/>
    <n v="0.94131452049212461"/>
  </r>
  <r>
    <d v="2046-01-18T00:00:00"/>
    <x v="0"/>
    <x v="0"/>
    <n v="91"/>
    <n v="99.517599270397071"/>
    <n v="99.517599270397071"/>
    <n v="0.90640000801761467"/>
  </r>
  <r>
    <d v="2046-02-17T00:00:00"/>
    <x v="11"/>
    <x v="2"/>
    <n v="89"/>
    <n v="99.518763467053859"/>
    <n v="99.518763467053859"/>
    <n v="0.88181164643759713"/>
  </r>
  <r>
    <d v="2046-03-19T00:00:00"/>
    <x v="1"/>
    <x v="3"/>
    <n v="98"/>
    <n v="99.519927663710646"/>
    <n v="99.519927663710646"/>
    <n v="0.98449053404376896"/>
  </r>
  <r>
    <d v="2046-04-18T00:00:00"/>
    <x v="2"/>
    <x v="0"/>
    <n v="110"/>
    <n v="99.521091860367434"/>
    <n v="99.521091860367434"/>
    <n v="0.90473719873061298"/>
  </r>
  <r>
    <d v="2046-05-18T00:00:00"/>
    <x v="3"/>
    <x v="1"/>
    <n v="93"/>
    <n v="99.522256057024222"/>
    <n v="99.522256057024222"/>
    <n v="0.92986821444059975"/>
  </r>
  <r>
    <d v="2046-06-17T00:00:00"/>
    <x v="4"/>
    <x v="3"/>
    <n v="103"/>
    <n v="99.52342025368101"/>
    <n v="99.52342025368101"/>
    <n v="0.9662467985794273"/>
  </r>
  <r>
    <d v="2046-07-17T00:00:00"/>
    <x v="5"/>
    <x v="3"/>
    <n v="100"/>
    <n v="99.524584450337798"/>
    <n v="99.524584450337798"/>
    <n v="0.99524584450337794"/>
  </r>
  <r>
    <d v="2046-08-16T00:00:00"/>
    <x v="6"/>
    <x v="2"/>
    <n v="101"/>
    <n v="99.525748646994586"/>
    <n v="99.525748646994586"/>
    <n v="0.98540345195044143"/>
  </r>
  <r>
    <d v="2046-09-15T00:00:00"/>
    <x v="7"/>
    <x v="4"/>
    <n v="94"/>
    <n v="99.526912843651374"/>
    <n v="99.526912843651374"/>
    <n v="0.94120305485477262"/>
  </r>
  <r>
    <d v="2046-10-15T00:00:00"/>
    <x v="8"/>
    <x v="2"/>
    <n v="108"/>
    <n v="99.528077040308148"/>
    <n v="99.528077040308148"/>
    <n v="0.92155626889174214"/>
  </r>
  <r>
    <d v="2046-11-14T00:00:00"/>
    <x v="9"/>
    <x v="0"/>
    <n v="113"/>
    <n v="99.529241236964936"/>
    <n v="99.529241236964936"/>
    <n v="0.88078974545986666"/>
  </r>
  <r>
    <d v="2046-12-14T00:00:00"/>
    <x v="10"/>
    <x v="1"/>
    <n v="115"/>
    <n v="99.530405433621723"/>
    <n v="99.530405433621723"/>
    <n v="0.86548178637931938"/>
  </r>
  <r>
    <d v="2047-01-13T00:00:00"/>
    <x v="0"/>
    <x v="1"/>
    <n v="98"/>
    <n v="99.531569630278511"/>
    <n v="99.531569630278511"/>
    <n v="0.9843717384665458"/>
  </r>
  <r>
    <d v="2047-02-12T00:00:00"/>
    <x v="11"/>
    <x v="0"/>
    <n v="93"/>
    <n v="99.532733826935299"/>
    <n v="99.532733826935299"/>
    <n v="0.92975555024800749"/>
  </r>
  <r>
    <d v="2047-03-14T00:00:00"/>
    <x v="1"/>
    <x v="1"/>
    <n v="104"/>
    <n v="99.533898023592087"/>
    <n v="99.533898023592087"/>
    <n v="0.95705671176530849"/>
  </r>
  <r>
    <d v="2047-04-13T00:00:00"/>
    <x v="2"/>
    <x v="2"/>
    <n v="100"/>
    <n v="99.535062220248875"/>
    <n v="99.535062220248875"/>
    <n v="0.99535062220248871"/>
  </r>
  <r>
    <d v="2047-05-13T00:00:00"/>
    <x v="3"/>
    <x v="2"/>
    <n v="89"/>
    <n v="99.536226416905663"/>
    <n v="99.536226416905663"/>
    <n v="0.88161543351791394"/>
  </r>
  <r>
    <d v="2047-06-12T00:00:00"/>
    <x v="4"/>
    <x v="0"/>
    <n v="86"/>
    <n v="99.537390613562451"/>
    <n v="99.537390613562451"/>
    <n v="0.84258848123764596"/>
  </r>
  <r>
    <d v="2047-07-12T00:00:00"/>
    <x v="5"/>
    <x v="1"/>
    <n v="93"/>
    <n v="99.538554810219239"/>
    <n v="99.538554810219239"/>
    <n v="0.92969295902990068"/>
  </r>
  <r>
    <d v="2047-08-11T00:00:00"/>
    <x v="6"/>
    <x v="3"/>
    <n v="104"/>
    <n v="99.539719006876027"/>
    <n v="99.539719006876027"/>
    <n v="0.95711268275842332"/>
  </r>
  <r>
    <d v="2047-09-10T00:00:00"/>
    <x v="7"/>
    <x v="4"/>
    <n v="91"/>
    <n v="99.540883203532815"/>
    <n v="99.540883203532815"/>
    <n v="0.90614414062051851"/>
  </r>
  <r>
    <d v="2047-10-10T00:00:00"/>
    <x v="8"/>
    <x v="3"/>
    <n v="113"/>
    <n v="99.542047400189588"/>
    <n v="99.542047400189588"/>
    <n v="0.880903074337961"/>
  </r>
  <r>
    <d v="2047-11-09T00:00:00"/>
    <x v="9"/>
    <x v="2"/>
    <n v="103"/>
    <n v="99.543211596846376"/>
    <n v="99.543211596846376"/>
    <n v="0.96643894754219783"/>
  </r>
  <r>
    <d v="2047-12-09T00:00:00"/>
    <x v="10"/>
    <x v="2"/>
    <n v="98"/>
    <n v="99.544375793503164"/>
    <n v="99.544375793503164"/>
    <n v="0.98424106333160033"/>
  </r>
  <r>
    <d v="2048-01-08T00:00:00"/>
    <x v="0"/>
    <x v="2"/>
    <n v="100"/>
    <n v="99.545539990159952"/>
    <n v="99.545539990159952"/>
    <n v="0.99545539990159948"/>
  </r>
  <r>
    <d v="2048-02-07T00:00:00"/>
    <x v="11"/>
    <x v="2"/>
    <n v="89"/>
    <n v="99.54670418681674"/>
    <n v="99.54670418681674"/>
    <n v="0.88149770576610409"/>
  </r>
  <r>
    <d v="2048-03-08T00:00:00"/>
    <x v="1"/>
    <x v="4"/>
    <n v="83"/>
    <n v="99.547868383473528"/>
    <n v="99.547868383473528"/>
    <n v="0.80062809176537919"/>
  </r>
  <r>
    <d v="2048-04-07T00:00:00"/>
    <x v="2"/>
    <x v="0"/>
    <n v="92"/>
    <n v="99.549032580130316"/>
    <n v="99.549032580130316"/>
    <n v="0.91794529804206182"/>
  </r>
  <r>
    <d v="2048-05-07T00:00:00"/>
    <x v="3"/>
    <x v="2"/>
    <n v="81"/>
    <n v="99.550196776787104"/>
    <n v="99.550196776787104"/>
    <n v="0.77098522497793698"/>
  </r>
  <r>
    <d v="2048-06-06T00:00:00"/>
    <x v="4"/>
    <x v="1"/>
    <n v="91"/>
    <n v="99.551360973443892"/>
    <n v="99.551360973443892"/>
    <n v="0.90602900029182543"/>
  </r>
  <r>
    <d v="2048-07-06T00:00:00"/>
    <x v="5"/>
    <x v="4"/>
    <n v="102"/>
    <n v="99.552525170100679"/>
    <n v="99.552525170100679"/>
    <n v="0.97600514872647726"/>
  </r>
  <r>
    <d v="2048-08-05T00:00:00"/>
    <x v="6"/>
    <x v="2"/>
    <n v="107"/>
    <n v="99.553689366757453"/>
    <n v="99.553689366757453"/>
    <n v="0.93040831183885464"/>
  </r>
  <r>
    <d v="2048-09-04T00:00:00"/>
    <x v="7"/>
    <x v="1"/>
    <n v="103"/>
    <n v="99.554853563414241"/>
    <n v="99.554853563414241"/>
    <n v="0.96655197634382761"/>
  </r>
  <r>
    <d v="2048-10-04T00:00:00"/>
    <x v="8"/>
    <x v="2"/>
    <n v="100"/>
    <n v="99.556017760071029"/>
    <n v="99.556017760071029"/>
    <n v="0.99556017760071025"/>
  </r>
  <r>
    <d v="2048-11-03T00:00:00"/>
    <x v="9"/>
    <x v="0"/>
    <n v="97"/>
    <n v="99.557181956727817"/>
    <n v="99.557181956727817"/>
    <n v="0.97363729941517718"/>
  </r>
  <r>
    <d v="2048-12-03T00:00:00"/>
    <x v="10"/>
    <x v="4"/>
    <n v="85"/>
    <n v="99.558346153384605"/>
    <n v="99.558346153384605"/>
    <n v="0.82872533937194581"/>
  </r>
  <r>
    <d v="2049-01-02T00:00:00"/>
    <x v="0"/>
    <x v="0"/>
    <n v="107"/>
    <n v="99.559510350041393"/>
    <n v="99.559510350041393"/>
    <n v="0.93046271355178867"/>
  </r>
  <r>
    <d v="2049-02-01T00:00:00"/>
    <x v="11"/>
    <x v="4"/>
    <n v="106"/>
    <n v="99.560674546698181"/>
    <n v="99.560674546698181"/>
    <n v="0.93925164666696392"/>
  </r>
  <r>
    <d v="2049-03-03T00:00:00"/>
    <x v="1"/>
    <x v="2"/>
    <n v="92"/>
    <n v="99.561838743354969"/>
    <n v="99.561838743354969"/>
    <n v="0.91780610061570689"/>
  </r>
  <r>
    <d v="2049-04-02T00:00:00"/>
    <x v="2"/>
    <x v="2"/>
    <n v="110"/>
    <n v="99.563002940011756"/>
    <n v="99.563002940011756"/>
    <n v="0.90511820854556146"/>
  </r>
  <r>
    <d v="2049-05-02T00:00:00"/>
    <x v="3"/>
    <x v="4"/>
    <n v="93"/>
    <n v="99.564167136668544"/>
    <n v="99.564167136668544"/>
    <n v="0.92941755767023071"/>
  </r>
  <r>
    <d v="2049-06-01T00:00:00"/>
    <x v="4"/>
    <x v="1"/>
    <n v="104"/>
    <n v="99.565331333325332"/>
    <n v="99.565331333325332"/>
    <n v="0.95735895512812819"/>
  </r>
  <r>
    <d v="2049-07-01T00:00:00"/>
    <x v="5"/>
    <x v="1"/>
    <n v="117"/>
    <n v="99.56649552998212"/>
    <n v="99.56649552998212"/>
    <n v="0.85099568829044547"/>
  </r>
  <r>
    <d v="2049-07-31T00:00:00"/>
    <x v="5"/>
    <x v="2"/>
    <n v="122"/>
    <n v="99.567659726638894"/>
    <n v="99.567659726638894"/>
    <n v="0.81612835841507292"/>
  </r>
  <r>
    <d v="2049-08-30T00:00:00"/>
    <x v="6"/>
    <x v="2"/>
    <n v="90"/>
    <n v="99.568823923295682"/>
    <n v="99.568823923295682"/>
    <n v="0.89367973418560354"/>
  </r>
  <r>
    <d v="2049-09-29T00:00:00"/>
    <x v="7"/>
    <x v="0"/>
    <n v="113"/>
    <n v="99.56998811995247"/>
    <n v="99.56998811995247"/>
    <n v="0.88115033734471215"/>
  </r>
  <r>
    <d v="2049-10-29T00:00:00"/>
    <x v="8"/>
    <x v="2"/>
    <n v="110"/>
    <n v="99.571152316609258"/>
    <n v="99.571152316609258"/>
    <n v="0.90519229378735688"/>
  </r>
  <r>
    <d v="2049-11-28T00:00:00"/>
    <x v="9"/>
    <x v="4"/>
    <n v="106"/>
    <n v="99.572316513266045"/>
    <n v="99.572316513266045"/>
    <n v="0.93936147654024571"/>
  </r>
  <r>
    <d v="2049-12-28T00:00:00"/>
    <x v="10"/>
    <x v="1"/>
    <n v="92"/>
    <n v="99.573480709922833"/>
    <n v="99.573480709922833"/>
    <n v="0.91767955750083874"/>
  </r>
  <r>
    <d v="2050-01-27T00:00:00"/>
    <x v="0"/>
    <x v="1"/>
    <n v="121"/>
    <n v="99.574644906579621"/>
    <n v="99.574644906579621"/>
    <n v="0.82293094964115387"/>
  </r>
  <r>
    <d v="2050-02-26T00:00:00"/>
    <x v="11"/>
    <x v="0"/>
    <n v="89"/>
    <n v="99.575809103236409"/>
    <n v="99.575809103236409"/>
    <n v="0.88117068423329881"/>
  </r>
  <r>
    <d v="2050-03-28T00:00:00"/>
    <x v="1"/>
    <x v="1"/>
    <n v="117"/>
    <n v="99.576973299893197"/>
    <n v="99.576973299893197"/>
    <n v="0.85108524187942902"/>
  </r>
  <r>
    <d v="2050-04-27T00:00:00"/>
    <x v="2"/>
    <x v="1"/>
    <n v="106"/>
    <n v="99.578137496549985"/>
    <n v="99.578137496549985"/>
    <n v="0.9394163914768866"/>
  </r>
  <r>
    <d v="2050-05-27T00:00:00"/>
    <x v="3"/>
    <x v="3"/>
    <n v="121"/>
    <n v="99.579301693206773"/>
    <n v="99.579301693206773"/>
    <n v="0.82296943548104773"/>
  </r>
  <r>
    <d v="2050-06-26T00:00:00"/>
    <x v="4"/>
    <x v="4"/>
    <n v="95"/>
    <n v="99.580465889863547"/>
    <n v="99.580465889863547"/>
    <n v="0.95178456958038371"/>
  </r>
  <r>
    <d v="2050-07-26T00:00:00"/>
    <x v="5"/>
    <x v="3"/>
    <n v="91"/>
    <n v="99.581630086520335"/>
    <n v="99.581630086520335"/>
    <n v="0.90569637267560066"/>
  </r>
  <r>
    <d v="2050-08-25T00:00:00"/>
    <x v="6"/>
    <x v="1"/>
    <n v="82"/>
    <n v="99.582794283177122"/>
    <n v="99.582794283177122"/>
    <n v="0.78557567947344975"/>
  </r>
  <r>
    <d v="2050-09-24T00:00:00"/>
    <x v="7"/>
    <x v="0"/>
    <n v="100"/>
    <n v="99.58395847983391"/>
    <n v="99.58395847983391"/>
    <n v="0.99583958479833912"/>
  </r>
  <r>
    <d v="2050-10-24T00:00:00"/>
    <x v="8"/>
    <x v="0"/>
    <n v="81"/>
    <n v="99.585122676490698"/>
    <n v="99.585122676490698"/>
    <n v="0.77055404103097902"/>
  </r>
  <r>
    <d v="2050-11-23T00:00:00"/>
    <x v="9"/>
    <x v="1"/>
    <n v="101"/>
    <n v="99.586286873147486"/>
    <n v="99.586286873147486"/>
    <n v="0.98600284032819296"/>
  </r>
  <r>
    <d v="2050-12-23T00:00:00"/>
    <x v="10"/>
    <x v="2"/>
    <n v="95"/>
    <n v="99.587451069804274"/>
    <n v="99.587451069804274"/>
    <n v="0.95171104137048135"/>
  </r>
  <r>
    <d v="2051-01-22T00:00:00"/>
    <x v="0"/>
    <x v="3"/>
    <n v="114"/>
    <n v="99.588615266461062"/>
    <n v="99.588615266461062"/>
    <n v="0.87358434444264088"/>
  </r>
  <r>
    <d v="2051-02-21T00:00:00"/>
    <x v="11"/>
    <x v="1"/>
    <n v="92"/>
    <n v="99.58977946311785"/>
    <n v="99.58977946311785"/>
    <n v="0.91750239714002335"/>
  </r>
  <r>
    <d v="2051-03-23T00:00:00"/>
    <x v="1"/>
    <x v="0"/>
    <n v="113"/>
    <n v="99.590943659774638"/>
    <n v="99.590943659774638"/>
    <n v="0.88133578459977557"/>
  </r>
  <r>
    <d v="2051-04-22T00:00:00"/>
    <x v="2"/>
    <x v="0"/>
    <n v="113"/>
    <n v="99.592107856431426"/>
    <n v="99.592107856431426"/>
    <n v="0.88134608722505692"/>
  </r>
  <r>
    <d v="2051-05-22T00:00:00"/>
    <x v="3"/>
    <x v="3"/>
    <n v="120"/>
    <n v="99.593272053088199"/>
    <n v="99.593272053088199"/>
    <n v="0.82994393377573505"/>
  </r>
  <r>
    <d v="2051-06-21T00:00:00"/>
    <x v="4"/>
    <x v="4"/>
    <n v="108"/>
    <n v="99.594436249744987"/>
    <n v="99.594436249744987"/>
    <n v="0.92217070601615725"/>
  </r>
  <r>
    <d v="2051-07-21T00:00:00"/>
    <x v="5"/>
    <x v="1"/>
    <n v="99"/>
    <n v="99.595600446401775"/>
    <n v="99.595600446401775"/>
    <n v="0.99398383387472955"/>
  </r>
  <r>
    <d v="2051-08-20T00:00:00"/>
    <x v="6"/>
    <x v="1"/>
    <n v="108"/>
    <n v="99.596764643058563"/>
    <n v="99.596764643058563"/>
    <n v="0.92219226521350517"/>
  </r>
  <r>
    <d v="2051-09-19T00:00:00"/>
    <x v="7"/>
    <x v="4"/>
    <n v="98"/>
    <n v="99.597928839715351"/>
    <n v="99.597928839715351"/>
    <n v="0.98369460367637396"/>
  </r>
  <r>
    <d v="2051-10-19T00:00:00"/>
    <x v="8"/>
    <x v="3"/>
    <n v="92"/>
    <n v="99.599093036372139"/>
    <n v="99.599093036372139"/>
    <n v="0.91740116264812888"/>
  </r>
  <r>
    <d v="2051-11-18T00:00:00"/>
    <x v="9"/>
    <x v="3"/>
    <n v="96"/>
    <n v="99.600257233028927"/>
    <n v="99.600257233028927"/>
    <n v="0.96249732048928205"/>
  </r>
  <r>
    <d v="2051-12-18T00:00:00"/>
    <x v="10"/>
    <x v="0"/>
    <n v="94"/>
    <n v="99.601421429685715"/>
    <n v="99.601421429685715"/>
    <n v="0.9404104103224924"/>
  </r>
  <r>
    <d v="2052-01-17T00:00:00"/>
    <x v="0"/>
    <x v="4"/>
    <n v="75"/>
    <n v="99.602585626342503"/>
    <n v="99.602585626342503"/>
    <n v="0.67196552498209994"/>
  </r>
  <r>
    <d v="2052-02-16T00:00:00"/>
    <x v="11"/>
    <x v="3"/>
    <n v="97"/>
    <n v="99.603749822999291"/>
    <n v="99.603749822999291"/>
    <n v="0.9731572183195949"/>
  </r>
  <r>
    <d v="2052-03-17T00:00:00"/>
    <x v="1"/>
    <x v="2"/>
    <n v="100"/>
    <n v="99.604914019656078"/>
    <n v="99.604914019656078"/>
    <n v="0.99604914019656077"/>
  </r>
  <r>
    <d v="2052-04-16T00:00:00"/>
    <x v="2"/>
    <x v="1"/>
    <n v="98"/>
    <n v="99.606078216312852"/>
    <n v="99.606078216312852"/>
    <n v="0.98361144677231782"/>
  </r>
  <r>
    <d v="2052-05-16T00:00:00"/>
    <x v="3"/>
    <x v="0"/>
    <n v="121"/>
    <n v="99.60724241296964"/>
    <n v="99.60724241296964"/>
    <n v="0.82320035052041018"/>
  </r>
  <r>
    <d v="2052-06-15T00:00:00"/>
    <x v="4"/>
    <x v="4"/>
    <n v="103"/>
    <n v="99.608406609626428"/>
    <n v="99.608406609626428"/>
    <n v="0.96707190883132454"/>
  </r>
  <r>
    <d v="2052-07-15T00:00:00"/>
    <x v="5"/>
    <x v="0"/>
    <n v="121"/>
    <n v="99.609570806283216"/>
    <n v="99.609570806283216"/>
    <n v="0.82321959344035722"/>
  </r>
  <r>
    <d v="2052-08-14T00:00:00"/>
    <x v="6"/>
    <x v="3"/>
    <n v="103"/>
    <n v="99.610735002940004"/>
    <n v="99.610735002940004"/>
    <n v="0.96709451459165052"/>
  </r>
  <r>
    <d v="2052-09-13T00:00:00"/>
    <x v="7"/>
    <x v="3"/>
    <n v="91"/>
    <n v="99.611899199596792"/>
    <n v="99.611899199596792"/>
    <n v="0.90536374505937589"/>
  </r>
  <r>
    <d v="2052-10-13T00:00:00"/>
    <x v="8"/>
    <x v="2"/>
    <n v="91"/>
    <n v="99.61306339625358"/>
    <n v="99.61306339625358"/>
    <n v="0.90535095168952107"/>
  </r>
  <r>
    <d v="2052-11-12T00:00:00"/>
    <x v="9"/>
    <x v="1"/>
    <n v="107"/>
    <n v="99.614227592910368"/>
    <n v="99.614227592910368"/>
    <n v="0.93097408965336792"/>
  </r>
  <r>
    <d v="2052-12-12T00:00:00"/>
    <x v="10"/>
    <x v="4"/>
    <n v="97"/>
    <n v="99.615391789567155"/>
    <n v="99.615391789567155"/>
    <n v="0.97303719804569944"/>
  </r>
  <r>
    <d v="2053-01-11T00:00:00"/>
    <x v="0"/>
    <x v="0"/>
    <n v="106"/>
    <n v="99.616555986223943"/>
    <n v="99.616555986223943"/>
    <n v="0.93977883005871643"/>
  </r>
  <r>
    <d v="2053-02-10T00:00:00"/>
    <x v="11"/>
    <x v="1"/>
    <n v="110"/>
    <n v="99.617720182880731"/>
    <n v="99.617720182880731"/>
    <n v="0.9056156380261885"/>
  </r>
  <r>
    <d v="2053-03-12T00:00:00"/>
    <x v="1"/>
    <x v="3"/>
    <n v="91"/>
    <n v="99.618884379537505"/>
    <n v="99.618884379537505"/>
    <n v="0.90528698484024717"/>
  </r>
  <r>
    <d v="2053-04-11T00:00:00"/>
    <x v="2"/>
    <x v="1"/>
    <n v="103"/>
    <n v="99.620048576194293"/>
    <n v="99.620048576194293"/>
    <n v="0.96718493763295432"/>
  </r>
  <r>
    <d v="2053-05-11T00:00:00"/>
    <x v="3"/>
    <x v="0"/>
    <n v="84"/>
    <n v="99.621212772851081"/>
    <n v="99.621212772851081"/>
    <n v="0.81403318127558233"/>
  </r>
  <r>
    <d v="2053-06-10T00:00:00"/>
    <x v="4"/>
    <x v="1"/>
    <n v="93"/>
    <n v="99.622376969507869"/>
    <n v="99.622376969507869"/>
    <n v="0.92879164548916271"/>
  </r>
  <r>
    <d v="2053-07-10T00:00:00"/>
    <x v="5"/>
    <x v="3"/>
    <n v="113"/>
    <n v="99.623541166164657"/>
    <n v="99.623541166164657"/>
    <n v="0.88162425810765188"/>
  </r>
  <r>
    <d v="2053-08-09T00:00:00"/>
    <x v="6"/>
    <x v="1"/>
    <n v="105"/>
    <n v="99.624705362821445"/>
    <n v="99.624705362821445"/>
    <n v="0.94880671774115666"/>
  </r>
  <r>
    <d v="2053-09-08T00:00:00"/>
    <x v="7"/>
    <x v="4"/>
    <n v="83"/>
    <n v="99.625869559478232"/>
    <n v="99.625869559478232"/>
    <n v="0.79968831856050326"/>
  </r>
  <r>
    <d v="2053-10-08T00:00:00"/>
    <x v="8"/>
    <x v="1"/>
    <n v="96"/>
    <n v="99.62703375613502"/>
    <n v="99.62703375613502"/>
    <n v="0.96221839837359358"/>
  </r>
  <r>
    <d v="2053-11-07T00:00:00"/>
    <x v="9"/>
    <x v="4"/>
    <n v="107"/>
    <n v="99.628197952791808"/>
    <n v="99.628197952791808"/>
    <n v="0.93110465376440943"/>
  </r>
  <r>
    <d v="2053-12-07T00:00:00"/>
    <x v="10"/>
    <x v="1"/>
    <n v="83"/>
    <n v="99.629362149448596"/>
    <n v="99.629362149448596"/>
    <n v="0.79964623916326993"/>
  </r>
  <r>
    <d v="2054-01-06T00:00:00"/>
    <x v="0"/>
    <x v="3"/>
    <n v="105"/>
    <n v="99.630526346105384"/>
    <n v="99.630526346105384"/>
    <n v="0.94886215567719412"/>
  </r>
  <r>
    <d v="2054-02-05T00:00:00"/>
    <x v="11"/>
    <x v="2"/>
    <n v="112"/>
    <n v="99.631690542762158"/>
    <n v="99.631690542762158"/>
    <n v="0.88956866556037639"/>
  </r>
  <r>
    <d v="2054-03-07T00:00:00"/>
    <x v="1"/>
    <x v="2"/>
    <n v="99"/>
    <n v="99.632854739418946"/>
    <n v="99.632854739418946"/>
    <n v="0.99360752788465712"/>
  </r>
  <r>
    <d v="2054-04-06T00:00:00"/>
    <x v="2"/>
    <x v="4"/>
    <n v="111"/>
    <n v="99.634018936075734"/>
    <n v="99.634018936075734"/>
    <n v="0.89760377419888049"/>
  </r>
  <r>
    <d v="2054-05-06T00:00:00"/>
    <x v="3"/>
    <x v="4"/>
    <n v="105"/>
    <n v="99.635183132732521"/>
    <n v="99.635183132732521"/>
    <n v="0.948906506026024"/>
  </r>
  <r>
    <d v="2054-06-05T00:00:00"/>
    <x v="4"/>
    <x v="2"/>
    <n v="93"/>
    <n v="99.636347329389309"/>
    <n v="99.636347329389309"/>
    <n v="0.92864142656570636"/>
  </r>
  <r>
    <d v="2054-07-05T00:00:00"/>
    <x v="5"/>
    <x v="3"/>
    <n v="109"/>
    <n v="99.637511526046097"/>
    <n v="99.637511526046097"/>
    <n v="0.91410561033069815"/>
  </r>
  <r>
    <d v="2054-08-04T00:00:00"/>
    <x v="6"/>
    <x v="3"/>
    <n v="106"/>
    <n v="99.638675722702885"/>
    <n v="99.638675722702885"/>
    <n v="0.93998750681795173"/>
  </r>
  <r>
    <d v="2054-09-03T00:00:00"/>
    <x v="7"/>
    <x v="1"/>
    <n v="106"/>
    <n v="99.639839919359673"/>
    <n v="99.639839919359673"/>
    <n v="0.93999848980527989"/>
  </r>
  <r>
    <d v="2054-10-03T00:00:00"/>
    <x v="8"/>
    <x v="4"/>
    <n v="103"/>
    <n v="99.641004116016461"/>
    <n v="99.641004116016461"/>
    <n v="0.96738838947588801"/>
  </r>
  <r>
    <d v="2054-11-02T00:00:00"/>
    <x v="9"/>
    <x v="3"/>
    <n v="113"/>
    <n v="99.642168312673249"/>
    <n v="99.642168312673249"/>
    <n v="0.88178910011215261"/>
  </r>
  <r>
    <d v="2054-12-02T00:00:00"/>
    <x v="10"/>
    <x v="0"/>
    <n v="111"/>
    <n v="99.643332509330037"/>
    <n v="99.643332509330037"/>
    <n v="0.89768768026423462"/>
  </r>
  <r>
    <d v="2055-01-01T00:00:00"/>
    <x v="0"/>
    <x v="1"/>
    <n v="92"/>
    <n v="99.644496705986811"/>
    <n v="99.644496705986811"/>
    <n v="0.91690764450014339"/>
  </r>
  <r>
    <d v="2055-01-31T00:00:00"/>
    <x v="0"/>
    <x v="1"/>
    <n v="89"/>
    <n v="99.645660902643598"/>
    <n v="99.645660902643598"/>
    <n v="0.88038583255456637"/>
  </r>
  <r>
    <d v="2055-03-02T00:00:00"/>
    <x v="1"/>
    <x v="2"/>
    <n v="111"/>
    <n v="99.646825099300386"/>
    <n v="99.646825099300386"/>
    <n v="0.89771914503874217"/>
  </r>
  <r>
    <d v="2055-04-01T00:00:00"/>
    <x v="2"/>
    <x v="4"/>
    <n v="104"/>
    <n v="99.647989295957174"/>
    <n v="99.647989295957174"/>
    <n v="0.9581537432303574"/>
  </r>
  <r>
    <d v="2055-05-01T00:00:00"/>
    <x v="3"/>
    <x v="3"/>
    <n v="108"/>
    <n v="99.649153492613962"/>
    <n v="99.649153492613962"/>
    <n v="0.92267734715383298"/>
  </r>
  <r>
    <d v="2055-05-31T00:00:00"/>
    <x v="3"/>
    <x v="3"/>
    <n v="109"/>
    <n v="99.65031768927075"/>
    <n v="99.65031768927075"/>
    <n v="0.9142230980667041"/>
  </r>
  <r>
    <d v="2055-06-30T00:00:00"/>
    <x v="4"/>
    <x v="1"/>
    <n v="108"/>
    <n v="99.651481885927538"/>
    <n v="99.651481885927538"/>
    <n v="0.9226989063511809"/>
  </r>
  <r>
    <d v="2055-07-30T00:00:00"/>
    <x v="5"/>
    <x v="4"/>
    <n v="127"/>
    <n v="99.652646082584326"/>
    <n v="99.652646082584326"/>
    <n v="0.78466650458727816"/>
  </r>
  <r>
    <d v="2055-08-29T00:00:00"/>
    <x v="6"/>
    <x v="4"/>
    <n v="104"/>
    <n v="99.653810279241114"/>
    <n v="99.653810279241114"/>
    <n v="0.95820971422347223"/>
  </r>
  <r>
    <d v="2055-09-28T00:00:00"/>
    <x v="7"/>
    <x v="4"/>
    <n v="106"/>
    <n v="99.654974475897902"/>
    <n v="99.654974475897902"/>
    <n v="0.94014126864054626"/>
  </r>
  <r>
    <d v="2055-10-28T00:00:00"/>
    <x v="8"/>
    <x v="2"/>
    <n v="94"/>
    <n v="99.65613867255469"/>
    <n v="99.65613867255469"/>
    <n v="0.939828311994099"/>
  </r>
  <r>
    <d v="2055-11-27T00:00:00"/>
    <x v="9"/>
    <x v="3"/>
    <n v="81"/>
    <n v="99.657302869211463"/>
    <n v="99.657302869211463"/>
    <n v="0.76966292754059928"/>
  </r>
  <r>
    <d v="2055-12-27T00:00:00"/>
    <x v="10"/>
    <x v="4"/>
    <n v="95"/>
    <n v="99.658467065868251"/>
    <n v="99.658467065868251"/>
    <n v="0.95096350456980794"/>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d v="2015-01-01T00:00:00"/>
    <x v="0"/>
    <n v="2015"/>
    <x v="0"/>
    <n v="96"/>
    <n v="97675.419137560835"/>
    <n v="99.077532934131725"/>
    <n v="-3.0775329341317246"/>
    <n v="-3.2057634730538798E-2"/>
  </r>
  <r>
    <d v="2015-01-31T00:00:00"/>
    <x v="0"/>
    <n v="2015"/>
    <x v="0"/>
    <n v="107"/>
    <n v="104294.26366341053"/>
    <n v="99.078697130788512"/>
    <n v="7.9213028692114875"/>
    <n v="7.4030867936555958E-2"/>
  </r>
  <r>
    <d v="2015-03-02T00:00:00"/>
    <x v="1"/>
    <n v="2015"/>
    <x v="1"/>
    <n v="88"/>
    <n v="131562.36115124368"/>
    <n v="99.0798613274453"/>
    <n v="-11.0798613274453"/>
    <n v="-0.12590751508460568"/>
  </r>
  <r>
    <d v="2015-04-01T00:00:00"/>
    <x v="2"/>
    <n v="2015"/>
    <x v="2"/>
    <n v="103"/>
    <n v="119708.99371230436"/>
    <n v="99.081025524102088"/>
    <n v="3.9189744758979117"/>
    <n v="3.8048295882503996E-2"/>
  </r>
  <r>
    <d v="2015-05-01T00:00:00"/>
    <x v="3"/>
    <n v="2015"/>
    <x v="2"/>
    <n v="111"/>
    <n v="117383.09184993793"/>
    <n v="99.082189720758876"/>
    <n v="11.917810279241124"/>
    <n v="0.10736766017334345"/>
  </r>
  <r>
    <d v="2015-05-31T00:00:00"/>
    <x v="3"/>
    <n v="2015"/>
    <x v="2"/>
    <n v="90"/>
    <n v="90889.209479522586"/>
    <n v="99.083353917415664"/>
    <n v="-9.0833539174156641"/>
    <n v="-0.10092615463795182"/>
  </r>
  <r>
    <d v="2015-06-30T00:00:00"/>
    <x v="4"/>
    <n v="2015"/>
    <x v="0"/>
    <n v="94"/>
    <n v="82215.183435433515"/>
    <n v="99.084518114072452"/>
    <n v="-5.084518114072452"/>
    <n v="-5.4090618234813322E-2"/>
  </r>
  <r>
    <d v="2015-07-30T00:00:00"/>
    <x v="5"/>
    <n v="2015"/>
    <x v="3"/>
    <n v="98"/>
    <n v="119106.01116475507"/>
    <n v="99.08568231072924"/>
    <n v="-1.0856823107292399"/>
    <n v="-1.1078390925808571E-2"/>
  </r>
  <r>
    <d v="2015-08-29T00:00:00"/>
    <x v="6"/>
    <n v="2015"/>
    <x v="0"/>
    <n v="103"/>
    <n v="117520.93585059588"/>
    <n v="99.086846507386028"/>
    <n v="3.9131534926139722"/>
    <n v="3.7991781481689052E-2"/>
  </r>
  <r>
    <d v="2015-09-28T00:00:00"/>
    <x v="7"/>
    <n v="2015"/>
    <x v="3"/>
    <n v="94"/>
    <n v="97675.419137560835"/>
    <n v="99.088010704042816"/>
    <n v="-5.0880107040428157"/>
    <n v="-5.4127773447264001E-2"/>
  </r>
  <r>
    <d v="2015-10-28T00:00:00"/>
    <x v="8"/>
    <n v="2015"/>
    <x v="4"/>
    <n v="99"/>
    <n v="87920.387480615405"/>
    <n v="99.089174900699589"/>
    <n v="-8.9174900699589443E-2"/>
    <n v="-9.0075657272312571E-4"/>
  </r>
  <r>
    <d v="2015-11-27T00:00:00"/>
    <x v="9"/>
    <n v="2015"/>
    <x v="0"/>
    <n v="90"/>
    <n v="95409.026892793059"/>
    <n v="99.090339097356377"/>
    <n v="-9.0903390973563774"/>
    <n v="-0.10100376774840419"/>
  </r>
  <r>
    <d v="2015-12-27T00:00:00"/>
    <x v="10"/>
    <n v="2015"/>
    <x v="0"/>
    <n v="100"/>
    <n v="67210.316749491321"/>
    <n v="99.091503294013165"/>
    <n v="0.90849670598683474"/>
    <n v="9.0849670598683475E-3"/>
  </r>
  <r>
    <d v="2016-01-26T00:00:00"/>
    <x v="0"/>
    <n v="2016"/>
    <x v="0"/>
    <n v="103"/>
    <n v="92150.57787878254"/>
    <n v="99.092667490669953"/>
    <n v="3.9073325093300468"/>
    <n v="3.793526708087424E-2"/>
  </r>
  <r>
    <d v="2016-02-25T00:00:00"/>
    <x v="11"/>
    <n v="2016"/>
    <x v="2"/>
    <n v="94"/>
    <n v="119931.41021158894"/>
    <n v="99.093831687326741"/>
    <n v="-5.0938316873267411"/>
    <n v="-5.4189698801348309E-2"/>
  </r>
  <r>
    <d v="2016-03-26T00:00:00"/>
    <x v="1"/>
    <n v="2016"/>
    <x v="2"/>
    <n v="105"/>
    <n v="100873.2838"/>
    <n v="99.094995883983529"/>
    <n v="5.905004116016471"/>
    <n v="5.6238134438252103E-2"/>
  </r>
  <r>
    <d v="2016-04-25T00:00:00"/>
    <x v="2"/>
    <n v="2016"/>
    <x v="3"/>
    <n v="86"/>
    <n v="112809.59590401647"/>
    <n v="99.096160080640317"/>
    <n v="-13.096160080640317"/>
    <n v="-0.15228093117023625"/>
  </r>
  <r>
    <d v="2016-05-25T00:00:00"/>
    <x v="3"/>
    <n v="2016"/>
    <x v="3"/>
    <n v="92"/>
    <n v="96189.93788004377"/>
    <n v="99.097324277297105"/>
    <n v="-7.0973242772971048"/>
    <n v="-7.7144829101055482E-2"/>
  </r>
  <r>
    <d v="2016-06-24T00:00:00"/>
    <x v="4"/>
    <n v="2016"/>
    <x v="0"/>
    <n v="94"/>
    <n v="106481.14056443122"/>
    <n v="99.098488473953893"/>
    <n v="-5.0984884739538927"/>
    <n v="-5.4239239084615878E-2"/>
  </r>
  <r>
    <d v="2016-07-24T00:00:00"/>
    <x v="5"/>
    <n v="2016"/>
    <x v="3"/>
    <n v="101"/>
    <n v="77046.172203686656"/>
    <n v="99.099652670610681"/>
    <n v="1.9003473293893194"/>
    <n v="1.8815320092963557E-2"/>
  </r>
  <r>
    <d v="2016-08-23T00:00:00"/>
    <x v="6"/>
    <n v="2016"/>
    <x v="2"/>
    <n v="103"/>
    <n v="100873.2838"/>
    <n v="99.100816867267469"/>
    <n v="3.8991831327325315"/>
    <n v="3.7856146919733318E-2"/>
  </r>
  <r>
    <d v="2016-09-22T00:00:00"/>
    <x v="7"/>
    <n v="2016"/>
    <x v="3"/>
    <n v="84"/>
    <n v="40177.280581985535"/>
    <n v="99.101981063924256"/>
    <n v="-15.101981063924256"/>
    <n v="-0.17978548885624115"/>
  </r>
  <r>
    <d v="2016-10-22T00:00:00"/>
    <x v="8"/>
    <n v="2016"/>
    <x v="4"/>
    <n v="76"/>
    <n v="96262.076836760301"/>
    <n v="99.10314526058103"/>
    <n v="-23.10314526058103"/>
    <n v="-0.30398875342869774"/>
  </r>
  <r>
    <d v="2016-11-21T00:00:00"/>
    <x v="9"/>
    <n v="2016"/>
    <x v="2"/>
    <n v="100"/>
    <n v="67390.535125697206"/>
    <n v="99.104309457237818"/>
    <n v="0.89569054276218196"/>
    <n v="8.9569054276218193E-3"/>
  </r>
  <r>
    <d v="2016-12-21T00:00:00"/>
    <x v="10"/>
    <n v="2016"/>
    <x v="4"/>
    <n v="111"/>
    <n v="124119.89033093632"/>
    <n v="99.105473653894606"/>
    <n v="11.894526346105394"/>
    <n v="0.10715789500995851"/>
  </r>
  <r>
    <d v="2017-01-20T00:00:00"/>
    <x v="0"/>
    <n v="2017"/>
    <x v="3"/>
    <n v="93"/>
    <n v="112809.59590401647"/>
    <n v="99.106637850551394"/>
    <n v="-6.1066378505513939"/>
    <n v="-6.5662772586574131E-2"/>
  </r>
  <r>
    <d v="2017-02-19T00:00:00"/>
    <x v="11"/>
    <n v="2017"/>
    <x v="1"/>
    <n v="87"/>
    <n v="96189.93788004377"/>
    <n v="99.107802047208182"/>
    <n v="-12.107802047208182"/>
    <n v="-0.13917013847365725"/>
  </r>
  <r>
    <d v="2017-03-21T00:00:00"/>
    <x v="1"/>
    <n v="2017"/>
    <x v="0"/>
    <n v="108"/>
    <n v="130420.1245431876"/>
    <n v="99.10896624386497"/>
    <n v="8.8910337561350303"/>
    <n v="8.2324386630879917E-2"/>
  </r>
  <r>
    <d v="2017-04-20T00:00:00"/>
    <x v="2"/>
    <n v="2017"/>
    <x v="2"/>
    <n v="106"/>
    <n v="81021.669583503259"/>
    <n v="99.110130440521758"/>
    <n v="6.8898695594782424"/>
    <n v="6.4998769429040024E-2"/>
  </r>
  <r>
    <d v="2017-05-20T00:00:00"/>
    <x v="3"/>
    <n v="2017"/>
    <x v="4"/>
    <n v="108"/>
    <n v="134947.26395831117"/>
    <n v="99.111294637178545"/>
    <n v="8.8887053628214545"/>
    <n v="8.2302827433531983E-2"/>
  </r>
  <r>
    <d v="2017-06-19T00:00:00"/>
    <x v="4"/>
    <n v="2017"/>
    <x v="1"/>
    <n v="96"/>
    <n v="118643.83128520769"/>
    <n v="99.112458833835333"/>
    <n v="-3.1124588338353334"/>
    <n v="-3.2421446185784721E-2"/>
  </r>
  <r>
    <d v="2017-07-19T00:00:00"/>
    <x v="5"/>
    <n v="2017"/>
    <x v="1"/>
    <n v="113"/>
    <n v="95268.894255621082"/>
    <n v="99.113623030492121"/>
    <n v="13.886376969507879"/>
    <n v="0.12288829176555645"/>
  </r>
  <r>
    <d v="2017-08-18T00:00:00"/>
    <x v="6"/>
    <n v="2017"/>
    <x v="2"/>
    <n v="95"/>
    <n v="122712.40294365888"/>
    <n v="99.114787227148909"/>
    <n v="-4.1147872271489092"/>
    <n v="-4.3313549759462201E-2"/>
  </r>
  <r>
    <d v="2017-09-17T00:00:00"/>
    <x v="7"/>
    <n v="2017"/>
    <x v="2"/>
    <n v="94"/>
    <n v="77874.129751767323"/>
    <n v="99.115951423805683"/>
    <n v="-5.1159514238056829"/>
    <n v="-5.4425015146868969E-2"/>
  </r>
  <r>
    <d v="2017-10-17T00:00:00"/>
    <x v="8"/>
    <n v="2017"/>
    <x v="1"/>
    <n v="107"/>
    <n v="83509.716769446532"/>
    <n v="99.117115620462471"/>
    <n v="7.8828843795375292"/>
    <n v="7.3671816631191864E-2"/>
  </r>
  <r>
    <d v="2017-11-16T00:00:00"/>
    <x v="9"/>
    <n v="2017"/>
    <x v="0"/>
    <n v="114"/>
    <n v="100873.2838"/>
    <n v="99.118279817119259"/>
    <n v="14.881720182880741"/>
    <n v="0.13054140511298895"/>
  </r>
  <r>
    <d v="2017-12-16T00:00:00"/>
    <x v="10"/>
    <n v="2017"/>
    <x v="0"/>
    <n v="86"/>
    <n v="89420.445838719694"/>
    <n v="99.119444013776047"/>
    <n v="-13.119444013776047"/>
    <n v="-0.15255167457879124"/>
  </r>
  <r>
    <d v="2018-01-15T00:00:00"/>
    <x v="0"/>
    <n v="2018"/>
    <x v="4"/>
    <n v="100"/>
    <n v="78868.847144794941"/>
    <n v="99.120608210432835"/>
    <n v="0.87939178956716546"/>
    <n v="8.793917895671655E-3"/>
  </r>
  <r>
    <d v="2018-02-14T00:00:00"/>
    <x v="11"/>
    <n v="2018"/>
    <x v="0"/>
    <n v="108"/>
    <n v="124461.6613419065"/>
    <n v="99.121772407089622"/>
    <n v="8.8782275929103776"/>
    <n v="8.2205811045466454E-2"/>
  </r>
  <r>
    <d v="2018-03-16T00:00:00"/>
    <x v="1"/>
    <n v="2018"/>
    <x v="1"/>
    <n v="101"/>
    <n v="94822.91199260336"/>
    <n v="99.12293660374641"/>
    <n v="1.8770633962535896"/>
    <n v="1.858478610152069E-2"/>
  </r>
  <r>
    <d v="2018-04-15T00:00:00"/>
    <x v="2"/>
    <n v="2018"/>
    <x v="1"/>
    <n v="94"/>
    <n v="107050.09936713759"/>
    <n v="99.124100800403198"/>
    <n v="-5.1241008004031983"/>
    <n v="-5.4511710642587217E-2"/>
  </r>
  <r>
    <d v="2018-05-15T00:00:00"/>
    <x v="3"/>
    <n v="2018"/>
    <x v="3"/>
    <n v="116"/>
    <n v="122712.40294365888"/>
    <n v="99.125264997059986"/>
    <n v="16.874735002940014"/>
    <n v="0.14547185347362082"/>
  </r>
  <r>
    <d v="2018-06-14T00:00:00"/>
    <x v="4"/>
    <n v="2018"/>
    <x v="1"/>
    <n v="97"/>
    <n v="63587.933989029654"/>
    <n v="99.126429193716774"/>
    <n v="-2.1264291937167741"/>
    <n v="-2.1921950450688392E-2"/>
  </r>
  <r>
    <d v="2018-07-14T00:00:00"/>
    <x v="5"/>
    <n v="2018"/>
    <x v="0"/>
    <n v="96"/>
    <n v="105401.14716782844"/>
    <n v="99.127593390373562"/>
    <n v="-3.127593390373562"/>
    <n v="-3.2579097816391268E-2"/>
  </r>
  <r>
    <d v="2018-08-13T00:00:00"/>
    <x v="6"/>
    <n v="2018"/>
    <x v="4"/>
    <n v="94"/>
    <n v="61754.900491604465"/>
    <n v="99.128757587030336"/>
    <n v="-5.1287575870303357"/>
    <n v="-5.4561250925854635E-2"/>
  </r>
  <r>
    <d v="2018-09-12T00:00:00"/>
    <x v="7"/>
    <n v="2018"/>
    <x v="3"/>
    <n v="118"/>
    <n v="98627.319078290631"/>
    <n v="99.129921783687124"/>
    <n v="18.870078216312876"/>
    <n v="0.15991591708739725"/>
  </r>
  <r>
    <d v="2018-10-12T00:00:00"/>
    <x v="8"/>
    <n v="2018"/>
    <x v="0"/>
    <n v="104"/>
    <n v="72633.699223343792"/>
    <n v="99.131085980343912"/>
    <n v="4.8689140196560885"/>
    <n v="4.681648095823162E-2"/>
  </r>
  <r>
    <d v="2018-11-11T00:00:00"/>
    <x v="9"/>
    <n v="2018"/>
    <x v="4"/>
    <n v="96"/>
    <n v="139745.51998461617"/>
    <n v="99.132250177000699"/>
    <n v="-3.1322501770006994"/>
    <n v="-3.262760601042395E-2"/>
  </r>
  <r>
    <d v="2018-12-11T00:00:00"/>
    <x v="10"/>
    <n v="2018"/>
    <x v="0"/>
    <n v="115"/>
    <n v="118227.25444349443"/>
    <n v="99.133414373657487"/>
    <n v="15.866585626342513"/>
    <n v="0.13797030979428271"/>
  </r>
  <r>
    <d v="2019-01-10T00:00:00"/>
    <x v="0"/>
    <n v="2019"/>
    <x v="3"/>
    <n v="94"/>
    <n v="102115.07582542961"/>
    <n v="99.134578570314275"/>
    <n v="-5.1345785703142752"/>
    <n v="-5.4623176279939095E-2"/>
  </r>
  <r>
    <d v="2019-02-09T00:00:00"/>
    <x v="11"/>
    <n v="2019"/>
    <x v="1"/>
    <n v="91"/>
    <n v="125274.13355309337"/>
    <n v="99.135742766971063"/>
    <n v="-8.1357427669710631"/>
    <n v="-8.9403766670011681E-2"/>
  </r>
  <r>
    <d v="2019-03-11T00:00:00"/>
    <x v="1"/>
    <n v="2019"/>
    <x v="3"/>
    <n v="110"/>
    <n v="83073.680450685279"/>
    <n v="99.136906963627851"/>
    <n v="10.863093036372149"/>
    <n v="9.8755391239746804E-2"/>
  </r>
  <r>
    <d v="2019-04-10T00:00:00"/>
    <x v="2"/>
    <n v="2019"/>
    <x v="1"/>
    <n v="98"/>
    <n v="110869.58757340186"/>
    <n v="99.138071160284639"/>
    <n v="-1.1380711602846389"/>
    <n v="-1.1612971023312643E-2"/>
  </r>
  <r>
    <d v="2019-05-10T00:00:00"/>
    <x v="3"/>
    <n v="2019"/>
    <x v="3"/>
    <n v="86"/>
    <n v="103996.20867437427"/>
    <n v="99.139235356941427"/>
    <n v="-13.139235356941427"/>
    <n v="-0.1527818064760631"/>
  </r>
  <r>
    <d v="2019-06-09T00:00:00"/>
    <x v="4"/>
    <n v="2019"/>
    <x v="2"/>
    <n v="121"/>
    <n v="105280.4016266734"/>
    <n v="99.140399553598215"/>
    <n v="21.859600446401785"/>
    <n v="0.18065785492894038"/>
  </r>
  <r>
    <d v="2019-07-09T00:00:00"/>
    <x v="5"/>
    <n v="2019"/>
    <x v="0"/>
    <n v="100"/>
    <n v="125447.07000213536"/>
    <n v="99.141563750254988"/>
    <n v="0.85843624974501154"/>
    <n v="8.5843624974501157E-3"/>
  </r>
  <r>
    <d v="2019-08-08T00:00:00"/>
    <x v="6"/>
    <n v="2019"/>
    <x v="0"/>
    <n v="96"/>
    <n v="114649.84205559605"/>
    <n v="99.142727946911776"/>
    <n v="-3.1427279469117764"/>
    <n v="-3.2736749446997671E-2"/>
  </r>
  <r>
    <d v="2019-09-07T00:00:00"/>
    <x v="7"/>
    <n v="2019"/>
    <x v="2"/>
    <n v="127"/>
    <n v="105774.47325650047"/>
    <n v="99.143892143568564"/>
    <n v="27.856107856431436"/>
    <n v="0.21933943194040501"/>
  </r>
  <r>
    <d v="2019-10-07T00:00:00"/>
    <x v="8"/>
    <n v="2019"/>
    <x v="1"/>
    <n v="100"/>
    <n v="66902.251275434071"/>
    <n v="99.145056340225352"/>
    <n v="0.85494365977464781"/>
    <n v="8.5494365977464779E-3"/>
  </r>
  <r>
    <d v="2019-11-06T00:00:00"/>
    <x v="9"/>
    <n v="2019"/>
    <x v="0"/>
    <n v="93"/>
    <n v="80799.074094410724"/>
    <n v="99.14622053688214"/>
    <n v="-6.1462205368821401"/>
    <n v="-6.6088392869700432E-2"/>
  </r>
  <r>
    <d v="2019-12-06T00:00:00"/>
    <x v="10"/>
    <n v="2019"/>
    <x v="2"/>
    <n v="103"/>
    <n v="97545.821328085513"/>
    <n v="99.147384733538928"/>
    <n v="3.852615266461072"/>
    <n v="3.740403171321429E-2"/>
  </r>
  <r>
    <d v="2020-01-05T00:00:00"/>
    <x v="0"/>
    <n v="2020"/>
    <x v="0"/>
    <n v="78"/>
    <n v="101867.44748553302"/>
    <n v="99.148548930195716"/>
    <n v="-21.148548930195716"/>
    <n v="-0.27113524269481687"/>
  </r>
  <r>
    <d v="2020-02-04T00:00:00"/>
    <x v="11"/>
    <n v="2020"/>
    <x v="4"/>
    <n v="116"/>
    <n v="77395.925506521526"/>
    <n v="99.149713126852504"/>
    <n v="16.850286873147496"/>
    <n v="0.14526109373403015"/>
  </r>
  <r>
    <d v="2020-03-05T00:00:00"/>
    <x v="1"/>
    <n v="2020"/>
    <x v="1"/>
    <n v="88"/>
    <n v="148233.53351156841"/>
    <n v="99.150877323509292"/>
    <n v="-11.150877323509292"/>
    <n v="-0.12671451503987832"/>
  </r>
  <r>
    <d v="2020-04-04T00:00:00"/>
    <x v="2"/>
    <n v="2020"/>
    <x v="4"/>
    <n v="105"/>
    <n v="130327.88110507146"/>
    <n v="99.15204152016608"/>
    <n v="5.8479584798339204"/>
    <n v="5.5694842665084954E-2"/>
  </r>
  <r>
    <d v="2020-05-04T00:00:00"/>
    <x v="3"/>
    <n v="2020"/>
    <x v="1"/>
    <n v="92"/>
    <n v="112042.36640784967"/>
    <n v="99.153205716822868"/>
    <n v="-7.1532057168228675"/>
    <n v="-7.7752236052422471E-2"/>
  </r>
  <r>
    <d v="2020-06-03T00:00:00"/>
    <x v="4"/>
    <n v="2020"/>
    <x v="2"/>
    <n v="96"/>
    <n v="101440.73722567489"/>
    <n v="99.154369913479641"/>
    <n v="-3.1543699134796412"/>
    <n v="-3.2858019932079596E-2"/>
  </r>
  <r>
    <d v="2020-07-03T00:00:00"/>
    <x v="5"/>
    <n v="2020"/>
    <x v="1"/>
    <n v="104"/>
    <n v="95755.820601976971"/>
    <n v="99.155534110136429"/>
    <n v="4.8444658898635709"/>
    <n v="4.6581402787149721E-2"/>
  </r>
  <r>
    <d v="2020-08-02T00:00:00"/>
    <x v="6"/>
    <n v="2020"/>
    <x v="1"/>
    <n v="84"/>
    <n v="80961.630799555292"/>
    <n v="99.156698306793217"/>
    <n v="-15.156698306793217"/>
    <n v="-0.18043688460468116"/>
  </r>
  <r>
    <d v="2020-09-01T00:00:00"/>
    <x v="7"/>
    <n v="2020"/>
    <x v="2"/>
    <n v="95"/>
    <n v="101549.61037037725"/>
    <n v="99.157862503450005"/>
    <n v="-4.157862503450005"/>
    <n v="-4.3766973720526368E-2"/>
  </r>
  <r>
    <d v="2020-10-01T00:00:00"/>
    <x v="8"/>
    <n v="2020"/>
    <x v="1"/>
    <n v="105"/>
    <n v="105155.05080285501"/>
    <n v="99.159026700106793"/>
    <n v="5.8409732998932071"/>
    <n v="5.5628317141840071E-2"/>
  </r>
  <r>
    <d v="2020-10-31T00:00:00"/>
    <x v="8"/>
    <n v="2020"/>
    <x v="0"/>
    <n v="100"/>
    <n v="75164.788490367515"/>
    <n v="99.160190896763581"/>
    <n v="0.83980910323641922"/>
    <n v="8.3980910323641928E-3"/>
  </r>
  <r>
    <d v="2020-11-30T00:00:00"/>
    <x v="9"/>
    <n v="2020"/>
    <x v="3"/>
    <n v="104"/>
    <n v="106683.52834489795"/>
    <n v="99.161355093420369"/>
    <n v="4.8386449065796313"/>
    <n v="4.6525431794034913E-2"/>
  </r>
  <r>
    <d v="2020-12-30T00:00:00"/>
    <x v="10"/>
    <n v="2020"/>
    <x v="2"/>
    <n v="106"/>
    <n v="96894.819023505028"/>
    <n v="99.162519290077157"/>
    <n v="6.8374807099228434"/>
    <n v="6.4504534999272112E-2"/>
  </r>
  <r>
    <d v="2021-01-29T00:00:00"/>
    <x v="0"/>
    <n v="2021"/>
    <x v="3"/>
    <n v="120"/>
    <n v="61843.848842452178"/>
    <n v="99.163683486733945"/>
    <n v="20.836316513266055"/>
    <n v="0.17363597094388381"/>
  </r>
  <r>
    <d v="2021-02-28T00:00:00"/>
    <x v="11"/>
    <n v="2021"/>
    <x v="2"/>
    <n v="106"/>
    <n v="82792.299784409959"/>
    <n v="99.164847683390732"/>
    <n v="6.8351523166092676"/>
    <n v="6.448256902461573E-2"/>
  </r>
  <r>
    <d v="2021-03-30T00:00:00"/>
    <x v="1"/>
    <n v="2021"/>
    <x v="2"/>
    <n v="118"/>
    <n v="91727.889331567116"/>
    <n v="99.16601188004752"/>
    <n v="18.83398811995248"/>
    <n v="0.15961006881315662"/>
  </r>
  <r>
    <d v="2021-04-29T00:00:00"/>
    <x v="2"/>
    <n v="2021"/>
    <x v="4"/>
    <n v="92"/>
    <n v="137753.75314680382"/>
    <n v="99.167176076704294"/>
    <n v="-7.167176076704294"/>
    <n v="-7.7904087790264059E-2"/>
  </r>
  <r>
    <d v="2021-05-29T00:00:00"/>
    <x v="3"/>
    <n v="2021"/>
    <x v="4"/>
    <n v="110"/>
    <n v="111131.06249067516"/>
    <n v="99.168340273361082"/>
    <n v="10.831659726638918"/>
    <n v="9.846963387853562E-2"/>
  </r>
  <r>
    <d v="2021-06-28T00:00:00"/>
    <x v="4"/>
    <n v="2021"/>
    <x v="1"/>
    <n v="101"/>
    <n v="73290.368618002176"/>
    <n v="99.16950447001787"/>
    <n v="1.8304955299821302"/>
    <n v="1.8123718118634953E-2"/>
  </r>
  <r>
    <d v="2021-07-28T00:00:00"/>
    <x v="5"/>
    <n v="2021"/>
    <x v="3"/>
    <n v="84"/>
    <n v="109720.72578835273"/>
    <n v="99.170668666674658"/>
    <n v="-15.170668666674658"/>
    <n v="-0.18060319841279354"/>
  </r>
  <r>
    <d v="2021-08-27T00:00:00"/>
    <x v="6"/>
    <n v="2021"/>
    <x v="2"/>
    <n v="115"/>
    <n v="69053.920221232693"/>
    <n v="99.171832863331446"/>
    <n v="15.828167136668554"/>
    <n v="0.13763623597103092"/>
  </r>
  <r>
    <d v="2021-09-26T00:00:00"/>
    <x v="7"/>
    <n v="2021"/>
    <x v="1"/>
    <n v="95"/>
    <n v="121653.82107774146"/>
    <n v="99.172997059988234"/>
    <n v="-4.1729970599882336"/>
    <n v="-4.3926284841981404E-2"/>
  </r>
  <r>
    <d v="2021-10-26T00:00:00"/>
    <x v="8"/>
    <n v="2021"/>
    <x v="0"/>
    <n v="114"/>
    <n v="90577.50696364243"/>
    <n v="99.174161256645021"/>
    <n v="14.825838743354979"/>
    <n v="0.13005121704697351"/>
  </r>
  <r>
    <d v="2021-11-25T00:00:00"/>
    <x v="9"/>
    <n v="2021"/>
    <x v="2"/>
    <n v="104"/>
    <n v="98127.276225216585"/>
    <n v="99.175325453301809"/>
    <n v="4.8246745466981906"/>
    <n v="4.6391101410559528E-2"/>
  </r>
  <r>
    <d v="2021-12-25T00:00:00"/>
    <x v="10"/>
    <n v="2021"/>
    <x v="0"/>
    <n v="89"/>
    <n v="126515.93295084379"/>
    <n v="99.176489649958597"/>
    <n v="-10.176489649958597"/>
    <n v="-0.11434258033661346"/>
  </r>
  <r>
    <d v="2022-01-24T00:00:00"/>
    <x v="0"/>
    <n v="2022"/>
    <x v="1"/>
    <n v="101"/>
    <n v="74256.728628315002"/>
    <n v="99.177653846615385"/>
    <n v="1.8223461533846148"/>
    <n v="1.8043031221629851E-2"/>
  </r>
  <r>
    <d v="2022-02-23T00:00:00"/>
    <x v="11"/>
    <n v="2022"/>
    <x v="4"/>
    <n v="85"/>
    <n v="72057.636297740173"/>
    <n v="99.178818043272173"/>
    <n v="-14.178818043272173"/>
    <n v="-0.16680962403849614"/>
  </r>
  <r>
    <d v="2022-03-25T00:00:00"/>
    <x v="1"/>
    <n v="2022"/>
    <x v="1"/>
    <n v="101"/>
    <n v="88328.013473079904"/>
    <n v="99.179982239928947"/>
    <n v="1.8200177600710532"/>
    <n v="1.8019977822485676E-2"/>
  </r>
  <r>
    <d v="2022-04-24T00:00:00"/>
    <x v="2"/>
    <n v="2022"/>
    <x v="0"/>
    <n v="104"/>
    <n v="120767.57702038634"/>
    <n v="99.181146436585735"/>
    <n v="4.8188535634142653"/>
    <n v="4.6335130417444859E-2"/>
  </r>
  <r>
    <d v="2022-05-24T00:00:00"/>
    <x v="3"/>
    <n v="2022"/>
    <x v="2"/>
    <n v="106"/>
    <n v="69613.078490463144"/>
    <n v="99.182310633242523"/>
    <n v="6.8176893667574774"/>
    <n v="6.4317824214693189E-2"/>
  </r>
  <r>
    <d v="2022-06-23T00:00:00"/>
    <x v="4"/>
    <n v="2022"/>
    <x v="3"/>
    <n v="95"/>
    <n v="43356.888037788623"/>
    <n v="99.183474829899311"/>
    <n v="-4.1834748298993105"/>
    <n v="-4.4036577156834851E-2"/>
  </r>
  <r>
    <d v="2022-07-23T00:00:00"/>
    <x v="5"/>
    <n v="2022"/>
    <x v="1"/>
    <n v="104"/>
    <n v="90976.822831820027"/>
    <n v="99.184639026556098"/>
    <n v="4.8153609734439016"/>
    <n v="4.6301547821575979E-2"/>
  </r>
  <r>
    <d v="2022-08-22T00:00:00"/>
    <x v="6"/>
    <n v="2022"/>
    <x v="2"/>
    <n v="105"/>
    <n v="98127.276225216585"/>
    <n v="99.185803223212886"/>
    <n v="5.8141967767871137"/>
    <n v="5.5373302636067746E-2"/>
  </r>
  <r>
    <d v="2022-09-21T00:00:00"/>
    <x v="7"/>
    <n v="2022"/>
    <x v="4"/>
    <n v="84"/>
    <n v="124005.23499477659"/>
    <n v="99.186967419869674"/>
    <n v="-15.186967419869674"/>
    <n v="-0.18079723118892468"/>
  </r>
  <r>
    <d v="2022-10-21T00:00:00"/>
    <x v="8"/>
    <n v="2022"/>
    <x v="4"/>
    <n v="93"/>
    <n v="90736.77275829202"/>
    <n v="99.188131616526462"/>
    <n v="-6.1881316165264622"/>
    <n v="-6.6539049640069486E-2"/>
  </r>
  <r>
    <d v="2022-11-20T00:00:00"/>
    <x v="9"/>
    <n v="2022"/>
    <x v="4"/>
    <n v="115"/>
    <n v="91771.467857679949"/>
    <n v="99.18929581318325"/>
    <n v="15.81070418681675"/>
    <n v="0.13748438423318912"/>
  </r>
  <r>
    <d v="2022-12-20T00:00:00"/>
    <x v="10"/>
    <n v="2022"/>
    <x v="2"/>
    <n v="109"/>
    <n v="123078.01468511495"/>
    <n v="99.190460009840038"/>
    <n v="9.809539990159962"/>
    <n v="8.9995779726238179E-2"/>
  </r>
  <r>
    <d v="2023-01-19T00:00:00"/>
    <x v="0"/>
    <n v="2023"/>
    <x v="1"/>
    <n v="102"/>
    <n v="62605.166006091589"/>
    <n v="99.191624206496826"/>
    <n v="2.8083757935031741"/>
    <n v="2.7533096014737E-2"/>
  </r>
  <r>
    <d v="2023-02-18T00:00:00"/>
    <x v="11"/>
    <n v="2023"/>
    <x v="2"/>
    <n v="100"/>
    <n v="92229.584496339812"/>
    <n v="99.1927884031536"/>
    <n v="0.80721159684640043"/>
    <n v="8.0721159684640047E-3"/>
  </r>
  <r>
    <d v="2023-03-20T00:00:00"/>
    <x v="1"/>
    <n v="2023"/>
    <x v="2"/>
    <n v="93"/>
    <n v="103808.47779850116"/>
    <n v="99.193952599810387"/>
    <n v="-6.1939525998103875"/>
    <n v="-6.6601640858176214E-2"/>
  </r>
  <r>
    <d v="2023-04-19T00:00:00"/>
    <x v="2"/>
    <n v="2023"/>
    <x v="3"/>
    <n v="121"/>
    <n v="108984.37442570069"/>
    <n v="99.195116796467175"/>
    <n v="21.804883203532825"/>
    <n v="0.18020564631018862"/>
  </r>
  <r>
    <d v="2023-05-19T00:00:00"/>
    <x v="3"/>
    <n v="2023"/>
    <x v="3"/>
    <n v="117"/>
    <n v="100873.2838"/>
    <n v="99.196280993123963"/>
    <n v="17.803719006876037"/>
    <n v="0.15216853852030801"/>
  </r>
  <r>
    <d v="2023-06-18T00:00:00"/>
    <x v="4"/>
    <n v="2023"/>
    <x v="1"/>
    <n v="98"/>
    <n v="100688.82023411682"/>
    <n v="99.197445189780751"/>
    <n v="-1.1974451897807512"/>
    <n v="-1.2218828467150522E-2"/>
  </r>
  <r>
    <d v="2023-07-18T00:00:00"/>
    <x v="5"/>
    <n v="2023"/>
    <x v="3"/>
    <n v="94"/>
    <n v="50233.452931740212"/>
    <n v="99.198609386437539"/>
    <n v="-5.1986093864375391"/>
    <n v="-5.5304355174867439E-2"/>
  </r>
  <r>
    <d v="2023-08-17T00:00:00"/>
    <x v="6"/>
    <n v="2023"/>
    <x v="4"/>
    <n v="112"/>
    <n v="86835.031753323041"/>
    <n v="99.199773583094327"/>
    <n v="12.800226416905673"/>
    <n v="0.11428773586522922"/>
  </r>
  <r>
    <d v="2023-09-16T00:00:00"/>
    <x v="7"/>
    <n v="2023"/>
    <x v="3"/>
    <n v="89"/>
    <n v="109070.17425108935"/>
    <n v="99.200937779751115"/>
    <n v="-10.200937779751115"/>
    <n v="-0.11461727842416983"/>
  </r>
  <r>
    <d v="2023-10-16T00:00:00"/>
    <x v="8"/>
    <n v="2023"/>
    <x v="4"/>
    <n v="119"/>
    <n v="80354.119314906406"/>
    <n v="99.202101976407903"/>
    <n v="19.797898023592097"/>
    <n v="0.16636889095455543"/>
  </r>
  <r>
    <d v="2023-11-15T00:00:00"/>
    <x v="9"/>
    <n v="2023"/>
    <x v="1"/>
    <n v="102"/>
    <n v="92229.584496339812"/>
    <n v="99.203266173064691"/>
    <n v="2.7967338269353093"/>
    <n v="2.7418959087601072E-2"/>
  </r>
  <r>
    <d v="2023-12-15T00:00:00"/>
    <x v="10"/>
    <n v="2023"/>
    <x v="2"/>
    <n v="87"/>
    <n v="108937.45001605396"/>
    <n v="99.204430369721479"/>
    <n v="-12.204430369721479"/>
    <n v="-0.14028080884737332"/>
  </r>
  <r>
    <d v="2024-01-14T00:00:00"/>
    <x v="0"/>
    <n v="2024"/>
    <x v="2"/>
    <n v="113"/>
    <n v="93149.015982844707"/>
    <n v="99.205594566378252"/>
    <n v="13.794405433621748"/>
    <n v="0.12207438436833405"/>
  </r>
  <r>
    <d v="2024-02-13T00:00:00"/>
    <x v="11"/>
    <n v="2024"/>
    <x v="3"/>
    <n v="106"/>
    <n v="103409.27541993142"/>
    <n v="99.20675876303504"/>
    <n v="6.7932412369649597"/>
    <n v="6.4087181480801503E-2"/>
  </r>
  <r>
    <d v="2024-03-14T00:00:00"/>
    <x v="1"/>
    <n v="2024"/>
    <x v="4"/>
    <n v="96"/>
    <n v="80745.348694307759"/>
    <n v="99.207922959691828"/>
    <n v="-3.2079229596918282"/>
    <n v="-3.3415864163456543E-2"/>
  </r>
  <r>
    <d v="2024-04-13T00:00:00"/>
    <x v="2"/>
    <n v="2024"/>
    <x v="0"/>
    <n v="110"/>
    <n v="95867.774406079072"/>
    <n v="99.209087156348616"/>
    <n v="10.790912843651384"/>
    <n v="9.8099207669558042E-2"/>
  </r>
  <r>
    <d v="2024-05-13T00:00:00"/>
    <x v="3"/>
    <n v="2024"/>
    <x v="0"/>
    <n v="100"/>
    <n v="100873.2838"/>
    <n v="99.210251353005404"/>
    <n v="0.78974864699459602"/>
    <n v="7.8974864699459593E-3"/>
  </r>
  <r>
    <d v="2024-06-12T00:00:00"/>
    <x v="4"/>
    <n v="2024"/>
    <x v="0"/>
    <n v="84"/>
    <n v="103139.45921936868"/>
    <n v="99.211415549662192"/>
    <n v="-15.211415549662192"/>
    <n v="-0.18108828035312133"/>
  </r>
  <r>
    <d v="2024-07-12T00:00:00"/>
    <x v="5"/>
    <n v="2024"/>
    <x v="2"/>
    <n v="106"/>
    <n v="88269.374608721293"/>
    <n v="99.21257974631898"/>
    <n v="6.7874202536810202"/>
    <n v="6.4032266544160568E-2"/>
  </r>
  <r>
    <d v="2024-08-11T00:00:00"/>
    <x v="6"/>
    <n v="2024"/>
    <x v="2"/>
    <n v="114"/>
    <n v="104484.32808581585"/>
    <n v="99.213743942975768"/>
    <n v="14.786256057024232"/>
    <n v="0.12970400050021255"/>
  </r>
  <r>
    <d v="2024-09-10T00:00:00"/>
    <x v="7"/>
    <n v="2024"/>
    <x v="4"/>
    <n v="96"/>
    <n v="114292.19581273236"/>
    <n v="99.214908139632556"/>
    <n v="-3.2149081396325556"/>
    <n v="-3.3488626454505788E-2"/>
  </r>
  <r>
    <d v="2024-10-10T00:00:00"/>
    <x v="8"/>
    <n v="2024"/>
    <x v="3"/>
    <n v="102"/>
    <n v="59001.174428450438"/>
    <n v="99.216072336289344"/>
    <n v="2.7839276637106565"/>
    <n v="2.7293408467751534E-2"/>
  </r>
  <r>
    <d v="2024-11-09T00:00:00"/>
    <x v="9"/>
    <n v="2024"/>
    <x v="0"/>
    <n v="106"/>
    <n v="123181.48129911795"/>
    <n v="99.217236532946131"/>
    <n v="6.7827634670538686"/>
    <n v="6.3988334594847818E-2"/>
  </r>
  <r>
    <d v="2024-12-09T00:00:00"/>
    <x v="10"/>
    <n v="2024"/>
    <x v="4"/>
    <n v="93"/>
    <n v="93274.905226378556"/>
    <n v="99.218400729602905"/>
    <n v="-6.2184007296029051"/>
    <n v="-6.6864523974224793E-2"/>
  </r>
  <r>
    <d v="2025-01-08T00:00:00"/>
    <x v="0"/>
    <n v="2025"/>
    <x v="4"/>
    <n v="100"/>
    <n v="108509.79866480461"/>
    <n v="99.219564926259693"/>
    <n v="0.78043507374030696"/>
    <n v="7.8043507374030699E-3"/>
  </r>
  <r>
    <d v="2025-02-07T00:00:00"/>
    <x v="11"/>
    <n v="2025"/>
    <x v="3"/>
    <n v="111"/>
    <n v="123944.93847290456"/>
    <n v="99.220729122916481"/>
    <n v="11.779270877083519"/>
    <n v="0.10611955745120287"/>
  </r>
  <r>
    <d v="2025-03-09T00:00:00"/>
    <x v="1"/>
    <n v="2025"/>
    <x v="4"/>
    <n v="87"/>
    <n v="72566.526055390685"/>
    <n v="99.221893319573269"/>
    <n v="-12.221893319573269"/>
    <n v="-0.14048153240888814"/>
  </r>
  <r>
    <d v="2025-04-08T00:00:00"/>
    <x v="2"/>
    <n v="2025"/>
    <x v="3"/>
    <n v="100"/>
    <n v="85811.17995144907"/>
    <n v="99.223057516230057"/>
    <n v="0.77694248376994324"/>
    <n v="7.769424837699432E-3"/>
  </r>
  <r>
    <d v="2025-05-08T00:00:00"/>
    <x v="3"/>
    <n v="2025"/>
    <x v="1"/>
    <n v="104"/>
    <n v="100873.2838"/>
    <n v="99.224221712886845"/>
    <n v="4.7757782871131553"/>
    <n v="4.5920945068395724E-2"/>
  </r>
  <r>
    <d v="2025-06-07T00:00:00"/>
    <x v="4"/>
    <n v="2025"/>
    <x v="3"/>
    <n v="78"/>
    <n v="84324.92957751143"/>
    <n v="99.225385909543633"/>
    <n v="-21.225385909543633"/>
    <n v="-0.27212033217363629"/>
  </r>
  <r>
    <d v="2025-07-07T00:00:00"/>
    <x v="5"/>
    <n v="2025"/>
    <x v="0"/>
    <n v="101"/>
    <n v="134698.73151673615"/>
    <n v="99.22655010620042"/>
    <n v="1.7734498937995795"/>
    <n v="1.7558909839599797E-2"/>
  </r>
  <r>
    <d v="2025-08-06T00:00:00"/>
    <x v="6"/>
    <n v="2025"/>
    <x v="0"/>
    <n v="100"/>
    <n v="123181.48129911795"/>
    <n v="99.227714302857208"/>
    <n v="0.77228569714279161"/>
    <n v="7.7228569714279157E-3"/>
  </r>
  <r>
    <d v="2025-09-05T00:00:00"/>
    <x v="7"/>
    <n v="2025"/>
    <x v="3"/>
    <n v="109"/>
    <n v="88889.064410262668"/>
    <n v="99.228878499513996"/>
    <n v="9.7711215004860037"/>
    <n v="8.9643316518220217E-2"/>
  </r>
  <r>
    <d v="2025-10-05T00:00:00"/>
    <x v="8"/>
    <n v="2025"/>
    <x v="1"/>
    <n v="98"/>
    <n v="104087.78063205954"/>
    <n v="99.230042696170784"/>
    <n v="-1.2300426961707842"/>
    <n v="-1.2551456083375349E-2"/>
  </r>
  <r>
    <d v="2025-11-04T00:00:00"/>
    <x v="9"/>
    <n v="2025"/>
    <x v="1"/>
    <n v="111"/>
    <n v="75957.009478478227"/>
    <n v="99.231206892827558"/>
    <n v="11.768793107172442"/>
    <n v="0.10602516312767966"/>
  </r>
  <r>
    <d v="2025-12-04T00:00:00"/>
    <x v="10"/>
    <n v="2025"/>
    <x v="0"/>
    <n v="97"/>
    <n v="72566.526055390685"/>
    <n v="99.232371089484346"/>
    <n v="-2.2323710894843458"/>
    <n v="-2.3014134943137587E-2"/>
  </r>
  <r>
    <d v="2026-01-03T00:00:00"/>
    <x v="0"/>
    <n v="2026"/>
    <x v="1"/>
    <n v="88"/>
    <n v="106349.06522500351"/>
    <n v="99.233535286141134"/>
    <n v="-11.233535286141134"/>
    <n v="-0.1276538100697856"/>
  </r>
  <r>
    <d v="2026-02-02T00:00:00"/>
    <x v="11"/>
    <n v="2026"/>
    <x v="4"/>
    <n v="101"/>
    <n v="93342.79191234977"/>
    <n v="99.234699482797922"/>
    <n v="1.7653005172020784"/>
    <n v="1.7478222942594834E-2"/>
  </r>
  <r>
    <d v="2026-03-04T00:00:00"/>
    <x v="1"/>
    <n v="2026"/>
    <x v="2"/>
    <n v="105"/>
    <n v="98132.262822001037"/>
    <n v="99.23586367945471"/>
    <n v="5.7641363205452905"/>
    <n v="5.4896536386145625E-2"/>
  </r>
  <r>
    <d v="2026-04-03T00:00:00"/>
    <x v="2"/>
    <n v="2026"/>
    <x v="4"/>
    <n v="102"/>
    <n v="89413.357751032585"/>
    <n v="99.237027876111497"/>
    <n v="2.7629721238885026"/>
    <n v="2.7087961998906888E-2"/>
  </r>
  <r>
    <d v="2026-05-03T00:00:00"/>
    <x v="3"/>
    <n v="2026"/>
    <x v="0"/>
    <n v="98"/>
    <n v="69710.593816384659"/>
    <n v="99.238192072768285"/>
    <n v="-1.2381920727682854"/>
    <n v="-1.2634612987431484E-2"/>
  </r>
  <r>
    <d v="2026-06-02T00:00:00"/>
    <x v="4"/>
    <n v="2026"/>
    <x v="1"/>
    <n v="96"/>
    <n v="106431.86422678478"/>
    <n v="99.239356269425073"/>
    <n v="-3.2393562694250733"/>
    <n v="-3.3743294473177844E-2"/>
  </r>
  <r>
    <d v="2026-07-02T00:00:00"/>
    <x v="5"/>
    <n v="2026"/>
    <x v="3"/>
    <n v="76"/>
    <n v="135098.66143294482"/>
    <n v="99.240520466081861"/>
    <n v="-23.240520466081861"/>
    <n v="-0.30579632192212974"/>
  </r>
  <r>
    <d v="2026-08-01T00:00:00"/>
    <x v="6"/>
    <n v="2026"/>
    <x v="2"/>
    <n v="112"/>
    <n v="100368.03261566877"/>
    <n v="99.241684662738649"/>
    <n v="12.758315337261351"/>
    <n v="0.11391352979697635"/>
  </r>
  <r>
    <d v="2026-08-31T00:00:00"/>
    <x v="6"/>
    <n v="2026"/>
    <x v="3"/>
    <n v="99"/>
    <n v="72566.526055390685"/>
    <n v="99.242848859395437"/>
    <n v="-0.24284885939543699"/>
    <n v="-2.4530187817720906E-3"/>
  </r>
  <r>
    <d v="2026-09-30T00:00:00"/>
    <x v="7"/>
    <n v="2026"/>
    <x v="0"/>
    <n v="100"/>
    <n v="113854.45510233719"/>
    <n v="99.244013056052211"/>
    <n v="0.75598694394778931"/>
    <n v="7.5598694394778928E-3"/>
  </r>
  <r>
    <d v="2026-10-30T00:00:00"/>
    <x v="8"/>
    <n v="2026"/>
    <x v="1"/>
    <n v="89"/>
    <n v="74613.390069066023"/>
    <n v="99.245177252708999"/>
    <n v="-10.245177252708999"/>
    <n v="-0.11511435115403369"/>
  </r>
  <r>
    <d v="2026-11-29T00:00:00"/>
    <x v="9"/>
    <n v="2026"/>
    <x v="3"/>
    <n v="102"/>
    <n v="134050.2931625921"/>
    <n v="99.246341449365787"/>
    <n v="2.7536585506342135"/>
    <n v="2.6996652457198171E-2"/>
  </r>
  <r>
    <d v="2026-12-29T00:00:00"/>
    <x v="10"/>
    <n v="2026"/>
    <x v="3"/>
    <n v="104"/>
    <n v="104046.57592845603"/>
    <n v="99.247505646022574"/>
    <n v="4.7524943539774256"/>
    <n v="4.5697061095936783E-2"/>
  </r>
  <r>
    <d v="2027-01-28T00:00:00"/>
    <x v="0"/>
    <n v="2027"/>
    <x v="2"/>
    <n v="96"/>
    <n v="132637.13798178217"/>
    <n v="99.248669842679362"/>
    <n v="-3.2486698426793623"/>
    <n v="-3.384031086124336E-2"/>
  </r>
  <r>
    <d v="2027-02-27T00:00:00"/>
    <x v="11"/>
    <n v="2027"/>
    <x v="2"/>
    <n v="100"/>
    <n v="85339.340089520207"/>
    <n v="99.24983403933615"/>
    <n v="0.75016596066384977"/>
    <n v="7.501659606638498E-3"/>
  </r>
  <r>
    <d v="2027-03-29T00:00:00"/>
    <x v="1"/>
    <n v="2027"/>
    <x v="1"/>
    <n v="105"/>
    <n v="136361.2384511565"/>
    <n v="99.250998235992938"/>
    <n v="5.7490017640070619"/>
    <n v="5.4752397752448209E-2"/>
  </r>
  <r>
    <d v="2027-04-28T00:00:00"/>
    <x v="2"/>
    <n v="2027"/>
    <x v="2"/>
    <n v="81"/>
    <n v="115503.10988069566"/>
    <n v="99.252162432649726"/>
    <n v="-18.252162432649726"/>
    <n v="-0.22533533867468797"/>
  </r>
  <r>
    <d v="2027-05-28T00:00:00"/>
    <x v="3"/>
    <n v="2027"/>
    <x v="3"/>
    <n v="120"/>
    <n v="111060.80171704717"/>
    <n v="99.253326629306514"/>
    <n v="20.746673370693486"/>
    <n v="0.17288894475577904"/>
  </r>
  <r>
    <d v="2027-06-27T00:00:00"/>
    <x v="4"/>
    <n v="2027"/>
    <x v="3"/>
    <n v="97"/>
    <n v="104680.48908706296"/>
    <n v="99.254490825963302"/>
    <n v="-2.2544908259633019"/>
    <n v="-2.3242173463539195E-2"/>
  </r>
  <r>
    <d v="2027-07-27T00:00:00"/>
    <x v="5"/>
    <n v="2027"/>
    <x v="0"/>
    <n v="99"/>
    <n v="95029.427638511013"/>
    <n v="99.25565502262009"/>
    <n v="-0.25565502262008977"/>
    <n v="-2.5823739658594924E-3"/>
  </r>
  <r>
    <d v="2027-08-26T00:00:00"/>
    <x v="6"/>
    <n v="2027"/>
    <x v="3"/>
    <n v="120"/>
    <n v="124010.63316947746"/>
    <n v="99.256819219276878"/>
    <n v="20.743180780723122"/>
    <n v="0.17285983983935935"/>
  </r>
  <r>
    <d v="2027-09-25T00:00:00"/>
    <x v="7"/>
    <n v="2027"/>
    <x v="1"/>
    <n v="90"/>
    <n v="102807.19739696094"/>
    <n v="99.257983415933651"/>
    <n v="-9.2579834159336514"/>
    <n v="-0.1028664823992628"/>
  </r>
  <r>
    <d v="2027-10-25T00:00:00"/>
    <x v="8"/>
    <n v="2027"/>
    <x v="4"/>
    <n v="85"/>
    <n v="60658.605928256955"/>
    <n v="99.259147612590439"/>
    <n v="-14.259147612590439"/>
    <n v="-0.16775467779518163"/>
  </r>
  <r>
    <d v="2027-11-24T00:00:00"/>
    <x v="9"/>
    <n v="2027"/>
    <x v="0"/>
    <n v="84"/>
    <n v="77656.270765859954"/>
    <n v="99.260311809247227"/>
    <n v="-15.260311809247227"/>
    <n v="-0.18167037868151462"/>
  </r>
  <r>
    <d v="2027-12-24T00:00:00"/>
    <x v="10"/>
    <n v="2027"/>
    <x v="0"/>
    <n v="106"/>
    <n v="96283.08495614506"/>
    <n v="99.261476005904015"/>
    <n v="6.7385239940959849"/>
    <n v="6.3570981076377223E-2"/>
  </r>
  <r>
    <d v="2028-01-23T00:00:00"/>
    <x v="0"/>
    <n v="2028"/>
    <x v="1"/>
    <n v="112"/>
    <n v="106199.9796633111"/>
    <n v="99.262640202560803"/>
    <n v="12.737359797439197"/>
    <n v="0.11372642676284997"/>
  </r>
  <r>
    <d v="2028-02-22T00:00:00"/>
    <x v="11"/>
    <n v="2028"/>
    <x v="1"/>
    <n v="110"/>
    <n v="98868.230222002079"/>
    <n v="99.263804399217591"/>
    <n v="10.736195600782409"/>
    <n v="9.7601778188930996E-2"/>
  </r>
  <r>
    <d v="2028-03-23T00:00:00"/>
    <x v="1"/>
    <n v="2028"/>
    <x v="2"/>
    <n v="86"/>
    <n v="124379.41579587327"/>
    <n v="99.264968595874379"/>
    <n v="-13.264968595874379"/>
    <n v="-0.15424382088226021"/>
  </r>
  <r>
    <d v="2028-04-22T00:00:00"/>
    <x v="2"/>
    <n v="2028"/>
    <x v="0"/>
    <n v="104"/>
    <n v="60977.9627192275"/>
    <n v="99.266132792531167"/>
    <n v="4.7338672074688333"/>
    <n v="4.5517953917969547E-2"/>
  </r>
  <r>
    <d v="2028-05-22T00:00:00"/>
    <x v="3"/>
    <n v="2028"/>
    <x v="2"/>
    <n v="107"/>
    <n v="102871.7587301032"/>
    <n v="99.267296989187955"/>
    <n v="7.7327030108120454"/>
    <n v="7.2268252437495753E-2"/>
  </r>
  <r>
    <d v="2028-06-21T00:00:00"/>
    <x v="4"/>
    <n v="2028"/>
    <x v="3"/>
    <n v="93"/>
    <n v="63640.415492256907"/>
    <n v="99.268461185844743"/>
    <n v="-6.2684611858447425"/>
    <n v="-6.7402808449943466E-2"/>
  </r>
  <r>
    <d v="2028-07-21T00:00:00"/>
    <x v="5"/>
    <n v="2028"/>
    <x v="0"/>
    <n v="108"/>
    <n v="115194.24590968336"/>
    <n v="99.26962538250153"/>
    <n v="8.7303746174984695"/>
    <n v="8.083680201387472E-2"/>
  </r>
  <r>
    <d v="2028-08-20T00:00:00"/>
    <x v="6"/>
    <n v="2028"/>
    <x v="0"/>
    <n v="96"/>
    <n v="98110.825711159938"/>
    <n v="99.270789579158304"/>
    <n v="-3.2707895791583042"/>
    <n v="-3.4070724782898999E-2"/>
  </r>
  <r>
    <d v="2028-09-19T00:00:00"/>
    <x v="7"/>
    <n v="2028"/>
    <x v="4"/>
    <n v="95"/>
    <n v="96283.08495614506"/>
    <n v="99.271953775815092"/>
    <n v="-4.2719537758150921"/>
    <n v="-4.4967934482264126E-2"/>
  </r>
  <r>
    <d v="2028-10-19T00:00:00"/>
    <x v="8"/>
    <n v="2028"/>
    <x v="0"/>
    <n v="112"/>
    <n v="82722.340788204674"/>
    <n v="99.27311797247188"/>
    <n v="12.72688202752812"/>
    <n v="0.11363287524578679"/>
  </r>
  <r>
    <d v="2028-11-18T00:00:00"/>
    <x v="9"/>
    <n v="2028"/>
    <x v="3"/>
    <n v="108"/>
    <n v="125589.29863315502"/>
    <n v="99.274282169128668"/>
    <n v="8.7257178308713321"/>
    <n v="8.0793683619179005E-2"/>
  </r>
  <r>
    <d v="2028-12-18T00:00:00"/>
    <x v="10"/>
    <n v="2028"/>
    <x v="2"/>
    <n v="85"/>
    <n v="120834.49328117703"/>
    <n v="99.275446365785456"/>
    <n v="-14.275446365785456"/>
    <n v="-0.16794642783277006"/>
  </r>
  <r>
    <d v="2029-01-17T00:00:00"/>
    <x v="0"/>
    <n v="2029"/>
    <x v="2"/>
    <n v="87"/>
    <n v="111670.88606023775"/>
    <n v="99.276610562442244"/>
    <n v="-12.276610562442244"/>
    <n v="-0.14111046623496831"/>
  </r>
  <r>
    <d v="2029-02-16T00:00:00"/>
    <x v="11"/>
    <n v="2029"/>
    <x v="4"/>
    <n v="95"/>
    <n v="102871.7587301032"/>
    <n v="99.277774759099032"/>
    <n v="-4.2777747590990316"/>
    <n v="-4.5029207990516122E-2"/>
  </r>
  <r>
    <d v="2029-03-18T00:00:00"/>
    <x v="1"/>
    <n v="2029"/>
    <x v="3"/>
    <n v="97"/>
    <n v="111597.14570590264"/>
    <n v="99.27893895575582"/>
    <n v="-2.2789389557558195"/>
    <n v="-2.349421603871979E-2"/>
  </r>
  <r>
    <d v="2029-04-17T00:00:00"/>
    <x v="2"/>
    <n v="2029"/>
    <x v="2"/>
    <n v="116"/>
    <n v="85862.148640253028"/>
    <n v="99.280103152412607"/>
    <n v="16.719896847587393"/>
    <n v="0.14413704178954648"/>
  </r>
  <r>
    <d v="2029-05-17T00:00:00"/>
    <x v="3"/>
    <n v="2029"/>
    <x v="1"/>
    <n v="95"/>
    <n v="117111.11318041425"/>
    <n v="99.281267349069395"/>
    <n v="-4.2812673490693953"/>
    <n v="-4.5065972095467317E-2"/>
  </r>
  <r>
    <d v="2029-06-16T00:00:00"/>
    <x v="4"/>
    <n v="2029"/>
    <x v="3"/>
    <n v="123"/>
    <n v="132989.61788647843"/>
    <n v="99.282431545726183"/>
    <n v="23.717568454273817"/>
    <n v="0.19282575979084404"/>
  </r>
  <r>
    <d v="2029-07-16T00:00:00"/>
    <x v="5"/>
    <n v="2029"/>
    <x v="3"/>
    <n v="104"/>
    <n v="121412.21119958372"/>
    <n v="99.283595742382957"/>
    <n v="4.7164042576170431"/>
    <n v="4.5350040938625415E-2"/>
  </r>
  <r>
    <d v="2029-08-15T00:00:00"/>
    <x v="6"/>
    <n v="2029"/>
    <x v="4"/>
    <n v="94"/>
    <n v="85407.950603851816"/>
    <n v="99.284759939039745"/>
    <n v="-5.2847599390397448"/>
    <n v="-5.6220850415316437E-2"/>
  </r>
  <r>
    <d v="2029-09-14T00:00:00"/>
    <x v="7"/>
    <n v="2029"/>
    <x v="2"/>
    <n v="105"/>
    <n v="100873.2838"/>
    <n v="99.285924135696533"/>
    <n v="5.7140758643034673"/>
    <n v="5.4419770136223497E-2"/>
  </r>
  <r>
    <d v="2029-10-14T00:00:00"/>
    <x v="8"/>
    <n v="2029"/>
    <x v="3"/>
    <n v="109"/>
    <n v="74137.169124827051"/>
    <n v="99.287088332353321"/>
    <n v="9.7129116676466793"/>
    <n v="8.9109281354556688E-2"/>
  </r>
  <r>
    <d v="2029-11-13T00:00:00"/>
    <x v="9"/>
    <n v="2029"/>
    <x v="2"/>
    <n v="84"/>
    <n v="111447.80622351351"/>
    <n v="99.288252529010109"/>
    <n v="-15.288252529010109"/>
    <n v="-0.18200300629773938"/>
  </r>
  <r>
    <d v="2029-12-13T00:00:00"/>
    <x v="10"/>
    <n v="2029"/>
    <x v="1"/>
    <n v="79"/>
    <n v="109012.06825725078"/>
    <n v="99.289416725666896"/>
    <n v="-20.289416725666896"/>
    <n v="-0.25682805981856832"/>
  </r>
  <r>
    <d v="2030-01-12T00:00:00"/>
    <x v="0"/>
    <n v="2030"/>
    <x v="4"/>
    <n v="98"/>
    <n v="62603.673209356719"/>
    <n v="99.290580922323684"/>
    <n v="-1.2905809223236844"/>
    <n v="-1.3169193084935554E-2"/>
  </r>
  <r>
    <d v="2030-02-11T00:00:00"/>
    <x v="11"/>
    <n v="2030"/>
    <x v="1"/>
    <n v="96"/>
    <n v="76764.323121752721"/>
    <n v="99.291745118980472"/>
    <n v="-3.2917451189804723"/>
    <n v="-3.4289011656046586E-2"/>
  </r>
  <r>
    <d v="2030-03-13T00:00:00"/>
    <x v="1"/>
    <n v="2030"/>
    <x v="4"/>
    <n v="88"/>
    <n v="94337.222065124661"/>
    <n v="99.29290931563726"/>
    <n v="-11.29290931563726"/>
    <n v="-0.12832851495042341"/>
  </r>
  <r>
    <d v="2030-04-12T00:00:00"/>
    <x v="2"/>
    <n v="2030"/>
    <x v="3"/>
    <n v="103"/>
    <n v="93982.805057183476"/>
    <n v="99.294073512294048"/>
    <n v="3.7059264877059519"/>
    <n v="3.5979868812679144E-2"/>
  </r>
  <r>
    <d v="2030-05-12T00:00:00"/>
    <x v="3"/>
    <n v="2030"/>
    <x v="4"/>
    <n v="83"/>
    <n v="75810.461291623898"/>
    <n v="99.295237708950836"/>
    <n v="-16.295237708950836"/>
    <n v="-0.19632816516808235"/>
  </r>
  <r>
    <d v="2030-06-11T00:00:00"/>
    <x v="4"/>
    <n v="2030"/>
    <x v="0"/>
    <n v="82"/>
    <n v="107779.57458704368"/>
    <n v="99.29640190560761"/>
    <n v="-17.29640190560761"/>
    <n v="-0.21093173055619036"/>
  </r>
  <r>
    <d v="2030-07-11T00:00:00"/>
    <x v="5"/>
    <n v="2030"/>
    <x v="2"/>
    <n v="106"/>
    <n v="105029.47217881025"/>
    <n v="99.297566102264398"/>
    <n v="6.7024338977356024"/>
    <n v="6.3230508469203792E-2"/>
  </r>
  <r>
    <d v="2030-08-10T00:00:00"/>
    <x v="6"/>
    <n v="2030"/>
    <x v="2"/>
    <n v="96"/>
    <n v="96114.61736042962"/>
    <n v="99.298730298921186"/>
    <n v="-3.2987302989211855"/>
    <n v="-3.4361773947095685E-2"/>
  </r>
  <r>
    <d v="2030-09-09T00:00:00"/>
    <x v="7"/>
    <n v="2030"/>
    <x v="0"/>
    <n v="96"/>
    <n v="84884.169996832745"/>
    <n v="99.299894495577973"/>
    <n v="-3.2998944955779734"/>
    <n v="-3.437390099560389E-2"/>
  </r>
  <r>
    <d v="2030-10-09T00:00:00"/>
    <x v="8"/>
    <n v="2030"/>
    <x v="1"/>
    <n v="109"/>
    <n v="120974.14252833127"/>
    <n v="99.301058692234761"/>
    <n v="9.6989413077652387"/>
    <n v="8.8981112915277424E-2"/>
  </r>
  <r>
    <d v="2030-11-08T00:00:00"/>
    <x v="9"/>
    <n v="2030"/>
    <x v="0"/>
    <n v="98"/>
    <n v="133108.1422617659"/>
    <n v="99.302222888891549"/>
    <n v="-1.3022228888915492"/>
    <n v="-1.3287988662158665E-2"/>
  </r>
  <r>
    <d v="2030-12-08T00:00:00"/>
    <x v="10"/>
    <n v="2030"/>
    <x v="3"/>
    <n v="86"/>
    <n v="94337.222065124661"/>
    <n v="99.303387085548337"/>
    <n v="-13.303387085548337"/>
    <n v="-0.15469054750637601"/>
  </r>
  <r>
    <d v="2031-01-07T00:00:00"/>
    <x v="0"/>
    <n v="2031"/>
    <x v="3"/>
    <n v="79"/>
    <n v="87756.661656903583"/>
    <n v="99.304551282205125"/>
    <n v="-20.304551282205125"/>
    <n v="-0.2570196364836092"/>
  </r>
  <r>
    <d v="2031-02-06T00:00:00"/>
    <x v="11"/>
    <n v="2031"/>
    <x v="2"/>
    <n v="86"/>
    <n v="109824.15330823993"/>
    <n v="99.305715478861913"/>
    <n v="-13.305715478861913"/>
    <n v="-0.15471762184723153"/>
  </r>
  <r>
    <d v="2031-03-08T00:00:00"/>
    <x v="1"/>
    <n v="2031"/>
    <x v="3"/>
    <n v="108"/>
    <n v="92839.41240506027"/>
    <n v="99.306879675518701"/>
    <n v="8.6931203244812991"/>
    <n v="8.0491854856308331E-2"/>
  </r>
  <r>
    <d v="2031-04-07T00:00:00"/>
    <x v="2"/>
    <n v="2031"/>
    <x v="2"/>
    <n v="127"/>
    <n v="97212.055986735315"/>
    <n v="99.308043872175489"/>
    <n v="27.691956127824511"/>
    <n v="0.2180468986442875"/>
  </r>
  <r>
    <d v="2031-05-07T00:00:00"/>
    <x v="3"/>
    <n v="2031"/>
    <x v="0"/>
    <n v="93"/>
    <n v="114793.06303449343"/>
    <n v="99.309208068832262"/>
    <n v="-6.3092080688322625"/>
    <n v="-6.7840946976690991E-2"/>
  </r>
  <r>
    <d v="2031-06-06T00:00:00"/>
    <x v="4"/>
    <n v="2031"/>
    <x v="0"/>
    <n v="82"/>
    <n v="61812.87824985414"/>
    <n v="99.31037226548905"/>
    <n v="-17.31037226548905"/>
    <n v="-0.21110210079864697"/>
  </r>
  <r>
    <d v="2031-07-06T00:00:00"/>
    <x v="5"/>
    <n v="2031"/>
    <x v="0"/>
    <n v="104"/>
    <n v="126366.04649705338"/>
    <n v="99.311536462145838"/>
    <n v="4.6884635378541617"/>
    <n v="4.508138017167463E-2"/>
  </r>
  <r>
    <d v="2031-08-05T00:00:00"/>
    <x v="6"/>
    <n v="2031"/>
    <x v="2"/>
    <n v="99"/>
    <n v="101453.61048658683"/>
    <n v="99.312700658802626"/>
    <n v="-0.31270065880262621"/>
    <n v="-3.1585925131578404E-3"/>
  </r>
  <r>
    <d v="2031-09-04T00:00:00"/>
    <x v="7"/>
    <n v="2031"/>
    <x v="0"/>
    <n v="102"/>
    <n v="91770.137108756389"/>
    <n v="99.313864855459414"/>
    <n v="2.6861351445405859"/>
    <n v="2.6334658279809665E-2"/>
  </r>
  <r>
    <d v="2031-10-04T00:00:00"/>
    <x v="8"/>
    <n v="2031"/>
    <x v="0"/>
    <n v="76"/>
    <n v="98215.31691557102"/>
    <n v="99.315029052116202"/>
    <n v="-23.315029052116202"/>
    <n v="-0.30677669805416058"/>
  </r>
  <r>
    <d v="2031-11-03T00:00:00"/>
    <x v="9"/>
    <n v="2031"/>
    <x v="1"/>
    <n v="99"/>
    <n v="99248.587100410368"/>
    <n v="99.31619324877299"/>
    <n v="-0.31619324877298993"/>
    <n v="-3.193871199727171E-3"/>
  </r>
  <r>
    <d v="2031-12-03T00:00:00"/>
    <x v="10"/>
    <n v="2031"/>
    <x v="0"/>
    <n v="93"/>
    <n v="65375.973931101493"/>
    <n v="99.317357445429778"/>
    <n v="-6.3173574454297778"/>
    <n v="-6.7928574682040624E-2"/>
  </r>
  <r>
    <d v="2032-01-02T00:00:00"/>
    <x v="0"/>
    <n v="2032"/>
    <x v="3"/>
    <n v="99"/>
    <n v="129898.76454906471"/>
    <n v="99.318521642086566"/>
    <n v="-0.31852164208656575"/>
    <n v="-3.2173903241067246E-3"/>
  </r>
  <r>
    <d v="2032-02-01T00:00:00"/>
    <x v="11"/>
    <n v="2032"/>
    <x v="2"/>
    <n v="102"/>
    <n v="100826.51264541237"/>
    <n v="99.319685838743354"/>
    <n v="2.6803141612566463"/>
    <n v="2.627758981624163E-2"/>
  </r>
  <r>
    <d v="2032-03-02T00:00:00"/>
    <x v="1"/>
    <n v="2032"/>
    <x v="1"/>
    <n v="106"/>
    <n v="108860.04260894751"/>
    <n v="99.320850035400142"/>
    <n v="6.6791499645998584"/>
    <n v="6.3010848722640178E-2"/>
  </r>
  <r>
    <d v="2032-04-01T00:00:00"/>
    <x v="2"/>
    <n v="2032"/>
    <x v="4"/>
    <n v="94"/>
    <n v="119030.99541148086"/>
    <n v="99.322014232056915"/>
    <n v="-5.3220142320569153"/>
    <n v="-5.6617172681456544E-2"/>
  </r>
  <r>
    <d v="2032-05-01T00:00:00"/>
    <x v="3"/>
    <n v="2032"/>
    <x v="2"/>
    <n v="105"/>
    <n v="79576.750848793992"/>
    <n v="99.323178428713703"/>
    <n v="5.6768215712862968"/>
    <n v="5.4064967345583782E-2"/>
  </r>
  <r>
    <d v="2032-05-31T00:00:00"/>
    <x v="3"/>
    <n v="2032"/>
    <x v="3"/>
    <n v="100"/>
    <n v="109469.43798070456"/>
    <n v="99.324342625370491"/>
    <n v="0.67565737462950892"/>
    <n v="6.7565737462950892E-3"/>
  </r>
  <r>
    <d v="2032-06-30T00:00:00"/>
    <x v="4"/>
    <n v="2032"/>
    <x v="2"/>
    <n v="122"/>
    <n v="94647.17818202413"/>
    <n v="99.325506822027279"/>
    <n v="22.674493177972721"/>
    <n v="0.18585650145879279"/>
  </r>
  <r>
    <d v="2032-07-30T00:00:00"/>
    <x v="5"/>
    <n v="2032"/>
    <x v="3"/>
    <n v="103"/>
    <n v="116935.41550432987"/>
    <n v="99.326671018684067"/>
    <n v="3.6733289813159331"/>
    <n v="3.5663388168115859E-2"/>
  </r>
  <r>
    <d v="2032-08-29T00:00:00"/>
    <x v="6"/>
    <n v="2032"/>
    <x v="3"/>
    <n v="119"/>
    <n v="65375.973931101493"/>
    <n v="99.327835215340855"/>
    <n v="19.672164784659145"/>
    <n v="0.16531230911478273"/>
  </r>
  <r>
    <d v="2032-09-28T00:00:00"/>
    <x v="7"/>
    <n v="2032"/>
    <x v="4"/>
    <n v="76"/>
    <n v="98018.113995174615"/>
    <n v="99.328999411997643"/>
    <n v="-23.328999411997643"/>
    <n v="-0.30696051857891637"/>
  </r>
  <r>
    <d v="2032-10-28T00:00:00"/>
    <x v="8"/>
    <n v="2032"/>
    <x v="2"/>
    <n v="96"/>
    <n v="87943.586884320772"/>
    <n v="99.330163608654431"/>
    <n v="-3.3301636086544306"/>
    <n v="-3.4689204256816986E-2"/>
  </r>
  <r>
    <d v="2032-11-27T00:00:00"/>
    <x v="9"/>
    <n v="2032"/>
    <x v="4"/>
    <n v="103"/>
    <n v="108645.25901268311"/>
    <n v="99.331327805311219"/>
    <n v="3.6686721946887815"/>
    <n v="3.5618176647463896E-2"/>
  </r>
  <r>
    <d v="2032-12-27T00:00:00"/>
    <x v="10"/>
    <n v="2032"/>
    <x v="4"/>
    <n v="111"/>
    <n v="109400.88374736405"/>
    <n v="99.332492001968006"/>
    <n v="11.667507998031994"/>
    <n v="0.10511268466695489"/>
  </r>
  <r>
    <d v="2033-01-26T00:00:00"/>
    <x v="0"/>
    <n v="2033"/>
    <x v="2"/>
    <n v="97"/>
    <n v="85847.48210355948"/>
    <n v="99.333656198624794"/>
    <n v="-2.3336561986247943"/>
    <n v="-2.4058311326028807E-2"/>
  </r>
  <r>
    <d v="2033-02-25T00:00:00"/>
    <x v="11"/>
    <n v="2033"/>
    <x v="0"/>
    <n v="112"/>
    <n v="85756.522716479129"/>
    <n v="99.334820395281568"/>
    <n v="12.665179604718432"/>
    <n v="0.11308196075641457"/>
  </r>
  <r>
    <d v="2033-03-27T00:00:00"/>
    <x v="1"/>
    <n v="2033"/>
    <x v="0"/>
    <n v="99"/>
    <n v="97786.692628853416"/>
    <n v="99.335984591938356"/>
    <n v="-0.33598459193835595"/>
    <n v="-3.3937837569530905E-3"/>
  </r>
  <r>
    <d v="2033-04-26T00:00:00"/>
    <x v="2"/>
    <n v="2033"/>
    <x v="4"/>
    <n v="124"/>
    <n v="82067.155453695828"/>
    <n v="99.337148788595144"/>
    <n v="24.662851211404856"/>
    <n v="0.19889396138229723"/>
  </r>
  <r>
    <d v="2033-05-26T00:00:00"/>
    <x v="3"/>
    <n v="2033"/>
    <x v="1"/>
    <n v="91"/>
    <n v="116839.67390904254"/>
    <n v="99.338312985251932"/>
    <n v="-8.3383129852519318"/>
    <n v="-9.1629813024746501E-2"/>
  </r>
  <r>
    <d v="2033-06-25T00:00:00"/>
    <x v="4"/>
    <n v="2033"/>
    <x v="4"/>
    <n v="103"/>
    <n v="92615.855991051081"/>
    <n v="99.33947718190872"/>
    <n v="3.6605228180912803"/>
    <n v="3.5539056486323113E-2"/>
  </r>
  <r>
    <d v="2033-07-25T00:00:00"/>
    <x v="5"/>
    <n v="2033"/>
    <x v="4"/>
    <n v="86"/>
    <n v="41860.235613567173"/>
    <n v="99.340641378565508"/>
    <n v="-13.340641378565508"/>
    <n v="-0.15512373696006404"/>
  </r>
  <r>
    <d v="2033-08-24T00:00:00"/>
    <x v="6"/>
    <n v="2033"/>
    <x v="4"/>
    <n v="101"/>
    <n v="92503.558867563872"/>
    <n v="99.341805575222295"/>
    <n v="1.6581944247777045"/>
    <n v="1.6417766581957472E-2"/>
  </r>
  <r>
    <d v="2033-09-23T00:00:00"/>
    <x v="7"/>
    <n v="2033"/>
    <x v="0"/>
    <n v="101"/>
    <n v="79229.123583120556"/>
    <n v="99.342969771879083"/>
    <n v="1.6570302281209166"/>
    <n v="1.6406239882385314E-2"/>
  </r>
  <r>
    <d v="2033-10-23T00:00:00"/>
    <x v="8"/>
    <n v="2033"/>
    <x v="0"/>
    <n v="101"/>
    <n v="67374.483690781082"/>
    <n v="99.344133968535871"/>
    <n v="1.6558660314641287"/>
    <n v="1.6394713182813155E-2"/>
  </r>
  <r>
    <d v="2033-11-22T00:00:00"/>
    <x v="9"/>
    <n v="2033"/>
    <x v="0"/>
    <n v="113"/>
    <n v="75251.467235548553"/>
    <n v="99.345298165192659"/>
    <n v="13.654701834807341"/>
    <n v="0.12083806933457823"/>
  </r>
  <r>
    <d v="2033-12-22T00:00:00"/>
    <x v="10"/>
    <n v="2033"/>
    <x v="4"/>
    <n v="87"/>
    <n v="102188.1694366594"/>
    <n v="99.346462361849447"/>
    <n v="-12.346462361849447"/>
    <n v="-0.14191336048102812"/>
  </r>
  <r>
    <d v="2034-01-21T00:00:00"/>
    <x v="0"/>
    <n v="2034"/>
    <x v="1"/>
    <n v="108"/>
    <n v="82067.155453695828"/>
    <n v="99.347626558506221"/>
    <n v="8.6523734414937792"/>
    <n v="8.0114568902720174E-2"/>
  </r>
  <r>
    <d v="2034-02-20T00:00:00"/>
    <x v="11"/>
    <n v="2034"/>
    <x v="0"/>
    <n v="100"/>
    <n v="106263.6894772996"/>
    <n v="99.348790755163009"/>
    <n v="0.65120924483699127"/>
    <n v="6.512092448369913E-3"/>
  </r>
  <r>
    <d v="2034-03-22T00:00:00"/>
    <x v="1"/>
    <n v="2034"/>
    <x v="2"/>
    <n v="87"/>
    <n v="87869.932235685206"/>
    <n v="99.349954951819797"/>
    <n v="-12.349954951819797"/>
    <n v="-0.141953505193331"/>
  </r>
  <r>
    <d v="2034-04-21T00:00:00"/>
    <x v="2"/>
    <n v="2034"/>
    <x v="2"/>
    <n v="96"/>
    <n v="109118.08390341405"/>
    <n v="99.351119148476585"/>
    <n v="-3.3511191484765845"/>
    <n v="-3.490749112996442E-2"/>
  </r>
  <r>
    <d v="2034-05-21T00:00:00"/>
    <x v="3"/>
    <n v="2034"/>
    <x v="2"/>
    <n v="97"/>
    <n v="92503.558867563872"/>
    <n v="99.352283345133372"/>
    <n v="-2.3522833451333724"/>
    <n v="-2.4250343764261571E-2"/>
  </r>
  <r>
    <d v="2034-06-20T00:00:00"/>
    <x v="4"/>
    <n v="2034"/>
    <x v="3"/>
    <n v="116"/>
    <n v="86107.992616737116"/>
    <n v="99.35344754179016"/>
    <n v="16.64655245820984"/>
    <n v="0.14350476257077449"/>
  </r>
  <r>
    <d v="2034-07-20T00:00:00"/>
    <x v="5"/>
    <n v="2034"/>
    <x v="4"/>
    <n v="100"/>
    <n v="76912.746635340314"/>
    <n v="99.354611738446948"/>
    <n v="0.64538826155305173"/>
    <n v="6.4538826155305174E-3"/>
  </r>
  <r>
    <d v="2034-08-19T00:00:00"/>
    <x v="6"/>
    <n v="2034"/>
    <x v="2"/>
    <n v="97"/>
    <n v="64963.423864965618"/>
    <n v="99.355775935103736"/>
    <n v="-2.3557759351037362"/>
    <n v="-2.4286349846430268E-2"/>
  </r>
  <r>
    <d v="2034-09-18T00:00:00"/>
    <x v="7"/>
    <n v="2034"/>
    <x v="4"/>
    <n v="100"/>
    <n v="102188.1694366594"/>
    <n v="99.356940131760524"/>
    <n v="0.64305986823947592"/>
    <n v="6.4305986823947588E-3"/>
  </r>
  <r>
    <d v="2034-10-18T00:00:00"/>
    <x v="8"/>
    <n v="2034"/>
    <x v="2"/>
    <n v="99"/>
    <n v="103161.06979840263"/>
    <n v="99.358104328417312"/>
    <n v="-0.35810432841731199"/>
    <n v="-3.6172154385587072E-3"/>
  </r>
  <r>
    <d v="2034-11-17T00:00:00"/>
    <x v="9"/>
    <n v="2034"/>
    <x v="1"/>
    <n v="100"/>
    <n v="98067.526599702207"/>
    <n v="99.3592685250741"/>
    <n v="0.6407314749259001"/>
    <n v="6.4073147492590011E-3"/>
  </r>
  <r>
    <d v="2034-12-17T00:00:00"/>
    <x v="10"/>
    <n v="2034"/>
    <x v="4"/>
    <n v="100"/>
    <n v="91680.661441052827"/>
    <n v="99.360432721730874"/>
    <n v="0.6395672782691264"/>
    <n v="6.395672782691264E-3"/>
  </r>
  <r>
    <d v="2035-01-16T00:00:00"/>
    <x v="0"/>
    <n v="2035"/>
    <x v="2"/>
    <n v="82"/>
    <n v="81085.078786064376"/>
    <n v="99.361596918387662"/>
    <n v="-17.361596918387662"/>
    <n v="-0.2117267916876544"/>
  </r>
  <r>
    <d v="2035-02-15T00:00:00"/>
    <x v="11"/>
    <n v="2035"/>
    <x v="0"/>
    <n v="87"/>
    <n v="112164.92383369937"/>
    <n v="99.362761115044449"/>
    <n v="-12.362761115044449"/>
    <n v="-0.14210070247177528"/>
  </r>
  <r>
    <d v="2035-03-17T00:00:00"/>
    <x v="1"/>
    <n v="2035"/>
    <x v="4"/>
    <n v="87"/>
    <n v="73657.361601068304"/>
    <n v="99.363925311701237"/>
    <n v="-12.363925311701237"/>
    <n v="-0.14211408404254297"/>
  </r>
  <r>
    <d v="2035-04-16T00:00:00"/>
    <x v="2"/>
    <n v="2035"/>
    <x v="3"/>
    <n v="90"/>
    <n v="115520.5582768695"/>
    <n v="99.365089508358025"/>
    <n v="-9.3650895083580252"/>
    <n v="-0.10405655009286695"/>
  </r>
  <r>
    <d v="2035-05-16T00:00:00"/>
    <x v="3"/>
    <n v="2035"/>
    <x v="0"/>
    <n v="115"/>
    <n v="79955.6596214655"/>
    <n v="99.366253705014813"/>
    <n v="15.633746294985187"/>
    <n v="0.13594561995639293"/>
  </r>
  <r>
    <d v="2035-06-15T00:00:00"/>
    <x v="4"/>
    <n v="2035"/>
    <x v="0"/>
    <n v="105"/>
    <n v="84951.295252939308"/>
    <n v="99.367417901671601"/>
    <n v="5.632582098328399"/>
    <n v="5.3643639031699039E-2"/>
  </r>
  <r>
    <d v="2035-07-15T00:00:00"/>
    <x v="5"/>
    <n v="2035"/>
    <x v="3"/>
    <n v="90"/>
    <n v="70664.296187686457"/>
    <n v="99.368582098328389"/>
    <n v="-9.368582098328389"/>
    <n v="-0.1040953566480932"/>
  </r>
  <r>
    <d v="2035-08-14T00:00:00"/>
    <x v="6"/>
    <n v="2035"/>
    <x v="0"/>
    <n v="89"/>
    <n v="89971.957062287271"/>
    <n v="99.369746294985177"/>
    <n v="-10.369746294985177"/>
    <n v="-0.11651400331444019"/>
  </r>
  <r>
    <d v="2035-09-13T00:00:00"/>
    <x v="7"/>
    <n v="2035"/>
    <x v="0"/>
    <n v="89"/>
    <n v="119506.24916955958"/>
    <n v="99.370910491641965"/>
    <n v="-10.370910491641965"/>
    <n v="-0.11652708417575242"/>
  </r>
  <r>
    <d v="2035-10-13T00:00:00"/>
    <x v="8"/>
    <n v="2035"/>
    <x v="2"/>
    <n v="86"/>
    <n v="110312.56176887912"/>
    <n v="99.372074688298753"/>
    <n v="-13.372074688298753"/>
    <n v="-0.1554892405616134"/>
  </r>
  <r>
    <d v="2035-11-12T00:00:00"/>
    <x v="9"/>
    <n v="2035"/>
    <x v="2"/>
    <n v="91"/>
    <n v="119568.4422405607"/>
    <n v="99.373238884955526"/>
    <n v="-8.3732388849555264"/>
    <n v="-9.20136141203904E-2"/>
  </r>
  <r>
    <d v="2035-12-12T00:00:00"/>
    <x v="10"/>
    <n v="2035"/>
    <x v="4"/>
    <n v="100"/>
    <n v="110442.85091867871"/>
    <n v="99.374403081612314"/>
    <n v="0.62559691838768572"/>
    <n v="6.2559691838768574E-3"/>
  </r>
  <r>
    <d v="2036-01-11T00:00:00"/>
    <x v="0"/>
    <n v="2036"/>
    <x v="4"/>
    <n v="104"/>
    <n v="77926.60342939262"/>
    <n v="99.375567278269102"/>
    <n v="4.6244327217308978"/>
    <n v="4.4465699247412477E-2"/>
  </r>
  <r>
    <d v="2036-02-10T00:00:00"/>
    <x v="11"/>
    <n v="2036"/>
    <x v="4"/>
    <n v="80"/>
    <n v="93384.215513448857"/>
    <n v="99.37673147492589"/>
    <n v="-19.37673147492589"/>
    <n v="-0.24220914343657363"/>
  </r>
  <r>
    <d v="2036-03-11T00:00:00"/>
    <x v="1"/>
    <n v="2036"/>
    <x v="2"/>
    <n v="110"/>
    <n v="84396.017417650743"/>
    <n v="99.377895671582678"/>
    <n v="10.622104328417322"/>
    <n v="9.6564584803793832E-2"/>
  </r>
  <r>
    <d v="2036-04-10T00:00:00"/>
    <x v="2"/>
    <n v="2036"/>
    <x v="4"/>
    <n v="90"/>
    <n v="126611.4980807808"/>
    <n v="99.379059868239466"/>
    <n v="-9.3790598682394659"/>
    <n v="-0.10421177631377185"/>
  </r>
  <r>
    <d v="2036-05-10T00:00:00"/>
    <x v="3"/>
    <n v="2036"/>
    <x v="0"/>
    <n v="96"/>
    <n v="76064.227071473768"/>
    <n v="99.380224064896254"/>
    <n v="-3.3802240648962538"/>
    <n v="-3.5210667342669311E-2"/>
  </r>
  <r>
    <d v="2036-06-09T00:00:00"/>
    <x v="4"/>
    <n v="2036"/>
    <x v="2"/>
    <n v="103"/>
    <n v="117873.95378778221"/>
    <n v="99.381388261553042"/>
    <n v="3.6186117384469583"/>
    <n v="3.5132152800455903E-2"/>
  </r>
  <r>
    <d v="2036-07-09T00:00:00"/>
    <x v="5"/>
    <n v="2036"/>
    <x v="4"/>
    <n v="99"/>
    <n v="117859.07740217539"/>
    <n v="99.38255245820983"/>
    <n v="-0.38255245820982964"/>
    <n v="-3.8641662445437338E-3"/>
  </r>
  <r>
    <d v="2036-08-08T00:00:00"/>
    <x v="6"/>
    <n v="2036"/>
    <x v="0"/>
    <n v="76"/>
    <n v="136592.40403432175"/>
    <n v="99.383716654866618"/>
    <n v="-23.383716654866618"/>
    <n v="-0.30768048230087652"/>
  </r>
  <r>
    <d v="2036-09-07T00:00:00"/>
    <x v="7"/>
    <n v="2036"/>
    <x v="4"/>
    <n v="106"/>
    <n v="91806.268147410054"/>
    <n v="99.384880851523405"/>
    <n v="6.6151191484765945"/>
    <n v="6.2406784419590515E-2"/>
  </r>
  <r>
    <d v="2036-10-07T00:00:00"/>
    <x v="8"/>
    <n v="2036"/>
    <x v="1"/>
    <n v="100"/>
    <n v="114246.44319160325"/>
    <n v="99.386045048180193"/>
    <n v="0.61395495181980664"/>
    <n v="6.1395495181980663E-3"/>
  </r>
  <r>
    <d v="2036-11-06T00:00:00"/>
    <x v="9"/>
    <n v="2036"/>
    <x v="4"/>
    <n v="85"/>
    <n v="145633.03673077686"/>
    <n v="99.387209244836967"/>
    <n v="-14.387209244836967"/>
    <n v="-0.16926128523337608"/>
  </r>
  <r>
    <d v="2036-12-06T00:00:00"/>
    <x v="10"/>
    <n v="2036"/>
    <x v="1"/>
    <n v="101"/>
    <n v="87647.166461326065"/>
    <n v="99.388373441493755"/>
    <n v="1.611626558506245"/>
    <n v="1.5956698599071732E-2"/>
  </r>
  <r>
    <d v="2037-01-05T00:00:00"/>
    <x v="0"/>
    <n v="2037"/>
    <x v="4"/>
    <n v="93"/>
    <n v="69299.195049352798"/>
    <n v="99.389537638150543"/>
    <n v="-6.3895376381505429"/>
    <n v="-6.8704705786564971E-2"/>
  </r>
  <r>
    <d v="2037-02-04T00:00:00"/>
    <x v="11"/>
    <n v="2037"/>
    <x v="3"/>
    <n v="91"/>
    <n v="62399.79932184473"/>
    <n v="99.390701834807331"/>
    <n v="-8.3907018348073308"/>
    <n v="-9.2205514668212432E-2"/>
  </r>
  <r>
    <d v="2037-03-06T00:00:00"/>
    <x v="1"/>
    <n v="2037"/>
    <x v="4"/>
    <n v="103"/>
    <n v="114254.24057722662"/>
    <n v="99.391866031464119"/>
    <n v="3.6081339685358813"/>
    <n v="3.5030426878989142E-2"/>
  </r>
  <r>
    <d v="2037-04-05T00:00:00"/>
    <x v="2"/>
    <n v="2037"/>
    <x v="2"/>
    <n v="109"/>
    <n v="62336.995838828327"/>
    <n v="99.393030228120907"/>
    <n v="9.6069697718790934"/>
    <n v="8.8137337356688925E-2"/>
  </r>
  <r>
    <d v="2037-05-05T00:00:00"/>
    <x v="3"/>
    <n v="2037"/>
    <x v="2"/>
    <n v="83"/>
    <n v="92553.618941241541"/>
    <n v="99.394194424777695"/>
    <n v="-16.394194424777695"/>
    <n v="-0.19752041475635776"/>
  </r>
  <r>
    <d v="2037-06-04T00:00:00"/>
    <x v="4"/>
    <n v="2037"/>
    <x v="1"/>
    <n v="102"/>
    <n v="108746.26374077922"/>
    <n v="99.395358621434482"/>
    <n v="2.6046413785655176"/>
    <n v="2.5535699789858014E-2"/>
  </r>
  <r>
    <d v="2037-07-04T00:00:00"/>
    <x v="5"/>
    <n v="2037"/>
    <x v="2"/>
    <n v="98"/>
    <n v="103703.51073659828"/>
    <n v="99.39652281809127"/>
    <n v="-1.3965228180912703"/>
    <n v="-1.4250232837666023E-2"/>
  </r>
  <r>
    <d v="2037-08-03T00:00:00"/>
    <x v="6"/>
    <n v="2037"/>
    <x v="0"/>
    <n v="93"/>
    <n v="108508.89728368344"/>
    <n v="99.397687014748058"/>
    <n v="-6.3976870147480582"/>
    <n v="-6.8792333491914603E-2"/>
  </r>
  <r>
    <d v="2037-09-02T00:00:00"/>
    <x v="7"/>
    <n v="2037"/>
    <x v="3"/>
    <n v="104"/>
    <n v="87647.166461326065"/>
    <n v="99.398851211404832"/>
    <n v="4.6011487885951681"/>
    <n v="4.4241815274953536E-2"/>
  </r>
  <r>
    <d v="2037-10-02T00:00:00"/>
    <x v="8"/>
    <n v="2037"/>
    <x v="3"/>
    <n v="96"/>
    <n v="125577.31626626787"/>
    <n v="99.40001540806162"/>
    <n v="-3.4000154080616198"/>
    <n v="-3.541682716730854E-2"/>
  </r>
  <r>
    <d v="2037-11-01T00:00:00"/>
    <x v="9"/>
    <n v="2037"/>
    <x v="0"/>
    <n v="103"/>
    <n v="80953.672385224054"/>
    <n v="99.401179604718408"/>
    <n v="3.5988203952815923"/>
    <n v="3.4940003837685363E-2"/>
  </r>
  <r>
    <d v="2037-12-01T00:00:00"/>
    <x v="10"/>
    <n v="2037"/>
    <x v="1"/>
    <n v="85"/>
    <n v="86460.097230829371"/>
    <n v="99.402343801375196"/>
    <n v="-14.402343801375196"/>
    <n v="-0.16943933883970819"/>
  </r>
  <r>
    <d v="2037-12-31T00:00:00"/>
    <x v="10"/>
    <n v="2037"/>
    <x v="0"/>
    <n v="92"/>
    <n v="84546.811094583521"/>
    <n v="99.403507998031984"/>
    <n v="-7.4035079980319836"/>
    <n v="-8.0472913022086784E-2"/>
  </r>
  <r>
    <d v="2038-01-30T00:00:00"/>
    <x v="0"/>
    <n v="2038"/>
    <x v="0"/>
    <n v="90"/>
    <n v="116603.8362372522"/>
    <n v="99.404672194688771"/>
    <n v="-9.4046721946887715"/>
    <n v="-0.10449635771876413"/>
  </r>
  <r>
    <d v="2038-03-01T00:00:00"/>
    <x v="1"/>
    <n v="2038"/>
    <x v="3"/>
    <n v="83"/>
    <n v="118007.97176790127"/>
    <n v="99.405836391345559"/>
    <n v="-16.405836391345559"/>
    <n v="-0.19766067941380192"/>
  </r>
  <r>
    <d v="2038-03-31T00:00:00"/>
    <x v="1"/>
    <n v="2038"/>
    <x v="4"/>
    <n v="86"/>
    <n v="109024.50638637017"/>
    <n v="99.407000588002347"/>
    <n v="-13.407000588002347"/>
    <n v="-0.1558953556744459"/>
  </r>
  <r>
    <d v="2038-04-30T00:00:00"/>
    <x v="2"/>
    <n v="2038"/>
    <x v="3"/>
    <n v="110"/>
    <n v="123669.87333779855"/>
    <n v="99.408164784659135"/>
    <n v="10.591835215340865"/>
    <n v="9.6289411048553319E-2"/>
  </r>
  <r>
    <d v="2038-05-30T00:00:00"/>
    <x v="3"/>
    <n v="2038"/>
    <x v="3"/>
    <n v="89"/>
    <n v="76439.182652472387"/>
    <n v="99.409328981315923"/>
    <n v="-10.409328981315923"/>
    <n v="-0.11695875259905532"/>
  </r>
  <r>
    <d v="2038-06-29T00:00:00"/>
    <x v="4"/>
    <n v="2038"/>
    <x v="2"/>
    <n v="118"/>
    <n v="133344.48223102273"/>
    <n v="99.410493177972711"/>
    <n v="18.589506822027289"/>
    <n v="0.15753819340701092"/>
  </r>
  <r>
    <d v="2038-07-29T00:00:00"/>
    <x v="5"/>
    <n v="2038"/>
    <x v="0"/>
    <n v="102"/>
    <n v="130464.77243424517"/>
    <n v="99.411657374629499"/>
    <n v="2.5883426253705011"/>
    <n v="2.5375908091867658E-2"/>
  </r>
  <r>
    <d v="2038-08-28T00:00:00"/>
    <x v="6"/>
    <n v="2038"/>
    <x v="3"/>
    <n v="108"/>
    <n v="114712.43994491494"/>
    <n v="99.412821571286273"/>
    <n v="8.5871784287137274"/>
    <n v="7.9510911376978952E-2"/>
  </r>
  <r>
    <d v="2038-09-27T00:00:00"/>
    <x v="7"/>
    <n v="2038"/>
    <x v="0"/>
    <n v="95"/>
    <n v="135635.97817542119"/>
    <n v="99.413985767943061"/>
    <n v="-4.4139857679430605"/>
    <n v="-4.6463008083611167E-2"/>
  </r>
  <r>
    <d v="2038-10-27T00:00:00"/>
    <x v="8"/>
    <n v="2038"/>
    <x v="2"/>
    <n v="100"/>
    <n v="66867.535846444516"/>
    <n v="99.415149964599848"/>
    <n v="0.58485003540015157"/>
    <n v="5.848500354001516E-3"/>
  </r>
  <r>
    <d v="2038-11-26T00:00:00"/>
    <x v="9"/>
    <n v="2038"/>
    <x v="0"/>
    <n v="86"/>
    <n v="89511.037274746966"/>
    <n v="99.416314161256636"/>
    <n v="-13.416314161256636"/>
    <n v="-0.15600365303786787"/>
  </r>
  <r>
    <d v="2038-12-26T00:00:00"/>
    <x v="10"/>
    <n v="2038"/>
    <x v="3"/>
    <n v="94"/>
    <n v="85293.930786360957"/>
    <n v="99.417478357913424"/>
    <n v="-5.4174783579134242"/>
    <n v="-5.7632748488440681E-2"/>
  </r>
  <r>
    <d v="2039-01-25T00:00:00"/>
    <x v="0"/>
    <n v="2039"/>
    <x v="0"/>
    <n v="88"/>
    <n v="114429.58647514686"/>
    <n v="99.418642554570212"/>
    <n v="-11.418642554570212"/>
    <n v="-0.12975730175647968"/>
  </r>
  <r>
    <d v="2039-02-24T00:00:00"/>
    <x v="11"/>
    <n v="2039"/>
    <x v="2"/>
    <n v="100"/>
    <n v="78997.185207957082"/>
    <n v="99.419806751227"/>
    <n v="0.58019324877299994"/>
    <n v="5.8019324877299997E-3"/>
  </r>
  <r>
    <d v="2039-03-26T00:00:00"/>
    <x v="1"/>
    <n v="2039"/>
    <x v="4"/>
    <n v="95"/>
    <n v="115149.90298674972"/>
    <n v="99.420970947883788"/>
    <n v="-4.420970947883788"/>
    <n v="-4.6536536293513557E-2"/>
  </r>
  <r>
    <d v="2039-04-25T00:00:00"/>
    <x v="2"/>
    <n v="2039"/>
    <x v="0"/>
    <n v="95"/>
    <n v="127410.72287993427"/>
    <n v="99.422135144540576"/>
    <n v="-4.4221351445405759"/>
    <n v="-4.6548790995163958E-2"/>
  </r>
  <r>
    <d v="2039-05-25T00:00:00"/>
    <x v="3"/>
    <n v="2039"/>
    <x v="3"/>
    <n v="92"/>
    <n v="113904.05800167998"/>
    <n v="99.423299341197364"/>
    <n v="-7.4232993411973638"/>
    <n v="-8.0688036317362655E-2"/>
  </r>
  <r>
    <d v="2039-06-24T00:00:00"/>
    <x v="4"/>
    <n v="2039"/>
    <x v="2"/>
    <n v="108"/>
    <n v="105675.02047323002"/>
    <n v="99.424463537854152"/>
    <n v="8.5755364621458483"/>
    <n v="7.9403115390239337E-2"/>
  </r>
  <r>
    <d v="2039-07-24T00:00:00"/>
    <x v="5"/>
    <n v="2039"/>
    <x v="3"/>
    <n v="99"/>
    <n v="80242.533181985025"/>
    <n v="99.425627734510925"/>
    <n v="-0.42562773451092539"/>
    <n v="-4.2992700455649025E-3"/>
  </r>
  <r>
    <d v="2039-08-23T00:00:00"/>
    <x v="6"/>
    <n v="2039"/>
    <x v="3"/>
    <n v="95"/>
    <n v="83062.980677492713"/>
    <n v="99.426791931167713"/>
    <n v="-4.4267919311677133"/>
    <n v="-4.6597809801765401E-2"/>
  </r>
  <r>
    <d v="2039-09-22T00:00:00"/>
    <x v="7"/>
    <n v="2039"/>
    <x v="0"/>
    <n v="86"/>
    <n v="124992.37810593334"/>
    <n v="99.427956127824501"/>
    <n v="-13.427956127824501"/>
    <n v="-0.15613902474214536"/>
  </r>
  <r>
    <d v="2039-10-22T00:00:00"/>
    <x v="8"/>
    <n v="2039"/>
    <x v="3"/>
    <n v="120"/>
    <n v="115586.98007810664"/>
    <n v="99.429120324481289"/>
    <n v="20.570879675518711"/>
    <n v="0.17142399729598926"/>
  </r>
  <r>
    <d v="2039-11-21T00:00:00"/>
    <x v="9"/>
    <n v="2039"/>
    <x v="0"/>
    <n v="81"/>
    <n v="99219.609612449116"/>
    <n v="99.430284521138077"/>
    <n v="-18.430284521138077"/>
    <n v="-0.22753437680417379"/>
  </r>
  <r>
    <d v="2039-12-21T00:00:00"/>
    <x v="10"/>
    <n v="2039"/>
    <x v="4"/>
    <n v="102"/>
    <n v="91641.809084682187"/>
    <n v="99.431448717794865"/>
    <n v="2.5685512822051351"/>
    <n v="2.5181875315736617E-2"/>
  </r>
  <r>
    <d v="2040-01-20T00:00:00"/>
    <x v="0"/>
    <n v="2040"/>
    <x v="3"/>
    <n v="87"/>
    <n v="59483.842537772463"/>
    <n v="99.432612914451653"/>
    <n v="-12.432612914451653"/>
    <n v="-0.14290359671783509"/>
  </r>
  <r>
    <d v="2040-02-19T00:00:00"/>
    <x v="11"/>
    <n v="2040"/>
    <x v="3"/>
    <n v="90"/>
    <n v="78582.951626311231"/>
    <n v="99.433777111108441"/>
    <n v="-9.4337771111084407"/>
    <n v="-0.10481974567898268"/>
  </r>
  <r>
    <d v="2040-03-20T00:00:00"/>
    <x v="1"/>
    <n v="2040"/>
    <x v="3"/>
    <n v="89"/>
    <n v="138228.38174279447"/>
    <n v="99.434941307765229"/>
    <n v="-10.434941307765229"/>
    <n v="-0.11724653154792392"/>
  </r>
  <r>
    <d v="2040-04-19T00:00:00"/>
    <x v="2"/>
    <n v="2040"/>
    <x v="1"/>
    <n v="105"/>
    <n v="74390.888579950668"/>
    <n v="99.436105504422017"/>
    <n v="5.5638944955779834"/>
    <n v="5.2989471386456988E-2"/>
  </r>
  <r>
    <d v="2040-05-19T00:00:00"/>
    <x v="3"/>
    <n v="2040"/>
    <x v="1"/>
    <n v="96"/>
    <n v="103789.59642442162"/>
    <n v="99.437269701078804"/>
    <n v="-3.4372697010788045"/>
    <n v="-3.580489271957088E-2"/>
  </r>
  <r>
    <d v="2040-06-18T00:00:00"/>
    <x v="4"/>
    <n v="2040"/>
    <x v="2"/>
    <n v="97"/>
    <n v="120148.87946390397"/>
    <n v="99.438433897735578"/>
    <n v="-2.4384338977355782"/>
    <n v="-2.5138493791088436E-2"/>
  </r>
  <r>
    <d v="2040-07-18T00:00:00"/>
    <x v="5"/>
    <n v="2040"/>
    <x v="1"/>
    <n v="98"/>
    <n v="74901.546639954147"/>
    <n v="99.439598094392366"/>
    <n v="-1.4395980943923661"/>
    <n v="-1.4689776473391491E-2"/>
  </r>
  <r>
    <d v="2040-08-17T00:00:00"/>
    <x v="6"/>
    <n v="2040"/>
    <x v="2"/>
    <n v="100"/>
    <n v="103694.20949562166"/>
    <n v="99.440762291049154"/>
    <n v="0.55923770895084601"/>
    <n v="5.5923770895084605E-3"/>
  </r>
  <r>
    <d v="2040-09-16T00:00:00"/>
    <x v="7"/>
    <n v="2040"/>
    <x v="1"/>
    <n v="108"/>
    <n v="118758.3107502131"/>
    <n v="99.441926487705942"/>
    <n v="8.5580735122940581"/>
    <n v="7.9241421410130172E-2"/>
  </r>
  <r>
    <d v="2040-10-16T00:00:00"/>
    <x v="8"/>
    <n v="2040"/>
    <x v="4"/>
    <n v="92"/>
    <n v="100249.986438145"/>
    <n v="99.44309068436273"/>
    <n v="-7.4430906843627298"/>
    <n v="-8.0903159612638373E-2"/>
  </r>
  <r>
    <d v="2040-11-15T00:00:00"/>
    <x v="9"/>
    <n v="2040"/>
    <x v="2"/>
    <n v="97"/>
    <n v="100873.2838"/>
    <n v="99.444254881019518"/>
    <n v="-2.4442548810195177"/>
    <n v="-2.5198503928036266E-2"/>
  </r>
  <r>
    <d v="2040-12-15T00:00:00"/>
    <x v="10"/>
    <n v="2040"/>
    <x v="1"/>
    <n v="116"/>
    <n v="66628.014822436089"/>
    <n v="99.445419077676306"/>
    <n v="16.554580922323694"/>
    <n v="0.14271190450279048"/>
  </r>
  <r>
    <d v="2041-01-14T00:00:00"/>
    <x v="0"/>
    <n v="2041"/>
    <x v="4"/>
    <n v="103"/>
    <n v="121174.57059767758"/>
    <n v="99.446583274333094"/>
    <n v="3.5534167256669065"/>
    <n v="3.4499191511329186E-2"/>
  </r>
  <r>
    <d v="2041-02-13T00:00:00"/>
    <x v="11"/>
    <n v="2041"/>
    <x v="1"/>
    <n v="87"/>
    <n v="96543.965252070717"/>
    <n v="99.447747470989881"/>
    <n v="-12.447747470989881"/>
    <n v="-0.14307755713781473"/>
  </r>
  <r>
    <d v="2041-03-15T00:00:00"/>
    <x v="1"/>
    <n v="2041"/>
    <x v="0"/>
    <n v="103"/>
    <n v="115438.4030967335"/>
    <n v="99.448911667646669"/>
    <n v="3.5510883323533307"/>
    <n v="3.4476585751003208E-2"/>
  </r>
  <r>
    <d v="2041-04-14T00:00:00"/>
    <x v="2"/>
    <n v="2041"/>
    <x v="0"/>
    <n v="115"/>
    <n v="108826.14303398492"/>
    <n v="99.450075864303457"/>
    <n v="15.549924135696543"/>
    <n v="0.13521673161475253"/>
  </r>
  <r>
    <d v="2041-05-14T00:00:00"/>
    <x v="3"/>
    <n v="2041"/>
    <x v="4"/>
    <n v="88"/>
    <n v="85336.876057800066"/>
    <n v="99.451240060960231"/>
    <n v="-11.451240060960231"/>
    <n v="-0.13012772796545716"/>
  </r>
  <r>
    <d v="2041-06-13T00:00:00"/>
    <x v="4"/>
    <n v="2041"/>
    <x v="3"/>
    <n v="100"/>
    <n v="104579.9278491868"/>
    <n v="99.452404257617019"/>
    <n v="0.54759574238298114"/>
    <n v="5.4759574238298116E-3"/>
  </r>
  <r>
    <d v="2041-07-13T00:00:00"/>
    <x v="5"/>
    <n v="2041"/>
    <x v="3"/>
    <n v="108"/>
    <n v="62841.970972034258"/>
    <n v="99.453568454273807"/>
    <n v="8.5464315457261932"/>
    <n v="7.9133625423390683E-2"/>
  </r>
  <r>
    <d v="2041-08-12T00:00:00"/>
    <x v="6"/>
    <n v="2041"/>
    <x v="0"/>
    <n v="96"/>
    <n v="112064.95001142788"/>
    <n v="99.454732650930595"/>
    <n v="-3.4547326509305947"/>
    <n v="-3.5986798447193692E-2"/>
  </r>
  <r>
    <d v="2041-09-11T00:00:00"/>
    <x v="7"/>
    <n v="2041"/>
    <x v="0"/>
    <n v="86"/>
    <n v="105963.16931981052"/>
    <n v="99.455896847587383"/>
    <n v="-13.455896847587383"/>
    <n v="-0.15646391683241143"/>
  </r>
  <r>
    <d v="2041-10-11T00:00:00"/>
    <x v="8"/>
    <n v="2041"/>
    <x v="3"/>
    <n v="87"/>
    <n v="112773.20337286204"/>
    <n v="99.45706104424417"/>
    <n v="-12.45706104424417"/>
    <n v="-0.143184609703956"/>
  </r>
  <r>
    <d v="2041-11-10T00:00:00"/>
    <x v="9"/>
    <n v="2041"/>
    <x v="2"/>
    <n v="109"/>
    <n v="121162.366501743"/>
    <n v="99.458225240900958"/>
    <n v="9.5417747590990416"/>
    <n v="8.7539217973385708E-2"/>
  </r>
  <r>
    <d v="2041-12-10T00:00:00"/>
    <x v="10"/>
    <n v="2041"/>
    <x v="3"/>
    <n v="91"/>
    <n v="107352.39680419421"/>
    <n v="99.459389437557746"/>
    <n v="-8.4593894375577463"/>
    <n v="-9.2960323489645558E-2"/>
  </r>
  <r>
    <d v="2042-01-09T00:00:00"/>
    <x v="0"/>
    <n v="2042"/>
    <x v="1"/>
    <n v="107"/>
    <n v="102961.78839596553"/>
    <n v="99.460553634214534"/>
    <n v="7.5394463657854658"/>
    <n v="7.0462115568088471E-2"/>
  </r>
  <r>
    <d v="2042-02-08T00:00:00"/>
    <x v="11"/>
    <n v="2042"/>
    <x v="2"/>
    <n v="106"/>
    <n v="82378.633266774152"/>
    <n v="99.461717830871322"/>
    <n v="6.5382821691286779"/>
    <n v="6.1681907255930923E-2"/>
  </r>
  <r>
    <d v="2042-03-10T00:00:00"/>
    <x v="1"/>
    <n v="2042"/>
    <x v="1"/>
    <n v="92"/>
    <n v="85755.584727018984"/>
    <n v="99.46288202752811"/>
    <n v="-7.46288202752811"/>
    <n v="-8.1118282907914244E-2"/>
  </r>
  <r>
    <d v="2042-04-09T00:00:00"/>
    <x v="2"/>
    <n v="2042"/>
    <x v="0"/>
    <n v="90"/>
    <n v="100873.2838"/>
    <n v="99.464046224184884"/>
    <n v="-9.4640462241848837"/>
    <n v="-0.10515606915760982"/>
  </r>
  <r>
    <d v="2042-05-09T00:00:00"/>
    <x v="3"/>
    <n v="2042"/>
    <x v="2"/>
    <n v="102"/>
    <n v="100873.2838"/>
    <n v="99.465210420841672"/>
    <n v="2.5347895791583284"/>
    <n v="2.4850878227042433E-2"/>
  </r>
  <r>
    <d v="2042-06-08T00:00:00"/>
    <x v="4"/>
    <n v="2042"/>
    <x v="1"/>
    <n v="99"/>
    <n v="95237.791273758921"/>
    <n v="99.46637461749846"/>
    <n v="-0.46637461749845954"/>
    <n v="-4.7108547222066621E-3"/>
  </r>
  <r>
    <d v="2042-07-08T00:00:00"/>
    <x v="5"/>
    <n v="2042"/>
    <x v="1"/>
    <n v="88"/>
    <n v="100920.05494506548"/>
    <n v="99.467538814155247"/>
    <n v="-11.467538814155247"/>
    <n v="-0.13031294106994598"/>
  </r>
  <r>
    <d v="2042-08-07T00:00:00"/>
    <x v="6"/>
    <n v="2042"/>
    <x v="2"/>
    <n v="100"/>
    <n v="81907.712500124675"/>
    <n v="99.468703010812035"/>
    <n v="0.53129698918796464"/>
    <n v="5.3129698918796464E-3"/>
  </r>
  <r>
    <d v="2042-09-06T00:00:00"/>
    <x v="7"/>
    <n v="2042"/>
    <x v="4"/>
    <n v="100"/>
    <n v="123455.13690534889"/>
    <n v="99.469867207468823"/>
    <n v="0.53013279253117673"/>
    <n v="5.3013279253117671E-3"/>
  </r>
  <r>
    <d v="2042-10-06T00:00:00"/>
    <x v="8"/>
    <n v="2042"/>
    <x v="3"/>
    <n v="106"/>
    <n v="113308.33647383557"/>
    <n v="99.471031404125611"/>
    <n v="6.5289685958743888"/>
    <n v="6.1594043357305554E-2"/>
  </r>
  <r>
    <d v="2042-11-05T00:00:00"/>
    <x v="9"/>
    <n v="2042"/>
    <x v="1"/>
    <n v="94"/>
    <n v="138824.34872927499"/>
    <n v="99.472195600782399"/>
    <n v="-5.4721956007823991"/>
    <n v="-5.8214846816834032E-2"/>
  </r>
  <r>
    <d v="2042-12-05T00:00:00"/>
    <x v="10"/>
    <n v="2042"/>
    <x v="3"/>
    <n v="98"/>
    <n v="82433.538456405222"/>
    <n v="99.473359797439187"/>
    <n v="-1.473359797439187"/>
    <n v="-1.5034283647338643E-2"/>
  </r>
  <r>
    <d v="2043-01-04T00:00:00"/>
    <x v="0"/>
    <n v="2043"/>
    <x v="3"/>
    <n v="119"/>
    <n v="92439.84201963566"/>
    <n v="99.474523994095975"/>
    <n v="19.525476005904025"/>
    <n v="0.16407963030171449"/>
  </r>
  <r>
    <d v="2043-02-03T00:00:00"/>
    <x v="11"/>
    <n v="2043"/>
    <x v="0"/>
    <n v="99"/>
    <n v="104628.91845051144"/>
    <n v="99.475688190752763"/>
    <n v="-0.47568819075276281"/>
    <n v="-4.8049312197248764E-3"/>
  </r>
  <r>
    <d v="2043-03-05T00:00:00"/>
    <x v="1"/>
    <n v="2043"/>
    <x v="3"/>
    <n v="87"/>
    <n v="112929.79075451542"/>
    <n v="99.476852387409537"/>
    <n v="-12.476852387409537"/>
    <n v="-0.14341209640700617"/>
  </r>
  <r>
    <d v="2043-04-04T00:00:00"/>
    <x v="2"/>
    <n v="2043"/>
    <x v="1"/>
    <n v="92"/>
    <n v="95686.647249047353"/>
    <n v="99.478016584066324"/>
    <n v="-7.4780165840663244"/>
    <n v="-8.1282788957242655E-2"/>
  </r>
  <r>
    <d v="2043-05-04T00:00:00"/>
    <x v="3"/>
    <n v="2043"/>
    <x v="0"/>
    <n v="103"/>
    <n v="82540.778190925994"/>
    <n v="99.479180780723112"/>
    <n v="3.5208192192768877"/>
    <n v="3.41827108667659E-2"/>
  </r>
  <r>
    <d v="2043-06-03T00:00:00"/>
    <x v="4"/>
    <n v="2043"/>
    <x v="2"/>
    <n v="79"/>
    <n v="117628.15057847142"/>
    <n v="99.4803449773799"/>
    <n v="-20.4803449773799"/>
    <n v="-0.25924487313139116"/>
  </r>
  <r>
    <d v="2043-07-03T00:00:00"/>
    <x v="5"/>
    <n v="2043"/>
    <x v="1"/>
    <n v="110"/>
    <n v="114422.70725091163"/>
    <n v="99.481509174036688"/>
    <n v="10.518490825963312"/>
    <n v="9.5622643872393748E-2"/>
  </r>
  <r>
    <d v="2043-08-02T00:00:00"/>
    <x v="6"/>
    <n v="2043"/>
    <x v="0"/>
    <n v="95"/>
    <n v="81674.517988725507"/>
    <n v="99.482673370693476"/>
    <n v="-4.482673370693476"/>
    <n v="-4.7186035480983955E-2"/>
  </r>
  <r>
    <d v="2043-09-01T00:00:00"/>
    <x v="7"/>
    <n v="2043"/>
    <x v="0"/>
    <n v="101"/>
    <n v="127108.85602210992"/>
    <n v="99.483837567350264"/>
    <n v="1.516162432649736"/>
    <n v="1.5011509234155802E-2"/>
  </r>
  <r>
    <d v="2043-10-01T00:00:00"/>
    <x v="8"/>
    <n v="2043"/>
    <x v="3"/>
    <n v="95"/>
    <n v="123403.97418393208"/>
    <n v="99.485001764007052"/>
    <n v="-4.4850017640070519"/>
    <n v="-4.7210544884284757E-2"/>
  </r>
  <r>
    <d v="2043-10-31T00:00:00"/>
    <x v="8"/>
    <n v="2043"/>
    <x v="2"/>
    <n v="107"/>
    <n v="102685.92994495586"/>
    <n v="99.48616596066384"/>
    <n v="7.5138340393361602"/>
    <n v="7.0222748031179061E-2"/>
  </r>
  <r>
    <d v="2043-11-30T00:00:00"/>
    <x v="9"/>
    <n v="2043"/>
    <x v="1"/>
    <n v="91"/>
    <n v="101591.95724752072"/>
    <n v="99.487330157320628"/>
    <n v="-8.4873301573206277"/>
    <n v="-9.3267364366160746E-2"/>
  </r>
  <r>
    <d v="2043-12-30T00:00:00"/>
    <x v="10"/>
    <n v="2043"/>
    <x v="1"/>
    <n v="87"/>
    <n v="111081.15542231814"/>
    <n v="99.488494353977416"/>
    <n v="-12.488494353977416"/>
    <n v="-0.14354591211468293"/>
  </r>
  <r>
    <d v="2044-01-29T00:00:00"/>
    <x v="0"/>
    <n v="2044"/>
    <x v="3"/>
    <n v="100"/>
    <n v="82765.938594874839"/>
    <n v="99.489658550634189"/>
    <n v="0.51034144936581072"/>
    <n v="5.1034144936581071E-3"/>
  </r>
  <r>
    <d v="2044-02-28T00:00:00"/>
    <x v="11"/>
    <n v="2044"/>
    <x v="2"/>
    <n v="117"/>
    <n v="100600.62958328164"/>
    <n v="99.490822747290977"/>
    <n v="17.509177252709023"/>
    <n v="0.14965108762999166"/>
  </r>
  <r>
    <d v="2044-03-29T00:00:00"/>
    <x v="1"/>
    <n v="2044"/>
    <x v="1"/>
    <n v="102"/>
    <n v="56952.329107816389"/>
    <n v="99.491986943947765"/>
    <n v="2.5080130560522349"/>
    <n v="2.4588363294629753E-2"/>
  </r>
  <r>
    <d v="2044-04-28T00:00:00"/>
    <x v="2"/>
    <n v="2044"/>
    <x v="2"/>
    <n v="88"/>
    <n v="117529.11291005871"/>
    <n v="99.493151140604553"/>
    <n v="-11.493151140604553"/>
    <n v="-0.13060399023414265"/>
  </r>
  <r>
    <d v="2044-05-28T00:00:00"/>
    <x v="3"/>
    <n v="2044"/>
    <x v="1"/>
    <n v="100"/>
    <n v="68770.135551162821"/>
    <n v="99.494315337261341"/>
    <n v="0.50568466273865909"/>
    <n v="5.0568466273865909E-3"/>
  </r>
  <r>
    <d v="2044-06-27T00:00:00"/>
    <x v="4"/>
    <n v="2044"/>
    <x v="3"/>
    <n v="81"/>
    <n v="130068.39656857998"/>
    <n v="99.495479533918129"/>
    <n v="-18.495479533918129"/>
    <n v="-0.22833925350516207"/>
  </r>
  <r>
    <d v="2044-07-27T00:00:00"/>
    <x v="5"/>
    <n v="2044"/>
    <x v="4"/>
    <n v="91"/>
    <n v="93397.598120670998"/>
    <n v="99.496643730574917"/>
    <n v="-8.4966437305749167"/>
    <n v="-9.3369711324999091E-2"/>
  </r>
  <r>
    <d v="2044-08-26T00:00:00"/>
    <x v="6"/>
    <n v="2044"/>
    <x v="1"/>
    <n v="90"/>
    <n v="95766.66036137646"/>
    <n v="99.497807927231705"/>
    <n v="-9.4978079272317046"/>
    <n v="-0.10553119919146338"/>
  </r>
  <r>
    <d v="2044-09-25T00:00:00"/>
    <x v="7"/>
    <n v="2044"/>
    <x v="0"/>
    <n v="102"/>
    <n v="87445.321878309886"/>
    <n v="99.498972123888493"/>
    <n v="2.5010278761115075"/>
    <n v="2.4519881138348111E-2"/>
  </r>
  <r>
    <d v="2044-10-25T00:00:00"/>
    <x v="8"/>
    <n v="2044"/>
    <x v="0"/>
    <n v="109"/>
    <n v="94239.222521558477"/>
    <n v="99.50013632054528"/>
    <n v="9.4998636794547195"/>
    <n v="8.7154712655547889E-2"/>
  </r>
  <r>
    <d v="2044-11-24T00:00:00"/>
    <x v="9"/>
    <n v="2044"/>
    <x v="4"/>
    <n v="101"/>
    <n v="128370.62690296074"/>
    <n v="99.501300517202068"/>
    <n v="1.4986994827979316"/>
    <n v="1.4838608740573581E-2"/>
  </r>
  <r>
    <d v="2044-12-24T00:00:00"/>
    <x v="10"/>
    <n v="2044"/>
    <x v="1"/>
    <n v="97"/>
    <n v="50243.826869298413"/>
    <n v="99.502464713858842"/>
    <n v="-2.5024647138588421"/>
    <n v="-2.5798605297513835E-2"/>
  </r>
  <r>
    <d v="2045-01-23T00:00:00"/>
    <x v="0"/>
    <n v="2045"/>
    <x v="0"/>
    <n v="88"/>
    <n v="125539.30772176376"/>
    <n v="99.50362891051563"/>
    <n v="-11.50362891051563"/>
    <n v="-0.13072305580131396"/>
  </r>
  <r>
    <d v="2045-02-22T00:00:00"/>
    <x v="11"/>
    <n v="2045"/>
    <x v="0"/>
    <n v="100"/>
    <n v="106760.46962203416"/>
    <n v="99.504793107172418"/>
    <n v="0.49520689282758212"/>
    <n v="4.9520689282758212E-3"/>
  </r>
  <r>
    <d v="2045-03-24T00:00:00"/>
    <x v="1"/>
    <n v="2045"/>
    <x v="1"/>
    <n v="104"/>
    <n v="75859.567042855691"/>
    <n v="99.505957303829206"/>
    <n v="4.4940426961707942"/>
    <n v="4.3211949001642255E-2"/>
  </r>
  <r>
    <d v="2045-04-23T00:00:00"/>
    <x v="2"/>
    <n v="2045"/>
    <x v="2"/>
    <n v="106"/>
    <n v="78493.75213901524"/>
    <n v="99.507121500485994"/>
    <n v="6.4928784995140063"/>
    <n v="6.1253570750132137E-2"/>
  </r>
  <r>
    <d v="2045-05-23T00:00:00"/>
    <x v="3"/>
    <n v="2045"/>
    <x v="1"/>
    <n v="91"/>
    <n v="133527.86054416405"/>
    <n v="99.508285697142782"/>
    <n v="-8.5082856971427816"/>
    <n v="-9.3497645023547057E-2"/>
  </r>
  <r>
    <d v="2045-06-22T00:00:00"/>
    <x v="4"/>
    <n v="2045"/>
    <x v="2"/>
    <n v="110"/>
    <n v="81089.862401145379"/>
    <n v="99.50944989379957"/>
    <n v="10.49055010620043"/>
    <n v="9.5368637329094827E-2"/>
  </r>
  <r>
    <d v="2045-07-22T00:00:00"/>
    <x v="5"/>
    <n v="2045"/>
    <x v="4"/>
    <n v="104"/>
    <n v="76932.989788080813"/>
    <n v="99.510614090456357"/>
    <n v="4.4893859095436426"/>
    <n v="4.3167172207150412E-2"/>
  </r>
  <r>
    <d v="2045-08-21T00:00:00"/>
    <x v="6"/>
    <n v="2045"/>
    <x v="3"/>
    <n v="85"/>
    <n v="122746.29084729459"/>
    <n v="99.511778287113145"/>
    <n v="-14.511778287113145"/>
    <n v="-0.17072680337780172"/>
  </r>
  <r>
    <d v="2045-09-20T00:00:00"/>
    <x v="7"/>
    <n v="2045"/>
    <x v="4"/>
    <n v="107"/>
    <n v="106771.05752571828"/>
    <n v="99.512942483769933"/>
    <n v="7.4870575162300668"/>
    <n v="6.9972500151682868E-2"/>
  </r>
  <r>
    <d v="2045-10-20T00:00:00"/>
    <x v="8"/>
    <n v="2045"/>
    <x v="3"/>
    <n v="111"/>
    <n v="81241.488469272022"/>
    <n v="99.514106680426721"/>
    <n v="11.485893319573279"/>
    <n v="0.10347651639255206"/>
  </r>
  <r>
    <d v="2045-11-19T00:00:00"/>
    <x v="9"/>
    <n v="2045"/>
    <x v="0"/>
    <n v="107"/>
    <n v="104332.49950809238"/>
    <n v="99.515270877083509"/>
    <n v="7.484729122916491"/>
    <n v="6.995073946650926E-2"/>
  </r>
  <r>
    <d v="2045-12-19T00:00:00"/>
    <x v="10"/>
    <n v="2045"/>
    <x v="0"/>
    <n v="94"/>
    <n v="79484.946327194455"/>
    <n v="99.516435073740283"/>
    <n v="-5.5164350737402827"/>
    <n v="-5.8685479507875352E-2"/>
  </r>
  <r>
    <d v="2046-01-18T00:00:00"/>
    <x v="0"/>
    <n v="2046"/>
    <x v="0"/>
    <n v="91"/>
    <n v="122016.4279684521"/>
    <n v="99.517599270397071"/>
    <n v="-8.5175992703970707"/>
    <n v="-9.3599991982385389E-2"/>
  </r>
  <r>
    <d v="2046-02-17T00:00:00"/>
    <x v="11"/>
    <n v="2046"/>
    <x v="2"/>
    <n v="89"/>
    <n v="121227.41929746268"/>
    <n v="99.518763467053859"/>
    <n v="-10.518763467053859"/>
    <n v="-0.11818835356240291"/>
  </r>
  <r>
    <d v="2046-03-19T00:00:00"/>
    <x v="1"/>
    <n v="2046"/>
    <x v="3"/>
    <n v="98"/>
    <n v="110640.12397643886"/>
    <n v="99.519927663710646"/>
    <n v="-1.5199276637106465"/>
    <n v="-1.5509465956231086E-2"/>
  </r>
  <r>
    <d v="2046-04-18T00:00:00"/>
    <x v="2"/>
    <n v="2046"/>
    <x v="0"/>
    <n v="110"/>
    <n v="107233.22122494034"/>
    <n v="99.521091860367434"/>
    <n v="10.478908139632566"/>
    <n v="9.5262801269386965E-2"/>
  </r>
  <r>
    <d v="2046-05-18T00:00:00"/>
    <x v="3"/>
    <n v="2046"/>
    <x v="1"/>
    <n v="93"/>
    <n v="135223.76249734749"/>
    <n v="99.522256057024222"/>
    <n v="-6.5222560570242223"/>
    <n v="-7.0131785559400237E-2"/>
  </r>
  <r>
    <d v="2046-06-17T00:00:00"/>
    <x v="4"/>
    <n v="2046"/>
    <x v="3"/>
    <n v="103"/>
    <n v="106771.05752571828"/>
    <n v="99.52342025368101"/>
    <n v="3.4765797463189898"/>
    <n v="3.3753201420572719E-2"/>
  </r>
  <r>
    <d v="2046-07-17T00:00:00"/>
    <x v="5"/>
    <n v="2046"/>
    <x v="3"/>
    <n v="100"/>
    <n v="76362.517491583974"/>
    <n v="99.524584450337798"/>
    <n v="0.4754155496622019"/>
    <n v="4.754155496622019E-3"/>
  </r>
  <r>
    <d v="2046-08-16T00:00:00"/>
    <x v="6"/>
    <n v="2046"/>
    <x v="2"/>
    <n v="101"/>
    <n v="104332.49950809238"/>
    <n v="99.525748646994586"/>
    <n v="1.474251353005414"/>
    <n v="1.4596548049558554E-2"/>
  </r>
  <r>
    <d v="2046-09-15T00:00:00"/>
    <x v="7"/>
    <n v="2046"/>
    <x v="4"/>
    <n v="94"/>
    <n v="100873.2838"/>
    <n v="99.526912843651374"/>
    <n v="-5.5269128436513739"/>
    <n v="-5.8796945145227382E-2"/>
  </r>
  <r>
    <d v="2046-10-15T00:00:00"/>
    <x v="8"/>
    <n v="2046"/>
    <x v="2"/>
    <n v="108"/>
    <n v="79704.810136282962"/>
    <n v="99.528077040308148"/>
    <n v="8.4719229596918524"/>
    <n v="7.8443731108257891E-2"/>
  </r>
  <r>
    <d v="2046-11-14T00:00:00"/>
    <x v="9"/>
    <n v="2046"/>
    <x v="0"/>
    <n v="113"/>
    <n v="92770.744666120285"/>
    <n v="99.529241236964936"/>
    <n v="13.470758763035064"/>
    <n v="0.11921025454013331"/>
  </r>
  <r>
    <d v="2046-12-14T00:00:00"/>
    <x v="10"/>
    <n v="2046"/>
    <x v="1"/>
    <n v="115"/>
    <n v="110640.12397643886"/>
    <n v="99.530405433621723"/>
    <n v="15.469594566378277"/>
    <n v="0.13451821362068067"/>
  </r>
  <r>
    <d v="2047-01-13T00:00:00"/>
    <x v="0"/>
    <n v="2047"/>
    <x v="1"/>
    <n v="98"/>
    <n v="98921.903019885212"/>
    <n v="99.531569630278511"/>
    <n v="-1.5315696302785113"/>
    <n v="-1.5628261533454198E-2"/>
  </r>
  <r>
    <d v="2047-02-12T00:00:00"/>
    <x v="11"/>
    <n v="2047"/>
    <x v="0"/>
    <n v="93"/>
    <n v="80353.928392453701"/>
    <n v="99.532733826935299"/>
    <n v="-6.5327338269352992"/>
    <n v="-7.0244449751992469E-2"/>
  </r>
  <r>
    <d v="2047-03-14T00:00:00"/>
    <x v="1"/>
    <n v="2047"/>
    <x v="1"/>
    <n v="104"/>
    <n v="122437.15712460942"/>
    <n v="99.533898023592087"/>
    <n v="4.4661019764079128"/>
    <n v="4.2943288234691471E-2"/>
  </r>
  <r>
    <d v="2047-04-13T00:00:00"/>
    <x v="2"/>
    <n v="2047"/>
    <x v="2"/>
    <n v="100"/>
    <n v="146400.81444034519"/>
    <n v="99.535062220248875"/>
    <n v="0.46493777975112494"/>
    <n v="4.6493777975112494E-3"/>
  </r>
  <r>
    <d v="2047-05-13T00:00:00"/>
    <x v="3"/>
    <n v="2047"/>
    <x v="2"/>
    <n v="89"/>
    <n v="103922.62918047815"/>
    <n v="99.536226416905663"/>
    <n v="-10.536226416905663"/>
    <n v="-0.1183845664820861"/>
  </r>
  <r>
    <d v="2047-06-12T00:00:00"/>
    <x v="4"/>
    <n v="2047"/>
    <x v="0"/>
    <n v="86"/>
    <n v="81918.634205279988"/>
    <n v="99.537390613562451"/>
    <n v="-13.537390613562451"/>
    <n v="-0.15741151876235407"/>
  </r>
  <r>
    <d v="2047-07-12T00:00:00"/>
    <x v="5"/>
    <n v="2047"/>
    <x v="1"/>
    <n v="93"/>
    <n v="69020.789498930506"/>
    <n v="99.538554810219239"/>
    <n v="-6.5385548102192388"/>
    <n v="-7.0307040970099335E-2"/>
  </r>
  <r>
    <d v="2047-08-11T00:00:00"/>
    <x v="6"/>
    <n v="2047"/>
    <x v="3"/>
    <n v="104"/>
    <n v="105159.51962442361"/>
    <n v="99.539719006876027"/>
    <n v="4.4602809931239733"/>
    <n v="4.288731724157667E-2"/>
  </r>
  <r>
    <d v="2047-09-10T00:00:00"/>
    <x v="7"/>
    <n v="2047"/>
    <x v="4"/>
    <n v="91"/>
    <n v="122077.54686632515"/>
    <n v="99.540883203532815"/>
    <n v="-8.5408832035328146"/>
    <n v="-9.3855859379481474E-2"/>
  </r>
  <r>
    <d v="2047-10-10T00:00:00"/>
    <x v="8"/>
    <n v="2047"/>
    <x v="3"/>
    <n v="113"/>
    <n v="100873.2838"/>
    <n v="99.542047400189588"/>
    <n v="13.457952599810412"/>
    <n v="0.11909692566203904"/>
  </r>
  <r>
    <d v="2047-11-09T00:00:00"/>
    <x v="9"/>
    <n v="2047"/>
    <x v="2"/>
    <n v="103"/>
    <n v="99951.923181622929"/>
    <n v="99.543211596846376"/>
    <n v="3.4567884031536238"/>
    <n v="3.3561052457802172E-2"/>
  </r>
  <r>
    <d v="2047-12-09T00:00:00"/>
    <x v="10"/>
    <n v="2047"/>
    <x v="2"/>
    <n v="98"/>
    <n v="88214.566964213882"/>
    <n v="99.544375793503164"/>
    <n v="-1.5443757935031641"/>
    <n v="-1.5758936668399635E-2"/>
  </r>
  <r>
    <d v="2048-01-08T00:00:00"/>
    <x v="0"/>
    <n v="2048"/>
    <x v="2"/>
    <n v="100"/>
    <n v="78156.72734563821"/>
    <n v="99.545539990159952"/>
    <n v="0.45446000984004797"/>
    <n v="4.5446000984004798E-3"/>
  </r>
  <r>
    <d v="2048-02-07T00:00:00"/>
    <x v="11"/>
    <n v="2048"/>
    <x v="2"/>
    <n v="89"/>
    <n v="116695.02652649765"/>
    <n v="99.54670418681674"/>
    <n v="-10.54670418681674"/>
    <n v="-0.11850229423389595"/>
  </r>
  <r>
    <d v="2048-03-08T00:00:00"/>
    <x v="1"/>
    <n v="2048"/>
    <x v="4"/>
    <n v="83"/>
    <n v="118275.43242771171"/>
    <n v="99.547868383473528"/>
    <n v="-16.547868383473528"/>
    <n v="-0.19937190823462081"/>
  </r>
  <r>
    <d v="2048-04-07T00:00:00"/>
    <x v="2"/>
    <n v="2048"/>
    <x v="0"/>
    <n v="92"/>
    <n v="69085.404266185331"/>
    <n v="99.549032580130316"/>
    <n v="-7.5490325801303158"/>
    <n v="-8.2054701957938209E-2"/>
  </r>
  <r>
    <d v="2048-05-07T00:00:00"/>
    <x v="3"/>
    <n v="2048"/>
    <x v="2"/>
    <n v="81"/>
    <n v="131796.77956361367"/>
    <n v="99.550196776787104"/>
    <n v="-18.550196776787104"/>
    <n v="-0.22901477502206302"/>
  </r>
  <r>
    <d v="2048-06-06T00:00:00"/>
    <x v="4"/>
    <n v="2048"/>
    <x v="1"/>
    <n v="91"/>
    <n v="111481.42441788003"/>
    <n v="99.551360973443892"/>
    <n v="-8.5513609734438916"/>
    <n v="-9.397099970817463E-2"/>
  </r>
  <r>
    <d v="2048-07-06T00:00:00"/>
    <x v="5"/>
    <n v="2048"/>
    <x v="4"/>
    <n v="102"/>
    <n v="127991.89290291586"/>
    <n v="99.552525170100679"/>
    <n v="2.4474748298993205"/>
    <n v="2.3994851273522751E-2"/>
  </r>
  <r>
    <d v="2048-08-05T00:00:00"/>
    <x v="6"/>
    <n v="2048"/>
    <x v="2"/>
    <n v="107"/>
    <n v="73157.445030297706"/>
    <n v="99.553689366757453"/>
    <n v="7.4463106332425468"/>
    <n v="6.9591688161145304E-2"/>
  </r>
  <r>
    <d v="2048-09-04T00:00:00"/>
    <x v="7"/>
    <n v="2048"/>
    <x v="1"/>
    <n v="103"/>
    <n v="72683.516891691223"/>
    <n v="99.554853563414241"/>
    <n v="3.4451464365857589"/>
    <n v="3.3448023656172415E-2"/>
  </r>
  <r>
    <d v="2048-10-04T00:00:00"/>
    <x v="8"/>
    <n v="2048"/>
    <x v="2"/>
    <n v="100"/>
    <n v="97020.613804654058"/>
    <n v="99.556017760071029"/>
    <n v="0.44398223992897101"/>
    <n v="4.4398223992897102E-3"/>
  </r>
  <r>
    <d v="2048-11-03T00:00:00"/>
    <x v="9"/>
    <n v="2048"/>
    <x v="0"/>
    <n v="97"/>
    <n v="110055.68853790389"/>
    <n v="99.557181956727817"/>
    <n v="-2.5571819567278169"/>
    <n v="-2.6362700584822856E-2"/>
  </r>
  <r>
    <d v="2048-12-03T00:00:00"/>
    <x v="10"/>
    <n v="2048"/>
    <x v="4"/>
    <n v="85"/>
    <n v="135927.21645853927"/>
    <n v="99.558346153384605"/>
    <n v="-14.558346153384605"/>
    <n v="-0.17127466062805419"/>
  </r>
  <r>
    <d v="2049-01-02T00:00:00"/>
    <x v="0"/>
    <n v="2049"/>
    <x v="0"/>
    <n v="107"/>
    <n v="114121.57827630264"/>
    <n v="99.559510350041393"/>
    <n v="7.4404896499586073"/>
    <n v="6.9537286448211277E-2"/>
  </r>
  <r>
    <d v="2049-02-01T00:00:00"/>
    <x v="11"/>
    <n v="2049"/>
    <x v="4"/>
    <n v="106"/>
    <n v="95146.374463759334"/>
    <n v="99.560674546698181"/>
    <n v="6.4393254533018194"/>
    <n v="6.0748353333036034E-2"/>
  </r>
  <r>
    <d v="2049-03-03T00:00:00"/>
    <x v="1"/>
    <n v="2049"/>
    <x v="2"/>
    <n v="92"/>
    <n v="79472.615846682165"/>
    <n v="99.561838743354969"/>
    <n v="-7.5618387433549685"/>
    <n v="-8.219389938429314E-2"/>
  </r>
  <r>
    <d v="2049-04-02T00:00:00"/>
    <x v="2"/>
    <n v="2049"/>
    <x v="2"/>
    <n v="110"/>
    <n v="124600.011454383"/>
    <n v="99.563002940011756"/>
    <n v="10.436997059988244"/>
    <n v="9.4881791454438577E-2"/>
  </r>
  <r>
    <d v="2049-05-02T00:00:00"/>
    <x v="3"/>
    <n v="2049"/>
    <x v="4"/>
    <n v="93"/>
    <n v="80705.89148498571"/>
    <n v="99.564167136668544"/>
    <n v="-6.5641671366685443"/>
    <n v="-7.058244232976929E-2"/>
  </r>
  <r>
    <d v="2049-06-01T00:00:00"/>
    <x v="4"/>
    <n v="2049"/>
    <x v="1"/>
    <n v="104"/>
    <n v="132569.37109544643"/>
    <n v="99.565331333325332"/>
    <n v="4.4346686666746677"/>
    <n v="4.2641044871871807E-2"/>
  </r>
  <r>
    <d v="2049-07-01T00:00:00"/>
    <x v="5"/>
    <n v="2049"/>
    <x v="1"/>
    <n v="117"/>
    <n v="94312.307007869807"/>
    <n v="99.56649552998212"/>
    <n v="17.43350447001788"/>
    <n v="0.14900431170955453"/>
  </r>
  <r>
    <d v="2049-07-31T00:00:00"/>
    <x v="5"/>
    <n v="2049"/>
    <x v="2"/>
    <n v="122"/>
    <n v="131811.641452357"/>
    <n v="99.567659726638894"/>
    <n v="22.432340273361106"/>
    <n v="0.18387164158492711"/>
  </r>
  <r>
    <d v="2049-08-30T00:00:00"/>
    <x v="6"/>
    <n v="2049"/>
    <x v="2"/>
    <n v="90"/>
    <n v="113578.62580118557"/>
    <n v="99.568823923295682"/>
    <n v="-9.5688239232956818"/>
    <n v="-0.10632026581439646"/>
  </r>
  <r>
    <d v="2049-09-29T00:00:00"/>
    <x v="7"/>
    <n v="2049"/>
    <x v="0"/>
    <n v="113"/>
    <n v="97260.090211150833"/>
    <n v="99.56998811995247"/>
    <n v="13.43001188004753"/>
    <n v="0.11884966265528787"/>
  </r>
  <r>
    <d v="2049-10-29T00:00:00"/>
    <x v="8"/>
    <n v="2049"/>
    <x v="2"/>
    <n v="110"/>
    <n v="89612.072563477472"/>
    <n v="99.571152316609258"/>
    <n v="10.428847683390742"/>
    <n v="9.4807706212643117E-2"/>
  </r>
  <r>
    <d v="2049-11-28T00:00:00"/>
    <x v="9"/>
    <n v="2049"/>
    <x v="4"/>
    <n v="106"/>
    <n v="79472.615846682165"/>
    <n v="99.572316513266045"/>
    <n v="6.4276834867339545"/>
    <n v="6.063852345975429E-2"/>
  </r>
  <r>
    <d v="2049-12-28T00:00:00"/>
    <x v="10"/>
    <n v="2049"/>
    <x v="1"/>
    <n v="92"/>
    <n v="108566.33384750475"/>
    <n v="99.573480709922833"/>
    <n v="-7.5734807099228334"/>
    <n v="-8.2320442499161234E-2"/>
  </r>
  <r>
    <d v="2050-01-27T00:00:00"/>
    <x v="0"/>
    <n v="2050"/>
    <x v="1"/>
    <n v="121"/>
    <n v="80705.89148498571"/>
    <n v="99.574644906579621"/>
    <n v="21.425355093420379"/>
    <n v="0.1770690503588461"/>
  </r>
  <r>
    <d v="2050-02-26T00:00:00"/>
    <x v="11"/>
    <n v="2050"/>
    <x v="0"/>
    <n v="89"/>
    <n v="88123.771838625893"/>
    <n v="99.575809103236409"/>
    <n v="-10.575809103236409"/>
    <n v="-0.11882931576670122"/>
  </r>
  <r>
    <d v="2050-03-28T00:00:00"/>
    <x v="1"/>
    <n v="2050"/>
    <x v="1"/>
    <n v="117"/>
    <n v="100873.2838"/>
    <n v="99.576973299893197"/>
    <n v="17.423026700106803"/>
    <n v="0.14891475812057098"/>
  </r>
  <r>
    <d v="2050-04-27T00:00:00"/>
    <x v="2"/>
    <n v="2050"/>
    <x v="1"/>
    <n v="106"/>
    <n v="101571.540594383"/>
    <n v="99.578137496549985"/>
    <n v="6.421862503450015"/>
    <n v="6.0583608523113348E-2"/>
  </r>
  <r>
    <d v="2050-05-27T00:00:00"/>
    <x v="3"/>
    <n v="2050"/>
    <x v="3"/>
    <n v="121"/>
    <n v="57425.31811170376"/>
    <n v="99.579301693206773"/>
    <n v="21.420698306793227"/>
    <n v="0.1770305645189523"/>
  </r>
  <r>
    <d v="2050-06-26T00:00:00"/>
    <x v="4"/>
    <n v="2050"/>
    <x v="4"/>
    <n v="95"/>
    <n v="109163.36229577397"/>
    <n v="99.580465889863547"/>
    <n v="-4.5804658898635466"/>
    <n v="-4.8215430419616283E-2"/>
  </r>
  <r>
    <d v="2050-07-26T00:00:00"/>
    <x v="5"/>
    <n v="2050"/>
    <x v="3"/>
    <n v="91"/>
    <n v="80405.575505663859"/>
    <n v="99.581630086520335"/>
    <n v="-8.5816300865203345"/>
    <n v="-9.4303627324399286E-2"/>
  </r>
  <r>
    <d v="2050-08-25T00:00:00"/>
    <x v="6"/>
    <n v="2050"/>
    <x v="1"/>
    <n v="82"/>
    <n v="76933.351935885104"/>
    <n v="99.582794283177122"/>
    <n v="-17.582794283177122"/>
    <n v="-0.21442432052655028"/>
  </r>
  <r>
    <d v="2050-09-24T00:00:00"/>
    <x v="7"/>
    <n v="2050"/>
    <x v="0"/>
    <n v="100"/>
    <n v="66253.113057785784"/>
    <n v="99.58395847983391"/>
    <n v="0.41604152016608964"/>
    <n v="4.1604152016608961E-3"/>
  </r>
  <r>
    <d v="2050-10-24T00:00:00"/>
    <x v="8"/>
    <n v="2050"/>
    <x v="0"/>
    <n v="81"/>
    <n v="64122.150042642192"/>
    <n v="99.585122676490698"/>
    <n v="-18.585122676490698"/>
    <n v="-0.22944595896902098"/>
  </r>
  <r>
    <d v="2050-11-23T00:00:00"/>
    <x v="9"/>
    <n v="2050"/>
    <x v="1"/>
    <n v="101"/>
    <n v="72891.049937754215"/>
    <n v="99.586286873147486"/>
    <n v="1.4137131268525138"/>
    <n v="1.3997159671807067E-2"/>
  </r>
  <r>
    <d v="2050-12-23T00:00:00"/>
    <x v="10"/>
    <n v="2050"/>
    <x v="2"/>
    <n v="95"/>
    <n v="85819.580847390185"/>
    <n v="99.587451069804274"/>
    <n v="-4.5874510698042741"/>
    <n v="-4.8288958629518673E-2"/>
  </r>
  <r>
    <d v="2051-01-22T00:00:00"/>
    <x v="0"/>
    <n v="2051"/>
    <x v="3"/>
    <n v="114"/>
    <n v="139065.18275053136"/>
    <n v="99.588615266461062"/>
    <n v="14.411384733538938"/>
    <n v="0.12641565555735912"/>
  </r>
  <r>
    <d v="2051-02-21T00:00:00"/>
    <x v="11"/>
    <n v="2051"/>
    <x v="1"/>
    <n v="92"/>
    <n v="89482.406482095917"/>
    <n v="99.58977946311785"/>
    <n v="-7.5897794631178499"/>
    <n v="-8.2497602859976635E-2"/>
  </r>
  <r>
    <d v="2051-03-23T00:00:00"/>
    <x v="1"/>
    <n v="2051"/>
    <x v="0"/>
    <n v="113"/>
    <n v="103555.00212536062"/>
    <n v="99.590943659774638"/>
    <n v="13.409056340225362"/>
    <n v="0.11866421540022444"/>
  </r>
  <r>
    <d v="2051-04-22T00:00:00"/>
    <x v="2"/>
    <n v="2051"/>
    <x v="0"/>
    <n v="113"/>
    <n v="108009.62773012658"/>
    <n v="99.592107856431426"/>
    <n v="13.407892143568574"/>
    <n v="0.11865391277494314"/>
  </r>
  <r>
    <d v="2051-05-22T00:00:00"/>
    <x v="3"/>
    <n v="2051"/>
    <x v="3"/>
    <n v="120"/>
    <n v="76933.351935885104"/>
    <n v="99.593272053088199"/>
    <n v="20.406727946911801"/>
    <n v="0.170056066224265"/>
  </r>
  <r>
    <d v="2051-06-21T00:00:00"/>
    <x v="4"/>
    <n v="2051"/>
    <x v="4"/>
    <n v="108"/>
    <n v="98451.130785480127"/>
    <n v="99.594436249744987"/>
    <n v="8.4055637502550127"/>
    <n v="7.7829293983842709E-2"/>
  </r>
  <r>
    <d v="2051-07-21T00:00:00"/>
    <x v="5"/>
    <n v="2051"/>
    <x v="1"/>
    <n v="99"/>
    <n v="76094.1247280151"/>
    <n v="99.595600446401775"/>
    <n v="-0.59560044640177523"/>
    <n v="-6.0161661252704571E-3"/>
  </r>
  <r>
    <d v="2051-08-20T00:00:00"/>
    <x v="6"/>
    <n v="2051"/>
    <x v="1"/>
    <n v="108"/>
    <n v="129018.55096558423"/>
    <n v="99.596764643058563"/>
    <n v="8.4032353569414369"/>
    <n v="7.7807734786494789E-2"/>
  </r>
  <r>
    <d v="2051-09-19T00:00:00"/>
    <x v="7"/>
    <n v="2051"/>
    <x v="4"/>
    <n v="98"/>
    <n v="136143.93287275769"/>
    <n v="99.597928839715351"/>
    <n v="-1.597928839715351"/>
    <n v="-1.6305396323626032E-2"/>
  </r>
  <r>
    <d v="2051-10-19T00:00:00"/>
    <x v="8"/>
    <n v="2051"/>
    <x v="3"/>
    <n v="92"/>
    <n v="66346.826117546283"/>
    <n v="99.599093036372139"/>
    <n v="-7.599093036372139"/>
    <n v="-8.2598837351871082E-2"/>
  </r>
  <r>
    <d v="2051-11-18T00:00:00"/>
    <x v="9"/>
    <n v="2051"/>
    <x v="3"/>
    <n v="96"/>
    <n v="79519.428182272415"/>
    <n v="99.600257233028927"/>
    <n v="-3.6002572330289269"/>
    <n v="-3.7502679510717986E-2"/>
  </r>
  <r>
    <d v="2051-12-18T00:00:00"/>
    <x v="10"/>
    <n v="2051"/>
    <x v="0"/>
    <n v="94"/>
    <n v="103555.00212536062"/>
    <n v="99.601421429685715"/>
    <n v="-5.6014214296857148"/>
    <n v="-5.9589589677507604E-2"/>
  </r>
  <r>
    <d v="2052-01-17T00:00:00"/>
    <x v="0"/>
    <n v="2052"/>
    <x v="4"/>
    <n v="75"/>
    <n v="80709.244101796168"/>
    <n v="99.602585626342503"/>
    <n v="-24.602585626342503"/>
    <n v="-0.32803447501790006"/>
  </r>
  <r>
    <d v="2052-02-16T00:00:00"/>
    <x v="11"/>
    <n v="2052"/>
    <x v="3"/>
    <n v="97"/>
    <n v="110119.31106911731"/>
    <n v="99.603749822999291"/>
    <n v="-2.6037498229992906"/>
    <n v="-2.6842781680405058E-2"/>
  </r>
  <r>
    <d v="2052-03-17T00:00:00"/>
    <x v="1"/>
    <n v="2052"/>
    <x v="2"/>
    <n v="100"/>
    <n v="85434.555951867733"/>
    <n v="99.604914019656078"/>
    <n v="0.39508598034392151"/>
    <n v="3.9508598034392155E-3"/>
  </r>
  <r>
    <d v="2052-04-16T00:00:00"/>
    <x v="2"/>
    <n v="2052"/>
    <x v="1"/>
    <n v="98"/>
    <n v="143301.12135613203"/>
    <n v="99.606078216312852"/>
    <n v="-1.6060782163128522"/>
    <n v="-1.6388553227682165E-2"/>
  </r>
  <r>
    <d v="2052-05-16T00:00:00"/>
    <x v="3"/>
    <n v="2052"/>
    <x v="0"/>
    <n v="121"/>
    <n v="123810.97188687192"/>
    <n v="99.60724241296964"/>
    <n v="21.39275758703036"/>
    <n v="0.17679964947958976"/>
  </r>
  <r>
    <d v="2052-06-15T00:00:00"/>
    <x v="4"/>
    <n v="2052"/>
    <x v="4"/>
    <n v="103"/>
    <n v="104251.4806126443"/>
    <n v="99.608406609626428"/>
    <n v="3.391593390373572"/>
    <n v="3.2928091168675455E-2"/>
  </r>
  <r>
    <d v="2052-07-15T00:00:00"/>
    <x v="5"/>
    <n v="2052"/>
    <x v="0"/>
    <n v="121"/>
    <n v="120539.72526639464"/>
    <n v="99.609570806283216"/>
    <n v="21.390429193716784"/>
    <n v="0.17678040655964283"/>
  </r>
  <r>
    <d v="2052-08-14T00:00:00"/>
    <x v="6"/>
    <n v="2052"/>
    <x v="3"/>
    <n v="103"/>
    <n v="122118.00848714617"/>
    <n v="99.610735002940004"/>
    <n v="3.3892649970599962"/>
    <n v="3.2905485408349477E-2"/>
  </r>
  <r>
    <d v="2052-09-13T00:00:00"/>
    <x v="7"/>
    <n v="2052"/>
    <x v="3"/>
    <n v="91"/>
    <n v="88721.050238835131"/>
    <n v="99.611899199596792"/>
    <n v="-8.6118991995967917"/>
    <n v="-9.4636254940624082E-2"/>
  </r>
  <r>
    <d v="2052-10-13T00:00:00"/>
    <x v="8"/>
    <n v="2052"/>
    <x v="2"/>
    <n v="91"/>
    <n v="83675.655109160711"/>
    <n v="99.61306339625358"/>
    <n v="-8.6130633962535796"/>
    <n v="-9.4649048310478892E-2"/>
  </r>
  <r>
    <d v="2052-11-12T00:00:00"/>
    <x v="9"/>
    <n v="2052"/>
    <x v="1"/>
    <n v="107"/>
    <n v="101562.86125939294"/>
    <n v="99.614227592910368"/>
    <n v="7.3857724070896325"/>
    <n v="6.902591034663208E-2"/>
  </r>
  <r>
    <d v="2052-12-12T00:00:00"/>
    <x v="10"/>
    <n v="2052"/>
    <x v="4"/>
    <n v="97"/>
    <n v="117232.72248995888"/>
    <n v="99.615391789567155"/>
    <n v="-2.6153917895671555"/>
    <n v="-2.6962801954300571E-2"/>
  </r>
  <r>
    <d v="2053-01-11T00:00:00"/>
    <x v="0"/>
    <n v="2053"/>
    <x v="0"/>
    <n v="106"/>
    <n v="102781.20797306835"/>
    <n v="99.616555986223943"/>
    <n v="6.3834440137760566"/>
    <n v="6.0221169941283556E-2"/>
  </r>
  <r>
    <d v="2053-02-10T00:00:00"/>
    <x v="11"/>
    <n v="2053"/>
    <x v="1"/>
    <n v="110"/>
    <n v="68460.070356180047"/>
    <n v="99.617720182880731"/>
    <n v="10.382279817119269"/>
    <n v="9.4384361973811531E-2"/>
  </r>
  <r>
    <d v="2053-03-12T00:00:00"/>
    <x v="1"/>
    <n v="2053"/>
    <x v="3"/>
    <n v="91"/>
    <n v="83943.511120983152"/>
    <n v="99.618884379537505"/>
    <n v="-8.618884379537505"/>
    <n v="-9.4713015159752806E-2"/>
  </r>
  <r>
    <d v="2053-04-11T00:00:00"/>
    <x v="2"/>
    <n v="2053"/>
    <x v="1"/>
    <n v="103"/>
    <n v="98520.542728112443"/>
    <n v="99.620048576194293"/>
    <n v="3.3799514238057071"/>
    <n v="3.2815062367045698E-2"/>
  </r>
  <r>
    <d v="2053-05-11T00:00:00"/>
    <x v="3"/>
    <n v="2053"/>
    <x v="0"/>
    <n v="84"/>
    <n v="98486.687913483402"/>
    <n v="99.621212772851081"/>
    <n v="-15.621212772851081"/>
    <n v="-0.18596681872441762"/>
  </r>
  <r>
    <d v="2053-06-10T00:00:00"/>
    <x v="4"/>
    <n v="2053"/>
    <x v="1"/>
    <n v="93"/>
    <n v="139450.84353579616"/>
    <n v="99.622376969507869"/>
    <n v="-6.6223769695078687"/>
    <n v="-7.1208354510837304E-2"/>
  </r>
  <r>
    <d v="2053-07-10T00:00:00"/>
    <x v="5"/>
    <n v="2053"/>
    <x v="3"/>
    <n v="113"/>
    <n v="72280.24115202004"/>
    <n v="99.623541166164657"/>
    <n v="13.376458833835343"/>
    <n v="0.11837574189234817"/>
  </r>
  <r>
    <d v="2053-08-09T00:00:00"/>
    <x v="6"/>
    <n v="2053"/>
    <x v="1"/>
    <n v="105"/>
    <n v="110111.78483671749"/>
    <n v="99.624705362821445"/>
    <n v="5.3752946371785555"/>
    <n v="5.1193282258843384E-2"/>
  </r>
  <r>
    <d v="2053-09-08T00:00:00"/>
    <x v="7"/>
    <n v="2053"/>
    <x v="4"/>
    <n v="83"/>
    <n v="129782.26216656579"/>
    <n v="99.625869559478232"/>
    <n v="-16.625869559478232"/>
    <n v="-0.20031168143949676"/>
  </r>
  <r>
    <d v="2053-10-08T00:00:00"/>
    <x v="8"/>
    <n v="2053"/>
    <x v="1"/>
    <n v="96"/>
    <n v="145428.99490845593"/>
    <n v="99.62703375613502"/>
    <n v="-3.6270337561350203"/>
    <n v="-3.7781601626406459E-2"/>
  </r>
  <r>
    <d v="2053-11-07T00:00:00"/>
    <x v="9"/>
    <n v="2053"/>
    <x v="4"/>
    <n v="107"/>
    <n v="91912.051536320767"/>
    <n v="99.628197952791808"/>
    <n v="7.3718020472081918"/>
    <n v="6.8895346235590571E-2"/>
  </r>
  <r>
    <d v="2053-12-07T00:00:00"/>
    <x v="10"/>
    <n v="2053"/>
    <x v="1"/>
    <n v="83"/>
    <n v="109828.589054404"/>
    <n v="99.629362149448596"/>
    <n v="-16.629362149448596"/>
    <n v="-0.20035376083673007"/>
  </r>
  <r>
    <d v="2054-01-06T00:00:00"/>
    <x v="0"/>
    <n v="2054"/>
    <x v="3"/>
    <n v="105"/>
    <n v="111395.20714397293"/>
    <n v="99.630526346105384"/>
    <n v="5.3694736538946159"/>
    <n v="5.1137844322805867E-2"/>
  </r>
  <r>
    <d v="2054-02-05T00:00:00"/>
    <x v="11"/>
    <n v="2054"/>
    <x v="2"/>
    <n v="112"/>
    <n v="103909.63463106581"/>
    <n v="99.631690542762158"/>
    <n v="12.368309457237842"/>
    <n v="0.11043133443962359"/>
  </r>
  <r>
    <d v="2054-03-07T00:00:00"/>
    <x v="1"/>
    <n v="2054"/>
    <x v="2"/>
    <n v="99"/>
    <n v="98023.095975213873"/>
    <n v="99.632854739418946"/>
    <n v="-0.63285473941894566"/>
    <n v="-6.3924721153428852E-3"/>
  </r>
  <r>
    <d v="2054-04-06T00:00:00"/>
    <x v="2"/>
    <n v="2054"/>
    <x v="4"/>
    <n v="111"/>
    <n v="108719.50779000092"/>
    <n v="99.634018936075734"/>
    <n v="11.365981063924266"/>
    <n v="0.10239622580111951"/>
  </r>
  <r>
    <d v="2054-05-06T00:00:00"/>
    <x v="3"/>
    <n v="2054"/>
    <x v="4"/>
    <n v="105"/>
    <n v="49355.07829560629"/>
    <n v="99.635183132732521"/>
    <n v="5.3648168672674785"/>
    <n v="5.1093493973975987E-2"/>
  </r>
  <r>
    <d v="2054-06-05T00:00:00"/>
    <x v="4"/>
    <n v="2054"/>
    <x v="2"/>
    <n v="93"/>
    <n v="113641.38980125263"/>
    <n v="99.636347329389309"/>
    <n v="-6.6363473293893094"/>
    <n v="-7.1358573434293651E-2"/>
  </r>
  <r>
    <d v="2054-07-05T00:00:00"/>
    <x v="5"/>
    <n v="2054"/>
    <x v="3"/>
    <n v="109"/>
    <n v="102523.55807323934"/>
    <n v="99.637511526046097"/>
    <n v="9.3624884739539027"/>
    <n v="8.5894389669301865E-2"/>
  </r>
  <r>
    <d v="2054-08-04T00:00:00"/>
    <x v="6"/>
    <n v="2054"/>
    <x v="3"/>
    <n v="106"/>
    <n v="95550.502064434695"/>
    <n v="99.638675722702885"/>
    <n v="6.3613242772971148"/>
    <n v="6.0012493182048252E-2"/>
  </r>
  <r>
    <d v="2054-09-03T00:00:00"/>
    <x v="7"/>
    <n v="2054"/>
    <x v="1"/>
    <n v="106"/>
    <n v="140937.24391439115"/>
    <n v="99.639839919359673"/>
    <n v="6.3601600806403269"/>
    <n v="6.0001510194720067E-2"/>
  </r>
  <r>
    <d v="2054-10-03T00:00:00"/>
    <x v="8"/>
    <n v="2054"/>
    <x v="4"/>
    <n v="103"/>
    <n v="86501.319624188953"/>
    <n v="99.641004116016461"/>
    <n v="3.358995883983539"/>
    <n v="3.2611610524112031E-2"/>
  </r>
  <r>
    <d v="2054-11-02T00:00:00"/>
    <x v="9"/>
    <n v="2054"/>
    <x v="3"/>
    <n v="113"/>
    <n v="91938.480218699391"/>
    <n v="99.642168312673249"/>
    <n v="13.357831687326751"/>
    <n v="0.11821089988784736"/>
  </r>
  <r>
    <d v="2054-12-02T00:00:00"/>
    <x v="10"/>
    <n v="2054"/>
    <x v="0"/>
    <n v="111"/>
    <n v="100873.2838"/>
    <n v="99.643332509330037"/>
    <n v="11.356667490669963"/>
    <n v="0.10231231973576543"/>
  </r>
  <r>
    <d v="2055-01-01T00:00:00"/>
    <x v="0"/>
    <n v="2055"/>
    <x v="1"/>
    <n v="92"/>
    <n v="108719.50779000092"/>
    <n v="99.644496705986811"/>
    <n v="-7.6444967059868105"/>
    <n v="-8.3092355499856635E-2"/>
  </r>
  <r>
    <d v="2055-01-31T00:00:00"/>
    <x v="0"/>
    <n v="2055"/>
    <x v="1"/>
    <n v="89"/>
    <n v="88997.69434126922"/>
    <n v="99.645660902643598"/>
    <n v="-10.645660902643598"/>
    <n v="-0.11961416744543368"/>
  </r>
  <r>
    <d v="2055-03-02T00:00:00"/>
    <x v="1"/>
    <n v="2055"/>
    <x v="2"/>
    <n v="111"/>
    <n v="97059.491531382999"/>
    <n v="99.646825099300386"/>
    <n v="11.353174900699614"/>
    <n v="0.10228085496125779"/>
  </r>
  <r>
    <d v="2055-04-01T00:00:00"/>
    <x v="2"/>
    <n v="2055"/>
    <x v="4"/>
    <n v="104"/>
    <n v="100873.2838"/>
    <n v="99.647989295957174"/>
    <n v="4.3520107040428258"/>
    <n v="4.1846256769642556E-2"/>
  </r>
  <r>
    <d v="2055-05-01T00:00:00"/>
    <x v="3"/>
    <n v="2055"/>
    <x v="3"/>
    <n v="108"/>
    <n v="104156.05014706627"/>
    <n v="99.649153492613962"/>
    <n v="8.3508465073860378"/>
    <n v="7.7322652846167017E-2"/>
  </r>
  <r>
    <d v="2055-05-31T00:00:00"/>
    <x v="3"/>
    <n v="2055"/>
    <x v="3"/>
    <n v="109"/>
    <n v="74147.493056954743"/>
    <n v="99.65031768927075"/>
    <n v="9.3496823107292499"/>
    <n v="8.5776901933295874E-2"/>
  </r>
  <r>
    <d v="2055-06-30T00:00:00"/>
    <x v="4"/>
    <n v="2055"/>
    <x v="1"/>
    <n v="108"/>
    <n v="89356.628737456209"/>
    <n v="99.651481885927538"/>
    <n v="8.348518114072462"/>
    <n v="7.7301093648819097E-2"/>
  </r>
  <r>
    <d v="2055-07-30T00:00:00"/>
    <x v="5"/>
    <n v="2055"/>
    <x v="4"/>
    <n v="127"/>
    <n v="87852.91133575578"/>
    <n v="99.652646082584326"/>
    <n v="27.347353917415674"/>
    <n v="0.21533349541272184"/>
  </r>
  <r>
    <d v="2055-08-29T00:00:00"/>
    <x v="6"/>
    <n v="2055"/>
    <x v="4"/>
    <n v="104"/>
    <n v="98455.579095539084"/>
    <n v="99.653810279241114"/>
    <n v="4.3461897207588862"/>
    <n v="4.1790285776527755E-2"/>
  </r>
  <r>
    <d v="2055-09-28T00:00:00"/>
    <x v="7"/>
    <n v="2055"/>
    <x v="4"/>
    <n v="106"/>
    <n v="108516.87317259658"/>
    <n v="99.654974475897902"/>
    <n v="6.3450255241020983"/>
    <n v="5.9858731359453757E-2"/>
  </r>
  <r>
    <d v="2055-10-28T00:00:00"/>
    <x v="8"/>
    <n v="2055"/>
    <x v="2"/>
    <n v="94"/>
    <n v="108364.11511775944"/>
    <n v="99.65613867255469"/>
    <n v="-5.6561386725546896"/>
    <n v="-6.0171688005900954E-2"/>
  </r>
  <r>
    <d v="2055-11-27T00:00:00"/>
    <x v="9"/>
    <n v="2055"/>
    <x v="3"/>
    <n v="81"/>
    <n v="64479.764919031957"/>
    <n v="99.657302869211463"/>
    <n v="-18.657302869211463"/>
    <n v="-0.23033707245940077"/>
  </r>
  <r>
    <d v="2055-12-27T00:00:00"/>
    <x v="10"/>
    <n v="2055"/>
    <x v="4"/>
    <n v="95"/>
    <n v="121278.81975121712"/>
    <n v="99.658467065868251"/>
    <n v="-4.6584670658682512"/>
    <n v="-4.9036495430192117E-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d v="2015-01-01T00:00:00"/>
    <x v="0"/>
    <n v="96"/>
    <n v="-0.20027447973645018"/>
    <n v="27205.390763642059"/>
    <n v="4.5281035649701611"/>
    <n v="-3.0287522746329731E-2"/>
    <n v="6.1864689300569733"/>
    <n v="97675.419137560835"/>
    <n v="99"/>
    <n v="62.296585590724206"/>
    <s v="OK"/>
  </r>
  <r>
    <d v="2015-01-31T00:00:00"/>
    <x v="0"/>
    <n v="107"/>
    <n v="-0.13147538988615748"/>
    <n v="31886.059375322606"/>
    <n v="2.9483958171391587"/>
    <n v="2.2139957781198891"/>
    <n v="5.4253707796008266"/>
    <n v="104294.26366341053"/>
    <n v="100"/>
    <n v="22.750148668138017"/>
    <s v="OK"/>
  </r>
  <r>
    <d v="2015-03-02T00:00:00"/>
    <x v="1"/>
    <n v="88"/>
    <n v="-0.25031018144575395"/>
    <m/>
    <n v="3.3893731882071139"/>
    <n v="3.6009596349985711"/>
    <n v="6.8492240318446029"/>
    <n v="131562.36115124368"/>
    <n v="98"/>
    <n v="71.117041757862765"/>
    <s v="Missing Data"/>
  </r>
  <r>
    <d v="2015-04-01T00:00:00"/>
    <x v="2"/>
    <n v="103"/>
    <n v="-0.15649324074080936"/>
    <n v="29671.248694635062"/>
    <n v="3.3615933500555397"/>
    <n v="44.583474542205934"/>
    <n v="5.0991073228240715"/>
    <n v="119708.99371230436"/>
    <n v="88"/>
    <n v="26.515777031292735"/>
    <s v="OK"/>
  </r>
  <r>
    <d v="2015-05-01T00:00:00"/>
    <x v="2"/>
    <n v="111"/>
    <n v="-0.10645753903150559"/>
    <n v="27224.002366534009"/>
    <n v="3.6537033489045503"/>
    <n v="1.2704504055475832"/>
    <n v="6.1775271110723207"/>
    <n v="117383.09184993793"/>
    <n v="91"/>
    <n v="54.801167547217872"/>
    <s v="OK"/>
  </r>
  <r>
    <d v="2015-05-31T00:00:00"/>
    <x v="2"/>
    <n v="90"/>
    <n v="-0.23780125601842803"/>
    <n v="39405.785347202953"/>
    <n v="3.9078686062696484"/>
    <n v="2.9966992232365217"/>
    <n v="4.2764027935694617"/>
    <n v="90889.209479522586"/>
    <n v="82"/>
    <n v="43.412407813392626"/>
    <s v="OK"/>
  </r>
  <r>
    <d v="2015-06-30T00:00:00"/>
    <x v="0"/>
    <n v="94"/>
    <n v="-0.21278340516377614"/>
    <n v="22759.93049791878"/>
    <n v="3.9302367441798727"/>
    <n v="2.0346895432199466"/>
    <n v="5.471737418950914"/>
    <n v="82215.183435433515"/>
    <n v="92"/>
    <n v="636.34236016937041"/>
    <s v="OK"/>
  </r>
  <r>
    <d v="2015-07-30T00:00:00"/>
    <x v="3"/>
    <n v="98"/>
    <n v="-0.18776555430912426"/>
    <n v="19005.97021689959"/>
    <n v="3.2084612807155306"/>
    <n v="2.3940516456958645"/>
    <n v="5.2907748905165972"/>
    <n v="119106.01116475507"/>
    <n v="71"/>
    <n v="30.673306841856565"/>
    <s v="OK"/>
  </r>
  <r>
    <d v="2015-08-29T00:00:00"/>
    <x v="0"/>
    <n v="103"/>
    <n v="-0.15649324074080936"/>
    <n v="32200.072250266661"/>
    <n v="3.4164391431067944"/>
    <n v="5.1443433470170348"/>
    <n v="5.7703695064491303"/>
    <n v="117520.93585059588"/>
    <n v="98"/>
    <n v="75.331472157865448"/>
    <s v="OK"/>
  </r>
  <r>
    <d v="2015-09-28T00:00:00"/>
    <x v="3"/>
    <n v="94"/>
    <n v="-0.21278340516377614"/>
    <n v="27489.728878236943"/>
    <n v="3.6412899752441499"/>
    <n v="0.99702967160484679"/>
    <n v="5.0565676853999699"/>
    <m/>
    <n v="82"/>
    <n v="83.600922954277621"/>
    <s v="Missing Data"/>
  </r>
  <r>
    <d v="2015-10-28T00:00:00"/>
    <x v="4"/>
    <n v="99"/>
    <n v="-0.18151109159546128"/>
    <n v="24893.835914346433"/>
    <n v="3.3756544369082264"/>
    <n v="27.537396614945735"/>
    <n v="5.3422328851939991"/>
    <n v="87920.387480615405"/>
    <m/>
    <n v="33.068355979452519"/>
    <s v="Missing Data"/>
  </r>
  <r>
    <d v="2015-11-27T00:00:00"/>
    <x v="0"/>
    <n v="90"/>
    <n v="-0.23780125601842803"/>
    <n v="33541.782236496765"/>
    <n v="4.3036727880099965"/>
    <n v="2.9676931717654331"/>
    <n v="6.4912566057298076"/>
    <n v="95409.026892793059"/>
    <n v="79"/>
    <n v="28.345046988150571"/>
    <s v="OK"/>
  </r>
  <r>
    <d v="2015-12-27T00:00:00"/>
    <x v="0"/>
    <n v="1030"/>
    <n v="5.6413936948247665"/>
    <n v="31219.003568855995"/>
    <n v="3.7454874758191257"/>
    <n v="3.5857863249393471"/>
    <n v="4.9758829153141395"/>
    <n v="67210.316749491321"/>
    <n v="81"/>
    <n v="31.64123862298873"/>
    <s v="OK"/>
  </r>
  <r>
    <d v="2016-01-26T00:00:00"/>
    <x v="0"/>
    <n v="103"/>
    <n v="-0.15649324074080936"/>
    <n v="27179.606846316357"/>
    <n v="3.8674388930249086"/>
    <n v="2.5979831534708953"/>
    <n v="35.721074791135848"/>
    <n v="92150.57787878254"/>
    <n v="690"/>
    <n v="90.170204951880137"/>
    <s v="OK"/>
  </r>
  <r>
    <d v="2016-02-25T00:00:00"/>
    <x v="2"/>
    <n v="94"/>
    <n v="-0.21278340516377614"/>
    <n v="23598.478006645528"/>
    <n v="3.8314406343337062"/>
    <n v="2.8080505395041024"/>
    <m/>
    <n v="119931.41021158894"/>
    <n v="90"/>
    <n v="62.255140940508497"/>
    <s v="Missing Data"/>
  </r>
  <r>
    <d v="2016-03-26T00:00:00"/>
    <x v="2"/>
    <n v="105"/>
    <n v="-0.14398431531348344"/>
    <n v="34362.286641400722"/>
    <n v="4.0867369287426625"/>
    <n v="2.1083514325782087"/>
    <n v="7.1577448944285837"/>
    <n v="906700.92415436043"/>
    <n v="87"/>
    <n v="57.380879680600209"/>
    <s v="OK"/>
  </r>
  <r>
    <d v="2016-04-25T00:00:00"/>
    <x v="3"/>
    <n v="86"/>
    <n v="-0.26281910687307991"/>
    <n v="33251.005889793305"/>
    <n v="3.5905107793518534"/>
    <n v="2.7691269412451072"/>
    <n v="3.9492847658732577"/>
    <n v="112809.59590401647"/>
    <n v="78"/>
    <n v="28.53694552818834"/>
    <s v="OK"/>
  </r>
  <r>
    <d v="2016-05-25T00:00:00"/>
    <x v="3"/>
    <n v="92"/>
    <n v="-0.22529233059110207"/>
    <n v="29504.120681103086"/>
    <n v="2.8515840260220768"/>
    <n v="2.1568077245025896"/>
    <n v="6.3276493662942332"/>
    <n v="96189.93788004377"/>
    <n v="71"/>
    <n v="71.964480540556934"/>
    <s v="OK"/>
  </r>
  <r>
    <d v="2016-06-24T00:00:00"/>
    <x v="0"/>
    <n v="94"/>
    <n v="-0.21278340516377614"/>
    <n v="39233.184980238329"/>
    <n v="3.6998439758763206"/>
    <n v="3.1215718898560509"/>
    <n v="4.8964302753383881"/>
    <n v="106481.14056443122"/>
    <n v="92"/>
    <n v="89.439967351607194"/>
    <s v="OK"/>
  </r>
  <r>
    <d v="2016-07-24T00:00:00"/>
    <x v="3"/>
    <n v="101"/>
    <n v="-0.16900216616813532"/>
    <n v="24649.576168369236"/>
    <n v="3.1743215531040856"/>
    <n v="2.130389663956366"/>
    <n v="5.8161846583972716"/>
    <n v="77046.172203686656"/>
    <n v="103"/>
    <n v="86.254869545876232"/>
    <s v="OK"/>
  </r>
  <r>
    <d v="2016-08-23T00:00:00"/>
    <x v="2"/>
    <n v="103"/>
    <n v="-0.15649324074080936"/>
    <n v="22372.374145376307"/>
    <n v="3.2356916591251217"/>
    <n v="2.8771003939021864"/>
    <n v="5.8530689548161927"/>
    <n v="1017041.8899267802"/>
    <n v="114"/>
    <n v="70.0843767184641"/>
    <s v="OK"/>
  </r>
  <r>
    <d v="2016-09-22T00:00:00"/>
    <x v="3"/>
    <n v="84"/>
    <n v="-0.27532803230040587"/>
    <n v="26540.459650593777"/>
    <n v="3.7931820093775466"/>
    <n v="2.4707371863150218"/>
    <n v="5.2187106396204133"/>
    <n v="40177.280581985535"/>
    <n v="75"/>
    <m/>
    <s v="Missing Data"/>
  </r>
  <r>
    <d v="2016-10-22T00:00:00"/>
    <x v="4"/>
    <n v="76"/>
    <n v="-0.32536373400970964"/>
    <n v="29772.069918222511"/>
    <n v="4.1191415357168175"/>
    <n v="3.6260502507721681"/>
    <n v="4.5594812012963244"/>
    <n v="96262.076836760301"/>
    <n v="80"/>
    <n v="28.991762174081039"/>
    <s v="OK"/>
  </r>
  <r>
    <d v="2016-11-21T00:00:00"/>
    <x v="2"/>
    <n v="970"/>
    <n v="5.2661259320049885"/>
    <n v="31216.697246613458"/>
    <n v="3.510635788368031"/>
    <n v="2.448606276411514"/>
    <n v="4.6713507372204885"/>
    <n v="67390.535125697206"/>
    <n v="94"/>
    <n v="23.944718968785974"/>
    <s v="OK"/>
  </r>
  <r>
    <d v="2016-12-21T00:00:00"/>
    <x v="4"/>
    <n v="111"/>
    <n v="-0.10645753903150559"/>
    <n v="28793.819710718351"/>
    <n v="3.6544165062994818"/>
    <n v="0.72696753179311857"/>
    <n v="4.4005697014225094"/>
    <n v="124119.89033093632"/>
    <n v="110"/>
    <n v="40.598337319397544"/>
    <s v="OK"/>
  </r>
  <r>
    <d v="2017-01-20T00:00:00"/>
    <x v="3"/>
    <n v="93"/>
    <n v="-0.21903786787743912"/>
    <m/>
    <n v="4.3511074723176186"/>
    <n v="3.7619215007139917"/>
    <n v="4.5018133501234665"/>
    <m/>
    <n v="84"/>
    <n v="30.85291737283022"/>
    <s v="Missing Data"/>
  </r>
  <r>
    <d v="2017-02-19T00:00:00"/>
    <x v="1"/>
    <n v="87"/>
    <n v="-0.25656464415941693"/>
    <n v="23742.30287904778"/>
    <n v="3.6203765897442843"/>
    <n v="1.5942676991373812"/>
    <n v="5.4193860519407737"/>
    <m/>
    <n v="80"/>
    <n v="40.803843220194707"/>
    <s v="Missing Data"/>
  </r>
  <r>
    <d v="2017-03-21T00:00:00"/>
    <x v="0"/>
    <n v="108"/>
    <n v="-0.1252209271724945"/>
    <n v="37218.823020366297"/>
    <n v="4.8008415570901972"/>
    <n v="1.8462336613511803"/>
    <n v="4.6410880130670975"/>
    <n v="130420.1245431876"/>
    <n v="77"/>
    <n v="50.804644457516936"/>
    <s v="OK"/>
  </r>
  <r>
    <d v="2017-04-20T00:00:00"/>
    <x v="2"/>
    <n v="106"/>
    <n v="-0.13772985259982046"/>
    <n v="29589.244108037157"/>
    <n v="3.7827548228157721"/>
    <n v="1.904338705956508"/>
    <n v="6.3184624788551442"/>
    <n v="81021.669583503259"/>
    <n v="82"/>
    <n v="95.438622725690848"/>
    <s v="OK"/>
  </r>
  <r>
    <d v="2017-05-20T00:00:00"/>
    <x v="4"/>
    <n v="108"/>
    <n v="-0.1252209271724945"/>
    <n v="35586.479157940637"/>
    <n v="2.619618620422091"/>
    <n v="3.8744380931708173"/>
    <n v="7.2846953864031132"/>
    <n v="134947.26395831117"/>
    <n v="111"/>
    <n v="68.830084782535366"/>
    <s v="OK"/>
  </r>
  <r>
    <d v="2017-06-19T00:00:00"/>
    <x v="1"/>
    <n v="96"/>
    <n v="-0.20027447973645018"/>
    <n v="31713.626731888522"/>
    <n v="3.876670810552266"/>
    <n v="0.3643257860213045"/>
    <n v="4.8039361103559486"/>
    <n v="118643.83128520769"/>
    <n v="87"/>
    <n v="86.797902854636988"/>
    <s v="OK"/>
  </r>
  <r>
    <d v="2017-07-19T00:00:00"/>
    <x v="1"/>
    <n v="113"/>
    <n v="-9.3948613604179651E-2"/>
    <n v="32283.766095768919"/>
    <n v="3.6905791924413887"/>
    <m/>
    <n v="5.7872854006424523"/>
    <n v="95268.894255621082"/>
    <n v="73"/>
    <n v="76.828120056986577"/>
    <s v="Missing Data"/>
  </r>
  <r>
    <d v="2017-08-18T00:00:00"/>
    <x v="2"/>
    <n v="95"/>
    <n v="-0.20652894245011316"/>
    <n v="32848.836401161017"/>
    <n v="4.1448763770413724"/>
    <m/>
    <n v="6.0996221323635202"/>
    <n v="122712.40294365888"/>
    <n v="95"/>
    <n v="29.00025044213054"/>
    <s v="Missing Data"/>
  </r>
  <r>
    <d v="2017-09-17T00:00:00"/>
    <x v="2"/>
    <n v="94"/>
    <n v="-0.21278340516377614"/>
    <n v="32238.542800086576"/>
    <n v="3.8365906756349792"/>
    <n v="2.7232389141291597"/>
    <n v="6.0664027251031296"/>
    <n v="77874.129751767323"/>
    <n v="87"/>
    <n v="78.873632509915907"/>
    <s v="OK"/>
  </r>
  <r>
    <d v="2017-10-17T00:00:00"/>
    <x v="1"/>
    <n v="107"/>
    <n v="-0.13147538988615748"/>
    <n v="33213.61379933772"/>
    <n v="3.430772008008113"/>
    <n v="2.4451059993837134"/>
    <n v="5.5911463214993047"/>
    <n v="83509.716769446532"/>
    <n v="88"/>
    <n v="42.007910524729951"/>
    <s v="OK"/>
  </r>
  <r>
    <d v="2017-11-16T00:00:00"/>
    <x v="0"/>
    <n v="114"/>
    <n v="-8.7694150890516673E-2"/>
    <n v="36645.76265066216"/>
    <n v="2.887850881855317"/>
    <n v="2.7855540748576568"/>
    <n v="6.3912189020316665"/>
    <n v="878282.05535206001"/>
    <n v="85"/>
    <m/>
    <s v="Missing Data"/>
  </r>
  <r>
    <d v="2017-12-16T00:00:00"/>
    <x v="0"/>
    <n v="86"/>
    <n v="-0.26281910687307991"/>
    <n v="30982.605848507352"/>
    <n v="3.3954883713569872"/>
    <n v="3.0211224283793383"/>
    <n v="6.0786987432167887"/>
    <n v="89420.445838719694"/>
    <n v="93"/>
    <n v="47.276957891439082"/>
    <s v="OK"/>
  </r>
  <r>
    <d v="2018-01-15T00:00:00"/>
    <x v="4"/>
    <n v="1080"/>
    <n v="5.9541168305079148"/>
    <n v="33545.018787942565"/>
    <n v="3.0747397728953501"/>
    <n v="3.1452155859500568"/>
    <n v="4.0148050932072428"/>
    <n v="78868.847144794941"/>
    <n v="85"/>
    <n v="99.813781061172733"/>
    <s v="OK"/>
  </r>
  <r>
    <d v="2018-02-14T00:00:00"/>
    <x v="0"/>
    <n v="108"/>
    <n v="-0.1252209271724945"/>
    <n v="29551.321528563865"/>
    <n v="3.2097382750976386"/>
    <n v="3.0556044660034485"/>
    <n v="6.5429872772671276"/>
    <n v="124461.6613419065"/>
    <n v="820"/>
    <n v="41.084118359742227"/>
    <s v="OK"/>
  </r>
  <r>
    <d v="2018-03-16T00:00:00"/>
    <x v="1"/>
    <n v="101"/>
    <n v="-0.16900216616813532"/>
    <n v="37200.586077247368"/>
    <n v="37.942892022103052"/>
    <n v="2.5895806812552489"/>
    <n v="6.56474900472009"/>
    <n v="94822.91199260336"/>
    <n v="80"/>
    <n v="42.330437661941573"/>
    <s v="OK"/>
  </r>
  <r>
    <d v="2018-04-15T00:00:00"/>
    <x v="1"/>
    <n v="94"/>
    <n v="-0.21278340516377614"/>
    <n v="26618.038489703653"/>
    <n v="4.3349522521757029"/>
    <n v="2.3026615796926739"/>
    <n v="4.5840566749857024"/>
    <n v="107050.09936713759"/>
    <n v="95"/>
    <n v="94.453780444991864"/>
    <s v="OK"/>
  </r>
  <r>
    <d v="2018-05-15T00:00:00"/>
    <x v="3"/>
    <n v="116"/>
    <n v="-7.518522546319073E-2"/>
    <n v="39004.702164554081"/>
    <n v="3.6973357649114904"/>
    <m/>
    <n v="5.5455254025371223"/>
    <m/>
    <n v="89"/>
    <n v="21.971552370905812"/>
    <s v="Missing Data"/>
  </r>
  <r>
    <d v="2018-06-14T00:00:00"/>
    <x v="1"/>
    <n v="97"/>
    <n v="-0.19402001702278721"/>
    <n v="29799.210246778282"/>
    <n v="2.9020584689824078"/>
    <n v="2.3050917196473191"/>
    <n v="63.199947913732828"/>
    <n v="63587.933989029654"/>
    <n v="73"/>
    <n v="75.735119029855753"/>
    <s v="OK"/>
  </r>
  <r>
    <d v="2018-07-14T00:00:00"/>
    <x v="0"/>
    <m/>
    <n v="-0.80070290024809565"/>
    <n v="22846.124489409758"/>
    <n v="3.7223013341100701"/>
    <n v="3.6337700968670648"/>
    <n v="5.2488234165047665"/>
    <n v="105401.14716782844"/>
    <n v="86"/>
    <n v="78.026111258870259"/>
    <s v="Missing Data"/>
  </r>
  <r>
    <d v="2018-08-13T00:00:00"/>
    <x v="4"/>
    <n v="94"/>
    <n v="-0.21278340516377614"/>
    <n v="30640.522074553948"/>
    <n v="4.0983157433228259"/>
    <n v="3.0935567222808618"/>
    <n v="6.7875736573192142"/>
    <n v="61754.900491604465"/>
    <n v="82"/>
    <n v="86.910286192831947"/>
    <s v="OK"/>
  </r>
  <r>
    <d v="2018-09-12T00:00:00"/>
    <x v="3"/>
    <n v="118"/>
    <n v="-6.2676300035864774E-2"/>
    <n v="26594.741712625597"/>
    <n v="3.195108547840309"/>
    <n v="-0.44038863466428024"/>
    <n v="8.3366469935432335"/>
    <n v="98627.319078290631"/>
    <n v="80"/>
    <n v="97.955144851078032"/>
    <s v="OK"/>
  </r>
  <r>
    <d v="2018-10-12T00:00:00"/>
    <x v="0"/>
    <n v="104"/>
    <n v="-0.15023877802714641"/>
    <n v="34203.21774494362"/>
    <n v="3.4329914166635414"/>
    <n v="3.1559007765297609"/>
    <n v="4.5568167608380215"/>
    <n v="72633.699223343792"/>
    <n v="85"/>
    <n v="98.048153532532197"/>
    <s v="OK"/>
  </r>
  <r>
    <d v="2018-11-11T00:00:00"/>
    <x v="4"/>
    <m/>
    <n v="-0.80070290024809565"/>
    <n v="26736.880103488045"/>
    <n v="3.5073440973645984"/>
    <n v="2.6947361947187747"/>
    <n v="3.8427464762154702"/>
    <n v="139745.51998461617"/>
    <n v="88"/>
    <n v="25.222140605317112"/>
    <s v="Missing Data"/>
  </r>
  <r>
    <d v="2018-12-11T00:00:00"/>
    <x v="0"/>
    <n v="115"/>
    <n v="-8.1439688176853695E-2"/>
    <n v="27769.082833926102"/>
    <n v="3.1075508434588799"/>
    <n v="2.4812912435541028"/>
    <n v="5.8645823147258511"/>
    <n v="118227.25444349443"/>
    <n v="100"/>
    <n v="85.747145820232205"/>
    <s v="OK"/>
  </r>
  <r>
    <d v="2019-01-10T00:00:00"/>
    <x v="3"/>
    <n v="94"/>
    <n v="-0.21278340516377614"/>
    <n v="20552.296345272345"/>
    <n v="3.8241402169219296"/>
    <n v="2.1114815469111141"/>
    <n v="6.3658750061513718"/>
    <n v="102115.07582542961"/>
    <n v="102"/>
    <n v="71.704794692590497"/>
    <s v="OK"/>
  </r>
  <r>
    <d v="2019-02-09T00:00:00"/>
    <x v="1"/>
    <n v="91"/>
    <n v="-0.23154679330476505"/>
    <n v="27738.468403754618"/>
    <n v="3.4395259256961093"/>
    <n v="3.6241127199860133"/>
    <n v="5.222960351386277"/>
    <n v="125274.13355309337"/>
    <n v="95"/>
    <n v="71.787370749847298"/>
    <s v="OK"/>
  </r>
  <r>
    <d v="2019-03-11T00:00:00"/>
    <x v="3"/>
    <n v="110"/>
    <n v="-0.11271200174516857"/>
    <n v="17880.603366855219"/>
    <n v="3.7097662219535139"/>
    <n v="3.4475264621228581"/>
    <n v="7.2439127959852412"/>
    <n v="83073.680450685279"/>
    <n v="88"/>
    <n v="30.267994129175584"/>
    <s v="OK"/>
  </r>
  <r>
    <d v="2019-04-10T00:00:00"/>
    <x v="1"/>
    <n v="98"/>
    <n v="-0.18776555430912426"/>
    <n v="22080.485882571382"/>
    <n v="3.0562539110989499"/>
    <n v="1.7271223321763909"/>
    <n v="3.8936730403321018"/>
    <n v="110869.58757340186"/>
    <n v="87"/>
    <m/>
    <s v="Missing Data"/>
  </r>
  <r>
    <d v="2019-05-10T00:00:00"/>
    <x v="3"/>
    <n v="86"/>
    <n v="-0.26281910687307991"/>
    <n v="33802.073280721488"/>
    <n v="3.281270849838295"/>
    <n v="2.907052287124535"/>
    <n v="6.3315023476379331"/>
    <n v="103996.20867437427"/>
    <n v="95"/>
    <n v="98.598606448099829"/>
    <s v="OK"/>
  </r>
  <r>
    <d v="2019-06-09T00:00:00"/>
    <x v="2"/>
    <n v="121"/>
    <n v="-4.391291189487586E-2"/>
    <m/>
    <n v="3.8611906789138857"/>
    <n v="1.5283432654587141"/>
    <n v="4.7729670150893284"/>
    <n v="105280.4016266734"/>
    <n v="78"/>
    <n v="929.45485563155762"/>
    <s v="Missing Data"/>
  </r>
  <r>
    <d v="2019-07-09T00:00:00"/>
    <x v="0"/>
    <n v="100"/>
    <n v="-0.1752566288817983"/>
    <n v="32127.287808924822"/>
    <n v="3.3135834239541166"/>
    <n v="1.1203818352110695"/>
    <n v="7.5632534874487565"/>
    <n v="125447.07000213536"/>
    <n v="810"/>
    <n v="55.13045286438804"/>
    <s v="OK"/>
  </r>
  <r>
    <d v="2019-08-08T00:00:00"/>
    <x v="0"/>
    <n v="96"/>
    <n v="-0.20027447973645018"/>
    <n v="25165.119284353936"/>
    <n v="4.3634819256167026"/>
    <n v="1.873282775410035"/>
    <n v="7.891018423801742"/>
    <n v="114649.84205559605"/>
    <n v="95"/>
    <n v="23.195837862887547"/>
    <s v="OK"/>
  </r>
  <r>
    <d v="2019-09-07T00:00:00"/>
    <x v="2"/>
    <n v="127"/>
    <n v="-6.3861356128980225E-3"/>
    <n v="29761.4432192901"/>
    <n v="3.300181907192699"/>
    <n v="3.3623934723827587"/>
    <n v="4.5800120946599829"/>
    <n v="105774.47325650047"/>
    <n v="88"/>
    <n v="48.98347920001639"/>
    <s v="OK"/>
  </r>
  <r>
    <d v="2019-10-07T00:00:00"/>
    <x v="1"/>
    <n v="100"/>
    <n v="-0.1752566288817983"/>
    <n v="29981.987304547158"/>
    <n v="3.612342362875943"/>
    <n v="3.4531250453760869"/>
    <n v="4.8405314369097034"/>
    <n v="66902.251275434071"/>
    <m/>
    <n v="86.111224928044422"/>
    <s v="Missing Data"/>
  </r>
  <r>
    <d v="2019-11-06T00:00:00"/>
    <x v="0"/>
    <n v="93"/>
    <n v="-0.21903786787743912"/>
    <n v="24208.176554037287"/>
    <n v="3.9662954159365449"/>
    <n v="3.0130854200972932"/>
    <n v="6.531505464375762"/>
    <n v="80799.074094410724"/>
    <n v="79"/>
    <n v="76.119928117213277"/>
    <s v="OK"/>
  </r>
  <r>
    <d v="2019-12-06T00:00:00"/>
    <x v="2"/>
    <n v="103"/>
    <n v="-0.15649324074080936"/>
    <n v="37516.991508835752"/>
    <n v="2.7908171335334844"/>
    <n v="3.225095786847997"/>
    <n v="5.0354432202525823"/>
    <n v="97545.821328085513"/>
    <n v="91"/>
    <n v="56.747492447516514"/>
    <s v="OK"/>
  </r>
  <r>
    <d v="2020-01-05T00:00:00"/>
    <x v="0"/>
    <n v="78"/>
    <n v="-0.31285480858238368"/>
    <n v="34386.811452878355"/>
    <n v="2.6195955940096121"/>
    <n v="3.0161782871149585"/>
    <n v="5.4455065384813137"/>
    <n v="101867.44748553302"/>
    <n v="81"/>
    <m/>
    <s v="Missing Data"/>
  </r>
  <r>
    <d v="2020-02-04T00:00:00"/>
    <x v="4"/>
    <n v="116"/>
    <n v="-7.518522546319073E-2"/>
    <n v="288951.79130851681"/>
    <n v="2.7371718427149525"/>
    <n v="1.8585184047770478"/>
    <n v="5.5304661046508921"/>
    <n v="77395.925506521526"/>
    <n v="98"/>
    <n v="54.151578225864213"/>
    <s v="OK"/>
  </r>
  <r>
    <d v="2020-03-05T00:00:00"/>
    <x v="1"/>
    <n v="88"/>
    <n v="-0.25031018144575395"/>
    <n v="30134.429194972654"/>
    <n v="4.1312920517135909"/>
    <n v="2.9319225446739408"/>
    <n v="3.1963922125628126"/>
    <n v="148233.53351156841"/>
    <n v="83"/>
    <n v="57.521995177430682"/>
    <s v="OK"/>
  </r>
  <r>
    <d v="2020-04-04T00:00:00"/>
    <x v="4"/>
    <n v="105"/>
    <n v="-0.14398431531348344"/>
    <n v="31041.914039737763"/>
    <n v="3.2240709270537766"/>
    <n v="3.3004095252276824"/>
    <n v="5.4833947046869156"/>
    <n v="130327.88110507146"/>
    <m/>
    <n v="94.284442631530879"/>
    <s v="Missing Data"/>
  </r>
  <r>
    <d v="2020-05-04T00:00:00"/>
    <x v="1"/>
    <n v="92"/>
    <n v="-0.22529233059110207"/>
    <n v="19791.325657878548"/>
    <n v="4.7790996428341259"/>
    <n v="3.2542913298135741"/>
    <n v="46.723266711229918"/>
    <n v="112042.36640784967"/>
    <n v="97"/>
    <n v="71.286888286572747"/>
    <s v="OK"/>
  </r>
  <r>
    <d v="2020-06-03T00:00:00"/>
    <x v="2"/>
    <n v="96"/>
    <n v="-0.20027447973645018"/>
    <n v="28764.113087397014"/>
    <n v="3.2178762006713058"/>
    <n v="3.6889133714746429"/>
    <n v="4.9082526131202737"/>
    <n v="101440.73722567489"/>
    <n v="90"/>
    <n v="44.932233332371908"/>
    <s v="OK"/>
  </r>
  <r>
    <d v="2020-07-03T00:00:00"/>
    <x v="1"/>
    <n v="104"/>
    <n v="-0.15023877802714641"/>
    <n v="26590.078760011005"/>
    <n v="3.5922756515985186"/>
    <n v="3.2083038472010639"/>
    <n v="7.2323584041625768"/>
    <n v="95755.820601976971"/>
    <n v="83"/>
    <n v="62.025461156057709"/>
    <s v="OK"/>
  </r>
  <r>
    <d v="2020-08-02T00:00:00"/>
    <x v="1"/>
    <n v="84"/>
    <n v="-0.27532803230040587"/>
    <n v="249918.99950525421"/>
    <n v="4.2710549762839376"/>
    <n v="2.851448207541583"/>
    <n v="3.9921917268648928"/>
    <n v="80961.630799555292"/>
    <n v="93"/>
    <n v="25.284424625772807"/>
    <s v="OK"/>
  </r>
  <r>
    <d v="2020-09-01T00:00:00"/>
    <x v="2"/>
    <n v="95"/>
    <n v="-0.20652894245011316"/>
    <n v="28594.498535570227"/>
    <n v="4.5030464440795619"/>
    <n v="3.5701502383164274"/>
    <n v="64.758462240975732"/>
    <n v="101549.61037037725"/>
    <n v="84"/>
    <n v="97.805458851978941"/>
    <s v="OK"/>
  </r>
  <r>
    <d v="2020-10-01T00:00:00"/>
    <x v="1"/>
    <n v="105"/>
    <n v="-0.14398431531348344"/>
    <n v="38988.432634247612"/>
    <n v="4.5307517883181987"/>
    <m/>
    <n v="5.1652444836018301"/>
    <n v="105155.05080285501"/>
    <n v="90"/>
    <n v="48.804792154458084"/>
    <s v="Missing Data"/>
  </r>
  <r>
    <d v="2020-10-31T00:00:00"/>
    <x v="0"/>
    <n v="100"/>
    <n v="-0.1752566288817983"/>
    <n v="33204.214306335052"/>
    <n v="4.1041831152965713"/>
    <n v="1.6181253487722822"/>
    <n v="5.1642877978049988"/>
    <n v="75164.788490367515"/>
    <n v="97"/>
    <n v="58.229388393050868"/>
    <s v="OK"/>
  </r>
  <r>
    <d v="2020-11-30T00:00:00"/>
    <x v="3"/>
    <n v="104"/>
    <n v="-0.15023877802714641"/>
    <n v="27144.105051086015"/>
    <n v="4.0120312629057313"/>
    <n v="2.3369330360562359"/>
    <n v="6.4484462752620537"/>
    <n v="106683.52834489795"/>
    <n v="92"/>
    <n v="48.422717938953809"/>
    <s v="OK"/>
  </r>
  <r>
    <d v="2020-12-30T00:00:00"/>
    <x v="2"/>
    <n v="106"/>
    <n v="-0.13772985259982046"/>
    <n v="32862.913906780792"/>
    <n v="3.7962634746005914"/>
    <n v="1.7550973551935509"/>
    <n v="5.9080615534826686"/>
    <n v="96894.819023505028"/>
    <n v="80"/>
    <n v="74.60093840929602"/>
    <s v="OK"/>
  </r>
  <r>
    <d v="2021-01-29T00:00:00"/>
    <x v="3"/>
    <n v="120"/>
    <n v="-5.0167374608538831E-2"/>
    <n v="36996.777182930011"/>
    <n v="3.8891805380833189"/>
    <n v="1.8248217250256185"/>
    <n v="6.1847355966634368"/>
    <n v="61843.848842452178"/>
    <n v="75"/>
    <n v="72.978572666367441"/>
    <s v="OK"/>
  </r>
  <r>
    <d v="2021-02-28T00:00:00"/>
    <x v="2"/>
    <m/>
    <n v="-0.80070290024809565"/>
    <m/>
    <n v="3.2244071418357332"/>
    <n v="2.3554813292844821"/>
    <n v="6.6618215926394333"/>
    <n v="82792.299784409959"/>
    <n v="91"/>
    <n v="77.225784842330853"/>
    <s v="Missing Data"/>
  </r>
  <r>
    <d v="2021-03-30T00:00:00"/>
    <x v="2"/>
    <n v="118"/>
    <n v="-6.2676300035864774E-2"/>
    <n v="30298.151849600872"/>
    <n v="3.0909005582888462"/>
    <n v="1.7075800790000386"/>
    <n v="5.1024299401800128"/>
    <n v="91727.889331567116"/>
    <n v="91"/>
    <n v="41.451458368953666"/>
    <s v="OK"/>
  </r>
  <r>
    <d v="2021-04-29T00:00:00"/>
    <x v="4"/>
    <n v="92"/>
    <n v="-0.22529233059110207"/>
    <n v="26765.31611147213"/>
    <n v="3.4983127712945241"/>
    <m/>
    <n v="4.7653159185906997"/>
    <n v="137753.75314680382"/>
    <n v="81"/>
    <n v="45.253478493125279"/>
    <s v="Missing Data"/>
  </r>
  <r>
    <d v="2021-05-29T00:00:00"/>
    <x v="4"/>
    <n v="110"/>
    <n v="-0.11271200174516857"/>
    <n v="33491.116568067948"/>
    <n v="3.4149076887375358"/>
    <m/>
    <n v="4.1978193681306424"/>
    <n v="111131.06249067516"/>
    <m/>
    <n v="30.020098487696636"/>
    <s v="Missing Data"/>
  </r>
  <r>
    <d v="2021-06-28T00:00:00"/>
    <x v="1"/>
    <n v="101"/>
    <n v="-0.16900216616813532"/>
    <n v="31967.426927108747"/>
    <n v="3.2733859753363626"/>
    <n v="2.7132937073729386"/>
    <n v="4.5095073640252537"/>
    <n v="73290.368618002176"/>
    <n v="104"/>
    <n v="72.440797747689004"/>
    <s v="OK"/>
  </r>
  <r>
    <d v="2021-07-28T00:00:00"/>
    <x v="3"/>
    <n v="84"/>
    <n v="-0.27532803230040587"/>
    <n v="34475.966100138663"/>
    <n v="3.8481937237283574"/>
    <n v="2.5012054753622244"/>
    <n v="9.0389133103704697"/>
    <n v="109720.72578835273"/>
    <n v="99"/>
    <n v="23.183770186852204"/>
    <s v="OK"/>
  </r>
  <r>
    <d v="2021-08-27T00:00:00"/>
    <x v="2"/>
    <n v="115"/>
    <n v="-8.1439688176853695E-2"/>
    <n v="33175.859008409847"/>
    <m/>
    <n v="1.6829113689318094"/>
    <n v="6.9936154968841437"/>
    <n v="69053.920221232693"/>
    <n v="92"/>
    <n v="67.814586841876718"/>
    <s v="Missing Data"/>
  </r>
  <r>
    <d v="2021-09-26T00:00:00"/>
    <x v="1"/>
    <n v="95"/>
    <n v="-0.20652894245011316"/>
    <n v="35247.763576596677"/>
    <n v="3.5442034431459235"/>
    <n v="3.1592456684324048"/>
    <n v="3.8787107605503746"/>
    <n v="121653.82107774146"/>
    <n v="83"/>
    <n v="89.575670788130708"/>
    <s v="OK"/>
  </r>
  <r>
    <d v="2021-10-26T00:00:00"/>
    <x v="0"/>
    <n v="114"/>
    <n v="-8.7694150890516673E-2"/>
    <n v="27323.823942197159"/>
    <n v="4.2387650405276309"/>
    <n v="3.4375701376265582"/>
    <n v="3.9130504519077158"/>
    <n v="90577.50696364243"/>
    <m/>
    <n v="91.266571863170682"/>
    <s v="Missing Data"/>
  </r>
  <r>
    <d v="2021-11-25T00:00:00"/>
    <x v="2"/>
    <n v="104"/>
    <n v="-0.15023877802714641"/>
    <n v="36586.970328171628"/>
    <n v="2.9291554429332476"/>
    <n v="0.89244013563102587"/>
    <m/>
    <n v="98127.276225216585"/>
    <n v="91"/>
    <n v="55.923020829596936"/>
    <s v="Missing Data"/>
  </r>
  <r>
    <d v="2021-12-25T00:00:00"/>
    <x v="0"/>
    <n v="89"/>
    <n v="-0.244055718732091"/>
    <n v="30987.998023461998"/>
    <n v="3.4031702703601407"/>
    <n v="1.7372752214337859"/>
    <n v="6.1567177568535607"/>
    <n v="126515.93295084379"/>
    <m/>
    <n v="56.744295057045903"/>
    <s v="Missing Data"/>
  </r>
  <r>
    <d v="2022-01-24T00:00:00"/>
    <x v="1"/>
    <m/>
    <n v="-0.80070290024809565"/>
    <n v="40376.304363126328"/>
    <n v="3.1415888396985974"/>
    <n v="1.7308576502127018"/>
    <n v="6.158660602380837"/>
    <n v="74256.728628315002"/>
    <n v="74"/>
    <n v="26.157534640641387"/>
    <s v="Missing Data"/>
  </r>
  <r>
    <d v="2022-02-23T00:00:00"/>
    <x v="4"/>
    <n v="85"/>
    <n v="-0.26907356958674289"/>
    <n v="26554.060909552161"/>
    <n v="2.5667316914634699"/>
    <n v="1.5600968988911355"/>
    <n v="5.1940530477355624"/>
    <n v="72057.636297740173"/>
    <n v="80"/>
    <n v="73.661202035442855"/>
    <s v="OK"/>
  </r>
  <r>
    <d v="2022-03-25T00:00:00"/>
    <x v="1"/>
    <n v="101"/>
    <n v="-0.16900216616813532"/>
    <n v="38679.819015826244"/>
    <n v="3.4586596570786505"/>
    <n v="3.3294748419317486"/>
    <n v="5.3494548879965196"/>
    <n v="88328.013473079904"/>
    <n v="81"/>
    <n v="85.700753629827645"/>
    <s v="OK"/>
  </r>
  <r>
    <d v="2022-04-24T00:00:00"/>
    <x v="0"/>
    <n v="104"/>
    <n v="-0.15023877802714641"/>
    <n v="30989.553917313238"/>
    <n v="3.439126245808358"/>
    <n v="2.3061738612271965"/>
    <n v="5.8934554289912287"/>
    <n v="120767.57702038634"/>
    <n v="87"/>
    <n v="39.572404368377043"/>
    <s v="OK"/>
  </r>
  <r>
    <d v="2022-05-24T00:00:00"/>
    <x v="2"/>
    <n v="106"/>
    <n v="-0.13772985259982046"/>
    <m/>
    <n v="4.2567248716210653"/>
    <n v="2.2354851586893894"/>
    <n v="5.6030716075519962"/>
    <n v="69613.078490463144"/>
    <n v="95"/>
    <n v="53.704070530669171"/>
    <s v="Missing Data"/>
  </r>
  <r>
    <d v="2022-06-23T00:00:00"/>
    <x v="3"/>
    <n v="95"/>
    <n v="-0.20652894245011316"/>
    <n v="27580.570829728393"/>
    <n v="3.8154058422773889"/>
    <n v="0.49613763559324653"/>
    <n v="2.836839552702958"/>
    <n v="43356.888037788623"/>
    <n v="108"/>
    <n v="87.107146941221629"/>
    <s v="OK"/>
  </r>
  <r>
    <d v="2022-07-23T00:00:00"/>
    <x v="1"/>
    <n v="104"/>
    <n v="-0.15023877802714641"/>
    <n v="28398.2634590284"/>
    <n v="2.9879065878353974"/>
    <n v="3.1354180302092263"/>
    <n v="5.2242404433097676"/>
    <n v="90976.822831820027"/>
    <n v="79"/>
    <n v="90.169637412983036"/>
    <s v="OK"/>
  </r>
  <r>
    <d v="2022-08-22T00:00:00"/>
    <x v="2"/>
    <n v="105"/>
    <n v="-0.14398431531348344"/>
    <n v="32120.829732009581"/>
    <n v="4.427046283167094"/>
    <n v="1.2607416051465274"/>
    <n v="4.478312278887624"/>
    <m/>
    <n v="89"/>
    <n v="39.454398421138073"/>
    <s v="Missing Data"/>
  </r>
  <r>
    <d v="2022-09-21T00:00:00"/>
    <x v="4"/>
    <n v="84"/>
    <n v="-0.27532803230040587"/>
    <n v="32614.177440177496"/>
    <n v="4.1105168477626766"/>
    <n v="2.5599326302663283"/>
    <n v="5.7102537026902143"/>
    <n v="124005.23499477659"/>
    <n v="95"/>
    <n v="64.045650763309141"/>
    <s v="OK"/>
  </r>
  <r>
    <d v="2022-10-21T00:00:00"/>
    <x v="4"/>
    <n v="93"/>
    <n v="-0.21903786787743912"/>
    <n v="27131.499980307104"/>
    <n v="3.7910488517343079"/>
    <n v="2.7773769379581918"/>
    <n v="9.0823108031240913"/>
    <n v="90736.77275829202"/>
    <n v="96"/>
    <n v="35.399452050866167"/>
    <s v="OK"/>
  </r>
  <r>
    <d v="2022-11-20T00:00:00"/>
    <x v="4"/>
    <n v="115"/>
    <n v="-8.1439688176853695E-2"/>
    <n v="29878.227038695084"/>
    <n v="3.3867579505750842"/>
    <n v="3.8606585958386512"/>
    <n v="5.9409779985691653"/>
    <n v="91771.467857679949"/>
    <n v="103"/>
    <n v="28.150301131164525"/>
    <s v="OK"/>
  </r>
  <r>
    <d v="2022-12-20T00:00:00"/>
    <x v="2"/>
    <n v="109"/>
    <n v="-0.11896646445883154"/>
    <n v="40711.351793059323"/>
    <n v="3.0202803816382602"/>
    <n v="1.1911796008808879"/>
    <n v="5.1237643765931224"/>
    <n v="123078.01468511495"/>
    <n v="82"/>
    <n v="92.889640111356599"/>
    <s v="OK"/>
  </r>
  <r>
    <d v="2023-01-19T00:00:00"/>
    <x v="1"/>
    <n v="102"/>
    <n v="-0.16274770345447234"/>
    <n v="38637.715850503555"/>
    <n v="3.3138966119644735"/>
    <n v="-0.51951215582082533"/>
    <n v="6.6061618023727027"/>
    <n v="62605.166006091589"/>
    <n v="83"/>
    <n v="85.640600338568731"/>
    <s v="OK"/>
  </r>
  <r>
    <d v="2023-02-18T00:00:00"/>
    <x v="2"/>
    <n v="900"/>
    <n v="4.8283135420485799"/>
    <n v="32181.618348370161"/>
    <n v="4.0443743098520928"/>
    <n v="2.683849544753695"/>
    <n v="6.0792254646510555"/>
    <n v="92229.584496339812"/>
    <n v="78"/>
    <n v="80.802792144253914"/>
    <s v="OK"/>
  </r>
  <r>
    <d v="2023-03-20T00:00:00"/>
    <x v="2"/>
    <n v="93"/>
    <n v="-0.21903786787743912"/>
    <n v="30190.017390841"/>
    <n v="4.4422931529673049"/>
    <n v="4.3005111815108537"/>
    <n v="6.0041133885422093"/>
    <n v="103808.47779850116"/>
    <n v="90"/>
    <n v="23.901305505051234"/>
    <s v="OK"/>
  </r>
  <r>
    <d v="2023-04-19T00:00:00"/>
    <x v="3"/>
    <m/>
    <n v="-0.80070290024809565"/>
    <n v="30600.156633591305"/>
    <n v="4.2716217641360945"/>
    <n v="3.7389463529394371"/>
    <n v="6.2282207118588051"/>
    <n v="108984.37442570069"/>
    <n v="820"/>
    <n v="87.49830341682059"/>
    <s v="Missing Data"/>
  </r>
  <r>
    <d v="2023-05-19T00:00:00"/>
    <x v="3"/>
    <n v="117"/>
    <n v="-6.8930762749527752E-2"/>
    <n v="33067.589863652087"/>
    <n v="3.2555752891068628"/>
    <n v="2.7096594152746256"/>
    <n v="7.9678522777954495"/>
    <n v="898038.66136182344"/>
    <n v="98"/>
    <n v="55.043526072430701"/>
    <s v="OK"/>
  </r>
  <r>
    <d v="2023-06-18T00:00:00"/>
    <x v="1"/>
    <n v="98"/>
    <n v="-0.18776555430912426"/>
    <n v="24886.037174007972"/>
    <n v="2.9401912833554942"/>
    <n v="2.0083638143679527"/>
    <n v="4.1429338776089013"/>
    <n v="100688.82023411682"/>
    <n v="87"/>
    <n v="47.391609863668769"/>
    <s v="OK"/>
  </r>
  <r>
    <d v="2023-07-18T00:00:00"/>
    <x v="3"/>
    <n v="94"/>
    <n v="-0.21278340516377614"/>
    <n v="28713.117312883274"/>
    <n v="3.5704431234556018"/>
    <n v="3.3071225966373103"/>
    <n v="6.0683584921737452"/>
    <n v="50233.452931740212"/>
    <n v="108"/>
    <n v="63.718108882030116"/>
    <s v="OK"/>
  </r>
  <r>
    <d v="2023-08-17T00:00:00"/>
    <x v="4"/>
    <n v="112"/>
    <n v="-0.10020307631784262"/>
    <n v="21657.079630612054"/>
    <n v="2.6157803172185741"/>
    <m/>
    <n v="4.3883426440221545"/>
    <n v="86835.031753323041"/>
    <n v="98"/>
    <n v="27.308259417884464"/>
    <s v="Missing Data"/>
  </r>
  <r>
    <d v="2023-09-16T00:00:00"/>
    <x v="3"/>
    <n v="89"/>
    <n v="-0.244055718732091"/>
    <n v="31996.115613026395"/>
    <n v="3.6615838570923906"/>
    <n v="2.9763577693562193"/>
    <n v="6.1666151756106977"/>
    <n v="109070.17425108935"/>
    <n v="87"/>
    <n v="80.53172394819191"/>
    <s v="OK"/>
  </r>
  <r>
    <d v="2023-10-16T00:00:00"/>
    <x v="4"/>
    <n v="119"/>
    <n v="-5.6421837322201809E-2"/>
    <n v="33235.979698513707"/>
    <n v="3.4261987068506659"/>
    <n v="3.0054701591666269"/>
    <n v="4.3975761862166873"/>
    <n v="80354.119314906406"/>
    <n v="95"/>
    <n v="66.594806151063665"/>
    <s v="OK"/>
  </r>
  <r>
    <d v="2023-11-15T00:00:00"/>
    <x v="1"/>
    <n v="102"/>
    <n v="-0.16274770345447234"/>
    <n v="27584.067688503128"/>
    <n v="3.266981749065879"/>
    <n v="3.56020990749888"/>
    <n v="4.9991598236738986"/>
    <m/>
    <n v="92"/>
    <n v="34.927207749853402"/>
    <s v="Missing Data"/>
  </r>
  <r>
    <d v="2023-12-15T00:00:00"/>
    <x v="2"/>
    <n v="87"/>
    <n v="-0.25656464415941693"/>
    <n v="37869.933816450168"/>
    <n v="2.7026484663666022"/>
    <m/>
    <n v="5.1458921029145124"/>
    <n v="108937.45001605396"/>
    <n v="90"/>
    <n v="35.058575981523646"/>
    <s v="Missing Data"/>
  </r>
  <r>
    <d v="2024-01-14T00:00:00"/>
    <x v="2"/>
    <n v="113"/>
    <n v="-9.3948613604179651E-2"/>
    <n v="23871.171684988294"/>
    <n v="3.7568000532848584"/>
    <n v="2.892415967178767"/>
    <n v="6.6709800632136513"/>
    <n v="93149.015982844707"/>
    <n v="88"/>
    <n v="34.739892125813938"/>
    <s v="OK"/>
  </r>
  <r>
    <d v="2024-02-13T00:00:00"/>
    <x v="3"/>
    <n v="106"/>
    <n v="-0.13772985259982046"/>
    <n v="22678.125598950901"/>
    <n v="3.2336495801690441"/>
    <n v="1.9910363742925012"/>
    <n v="6.6021453327308963"/>
    <n v="103409.27541993142"/>
    <m/>
    <n v="24.560191004154717"/>
    <s v="Missing Data"/>
  </r>
  <r>
    <d v="2024-03-14T00:00:00"/>
    <x v="4"/>
    <n v="96"/>
    <n v="-0.20027447973645018"/>
    <m/>
    <n v="2.9150415821448559"/>
    <n v="2.4744256878080058"/>
    <m/>
    <n v="80745.348694307759"/>
    <n v="87"/>
    <n v="67.023875949734787"/>
    <s v="Missing Data"/>
  </r>
  <r>
    <d v="2024-04-13T00:00:00"/>
    <x v="0"/>
    <n v="110"/>
    <n v="-0.11271200174516857"/>
    <n v="35235.49151306077"/>
    <n v="2.0638688933591753"/>
    <n v="0.73092409511088174"/>
    <n v="5.5659209331998181"/>
    <n v="95867.774406079072"/>
    <n v="81"/>
    <n v="87.227854207080654"/>
    <s v="OK"/>
  </r>
  <r>
    <d v="2024-05-13T00:00:00"/>
    <x v="0"/>
    <n v="100"/>
    <n v="-0.1752566288817983"/>
    <n v="38419.638457289344"/>
    <n v="3.4862425474746819"/>
    <n v="1.8052868689109418"/>
    <n v="4.6485041743009932"/>
    <n v="1122043.2339178445"/>
    <n v="105"/>
    <n v="21.399857118991086"/>
    <s v="OK"/>
  </r>
  <r>
    <d v="2024-06-12T00:00:00"/>
    <x v="0"/>
    <m/>
    <n v="-0.80070290024809565"/>
    <n v="27705.578685655299"/>
    <n v="4.3861257983348718"/>
    <n v="2.0907175618868958"/>
    <n v="3.9897941071895984"/>
    <n v="103139.45921936868"/>
    <n v="101"/>
    <n v="23.920371597701884"/>
    <s v="Missing Data"/>
  </r>
  <r>
    <d v="2024-07-12T00:00:00"/>
    <x v="2"/>
    <n v="106"/>
    <n v="-0.13772985259982046"/>
    <n v="35393.404167156477"/>
    <n v="4.3306296072739352"/>
    <n v="1.9759116020654075"/>
    <n v="5.2395795394907552"/>
    <n v="88269.374608721293"/>
    <n v="113"/>
    <n v="65.82162213495566"/>
    <s v="OK"/>
  </r>
  <r>
    <d v="2024-08-11T00:00:00"/>
    <x v="2"/>
    <n v="114"/>
    <n v="-8.7694150890516673E-2"/>
    <n v="29807.457652496465"/>
    <n v="3.2714518717068639"/>
    <n v="2.652354872033722"/>
    <n v="5.1298206538530167"/>
    <n v="104484.32808581585"/>
    <n v="85"/>
    <n v="85.559654830884185"/>
    <s v="OK"/>
  </r>
  <r>
    <d v="2024-09-10T00:00:00"/>
    <x v="4"/>
    <n v="96"/>
    <n v="-0.20027447973645018"/>
    <n v="29136.863500295902"/>
    <n v="3.1988939698191099"/>
    <m/>
    <n v="8.4120597836146267"/>
    <n v="114292.19581273236"/>
    <n v="90"/>
    <n v="46.139111245490689"/>
    <s v="Missing Data"/>
  </r>
  <r>
    <d v="2024-10-10T00:00:00"/>
    <x v="3"/>
    <n v="102"/>
    <n v="-0.16274770345447234"/>
    <n v="34418.299687433362"/>
    <n v="3.734387128037512"/>
    <n v="3.6210306673244714"/>
    <n v="6.0195517904328355"/>
    <n v="59001.174428450438"/>
    <n v="83"/>
    <n v="47.969151904617775"/>
    <s v="OK"/>
  </r>
  <r>
    <d v="2024-11-09T00:00:00"/>
    <x v="0"/>
    <m/>
    <n v="-0.80070290024809565"/>
    <n v="33261.614392067095"/>
    <n v="30.008072804058543"/>
    <n v="2.5002070649181971"/>
    <n v="3.8468589990949154"/>
    <n v="123181.48129911795"/>
    <n v="99"/>
    <n v="67.70771979974208"/>
    <s v="Missing Data"/>
  </r>
  <r>
    <d v="2024-12-09T00:00:00"/>
    <x v="4"/>
    <n v="93"/>
    <n v="-0.21903786787743912"/>
    <n v="22118.039215078752"/>
    <n v="3.6508959499097329"/>
    <n v="2.4906996788613855"/>
    <n v="4.8222711949948689"/>
    <n v="93274.905226378556"/>
    <n v="84"/>
    <n v="41.937031129931761"/>
    <s v="OK"/>
  </r>
  <r>
    <d v="2025-01-08T00:00:00"/>
    <x v="4"/>
    <n v="69"/>
    <n v="-0.36914497300535049"/>
    <n v="37382.701748629479"/>
    <n v="38.830401391923452"/>
    <n v="2.172105283487082"/>
    <n v="6.7256599545152778"/>
    <n v="108509.79866480461"/>
    <m/>
    <n v="22.128669286214731"/>
    <s v="Missing Data"/>
  </r>
  <r>
    <d v="2025-02-07T00:00:00"/>
    <x v="3"/>
    <n v="111"/>
    <n v="-0.10645753903150559"/>
    <n v="36900.456770737255"/>
    <n v="4.1134666119421537"/>
    <n v="2.6551906838589789"/>
    <n v="8.0061313274439101"/>
    <n v="123944.93847290456"/>
    <n v="78"/>
    <n v="78.818281448127692"/>
    <s v="OK"/>
  </r>
  <r>
    <d v="2025-03-09T00:00:00"/>
    <x v="4"/>
    <n v="87"/>
    <n v="-0.25656464415941693"/>
    <m/>
    <n v="3.4499229617600236"/>
    <n v="3.3250982646676346"/>
    <n v="3.5968200253144502"/>
    <n v="72566.526055390685"/>
    <n v="110"/>
    <m/>
    <s v="Missing Data"/>
  </r>
  <r>
    <d v="2025-04-08T00:00:00"/>
    <x v="3"/>
    <n v="1080"/>
    <n v="5.9541168305079148"/>
    <n v="31979.017667187047"/>
    <n v="3.398163124911517"/>
    <n v="1.6328697842890998"/>
    <n v="3.2440907378331461"/>
    <n v="85811.17995144907"/>
    <n v="85"/>
    <n v="66.460479924452727"/>
    <s v="OK"/>
  </r>
  <r>
    <d v="2025-05-08T00:00:00"/>
    <x v="1"/>
    <n v="104"/>
    <n v="-0.15023877802714641"/>
    <n v="32470.150931413693"/>
    <m/>
    <n v="1.8418835109247433"/>
    <n v="7.7451582104461387"/>
    <n v="942290.26082485903"/>
    <n v="94"/>
    <n v="79.334730319345852"/>
    <s v="Missing Data"/>
  </r>
  <r>
    <d v="2025-06-07T00:00:00"/>
    <x v="3"/>
    <n v="78"/>
    <n v="-0.31285480858238368"/>
    <n v="313033.68829119537"/>
    <n v="3.0865598229800701"/>
    <n v="2.1962739712233352"/>
    <n v="5.9675370128450851"/>
    <n v="84324.92957751143"/>
    <n v="77"/>
    <n v="74.018467004963"/>
    <s v="OK"/>
  </r>
  <r>
    <d v="2025-07-07T00:00:00"/>
    <x v="0"/>
    <n v="101"/>
    <n v="-0.16900216616813532"/>
    <n v="27248.474230772899"/>
    <n v="3.3867605540492365"/>
    <n v="1.1541290765267851"/>
    <n v="4.4580487217483604"/>
    <n v="134698.73151673615"/>
    <n v="99"/>
    <n v="36.470559054265692"/>
    <s v="OK"/>
  </r>
  <r>
    <d v="2025-08-06T00:00:00"/>
    <x v="0"/>
    <n v="100"/>
    <n v="-0.1752566288817983"/>
    <n v="26641.883160309742"/>
    <n v="3.6836827534080889"/>
    <n v="1.6807421402785021"/>
    <n v="6.1415549033469219"/>
    <m/>
    <n v="85"/>
    <n v="48.198483755468089"/>
    <s v="Missing Data"/>
  </r>
  <r>
    <d v="2025-09-05T00:00:00"/>
    <x v="3"/>
    <n v="109"/>
    <n v="-0.11896646445883154"/>
    <n v="29872.229645042775"/>
    <n v="3.9567923131166247"/>
    <n v="2.0237791264553411"/>
    <n v="2.3371027131797466"/>
    <n v="88889.064410262668"/>
    <n v="97"/>
    <n v="30.08881133429"/>
    <s v="OK"/>
  </r>
  <r>
    <d v="2025-10-05T00:00:00"/>
    <x v="1"/>
    <n v="98"/>
    <n v="-0.18776555430912426"/>
    <n v="35863.645096296823"/>
    <n v="3.0984105246598275"/>
    <n v="3.3743891807127273"/>
    <n v="5.504050607916593"/>
    <n v="104087.78063205954"/>
    <m/>
    <n v="30.388561073430481"/>
    <s v="Missing Data"/>
  </r>
  <r>
    <d v="2025-11-04T00:00:00"/>
    <x v="1"/>
    <n v="111"/>
    <n v="-0.10645753903150559"/>
    <n v="32718.000772972162"/>
    <m/>
    <n v="2.7625613290019251"/>
    <n v="5.893385407411702"/>
    <n v="75957.009478478227"/>
    <n v="102"/>
    <n v="74.095659708523129"/>
    <s v="Missing Data"/>
  </r>
  <r>
    <d v="2025-12-04T00:00:00"/>
    <x v="0"/>
    <n v="97"/>
    <n v="-0.19402001702278721"/>
    <n v="28146.928339569469"/>
    <n v="3.3644381994787156"/>
    <n v="2.6935899113675443"/>
    <n v="6.6091241674453958"/>
    <m/>
    <n v="96"/>
    <n v="88.688008558599861"/>
    <s v="Missing Data"/>
  </r>
  <r>
    <d v="2026-01-03T00:00:00"/>
    <x v="1"/>
    <n v="88"/>
    <n v="-0.25031018144575395"/>
    <n v="33858.493553241722"/>
    <n v="3.489316352825782"/>
    <n v="3.3508979621679722"/>
    <n v="4.2833248572489548"/>
    <n v="106349.06522500351"/>
    <n v="95"/>
    <n v="97.018606708891127"/>
    <s v="OK"/>
  </r>
  <r>
    <d v="2026-02-02T00:00:00"/>
    <x v="4"/>
    <n v="101"/>
    <n v="-0.16900216616813532"/>
    <n v="15757.286896849622"/>
    <n v="3.1263941604260883"/>
    <n v="2.3626282116006032"/>
    <n v="5.6028245936840309"/>
    <n v="93342.79191234977"/>
    <n v="103"/>
    <n v="70.267769403955555"/>
    <s v="OK"/>
  </r>
  <r>
    <d v="2026-03-04T00:00:00"/>
    <x v="2"/>
    <n v="105"/>
    <n v="-0.14398431531348344"/>
    <n v="35743.828501860517"/>
    <n v="2.287879869863529"/>
    <n v="2.8904648499288896"/>
    <n v="4.3894904487284956"/>
    <n v="98132.262822001037"/>
    <n v="89"/>
    <n v="34.728105868876554"/>
    <s v="OK"/>
  </r>
  <r>
    <d v="2026-04-03T00:00:00"/>
    <x v="4"/>
    <n v="102"/>
    <n v="-0.16274770345447234"/>
    <n v="21301.4311061095"/>
    <n v="3.9420226981805246"/>
    <n v="2.3967782470675036"/>
    <n v="5.8064605068091808"/>
    <n v="89413.357751032585"/>
    <n v="87"/>
    <n v="28.452027635914455"/>
    <s v="OK"/>
  </r>
  <r>
    <d v="2026-05-03T00:00:00"/>
    <x v="0"/>
    <n v="98"/>
    <n v="-0.18776555430912426"/>
    <n v="28187.795292984338"/>
    <n v="3.8684219485462168"/>
    <n v="2.7653623493996284"/>
    <n v="4.4255844131643709"/>
    <n v="69710.593816384659"/>
    <n v="101"/>
    <n v="85.028077722940623"/>
    <s v="OK"/>
  </r>
  <r>
    <d v="2026-06-02T00:00:00"/>
    <x v="1"/>
    <n v="96"/>
    <n v="-0.20027447973645018"/>
    <n v="24401.650526869282"/>
    <n v="33.593362214408934"/>
    <n v="1.9172413423884178"/>
    <m/>
    <n v="106431.86422678478"/>
    <n v="80"/>
    <n v="66.300518108799935"/>
    <s v="Missing Data"/>
  </r>
  <r>
    <d v="2026-07-02T00:00:00"/>
    <x v="3"/>
    <n v="76"/>
    <n v="-0.32536373400970964"/>
    <n v="23526.59262139547"/>
    <n v="35.334953586124357"/>
    <n v="6.1182841723570913E-2"/>
    <n v="4.3050215262517249"/>
    <n v="135098.66143294482"/>
    <n v="90"/>
    <n v="69.462801681097588"/>
    <s v="OK"/>
  </r>
  <r>
    <d v="2026-08-01T00:00:00"/>
    <x v="2"/>
    <n v="112"/>
    <n v="-0.10020307631784262"/>
    <n v="35804.133936892598"/>
    <m/>
    <n v="2.3657208378136958"/>
    <n v="6.2813634901883884"/>
    <n v="100368.03261566877"/>
    <n v="89"/>
    <n v="82.516967100376746"/>
    <s v="Missing Data"/>
  </r>
  <r>
    <d v="2026-08-31T00:00:00"/>
    <x v="3"/>
    <n v="99"/>
    <n v="-0.18151109159546128"/>
    <n v="27661.493993440545"/>
    <n v="2.7187270715567289"/>
    <n v="3.9227481360999401"/>
    <n v="6.5301413399879982"/>
    <m/>
    <n v="100"/>
    <n v="76.262178218596119"/>
    <s v="Missing Data"/>
  </r>
  <r>
    <d v="2026-09-30T00:00:00"/>
    <x v="0"/>
    <n v="100"/>
    <n v="-0.1752566288817983"/>
    <n v="31732.519408653578"/>
    <n v="3.2354736613268527"/>
    <n v="3.4262154022415925"/>
    <n v="5.2184553160511031"/>
    <n v="113854.45510233719"/>
    <n v="76"/>
    <n v="86.756660228487732"/>
    <s v="OK"/>
  </r>
  <r>
    <d v="2026-10-30T00:00:00"/>
    <x v="1"/>
    <n v="89"/>
    <n v="-0.244055718732091"/>
    <n v="29765.397105604079"/>
    <n v="3.8971323398109137"/>
    <n v="3.4653974845911706"/>
    <n v="5.5458855939520344"/>
    <n v="74613.390069066023"/>
    <n v="95"/>
    <n v="24.497112436790278"/>
    <s v="OK"/>
  </r>
  <r>
    <d v="2026-11-29T00:00:00"/>
    <x v="3"/>
    <m/>
    <n v="-0.80070290024809565"/>
    <n v="32385.204136115608"/>
    <n v="2.8728552884153755"/>
    <n v="3.7361307218062176"/>
    <n v="3.7616903024397468"/>
    <n v="134050.2931625921"/>
    <n v="86"/>
    <n v="79.801650939720389"/>
    <s v="Missing Data"/>
  </r>
  <r>
    <d v="2026-12-29T00:00:00"/>
    <x v="3"/>
    <n v="104"/>
    <n v="-0.15023877802714641"/>
    <n v="30384.109455301277"/>
    <n v="36.467789660833148"/>
    <n v="2.5886575909614375"/>
    <n v="5.1403880223918552"/>
    <n v="104046.57592845603"/>
    <n v="96"/>
    <n v="88.068220585767634"/>
    <s v="OK"/>
  </r>
  <r>
    <d v="2027-01-28T00:00:00"/>
    <x v="2"/>
    <n v="96"/>
    <n v="-0.20027447973645018"/>
    <n v="23585.038879057152"/>
    <n v="2.8217090976882977"/>
    <n v="2.6973157074055956"/>
    <n v="5.4397544595499063"/>
    <n v="132637.13798178217"/>
    <n v="87"/>
    <n v="42.890803396665149"/>
    <s v="OK"/>
  </r>
  <r>
    <d v="2027-02-27T00:00:00"/>
    <x v="2"/>
    <n v="100"/>
    <n v="-0.1752566288817983"/>
    <n v="34981.334097235696"/>
    <n v="3.7332149912167631"/>
    <n v="1.8823481045656498"/>
    <n v="8.6449517092359702"/>
    <n v="85339.340089520207"/>
    <n v="95"/>
    <n v="71.235781919460237"/>
    <s v="OK"/>
  </r>
  <r>
    <d v="2027-03-29T00:00:00"/>
    <x v="1"/>
    <n v="105"/>
    <n v="-0.14398431531348344"/>
    <n v="27531.217084193438"/>
    <n v="3.4821792588512581"/>
    <n v="2.1839271439729502"/>
    <n v="4.1656395690710042"/>
    <n v="136361.2384511565"/>
    <n v="83"/>
    <n v="45.132965106957769"/>
    <s v="OK"/>
  </r>
  <r>
    <d v="2027-04-28T00:00:00"/>
    <x v="2"/>
    <n v="81"/>
    <n v="-0.2940914204413948"/>
    <n v="22217.090506701243"/>
    <n v="2.6924340920472454"/>
    <n v="3.1157711497711418"/>
    <n v="7.2570126865029252"/>
    <n v="115503.10988069566"/>
    <n v="109"/>
    <n v="96.637685318596326"/>
    <s v="OK"/>
  </r>
  <r>
    <d v="2027-05-28T00:00:00"/>
    <x v="3"/>
    <n v="120"/>
    <n v="-5.0167374608538831E-2"/>
    <n v="27859.424195170439"/>
    <n v="4.082369677228586"/>
    <n v="3.7038844371688162"/>
    <n v="6.6962305281589698"/>
    <n v="111060.80171704717"/>
    <n v="98"/>
    <n v="22.673885794840302"/>
    <s v="OK"/>
  </r>
  <r>
    <d v="2027-06-27T00:00:00"/>
    <x v="3"/>
    <n v="97"/>
    <n v="-0.19402001702278721"/>
    <n v="37503.798953171558"/>
    <n v="3.1327042116009753"/>
    <n v="23.605537243190007"/>
    <n v="5.8367636853881635"/>
    <n v="104680.48908706296"/>
    <n v="78"/>
    <n v="66.383427506636394"/>
    <s v="OK"/>
  </r>
  <r>
    <d v="2027-07-27T00:00:00"/>
    <x v="0"/>
    <n v="99"/>
    <n v="-0.18151109159546128"/>
    <n v="34251.108710567467"/>
    <n v="3.0948737814928093"/>
    <n v="2.0498107351485886"/>
    <n v="7.6103445810341599"/>
    <n v="95029.427638511013"/>
    <n v="91"/>
    <n v="33.320283763961207"/>
    <s v="OK"/>
  </r>
  <r>
    <d v="2027-08-26T00:00:00"/>
    <x v="3"/>
    <n v="120"/>
    <n v="-5.0167374608538831E-2"/>
    <n v="28256.739327960706"/>
    <n v="3.6002845986154712"/>
    <n v="2.5005279588565972"/>
    <n v="5.9465265671282355"/>
    <n v="124010.63316947746"/>
    <n v="86"/>
    <m/>
    <s v="Missing Data"/>
  </r>
  <r>
    <d v="2027-09-25T00:00:00"/>
    <x v="1"/>
    <n v="90"/>
    <n v="-0.23780125601842803"/>
    <n v="28253.711478407855"/>
    <n v="4.0743186747143572"/>
    <n v="3.1012067489291146"/>
    <n v="5.9669910348015147"/>
    <n v="102807.19739696094"/>
    <n v="86"/>
    <n v="34.071222673492969"/>
    <s v="OK"/>
  </r>
  <r>
    <d v="2027-10-25T00:00:00"/>
    <x v="4"/>
    <n v="85"/>
    <n v="-0.26907356958674289"/>
    <n v="28391.824743913086"/>
    <n v="2.9920890905108015"/>
    <n v="1.0561451838664582"/>
    <n v="5.4362552163789459"/>
    <n v="60658.605928256955"/>
    <n v="88"/>
    <n v="38.830660951868609"/>
    <s v="OK"/>
  </r>
  <r>
    <d v="2027-11-24T00:00:00"/>
    <x v="0"/>
    <n v="84"/>
    <n v="-0.27532803230040587"/>
    <n v="40383.739917804203"/>
    <n v="3.5308399249239857"/>
    <n v="0.20381904686276187"/>
    <n v="6.9682826589023534"/>
    <n v="77656.270765859954"/>
    <n v="90"/>
    <n v="59.549664883660647"/>
    <s v="OK"/>
  </r>
  <r>
    <d v="2027-12-24T00:00:00"/>
    <x v="0"/>
    <m/>
    <n v="-0.80070290024809565"/>
    <n v="31909.677261157765"/>
    <n v="3.7144082501652864"/>
    <n v="1.9494631505084166"/>
    <n v="6.8157630805730607"/>
    <n v="96283.08495614506"/>
    <n v="83"/>
    <n v="93.186795999750245"/>
    <s v="Missing Data"/>
  </r>
  <r>
    <d v="2028-01-23T00:00:00"/>
    <x v="1"/>
    <n v="112"/>
    <n v="-0.10020307631784262"/>
    <n v="32150.20823595535"/>
    <n v="3.8465528036315719"/>
    <n v="1.2792875740858414"/>
    <n v="4.7491872550045446"/>
    <n v="106199.9796633111"/>
    <m/>
    <n v="36.937149771837667"/>
    <s v="Missing Data"/>
  </r>
  <r>
    <d v="2028-02-22T00:00:00"/>
    <x v="1"/>
    <n v="110"/>
    <n v="-0.11271200174516857"/>
    <n v="35151.417270159211"/>
    <n v="3.5882207776386128"/>
    <n v="1.991859802352689"/>
    <n v="3.9169033664814794"/>
    <n v="98868.230222002079"/>
    <n v="88"/>
    <n v="31.539201689448284"/>
    <s v="OK"/>
  </r>
  <r>
    <d v="2028-03-23T00:00:00"/>
    <x v="2"/>
    <n v="86"/>
    <n v="-0.26281910687307991"/>
    <n v="31193.945795132568"/>
    <n v="3.3164860804583389"/>
    <n v="2.3522196811825284"/>
    <n v="5.2564232351252116"/>
    <n v="124379.41579587327"/>
    <n v="99"/>
    <n v="80.718146548322451"/>
    <s v="OK"/>
  </r>
  <r>
    <d v="2028-04-22T00:00:00"/>
    <x v="0"/>
    <n v="104"/>
    <n v="-0.15023877802714641"/>
    <n v="287047.89270896482"/>
    <n v="3.0862048896756402"/>
    <n v="2.0467515909769864"/>
    <n v="4.5399537227228244"/>
    <n v="60977.9627192275"/>
    <n v="100"/>
    <n v="60.04956258671448"/>
    <s v="OK"/>
  </r>
  <r>
    <d v="2028-05-22T00:00:00"/>
    <x v="2"/>
    <n v="107"/>
    <n v="-0.13147538988615748"/>
    <n v="29018.250754575107"/>
    <n v="35.43071941523187"/>
    <n v="3.9524675344707454"/>
    <n v="5.4237705104615737"/>
    <n v="102871.7587301032"/>
    <n v="88"/>
    <n v="92.942808990541707"/>
    <s v="OK"/>
  </r>
  <r>
    <d v="2028-06-21T00:00:00"/>
    <x v="3"/>
    <n v="93"/>
    <n v="-0.21903786787743912"/>
    <n v="29641.993702929682"/>
    <n v="2.9639304940071964"/>
    <n v="2.8267447646023198"/>
    <n v="6.9849257616209668"/>
    <n v="63640.415492256907"/>
    <n v="83"/>
    <n v="31.729164572787383"/>
    <s v="OK"/>
  </r>
  <r>
    <d v="2028-07-21T00:00:00"/>
    <x v="0"/>
    <n v="108"/>
    <n v="-0.1252209271724945"/>
    <n v="29813.888817450792"/>
    <n v="2.0393247582526963"/>
    <n v="2.8004743596108286"/>
    <n v="4.9512380138958516"/>
    <n v="115194.24590968336"/>
    <n v="90"/>
    <n v="71.674231441843148"/>
    <s v="OK"/>
  </r>
  <r>
    <d v="2028-08-20T00:00:00"/>
    <x v="0"/>
    <n v="96"/>
    <n v="-0.20027447973645018"/>
    <n v="33638.147718184897"/>
    <n v="3.7182799020788337"/>
    <n v="3.122207144043402"/>
    <n v="5.4486119424261101"/>
    <n v="98110.825711159938"/>
    <n v="88"/>
    <n v="38.630331692145205"/>
    <s v="OK"/>
  </r>
  <r>
    <d v="2028-09-19T00:00:00"/>
    <x v="4"/>
    <n v="95"/>
    <n v="-0.20652894245011316"/>
    <n v="30259.729429036499"/>
    <n v="3.9519674205430975"/>
    <n v="1.3611668822192309"/>
    <n v="5.5696272817700745"/>
    <m/>
    <n v="86"/>
    <n v="32.540834292131144"/>
    <s v="Missing Data"/>
  </r>
  <r>
    <d v="2028-10-19T00:00:00"/>
    <x v="0"/>
    <n v="112"/>
    <n v="-0.10020307631784262"/>
    <n v="33663.200386077893"/>
    <n v="2.318533782229081"/>
    <n v="3.5391117874202687"/>
    <n v="6.5181170586463413"/>
    <n v="82722.340788204674"/>
    <n v="81"/>
    <n v="74.67435321258165"/>
    <s v="OK"/>
  </r>
  <r>
    <d v="2028-11-18T00:00:00"/>
    <x v="3"/>
    <n v="108"/>
    <n v="-0.1252209271724945"/>
    <n v="29596.417099457089"/>
    <n v="2.9951346476450311"/>
    <m/>
    <n v="2.8037327992184737"/>
    <n v="125589.29863315502"/>
    <n v="82"/>
    <n v="67.49476959269866"/>
    <s v="Missing Data"/>
  </r>
  <r>
    <d v="2028-12-18T00:00:00"/>
    <x v="2"/>
    <n v="85"/>
    <n v="-0.26907356958674289"/>
    <n v="30393.175951580452"/>
    <n v="3.8095771305025989"/>
    <n v="3.1704806172412123"/>
    <n v="4.771959646281644"/>
    <n v="120834.49328117703"/>
    <n v="106"/>
    <n v="80.3861966689865"/>
    <s v="OK"/>
  </r>
  <r>
    <d v="2029-01-17T00:00:00"/>
    <x v="2"/>
    <m/>
    <n v="-0.80070290024809565"/>
    <n v="20008.996577339462"/>
    <n v="45.28747734855849"/>
    <n v="1.4281427669598445"/>
    <n v="5.7535404307353675"/>
    <n v="111670.88606023775"/>
    <n v="97"/>
    <n v="44.757006115694587"/>
    <s v="Missing Data"/>
  </r>
  <r>
    <d v="2029-02-16T00:00:00"/>
    <x v="4"/>
    <n v="95"/>
    <n v="-0.20652894245011316"/>
    <n v="34581.638373512411"/>
    <n v="3.5103968538377042"/>
    <n v="0.94624123398393567"/>
    <m/>
    <m/>
    <n v="77"/>
    <n v="55.837732510575194"/>
    <s v="Missing Data"/>
  </r>
  <r>
    <d v="2029-03-18T00:00:00"/>
    <x v="3"/>
    <n v="97"/>
    <n v="-0.19402001702278721"/>
    <n v="31732.442379489963"/>
    <n v="3.1359985293854327"/>
    <n v="3.3178896580250288"/>
    <n v="4.9097170629925539"/>
    <n v="111597.14570590264"/>
    <n v="88"/>
    <n v="52.437734106433481"/>
    <s v="OK"/>
  </r>
  <r>
    <d v="2029-04-17T00:00:00"/>
    <x v="2"/>
    <n v="116"/>
    <n v="-7.518522546319073E-2"/>
    <n v="34990.050549298263"/>
    <n v="3.4085517794475799"/>
    <n v="2.8764095260975164"/>
    <n v="3.2481367527497511"/>
    <n v="85862.148640253028"/>
    <n v="90"/>
    <n v="987.27157117321144"/>
    <s v="OK"/>
  </r>
  <r>
    <d v="2029-05-17T00:00:00"/>
    <x v="1"/>
    <n v="95"/>
    <n v="-0.20652894245011316"/>
    <n v="15518.723109031554"/>
    <n v="4.1874382095740925"/>
    <n v="1.5979484456424897"/>
    <n v="6.2436537351593637"/>
    <n v="117111.11318041425"/>
    <n v="86"/>
    <n v="43.379916539151033"/>
    <s v="OK"/>
  </r>
  <r>
    <d v="2029-06-16T00:00:00"/>
    <x v="3"/>
    <n v="123"/>
    <n v="-3.1403986467549917E-2"/>
    <n v="40441.87352390364"/>
    <n v="3.1770179104377325"/>
    <n v="1.6303369187253056"/>
    <n v="4.7375651334092446"/>
    <n v="132989.61788647843"/>
    <n v="96"/>
    <n v="43.58537906774135"/>
    <s v="OK"/>
  </r>
  <r>
    <d v="2029-07-16T00:00:00"/>
    <x v="3"/>
    <n v="104"/>
    <n v="-0.15023877802714641"/>
    <n v="29302.051859224131"/>
    <n v="3.1004039966748733"/>
    <n v="3.6254347844147694"/>
    <n v="4.0724000090915666"/>
    <n v="121412.21119958372"/>
    <n v="82"/>
    <m/>
    <s v="Missing Data"/>
  </r>
  <r>
    <d v="2029-08-15T00:00:00"/>
    <x v="4"/>
    <n v="94"/>
    <n v="-0.21278340516377614"/>
    <n v="35540.914083687581"/>
    <n v="3.258628238908984"/>
    <n v="1.3105881071326722"/>
    <n v="4.750785532344131"/>
    <n v="85407.950603851816"/>
    <n v="80"/>
    <n v="65.16752650322573"/>
    <s v="OK"/>
  </r>
  <r>
    <d v="2029-09-14T00:00:00"/>
    <x v="2"/>
    <n v="105"/>
    <n v="-0.14398431531348344"/>
    <n v="24800.470364372348"/>
    <n v="3.0233356958706437"/>
    <n v="4.1426729532559632"/>
    <n v="5.2785695708129809"/>
    <n v="1072283.4634546204"/>
    <n v="87"/>
    <n v="40.185819541099619"/>
    <s v="OK"/>
  </r>
  <r>
    <d v="2029-10-14T00:00:00"/>
    <x v="3"/>
    <n v="109"/>
    <n v="-0.11896646445883154"/>
    <n v="33063.869525312846"/>
    <n v="3.561335157997398"/>
    <n v="15.993792653521313"/>
    <n v="4.7743064025541448"/>
    <n v="74137.169124827051"/>
    <n v="85"/>
    <n v="93.223195230341915"/>
    <s v="OK"/>
  </r>
  <r>
    <d v="2029-11-13T00:00:00"/>
    <x v="2"/>
    <n v="84"/>
    <n v="-0.27532803230040587"/>
    <n v="24732.922184131719"/>
    <n v="4.3123392292347802"/>
    <n v="3.1383919256083832"/>
    <n v="2.8533207314811171"/>
    <n v="111447.80622351351"/>
    <n v="95"/>
    <n v="41.254845189301079"/>
    <s v="OK"/>
  </r>
  <r>
    <d v="2029-12-13T00:00:00"/>
    <x v="1"/>
    <n v="79"/>
    <n v="-0.30660034586872076"/>
    <n v="26881.155196520973"/>
    <n v="3.6615396365580146"/>
    <n v="2.1713815242510153"/>
    <n v="6.5764794362645587"/>
    <n v="109012.06825725078"/>
    <n v="97"/>
    <n v="91.66525852481557"/>
    <s v="OK"/>
  </r>
  <r>
    <d v="2030-01-12T00:00:00"/>
    <x v="4"/>
    <n v="98"/>
    <n v="-0.18776555430912426"/>
    <n v="39570.156769333931"/>
    <n v="3.3738232489368563"/>
    <n v="3.1031874310823433"/>
    <n v="7.0298500495344669"/>
    <n v="62603.673209356719"/>
    <n v="102"/>
    <n v="28.278005091726772"/>
    <s v="OK"/>
  </r>
  <r>
    <d v="2030-02-11T00:00:00"/>
    <x v="1"/>
    <n v="96"/>
    <n v="-0.20027447973645018"/>
    <n v="29046.587996183269"/>
    <n v="3.354094365542228"/>
    <n v="1.9558859978858074"/>
    <n v="6.2818263896074065"/>
    <n v="76764.323121752721"/>
    <n v="96"/>
    <n v="72.525016191972185"/>
    <s v="OK"/>
  </r>
  <r>
    <d v="2030-03-13T00:00:00"/>
    <x v="4"/>
    <n v="88"/>
    <n v="-0.25031018144575395"/>
    <n v="31087.164365898614"/>
    <n v="2.7184045956516716"/>
    <n v="2.3372070939277059"/>
    <n v="4.1347771954902202"/>
    <n v="94337.222065124661"/>
    <n v="82"/>
    <n v="925.58841475059489"/>
    <s v="OK"/>
  </r>
  <r>
    <d v="2030-04-12T00:00:00"/>
    <x v="3"/>
    <n v="103"/>
    <n v="-0.15649324074080936"/>
    <n v="34350.338653443774"/>
    <n v="3.9415548885735796"/>
    <n v="2.5409191753957212"/>
    <n v="5.2582101592629789"/>
    <n v="93982.805057183476"/>
    <n v="85"/>
    <n v="33.499955071858366"/>
    <s v="OK"/>
  </r>
  <r>
    <d v="2030-05-12T00:00:00"/>
    <x v="4"/>
    <n v="83"/>
    <n v="-0.28158249501406885"/>
    <n v="32478.409439863022"/>
    <n v="3.4610814014935989"/>
    <n v="1.4978125442185273"/>
    <n v="5.4921744217246502"/>
    <n v="75810.461291623898"/>
    <n v="82"/>
    <n v="97.466156807940393"/>
    <s v="OK"/>
  </r>
  <r>
    <d v="2030-06-11T00:00:00"/>
    <x v="0"/>
    <n v="82"/>
    <n v="-0.28783695772773182"/>
    <n v="30752.094525717883"/>
    <n v="3.4097600432046873"/>
    <n v="3.2408243454201258"/>
    <n v="6.2185532674742925"/>
    <n v="107779.57458704368"/>
    <m/>
    <n v="56.230668833240934"/>
    <s v="Missing Data"/>
  </r>
  <r>
    <d v="2030-07-11T00:00:00"/>
    <x v="2"/>
    <n v="106"/>
    <n v="-0.13772985259982046"/>
    <n v="31824.805012331126"/>
    <n v="5.0965537839224302"/>
    <n v="1.9867864335284149"/>
    <n v="6.3020085864616968"/>
    <n v="105029.47217881025"/>
    <n v="91"/>
    <m/>
    <s v="Missing Data"/>
  </r>
  <r>
    <d v="2030-08-10T00:00:00"/>
    <x v="2"/>
    <n v="96"/>
    <n v="-0.20027447973645018"/>
    <n v="42017.077926191378"/>
    <n v="3.6493764541828431"/>
    <n v="2.2714000846599816"/>
    <n v="4.6189914414658055"/>
    <n v="96114.61736042962"/>
    <n v="88"/>
    <n v="74.145603490403758"/>
    <s v="OK"/>
  </r>
  <r>
    <d v="2030-09-09T00:00:00"/>
    <x v="0"/>
    <n v="96"/>
    <n v="-0.20027447973645018"/>
    <n v="29711.906014832071"/>
    <n v="3.1241044749524081"/>
    <n v="1.5056506253914876"/>
    <n v="5.5983946676962724"/>
    <n v="84884.169996832745"/>
    <n v="90"/>
    <n v="44.12694958988412"/>
    <s v="OK"/>
  </r>
  <r>
    <d v="2030-10-09T00:00:00"/>
    <x v="1"/>
    <n v="109"/>
    <n v="-0.11896646445883154"/>
    <n v="31005.495233574838"/>
    <n v="3.2868212018972285"/>
    <n v="-6.2333658795310498E-2"/>
    <n v="6.0487364855382895"/>
    <n v="120974.14252833127"/>
    <n v="710"/>
    <n v="35.064201993368513"/>
    <s v="OK"/>
  </r>
  <r>
    <d v="2030-11-08T00:00:00"/>
    <x v="0"/>
    <n v="98"/>
    <n v="-0.18776555430912426"/>
    <n v="35253.271980038058"/>
    <n v="4.0742228545983776"/>
    <n v="2.3089722373998312"/>
    <n v="7.2469867865761195"/>
    <n v="133108.1422617659"/>
    <n v="84"/>
    <n v="44.298803698007951"/>
    <s v="OK"/>
  </r>
  <r>
    <d v="2030-12-08T00:00:00"/>
    <x v="3"/>
    <n v="86"/>
    <n v="-0.26281910687307991"/>
    <n v="35527.629664789922"/>
    <n v="3.5566352052688823"/>
    <n v="49.126154216129159"/>
    <n v="6.3454078477896676"/>
    <m/>
    <n v="79"/>
    <n v="27.441392741013999"/>
    <s v="Missing Data"/>
  </r>
  <r>
    <d v="2031-01-07T00:00:00"/>
    <x v="3"/>
    <n v="79"/>
    <n v="-0.30660034586872076"/>
    <n v="35935.1515278019"/>
    <n v="2.7808610108413165"/>
    <n v="3.2846042878980239"/>
    <n v="6.4468680248506232"/>
    <n v="87756.661656903583"/>
    <n v="77"/>
    <n v="31.509437307466381"/>
    <s v="OK"/>
  </r>
  <r>
    <d v="2031-02-06T00:00:00"/>
    <x v="2"/>
    <n v="86"/>
    <n v="-0.26281910687307991"/>
    <m/>
    <n v="3.9596144672876017"/>
    <m/>
    <n v="5.6005919535152335"/>
    <n v="109824.15330823993"/>
    <n v="77"/>
    <n v="28.37283522771849"/>
    <s v="Missing Data"/>
  </r>
  <r>
    <d v="2031-03-08T00:00:00"/>
    <x v="3"/>
    <n v="108"/>
    <n v="-0.1252209271724945"/>
    <n v="24284.97543634758"/>
    <n v="3.1659279572305028"/>
    <n v="2.2371091707917321"/>
    <n v="7.1925509742442042"/>
    <n v="92839.41240506027"/>
    <n v="105"/>
    <n v="53.835483499324617"/>
    <s v="OK"/>
  </r>
  <r>
    <d v="2031-04-07T00:00:00"/>
    <x v="2"/>
    <n v="127"/>
    <n v="-6.3861356128980225E-3"/>
    <n v="38167.15766150548"/>
    <n v="4.4366488881087731"/>
    <n v="2.5224658928120465"/>
    <n v="5.9917153551513973"/>
    <n v="97212.055986735315"/>
    <n v="100"/>
    <n v="83.646270100606912"/>
    <s v="OK"/>
  </r>
  <r>
    <d v="2031-05-07T00:00:00"/>
    <x v="0"/>
    <n v="93"/>
    <n v="-0.21903786787743912"/>
    <n v="24268.27303490656"/>
    <n v="4.0400240328573247"/>
    <m/>
    <m/>
    <n v="114793.06303449343"/>
    <n v="82"/>
    <n v="31.310684337307215"/>
    <s v="Missing Data"/>
  </r>
  <r>
    <d v="2031-06-06T00:00:00"/>
    <x v="0"/>
    <n v="82"/>
    <n v="-0.28783695772773182"/>
    <n v="31513.177326195168"/>
    <n v="3.2763390521706244"/>
    <n v="1.3191871846911551"/>
    <n v="7.1840439641502289"/>
    <n v="61812.87824985414"/>
    <n v="105"/>
    <n v="30.425634653786872"/>
    <s v="OK"/>
  </r>
  <r>
    <d v="2031-07-06T00:00:00"/>
    <x v="0"/>
    <n v="104"/>
    <n v="-0.15023877802714641"/>
    <n v="26228.62074990321"/>
    <n v="4.1405081808675561"/>
    <n v="3.6143216946688721"/>
    <n v="63.374839270468328"/>
    <n v="126366.04649705338"/>
    <n v="103"/>
    <n v="71.474315961386452"/>
    <s v="OK"/>
  </r>
  <r>
    <d v="2031-08-05T00:00:00"/>
    <x v="2"/>
    <n v="99"/>
    <n v="-0.18151109159546128"/>
    <n v="29679.308267035038"/>
    <n v="3.5339277552637016"/>
    <n v="3.2153813154412441"/>
    <n v="4.968347174645821"/>
    <n v="101453.61048658683"/>
    <n v="84"/>
    <n v="35.7746385574453"/>
    <s v="OK"/>
  </r>
  <r>
    <d v="2031-09-04T00:00:00"/>
    <x v="0"/>
    <n v="102"/>
    <n v="-0.16274770345447234"/>
    <n v="31643.812051517401"/>
    <n v="3.9263868375611097"/>
    <n v="3.2181857257079347"/>
    <n v="4.9246084391209077"/>
    <n v="91770.137108756389"/>
    <n v="860"/>
    <n v="27.808803048719327"/>
    <s v="OK"/>
  </r>
  <r>
    <d v="2031-10-04T00:00:00"/>
    <x v="0"/>
    <n v="76"/>
    <n v="-0.32536373400970964"/>
    <m/>
    <n v="3.7423664086472375"/>
    <n v="2.9384757388097271"/>
    <n v="5.8558906541689142"/>
    <n v="98215.31691557102"/>
    <n v="91"/>
    <n v="33.347886256446209"/>
    <s v="Missing Data"/>
  </r>
  <r>
    <d v="2031-11-03T00:00:00"/>
    <x v="1"/>
    <n v="99"/>
    <n v="-0.18151109159546128"/>
    <n v="32109.603771176422"/>
    <n v="3.0768216725045634"/>
    <n v="2.51961665769399"/>
    <n v="6.0558217543211015"/>
    <n v="99248.587100410368"/>
    <n v="95"/>
    <n v="93.898511670142085"/>
    <s v="OK"/>
  </r>
  <r>
    <d v="2031-12-03T00:00:00"/>
    <x v="0"/>
    <n v="93"/>
    <n v="-0.21903786787743912"/>
    <n v="38068.556345293233"/>
    <n v="3.1782250838412689"/>
    <n v="3.17286123596682"/>
    <n v="5.736750718757448"/>
    <n v="65375.973931101493"/>
    <n v="85"/>
    <n v="85.71770022209526"/>
    <s v="OK"/>
  </r>
  <r>
    <d v="2032-01-02T00:00:00"/>
    <x v="3"/>
    <n v="99"/>
    <n v="-0.18151109159546128"/>
    <n v="32267.671507569899"/>
    <n v="4.0149804087905805"/>
    <n v="3.0918141337413783"/>
    <m/>
    <n v="129898.76454906471"/>
    <n v="99"/>
    <n v="48.325164988407529"/>
    <s v="Missing Data"/>
  </r>
  <r>
    <d v="2032-02-01T00:00:00"/>
    <x v="2"/>
    <n v="102"/>
    <n v="-0.16274770345447234"/>
    <n v="28779.216823546758"/>
    <n v="3.3326123339467295"/>
    <m/>
    <n v="7.5399488494916564"/>
    <n v="100826.51264541237"/>
    <n v="94"/>
    <n v="72.465661386191428"/>
    <s v="Missing Data"/>
  </r>
  <r>
    <d v="2032-03-02T00:00:00"/>
    <x v="1"/>
    <n v="106"/>
    <n v="-0.13772985259982046"/>
    <n v="34820.435841441787"/>
    <n v="3.2981757683790018"/>
    <n v="1.926398227103099"/>
    <n v="6.7858517826818625"/>
    <n v="108860.04260894751"/>
    <n v="91"/>
    <n v="62.982053893443045"/>
    <s v="OK"/>
  </r>
  <r>
    <d v="2032-04-01T00:00:00"/>
    <x v="4"/>
    <n v="94"/>
    <n v="-0.21278340516377614"/>
    <n v="35947.352444623204"/>
    <n v="3.0224387103253236"/>
    <n v="2.6018562952619866"/>
    <n v="5.7287627095180289"/>
    <n v="119030.99541148086"/>
    <n v="87"/>
    <n v="74.16994107860512"/>
    <s v="OK"/>
  </r>
  <r>
    <d v="2032-05-01T00:00:00"/>
    <x v="2"/>
    <n v="105"/>
    <n v="-0.14398431531348344"/>
    <n v="23861.960924315037"/>
    <n v="3.7117995327967304"/>
    <n v="4.0490201514951876"/>
    <n v="6.6295726969209801"/>
    <n v="79576.750848793992"/>
    <n v="66"/>
    <n v="74.613692197020754"/>
    <s v="OK"/>
  </r>
  <r>
    <d v="2032-05-31T00:00:00"/>
    <x v="3"/>
    <n v="1160"/>
    <n v="6.454473847600954"/>
    <n v="32987.000349249291"/>
    <n v="4.5312624596215727"/>
    <m/>
    <n v="4.2609713157669526"/>
    <n v="109469.43798070456"/>
    <n v="86"/>
    <n v="70.298721204799435"/>
    <s v="Missing Data"/>
  </r>
  <r>
    <d v="2032-06-30T00:00:00"/>
    <x v="2"/>
    <n v="122"/>
    <n v="-3.7658449181212889E-2"/>
    <n v="33505.863711554492"/>
    <n v="2.9662335428728634"/>
    <n v="1.03247473424756"/>
    <n v="5.9775124599361709"/>
    <n v="94647.17818202413"/>
    <n v="80"/>
    <n v="41.288109482984687"/>
    <s v="OK"/>
  </r>
  <r>
    <d v="2032-07-30T00:00:00"/>
    <x v="3"/>
    <n v="103"/>
    <n v="-0.15649324074080936"/>
    <n v="28512.182483200042"/>
    <n v="3.5121097283363789"/>
    <n v="2.6647608412365167"/>
    <m/>
    <n v="116935.41550432987"/>
    <n v="111"/>
    <n v="23.120513661025448"/>
    <s v="Missing Data"/>
  </r>
  <r>
    <d v="2032-08-29T00:00:00"/>
    <x v="3"/>
    <n v="119"/>
    <n v="-5.6421837322201809E-2"/>
    <n v="36878.534066558095"/>
    <n v="4.2061102777077144"/>
    <m/>
    <n v="5.2383449255291517"/>
    <m/>
    <n v="98"/>
    <n v="564.453425592087"/>
    <s v="Missing Data"/>
  </r>
  <r>
    <d v="2032-09-28T00:00:00"/>
    <x v="4"/>
    <n v="76"/>
    <n v="-0.32536373400970964"/>
    <n v="29249.722064837366"/>
    <n v="3.4601793043771423"/>
    <n v="2.6733416643704082"/>
    <n v="4.4828392856570982"/>
    <n v="98018.113995174615"/>
    <n v="98"/>
    <n v="91.277910775256302"/>
    <s v="OK"/>
  </r>
  <r>
    <d v="2032-10-28T00:00:00"/>
    <x v="2"/>
    <n v="96"/>
    <n v="-0.20027447973645018"/>
    <m/>
    <n v="3.726185898124867"/>
    <n v="2.7439531979085001"/>
    <n v="4.7174933336883269"/>
    <n v="87943.586884320772"/>
    <n v="93"/>
    <n v="65.559780681486075"/>
    <s v="Missing Data"/>
  </r>
  <r>
    <d v="2032-11-27T00:00:00"/>
    <x v="4"/>
    <n v="103"/>
    <n v="-0.15649324074080936"/>
    <n v="29134.640878580652"/>
    <m/>
    <n v="2.2767977453651951"/>
    <n v="4.1924403551891345"/>
    <n v="108645.25901268311"/>
    <n v="106"/>
    <n v="86.591283336152628"/>
    <s v="Missing Data"/>
  </r>
  <r>
    <d v="2032-12-27T00:00:00"/>
    <x v="4"/>
    <n v="111"/>
    <n v="-0.10645753903150559"/>
    <n v="30077.895237907338"/>
    <n v="3.7141535486038242"/>
    <n v="3.9898634386020824"/>
    <n v="45.582857102467564"/>
    <n v="109400.88374736405"/>
    <n v="93"/>
    <m/>
    <s v="Missing Data"/>
  </r>
  <r>
    <d v="2033-01-26T00:00:00"/>
    <x v="2"/>
    <n v="97"/>
    <n v="-0.19402001702278721"/>
    <n v="24518.624565523991"/>
    <n v="3.4064278674977255"/>
    <n v="0.89909602152348445"/>
    <n v="5.0553902816919649"/>
    <n v="85847.48210355948"/>
    <n v="72"/>
    <n v="33.089296331062101"/>
    <s v="OK"/>
  </r>
  <r>
    <d v="2033-02-25T00:00:00"/>
    <x v="0"/>
    <n v="112"/>
    <n v="-0.10020307631784262"/>
    <n v="22799.745587028527"/>
    <n v="3.9928649978399315"/>
    <n v="1.6715029752197541"/>
    <n v="3.8133195769856298"/>
    <n v="85756.522716479129"/>
    <n v="85"/>
    <n v="753.42211131358579"/>
    <s v="OK"/>
  </r>
  <r>
    <d v="2033-03-27T00:00:00"/>
    <x v="0"/>
    <n v="99"/>
    <n v="-0.18151109159546128"/>
    <n v="37972.525316124862"/>
    <n v="4.0936930257823754"/>
    <n v="2.3967452398509526"/>
    <n v="5.5187420007395236"/>
    <n v="97786.692628853416"/>
    <n v="86"/>
    <n v="73.943485896001974"/>
    <s v="OK"/>
  </r>
  <r>
    <d v="2033-04-26T00:00:00"/>
    <x v="4"/>
    <n v="124"/>
    <n v="-2.5149523753886942E-2"/>
    <n v="25765.193258408362"/>
    <n v="4.7947818210093072"/>
    <n v="0.85681118884583274"/>
    <m/>
    <n v="82067.155453695828"/>
    <n v="93"/>
    <n v="98.396435788662274"/>
    <s v="Missing Data"/>
  </r>
  <r>
    <d v="2033-05-26T00:00:00"/>
    <x v="1"/>
    <n v="91"/>
    <n v="-0.23154679330476505"/>
    <n v="25043.038252718463"/>
    <n v="3.7898165866067877"/>
    <n v="2.3241455955679289"/>
    <n v="4.4106925838236961"/>
    <n v="116839.67390904254"/>
    <n v="87"/>
    <n v="98.848058716224031"/>
    <s v="OK"/>
  </r>
  <r>
    <d v="2033-06-25T00:00:00"/>
    <x v="4"/>
    <n v="103"/>
    <n v="-0.15649324074080936"/>
    <n v="19233.049431981424"/>
    <n v="36.628981582910832"/>
    <n v="4.1614701657280184"/>
    <n v="7.3231407083701221"/>
    <n v="92615.855991051081"/>
    <n v="81"/>
    <n v="74.934288937930361"/>
    <s v="OK"/>
  </r>
  <r>
    <d v="2033-07-25T00:00:00"/>
    <x v="4"/>
    <n v="86"/>
    <n v="-0.26281910687307991"/>
    <n v="26805.191261552489"/>
    <m/>
    <n v="2.5208864882959618"/>
    <n v="6.1129505062331138"/>
    <n v="41860.235613567173"/>
    <n v="84"/>
    <n v="39.489183358575545"/>
    <s v="Missing Data"/>
  </r>
  <r>
    <d v="2033-08-24T00:00:00"/>
    <x v="4"/>
    <n v="101"/>
    <n v="-0.16900216616813532"/>
    <n v="23384.55103296251"/>
    <n v="3.3234168535946558"/>
    <n v="2.7307009057186833"/>
    <n v="6.7366967027488691"/>
    <n v="92503.558867563872"/>
    <n v="93"/>
    <n v="83.884467050447924"/>
    <s v="OK"/>
  </r>
  <r>
    <d v="2033-09-23T00:00:00"/>
    <x v="0"/>
    <n v="101"/>
    <n v="-0.16900216616813532"/>
    <n v="38210.075800681843"/>
    <m/>
    <n v="1.2398352348274198"/>
    <n v="4.7105985353774358"/>
    <n v="79229.123583120556"/>
    <n v="86"/>
    <n v="28.562330736883048"/>
    <s v="Missing Data"/>
  </r>
  <r>
    <d v="2033-10-23T00:00:00"/>
    <x v="0"/>
    <n v="101"/>
    <n v="-0.16900216616813532"/>
    <n v="35049.085446713172"/>
    <n v="3.3522992949304853"/>
    <n v="1.8836385919605225"/>
    <n v="6.5254302724799391"/>
    <n v="67374.483690781082"/>
    <n v="81"/>
    <n v="82.455944333730287"/>
    <s v="OK"/>
  </r>
  <r>
    <d v="2033-11-22T00:00:00"/>
    <x v="0"/>
    <n v="113"/>
    <n v="-9.3948613604179651E-2"/>
    <n v="26559.248274111382"/>
    <m/>
    <n v="2.1248036196760629"/>
    <n v="4.1896793195256254"/>
    <n v="75251.467235548553"/>
    <n v="99"/>
    <n v="92.815689931575719"/>
    <s v="Missing Data"/>
  </r>
  <r>
    <d v="2033-12-22T00:00:00"/>
    <x v="4"/>
    <n v="87"/>
    <n v="-0.25656464415941693"/>
    <n v="41262.17902672154"/>
    <n v="4.1587987678039795"/>
    <n v="2.1822849032437661"/>
    <n v="6.5682970010038106"/>
    <n v="102188.1694366594"/>
    <n v="86"/>
    <n v="50.626671581474824"/>
    <s v="OK"/>
  </r>
  <r>
    <d v="2034-01-21T00:00:00"/>
    <x v="1"/>
    <n v="108"/>
    <n v="-0.1252209271724945"/>
    <n v="34908.827434957973"/>
    <n v="2.9967287173601793"/>
    <n v="3.7816437950037685"/>
    <n v="5.7062072077522377"/>
    <m/>
    <n v="85"/>
    <n v="70.450823598646437"/>
    <s v="Missing Data"/>
  </r>
  <r>
    <d v="2034-02-20T00:00:00"/>
    <x v="0"/>
    <n v="1060"/>
    <n v="5.8290275762346555"/>
    <n v="283758.43082456884"/>
    <n v="4.0699392805645225"/>
    <n v="3.0576910607251246"/>
    <n v="6.1639014639817402"/>
    <n v="106263.6894772996"/>
    <n v="93"/>
    <n v="54.411418567746104"/>
    <s v="OK"/>
  </r>
  <r>
    <d v="2034-03-22T00:00:00"/>
    <x v="2"/>
    <n v="87"/>
    <n v="-0.25656464415941693"/>
    <n v="17502.971425632135"/>
    <n v="4.1585575336699323"/>
    <n v="1.388542043062968"/>
    <n v="4.0892864732501781"/>
    <n v="87869.932235685206"/>
    <n v="87"/>
    <n v="55.021204399050276"/>
    <s v="OK"/>
  </r>
  <r>
    <d v="2034-04-21T00:00:00"/>
    <x v="2"/>
    <n v="96"/>
    <n v="-0.20027447973645018"/>
    <n v="41454.712862953711"/>
    <n v="3.4409657365044608"/>
    <n v="2.7465047784320049"/>
    <n v="4.4259161892680741"/>
    <n v="109118.08390341405"/>
    <n v="78"/>
    <n v="448.29671128649608"/>
    <s v="OK"/>
  </r>
  <r>
    <d v="2034-05-21T00:00:00"/>
    <x v="2"/>
    <n v="97"/>
    <n v="-0.19402001702278721"/>
    <n v="23052.137666182018"/>
    <n v="2.4390725504957027"/>
    <n v="2.998221748496785"/>
    <n v="6.216673861904062"/>
    <m/>
    <n v="75"/>
    <n v="80.970369636025964"/>
    <s v="Missing Data"/>
  </r>
  <r>
    <d v="2034-06-20T00:00:00"/>
    <x v="3"/>
    <n v="116"/>
    <n v="-7.518522546319073E-2"/>
    <m/>
    <n v="3.1960890064527838"/>
    <n v="3.6401490385212663"/>
    <n v="4.3619823949309593"/>
    <n v="86107.992616737116"/>
    <n v="77"/>
    <n v="94.894125133320415"/>
    <s v="Missing Data"/>
  </r>
  <r>
    <d v="2034-07-20T00:00:00"/>
    <x v="4"/>
    <n v="100"/>
    <n v="-0.1752566288817983"/>
    <n v="35112.852160048198"/>
    <n v="4.1484972732805545"/>
    <m/>
    <n v="6.0558475505189477"/>
    <n v="76912.746635340314"/>
    <m/>
    <n v="95.260068738756885"/>
    <s v="Missing Data"/>
  </r>
  <r>
    <d v="2034-08-19T00:00:00"/>
    <x v="2"/>
    <n v="97"/>
    <n v="-0.19402001702278721"/>
    <n v="42198.762031696366"/>
    <n v="3.4885659688505588"/>
    <n v="1.4849058081721314"/>
    <n v="38.594346322477051"/>
    <n v="64963.423864965618"/>
    <n v="117"/>
    <n v="33.982502789994705"/>
    <s v="OK"/>
  </r>
  <r>
    <d v="2034-09-18T00:00:00"/>
    <x v="4"/>
    <n v="100"/>
    <n v="-0.1752566288817983"/>
    <n v="36921.364092552591"/>
    <n v="3.0003488838525447"/>
    <n v="1.6891424887896618"/>
    <n v="6.5178090552000016"/>
    <m/>
    <n v="97"/>
    <n v="89.979491972525281"/>
    <s v="Missing Data"/>
  </r>
  <r>
    <d v="2034-10-18T00:00:00"/>
    <x v="2"/>
    <n v="99"/>
    <n v="-0.18151109159546128"/>
    <n v="32819.545600261801"/>
    <n v="3.2476125393858912"/>
    <n v="1.2424221410853837"/>
    <n v="4.0209720222777889"/>
    <n v="103161.06979840263"/>
    <n v="103"/>
    <n v="78.994515314169774"/>
    <s v="OK"/>
  </r>
  <r>
    <d v="2034-11-17T00:00:00"/>
    <x v="1"/>
    <n v="100"/>
    <n v="-0.1752566288817983"/>
    <n v="32973.771708326429"/>
    <n v="3.9203100132522763"/>
    <n v="2.2659801408930185"/>
    <n v="6.1627599252154281"/>
    <n v="98067.526599702207"/>
    <m/>
    <n v="40.226992055223143"/>
    <s v="Missing Data"/>
  </r>
  <r>
    <d v="2034-12-17T00:00:00"/>
    <x v="4"/>
    <n v="1040"/>
    <n v="5.7039383219613962"/>
    <n v="34267.077793901539"/>
    <m/>
    <n v="2.9663583744463344"/>
    <n v="6.2507571203752015"/>
    <n v="91680.661441052827"/>
    <n v="85"/>
    <n v="25.382769033721164"/>
    <s v="Missing Data"/>
  </r>
  <r>
    <d v="2035-01-16T00:00:00"/>
    <x v="2"/>
    <n v="82"/>
    <n v="-0.28783695772773182"/>
    <n v="33794.642948933826"/>
    <n v="3.380533950415153"/>
    <n v="34.873345165891017"/>
    <n v="4.6638738178845101"/>
    <n v="81085.078786064376"/>
    <n v="98"/>
    <n v="41.439781350750238"/>
    <s v="OK"/>
  </r>
  <r>
    <d v="2035-02-15T00:00:00"/>
    <x v="0"/>
    <n v="87"/>
    <n v="-0.25656464415941693"/>
    <n v="31405.95711984688"/>
    <n v="3.3165877940926562"/>
    <n v="2.4240489763574771"/>
    <n v="6.1984318805016727"/>
    <n v="112164.92383369937"/>
    <n v="93"/>
    <n v="92.97665894252205"/>
    <s v="OK"/>
  </r>
  <r>
    <d v="2035-03-17T00:00:00"/>
    <x v="4"/>
    <n v="87"/>
    <n v="-0.25656464415941693"/>
    <n v="30521.005519759379"/>
    <n v="3.304120925478089"/>
    <n v="2.1801524767451559"/>
    <n v="5.8125307160002668"/>
    <n v="73657.361601068304"/>
    <n v="69"/>
    <n v="70.654293991661774"/>
    <s v="OK"/>
  </r>
  <r>
    <d v="2035-04-16T00:00:00"/>
    <x v="3"/>
    <n v="90"/>
    <n v="-0.23780125601842803"/>
    <n v="29687.034360502388"/>
    <n v="3.0387949077507486"/>
    <n v="2.6517579922487404"/>
    <n v="4.8533897725687138"/>
    <n v="115520.5582768695"/>
    <n v="89"/>
    <n v="77.684372871829751"/>
    <s v="OK"/>
  </r>
  <r>
    <d v="2035-05-16T00:00:00"/>
    <x v="0"/>
    <n v="115"/>
    <n v="-8.1439688176853695E-2"/>
    <n v="26230.17705566662"/>
    <n v="43.076878447347212"/>
    <n v="1.6648570983699771"/>
    <m/>
    <n v="79955.6596214655"/>
    <n v="88"/>
    <n v="40.572188088727671"/>
    <s v="Missing Data"/>
  </r>
  <r>
    <d v="2035-06-15T00:00:00"/>
    <x v="0"/>
    <n v="105"/>
    <n v="-0.14398431531348344"/>
    <n v="28596.624615666129"/>
    <n v="3.3388397653943303"/>
    <n v="4.5895387216947734"/>
    <m/>
    <n v="84951.295252939308"/>
    <n v="115"/>
    <n v="77.551052445985619"/>
    <s v="Missing Data"/>
  </r>
  <r>
    <d v="2035-07-15T00:00:00"/>
    <x v="3"/>
    <n v="90"/>
    <n v="-0.23780125601842803"/>
    <n v="21535.21592902307"/>
    <n v="4.108579260412748"/>
    <n v="0.89233897288194131"/>
    <n v="5.9195800567596324"/>
    <n v="70664.296187686457"/>
    <n v="90"/>
    <n v="222.49720502233899"/>
    <s v="OK"/>
  </r>
  <r>
    <d v="2035-08-14T00:00:00"/>
    <x v="0"/>
    <n v="89"/>
    <n v="-0.244055718732091"/>
    <n v="29508.30186602625"/>
    <n v="4.2606580259612254"/>
    <n v="2.6847405788957244"/>
    <n v="3.6222366743655341"/>
    <n v="89971.957062287271"/>
    <n v="105"/>
    <n v="50.025707661841103"/>
    <s v="OK"/>
  </r>
  <r>
    <d v="2035-09-13T00:00:00"/>
    <x v="0"/>
    <n v="89"/>
    <n v="-0.244055718732091"/>
    <n v="25057.044464245413"/>
    <n v="3.9991554490739802"/>
    <n v="4.5236062192296398"/>
    <n v="5.6144130393295697"/>
    <n v="119506.24916955958"/>
    <n v="98"/>
    <n v="70.1402678833865"/>
    <s v="OK"/>
  </r>
  <r>
    <d v="2035-10-13T00:00:00"/>
    <x v="2"/>
    <n v="86"/>
    <n v="-0.26281910687307991"/>
    <m/>
    <n v="3.2841898436409758"/>
    <n v="2.5067998445599979"/>
    <n v="5.1838621407013008"/>
    <n v="110312.56176887912"/>
    <n v="85"/>
    <n v="31.687725243305618"/>
    <s v="Missing Data"/>
  </r>
  <r>
    <d v="2035-11-12T00:00:00"/>
    <x v="2"/>
    <n v="91"/>
    <n v="-0.23154679330476505"/>
    <n v="30899.470755767394"/>
    <n v="3.7018650451683048"/>
    <n v="2.3099609649985053"/>
    <n v="6.3149713305258341"/>
    <n v="119568.4422405607"/>
    <n v="101"/>
    <n v="85.84028595575478"/>
    <s v="OK"/>
  </r>
  <r>
    <d v="2035-12-12T00:00:00"/>
    <x v="4"/>
    <n v="100"/>
    <n v="-0.1752566288817983"/>
    <n v="36960.011431722996"/>
    <n v="3.4879021968045421"/>
    <n v="2.1425545771895727"/>
    <n v="5.1375454006121632"/>
    <n v="110442.85091867871"/>
    <n v="93"/>
    <n v="38.80250390495349"/>
    <s v="OK"/>
  </r>
  <r>
    <d v="2036-01-11T00:00:00"/>
    <x v="4"/>
    <n v="104"/>
    <n v="-0.15023877802714641"/>
    <n v="34591.583030011563"/>
    <n v="3.048149069634936"/>
    <n v="2.3196083182375924"/>
    <n v="5.10466265638349"/>
    <n v="77926.60342939262"/>
    <n v="99"/>
    <n v="72.182489025475704"/>
    <s v="OK"/>
  </r>
  <r>
    <d v="2036-02-10T00:00:00"/>
    <x v="4"/>
    <n v="80"/>
    <n v="-0.30034588315505778"/>
    <n v="22147.496981884113"/>
    <n v="3.6621796408608014"/>
    <n v="3.8728484746765304"/>
    <n v="6.3782448451459546"/>
    <n v="93384.215513448857"/>
    <n v="87"/>
    <n v="52.415771406026373"/>
    <s v="OK"/>
  </r>
  <r>
    <d v="2036-03-11T00:00:00"/>
    <x v="2"/>
    <n v="110"/>
    <n v="-0.11271200174516857"/>
    <n v="25051.859317148312"/>
    <m/>
    <n v="0.28813808867049318"/>
    <n v="5.9020696349009407"/>
    <n v="84396.017417650743"/>
    <n v="87"/>
    <n v="67.683487638211773"/>
    <s v="Missing Data"/>
  </r>
  <r>
    <d v="2036-04-10T00:00:00"/>
    <x v="4"/>
    <n v="90"/>
    <n v="-0.23780125601842803"/>
    <n v="34703.855939941081"/>
    <n v="4.0938396942307822"/>
    <n v="4.0334337012963255"/>
    <n v="5.8793871486193341"/>
    <n v="126611.4980807808"/>
    <n v="89"/>
    <m/>
    <s v="Missing Data"/>
  </r>
  <r>
    <d v="2036-05-10T00:00:00"/>
    <x v="0"/>
    <n v="96"/>
    <n v="-0.20027447973645018"/>
    <n v="25087.563032308452"/>
    <n v="3.2676913513508037"/>
    <n v="1.0760428475498549"/>
    <n v="6.0631211077702316"/>
    <n v="76064.227071473768"/>
    <n v="86"/>
    <n v="21.353023993728584"/>
    <s v="OK"/>
  </r>
  <r>
    <d v="2036-06-09T00:00:00"/>
    <x v="2"/>
    <n v="103"/>
    <n v="-0.15649324074080936"/>
    <n v="28876.834250014876"/>
    <n v="3.6005798279364196"/>
    <n v="2.233347670765585"/>
    <n v="3.657313452151473"/>
    <n v="117873.95378778221"/>
    <n v="80"/>
    <n v="92.765154190424099"/>
    <s v="OK"/>
  </r>
  <r>
    <d v="2036-07-09T00:00:00"/>
    <x v="4"/>
    <n v="99"/>
    <n v="-0.18151109159546128"/>
    <n v="32750.260495122759"/>
    <n v="3.6416439357730712"/>
    <n v="2.0707555797013382"/>
    <n v="6.408146415984378"/>
    <n v="117859.07740217539"/>
    <n v="91"/>
    <n v="41.570400701374624"/>
    <s v="OK"/>
  </r>
  <r>
    <d v="2036-08-08T00:00:00"/>
    <x v="0"/>
    <m/>
    <n v="-0.80070290024809565"/>
    <n v="25158.277725681823"/>
    <n v="3.3705475131479612"/>
    <n v="3.0885532697707196"/>
    <n v="6.2349625528163228"/>
    <n v="136592.40403432175"/>
    <n v="84"/>
    <n v="85.574160222436731"/>
    <s v="Missing Data"/>
  </r>
  <r>
    <d v="2036-09-07T00:00:00"/>
    <x v="4"/>
    <n v="106"/>
    <n v="-0.13772985259982046"/>
    <n v="30526.877530729798"/>
    <n v="3.7933469007376375"/>
    <n v="0.90187564811625243"/>
    <n v="4.2799802457082032"/>
    <n v="91806.268147410054"/>
    <n v="89"/>
    <n v="99.948024037776008"/>
    <s v="OK"/>
  </r>
  <r>
    <d v="2036-10-07T00:00:00"/>
    <x v="1"/>
    <n v="100"/>
    <n v="-0.1752566288817983"/>
    <m/>
    <n v="3.2625481716887377"/>
    <n v="2.9621726660819427"/>
    <n v="5.2071034315909586"/>
    <n v="114246.44319160325"/>
    <n v="113"/>
    <n v="36.914500639912895"/>
    <s v="Missing Data"/>
  </r>
  <r>
    <d v="2036-11-06T00:00:00"/>
    <x v="4"/>
    <n v="85"/>
    <n v="-0.26907356958674289"/>
    <n v="26993.161780243932"/>
    <n v="39.356486487286219"/>
    <n v="4.524309623286852"/>
    <n v="5.4528312548468429"/>
    <n v="145633.03673077686"/>
    <n v="89"/>
    <n v="41.213659294668446"/>
    <s v="OK"/>
  </r>
  <r>
    <d v="2036-12-06T00:00:00"/>
    <x v="1"/>
    <n v="101"/>
    <n v="-0.16900216616813532"/>
    <n v="31598.909670712685"/>
    <n v="2.8270101598766257"/>
    <n v="1.1368259954071895"/>
    <n v="5.3386038587179208"/>
    <n v="87647.166461326065"/>
    <n v="91"/>
    <n v="73.028783010773253"/>
    <s v="OK"/>
  </r>
  <r>
    <d v="2037-01-05T00:00:00"/>
    <x v="4"/>
    <n v="93"/>
    <n v="-0.21903786787743912"/>
    <n v="22035.031332341656"/>
    <n v="3.5631897897732059"/>
    <n v="2.6897061676103955"/>
    <n v="5.9006319598822419"/>
    <n v="69299.195049352798"/>
    <n v="83"/>
    <n v="97.2358907680497"/>
    <s v="OK"/>
  </r>
  <r>
    <d v="2037-02-04T00:00:00"/>
    <x v="3"/>
    <n v="91"/>
    <n v="-0.23154679330476505"/>
    <n v="32202.373689801996"/>
    <n v="4.4694644995291419"/>
    <n v="1.8380178222033909"/>
    <n v="7.21764013819742"/>
    <n v="62399.79932184473"/>
    <n v="77"/>
    <n v="93.265147855259514"/>
    <s v="OK"/>
  </r>
  <r>
    <d v="2037-03-06T00:00:00"/>
    <x v="4"/>
    <n v="103"/>
    <n v="-0.15649324074080936"/>
    <n v="29901.811005366595"/>
    <n v="2.9998343376972127"/>
    <n v="2.9258872061930359"/>
    <n v="6.7981200732073948"/>
    <n v="114254.24057722662"/>
    <n v="95"/>
    <n v="60.23004160524679"/>
    <s v="OK"/>
  </r>
  <r>
    <d v="2037-04-05T00:00:00"/>
    <x v="2"/>
    <n v="109"/>
    <n v="-0.11896646445883154"/>
    <n v="327624.49772085738"/>
    <n v="3.1611275147375744"/>
    <n v="2.519147777415752"/>
    <n v="3.9253369678823127"/>
    <n v="62336.995838828327"/>
    <n v="91"/>
    <n v="83.608822602137977"/>
    <s v="OK"/>
  </r>
  <r>
    <d v="2037-05-05T00:00:00"/>
    <x v="2"/>
    <n v="83"/>
    <n v="-0.28158249501406885"/>
    <n v="31119.570670323308"/>
    <n v="3.7569539248294577"/>
    <n v="1.8585130909556904"/>
    <n v="6.2464839883672587"/>
    <n v="92553.618941241541"/>
    <n v="97"/>
    <m/>
    <s v="Missing Data"/>
  </r>
  <r>
    <d v="2037-06-04T00:00:00"/>
    <x v="1"/>
    <n v="102"/>
    <n v="-0.16274770345447234"/>
    <n v="36820.702149869219"/>
    <n v="3.5897908909697991"/>
    <n v="2.9878722848710741"/>
    <n v="70.947199834424907"/>
    <n v="108746.26374077922"/>
    <n v="97"/>
    <n v="98.195054736320984"/>
    <s v="OK"/>
  </r>
  <r>
    <d v="2037-07-04T00:00:00"/>
    <x v="2"/>
    <n v="98"/>
    <n v="-0.18776555430912426"/>
    <n v="30626.122513239538"/>
    <n v="3.6753150496367795"/>
    <n v="4.3043481097867433"/>
    <n v="5.9641702248270434"/>
    <n v="103703.51073659828"/>
    <n v="85"/>
    <n v="97.148258722878921"/>
    <s v="OK"/>
  </r>
  <r>
    <d v="2037-08-03T00:00:00"/>
    <x v="0"/>
    <n v="93"/>
    <n v="-0.21903786787743912"/>
    <n v="27852.972294373736"/>
    <n v="3.7445935650738318"/>
    <n v="2.3090962082727011"/>
    <m/>
    <n v="108508.89728368344"/>
    <n v="77"/>
    <n v="33.098316630333677"/>
    <s v="Missing Data"/>
  </r>
  <r>
    <d v="2037-09-02T00:00:00"/>
    <x v="3"/>
    <n v="104"/>
    <n v="-0.15023877802714641"/>
    <n v="30611.487515161418"/>
    <n v="38.17360734280885"/>
    <n v="3.2197579421481821"/>
    <n v="7.9147245348409179"/>
    <m/>
    <n v="100"/>
    <n v="43.953849984248528"/>
    <s v="Missing Data"/>
  </r>
  <r>
    <d v="2037-10-02T00:00:00"/>
    <x v="3"/>
    <n v="96"/>
    <n v="-0.20027447973645018"/>
    <n v="32716.490145181939"/>
    <n v="4.0548499209781115"/>
    <m/>
    <n v="6.7284514553283774"/>
    <n v="125577.31626626787"/>
    <n v="87"/>
    <n v="28.012399800541353"/>
    <s v="Missing Data"/>
  </r>
  <r>
    <d v="2037-11-01T00:00:00"/>
    <x v="0"/>
    <n v="103"/>
    <n v="-0.15649324074080936"/>
    <n v="30244.300351628521"/>
    <n v="3.7049093284642565"/>
    <n v="1.5435636231819911"/>
    <n v="5.7991703147700751"/>
    <n v="80953.672385224054"/>
    <n v="102"/>
    <n v="41.737407911854376"/>
    <s v="OK"/>
  </r>
  <r>
    <d v="2037-12-01T00:00:00"/>
    <x v="1"/>
    <n v="85"/>
    <n v="-0.26907356958674289"/>
    <n v="30202.958456019413"/>
    <n v="3.3793711726907287"/>
    <n v="2.9724062778803773"/>
    <m/>
    <n v="86460.097230829371"/>
    <n v="102"/>
    <n v="85.276463153216525"/>
    <s v="Missing Data"/>
  </r>
  <r>
    <d v="2037-12-31T00:00:00"/>
    <x v="0"/>
    <n v="92"/>
    <n v="-0.22529233059110207"/>
    <n v="26490.041560966223"/>
    <m/>
    <n v="3.9841160285359649"/>
    <n v="5.6738653997162691"/>
    <n v="84546.811094583521"/>
    <n v="98"/>
    <n v="50.265248573220759"/>
    <s v="Missing Data"/>
  </r>
  <r>
    <d v="2038-01-30T00:00:00"/>
    <x v="0"/>
    <n v="90"/>
    <n v="-0.23780125601842803"/>
    <n v="26685.495412245258"/>
    <n v="4.449940967447608"/>
    <n v="2.8556133487856599"/>
    <n v="5.5286836519419467"/>
    <n v="116603.8362372522"/>
    <n v="80"/>
    <n v="27.07175737174067"/>
    <s v="OK"/>
  </r>
  <r>
    <d v="2038-03-01T00:00:00"/>
    <x v="3"/>
    <n v="83"/>
    <n v="-0.28158249501406885"/>
    <n v="22986.973641001532"/>
    <n v="3.4336831268087131"/>
    <n v="2.1869419694768455"/>
    <n v="5.078302917143521"/>
    <n v="118007.97176790127"/>
    <n v="79"/>
    <n v="47.378041982312368"/>
    <s v="OK"/>
  </r>
  <r>
    <d v="2038-03-31T00:00:00"/>
    <x v="4"/>
    <n v="86"/>
    <n v="-0.26281910687307991"/>
    <n v="38747.883715934695"/>
    <n v="3.0127353476646794"/>
    <n v="2.4992914054233539"/>
    <n v="7.3760960305985295"/>
    <n v="109024.50638637017"/>
    <n v="91"/>
    <n v="98.510666739302408"/>
    <s v="OK"/>
  </r>
  <r>
    <d v="2038-04-30T00:00:00"/>
    <x v="3"/>
    <n v="110"/>
    <n v="-0.11271200174516857"/>
    <n v="23780.683823043575"/>
    <n v="4.0535403346434862"/>
    <n v="1.2495922660302825"/>
    <n v="4.5178856008695982"/>
    <n v="123669.87333779855"/>
    <n v="81"/>
    <n v="70.374687620736239"/>
    <s v="OK"/>
  </r>
  <r>
    <d v="2038-05-30T00:00:00"/>
    <x v="3"/>
    <n v="89"/>
    <n v="-0.244055718732091"/>
    <m/>
    <n v="3.4398094180232008"/>
    <n v="3.1045153263553669"/>
    <n v="7.3388412696137388"/>
    <n v="76439.182652472387"/>
    <n v="66"/>
    <n v="53.292875712492616"/>
    <s v="Missing Data"/>
  </r>
  <r>
    <d v="2038-06-29T00:00:00"/>
    <x v="2"/>
    <n v="118"/>
    <n v="-6.2676300035864774E-2"/>
    <n v="264079.63672154013"/>
    <n v="2.4136652269929817"/>
    <n v="3.3823330623234091"/>
    <n v="6.0998369484884458"/>
    <n v="133344.48223102273"/>
    <n v="92"/>
    <n v="33.323081079781602"/>
    <s v="OK"/>
  </r>
  <r>
    <d v="2038-07-29T00:00:00"/>
    <x v="0"/>
    <n v="102"/>
    <n v="-0.16274770345447234"/>
    <n v="34474.621884722204"/>
    <n v="3.9237108385752109"/>
    <n v="2.0479096671669197"/>
    <n v="3.8208325902376705"/>
    <n v="130464.77243424517"/>
    <n v="95"/>
    <n v="98.894143782695579"/>
    <s v="OK"/>
  </r>
  <r>
    <d v="2038-08-28T00:00:00"/>
    <x v="3"/>
    <n v="108"/>
    <n v="-0.1252209271724945"/>
    <n v="28525.25160853986"/>
    <n v="3.2323359070230389"/>
    <n v="2.0299578522404986"/>
    <n v="59.411791515897065"/>
    <n v="114712.43994491494"/>
    <m/>
    <n v="85.667920741050295"/>
    <s v="Missing Data"/>
  </r>
  <r>
    <d v="2038-09-27T00:00:00"/>
    <x v="0"/>
    <n v="95"/>
    <n v="-0.20652894245011316"/>
    <n v="36238.710363368671"/>
    <n v="3.4547333588479194"/>
    <n v="2.7658782296520483"/>
    <n v="2.9799681908180511"/>
    <n v="135635.97817542119"/>
    <n v="108"/>
    <m/>
    <s v="Missing Data"/>
  </r>
  <r>
    <d v="2038-10-27T00:00:00"/>
    <x v="2"/>
    <n v="100"/>
    <n v="-0.1752566288817983"/>
    <n v="26632.546878780657"/>
    <n v="3.6659901652845073"/>
    <n v="2.0632802639594043"/>
    <n v="6.2506096201972428"/>
    <n v="66867.535846444516"/>
    <n v="83"/>
    <n v="25.605495657695158"/>
    <s v="OK"/>
  </r>
  <r>
    <d v="2038-11-26T00:00:00"/>
    <x v="0"/>
    <n v="86"/>
    <n v="-0.26281910687307991"/>
    <n v="31394.970811119008"/>
    <n v="3.5952498398895334"/>
    <n v="2.4338673853741777"/>
    <n v="6.5622777795867897"/>
    <n v="89511.037274746966"/>
    <n v="96"/>
    <n v="24.530044590204643"/>
    <s v="OK"/>
  </r>
  <r>
    <d v="2038-12-26T00:00:00"/>
    <x v="3"/>
    <n v="94"/>
    <n v="-0.21278340516377614"/>
    <n v="25823.264733701213"/>
    <n v="3.8547259085695198"/>
    <n v="4.5997217891665159"/>
    <n v="4.7891728532175355"/>
    <n v="85293.930786360957"/>
    <n v="84"/>
    <n v="29.630251960442706"/>
    <s v="OK"/>
  </r>
  <r>
    <d v="2039-01-25T00:00:00"/>
    <x v="0"/>
    <n v="88"/>
    <n v="-0.25031018144575395"/>
    <n v="40725.745638866938"/>
    <n v="3.2822568147150784"/>
    <n v="2.2529742992540034"/>
    <n v="5.6482572351466986"/>
    <n v="114429.58647514686"/>
    <n v="92"/>
    <n v="66.46148668915373"/>
    <s v="OK"/>
  </r>
  <r>
    <d v="2039-02-24T00:00:00"/>
    <x v="2"/>
    <n v="1010"/>
    <n v="5.5163044405515071"/>
    <n v="24062.007904852435"/>
    <n v="3.7565528990880415"/>
    <n v="21.416598479787776"/>
    <n v="7.8449889205003434"/>
    <n v="78997.185207957082"/>
    <n v="790"/>
    <n v="94.301073696439389"/>
    <s v="OK"/>
  </r>
  <r>
    <d v="2039-03-26T00:00:00"/>
    <x v="4"/>
    <n v="95"/>
    <n v="-0.20652894245011316"/>
    <n v="31549.103551135137"/>
    <n v="3.3702266612080414"/>
    <n v="1.8524581943648408"/>
    <n v="4.8931039548856763"/>
    <n v="115149.90298674972"/>
    <n v="98"/>
    <n v="59.739474240478756"/>
    <s v="OK"/>
  </r>
  <r>
    <d v="2039-04-25T00:00:00"/>
    <x v="0"/>
    <n v="95"/>
    <n v="-0.20652894245011316"/>
    <n v="33168.884404660494"/>
    <n v="3.8694052404437516"/>
    <n v="3.2441919714999368"/>
    <n v="4.2293108955320795"/>
    <n v="127410.72287993427"/>
    <n v="800"/>
    <n v="87.435638596495778"/>
    <s v="OK"/>
  </r>
  <r>
    <d v="2039-05-25T00:00:00"/>
    <x v="3"/>
    <n v="92"/>
    <n v="-0.22529233059110207"/>
    <n v="32068.995487257493"/>
    <n v="3.8076837420065268"/>
    <n v="2.3187758267818972"/>
    <n v="7.2779960829551182"/>
    <n v="113904.05800167998"/>
    <n v="93"/>
    <n v="55.670929588784624"/>
    <s v="OK"/>
  </r>
  <r>
    <d v="2039-06-24T00:00:00"/>
    <x v="2"/>
    <n v="108"/>
    <n v="-0.1252209271724945"/>
    <n v="29073.561705611457"/>
    <n v="3.0322806489777023"/>
    <n v="1.850626961678574"/>
    <n v="7.855104628636953"/>
    <n v="105675.02047323002"/>
    <n v="90"/>
    <n v="76.686683661426017"/>
    <s v="OK"/>
  </r>
  <r>
    <d v="2039-07-24T00:00:00"/>
    <x v="3"/>
    <n v="99"/>
    <n v="-0.18151109159546128"/>
    <n v="29350.896501332871"/>
    <n v="4.0429910580875159"/>
    <m/>
    <n v="5.5044348062174171"/>
    <n v="80242.533181985025"/>
    <n v="85"/>
    <n v="78.549818982920073"/>
    <s v="Missing Data"/>
  </r>
  <r>
    <d v="2039-08-23T00:00:00"/>
    <x v="3"/>
    <n v="95"/>
    <n v="-0.20652894245011316"/>
    <n v="30219.057359895549"/>
    <n v="3.2320182774429762"/>
    <n v="3.919603004513637"/>
    <n v="6.7137556424900273"/>
    <n v="83062.980677492713"/>
    <n v="81"/>
    <n v="33.91709647226709"/>
    <s v="OK"/>
  </r>
  <r>
    <d v="2039-09-22T00:00:00"/>
    <x v="0"/>
    <n v="86"/>
    <n v="-0.26281910687307991"/>
    <n v="29264.989991857557"/>
    <n v="3.9040288991405725"/>
    <n v="1.8995764342612949"/>
    <n v="7.109771098637057"/>
    <n v="124992.37810593334"/>
    <n v="80"/>
    <n v="48.897284718064938"/>
    <s v="OK"/>
  </r>
  <r>
    <d v="2039-10-22T00:00:00"/>
    <x v="3"/>
    <n v="120"/>
    <n v="-5.0167374608538831E-2"/>
    <n v="34819.395583974547"/>
    <n v="3.6836436567006703"/>
    <n v="0.63346004863938377"/>
    <n v="4.6090189209539396"/>
    <n v="115586.98007810664"/>
    <n v="88"/>
    <n v="70.984172523041906"/>
    <s v="OK"/>
  </r>
  <r>
    <d v="2039-11-21T00:00:00"/>
    <x v="0"/>
    <n v="81"/>
    <n v="-0.2940914204413948"/>
    <n v="41052.61500795676"/>
    <n v="4.419091838397561"/>
    <n v="3.5075136898369221"/>
    <n v="49.176329975585574"/>
    <n v="99219.609612449116"/>
    <n v="88"/>
    <m/>
    <s v="Missing Data"/>
  </r>
  <r>
    <d v="2039-12-21T00:00:00"/>
    <x v="4"/>
    <n v="102"/>
    <n v="-0.16274770345447234"/>
    <n v="272125.4107496083"/>
    <n v="3.3882670088140738"/>
    <n v="1.8153701742399959"/>
    <n v="6.9770494157856824"/>
    <n v="91641.809084682187"/>
    <n v="92"/>
    <n v="48.923215021036526"/>
    <s v="OK"/>
  </r>
  <r>
    <d v="2040-01-20T00:00:00"/>
    <x v="3"/>
    <n v="87"/>
    <n v="-0.25656464415941693"/>
    <n v="23150.985102104612"/>
    <n v="3.3253416019409014"/>
    <n v="3.2906255991627686"/>
    <n v="7.5220171344502109"/>
    <n v="59483.842537772463"/>
    <n v="90"/>
    <n v="62.783957302495395"/>
    <s v="OK"/>
  </r>
  <r>
    <d v="2040-02-19T00:00:00"/>
    <x v="3"/>
    <n v="90"/>
    <n v="-0.23780125601842803"/>
    <n v="29558.589758243725"/>
    <n v="3.4902901970561335"/>
    <n v="0.52989618228816449"/>
    <n v="6.1754570322092253"/>
    <n v="78582.951626311231"/>
    <n v="97"/>
    <n v="99.697959443571094"/>
    <s v="OK"/>
  </r>
  <r>
    <d v="2040-03-20T00:00:00"/>
    <x v="3"/>
    <n v="89"/>
    <n v="-0.244055718732091"/>
    <n v="42898.546688271592"/>
    <n v="3.3484101085828621"/>
    <n v="3.3925973382993093"/>
    <n v="4.4442227757975346"/>
    <n v="138228.38174279447"/>
    <n v="89"/>
    <m/>
    <s v="Missing Data"/>
  </r>
  <r>
    <d v="2040-04-19T00:00:00"/>
    <x v="1"/>
    <n v="105"/>
    <n v="-0.14398431531348344"/>
    <n v="25981.627160151347"/>
    <n v="3.8999709509710252"/>
    <n v="1.2888280707192188"/>
    <m/>
    <n v="74390.888579950668"/>
    <n v="106"/>
    <n v="85.284540569145889"/>
    <s v="Missing Data"/>
  </r>
  <r>
    <d v="2040-05-19T00:00:00"/>
    <x v="1"/>
    <n v="96"/>
    <n v="-0.20027447973645018"/>
    <n v="38195.584027220335"/>
    <n v="2.6918446957817062"/>
    <n v="3.2307641190665244"/>
    <n v="4.8628349226256429"/>
    <n v="103789.59642442162"/>
    <n v="91"/>
    <n v="54.565382805329421"/>
    <s v="OK"/>
  </r>
  <r>
    <d v="2040-06-18T00:00:00"/>
    <x v="2"/>
    <n v="97"/>
    <n v="-0.19402001702278721"/>
    <n v="38388.504070382201"/>
    <n v="2.9731587904268229"/>
    <n v="2.514273067836434"/>
    <n v="5.0978346625942574"/>
    <n v="120148.87946390397"/>
    <m/>
    <n v="83.711257809576708"/>
    <s v="Missing Data"/>
  </r>
  <r>
    <d v="2040-07-18T00:00:00"/>
    <x v="1"/>
    <n v="98"/>
    <n v="-0.18776555430912426"/>
    <n v="27232.058791460026"/>
    <n v="2.9660985392104036"/>
    <n v="1.5460605806033552"/>
    <n v="5.9108054013875453"/>
    <n v="74901.546639954147"/>
    <n v="93"/>
    <n v="67.633184129608679"/>
    <s v="OK"/>
  </r>
  <r>
    <d v="2040-08-17T00:00:00"/>
    <x v="2"/>
    <n v="990"/>
    <n v="5.3912151862782478"/>
    <n v="32844.915395926379"/>
    <n v="3.9751537959867878"/>
    <n v="2.0929636870732193"/>
    <n v="7.3649925048577289"/>
    <n v="103694.20949562166"/>
    <n v="89"/>
    <n v="90.927635320191868"/>
    <s v="OK"/>
  </r>
  <r>
    <d v="2040-09-16T00:00:00"/>
    <x v="1"/>
    <n v="108"/>
    <n v="-0.1252209271724945"/>
    <n v="38141.983115642688"/>
    <m/>
    <n v="3.1863184569567009"/>
    <n v="6.5247711718626684"/>
    <n v="118758.3107502131"/>
    <n v="73"/>
    <n v="52.875404188008794"/>
    <s v="Missing Data"/>
  </r>
  <r>
    <d v="2040-10-16T00:00:00"/>
    <x v="4"/>
    <n v="92"/>
    <n v="-0.22529233059110207"/>
    <n v="28104.361295062565"/>
    <n v="3.4477753907312643"/>
    <n v="2.6058944531152344"/>
    <n v="5.9978386004342923"/>
    <n v="100249.986438145"/>
    <n v="101"/>
    <n v="68.344353585718309"/>
    <s v="OK"/>
  </r>
  <r>
    <d v="2040-11-15T00:00:00"/>
    <x v="2"/>
    <n v="97"/>
    <n v="-0.19402001702278721"/>
    <n v="28982.098199488191"/>
    <n v="3.4155891384049948"/>
    <n v="3.084412980472484"/>
    <n v="6.0559462361417271"/>
    <n v="157368.06111333537"/>
    <n v="81"/>
    <n v="70.401494449506188"/>
    <s v="OK"/>
  </r>
  <r>
    <d v="2040-12-15T00:00:00"/>
    <x v="1"/>
    <n v="116"/>
    <n v="-7.518522546319073E-2"/>
    <n v="27091.595430256781"/>
    <n v="3.5350260815565906"/>
    <n v="4.4764405845154851"/>
    <n v="5.552217602372159"/>
    <n v="66628.014822436089"/>
    <n v="98"/>
    <n v="53.390635344037861"/>
    <s v="OK"/>
  </r>
  <r>
    <d v="2041-01-14T00:00:00"/>
    <x v="4"/>
    <m/>
    <n v="-0.80070290024809565"/>
    <n v="24926.216346535664"/>
    <n v="4.0809391513040953"/>
    <n v="0.93575838828894864"/>
    <n v="6.1697674174222072"/>
    <n v="121174.57059767758"/>
    <n v="92"/>
    <n v="31.54496349499852"/>
    <s v="Missing Data"/>
  </r>
  <r>
    <d v="2041-02-13T00:00:00"/>
    <x v="1"/>
    <n v="87"/>
    <n v="-0.25656464415941693"/>
    <n v="26753.612274669966"/>
    <n v="3.0363234329047128"/>
    <n v="4.1172125749686241"/>
    <n v="24.645279067668366"/>
    <n v="96543.965252070717"/>
    <m/>
    <n v="27.484752552986844"/>
    <s v="Missing Data"/>
  </r>
  <r>
    <d v="2041-03-15T00:00:00"/>
    <x v="0"/>
    <n v="103"/>
    <n v="-0.15649324074080936"/>
    <n v="23880.298666188719"/>
    <n v="3.6191844913673927"/>
    <n v="2.6043559375232128"/>
    <n v="5.144071049116242"/>
    <n v="115438.4030967335"/>
    <n v="101"/>
    <n v="21.333724047970648"/>
    <s v="OK"/>
  </r>
  <r>
    <d v="2041-04-14T00:00:00"/>
    <x v="0"/>
    <n v="115"/>
    <n v="-8.1439688176853695E-2"/>
    <n v="30170.417341296132"/>
    <n v="39.87598814891215"/>
    <n v="1.6012159516768718"/>
    <n v="5.7895863219001376"/>
    <n v="108826.14303398492"/>
    <n v="67"/>
    <n v="89.882741139617167"/>
    <s v="OK"/>
  </r>
  <r>
    <d v="2041-05-14T00:00:00"/>
    <x v="4"/>
    <n v="88"/>
    <n v="-0.25031018144575395"/>
    <n v="26150.13384470679"/>
    <n v="3.7505470849699227"/>
    <n v="1.1696863742610102"/>
    <n v="4.1187830996565911"/>
    <n v="85336.876057800066"/>
    <n v="101"/>
    <m/>
    <s v="Missing Data"/>
  </r>
  <r>
    <d v="2041-06-13T00:00:00"/>
    <x v="3"/>
    <n v="920"/>
    <n v="4.9534027963218392"/>
    <n v="31168.92955895374"/>
    <n v="3.5947908082993716"/>
    <n v="2.3108796092229666"/>
    <n v="5.9635879813738724"/>
    <n v="104579.9278491868"/>
    <n v="88"/>
    <n v="36.920539942541446"/>
    <s v="OK"/>
  </r>
  <r>
    <d v="2041-07-13T00:00:00"/>
    <x v="3"/>
    <n v="108"/>
    <n v="-0.1252209271724945"/>
    <n v="22220.521768981864"/>
    <n v="4.0005230462835701"/>
    <n v="3.4216501119244596"/>
    <n v="5.2546345348166543"/>
    <n v="62841.970972034258"/>
    <n v="89"/>
    <n v="78.88283203408524"/>
    <s v="OK"/>
  </r>
  <r>
    <d v="2041-08-12T00:00:00"/>
    <x v="0"/>
    <m/>
    <n v="-0.80070290024809565"/>
    <n v="31654.401161072285"/>
    <n v="2.1483838535003814"/>
    <n v="2.3724508796224657"/>
    <n v="7.6065708379785875"/>
    <n v="112064.95001142788"/>
    <n v="92"/>
    <n v="45.60128904699134"/>
    <s v="Missing Data"/>
  </r>
  <r>
    <d v="2041-09-11T00:00:00"/>
    <x v="0"/>
    <n v="86"/>
    <n v="-0.26281910687307991"/>
    <n v="34167.644808044621"/>
    <n v="3.8389376597654539"/>
    <n v="4.011154930247347"/>
    <n v="7.3876236702578275"/>
    <n v="105963.16931981052"/>
    <n v="85"/>
    <n v="604.83575392946921"/>
    <s v="OK"/>
  </r>
  <r>
    <d v="2041-10-11T00:00:00"/>
    <x v="3"/>
    <n v="87"/>
    <n v="-0.25656464415941693"/>
    <n v="20031.321787142722"/>
    <m/>
    <n v="1.0488243099484411"/>
    <n v="4.9410333170582046"/>
    <n v="112773.20337286204"/>
    <n v="86"/>
    <n v="33.000885223796502"/>
    <s v="Missing Data"/>
  </r>
  <r>
    <d v="2041-11-10T00:00:00"/>
    <x v="2"/>
    <n v="109"/>
    <n v="-0.11896646445883154"/>
    <n v="31870.282849237861"/>
    <n v="2.5846835515717714"/>
    <n v="2.4879110521539456"/>
    <n v="5.3189947461199658"/>
    <n v="121162.366501743"/>
    <n v="93"/>
    <n v="96.779657716957544"/>
    <s v="OK"/>
  </r>
  <r>
    <d v="2041-12-10T00:00:00"/>
    <x v="3"/>
    <n v="91"/>
    <n v="-0.23154679330476505"/>
    <n v="36138.344962366464"/>
    <n v="3.7556012997624904"/>
    <n v="1.2476065555868809"/>
    <n v="5.4112629212699286"/>
    <n v="107352.39680419421"/>
    <n v="84"/>
    <n v="88.126512001378984"/>
    <s v="OK"/>
  </r>
  <r>
    <d v="2042-01-09T00:00:00"/>
    <x v="1"/>
    <n v="107"/>
    <n v="-0.13147538988615748"/>
    <n v="23951.794906543972"/>
    <n v="4.1868292725814786"/>
    <n v="2.863631882624968"/>
    <n v="49.58008628608453"/>
    <n v="102961.78839596553"/>
    <n v="89"/>
    <n v="89.103169837200255"/>
    <s v="OK"/>
  </r>
  <r>
    <d v="2042-02-08T00:00:00"/>
    <x v="2"/>
    <n v="106"/>
    <n v="-0.13772985259982046"/>
    <n v="38362.861934188521"/>
    <n v="3.4312757426861542"/>
    <n v="3.3868873900973004"/>
    <n v="5.7340299808337525"/>
    <n v="82378.633266774152"/>
    <n v="98"/>
    <n v="52.541899885760415"/>
    <s v="OK"/>
  </r>
  <r>
    <d v="2042-03-10T00:00:00"/>
    <x v="1"/>
    <n v="92"/>
    <n v="-0.22529233059110207"/>
    <n v="32095.095046830225"/>
    <n v="3.9764372736014693"/>
    <n v="2.079238206318947"/>
    <n v="4.5900615173348918"/>
    <n v="85755.584727018984"/>
    <n v="85"/>
    <n v="809.88897096573828"/>
    <s v="OK"/>
  </r>
  <r>
    <d v="2042-04-09T00:00:00"/>
    <x v="0"/>
    <n v="90"/>
    <n v="-0.23780125601842803"/>
    <n v="26474.940721207957"/>
    <n v="4.3061391289943227"/>
    <n v="-0.10421385662713423"/>
    <n v="4.1432615980749681"/>
    <n v="1237346.9240354663"/>
    <n v="70"/>
    <n v="31.510092431182414"/>
    <s v="OK"/>
  </r>
  <r>
    <d v="2042-05-09T00:00:00"/>
    <x v="2"/>
    <n v="102"/>
    <n v="-0.16274770345447234"/>
    <n v="29721.15461171147"/>
    <n v="4.1574572267920233"/>
    <n v="2.6989481467964946"/>
    <n v="6.2472534686803218"/>
    <n v="1287267.0811411957"/>
    <n v="106"/>
    <n v="20.689520207342422"/>
    <s v="OK"/>
  </r>
  <r>
    <d v="2042-06-08T00:00:00"/>
    <x v="1"/>
    <n v="99"/>
    <n v="-0.18151109159546128"/>
    <n v="32791.634562608611"/>
    <n v="4.3199822646856969"/>
    <n v="2.9367385517335096"/>
    <n v="6.2554355010661729"/>
    <n v="95237.791273758921"/>
    <n v="91"/>
    <n v="21.597834606242252"/>
    <s v="OK"/>
  </r>
  <r>
    <d v="2042-07-08T00:00:00"/>
    <x v="1"/>
    <n v="88"/>
    <n v="-0.25031018144575395"/>
    <m/>
    <n v="3.8710637455359462"/>
    <n v="2.9042947549616978"/>
    <n v="4.5348210884080089"/>
    <n v="100920.05494506548"/>
    <n v="86"/>
    <n v="66.928138992364836"/>
    <s v="Missing Data"/>
  </r>
  <r>
    <d v="2042-08-07T00:00:00"/>
    <x v="2"/>
    <n v="100"/>
    <n v="-0.1752566288817983"/>
    <n v="32693.779962231845"/>
    <n v="3.5377168194507962"/>
    <n v="3.7357821918221541"/>
    <n v="6.5744265169151195"/>
    <n v="81907.712500124675"/>
    <n v="92"/>
    <n v="56.431592419835262"/>
    <s v="OK"/>
  </r>
  <r>
    <d v="2042-09-06T00:00:00"/>
    <x v="4"/>
    <m/>
    <n v="-0.80070290024809565"/>
    <n v="25396.632034603168"/>
    <n v="2.699017094051416"/>
    <n v="1.4289463203509511"/>
    <n v="4.7421067250016025"/>
    <n v="123455.13690534889"/>
    <n v="75"/>
    <n v="61.441227912681583"/>
    <s v="Missing Data"/>
  </r>
  <r>
    <d v="2042-10-06T00:00:00"/>
    <x v="3"/>
    <n v="106"/>
    <n v="-0.13772985259982046"/>
    <n v="30846.80412018039"/>
    <n v="3.3769687559350259"/>
    <n v="3.1802161054504494"/>
    <n v="5.803798285645577"/>
    <n v="113308.33647383557"/>
    <n v="116"/>
    <m/>
    <s v="Missing Data"/>
  </r>
  <r>
    <d v="2042-11-05T00:00:00"/>
    <x v="1"/>
    <m/>
    <n v="-0.80070290024809565"/>
    <n v="22931.427515475101"/>
    <n v="3.0783767023419042"/>
    <n v="3.6925075124779747"/>
    <n v="64.844128151349466"/>
    <n v="138824.34872927499"/>
    <n v="93"/>
    <n v="53.814929572594053"/>
    <s v="Missing Data"/>
  </r>
  <r>
    <d v="2042-12-05T00:00:00"/>
    <x v="3"/>
    <n v="98"/>
    <n v="-0.18776555430912426"/>
    <n v="29443.8696932565"/>
    <n v="4.5854713587489071"/>
    <n v="0.72141241599348316"/>
    <n v="5.459664922355544"/>
    <n v="82433.538456405222"/>
    <n v="92"/>
    <n v="77.445452896068872"/>
    <s v="OK"/>
  </r>
  <r>
    <d v="2043-01-04T00:00:00"/>
    <x v="3"/>
    <n v="119"/>
    <n v="-5.6421837322201809E-2"/>
    <n v="254804.61792676052"/>
    <n v="3.4120570937838317"/>
    <n v="2.8196518259189771"/>
    <n v="6.0456890945693615"/>
    <n v="92439.84201963566"/>
    <n v="92"/>
    <n v="55.41549615739487"/>
    <s v="OK"/>
  </r>
  <r>
    <d v="2043-02-03T00:00:00"/>
    <x v="0"/>
    <n v="99"/>
    <n v="-0.18151109159546128"/>
    <n v="26322.350287051166"/>
    <n v="3.5616024033922429"/>
    <n v="1.9958201689923285"/>
    <m/>
    <n v="104628.91845051144"/>
    <m/>
    <n v="78.577536504977786"/>
    <s v="Missing Data"/>
  </r>
  <r>
    <d v="2043-03-05T00:00:00"/>
    <x v="3"/>
    <n v="87"/>
    <n v="-0.25656464415941693"/>
    <n v="36180.465876052185"/>
    <n v="3.7757426880202338"/>
    <n v="2.4184773268983539"/>
    <n v="5.2642400998862833"/>
    <n v="112929.79075451542"/>
    <n v="94"/>
    <n v="38.641517151746783"/>
    <s v="OK"/>
  </r>
  <r>
    <d v="2043-04-04T00:00:00"/>
    <x v="1"/>
    <m/>
    <n v="-0.80070290024809565"/>
    <n v="35456.550602971343"/>
    <n v="3.5218012231862268"/>
    <n v="2.8476764835383364"/>
    <n v="5.2529686829435915"/>
    <n v="95686.647249047353"/>
    <n v="93"/>
    <n v="85.051360358538034"/>
    <s v="Missing Data"/>
  </r>
  <r>
    <d v="2043-05-04T00:00:00"/>
    <x v="0"/>
    <n v="103"/>
    <n v="-0.15649324074080936"/>
    <n v="33045.690604535885"/>
    <n v="4.3475255202153766"/>
    <n v="2.0127714358864477"/>
    <n v="4.6041059841517136"/>
    <n v="82540.778190925994"/>
    <n v="84"/>
    <n v="67.074499236276182"/>
    <s v="OK"/>
  </r>
  <r>
    <d v="2043-06-03T00:00:00"/>
    <x v="2"/>
    <n v="79"/>
    <n v="-0.30660034586872076"/>
    <n v="24538.436176637104"/>
    <n v="3.1886753191327739"/>
    <n v="1.8242919208383883"/>
    <n v="5.2878710042610617"/>
    <n v="117628.15057847142"/>
    <n v="1050"/>
    <n v="36.861047954392497"/>
    <s v="OK"/>
  </r>
  <r>
    <d v="2043-07-03T00:00:00"/>
    <x v="1"/>
    <n v="110"/>
    <n v="-0.11271200174516857"/>
    <n v="28417.957751525992"/>
    <n v="3.5973037276186215"/>
    <n v="2.5341524174880248"/>
    <m/>
    <n v="114422.70725091163"/>
    <n v="95"/>
    <n v="38.937638068306633"/>
    <s v="Missing Data"/>
  </r>
  <r>
    <d v="2043-08-02T00:00:00"/>
    <x v="0"/>
    <n v="95"/>
    <n v="-0.20652894245011316"/>
    <n v="36065.488499895917"/>
    <n v="3.1287647071509759"/>
    <n v="1.4127540611371974"/>
    <n v="4.9106155034294741"/>
    <n v="81674.517988725507"/>
    <n v="80"/>
    <n v="70.242437165562961"/>
    <s v="OK"/>
  </r>
  <r>
    <d v="2043-09-01T00:00:00"/>
    <x v="0"/>
    <n v="101"/>
    <n v="-0.16900216616813532"/>
    <n v="30708.584568199523"/>
    <n v="2.8399887443896472"/>
    <n v="1.4141748711148145"/>
    <n v="5.1581494079563948"/>
    <n v="127108.85602210992"/>
    <n v="89"/>
    <n v="86.395167456995466"/>
    <s v="OK"/>
  </r>
  <r>
    <d v="2043-10-01T00:00:00"/>
    <x v="3"/>
    <n v="95"/>
    <n v="-0.20652894245011316"/>
    <n v="41596.64769990847"/>
    <n v="3.1941154545473571"/>
    <n v="3.1793732829565036"/>
    <n v="5.1925842970055438"/>
    <n v="123403.97418393208"/>
    <n v="93"/>
    <m/>
    <s v="Missing Data"/>
  </r>
  <r>
    <d v="2043-10-31T00:00:00"/>
    <x v="2"/>
    <n v="107"/>
    <n v="-0.13147538988615748"/>
    <n v="31966.589196971858"/>
    <n v="3.4814816014757941"/>
    <n v="1.3512059648413439"/>
    <n v="5.2102030649550652"/>
    <n v="102685.92994495586"/>
    <n v="85"/>
    <n v="40.664034330207379"/>
    <s v="OK"/>
  </r>
  <r>
    <d v="2043-11-30T00:00:00"/>
    <x v="1"/>
    <n v="91"/>
    <n v="-0.23154679330476505"/>
    <m/>
    <n v="3.2853488877413701"/>
    <n v="3.1663125009092119"/>
    <n v="5.4258829601678453"/>
    <n v="101591.95724752072"/>
    <n v="81"/>
    <n v="89.360928552848037"/>
    <s v="Missing Data"/>
  </r>
  <r>
    <d v="2043-12-30T00:00:00"/>
    <x v="1"/>
    <n v="87"/>
    <n v="-0.25656464415941693"/>
    <n v="28454.417678987495"/>
    <n v="3.153789510063072"/>
    <n v="2.9625912928539511"/>
    <n v="6.075329821703277"/>
    <n v="111081.15542231814"/>
    <n v="81"/>
    <m/>
    <s v="Missing Data"/>
  </r>
  <r>
    <d v="2044-01-29T00:00:00"/>
    <x v="3"/>
    <n v="100"/>
    <n v="-0.1752566288817983"/>
    <n v="30667.704523911412"/>
    <n v="2.7968412681640831"/>
    <n v="0.77419327120940329"/>
    <n v="6.5494204889590275"/>
    <n v="82765.938594874839"/>
    <n v="88"/>
    <n v="55.846838982646119"/>
    <s v="OK"/>
  </r>
  <r>
    <d v="2044-02-28T00:00:00"/>
    <x v="2"/>
    <n v="117"/>
    <n v="-6.8930762749527752E-2"/>
    <n v="29237.650818097281"/>
    <n v="3.4584472136856528"/>
    <m/>
    <n v="4.7202817277820799"/>
    <n v="100600.62958328164"/>
    <n v="88"/>
    <n v="59.032015622344147"/>
    <s v="Missing Data"/>
  </r>
  <r>
    <d v="2044-03-29T00:00:00"/>
    <x v="1"/>
    <n v="102"/>
    <n v="-0.16274770345447234"/>
    <m/>
    <n v="2.7476398129844988"/>
    <m/>
    <n v="4.0561589735330266"/>
    <n v="56952.329107816389"/>
    <n v="103"/>
    <m/>
    <s v="Missing Data"/>
  </r>
  <r>
    <d v="2044-04-28T00:00:00"/>
    <x v="2"/>
    <n v="88"/>
    <n v="-0.25031018144575395"/>
    <n v="34783.511583972919"/>
    <n v="3.8800279818448011"/>
    <n v="1.5188344688603184"/>
    <n v="4.2495467053082763"/>
    <n v="117529.11291005871"/>
    <n v="91"/>
    <n v="70.144210405187522"/>
    <s v="OK"/>
  </r>
  <r>
    <d v="2044-05-28T00:00:00"/>
    <x v="1"/>
    <n v="100"/>
    <n v="-0.1752566288817983"/>
    <n v="26070.052697460254"/>
    <n v="3.5412198764672516"/>
    <n v="2.0355957376906124"/>
    <n v="4.9153564945660877"/>
    <n v="68770.135551162821"/>
    <m/>
    <n v="48.699400843431093"/>
    <s v="Missing Data"/>
  </r>
  <r>
    <d v="2044-06-27T00:00:00"/>
    <x v="3"/>
    <n v="81"/>
    <n v="-0.2940914204413948"/>
    <n v="23343.83523221111"/>
    <n v="2.7712242502675348"/>
    <n v="2.9620608932518966"/>
    <n v="5.0776944186201893"/>
    <n v="130068.39656857998"/>
    <n v="95"/>
    <n v="99.651614133947945"/>
    <s v="OK"/>
  </r>
  <r>
    <d v="2044-07-27T00:00:00"/>
    <x v="4"/>
    <n v="91"/>
    <n v="-0.23154679330476505"/>
    <n v="20818.973134483516"/>
    <n v="3.3453954614750683"/>
    <n v="3.2833905092825955"/>
    <n v="4.5760047205630512"/>
    <n v="93397.598120670998"/>
    <n v="109"/>
    <n v="58.414681220951024"/>
    <s v="OK"/>
  </r>
  <r>
    <d v="2044-08-26T00:00:00"/>
    <x v="1"/>
    <n v="90"/>
    <n v="-0.23780125601842803"/>
    <n v="32539.956634562717"/>
    <n v="3.1239217972047086"/>
    <m/>
    <n v="3.9446600029001266"/>
    <n v="95766.66036137646"/>
    <n v="85"/>
    <n v="58.870848495169056"/>
    <s v="Missing Data"/>
  </r>
  <r>
    <d v="2044-09-25T00:00:00"/>
    <x v="0"/>
    <n v="102"/>
    <n v="-0.16274770345447234"/>
    <n v="24483.166969130631"/>
    <n v="3.6595872552095901"/>
    <n v="1.9024898053083583"/>
    <n v="4.9526550070309741"/>
    <n v="87445.321878309886"/>
    <n v="81"/>
    <n v="65.268142992853754"/>
    <s v="OK"/>
  </r>
  <r>
    <d v="2044-10-25T00:00:00"/>
    <x v="0"/>
    <n v="109"/>
    <n v="-0.11896646445883154"/>
    <n v="19235.547035237585"/>
    <n v="4.1702252230115722"/>
    <n v="3.9223698616985079"/>
    <n v="5.7177119441367656"/>
    <n v="94239.222521558477"/>
    <n v="97"/>
    <n v="93.340480249499734"/>
    <s v="OK"/>
  </r>
  <r>
    <d v="2044-11-24T00:00:00"/>
    <x v="4"/>
    <n v="101"/>
    <n v="-0.16900216616813532"/>
    <n v="31942.893022654822"/>
    <n v="2.5624137651771277"/>
    <n v="4.2388996637975787"/>
    <n v="6.2140353590026773"/>
    <n v="128370.62690296074"/>
    <n v="87"/>
    <n v="84.065447988780022"/>
    <s v="OK"/>
  </r>
  <r>
    <d v="2044-12-24T00:00:00"/>
    <x v="1"/>
    <n v="97"/>
    <n v="-0.19402001702278721"/>
    <n v="42464.997587163954"/>
    <n v="35.575130395737084"/>
    <n v="3.4788580507817954"/>
    <n v="4.8310923362700144"/>
    <n v="50243.826869298413"/>
    <n v="94"/>
    <n v="56.090405583827312"/>
    <s v="OK"/>
  </r>
  <r>
    <d v="2045-01-23T00:00:00"/>
    <x v="0"/>
    <n v="88"/>
    <n v="-0.25031018144575395"/>
    <n v="29969.645442300534"/>
    <n v="3.41993360221668"/>
    <n v="2.5853181425650242"/>
    <n v="5.004402613427879"/>
    <n v="125539.30772176376"/>
    <n v="990"/>
    <n v="77.495941277823675"/>
    <s v="OK"/>
  </r>
  <r>
    <d v="2045-02-22T00:00:00"/>
    <x v="0"/>
    <n v="960"/>
    <n v="5.2035813048683588"/>
    <n v="34192.453872258207"/>
    <n v="3.8356700382252327"/>
    <n v="1.6917342783590736"/>
    <n v="4.3879620293832273"/>
    <n v="106760.46962203416"/>
    <m/>
    <n v="66.898839902460935"/>
    <s v="Missing Data"/>
  </r>
  <r>
    <d v="2045-03-24T00:00:00"/>
    <x v="1"/>
    <n v="104"/>
    <n v="-0.15023877802714641"/>
    <n v="30409.146792737825"/>
    <m/>
    <n v="1.6695555934434347"/>
    <n v="5.4622729955502685"/>
    <n v="75859.567042855691"/>
    <n v="111"/>
    <n v="59.389363896099916"/>
    <s v="Missing Data"/>
  </r>
  <r>
    <d v="2045-04-23T00:00:00"/>
    <x v="2"/>
    <n v="106"/>
    <n v="-0.13772985259982046"/>
    <n v="29505.551734044286"/>
    <n v="3.1240153341305903"/>
    <n v="3.0225141052657576"/>
    <n v="4.481885638971022"/>
    <n v="78493.75213901524"/>
    <n v="85"/>
    <n v="35.385261822748042"/>
    <s v="OK"/>
  </r>
  <r>
    <d v="2045-05-23T00:00:00"/>
    <x v="1"/>
    <n v="91"/>
    <n v="-0.23154679330476505"/>
    <n v="34595.382414938846"/>
    <n v="3.3404730321666909"/>
    <n v="2.9183982208886836"/>
    <m/>
    <n v="133527.86054416405"/>
    <n v="87"/>
    <n v="57.114901076391277"/>
    <s v="Missing Data"/>
  </r>
  <r>
    <d v="2045-06-22T00:00:00"/>
    <x v="2"/>
    <n v="110"/>
    <n v="-0.11271200174516857"/>
    <n v="28548.627279056742"/>
    <n v="3.1019870715982556"/>
    <n v="3.9015985929464296"/>
    <n v="3.3569602096790665"/>
    <n v="81089.862401145379"/>
    <n v="88"/>
    <n v="39.665486961805968"/>
    <s v="OK"/>
  </r>
  <r>
    <d v="2045-07-22T00:00:00"/>
    <x v="4"/>
    <n v="104"/>
    <n v="-0.15023877802714641"/>
    <n v="31336.961570359515"/>
    <n v="4.038003569299299"/>
    <n v="3.1504500925361389"/>
    <n v="5.0684443930570451"/>
    <n v="76932.989788080813"/>
    <n v="82"/>
    <n v="93.187371988132369"/>
    <s v="OK"/>
  </r>
  <r>
    <d v="2045-08-21T00:00:00"/>
    <x v="3"/>
    <n v="85"/>
    <n v="-0.26907356958674289"/>
    <n v="31608.489030980068"/>
    <n v="3.5106558243359709"/>
    <n v="0.99691969824018201"/>
    <n v="5.8613288070300902"/>
    <n v="122746.29084729459"/>
    <n v="84"/>
    <n v="46.832545079707756"/>
    <s v="OK"/>
  </r>
  <r>
    <d v="2045-09-20T00:00:00"/>
    <x v="4"/>
    <n v="107"/>
    <n v="-0.13147538988615748"/>
    <n v="26659.547731784754"/>
    <n v="4.4505953428765039"/>
    <n v="3.5519476177229183"/>
    <n v="5.7206014195870054"/>
    <n v="106771.05752571828"/>
    <n v="79"/>
    <n v="96.181121162669783"/>
    <s v="OK"/>
  </r>
  <r>
    <d v="2045-10-20T00:00:00"/>
    <x v="3"/>
    <n v="111"/>
    <n v="-0.10645753903150559"/>
    <n v="34960.211747682617"/>
    <n v="3.4696695930926897"/>
    <n v="1.501939372685587"/>
    <n v="8.7316403967765961"/>
    <n v="81241.488469272022"/>
    <n v="87"/>
    <n v="62.644423207576892"/>
    <s v="OK"/>
  </r>
  <r>
    <d v="2045-11-19T00:00:00"/>
    <x v="0"/>
    <m/>
    <n v="-0.80070290024809565"/>
    <n v="29125.201216522957"/>
    <n v="3.1457966165447688"/>
    <n v="2.1160287280476484"/>
    <m/>
    <n v="104332.49950809238"/>
    <n v="92"/>
    <n v="70.523550294092828"/>
    <s v="Missing Data"/>
  </r>
  <r>
    <d v="2045-12-19T00:00:00"/>
    <x v="0"/>
    <n v="94"/>
    <n v="-0.21278340516377614"/>
    <n v="26221.274202535777"/>
    <n v="2.7431428036935865"/>
    <n v="2.7502002062516944"/>
    <n v="4.295134483789588"/>
    <n v="79484.946327194455"/>
    <n v="79"/>
    <n v="63.435235559146221"/>
    <s v="OK"/>
  </r>
  <r>
    <d v="2046-01-18T00:00:00"/>
    <x v="0"/>
    <n v="91"/>
    <n v="-0.23154679330476505"/>
    <n v="32682.549217852018"/>
    <n v="2.5984301618720274"/>
    <n v="4.4956674897839646"/>
    <n v="5.3854429034931126"/>
    <n v="122016.4279684521"/>
    <n v="95"/>
    <n v="30.350449357336071"/>
    <s v="OK"/>
  </r>
  <r>
    <d v="2046-02-17T00:00:00"/>
    <x v="2"/>
    <n v="89"/>
    <n v="-0.244055718732091"/>
    <n v="25507.660091044814"/>
    <n v="2.7079320284972552"/>
    <n v="5.6099185560053613"/>
    <n v="3.368504399840258"/>
    <n v="121227.41929746268"/>
    <n v="96"/>
    <n v="50.065697520635275"/>
    <s v="OK"/>
  </r>
  <r>
    <d v="2046-03-19T00:00:00"/>
    <x v="3"/>
    <n v="98"/>
    <n v="-0.18776555430912426"/>
    <n v="30140.90578684564"/>
    <m/>
    <n v="3.1067230591361827"/>
    <n v="5.4032803008438872"/>
    <n v="110640.12397643886"/>
    <n v="90"/>
    <n v="27.931688982209913"/>
    <s v="Missing Data"/>
  </r>
  <r>
    <d v="2046-04-18T00:00:00"/>
    <x v="0"/>
    <n v="110"/>
    <n v="-0.11271200174516857"/>
    <n v="29954.405016778983"/>
    <n v="3.7543625116149668"/>
    <n v="2.3168033812796121"/>
    <n v="4.50033273159909"/>
    <n v="107233.22122494034"/>
    <n v="95"/>
    <n v="69.836323534670541"/>
    <s v="OK"/>
  </r>
  <r>
    <d v="2046-05-18T00:00:00"/>
    <x v="1"/>
    <n v="93"/>
    <n v="-0.21903786787743912"/>
    <n v="35429.477829157891"/>
    <n v="2.7094046489839334"/>
    <n v="3.0345056484805504"/>
    <m/>
    <n v="135223.76249734749"/>
    <m/>
    <n v="55.749935616035117"/>
    <s v="Missing Data"/>
  </r>
  <r>
    <d v="2046-06-17T00:00:00"/>
    <x v="3"/>
    <n v="103"/>
    <n v="-0.15649324074080936"/>
    <n v="32373.491164399762"/>
    <n v="3.9475191570380579"/>
    <n v="3.3876554258738363"/>
    <n v="4.8405516704853584"/>
    <m/>
    <n v="96"/>
    <n v="82.238797725674942"/>
    <s v="Missing Data"/>
  </r>
  <r>
    <d v="2046-07-17T00:00:00"/>
    <x v="3"/>
    <m/>
    <n v="-0.80070290024809565"/>
    <m/>
    <m/>
    <n v="2.1793323744428084"/>
    <n v="5.3598809010457042"/>
    <n v="76362.517491583974"/>
    <n v="89"/>
    <n v="37.637638479949587"/>
    <s v="Missing Data"/>
  </r>
  <r>
    <d v="2046-08-16T00:00:00"/>
    <x v="2"/>
    <n v="101"/>
    <n v="-0.16900216616813532"/>
    <n v="34088.831496001432"/>
    <n v="3.5733965059927746"/>
    <n v="42.952113559123219"/>
    <n v="4.7373305903147163"/>
    <m/>
    <n v="87"/>
    <n v="33.165284674346793"/>
    <s v="Missing Data"/>
  </r>
  <r>
    <d v="2046-09-15T00:00:00"/>
    <x v="4"/>
    <n v="94"/>
    <n v="-0.21278340516377614"/>
    <n v="369510.37745086564"/>
    <n v="4.3061103141277126"/>
    <n v="2.7300707591914022"/>
    <n v="7.5866216222239977"/>
    <n v="1417209.4099074227"/>
    <n v="96"/>
    <n v="52.506578477101428"/>
    <s v="OK"/>
  </r>
  <r>
    <d v="2046-10-15T00:00:00"/>
    <x v="2"/>
    <n v="108"/>
    <n v="-0.1252209271724945"/>
    <n v="32789.051531759309"/>
    <n v="3.9484196579327659"/>
    <n v="2.9977430890913941"/>
    <n v="5.1145086806585063"/>
    <n v="79704.810136282962"/>
    <n v="102"/>
    <n v="94.126830657470492"/>
    <s v="OK"/>
  </r>
  <r>
    <d v="2046-11-14T00:00:00"/>
    <x v="0"/>
    <n v="113"/>
    <n v="-9.3948613604179651E-2"/>
    <n v="30051.763099216903"/>
    <n v="3.3657346760470839"/>
    <n v="3.1659242520544613"/>
    <n v="7.6990684521750419"/>
    <n v="92770.744666120285"/>
    <n v="72"/>
    <n v="76.833745200992936"/>
    <s v="OK"/>
  </r>
  <r>
    <d v="2046-12-14T00:00:00"/>
    <x v="1"/>
    <n v="115"/>
    <n v="-8.1439688176853695E-2"/>
    <n v="23440.818838249201"/>
    <n v="3.0544038872923562"/>
    <n v="2.9215866106144555"/>
    <n v="6.4769821145419195"/>
    <m/>
    <n v="88"/>
    <n v="53.513889983433494"/>
    <s v="Missing Data"/>
  </r>
  <r>
    <d v="2047-01-13T00:00:00"/>
    <x v="1"/>
    <n v="98"/>
    <n v="-0.18776555430912426"/>
    <n v="24674.431684623138"/>
    <n v="2.4240922993353475"/>
    <n v="3.3389405004696124"/>
    <n v="6.0784800728024635"/>
    <n v="98921.903019885212"/>
    <n v="81"/>
    <n v="61.381773580344841"/>
    <s v="OK"/>
  </r>
  <r>
    <d v="2047-02-12T00:00:00"/>
    <x v="0"/>
    <n v="93"/>
    <n v="-0.21903786787743912"/>
    <n v="28473.876478226663"/>
    <n v="3.1404233403787898"/>
    <n v="18.827468134530768"/>
    <n v="5.942479776781024"/>
    <n v="80353.928392453701"/>
    <n v="92"/>
    <n v="26.737040894167869"/>
    <s v="OK"/>
  </r>
  <r>
    <d v="2047-03-14T00:00:00"/>
    <x v="1"/>
    <n v="104"/>
    <n v="-0.15023877802714641"/>
    <n v="26952.438989203583"/>
    <m/>
    <n v="1.9416982460539693"/>
    <n v="5.9725567578595022"/>
    <n v="122437.15712460942"/>
    <m/>
    <n v="98.766071710089051"/>
    <s v="Missing Data"/>
  </r>
  <r>
    <d v="2047-04-13T00:00:00"/>
    <x v="2"/>
    <n v="870"/>
    <n v="4.6406796606386909"/>
    <n v="29065.143485072771"/>
    <n v="3.0064102364244079"/>
    <n v="1.3998457670283051"/>
    <n v="3.1867929047852681"/>
    <n v="146400.81444034519"/>
    <n v="102"/>
    <n v="73.312584375593516"/>
    <s v="OK"/>
  </r>
  <r>
    <d v="2047-05-13T00:00:00"/>
    <x v="2"/>
    <n v="89"/>
    <n v="-0.244055718732091"/>
    <m/>
    <n v="3.4343715164538478"/>
    <m/>
    <n v="5.1653399270190921"/>
    <n v="103922.62918047815"/>
    <n v="80"/>
    <n v="42.832325477073795"/>
    <s v="Missing Data"/>
  </r>
  <r>
    <d v="2047-06-12T00:00:00"/>
    <x v="0"/>
    <n v="86"/>
    <n v="-0.26281910687307991"/>
    <n v="32648.463771783652"/>
    <n v="3.5384259414793839"/>
    <n v="3.2789365035121141"/>
    <n v="6.5141895654211854"/>
    <n v="81918.634205279988"/>
    <n v="84"/>
    <m/>
    <s v="Missing Data"/>
  </r>
  <r>
    <d v="2047-07-12T00:00:00"/>
    <x v="1"/>
    <n v="93"/>
    <n v="-0.21903786787743912"/>
    <n v="29647.506109704544"/>
    <n v="3.3875720090959609"/>
    <n v="2.9577728661518856"/>
    <n v="5.4413233798310729"/>
    <n v="69020.789498930506"/>
    <n v="89"/>
    <n v="28.75858928551952"/>
    <s v="OK"/>
  </r>
  <r>
    <d v="2047-08-11T00:00:00"/>
    <x v="3"/>
    <n v="104"/>
    <n v="-0.15023877802714641"/>
    <n v="32432.50821913101"/>
    <n v="3.1749987095882704"/>
    <n v="4.1744924333475373"/>
    <n v="3.8137721838357099"/>
    <n v="105159.51962442361"/>
    <n v="79"/>
    <n v="97.266933504606683"/>
    <s v="OK"/>
  </r>
  <r>
    <d v="2047-09-10T00:00:00"/>
    <x v="4"/>
    <n v="91"/>
    <n v="-0.23154679330476505"/>
    <m/>
    <m/>
    <n v="2.4944039811709535"/>
    <n v="5.4371146593070367"/>
    <n v="122077.54686632515"/>
    <m/>
    <n v="33.982799030669277"/>
    <s v="Missing Data"/>
  </r>
  <r>
    <d v="2047-10-10T00:00:00"/>
    <x v="3"/>
    <n v="113"/>
    <n v="-9.3948613604179651E-2"/>
    <n v="20122.667168230644"/>
    <n v="3.7209703247847044"/>
    <n v="3.1687416555925125"/>
    <n v="7.5449266195065894"/>
    <n v="1095033.5492990762"/>
    <n v="80"/>
    <n v="71.842425444417131"/>
    <s v="OK"/>
  </r>
  <r>
    <d v="2047-11-09T00:00:00"/>
    <x v="2"/>
    <n v="103"/>
    <n v="-0.15649324074080936"/>
    <n v="25303.323030906227"/>
    <n v="2.9548004612785768"/>
    <n v="1.4082991238606857"/>
    <n v="6.9962700586416631"/>
    <n v="99951.923181622929"/>
    <n v="89"/>
    <m/>
    <s v="Missing Data"/>
  </r>
  <r>
    <d v="2047-12-09T00:00:00"/>
    <x v="2"/>
    <n v="98"/>
    <n v="-0.18776555430912426"/>
    <n v="29279.562221391923"/>
    <n v="4.2054661898731354"/>
    <n v="2.112900297525599"/>
    <n v="5.4255951887607621"/>
    <n v="88214.566964213882"/>
    <n v="75"/>
    <n v="77.404910611882855"/>
    <s v="OK"/>
  </r>
  <r>
    <d v="2048-01-08T00:00:00"/>
    <x v="2"/>
    <n v="100"/>
    <n v="-0.1752566288817983"/>
    <n v="23951.526285794462"/>
    <n v="3.4507059338578689"/>
    <n v="3.1955377575657775"/>
    <n v="6.6417391324697039"/>
    <n v="78156.72734563821"/>
    <n v="84"/>
    <n v="82.145709379222481"/>
    <s v="OK"/>
  </r>
  <r>
    <d v="2048-02-07T00:00:00"/>
    <x v="2"/>
    <n v="89"/>
    <n v="-0.244055718732091"/>
    <n v="32999.643649981022"/>
    <n v="3.509424811472424"/>
    <n v="3.3491021107431438"/>
    <n v="5.0601915755583375"/>
    <n v="116695.02652649765"/>
    <n v="65"/>
    <n v="73.873578312914617"/>
    <s v="OK"/>
  </r>
  <r>
    <d v="2048-03-08T00:00:00"/>
    <x v="4"/>
    <n v="83"/>
    <n v="-0.28158249501406885"/>
    <n v="37653.754161718491"/>
    <n v="3.8541072116282784"/>
    <n v="2.2060330523358176"/>
    <n v="3.4553540958079374"/>
    <n v="118275.43242771171"/>
    <n v="98"/>
    <n v="69.159956820415402"/>
    <s v="OK"/>
  </r>
  <r>
    <d v="2048-04-07T00:00:00"/>
    <x v="0"/>
    <n v="92"/>
    <n v="-0.22529233059110207"/>
    <n v="36093.809258486581"/>
    <n v="3.616608065631751"/>
    <n v="2.4284007481419332"/>
    <n v="4.3906408142445343"/>
    <n v="69085.404266185331"/>
    <n v="89"/>
    <n v="91.397527516160935"/>
    <s v="OK"/>
  </r>
  <r>
    <d v="2048-05-07T00:00:00"/>
    <x v="2"/>
    <m/>
    <n v="-0.80070290024809565"/>
    <n v="28932.785645348958"/>
    <n v="3.9765683169566226"/>
    <n v="0.98212625331919057"/>
    <n v="7.3754665222098374"/>
    <n v="131796.77956361367"/>
    <n v="88"/>
    <n v="26.290136879180643"/>
    <s v="Missing Data"/>
  </r>
  <r>
    <d v="2048-06-06T00:00:00"/>
    <x v="1"/>
    <m/>
    <n v="-0.80070290024809565"/>
    <n v="37453.630684249758"/>
    <n v="3.6435620826009121"/>
    <n v="2.1429707991933906"/>
    <n v="5.1712083018048354"/>
    <n v="111481.42441788003"/>
    <n v="98"/>
    <m/>
    <s v="Missing Data"/>
  </r>
  <r>
    <d v="2048-07-06T00:00:00"/>
    <x v="4"/>
    <n v="102"/>
    <n v="-0.16274770345447234"/>
    <n v="30743.337286010559"/>
    <n v="3.1937813126797812"/>
    <n v="3.3903831635197861"/>
    <m/>
    <n v="127991.89290291586"/>
    <n v="88"/>
    <n v="39.862998370467679"/>
    <s v="Missing Data"/>
  </r>
  <r>
    <d v="2048-08-05T00:00:00"/>
    <x v="2"/>
    <n v="107"/>
    <n v="-0.13147538988615748"/>
    <n v="28314.570144409805"/>
    <n v="3.6807517626030508"/>
    <n v="3.0752050161065663"/>
    <m/>
    <n v="73157.445030297706"/>
    <n v="89"/>
    <n v="99.041116965233726"/>
    <s v="Missing Data"/>
  </r>
  <r>
    <d v="2048-09-04T00:00:00"/>
    <x v="1"/>
    <n v="103"/>
    <n v="-0.15649324074080936"/>
    <n v="269329.86682295299"/>
    <n v="2.928136896339669"/>
    <n v="3.0006657213812096"/>
    <n v="7.784963907487608"/>
    <n v="72683.516891691223"/>
    <n v="103"/>
    <n v="51.151182373349883"/>
    <s v="OK"/>
  </r>
  <r>
    <d v="2048-10-04T00:00:00"/>
    <x v="2"/>
    <n v="100"/>
    <n v="-0.1752566288817983"/>
    <m/>
    <n v="3.5542798528882615"/>
    <n v="2.5497736871809602"/>
    <n v="7.4511506984344757"/>
    <n v="97020.613804654058"/>
    <n v="85"/>
    <n v="78.609015939231895"/>
    <s v="Missing Data"/>
  </r>
  <r>
    <d v="2048-11-03T00:00:00"/>
    <x v="0"/>
    <m/>
    <n v="-0.80070290024809565"/>
    <n v="28059.115907293857"/>
    <n v="3.4833850046777695"/>
    <n v="2.5070631586281764"/>
    <n v="8.1625362801377612"/>
    <n v="110055.68853790389"/>
    <n v="90"/>
    <m/>
    <s v="Missing Data"/>
  </r>
  <r>
    <d v="2048-12-03T00:00:00"/>
    <x v="4"/>
    <n v="85"/>
    <n v="-0.26907356958674289"/>
    <n v="30852.08111187744"/>
    <n v="3.3959415713637302"/>
    <n v="1.8396788605265528"/>
    <n v="5.3091457475199384"/>
    <n v="135927.21645853927"/>
    <n v="84"/>
    <n v="36.966498998190218"/>
    <s v="OK"/>
  </r>
  <r>
    <d v="2049-01-02T00:00:00"/>
    <x v="0"/>
    <n v="107"/>
    <n v="-0.13147538988615748"/>
    <n v="30802.869905249325"/>
    <n v="3.4357312442805346"/>
    <n v="3.1988284202025348"/>
    <n v="5.8547493864965139"/>
    <n v="114121.57827630264"/>
    <n v="78"/>
    <n v="39.119814416924108"/>
    <s v="OK"/>
  </r>
  <r>
    <d v="2049-02-01T00:00:00"/>
    <x v="4"/>
    <n v="106"/>
    <n v="-0.13772985259982046"/>
    <n v="30015.230100767072"/>
    <n v="2.5590754772511803"/>
    <n v="2.9209729443893897"/>
    <n v="3.6800289406950508"/>
    <n v="95146.374463759334"/>
    <n v="84"/>
    <n v="42.502765084242725"/>
    <s v="OK"/>
  </r>
  <r>
    <d v="2049-03-03T00:00:00"/>
    <x v="2"/>
    <n v="92"/>
    <n v="-0.22529233059110207"/>
    <n v="32184.690848731749"/>
    <n v="3.2256375461295193"/>
    <n v="2.9920188479927994"/>
    <n v="7.2723213113419289"/>
    <n v="79472.615846682165"/>
    <n v="70"/>
    <n v="52.890182260750336"/>
    <s v="OK"/>
  </r>
  <r>
    <d v="2049-04-02T00:00:00"/>
    <x v="2"/>
    <n v="110"/>
    <n v="-0.11271200174516857"/>
    <n v="35953.231373931703"/>
    <m/>
    <n v="1.9739651573324197"/>
    <n v="4.0986645384784781"/>
    <n v="124600.011454383"/>
    <n v="74"/>
    <n v="38.746005252042146"/>
    <s v="Missing Data"/>
  </r>
  <r>
    <d v="2049-05-02T00:00:00"/>
    <x v="4"/>
    <n v="93"/>
    <n v="-0.21903786787743912"/>
    <n v="34747.770677206616"/>
    <n v="3.5799281959987002"/>
    <n v="0.34665708012875562"/>
    <n v="5.7601306765151552"/>
    <n v="80705.89148498571"/>
    <n v="88"/>
    <n v="21.572118619747826"/>
    <s v="OK"/>
  </r>
  <r>
    <d v="2049-06-01T00:00:00"/>
    <x v="1"/>
    <m/>
    <n v="-0.80070290024809565"/>
    <n v="22575.510157750483"/>
    <n v="2.9861624295370208"/>
    <n v="3.5971527117536954"/>
    <n v="4.1832369668405871"/>
    <n v="132569.37109544643"/>
    <m/>
    <n v="90.351444544575642"/>
    <s v="Missing Data"/>
  </r>
  <r>
    <d v="2049-07-01T00:00:00"/>
    <x v="1"/>
    <n v="117"/>
    <n v="-6.8930762749527752E-2"/>
    <n v="17230.394325490226"/>
    <n v="4.1328539204323507"/>
    <n v="2.0211625439915957"/>
    <n v="4.7933598079135651"/>
    <n v="94312.307007869807"/>
    <n v="74"/>
    <n v="97.248786510470723"/>
    <s v="OK"/>
  </r>
  <r>
    <d v="2049-07-31T00:00:00"/>
    <x v="2"/>
    <n v="122"/>
    <n v="-3.7658449181212889E-2"/>
    <n v="34671.599556196365"/>
    <n v="3.0669125758927498"/>
    <n v="1.6372242359568794"/>
    <n v="4.4952850827403594"/>
    <n v="131811.641452357"/>
    <n v="85"/>
    <n v="473.2563096252544"/>
    <s v="OK"/>
  </r>
  <r>
    <d v="2049-08-30T00:00:00"/>
    <x v="2"/>
    <n v="90"/>
    <n v="-0.23780125601842803"/>
    <n v="23165.606507922894"/>
    <n v="3.9847286002633684"/>
    <n v="3.1934789119139939"/>
    <n v="4.7705496871890185"/>
    <n v="113578.62580118557"/>
    <n v="105"/>
    <n v="47.080550354037825"/>
    <s v="OK"/>
  </r>
  <r>
    <d v="2049-09-29T00:00:00"/>
    <x v="0"/>
    <n v="113"/>
    <n v="-9.3948613604179651E-2"/>
    <n v="28876.172990536583"/>
    <n v="3.7135971809358423"/>
    <n v="2.1079873600808705"/>
    <n v="4.853052756221226"/>
    <n v="97260.090211150833"/>
    <n v="75"/>
    <n v="20.567345021949677"/>
    <s v="OK"/>
  </r>
  <r>
    <d v="2049-10-29T00:00:00"/>
    <x v="2"/>
    <n v="110"/>
    <n v="-0.11271200174516857"/>
    <n v="24149.434869703204"/>
    <n v="3.1768863450780986"/>
    <n v="3.5599363840466216"/>
    <n v="4.8420774460899079"/>
    <n v="89612.072563477472"/>
    <n v="89"/>
    <n v="744.20055066429927"/>
    <s v="OK"/>
  </r>
  <r>
    <d v="2049-11-28T00:00:00"/>
    <x v="4"/>
    <n v="106"/>
    <n v="-0.13772985259982046"/>
    <n v="20990.097812099899"/>
    <m/>
    <n v="3.1170059495766975"/>
    <n v="6.5000006941363688"/>
    <m/>
    <n v="84"/>
    <m/>
    <s v="Missing Data"/>
  </r>
  <r>
    <d v="2049-12-28T00:00:00"/>
    <x v="1"/>
    <n v="92"/>
    <n v="-0.22529233059110207"/>
    <n v="32707.313641023939"/>
    <n v="2.9031815841217599"/>
    <m/>
    <n v="4.1741646483249761"/>
    <n v="108566.33384750475"/>
    <n v="91"/>
    <n v="31.728664028800253"/>
    <s v="Missing Data"/>
  </r>
  <r>
    <d v="2050-01-27T00:00:00"/>
    <x v="1"/>
    <n v="121"/>
    <n v="-4.391291189487586E-2"/>
    <n v="33795.775801513235"/>
    <n v="3.9595770868050009"/>
    <n v="1.1340442887994657"/>
    <m/>
    <m/>
    <n v="101"/>
    <n v="32.773307949372061"/>
    <s v="Missing Data"/>
  </r>
  <r>
    <d v="2050-02-26T00:00:00"/>
    <x v="0"/>
    <n v="89"/>
    <n v="-0.244055718732091"/>
    <n v="27117.447996366402"/>
    <n v="4.0002911590214891"/>
    <n v="3.7119439853864007"/>
    <n v="6.9615509827666697"/>
    <n v="88123.771838625893"/>
    <n v="93"/>
    <n v="83.206659997715022"/>
    <s v="OK"/>
  </r>
  <r>
    <d v="2050-03-28T00:00:00"/>
    <x v="1"/>
    <n v="117"/>
    <n v="-6.8930762749527752E-2"/>
    <n v="17044.788539275451"/>
    <n v="3.1646898954616773"/>
    <n v="2.761250531233856"/>
    <n v="4.8841643625839248"/>
    <n v="966873.71793647355"/>
    <n v="91"/>
    <n v="69.303259868331565"/>
    <s v="OK"/>
  </r>
  <r>
    <d v="2050-04-27T00:00:00"/>
    <x v="1"/>
    <n v="106"/>
    <n v="-0.13772985259982046"/>
    <n v="27268.777758737586"/>
    <m/>
    <n v="2.1307228607537967"/>
    <m/>
    <n v="101571.540594383"/>
    <n v="93"/>
    <n v="23.588844610217361"/>
    <s v="Missing Data"/>
  </r>
  <r>
    <d v="2050-05-27T00:00:00"/>
    <x v="3"/>
    <n v="121"/>
    <n v="-4.391291189487586E-2"/>
    <n v="31959.020027012732"/>
    <n v="3.3749767427005235"/>
    <n v="2.643388467342251"/>
    <n v="5.2233704497836992"/>
    <n v="57425.31811170376"/>
    <n v="98"/>
    <n v="69.803759236982529"/>
    <s v="OK"/>
  </r>
  <r>
    <d v="2050-06-26T00:00:00"/>
    <x v="4"/>
    <n v="95"/>
    <n v="-0.20652894245011316"/>
    <n v="22605.442156129357"/>
    <n v="3.6443468146399285"/>
    <n v="0.72376476710168003"/>
    <n v="6.9156702500328517"/>
    <n v="109163.36229577397"/>
    <n v="87"/>
    <n v="44.713417827501289"/>
    <s v="OK"/>
  </r>
  <r>
    <d v="2050-07-26T00:00:00"/>
    <x v="3"/>
    <n v="91"/>
    <n v="-0.23154679330476505"/>
    <n v="30916.799598895777"/>
    <n v="3.6301609193856104"/>
    <n v="2.9086528114806707"/>
    <n v="5.7329291571440288"/>
    <n v="80405.575505663859"/>
    <n v="88"/>
    <n v="49.498012437667676"/>
    <s v="OK"/>
  </r>
  <r>
    <d v="2050-08-25T00:00:00"/>
    <x v="1"/>
    <n v="82"/>
    <n v="-0.28783695772773182"/>
    <n v="299234.50754135021"/>
    <n v="3.432845629264726"/>
    <n v="1.4706284918179284"/>
    <n v="4.8625428464708822"/>
    <n v="76933.351935885104"/>
    <n v="89"/>
    <n v="815.78513463750414"/>
    <s v="OK"/>
  </r>
  <r>
    <d v="2050-09-24T00:00:00"/>
    <x v="0"/>
    <n v="950"/>
    <n v="5.1410366777317291"/>
    <n v="32896.457498005439"/>
    <n v="3.9054041365798913"/>
    <n v="1.1473297141564656"/>
    <n v="6.0806519814256479"/>
    <n v="66253.113057785784"/>
    <n v="92"/>
    <m/>
    <s v="Missing Data"/>
  </r>
  <r>
    <d v="2050-10-24T00:00:00"/>
    <x v="0"/>
    <n v="81"/>
    <n v="-0.2940914204413948"/>
    <n v="30597.901842070765"/>
    <n v="3.8967443602761067"/>
    <n v="9.7764081378210896"/>
    <n v="4.1772494201962918"/>
    <n v="64122.150042642192"/>
    <n v="99"/>
    <n v="52.028530147186451"/>
    <s v="OK"/>
  </r>
  <r>
    <d v="2050-11-23T00:00:00"/>
    <x v="1"/>
    <n v="101"/>
    <n v="-0.16900216616813532"/>
    <n v="25134.655295592223"/>
    <n v="2.6257340133809097"/>
    <n v="3.6126883749899252"/>
    <n v="6.3176314125315374"/>
    <n v="72891.049937754215"/>
    <n v="82"/>
    <n v="95.772234880508378"/>
    <s v="OK"/>
  </r>
  <r>
    <d v="2050-12-23T00:00:00"/>
    <x v="2"/>
    <n v="95"/>
    <n v="-0.20652894245011316"/>
    <n v="35982.857508322457"/>
    <n v="4.1521701214390765"/>
    <n v="18.707366063072111"/>
    <n v="5.9903287692421214"/>
    <n v="85819.580847390185"/>
    <n v="83"/>
    <n v="52.51701743616578"/>
    <s v="OK"/>
  </r>
  <r>
    <d v="2051-01-22T00:00:00"/>
    <x v="3"/>
    <n v="114"/>
    <n v="-8.7694150890516673E-2"/>
    <n v="29207.352134865148"/>
    <n v="2.6687540059821631"/>
    <n v="4.0337277099164996"/>
    <n v="5.1306298346333392"/>
    <n v="139065.18275053136"/>
    <n v="94"/>
    <n v="81.746882818408793"/>
    <s v="OK"/>
  </r>
  <r>
    <d v="2051-02-21T00:00:00"/>
    <x v="1"/>
    <n v="92"/>
    <n v="-0.22529233059110207"/>
    <m/>
    <n v="4.0162731021708282"/>
    <n v="1.9641985369477022"/>
    <n v="4.4936970418633226"/>
    <n v="89482.406482095917"/>
    <n v="88"/>
    <n v="58.710181165140725"/>
    <s v="Missing Data"/>
  </r>
  <r>
    <d v="2051-03-23T00:00:00"/>
    <x v="0"/>
    <n v="113"/>
    <n v="-9.3948613604179651E-2"/>
    <n v="25333.660204634019"/>
    <m/>
    <n v="0.79264204240705327"/>
    <n v="4.4359828932598511"/>
    <n v="103555.00212536062"/>
    <n v="92"/>
    <n v="91.802586121766723"/>
    <s v="Missing Data"/>
  </r>
  <r>
    <d v="2051-04-22T00:00:00"/>
    <x v="0"/>
    <n v="113"/>
    <n v="-9.3948613604179651E-2"/>
    <n v="27783.588744042449"/>
    <n v="2.9545167848924008"/>
    <n v="1.3834755600513409"/>
    <n v="6.1417808036150925"/>
    <n v="108009.62773012658"/>
    <n v="78"/>
    <n v="92.620899492014289"/>
    <s v="OK"/>
  </r>
  <r>
    <d v="2051-05-22T00:00:00"/>
    <x v="3"/>
    <n v="120"/>
    <n v="-5.0167374608538831E-2"/>
    <n v="25575.986429865494"/>
    <n v="3.2945928560227076"/>
    <n v="3.7358116200069387"/>
    <n v="6.9747766029868741"/>
    <m/>
    <n v="102"/>
    <n v="26.99334462968671"/>
    <s v="Missing Data"/>
  </r>
  <r>
    <d v="2051-06-21T00:00:00"/>
    <x v="4"/>
    <n v="108"/>
    <n v="-0.1252209271724945"/>
    <n v="29135.269700382883"/>
    <n v="2.9471476657570319"/>
    <n v="2.3441018220633323"/>
    <n v="4.7352307035654464"/>
    <n v="98451.130785480127"/>
    <n v="96"/>
    <n v="94.919466504818061"/>
    <s v="OK"/>
  </r>
  <r>
    <d v="2051-07-21T00:00:00"/>
    <x v="1"/>
    <n v="99"/>
    <n v="-0.18151109159546128"/>
    <n v="38558.542400711718"/>
    <n v="3.3925394848556323"/>
    <n v="1.9517127035093991"/>
    <n v="6.0500640442617808"/>
    <n v="76094.1247280151"/>
    <n v="75"/>
    <n v="86.042787321633256"/>
    <s v="OK"/>
  </r>
  <r>
    <d v="2051-08-20T00:00:00"/>
    <x v="1"/>
    <n v="108"/>
    <n v="-0.1252209271724945"/>
    <n v="23140.494285343219"/>
    <n v="3.3459828579071296"/>
    <n v="2.6600182258527876"/>
    <n v="2.9955675776775177"/>
    <n v="129018.55096558423"/>
    <n v="87"/>
    <n v="83.304857145013358"/>
    <s v="OK"/>
  </r>
  <r>
    <d v="2051-09-19T00:00:00"/>
    <x v="4"/>
    <n v="98"/>
    <n v="-0.18776555430912426"/>
    <n v="21932.193010616294"/>
    <n v="3.8898302661346698"/>
    <n v="3.0017827361675451"/>
    <n v="4.7984587232113602"/>
    <n v="136143.93287275769"/>
    <n v="114"/>
    <n v="36.072907174841795"/>
    <s v="OK"/>
  </r>
  <r>
    <d v="2051-10-19T00:00:00"/>
    <x v="3"/>
    <n v="92"/>
    <n v="-0.22529233059110207"/>
    <n v="37355.85163746804"/>
    <n v="4.155154373059804"/>
    <n v="3.6173988159024608"/>
    <n v="5.4627292805549175"/>
    <n v="66346.826117546283"/>
    <n v="86"/>
    <n v="84.409536700373195"/>
    <s v="OK"/>
  </r>
  <r>
    <d v="2051-11-18T00:00:00"/>
    <x v="3"/>
    <n v="96"/>
    <n v="-0.20027447973645018"/>
    <n v="28953.381614240669"/>
    <n v="4.197841905394978"/>
    <n v="3.948499229892926"/>
    <n v="4.4083798996217993"/>
    <n v="79519.428182272415"/>
    <n v="85"/>
    <n v="88.01061877480295"/>
    <s v="OK"/>
  </r>
  <r>
    <d v="2051-12-18T00:00:00"/>
    <x v="0"/>
    <n v="94"/>
    <n v="-0.21278340516377614"/>
    <n v="26654.636306700417"/>
    <n v="3.218915986710849"/>
    <n v="21.402313542109145"/>
    <n v="4.3761923502524844"/>
    <m/>
    <n v="95"/>
    <n v="43.132026756332074"/>
    <s v="Missing Data"/>
  </r>
  <r>
    <d v="2052-01-17T00:00:00"/>
    <x v="4"/>
    <n v="75"/>
    <n v="-0.33161819672337262"/>
    <n v="35199.52343698038"/>
    <n v="3.3953890631277361"/>
    <n v="1.1739523139179617"/>
    <n v="4.6986645322373368"/>
    <n v="80709.244101796168"/>
    <n v="97"/>
    <n v="96.180806268985904"/>
    <s v="OK"/>
  </r>
  <r>
    <d v="2052-02-16T00:00:00"/>
    <x v="3"/>
    <n v="97"/>
    <n v="-0.19402001702278721"/>
    <n v="26971.922301315681"/>
    <n v="2.658280903889525"/>
    <n v="2.086534838876724"/>
    <n v="5.850631273991648"/>
    <n v="110119.31106911731"/>
    <n v="68"/>
    <n v="23.988811711933138"/>
    <s v="OK"/>
  </r>
  <r>
    <d v="2052-03-17T00:00:00"/>
    <x v="2"/>
    <n v="1090"/>
    <n v="6.0166614576445445"/>
    <m/>
    <n v="3.0970649667519057"/>
    <n v="2.7602805065828862"/>
    <n v="5.2752051779123503"/>
    <n v="85434.555951867733"/>
    <n v="86"/>
    <n v="31.992740259771175"/>
    <s v="Missing Data"/>
  </r>
  <r>
    <d v="2052-04-16T00:00:00"/>
    <x v="1"/>
    <n v="98"/>
    <n v="-0.18776555430912426"/>
    <n v="33389.629356696343"/>
    <n v="3.9824258165487287"/>
    <n v="1.5362410737893892"/>
    <n v="2.8141225200100335"/>
    <n v="143301.12135613203"/>
    <n v="90"/>
    <n v="63.006491044121148"/>
    <s v="OK"/>
  </r>
  <r>
    <d v="2052-05-16T00:00:00"/>
    <x v="0"/>
    <n v="121"/>
    <n v="-4.391291189487586E-2"/>
    <n v="27560.442959271488"/>
    <n v="4.3077914117741161"/>
    <n v="1.5428490851049572"/>
    <n v="2.9551598168379205"/>
    <n v="123810.97188687192"/>
    <n v="80"/>
    <n v="66.063397689784779"/>
    <s v="OK"/>
  </r>
  <r>
    <d v="2052-06-15T00:00:00"/>
    <x v="4"/>
    <n v="103"/>
    <n v="-0.15649324074080936"/>
    <n v="40786.541066327518"/>
    <m/>
    <n v="28.437878815498856"/>
    <n v="4.7717617865713891"/>
    <n v="104251.4806126443"/>
    <n v="88"/>
    <n v="716.12006664072271"/>
    <s v="Missing Data"/>
  </r>
  <r>
    <d v="2052-07-15T00:00:00"/>
    <x v="0"/>
    <n v="121"/>
    <n v="-4.391291189487586E-2"/>
    <m/>
    <n v="32.037678704235532"/>
    <n v="2.4513476484295489"/>
    <n v="6.0492239032642621"/>
    <n v="120539.72526639464"/>
    <n v="95"/>
    <n v="21.357530345237315"/>
    <s v="Missing Data"/>
  </r>
  <r>
    <d v="2052-08-14T00:00:00"/>
    <x v="3"/>
    <n v="103"/>
    <n v="-0.15649324074080936"/>
    <n v="33710.476860046532"/>
    <n v="3.4867971215205364"/>
    <n v="2.5327969954115863"/>
    <n v="2.2029941887297184"/>
    <n v="122118.00848714617"/>
    <n v="93"/>
    <n v="96.829341969770425"/>
    <s v="OK"/>
  </r>
  <r>
    <d v="2052-09-13T00:00:00"/>
    <x v="3"/>
    <n v="91"/>
    <n v="-0.23154679330476505"/>
    <n v="31496.462902032461"/>
    <m/>
    <n v="1.7415046652999306"/>
    <m/>
    <n v="88721.050238835131"/>
    <n v="95"/>
    <n v="23.567047418731519"/>
    <s v="Missing Data"/>
  </r>
  <r>
    <d v="2052-10-13T00:00:00"/>
    <x v="2"/>
    <n v="91"/>
    <n v="-0.23154679330476505"/>
    <n v="36508.706446993994"/>
    <n v="3.0951982400391769"/>
    <n v="2.2695992857942326"/>
    <n v="4.8685025721790947"/>
    <n v="83675.655109160711"/>
    <n v="93"/>
    <n v="31.444956217872189"/>
    <s v="OK"/>
  </r>
  <r>
    <d v="2052-11-12T00:00:00"/>
    <x v="1"/>
    <m/>
    <n v="-0.80070290024809565"/>
    <n v="37807.555983634265"/>
    <n v="3.7120305222320447"/>
    <n v="1.5757668557316955"/>
    <n v="7.166005333850137"/>
    <n v="101562.86125939294"/>
    <n v="81"/>
    <n v="21.12116140208456"/>
    <s v="Missing Data"/>
  </r>
  <r>
    <d v="2052-12-12T00:00:00"/>
    <x v="4"/>
    <n v="97"/>
    <n v="-0.19402001702278721"/>
    <n v="30160.020745328835"/>
    <n v="3.263080326464542"/>
    <n v="3.3901984111247869"/>
    <n v="5.0379738259445634"/>
    <n v="117232.72248995888"/>
    <n v="89"/>
    <n v="65.348674663527575"/>
    <s v="OK"/>
  </r>
  <r>
    <d v="2053-01-11T00:00:00"/>
    <x v="0"/>
    <n v="106"/>
    <n v="-0.13772985259982046"/>
    <n v="26232.910648269084"/>
    <n v="3.4927738645608604"/>
    <m/>
    <n v="5.9595867816891142"/>
    <n v="102781.20797306835"/>
    <n v="73"/>
    <n v="94.581350713677779"/>
    <s v="Missing Data"/>
  </r>
  <r>
    <d v="2053-02-10T00:00:00"/>
    <x v="1"/>
    <n v="110"/>
    <n v="-0.11271200174516857"/>
    <n v="32299.860714695584"/>
    <m/>
    <n v="0.65381213776190616"/>
    <n v="56.695085681049555"/>
    <n v="68460.070356180047"/>
    <n v="860"/>
    <n v="73.275773286437129"/>
    <s v="Missing Data"/>
  </r>
  <r>
    <d v="2053-03-12T00:00:00"/>
    <x v="3"/>
    <n v="91"/>
    <n v="-0.23154679330476505"/>
    <n v="26611.423151239469"/>
    <n v="3.5032111349054689"/>
    <n v="1.57048913980759"/>
    <n v="2.9433202242313592"/>
    <n v="83943.511120983152"/>
    <n v="91"/>
    <n v="85.812597478434185"/>
    <s v="OK"/>
  </r>
  <r>
    <d v="2053-04-11T00:00:00"/>
    <x v="1"/>
    <n v="103"/>
    <n v="-0.15649324074080936"/>
    <n v="40066.936237633112"/>
    <n v="3.2818070547367157"/>
    <n v="1.0034707449099209"/>
    <n v="6.4218486599580844"/>
    <n v="98520.542728112443"/>
    <n v="84"/>
    <n v="21.062496276686407"/>
    <s v="OK"/>
  </r>
  <r>
    <d v="2053-05-11T00:00:00"/>
    <x v="0"/>
    <n v="84"/>
    <n v="-0.27532803230040587"/>
    <n v="30682.676655413688"/>
    <n v="3.4451950980370847"/>
    <n v="1.8499760655931019"/>
    <n v="5.7584758065475459"/>
    <n v="98486.687913483402"/>
    <n v="81"/>
    <n v="63.361223878378084"/>
    <s v="OK"/>
  </r>
  <r>
    <d v="2053-06-10T00:00:00"/>
    <x v="1"/>
    <n v="93"/>
    <n v="-0.21903786787743912"/>
    <n v="28173.392243439455"/>
    <n v="3.4558185203973322"/>
    <n v="2.4165620302096391"/>
    <n v="6.1099223676095074"/>
    <n v="139450.84353579616"/>
    <n v="96"/>
    <n v="56.765038200441751"/>
    <s v="OK"/>
  </r>
  <r>
    <d v="2053-07-10T00:00:00"/>
    <x v="3"/>
    <n v="113"/>
    <n v="-9.3948613604179651E-2"/>
    <n v="309234.01529324544"/>
    <n v="3.3149944850589361"/>
    <n v="1.0503547803014699"/>
    <n v="10.211485247723591"/>
    <n v="72280.24115202004"/>
    <n v="86"/>
    <n v="59.917435537663444"/>
    <s v="OK"/>
  </r>
  <r>
    <d v="2053-08-09T00:00:00"/>
    <x v="1"/>
    <n v="105"/>
    <n v="-0.14398431531348344"/>
    <n v="23264.368552351516"/>
    <n v="3.370601968666449"/>
    <n v="1.5781401868746867"/>
    <n v="29.990644726016939"/>
    <n v="110111.78483671749"/>
    <n v="99"/>
    <n v="25.777054826815036"/>
    <s v="OK"/>
  </r>
  <r>
    <d v="2053-09-08T00:00:00"/>
    <x v="4"/>
    <n v="83"/>
    <n v="-0.28158249501406885"/>
    <n v="25141.929807446744"/>
    <n v="4.2993235852523588"/>
    <n v="1.4960426279185015"/>
    <n v="7.5696359797133299"/>
    <n v="129782.26216656579"/>
    <n v="72"/>
    <n v="74.754828885544597"/>
    <s v="OK"/>
  </r>
  <r>
    <d v="2053-10-08T00:00:00"/>
    <x v="1"/>
    <n v="96"/>
    <n v="-0.20027447973645018"/>
    <n v="36002.069539722128"/>
    <n v="3.7804597239706195"/>
    <n v="2.707267329398944"/>
    <n v="5.1550629767195737"/>
    <n v="145428.99490845593"/>
    <n v="83"/>
    <n v="60.257633188690754"/>
    <s v="OK"/>
  </r>
  <r>
    <d v="2053-11-07T00:00:00"/>
    <x v="4"/>
    <n v="107"/>
    <n v="-0.13147538988615748"/>
    <n v="26715.528605143023"/>
    <n v="3.3522598409854196"/>
    <n v="2.5693443370362505"/>
    <n v="5.8447946852836115"/>
    <n v="91912.051536320767"/>
    <n v="98"/>
    <n v="81.211907988901118"/>
    <s v="OK"/>
  </r>
  <r>
    <d v="2053-12-07T00:00:00"/>
    <x v="1"/>
    <n v="83"/>
    <n v="-0.28158249501406885"/>
    <n v="24765.445086590302"/>
    <n v="3.8484772022553679"/>
    <n v="1.7782624466627466"/>
    <n v="5.4453853056385091"/>
    <n v="109828.589054404"/>
    <n v="101"/>
    <n v="58.823250724937225"/>
    <s v="OK"/>
  </r>
  <r>
    <d v="2054-01-06T00:00:00"/>
    <x v="3"/>
    <n v="105"/>
    <n v="-0.14398431531348344"/>
    <n v="32683.26376263643"/>
    <n v="3.333090255121995"/>
    <n v="2.6768208721393978"/>
    <n v="4.990916399922348"/>
    <n v="111395.20714397293"/>
    <n v="950"/>
    <n v="31.950530898114565"/>
    <s v="OK"/>
  </r>
  <r>
    <d v="2054-02-05T00:00:00"/>
    <x v="2"/>
    <n v="112"/>
    <n v="-0.10020307631784262"/>
    <n v="35928.520773314987"/>
    <n v="4.0865623187933204"/>
    <n v="1.9533199154127345"/>
    <n v="4.8162004861134893"/>
    <n v="103909.63463106581"/>
    <n v="71"/>
    <n v="71.860556326225762"/>
    <s v="OK"/>
  </r>
  <r>
    <d v="2054-03-07T00:00:00"/>
    <x v="2"/>
    <n v="99"/>
    <n v="-0.18151109159546128"/>
    <n v="33594.766553325331"/>
    <n v="3.6848210960990468"/>
    <n v="2.2283448896739468"/>
    <n v="5.8954104826876108"/>
    <n v="98023.095975213873"/>
    <n v="85"/>
    <n v="33.790908968413298"/>
    <s v="OK"/>
  </r>
  <r>
    <d v="2054-04-06T00:00:00"/>
    <x v="4"/>
    <n v="111"/>
    <n v="-0.10645753903150559"/>
    <n v="34980.238429029079"/>
    <n v="3.4463489279978856"/>
    <n v="4.1734520902985368"/>
    <n v="3.6793915639939851"/>
    <n v="108719.50779000092"/>
    <n v="98"/>
    <n v="89.791565068385196"/>
    <s v="OK"/>
  </r>
  <r>
    <d v="2054-05-06T00:00:00"/>
    <x v="4"/>
    <n v="105"/>
    <n v="-0.14398431531348344"/>
    <n v="26216.024557152698"/>
    <n v="3.723858462905139"/>
    <n v="3.8404610517903479"/>
    <n v="6.4006950010261185"/>
    <n v="49355.07829560629"/>
    <n v="100"/>
    <n v="69.049299125539321"/>
    <s v="OK"/>
  </r>
  <r>
    <d v="2054-06-05T00:00:00"/>
    <x v="2"/>
    <n v="93"/>
    <n v="-0.21903786787743912"/>
    <n v="22890.94666629078"/>
    <n v="2.7145619239657504"/>
    <n v="1.2004187630724024"/>
    <n v="5.0005667141376957"/>
    <n v="113641.38980125263"/>
    <n v="88"/>
    <n v="32.57631068455634"/>
    <s v="OK"/>
  </r>
  <r>
    <d v="2054-07-05T00:00:00"/>
    <x v="3"/>
    <n v="109"/>
    <n v="-0.11896646445883154"/>
    <n v="37506.668259777434"/>
    <n v="2.9366162655450974"/>
    <n v="3.3297324178791747"/>
    <n v="4.143916793151571"/>
    <n v="102523.55807323934"/>
    <n v="82"/>
    <n v="96.987044598496539"/>
    <s v="OK"/>
  </r>
  <r>
    <d v="2054-08-04T00:00:00"/>
    <x v="3"/>
    <n v="106"/>
    <n v="-0.13772985259982046"/>
    <n v="28386.60080578932"/>
    <n v="2.9030374968004722"/>
    <n v="33.113965544915921"/>
    <n v="4.9599845704050232"/>
    <n v="95550.502064434695"/>
    <n v="930"/>
    <n v="61.469237066825649"/>
    <s v="OK"/>
  </r>
  <r>
    <d v="2054-09-03T00:00:00"/>
    <x v="1"/>
    <n v="106"/>
    <n v="-0.13772985259982046"/>
    <n v="28745.834917724762"/>
    <n v="3.5714715473818535"/>
    <n v="1.3517367112473817"/>
    <n v="7.0085790602350873"/>
    <n v="140937.24391439115"/>
    <n v="79"/>
    <n v="25.831876149732402"/>
    <s v="OK"/>
  </r>
  <r>
    <d v="2054-10-03T00:00:00"/>
    <x v="4"/>
    <n v="103"/>
    <n v="-0.15649324074080936"/>
    <n v="36640.970709245288"/>
    <n v="4.3662574997425461"/>
    <m/>
    <n v="4.8575978955805326"/>
    <n v="86501.319624188953"/>
    <n v="92"/>
    <n v="70.146632353205376"/>
    <s v="Missing Data"/>
  </r>
  <r>
    <d v="2054-11-02T00:00:00"/>
    <x v="3"/>
    <n v="113"/>
    <n v="-9.3948613604179651E-2"/>
    <n v="32781.150047003299"/>
    <n v="4.6156500730963161"/>
    <n v="4.0379319184125526"/>
    <n v="5.9301443418515447"/>
    <n v="91938.480218699391"/>
    <m/>
    <n v="40.255912561024815"/>
    <s v="Missing Data"/>
  </r>
  <r>
    <d v="2054-12-02T00:00:00"/>
    <x v="0"/>
    <n v="111"/>
    <n v="-0.10645753903150559"/>
    <n v="322794.38860408036"/>
    <n v="3.8190255507203785"/>
    <n v="1.3774551937555861"/>
    <n v="4.6228524691414323"/>
    <n v="1398310.6604409469"/>
    <n v="92"/>
    <n v="84.2954761501842"/>
    <s v="OK"/>
  </r>
  <r>
    <d v="2055-01-01T00:00:00"/>
    <x v="1"/>
    <m/>
    <n v="-0.80070290024809565"/>
    <n v="40825.011724505421"/>
    <n v="3.7504222374722285"/>
    <n v="1.5824971789857365"/>
    <n v="6.4095062199083435"/>
    <m/>
    <n v="92"/>
    <n v="85.425765885295249"/>
    <s v="Missing Data"/>
  </r>
  <r>
    <d v="2055-01-31T00:00:00"/>
    <x v="1"/>
    <n v="89"/>
    <n v="-0.244055718732091"/>
    <n v="26782.408848099287"/>
    <n v="2.5994711329236306"/>
    <n v="3.5176614668435024"/>
    <m/>
    <n v="88997.69434126922"/>
    <n v="90"/>
    <n v="98.315788468372943"/>
    <s v="Missing Data"/>
  </r>
  <r>
    <d v="2055-03-02T00:00:00"/>
    <x v="2"/>
    <n v="111"/>
    <n v="-0.10645753903150559"/>
    <n v="34639.200640406183"/>
    <n v="3.2286631001329891"/>
    <n v="2.7714953108256482"/>
    <n v="7.7183305999556939"/>
    <n v="97059.491531382999"/>
    <n v="82"/>
    <n v="60.149562481960295"/>
    <s v="OK"/>
  </r>
  <r>
    <d v="2055-04-01T00:00:00"/>
    <x v="4"/>
    <n v="104"/>
    <n v="-0.15023877802714641"/>
    <m/>
    <n v="3.1061081240458805"/>
    <n v="3.0514762752395233"/>
    <n v="5.2893232654009417"/>
    <n v="1168146.8964259098"/>
    <n v="850"/>
    <n v="56.396550378218969"/>
    <s v="Missing Data"/>
  </r>
  <r>
    <d v="2055-05-01T00:00:00"/>
    <x v="3"/>
    <m/>
    <n v="-0.80070290024809565"/>
    <n v="31342.961394316284"/>
    <n v="3.1895762008744422"/>
    <n v="2.8405892164004967"/>
    <n v="6.3023857657094879"/>
    <n v="104156.05014706627"/>
    <n v="90"/>
    <n v="802.78048435718449"/>
    <s v="Missing Data"/>
  </r>
  <r>
    <d v="2055-05-31T00:00:00"/>
    <x v="3"/>
    <n v="109"/>
    <n v="-0.11896646445883154"/>
    <n v="37642.342132062658"/>
    <n v="3.4159280907076051"/>
    <n v="2.890695920928144"/>
    <n v="5.6176810474467338"/>
    <n v="74147.493056954743"/>
    <n v="83"/>
    <n v="30.597652507354127"/>
    <s v="OK"/>
  </r>
  <r>
    <d v="2055-06-30T00:00:00"/>
    <x v="1"/>
    <n v="108"/>
    <n v="-0.1252209271724945"/>
    <n v="32539.178781448118"/>
    <n v="3.2639547111514364"/>
    <n v="1.173527871688917"/>
    <n v="7.0550461382356175"/>
    <n v="89356.628737456209"/>
    <m/>
    <n v="63.753241103449938"/>
    <s v="Missing Data"/>
  </r>
  <r>
    <d v="2055-07-30T00:00:00"/>
    <x v="4"/>
    <n v="127"/>
    <n v="-6.3861356128980225E-3"/>
    <n v="32691.480395248163"/>
    <n v="2.510350094812106"/>
    <n v="3.5473177066214481"/>
    <n v="4.6374011348695232"/>
    <n v="87852.91133575578"/>
    <n v="102"/>
    <n v="63.699808010468075"/>
    <s v="OK"/>
  </r>
  <r>
    <d v="2055-08-29T00:00:00"/>
    <x v="4"/>
    <n v="104"/>
    <n v="-0.15023877802714641"/>
    <n v="35362.536686549014"/>
    <n v="3.8739551280587667"/>
    <n v="3.6695899924277735"/>
    <n v="6.3940063754527374"/>
    <n v="98455.579095539084"/>
    <n v="76"/>
    <n v="27.157849824830976"/>
    <s v="OK"/>
  </r>
  <r>
    <d v="2055-09-28T00:00:00"/>
    <x v="4"/>
    <n v="106"/>
    <n v="-0.13772985259982046"/>
    <n v="28175.236352285574"/>
    <n v="2.9636284871300966"/>
    <n v="2.2706092559319724"/>
    <n v="5.2663632446599822"/>
    <n v="108516.87317259658"/>
    <n v="99"/>
    <n v="53.438726840553088"/>
    <s v="OK"/>
  </r>
  <r>
    <d v="2055-10-28T00:00:00"/>
    <x v="2"/>
    <n v="94"/>
    <n v="-0.21278340516377614"/>
    <n v="25803.951663304968"/>
    <n v="3.6196234320555747"/>
    <n v="2.4565230501861377"/>
    <n v="5.4229741874698023"/>
    <n v="108364.11511775944"/>
    <n v="77"/>
    <n v="88.262783885376152"/>
    <s v="OK"/>
  </r>
  <r>
    <d v="2055-11-27T00:00:00"/>
    <x v="3"/>
    <n v="81"/>
    <n v="-0.2940914204413948"/>
    <n v="24775.954029894834"/>
    <n v="4.5370413348749867"/>
    <n v="0.96889249744427786"/>
    <n v="5.6101029813380476"/>
    <n v="64479.764919031957"/>
    <n v="101"/>
    <n v="88.492289759572827"/>
    <s v="OK"/>
  </r>
  <r>
    <d v="2055-12-27T00:00:00"/>
    <x v="4"/>
    <n v="95"/>
    <n v="-0.20652894245011316"/>
    <n v="20168.217053119992"/>
    <n v="3.0403077042067883"/>
    <n v="3.0142547560178348"/>
    <n v="5.8026884757120127"/>
    <n v="121278.81975121712"/>
    <n v="94"/>
    <n v="27.939013193574482"/>
    <s v="OK"/>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d v="2015-01-01T00:00:00"/>
    <x v="0"/>
    <x v="0"/>
    <s v="January"/>
    <n v="96"/>
    <x v="0"/>
    <n v="97675.419137560835"/>
    <x v="0"/>
    <n v="62.296585590724206"/>
    <n v="1017.4522826829253"/>
  </r>
  <r>
    <d v="2015-01-31T00:00:00"/>
    <x v="0"/>
    <x v="1"/>
    <s v="January"/>
    <n v="107"/>
    <x v="0"/>
    <n v="104294.26366341053"/>
    <x v="1"/>
    <n v="22.750148668138017"/>
    <n v="974.71274451785541"/>
  </r>
  <r>
    <d v="2015-03-02T00:00:00"/>
    <x v="1"/>
    <x v="1"/>
    <s v="March"/>
    <n v="88"/>
    <x v="1"/>
    <n v="131562.36115124368"/>
    <x v="2"/>
    <n v="71.117041757862765"/>
    <n v="1495.0268312641326"/>
  </r>
  <r>
    <d v="2015-04-01T00:00:00"/>
    <x v="2"/>
    <x v="0"/>
    <s v="April"/>
    <n v="103"/>
    <x v="2"/>
    <n v="119708.99371230436"/>
    <x v="1"/>
    <n v="26.515777031292735"/>
    <n v="1162.223239925285"/>
  </r>
  <r>
    <d v="2015-05-01T00:00:00"/>
    <x v="2"/>
    <x v="2"/>
    <s v="May"/>
    <n v="111"/>
    <x v="3"/>
    <n v="117383.09184993793"/>
    <x v="3"/>
    <n v="54.801167547217872"/>
    <n v="1057.5053319814228"/>
  </r>
  <r>
    <d v="2015-05-31T00:00:00"/>
    <x v="2"/>
    <x v="2"/>
    <s v="May"/>
    <n v="90"/>
    <x v="3"/>
    <n v="90889.209479522586"/>
    <x v="1"/>
    <n v="43.412407813392626"/>
    <n v="1009.8801053280288"/>
  </r>
  <r>
    <d v="2015-06-30T00:00:00"/>
    <x v="0"/>
    <x v="1"/>
    <s v="June"/>
    <n v="94"/>
    <x v="4"/>
    <n v="82215.183435433515"/>
    <x v="1"/>
    <n v="65.454227669999995"/>
    <n v="874.62961101525013"/>
  </r>
  <r>
    <d v="2015-07-30T00:00:00"/>
    <x v="3"/>
    <x v="0"/>
    <s v="July"/>
    <n v="98"/>
    <x v="5"/>
    <n v="119106.01116475507"/>
    <x v="0"/>
    <n v="30.673306841856565"/>
    <n v="1215.3674608648475"/>
  </r>
  <r>
    <d v="2015-08-29T00:00:00"/>
    <x v="0"/>
    <x v="0"/>
    <s v="August"/>
    <n v="103"/>
    <x v="6"/>
    <n v="117520.93585059588"/>
    <x v="3"/>
    <n v="75.331472157865448"/>
    <n v="1140.9799597145231"/>
  </r>
  <r>
    <d v="2015-09-28T00:00:00"/>
    <x v="3"/>
    <x v="3"/>
    <s v="September"/>
    <n v="94"/>
    <x v="7"/>
    <n v="128897.2893"/>
    <x v="1"/>
    <n v="83.600922954277621"/>
    <n v="1371.2477585106383"/>
  </r>
  <r>
    <d v="2015-10-28T00:00:00"/>
    <x v="4"/>
    <x v="1"/>
    <s v="October"/>
    <n v="99"/>
    <x v="8"/>
    <n v="87920.387480615405"/>
    <x v="1"/>
    <n v="33.068355979452519"/>
    <n v="888.08472202641826"/>
  </r>
  <r>
    <d v="2015-11-27T00:00:00"/>
    <x v="0"/>
    <x v="0"/>
    <s v="November"/>
    <n v="90"/>
    <x v="9"/>
    <n v="95409.026892793059"/>
    <x v="3"/>
    <n v="28.345046988150571"/>
    <n v="1060.1002988088117"/>
  </r>
  <r>
    <d v="2015-12-27T00:00:00"/>
    <x v="0"/>
    <x v="2"/>
    <s v="December"/>
    <n v="100"/>
    <x v="10"/>
    <n v="67210.316749491321"/>
    <x v="0"/>
    <n v="31.64123862298873"/>
    <n v="672.10316749491324"/>
  </r>
  <r>
    <d v="2016-01-26T00:00:00"/>
    <x v="0"/>
    <x v="0"/>
    <s v="January"/>
    <n v="103"/>
    <x v="0"/>
    <n v="92150.57787878254"/>
    <x v="4"/>
    <n v="90.170204951880137"/>
    <n v="894.66580464837421"/>
  </r>
  <r>
    <d v="2016-02-25T00:00:00"/>
    <x v="2"/>
    <x v="2"/>
    <s v="February"/>
    <n v="94"/>
    <x v="11"/>
    <n v="119931.41021158894"/>
    <x v="4"/>
    <n v="62.255140940508497"/>
    <n v="1275.8660660807334"/>
  </r>
  <r>
    <d v="2016-03-26T00:00:00"/>
    <x v="2"/>
    <x v="0"/>
    <s v="March"/>
    <n v="105"/>
    <x v="1"/>
    <n v="102916.7736"/>
    <x v="1"/>
    <n v="57.380879680600209"/>
    <n v="980.15974857142862"/>
  </r>
  <r>
    <d v="2016-04-25T00:00:00"/>
    <x v="3"/>
    <x v="1"/>
    <s v="April"/>
    <n v="86"/>
    <x v="2"/>
    <n v="112809.59590401647"/>
    <x v="3"/>
    <n v="28.53694552818834"/>
    <n v="1311.7394872560055"/>
  </r>
  <r>
    <d v="2016-05-25T00:00:00"/>
    <x v="3"/>
    <x v="1"/>
    <s v="May"/>
    <n v="92"/>
    <x v="3"/>
    <n v="96189.93788004377"/>
    <x v="3"/>
    <n v="71.964480540556934"/>
    <n v="1045.5428030439541"/>
  </r>
  <r>
    <d v="2016-06-24T00:00:00"/>
    <x v="0"/>
    <x v="3"/>
    <s v="June"/>
    <n v="94"/>
    <x v="4"/>
    <n v="106481.14056443122"/>
    <x v="4"/>
    <n v="89.439967351607194"/>
    <n v="1132.7780911109703"/>
  </r>
  <r>
    <d v="2016-07-24T00:00:00"/>
    <x v="3"/>
    <x v="3"/>
    <s v="July"/>
    <n v="101"/>
    <x v="5"/>
    <n v="77046.172203686656"/>
    <x v="2"/>
    <n v="86.254869545876232"/>
    <n v="762.8333881553134"/>
  </r>
  <r>
    <d v="2016-08-23T00:00:00"/>
    <x v="2"/>
    <x v="1"/>
    <s v="August"/>
    <n v="103"/>
    <x v="6"/>
    <n v="102916.7736"/>
    <x v="3"/>
    <n v="70.0843767184641"/>
    <n v="999.19197669902917"/>
  </r>
  <r>
    <d v="2016-09-22T00:00:00"/>
    <x v="3"/>
    <x v="0"/>
    <s v="September"/>
    <n v="84"/>
    <x v="7"/>
    <n v="40177.280581985535"/>
    <x v="2"/>
    <n v="80.215177969999999"/>
    <n v="478.30095930935158"/>
  </r>
  <r>
    <d v="2016-10-22T00:00:00"/>
    <x v="4"/>
    <x v="3"/>
    <s v="October"/>
    <n v="76"/>
    <x v="8"/>
    <n v="96262.076836760301"/>
    <x v="1"/>
    <n v="28.991762174081039"/>
    <n v="1266.6062741678986"/>
  </r>
  <r>
    <d v="2016-11-21T00:00:00"/>
    <x v="2"/>
    <x v="1"/>
    <s v="November"/>
    <n v="100"/>
    <x v="9"/>
    <n v="67390.535125697206"/>
    <x v="4"/>
    <n v="23.944718968785974"/>
    <n v="673.90535125697204"/>
  </r>
  <r>
    <d v="2016-12-21T00:00:00"/>
    <x v="4"/>
    <x v="2"/>
    <s v="December"/>
    <n v="111"/>
    <x v="10"/>
    <n v="124119.89033093632"/>
    <x v="0"/>
    <n v="40.598337319397544"/>
    <n v="1118.1972101886156"/>
  </r>
  <r>
    <d v="2017-01-20T00:00:00"/>
    <x v="3"/>
    <x v="3"/>
    <s v="January"/>
    <n v="93"/>
    <x v="0"/>
    <n v="128897.2893"/>
    <x v="4"/>
    <n v="30.85291737283022"/>
    <n v="1385.9923580645161"/>
  </r>
  <r>
    <d v="2017-02-19T00:00:00"/>
    <x v="1"/>
    <x v="0"/>
    <s v="February"/>
    <n v="87"/>
    <x v="11"/>
    <n v="128897.2893"/>
    <x v="2"/>
    <n v="40.803843220194707"/>
    <n v="1481.5780379310345"/>
  </r>
  <r>
    <d v="2017-03-21T00:00:00"/>
    <x v="0"/>
    <x v="1"/>
    <s v="March"/>
    <n v="108"/>
    <x v="1"/>
    <n v="130420.1245431876"/>
    <x v="3"/>
    <n v="50.804644457516936"/>
    <n v="1207.5937457702555"/>
  </r>
  <r>
    <d v="2017-04-20T00:00:00"/>
    <x v="2"/>
    <x v="3"/>
    <s v="April"/>
    <n v="106"/>
    <x v="2"/>
    <n v="81021.669583503259"/>
    <x v="0"/>
    <n v="95.438622725690848"/>
    <n v="764.35537342927603"/>
  </r>
  <r>
    <d v="2017-05-20T00:00:00"/>
    <x v="4"/>
    <x v="0"/>
    <s v="May"/>
    <n v="108"/>
    <x v="3"/>
    <n v="134947.26395831117"/>
    <x v="1"/>
    <n v="68.830084782535366"/>
    <n v="1249.5117033176959"/>
  </r>
  <r>
    <d v="2017-06-19T00:00:00"/>
    <x v="1"/>
    <x v="2"/>
    <s v="June"/>
    <n v="96"/>
    <x v="4"/>
    <n v="118643.83128520769"/>
    <x v="1"/>
    <n v="86.797902854636988"/>
    <n v="1235.8732425542469"/>
  </r>
  <r>
    <d v="2017-07-19T00:00:00"/>
    <x v="1"/>
    <x v="0"/>
    <s v="July"/>
    <n v="113"/>
    <x v="5"/>
    <n v="95268.894255621082"/>
    <x v="0"/>
    <n v="76.828120056986577"/>
    <n v="843.08755978425734"/>
  </r>
  <r>
    <d v="2017-08-18T00:00:00"/>
    <x v="2"/>
    <x v="2"/>
    <s v="August"/>
    <n v="95"/>
    <x v="6"/>
    <n v="122712.40294365888"/>
    <x v="1"/>
    <n v="29.00025044213054"/>
    <n v="1291.7095046700933"/>
  </r>
  <r>
    <d v="2017-09-17T00:00:00"/>
    <x v="2"/>
    <x v="2"/>
    <s v="September"/>
    <n v="94"/>
    <x v="7"/>
    <n v="77874.129751767323"/>
    <x v="3"/>
    <n v="78.873632509915907"/>
    <n v="828.44818884858853"/>
  </r>
  <r>
    <d v="2017-10-17T00:00:00"/>
    <x v="1"/>
    <x v="1"/>
    <s v="October"/>
    <n v="107"/>
    <x v="8"/>
    <n v="83509.716769446532"/>
    <x v="4"/>
    <n v="42.007910524729951"/>
    <n v="780.46464270510774"/>
  </r>
  <r>
    <d v="2017-11-16T00:00:00"/>
    <x v="0"/>
    <x v="0"/>
    <s v="November"/>
    <n v="114"/>
    <x v="9"/>
    <n v="102916.7736"/>
    <x v="4"/>
    <n v="80.215177969999999"/>
    <n v="902.77871578947372"/>
  </r>
  <r>
    <d v="2017-12-16T00:00:00"/>
    <x v="0"/>
    <x v="2"/>
    <s v="December"/>
    <n v="86"/>
    <x v="10"/>
    <n v="89420.445838719694"/>
    <x v="4"/>
    <n v="47.276957891439082"/>
    <n v="1039.7726260316244"/>
  </r>
  <r>
    <d v="2018-01-15T00:00:00"/>
    <x v="4"/>
    <x v="1"/>
    <s v="January"/>
    <n v="100"/>
    <x v="0"/>
    <n v="78868.847144794941"/>
    <x v="3"/>
    <n v="99.813781061172733"/>
    <n v="788.68847144794938"/>
  </r>
  <r>
    <d v="2018-02-14T00:00:00"/>
    <x v="0"/>
    <x v="0"/>
    <s v="February"/>
    <n v="108"/>
    <x v="11"/>
    <n v="124461.6613419065"/>
    <x v="4"/>
    <n v="41.084118359742227"/>
    <n v="1152.4227902028379"/>
  </r>
  <r>
    <d v="2018-03-16T00:00:00"/>
    <x v="1"/>
    <x v="2"/>
    <s v="March"/>
    <n v="101"/>
    <x v="1"/>
    <n v="94822.91199260336"/>
    <x v="1"/>
    <n v="42.330437661941573"/>
    <n v="938.84071279805312"/>
  </r>
  <r>
    <d v="2018-04-15T00:00:00"/>
    <x v="1"/>
    <x v="1"/>
    <s v="April"/>
    <n v="94"/>
    <x v="2"/>
    <n v="107050.09936713759"/>
    <x v="0"/>
    <n v="94.453780444991864"/>
    <n v="1138.830844331251"/>
  </r>
  <r>
    <d v="2018-05-15T00:00:00"/>
    <x v="3"/>
    <x v="2"/>
    <s v="May"/>
    <n v="116"/>
    <x v="3"/>
    <n v="128897.2893"/>
    <x v="2"/>
    <n v="21.971552370905812"/>
    <n v="1111.1835284482759"/>
  </r>
  <r>
    <d v="2018-06-14T00:00:00"/>
    <x v="1"/>
    <x v="0"/>
    <s v="June"/>
    <n v="97"/>
    <x v="4"/>
    <n v="63587.933989029654"/>
    <x v="3"/>
    <n v="75.735119029855753"/>
    <n v="655.54571122710979"/>
  </r>
  <r>
    <d v="2018-07-14T00:00:00"/>
    <x v="0"/>
    <x v="2"/>
    <s v="July"/>
    <n v="100"/>
    <x v="5"/>
    <n v="105401.14716782844"/>
    <x v="3"/>
    <n v="78.026111258870259"/>
    <n v="1054.0114716782844"/>
  </r>
  <r>
    <d v="2018-08-13T00:00:00"/>
    <x v="4"/>
    <x v="2"/>
    <s v="August"/>
    <n v="94"/>
    <x v="6"/>
    <n v="61754.900491604465"/>
    <x v="2"/>
    <n v="86.910286192831947"/>
    <n v="656.96702650643044"/>
  </r>
  <r>
    <d v="2018-09-12T00:00:00"/>
    <x v="3"/>
    <x v="1"/>
    <s v="September"/>
    <n v="118"/>
    <x v="7"/>
    <n v="98627.319078290631"/>
    <x v="2"/>
    <n v="97.955144851078032"/>
    <n v="835.82473795161548"/>
  </r>
  <r>
    <d v="2018-10-12T00:00:00"/>
    <x v="0"/>
    <x v="1"/>
    <s v="October"/>
    <n v="104"/>
    <x v="8"/>
    <n v="72633.699223343792"/>
    <x v="4"/>
    <n v="98.048153532532197"/>
    <n v="698.40095407061335"/>
  </r>
  <r>
    <d v="2018-11-11T00:00:00"/>
    <x v="4"/>
    <x v="2"/>
    <s v="November"/>
    <n v="100"/>
    <x v="9"/>
    <n v="139745.51998461617"/>
    <x v="3"/>
    <n v="25.222140605317112"/>
    <n v="1397.4551998461618"/>
  </r>
  <r>
    <d v="2018-12-11T00:00:00"/>
    <x v="0"/>
    <x v="1"/>
    <s v="December"/>
    <n v="115"/>
    <x v="10"/>
    <n v="118227.25444349443"/>
    <x v="2"/>
    <n v="85.747145820232205"/>
    <n v="1028.0630821173429"/>
  </r>
  <r>
    <d v="2019-01-10T00:00:00"/>
    <x v="3"/>
    <x v="3"/>
    <s v="January"/>
    <n v="94"/>
    <x v="0"/>
    <n v="102115.07582542961"/>
    <x v="1"/>
    <n v="71.704794692590497"/>
    <n v="1086.330593887549"/>
  </r>
  <r>
    <d v="2019-02-09T00:00:00"/>
    <x v="1"/>
    <x v="3"/>
    <s v="February"/>
    <n v="91"/>
    <x v="11"/>
    <n v="125274.13355309337"/>
    <x v="1"/>
    <n v="71.787370749847298"/>
    <n v="1376.6388302537732"/>
  </r>
  <r>
    <d v="2019-03-11T00:00:00"/>
    <x v="3"/>
    <x v="2"/>
    <s v="March"/>
    <n v="110"/>
    <x v="1"/>
    <n v="83073.680450685279"/>
    <x v="3"/>
    <n v="30.267994129175584"/>
    <n v="755.2152768244116"/>
  </r>
  <r>
    <d v="2019-04-10T00:00:00"/>
    <x v="1"/>
    <x v="0"/>
    <s v="April"/>
    <n v="98"/>
    <x v="2"/>
    <n v="110869.58757340186"/>
    <x v="0"/>
    <n v="80.215177969999999"/>
    <n v="1131.32232217757"/>
  </r>
  <r>
    <d v="2019-05-10T00:00:00"/>
    <x v="3"/>
    <x v="3"/>
    <s v="May"/>
    <n v="86"/>
    <x v="3"/>
    <n v="103996.20867437427"/>
    <x v="0"/>
    <n v="98.598606448099829"/>
    <n v="1209.2582403997008"/>
  </r>
  <r>
    <d v="2019-06-09T00:00:00"/>
    <x v="2"/>
    <x v="3"/>
    <s v="June"/>
    <n v="121"/>
    <x v="4"/>
    <n v="105280.4016266734"/>
    <x v="1"/>
    <n v="65.454227669999995"/>
    <n v="870.08596385680494"/>
  </r>
  <r>
    <d v="2019-07-09T00:00:00"/>
    <x v="0"/>
    <x v="2"/>
    <s v="July"/>
    <n v="100"/>
    <x v="5"/>
    <n v="125447.07000213536"/>
    <x v="1"/>
    <n v="55.13045286438804"/>
    <n v="1254.4707000213537"/>
  </r>
  <r>
    <d v="2019-08-08T00:00:00"/>
    <x v="0"/>
    <x v="1"/>
    <s v="August"/>
    <n v="96"/>
    <x v="6"/>
    <n v="114649.84205559605"/>
    <x v="1"/>
    <n v="23.195837862887547"/>
    <n v="1194.2691880791256"/>
  </r>
  <r>
    <d v="2019-09-07T00:00:00"/>
    <x v="2"/>
    <x v="3"/>
    <s v="September"/>
    <n v="100"/>
    <x v="7"/>
    <n v="105774.47325650047"/>
    <x v="0"/>
    <n v="48.98347920001639"/>
    <n v="1057.7447325650046"/>
  </r>
  <r>
    <d v="2019-10-07T00:00:00"/>
    <x v="1"/>
    <x v="3"/>
    <s v="October"/>
    <n v="100"/>
    <x v="8"/>
    <n v="66902.251275434071"/>
    <x v="1"/>
    <n v="86.111224928044422"/>
    <n v="669.02251275434071"/>
  </r>
  <r>
    <d v="2019-11-06T00:00:00"/>
    <x v="0"/>
    <x v="0"/>
    <s v="November"/>
    <n v="93"/>
    <x v="9"/>
    <n v="80799.074094410724"/>
    <x v="2"/>
    <n v="76.119928117213277"/>
    <n v="868.80724832699707"/>
  </r>
  <r>
    <d v="2019-12-06T00:00:00"/>
    <x v="2"/>
    <x v="0"/>
    <s v="December"/>
    <n v="103"/>
    <x v="10"/>
    <n v="97545.821328085513"/>
    <x v="3"/>
    <n v="56.747492447516514"/>
    <n v="947.04680901053894"/>
  </r>
  <r>
    <d v="2020-01-05T00:00:00"/>
    <x v="0"/>
    <x v="0"/>
    <s v="January"/>
    <n v="78"/>
    <x v="0"/>
    <n v="101867.44748553302"/>
    <x v="2"/>
    <n v="80.215177969999999"/>
    <n v="1305.9929164811927"/>
  </r>
  <r>
    <d v="2020-02-04T00:00:00"/>
    <x v="4"/>
    <x v="0"/>
    <s v="February"/>
    <n v="116"/>
    <x v="11"/>
    <n v="77395.925506521526"/>
    <x v="2"/>
    <n v="54.151578225864213"/>
    <n v="667.20625436656485"/>
  </r>
  <r>
    <d v="2020-03-05T00:00:00"/>
    <x v="1"/>
    <x v="1"/>
    <s v="March"/>
    <n v="88"/>
    <x v="1"/>
    <n v="148233.53351156841"/>
    <x v="1"/>
    <n v="57.521995177430682"/>
    <n v="1684.4719717223684"/>
  </r>
  <r>
    <d v="2020-04-04T00:00:00"/>
    <x v="4"/>
    <x v="3"/>
    <s v="April"/>
    <n v="105"/>
    <x v="2"/>
    <n v="130327.88110507146"/>
    <x v="0"/>
    <n v="94.284442631530879"/>
    <n v="1241.2179152863948"/>
  </r>
  <r>
    <d v="2020-05-04T00:00:00"/>
    <x v="1"/>
    <x v="1"/>
    <s v="May"/>
    <n v="92"/>
    <x v="3"/>
    <n v="112042.36640784967"/>
    <x v="1"/>
    <n v="71.286888286572747"/>
    <n v="1217.8518087809746"/>
  </r>
  <r>
    <d v="2020-06-03T00:00:00"/>
    <x v="2"/>
    <x v="1"/>
    <s v="June"/>
    <n v="96"/>
    <x v="4"/>
    <n v="101440.73722567489"/>
    <x v="1"/>
    <n v="44.932233332371908"/>
    <n v="1056.6743461007802"/>
  </r>
  <r>
    <d v="2020-07-03T00:00:00"/>
    <x v="1"/>
    <x v="2"/>
    <s v="July"/>
    <n v="104"/>
    <x v="5"/>
    <n v="95755.820601976971"/>
    <x v="0"/>
    <n v="62.025461156057709"/>
    <n v="920.72904424977855"/>
  </r>
  <r>
    <d v="2020-08-02T00:00:00"/>
    <x v="1"/>
    <x v="2"/>
    <s v="August"/>
    <n v="84"/>
    <x v="6"/>
    <n v="80961.630799555292"/>
    <x v="3"/>
    <n v="25.284424625772807"/>
    <n v="963.8289380899439"/>
  </r>
  <r>
    <d v="2020-09-01T00:00:00"/>
    <x v="2"/>
    <x v="2"/>
    <s v="September"/>
    <n v="95"/>
    <x v="7"/>
    <n v="101549.61037037725"/>
    <x v="0"/>
    <n v="97.805458851978941"/>
    <n v="1068.9432670566027"/>
  </r>
  <r>
    <d v="2020-10-01T00:00:00"/>
    <x v="1"/>
    <x v="1"/>
    <s v="October"/>
    <n v="105"/>
    <x v="8"/>
    <n v="105155.05080285501"/>
    <x v="4"/>
    <n v="48.804792154458084"/>
    <n v="1001.4766743129048"/>
  </r>
  <r>
    <d v="2020-10-31T00:00:00"/>
    <x v="0"/>
    <x v="0"/>
    <s v="October"/>
    <n v="100"/>
    <x v="8"/>
    <n v="75164.788490367515"/>
    <x v="1"/>
    <n v="58.229388393050868"/>
    <n v="751.64788490367516"/>
  </r>
  <r>
    <d v="2020-11-30T00:00:00"/>
    <x v="3"/>
    <x v="1"/>
    <s v="November"/>
    <n v="104"/>
    <x v="9"/>
    <n v="106683.52834489795"/>
    <x v="3"/>
    <n v="48.422717938953809"/>
    <n v="1025.8031571624801"/>
  </r>
  <r>
    <d v="2020-12-30T00:00:00"/>
    <x v="2"/>
    <x v="0"/>
    <s v="December"/>
    <n v="106"/>
    <x v="10"/>
    <n v="96894.819023505028"/>
    <x v="1"/>
    <n v="74.60093840929602"/>
    <n v="914.10206625948138"/>
  </r>
  <r>
    <d v="2021-01-29T00:00:00"/>
    <x v="3"/>
    <x v="3"/>
    <s v="January"/>
    <n v="120"/>
    <x v="0"/>
    <n v="61843.848842452178"/>
    <x v="2"/>
    <n v="72.978572666367441"/>
    <n v="515.36540702043487"/>
  </r>
  <r>
    <d v="2021-02-28T00:00:00"/>
    <x v="2"/>
    <x v="3"/>
    <s v="February"/>
    <n v="100"/>
    <x v="11"/>
    <n v="82792.299784409959"/>
    <x v="1"/>
    <n v="77.225784842330853"/>
    <n v="827.92299784409954"/>
  </r>
  <r>
    <d v="2021-03-30T00:00:00"/>
    <x v="2"/>
    <x v="3"/>
    <s v="March"/>
    <n v="118"/>
    <x v="1"/>
    <n v="91727.889331567116"/>
    <x v="2"/>
    <n v="41.451458368953666"/>
    <n v="777.35499433531459"/>
  </r>
  <r>
    <d v="2021-04-29T00:00:00"/>
    <x v="4"/>
    <x v="3"/>
    <s v="April"/>
    <n v="92"/>
    <x v="2"/>
    <n v="137753.75314680382"/>
    <x v="4"/>
    <n v="45.253478493125279"/>
    <n v="1497.3234037696068"/>
  </r>
  <r>
    <d v="2021-05-29T00:00:00"/>
    <x v="4"/>
    <x v="0"/>
    <s v="May"/>
    <n v="110"/>
    <x v="3"/>
    <n v="111131.06249067516"/>
    <x v="2"/>
    <n v="30.020098487696636"/>
    <n v="1010.2823862788651"/>
  </r>
  <r>
    <d v="2021-06-28T00:00:00"/>
    <x v="1"/>
    <x v="3"/>
    <s v="June"/>
    <n v="101"/>
    <x v="4"/>
    <n v="73290.368618002176"/>
    <x v="2"/>
    <n v="72.440797747689004"/>
    <n v="725.64721403962551"/>
  </r>
  <r>
    <d v="2021-07-28T00:00:00"/>
    <x v="3"/>
    <x v="3"/>
    <s v="July"/>
    <n v="84"/>
    <x v="5"/>
    <n v="109720.72578835273"/>
    <x v="1"/>
    <n v="23.183770186852204"/>
    <n v="1306.1991165280087"/>
  </r>
  <r>
    <d v="2021-08-27T00:00:00"/>
    <x v="2"/>
    <x v="1"/>
    <s v="August"/>
    <n v="115"/>
    <x v="6"/>
    <n v="69053.920221232693"/>
    <x v="3"/>
    <n v="67.814586841876718"/>
    <n v="600.46887148897997"/>
  </r>
  <r>
    <d v="2021-09-26T00:00:00"/>
    <x v="1"/>
    <x v="2"/>
    <s v="September"/>
    <n v="95"/>
    <x v="7"/>
    <n v="121653.82107774146"/>
    <x v="1"/>
    <n v="89.575670788130708"/>
    <n v="1280.5665376604366"/>
  </r>
  <r>
    <d v="2021-10-26T00:00:00"/>
    <x v="0"/>
    <x v="2"/>
    <s v="October"/>
    <n v="114"/>
    <x v="8"/>
    <n v="90577.50696364243"/>
    <x v="0"/>
    <n v="91.266571863170682"/>
    <n v="794.53953476879326"/>
  </r>
  <r>
    <d v="2021-11-25T00:00:00"/>
    <x v="2"/>
    <x v="2"/>
    <s v="November"/>
    <n v="104"/>
    <x v="9"/>
    <n v="98127.276225216585"/>
    <x v="2"/>
    <n v="55.923020829596936"/>
    <n v="943.53150216554411"/>
  </r>
  <r>
    <d v="2021-12-25T00:00:00"/>
    <x v="0"/>
    <x v="2"/>
    <s v="December"/>
    <n v="89"/>
    <x v="10"/>
    <n v="126515.93295084379"/>
    <x v="3"/>
    <n v="56.744295057045903"/>
    <n v="1421.5273365263347"/>
  </r>
  <r>
    <d v="2022-01-24T00:00:00"/>
    <x v="1"/>
    <x v="0"/>
    <s v="January"/>
    <n v="100"/>
    <x v="0"/>
    <n v="74256.728628315002"/>
    <x v="1"/>
    <n v="26.157534640641387"/>
    <n v="742.56728628315"/>
  </r>
  <r>
    <d v="2022-02-23T00:00:00"/>
    <x v="4"/>
    <x v="1"/>
    <s v="February"/>
    <n v="85"/>
    <x v="11"/>
    <n v="72057.636297740173"/>
    <x v="2"/>
    <n v="73.661202035442855"/>
    <n v="847.73689762047263"/>
  </r>
  <r>
    <d v="2022-03-25T00:00:00"/>
    <x v="1"/>
    <x v="2"/>
    <s v="March"/>
    <n v="101"/>
    <x v="1"/>
    <n v="88328.013473079904"/>
    <x v="4"/>
    <n v="85.700753629827645"/>
    <n v="874.53478686217727"/>
  </r>
  <r>
    <d v="2022-04-24T00:00:00"/>
    <x v="0"/>
    <x v="1"/>
    <s v="April"/>
    <n v="104"/>
    <x v="2"/>
    <n v="120767.57702038634"/>
    <x v="1"/>
    <n v="39.572404368377043"/>
    <n v="1161.2267021190994"/>
  </r>
  <r>
    <d v="2022-05-24T00:00:00"/>
    <x v="2"/>
    <x v="2"/>
    <s v="May"/>
    <n v="106"/>
    <x v="3"/>
    <n v="69613.078490463144"/>
    <x v="3"/>
    <n v="53.704070530669171"/>
    <n v="656.72715557040704"/>
  </r>
  <r>
    <d v="2022-06-23T00:00:00"/>
    <x v="3"/>
    <x v="0"/>
    <s v="June"/>
    <n v="95"/>
    <x v="4"/>
    <n v="43356.888037788623"/>
    <x v="0"/>
    <n v="87.107146941221629"/>
    <n v="456.38829513461707"/>
  </r>
  <r>
    <d v="2022-07-23T00:00:00"/>
    <x v="1"/>
    <x v="2"/>
    <s v="July"/>
    <n v="104"/>
    <x v="5"/>
    <n v="90976.822831820027"/>
    <x v="0"/>
    <n v="90.169637412983036"/>
    <n v="874.77714261365406"/>
  </r>
  <r>
    <d v="2022-08-22T00:00:00"/>
    <x v="2"/>
    <x v="2"/>
    <s v="August"/>
    <n v="105"/>
    <x v="6"/>
    <n v="128897.2893"/>
    <x v="2"/>
    <n v="39.454398421138073"/>
    <n v="1227.5932314285715"/>
  </r>
  <r>
    <d v="2022-09-21T00:00:00"/>
    <x v="4"/>
    <x v="1"/>
    <s v="September"/>
    <n v="84"/>
    <x v="7"/>
    <n v="124005.23499477659"/>
    <x v="2"/>
    <n v="64.045650763309141"/>
    <n v="1476.2527975568642"/>
  </r>
  <r>
    <d v="2022-10-21T00:00:00"/>
    <x v="4"/>
    <x v="1"/>
    <s v="October"/>
    <n v="93"/>
    <x v="8"/>
    <n v="90736.77275829202"/>
    <x v="0"/>
    <n v="35.399452050866167"/>
    <n v="975.66422320744107"/>
  </r>
  <r>
    <d v="2022-11-20T00:00:00"/>
    <x v="4"/>
    <x v="2"/>
    <s v="November"/>
    <n v="115"/>
    <x v="9"/>
    <n v="91771.467857679949"/>
    <x v="3"/>
    <n v="28.150301131164525"/>
    <n v="798.01276397982565"/>
  </r>
  <r>
    <d v="2022-12-20T00:00:00"/>
    <x v="2"/>
    <x v="2"/>
    <s v="December"/>
    <n v="109"/>
    <x v="10"/>
    <n v="123078.01468511495"/>
    <x v="1"/>
    <n v="92.889640111356599"/>
    <n v="1129.1560980285774"/>
  </r>
  <r>
    <d v="2023-01-19T00:00:00"/>
    <x v="1"/>
    <x v="0"/>
    <s v="January"/>
    <n v="102"/>
    <x v="0"/>
    <n v="62605.166006091589"/>
    <x v="1"/>
    <n v="85.640600338568731"/>
    <n v="613.77613731462338"/>
  </r>
  <r>
    <d v="2023-02-18T00:00:00"/>
    <x v="2"/>
    <x v="2"/>
    <s v="February"/>
    <n v="100"/>
    <x v="11"/>
    <n v="92229.584496339812"/>
    <x v="0"/>
    <n v="80.802792144253914"/>
    <n v="922.29584496339817"/>
  </r>
  <r>
    <d v="2023-03-20T00:00:00"/>
    <x v="2"/>
    <x v="3"/>
    <s v="March"/>
    <n v="93"/>
    <x v="1"/>
    <n v="103808.47779850116"/>
    <x v="3"/>
    <n v="23.901305505051234"/>
    <n v="1116.220191381733"/>
  </r>
  <r>
    <d v="2023-04-19T00:00:00"/>
    <x v="3"/>
    <x v="0"/>
    <s v="April"/>
    <n v="100"/>
    <x v="2"/>
    <n v="108984.37442570069"/>
    <x v="4"/>
    <n v="87.49830341682059"/>
    <n v="1089.8437442570068"/>
  </r>
  <r>
    <d v="2023-05-19T00:00:00"/>
    <x v="3"/>
    <x v="1"/>
    <s v="May"/>
    <n v="117"/>
    <x v="3"/>
    <n v="102916.7736"/>
    <x v="2"/>
    <n v="55.043526072430701"/>
    <n v="879.63054358974364"/>
  </r>
  <r>
    <d v="2023-06-18T00:00:00"/>
    <x v="1"/>
    <x v="0"/>
    <s v="June"/>
    <n v="98"/>
    <x v="4"/>
    <n v="100688.82023411682"/>
    <x v="4"/>
    <n v="47.391609863668769"/>
    <n v="1027.4369411644573"/>
  </r>
  <r>
    <d v="2023-07-18T00:00:00"/>
    <x v="3"/>
    <x v="2"/>
    <s v="July"/>
    <n v="94"/>
    <x v="5"/>
    <n v="50233.452931740212"/>
    <x v="1"/>
    <n v="63.718108882030116"/>
    <n v="534.39843544404482"/>
  </r>
  <r>
    <d v="2023-08-17T00:00:00"/>
    <x v="4"/>
    <x v="2"/>
    <s v="August"/>
    <n v="112"/>
    <x v="6"/>
    <n v="86835.031753323041"/>
    <x v="0"/>
    <n v="27.308259417884464"/>
    <n v="775.31278351181288"/>
  </r>
  <r>
    <d v="2023-09-16T00:00:00"/>
    <x v="3"/>
    <x v="3"/>
    <s v="September"/>
    <n v="89"/>
    <x v="7"/>
    <n v="109070.17425108935"/>
    <x v="2"/>
    <n v="80.53172394819191"/>
    <n v="1225.5075758549365"/>
  </r>
  <r>
    <d v="2023-10-16T00:00:00"/>
    <x v="4"/>
    <x v="0"/>
    <s v="October"/>
    <n v="119"/>
    <x v="8"/>
    <n v="80354.119314906406"/>
    <x v="3"/>
    <n v="66.594806151063665"/>
    <n v="675.24470012526388"/>
  </r>
  <r>
    <d v="2023-11-15T00:00:00"/>
    <x v="1"/>
    <x v="2"/>
    <s v="November"/>
    <n v="102"/>
    <x v="9"/>
    <n v="128897.2893"/>
    <x v="4"/>
    <n v="34.927207749853402"/>
    <n v="1263.6989147058823"/>
  </r>
  <r>
    <d v="2023-12-15T00:00:00"/>
    <x v="2"/>
    <x v="1"/>
    <s v="December"/>
    <n v="87"/>
    <x v="10"/>
    <n v="108937.45001605396"/>
    <x v="0"/>
    <n v="35.058575981523646"/>
    <n v="1252.1545978856777"/>
  </r>
  <r>
    <d v="2024-01-14T00:00:00"/>
    <x v="2"/>
    <x v="3"/>
    <s v="January"/>
    <n v="113"/>
    <x v="0"/>
    <n v="93149.015982844707"/>
    <x v="2"/>
    <n v="34.739892125813938"/>
    <n v="824.32757506942221"/>
  </r>
  <r>
    <d v="2024-02-13T00:00:00"/>
    <x v="3"/>
    <x v="2"/>
    <s v="February"/>
    <n v="106"/>
    <x v="11"/>
    <n v="103409.27541993142"/>
    <x v="2"/>
    <n v="24.560191004154717"/>
    <n v="975.55920207482473"/>
  </r>
  <r>
    <d v="2024-03-14T00:00:00"/>
    <x v="4"/>
    <x v="2"/>
    <s v="March"/>
    <n v="96"/>
    <x v="1"/>
    <n v="80745.348694307759"/>
    <x v="3"/>
    <n v="67.023875949734787"/>
    <n v="841.09738223237252"/>
  </r>
  <r>
    <d v="2024-04-13T00:00:00"/>
    <x v="0"/>
    <x v="2"/>
    <s v="April"/>
    <n v="110"/>
    <x v="2"/>
    <n v="95867.774406079072"/>
    <x v="0"/>
    <n v="87.227854207080654"/>
    <n v="871.52522187344607"/>
  </r>
  <r>
    <d v="2024-05-13T00:00:00"/>
    <x v="0"/>
    <x v="3"/>
    <s v="May"/>
    <n v="100"/>
    <x v="3"/>
    <n v="102916.7736"/>
    <x v="2"/>
    <n v="21.399857118991086"/>
    <n v="1029.1677360000001"/>
  </r>
  <r>
    <d v="2024-06-12T00:00:00"/>
    <x v="0"/>
    <x v="1"/>
    <s v="June"/>
    <n v="100"/>
    <x v="4"/>
    <n v="103139.45921936868"/>
    <x v="3"/>
    <n v="23.920371597701884"/>
    <n v="1031.3945921936868"/>
  </r>
  <r>
    <d v="2024-07-12T00:00:00"/>
    <x v="2"/>
    <x v="3"/>
    <s v="July"/>
    <n v="106"/>
    <x v="5"/>
    <n v="88269.374608721293"/>
    <x v="3"/>
    <n v="65.82162213495566"/>
    <n v="832.7299491388801"/>
  </r>
  <r>
    <d v="2024-08-11T00:00:00"/>
    <x v="2"/>
    <x v="3"/>
    <s v="August"/>
    <n v="114"/>
    <x v="6"/>
    <n v="104484.32808581585"/>
    <x v="1"/>
    <n v="85.559654830884185"/>
    <n v="916.52919373522684"/>
  </r>
  <r>
    <d v="2024-09-10T00:00:00"/>
    <x v="4"/>
    <x v="2"/>
    <s v="September"/>
    <n v="96"/>
    <x v="7"/>
    <n v="114292.19581273236"/>
    <x v="1"/>
    <n v="46.139111245490689"/>
    <n v="1190.5437063826287"/>
  </r>
  <r>
    <d v="2024-10-10T00:00:00"/>
    <x v="3"/>
    <x v="3"/>
    <s v="October"/>
    <n v="102"/>
    <x v="8"/>
    <n v="59001.174428450438"/>
    <x v="2"/>
    <n v="47.969151904617775"/>
    <n v="578.44288655343564"/>
  </r>
  <r>
    <d v="2024-11-09T00:00:00"/>
    <x v="0"/>
    <x v="0"/>
    <s v="November"/>
    <n v="100"/>
    <x v="9"/>
    <n v="123181.48129911795"/>
    <x v="0"/>
    <n v="67.70771979974208"/>
    <n v="1231.8148129911795"/>
  </r>
  <r>
    <d v="2024-12-09T00:00:00"/>
    <x v="4"/>
    <x v="0"/>
    <s v="December"/>
    <n v="93"/>
    <x v="10"/>
    <n v="93274.905226378556"/>
    <x v="1"/>
    <n v="41.937031129931761"/>
    <n v="1002.9559701761135"/>
  </r>
  <r>
    <d v="2025-01-08T00:00:00"/>
    <x v="4"/>
    <x v="2"/>
    <s v="January"/>
    <n v="100"/>
    <x v="0"/>
    <n v="108509.79866480461"/>
    <x v="4"/>
    <n v="22.128669286214731"/>
    <n v="1085.0979866480461"/>
  </r>
  <r>
    <d v="2025-02-07T00:00:00"/>
    <x v="3"/>
    <x v="0"/>
    <s v="February"/>
    <n v="111"/>
    <x v="11"/>
    <n v="123944.93847290456"/>
    <x v="0"/>
    <n v="78.818281448127692"/>
    <n v="1116.6210673234646"/>
  </r>
  <r>
    <d v="2025-03-09T00:00:00"/>
    <x v="4"/>
    <x v="0"/>
    <s v="March"/>
    <n v="87"/>
    <x v="1"/>
    <n v="72566.526055390685"/>
    <x v="4"/>
    <n v="80.215177969999999"/>
    <n v="834.09800063667456"/>
  </r>
  <r>
    <d v="2025-04-08T00:00:00"/>
    <x v="3"/>
    <x v="3"/>
    <s v="April"/>
    <n v="100"/>
    <x v="2"/>
    <n v="85811.17995144907"/>
    <x v="1"/>
    <n v="66.460479924452727"/>
    <n v="858.11179951449071"/>
  </r>
  <r>
    <d v="2025-05-08T00:00:00"/>
    <x v="1"/>
    <x v="0"/>
    <s v="May"/>
    <n v="104"/>
    <x v="3"/>
    <n v="102916.7736"/>
    <x v="4"/>
    <n v="79.334730319345852"/>
    <n v="989.58436153846151"/>
  </r>
  <r>
    <d v="2025-06-07T00:00:00"/>
    <x v="3"/>
    <x v="2"/>
    <s v="June"/>
    <n v="78"/>
    <x v="4"/>
    <n v="84324.92957751143"/>
    <x v="2"/>
    <n v="74.018467004963"/>
    <n v="1081.0888407373261"/>
  </r>
  <r>
    <d v="2025-07-07T00:00:00"/>
    <x v="0"/>
    <x v="0"/>
    <s v="July"/>
    <n v="101"/>
    <x v="5"/>
    <n v="134698.73151673615"/>
    <x v="3"/>
    <n v="36.470559054265692"/>
    <n v="1333.6508070963976"/>
  </r>
  <r>
    <d v="2025-08-06T00:00:00"/>
    <x v="0"/>
    <x v="1"/>
    <s v="August"/>
    <n v="100"/>
    <x v="6"/>
    <n v="128897.2893"/>
    <x v="2"/>
    <n v="48.198483755468089"/>
    <n v="1288.9728930000001"/>
  </r>
  <r>
    <d v="2025-09-05T00:00:00"/>
    <x v="3"/>
    <x v="2"/>
    <s v="September"/>
    <n v="109"/>
    <x v="7"/>
    <n v="88889.064410262668"/>
    <x v="1"/>
    <n v="30.08881133429"/>
    <n v="815.49600376387764"/>
  </r>
  <r>
    <d v="2025-10-05T00:00:00"/>
    <x v="1"/>
    <x v="1"/>
    <s v="October"/>
    <n v="98"/>
    <x v="8"/>
    <n v="104087.78063205954"/>
    <x v="2"/>
    <n v="30.388561073430481"/>
    <n v="1062.1202105312198"/>
  </r>
  <r>
    <d v="2025-11-04T00:00:00"/>
    <x v="1"/>
    <x v="2"/>
    <s v="November"/>
    <n v="111"/>
    <x v="9"/>
    <n v="75957.009478478227"/>
    <x v="4"/>
    <n v="74.095659708523129"/>
    <n v="684.29738268899303"/>
  </r>
  <r>
    <d v="2025-12-04T00:00:00"/>
    <x v="0"/>
    <x v="3"/>
    <s v="December"/>
    <n v="97"/>
    <x v="10"/>
    <n v="128897.2893"/>
    <x v="0"/>
    <n v="88.688008558599861"/>
    <n v="1328.8380340206186"/>
  </r>
  <r>
    <d v="2026-01-03T00:00:00"/>
    <x v="1"/>
    <x v="0"/>
    <s v="January"/>
    <n v="88"/>
    <x v="0"/>
    <n v="106349.06522500351"/>
    <x v="0"/>
    <n v="97.018606708891127"/>
    <n v="1208.5121048295853"/>
  </r>
  <r>
    <d v="2026-02-02T00:00:00"/>
    <x v="4"/>
    <x v="1"/>
    <s v="February"/>
    <n v="101"/>
    <x v="11"/>
    <n v="93342.79191234977"/>
    <x v="4"/>
    <n v="70.267769403955555"/>
    <n v="924.18605853811653"/>
  </r>
  <r>
    <d v="2026-03-04T00:00:00"/>
    <x v="2"/>
    <x v="2"/>
    <s v="March"/>
    <n v="105"/>
    <x v="1"/>
    <n v="98132.262822001037"/>
    <x v="2"/>
    <n v="34.728105868876554"/>
    <n v="934.59297925715271"/>
  </r>
  <r>
    <d v="2026-04-03T00:00:00"/>
    <x v="4"/>
    <x v="0"/>
    <s v="April"/>
    <n v="102"/>
    <x v="2"/>
    <n v="89413.357751032585"/>
    <x v="0"/>
    <n v="28.452027635914455"/>
    <n v="876.6015465787508"/>
  </r>
  <r>
    <d v="2026-05-03T00:00:00"/>
    <x v="0"/>
    <x v="0"/>
    <s v="May"/>
    <n v="98"/>
    <x v="3"/>
    <n v="69710.593816384659"/>
    <x v="2"/>
    <n v="85.028077722940623"/>
    <n v="711.33258996310872"/>
  </r>
  <r>
    <d v="2026-06-02T00:00:00"/>
    <x v="1"/>
    <x v="0"/>
    <s v="June"/>
    <n v="96"/>
    <x v="4"/>
    <n v="106431.86422678478"/>
    <x v="3"/>
    <n v="66.300518108799935"/>
    <n v="1108.6652523623413"/>
  </r>
  <r>
    <d v="2026-07-02T00:00:00"/>
    <x v="3"/>
    <x v="3"/>
    <s v="July"/>
    <n v="76"/>
    <x v="5"/>
    <n v="135098.66143294482"/>
    <x v="2"/>
    <n v="69.462801681097588"/>
    <n v="1777.6139662229582"/>
  </r>
  <r>
    <d v="2026-08-01T00:00:00"/>
    <x v="2"/>
    <x v="1"/>
    <s v="August"/>
    <n v="112"/>
    <x v="6"/>
    <n v="100368.03261566877"/>
    <x v="0"/>
    <n v="82.516967100376746"/>
    <n v="896.14314835418543"/>
  </r>
  <r>
    <d v="2026-08-31T00:00:00"/>
    <x v="3"/>
    <x v="3"/>
    <s v="August"/>
    <n v="99"/>
    <x v="6"/>
    <n v="128897.2893"/>
    <x v="3"/>
    <n v="76.262178218596119"/>
    <n v="1301.9928212121213"/>
  </r>
  <r>
    <d v="2026-09-30T00:00:00"/>
    <x v="0"/>
    <x v="1"/>
    <s v="September"/>
    <n v="100"/>
    <x v="7"/>
    <n v="113854.45510233719"/>
    <x v="2"/>
    <n v="86.756660228487732"/>
    <n v="1138.5445510233719"/>
  </r>
  <r>
    <d v="2026-10-30T00:00:00"/>
    <x v="1"/>
    <x v="2"/>
    <s v="October"/>
    <n v="89"/>
    <x v="8"/>
    <n v="74613.390069066023"/>
    <x v="2"/>
    <n v="24.497112436790278"/>
    <n v="838.3526974052362"/>
  </r>
  <r>
    <d v="2026-11-29T00:00:00"/>
    <x v="3"/>
    <x v="2"/>
    <s v="November"/>
    <n v="100"/>
    <x v="9"/>
    <n v="134050.2931625921"/>
    <x v="3"/>
    <n v="79.801650939720389"/>
    <n v="1340.5029316259211"/>
  </r>
  <r>
    <d v="2026-12-29T00:00:00"/>
    <x v="3"/>
    <x v="3"/>
    <s v="December"/>
    <n v="104"/>
    <x v="10"/>
    <n v="104046.57592845603"/>
    <x v="2"/>
    <n v="88.068220585767634"/>
    <n v="1000.4478454659234"/>
  </r>
  <r>
    <d v="2027-01-28T00:00:00"/>
    <x v="2"/>
    <x v="1"/>
    <s v="January"/>
    <n v="96"/>
    <x v="0"/>
    <n v="132637.13798178217"/>
    <x v="3"/>
    <n v="42.890803396665149"/>
    <n v="1381.6368539768976"/>
  </r>
  <r>
    <d v="2027-02-27T00:00:00"/>
    <x v="2"/>
    <x v="2"/>
    <s v="February"/>
    <n v="100"/>
    <x v="11"/>
    <n v="85339.340089520207"/>
    <x v="3"/>
    <n v="71.235781919460237"/>
    <n v="853.39340089520203"/>
  </r>
  <r>
    <d v="2027-03-29T00:00:00"/>
    <x v="1"/>
    <x v="3"/>
    <s v="March"/>
    <n v="105"/>
    <x v="1"/>
    <n v="136361.2384511565"/>
    <x v="3"/>
    <n v="45.132965106957769"/>
    <n v="1298.6784614395858"/>
  </r>
  <r>
    <d v="2027-04-28T00:00:00"/>
    <x v="2"/>
    <x v="3"/>
    <s v="April"/>
    <n v="81"/>
    <x v="2"/>
    <n v="115503.10988069566"/>
    <x v="3"/>
    <n v="96.637685318596326"/>
    <n v="1425.9643195147612"/>
  </r>
  <r>
    <d v="2027-05-28T00:00:00"/>
    <x v="3"/>
    <x v="3"/>
    <s v="May"/>
    <n v="120"/>
    <x v="3"/>
    <n v="111060.80171704717"/>
    <x v="4"/>
    <n v="22.673885794840302"/>
    <n v="925.50668097539312"/>
  </r>
  <r>
    <d v="2027-06-27T00:00:00"/>
    <x v="3"/>
    <x v="0"/>
    <s v="June"/>
    <n v="97"/>
    <x v="4"/>
    <n v="104680.48908706296"/>
    <x v="3"/>
    <n v="66.383427506636394"/>
    <n v="1079.1802998666285"/>
  </r>
  <r>
    <d v="2027-07-27T00:00:00"/>
    <x v="0"/>
    <x v="0"/>
    <s v="July"/>
    <n v="99"/>
    <x v="5"/>
    <n v="95029.427638511013"/>
    <x v="2"/>
    <n v="33.320283763961207"/>
    <n v="959.8932084698082"/>
  </r>
  <r>
    <d v="2027-08-26T00:00:00"/>
    <x v="3"/>
    <x v="3"/>
    <s v="August"/>
    <n v="120"/>
    <x v="6"/>
    <n v="124010.63316947746"/>
    <x v="3"/>
    <n v="80.215177969999999"/>
    <n v="1033.4219430789788"/>
  </r>
  <r>
    <d v="2027-09-25T00:00:00"/>
    <x v="1"/>
    <x v="2"/>
    <s v="September"/>
    <n v="90"/>
    <x v="7"/>
    <n v="102807.19739696094"/>
    <x v="0"/>
    <n v="34.071222673492969"/>
    <n v="1142.3021932995659"/>
  </r>
  <r>
    <d v="2027-10-25T00:00:00"/>
    <x v="4"/>
    <x v="3"/>
    <s v="October"/>
    <n v="85"/>
    <x v="8"/>
    <n v="60658.605928256955"/>
    <x v="4"/>
    <n v="38.830660951868609"/>
    <n v="713.63065797949355"/>
  </r>
  <r>
    <d v="2027-11-24T00:00:00"/>
    <x v="0"/>
    <x v="2"/>
    <s v="November"/>
    <n v="84"/>
    <x v="9"/>
    <n v="77656.270765859954"/>
    <x v="3"/>
    <n v="59.549664883660647"/>
    <n v="924.47941387928518"/>
  </r>
  <r>
    <d v="2027-12-24T00:00:00"/>
    <x v="0"/>
    <x v="3"/>
    <s v="December"/>
    <n v="100"/>
    <x v="10"/>
    <n v="96283.08495614506"/>
    <x v="3"/>
    <n v="93.186795999750245"/>
    <n v="962.83084956145058"/>
  </r>
  <r>
    <d v="2028-01-23T00:00:00"/>
    <x v="1"/>
    <x v="0"/>
    <s v="January"/>
    <n v="112"/>
    <x v="0"/>
    <n v="106199.9796633111"/>
    <x v="4"/>
    <n v="36.937149771837667"/>
    <n v="948.21410413670617"/>
  </r>
  <r>
    <d v="2028-02-22T00:00:00"/>
    <x v="1"/>
    <x v="1"/>
    <s v="February"/>
    <n v="110"/>
    <x v="11"/>
    <n v="98868.230222002079"/>
    <x v="2"/>
    <n v="31.539201689448284"/>
    <n v="898.8020929272916"/>
  </r>
  <r>
    <d v="2028-03-23T00:00:00"/>
    <x v="2"/>
    <x v="1"/>
    <s v="March"/>
    <n v="86"/>
    <x v="1"/>
    <n v="124379.41579587327"/>
    <x v="0"/>
    <n v="80.718146548322451"/>
    <n v="1446.2722766962008"/>
  </r>
  <r>
    <d v="2028-04-22T00:00:00"/>
    <x v="0"/>
    <x v="1"/>
    <s v="April"/>
    <n v="104"/>
    <x v="2"/>
    <n v="60977.9627192275"/>
    <x v="1"/>
    <n v="60.04956258671448"/>
    <n v="586.3265646079567"/>
  </r>
  <r>
    <d v="2028-05-22T00:00:00"/>
    <x v="2"/>
    <x v="0"/>
    <s v="May"/>
    <n v="107"/>
    <x v="3"/>
    <n v="102871.7587301032"/>
    <x v="4"/>
    <n v="92.942808990541707"/>
    <n v="961.41830588881498"/>
  </r>
  <r>
    <d v="2028-06-21T00:00:00"/>
    <x v="3"/>
    <x v="2"/>
    <s v="June"/>
    <n v="93"/>
    <x v="4"/>
    <n v="63640.415492256907"/>
    <x v="2"/>
    <n v="31.729164572787383"/>
    <n v="684.30554292749366"/>
  </r>
  <r>
    <d v="2028-07-21T00:00:00"/>
    <x v="0"/>
    <x v="3"/>
    <s v="July"/>
    <n v="108"/>
    <x v="5"/>
    <n v="115194.24590968336"/>
    <x v="0"/>
    <n v="71.674231441843148"/>
    <n v="1066.6133880526238"/>
  </r>
  <r>
    <d v="2028-08-20T00:00:00"/>
    <x v="0"/>
    <x v="2"/>
    <s v="August"/>
    <n v="96"/>
    <x v="6"/>
    <n v="98110.825711159938"/>
    <x v="4"/>
    <n v="38.630331692145205"/>
    <n v="1021.9877678245826"/>
  </r>
  <r>
    <d v="2028-09-19T00:00:00"/>
    <x v="4"/>
    <x v="1"/>
    <s v="September"/>
    <n v="95"/>
    <x v="7"/>
    <n v="128897.2893"/>
    <x v="3"/>
    <n v="32.540834292131144"/>
    <n v="1356.8135715789474"/>
  </r>
  <r>
    <d v="2028-10-19T00:00:00"/>
    <x v="0"/>
    <x v="1"/>
    <s v="October"/>
    <n v="112"/>
    <x v="8"/>
    <n v="82722.340788204674"/>
    <x v="4"/>
    <n v="74.67435321258165"/>
    <n v="738.59232846611314"/>
  </r>
  <r>
    <d v="2028-11-18T00:00:00"/>
    <x v="3"/>
    <x v="2"/>
    <s v="November"/>
    <n v="108"/>
    <x v="9"/>
    <n v="125589.29863315502"/>
    <x v="0"/>
    <n v="67.49476959269866"/>
    <n v="1162.8638762329169"/>
  </r>
  <r>
    <d v="2028-12-18T00:00:00"/>
    <x v="2"/>
    <x v="3"/>
    <s v="December"/>
    <n v="85"/>
    <x v="10"/>
    <n v="120834.49328117703"/>
    <x v="1"/>
    <n v="80.3861966689865"/>
    <n v="1421.5822738962004"/>
  </r>
  <r>
    <d v="2029-01-17T00:00:00"/>
    <x v="2"/>
    <x v="3"/>
    <s v="January"/>
    <n v="100"/>
    <x v="0"/>
    <n v="111670.88606023775"/>
    <x v="3"/>
    <n v="44.757006115694587"/>
    <n v="1116.7088606023776"/>
  </r>
  <r>
    <d v="2029-02-16T00:00:00"/>
    <x v="4"/>
    <x v="1"/>
    <s v="February"/>
    <n v="95"/>
    <x v="11"/>
    <n v="128897.2893"/>
    <x v="2"/>
    <n v="55.837732510575194"/>
    <n v="1356.8135715789474"/>
  </r>
  <r>
    <d v="2029-03-18T00:00:00"/>
    <x v="3"/>
    <x v="1"/>
    <s v="March"/>
    <n v="97"/>
    <x v="1"/>
    <n v="111597.14570590264"/>
    <x v="2"/>
    <n v="52.437734106433481"/>
    <n v="1150.4860382051818"/>
  </r>
  <r>
    <d v="2029-04-17T00:00:00"/>
    <x v="2"/>
    <x v="3"/>
    <s v="April"/>
    <n v="116"/>
    <x v="2"/>
    <n v="85862.148640253028"/>
    <x v="3"/>
    <n v="65.454227669999995"/>
    <n v="740.19093655390543"/>
  </r>
  <r>
    <d v="2029-05-17T00:00:00"/>
    <x v="1"/>
    <x v="0"/>
    <s v="May"/>
    <n v="95"/>
    <x v="3"/>
    <n v="117111.11318041425"/>
    <x v="1"/>
    <n v="43.379916539151033"/>
    <n v="1232.7485597938341"/>
  </r>
  <r>
    <d v="2029-06-16T00:00:00"/>
    <x v="3"/>
    <x v="2"/>
    <s v="June"/>
    <n v="123"/>
    <x v="4"/>
    <n v="132989.61788647843"/>
    <x v="2"/>
    <n v="43.58537906774135"/>
    <n v="1081.2164055811254"/>
  </r>
  <r>
    <d v="2029-07-16T00:00:00"/>
    <x v="3"/>
    <x v="1"/>
    <s v="July"/>
    <n v="104"/>
    <x v="5"/>
    <n v="121412.21119958372"/>
    <x v="4"/>
    <n v="80.215177969999999"/>
    <n v="1167.4251076883049"/>
  </r>
  <r>
    <d v="2029-08-15T00:00:00"/>
    <x v="4"/>
    <x v="3"/>
    <s v="August"/>
    <n v="94"/>
    <x v="6"/>
    <n v="85407.950603851816"/>
    <x v="1"/>
    <n v="65.16752650322573"/>
    <n v="908.59521918991288"/>
  </r>
  <r>
    <d v="2029-09-14T00:00:00"/>
    <x v="2"/>
    <x v="1"/>
    <s v="September"/>
    <n v="105"/>
    <x v="7"/>
    <n v="102916.7736"/>
    <x v="3"/>
    <n v="40.185819541099619"/>
    <n v="980.15974857142862"/>
  </r>
  <r>
    <d v="2029-10-14T00:00:00"/>
    <x v="3"/>
    <x v="1"/>
    <s v="October"/>
    <n v="109"/>
    <x v="8"/>
    <n v="74137.169124827051"/>
    <x v="0"/>
    <n v="93.223195230341915"/>
    <n v="680.15751490667014"/>
  </r>
  <r>
    <d v="2029-11-13T00:00:00"/>
    <x v="2"/>
    <x v="2"/>
    <s v="November"/>
    <n v="84"/>
    <x v="9"/>
    <n v="111447.80622351351"/>
    <x v="2"/>
    <n v="41.254845189301079"/>
    <n v="1326.7595978989705"/>
  </r>
  <r>
    <d v="2029-12-13T00:00:00"/>
    <x v="1"/>
    <x v="3"/>
    <s v="December"/>
    <n v="79"/>
    <x v="10"/>
    <n v="109012.06825725078"/>
    <x v="0"/>
    <n v="91.66525852481557"/>
    <n v="1379.899598193048"/>
  </r>
  <r>
    <d v="2030-01-12T00:00:00"/>
    <x v="4"/>
    <x v="1"/>
    <s v="January"/>
    <n v="98"/>
    <x v="0"/>
    <n v="62603.673209356719"/>
    <x v="4"/>
    <n v="28.278005091726772"/>
    <n v="638.81299193221139"/>
  </r>
  <r>
    <d v="2030-02-11T00:00:00"/>
    <x v="1"/>
    <x v="3"/>
    <s v="February"/>
    <n v="96"/>
    <x v="11"/>
    <n v="76764.323121752721"/>
    <x v="1"/>
    <n v="72.525016191972185"/>
    <n v="799.62836585159084"/>
  </r>
  <r>
    <d v="2030-03-13T00:00:00"/>
    <x v="4"/>
    <x v="1"/>
    <s v="March"/>
    <n v="88"/>
    <x v="1"/>
    <n v="94337.222065124661"/>
    <x v="0"/>
    <n v="65.454227669999995"/>
    <n v="1072.0138871036893"/>
  </r>
  <r>
    <d v="2030-04-12T00:00:00"/>
    <x v="3"/>
    <x v="1"/>
    <s v="April"/>
    <n v="103"/>
    <x v="2"/>
    <n v="93982.805057183476"/>
    <x v="2"/>
    <n v="33.499955071858366"/>
    <n v="912.4544180309075"/>
  </r>
  <r>
    <d v="2030-05-12T00:00:00"/>
    <x v="4"/>
    <x v="3"/>
    <s v="May"/>
    <n v="83"/>
    <x v="3"/>
    <n v="75810.461291623898"/>
    <x v="2"/>
    <n v="97.466156807940393"/>
    <n v="913.379051706312"/>
  </r>
  <r>
    <d v="2030-06-11T00:00:00"/>
    <x v="0"/>
    <x v="3"/>
    <s v="June"/>
    <n v="82"/>
    <x v="4"/>
    <n v="107779.57458704368"/>
    <x v="4"/>
    <n v="56.230668833240934"/>
    <n v="1314.3850559395571"/>
  </r>
  <r>
    <d v="2030-07-11T00:00:00"/>
    <x v="2"/>
    <x v="0"/>
    <s v="July"/>
    <n v="106"/>
    <x v="5"/>
    <n v="105029.47217881025"/>
    <x v="2"/>
    <n v="80.215177969999999"/>
    <n v="990.8440771585872"/>
  </r>
  <r>
    <d v="2030-08-10T00:00:00"/>
    <x v="2"/>
    <x v="3"/>
    <s v="August"/>
    <n v="96"/>
    <x v="6"/>
    <n v="96114.61736042962"/>
    <x v="4"/>
    <n v="74.145603490403758"/>
    <n v="1001.1939308378086"/>
  </r>
  <r>
    <d v="2030-09-09T00:00:00"/>
    <x v="0"/>
    <x v="2"/>
    <s v="September"/>
    <n v="96"/>
    <x v="7"/>
    <n v="84884.169996832745"/>
    <x v="2"/>
    <n v="44.12694958988412"/>
    <n v="884.21010413367446"/>
  </r>
  <r>
    <d v="2030-10-09T00:00:00"/>
    <x v="1"/>
    <x v="3"/>
    <s v="October"/>
    <n v="109"/>
    <x v="8"/>
    <n v="120974.14252833127"/>
    <x v="2"/>
    <n v="35.064201993368513"/>
    <n v="1109.8545186085437"/>
  </r>
  <r>
    <d v="2030-11-08T00:00:00"/>
    <x v="0"/>
    <x v="0"/>
    <s v="November"/>
    <n v="98"/>
    <x v="9"/>
    <n v="133108.1422617659"/>
    <x v="3"/>
    <n v="44.298803698007951"/>
    <n v="1358.246349609856"/>
  </r>
  <r>
    <d v="2030-12-08T00:00:00"/>
    <x v="3"/>
    <x v="0"/>
    <s v="December"/>
    <n v="86"/>
    <x v="10"/>
    <n v="128897.2893"/>
    <x v="3"/>
    <n v="27.441392741013999"/>
    <n v="1498.8056895348839"/>
  </r>
  <r>
    <d v="2031-01-07T00:00:00"/>
    <x v="3"/>
    <x v="1"/>
    <s v="January"/>
    <n v="79"/>
    <x v="0"/>
    <n v="87756.661656903583"/>
    <x v="1"/>
    <n v="31.509437307466381"/>
    <n v="1110.8438184418176"/>
  </r>
  <r>
    <d v="2031-02-06T00:00:00"/>
    <x v="2"/>
    <x v="0"/>
    <s v="February"/>
    <n v="86"/>
    <x v="11"/>
    <n v="109824.15330823993"/>
    <x v="1"/>
    <n v="28.37283522771849"/>
    <n v="1277.0250384679061"/>
  </r>
  <r>
    <d v="2031-03-08T00:00:00"/>
    <x v="3"/>
    <x v="0"/>
    <s v="March"/>
    <n v="108"/>
    <x v="1"/>
    <n v="92839.41240506027"/>
    <x v="1"/>
    <n v="53.835483499324617"/>
    <n v="859.62418893574329"/>
  </r>
  <r>
    <d v="2031-04-07T00:00:00"/>
    <x v="2"/>
    <x v="2"/>
    <s v="April"/>
    <n v="100"/>
    <x v="2"/>
    <n v="97212.055986735315"/>
    <x v="0"/>
    <n v="83.646270100606912"/>
    <n v="972.12055986735311"/>
  </r>
  <r>
    <d v="2031-05-07T00:00:00"/>
    <x v="0"/>
    <x v="3"/>
    <s v="May"/>
    <n v="93"/>
    <x v="3"/>
    <n v="114793.06303449343"/>
    <x v="3"/>
    <n v="31.310684337307215"/>
    <n v="1234.3340111235852"/>
  </r>
  <r>
    <d v="2031-06-06T00:00:00"/>
    <x v="0"/>
    <x v="0"/>
    <s v="June"/>
    <n v="82"/>
    <x v="4"/>
    <n v="61812.87824985414"/>
    <x v="2"/>
    <n v="30.425634653786872"/>
    <n v="753.81558841285539"/>
  </r>
  <r>
    <d v="2031-07-06T00:00:00"/>
    <x v="0"/>
    <x v="3"/>
    <s v="July"/>
    <n v="104"/>
    <x v="5"/>
    <n v="126366.04649705338"/>
    <x v="1"/>
    <n v="71.474315961386452"/>
    <n v="1215.0581393947441"/>
  </r>
  <r>
    <d v="2031-08-05T00:00:00"/>
    <x v="2"/>
    <x v="0"/>
    <s v="August"/>
    <n v="99"/>
    <x v="6"/>
    <n v="101453.61048658683"/>
    <x v="3"/>
    <n v="35.7746385574453"/>
    <n v="1024.7839443089579"/>
  </r>
  <r>
    <d v="2031-09-04T00:00:00"/>
    <x v="0"/>
    <x v="0"/>
    <s v="September"/>
    <n v="102"/>
    <x v="7"/>
    <n v="91770.137108756389"/>
    <x v="1"/>
    <n v="27.808803048719327"/>
    <n v="899.70722655643522"/>
  </r>
  <r>
    <d v="2031-10-04T00:00:00"/>
    <x v="0"/>
    <x v="3"/>
    <s v="October"/>
    <n v="76"/>
    <x v="8"/>
    <n v="98215.31691557102"/>
    <x v="3"/>
    <n v="33.347886256446209"/>
    <n v="1292.3068015206713"/>
  </r>
  <r>
    <d v="2031-11-03T00:00:00"/>
    <x v="1"/>
    <x v="2"/>
    <s v="November"/>
    <n v="99"/>
    <x v="9"/>
    <n v="99248.587100410368"/>
    <x v="0"/>
    <n v="93.898511670142085"/>
    <n v="1002.510980812226"/>
  </r>
  <r>
    <d v="2031-12-03T00:00:00"/>
    <x v="0"/>
    <x v="0"/>
    <s v="December"/>
    <n v="93"/>
    <x v="10"/>
    <n v="65375.973931101493"/>
    <x v="2"/>
    <n v="85.71770022209526"/>
    <n v="702.96746162474722"/>
  </r>
  <r>
    <d v="2032-01-02T00:00:00"/>
    <x v="3"/>
    <x v="1"/>
    <s v="January"/>
    <n v="99"/>
    <x v="0"/>
    <n v="129898.76454906471"/>
    <x v="0"/>
    <n v="48.325164988407529"/>
    <n v="1312.1087328188355"/>
  </r>
  <r>
    <d v="2032-02-01T00:00:00"/>
    <x v="2"/>
    <x v="2"/>
    <s v="February"/>
    <n v="102"/>
    <x v="11"/>
    <n v="100826.51264541237"/>
    <x v="1"/>
    <n v="72.465661386191428"/>
    <n v="988.49522201384673"/>
  </r>
  <r>
    <d v="2032-03-02T00:00:00"/>
    <x v="1"/>
    <x v="1"/>
    <s v="March"/>
    <n v="106"/>
    <x v="1"/>
    <n v="108860.04260894751"/>
    <x v="1"/>
    <n v="62.982053893443045"/>
    <n v="1026.9815340466746"/>
  </r>
  <r>
    <d v="2032-04-01T00:00:00"/>
    <x v="4"/>
    <x v="1"/>
    <s v="April"/>
    <n v="94"/>
    <x v="2"/>
    <n v="119030.99541148086"/>
    <x v="4"/>
    <n v="74.16994107860512"/>
    <n v="1266.2871852285198"/>
  </r>
  <r>
    <d v="2032-05-01T00:00:00"/>
    <x v="2"/>
    <x v="1"/>
    <s v="May"/>
    <n v="105"/>
    <x v="3"/>
    <n v="79576.750848793992"/>
    <x v="0"/>
    <n v="74.613692197020754"/>
    <n v="757.87381760756182"/>
  </r>
  <r>
    <d v="2032-05-31T00:00:00"/>
    <x v="3"/>
    <x v="3"/>
    <s v="May"/>
    <n v="100"/>
    <x v="3"/>
    <n v="109469.43798070456"/>
    <x v="1"/>
    <n v="70.298721204799435"/>
    <n v="1094.6943798070456"/>
  </r>
  <r>
    <d v="2032-06-30T00:00:00"/>
    <x v="2"/>
    <x v="3"/>
    <s v="June"/>
    <n v="122"/>
    <x v="4"/>
    <n v="94647.17818202413"/>
    <x v="3"/>
    <n v="41.288109482984687"/>
    <n v="775.79654247560768"/>
  </r>
  <r>
    <d v="2032-07-30T00:00:00"/>
    <x v="3"/>
    <x v="0"/>
    <s v="July"/>
    <n v="103"/>
    <x v="5"/>
    <n v="116935.41550432987"/>
    <x v="4"/>
    <n v="23.120513661025448"/>
    <n v="1135.2952961585424"/>
  </r>
  <r>
    <d v="2032-08-29T00:00:00"/>
    <x v="3"/>
    <x v="0"/>
    <s v="August"/>
    <n v="119"/>
    <x v="6"/>
    <n v="128897.2893"/>
    <x v="3"/>
    <n v="65.454227669999995"/>
    <n v="1083.1704983193279"/>
  </r>
  <r>
    <d v="2032-09-28T00:00:00"/>
    <x v="4"/>
    <x v="3"/>
    <s v="September"/>
    <n v="76"/>
    <x v="7"/>
    <n v="98018.113995174615"/>
    <x v="0"/>
    <n v="91.277910775256302"/>
    <n v="1289.7120262522976"/>
  </r>
  <r>
    <d v="2032-10-28T00:00:00"/>
    <x v="2"/>
    <x v="0"/>
    <s v="October"/>
    <n v="96"/>
    <x v="8"/>
    <n v="87943.586884320772"/>
    <x v="2"/>
    <n v="65.559780681486075"/>
    <n v="916.07903004500804"/>
  </r>
  <r>
    <d v="2032-11-27T00:00:00"/>
    <x v="4"/>
    <x v="1"/>
    <s v="November"/>
    <n v="103"/>
    <x v="9"/>
    <n v="108645.25901268311"/>
    <x v="3"/>
    <n v="86.591283336152628"/>
    <n v="1054.8083399289621"/>
  </r>
  <r>
    <d v="2032-12-27T00:00:00"/>
    <x v="4"/>
    <x v="1"/>
    <s v="December"/>
    <n v="111"/>
    <x v="10"/>
    <n v="109400.88374736405"/>
    <x v="1"/>
    <n v="80.215177969999999"/>
    <n v="985.59354727354992"/>
  </r>
  <r>
    <d v="2033-01-26T00:00:00"/>
    <x v="2"/>
    <x v="2"/>
    <s v="January"/>
    <n v="97"/>
    <x v="0"/>
    <n v="85847.48210355948"/>
    <x v="3"/>
    <n v="33.089296331062101"/>
    <n v="885.02558869648954"/>
  </r>
  <r>
    <d v="2033-02-25T00:00:00"/>
    <x v="0"/>
    <x v="2"/>
    <s v="February"/>
    <n v="112"/>
    <x v="11"/>
    <n v="85756.522716479129"/>
    <x v="1"/>
    <n v="65.454227669999995"/>
    <n v="765.6832385399922"/>
  </r>
  <r>
    <d v="2033-03-27T00:00:00"/>
    <x v="0"/>
    <x v="0"/>
    <s v="March"/>
    <n v="99"/>
    <x v="1"/>
    <n v="97786.692628853416"/>
    <x v="1"/>
    <n v="73.943485896001974"/>
    <n v="987.74436998841838"/>
  </r>
  <r>
    <d v="2033-04-26T00:00:00"/>
    <x v="4"/>
    <x v="1"/>
    <s v="April"/>
    <n v="124"/>
    <x v="2"/>
    <n v="82067.155453695828"/>
    <x v="4"/>
    <n v="98.396435788662274"/>
    <n v="661.83189882012766"/>
  </r>
  <r>
    <d v="2033-05-26T00:00:00"/>
    <x v="1"/>
    <x v="2"/>
    <s v="May"/>
    <n v="91"/>
    <x v="3"/>
    <n v="116839.67390904254"/>
    <x v="4"/>
    <n v="98.848058716224031"/>
    <n v="1283.952460538929"/>
  </r>
  <r>
    <d v="2033-06-25T00:00:00"/>
    <x v="4"/>
    <x v="0"/>
    <s v="June"/>
    <n v="103"/>
    <x v="4"/>
    <n v="92615.855991051081"/>
    <x v="0"/>
    <n v="74.934288937930361"/>
    <n v="899.1830678742823"/>
  </r>
  <r>
    <d v="2033-07-25T00:00:00"/>
    <x v="4"/>
    <x v="1"/>
    <s v="July"/>
    <n v="86"/>
    <x v="5"/>
    <n v="41860.235613567173"/>
    <x v="3"/>
    <n v="39.489183358575545"/>
    <n v="486.74692573915314"/>
  </r>
  <r>
    <d v="2033-08-24T00:00:00"/>
    <x v="4"/>
    <x v="2"/>
    <s v="August"/>
    <n v="101"/>
    <x v="6"/>
    <n v="92503.558867563872"/>
    <x v="4"/>
    <n v="83.884467050447924"/>
    <n v="915.87682047092937"/>
  </r>
  <r>
    <d v="2033-09-23T00:00:00"/>
    <x v="0"/>
    <x v="1"/>
    <s v="September"/>
    <n v="101"/>
    <x v="7"/>
    <n v="79229.123583120556"/>
    <x v="1"/>
    <n v="28.562330736883048"/>
    <n v="784.44676814970842"/>
  </r>
  <r>
    <d v="2033-10-23T00:00:00"/>
    <x v="0"/>
    <x v="3"/>
    <s v="October"/>
    <n v="101"/>
    <x v="8"/>
    <n v="67374.483690781082"/>
    <x v="0"/>
    <n v="82.455944333730287"/>
    <n v="667.07409594832757"/>
  </r>
  <r>
    <d v="2033-11-22T00:00:00"/>
    <x v="0"/>
    <x v="2"/>
    <s v="November"/>
    <n v="113"/>
    <x v="9"/>
    <n v="75251.467235548553"/>
    <x v="2"/>
    <n v="92.815689931575719"/>
    <n v="665.94218792520849"/>
  </r>
  <r>
    <d v="2033-12-22T00:00:00"/>
    <x v="4"/>
    <x v="3"/>
    <s v="December"/>
    <n v="87"/>
    <x v="10"/>
    <n v="102188.1694366594"/>
    <x v="3"/>
    <n v="50.626671581474824"/>
    <n v="1174.5766601914875"/>
  </r>
  <r>
    <d v="2034-01-21T00:00:00"/>
    <x v="1"/>
    <x v="0"/>
    <s v="January"/>
    <n v="108"/>
    <x v="0"/>
    <n v="128897.2893"/>
    <x v="4"/>
    <n v="70.450823598646437"/>
    <n v="1193.4934194444445"/>
  </r>
  <r>
    <d v="2034-02-20T00:00:00"/>
    <x v="0"/>
    <x v="3"/>
    <s v="February"/>
    <n v="100"/>
    <x v="11"/>
    <n v="106263.6894772996"/>
    <x v="2"/>
    <n v="54.411418567746104"/>
    <n v="1062.6368947729961"/>
  </r>
  <r>
    <d v="2034-03-22T00:00:00"/>
    <x v="2"/>
    <x v="1"/>
    <s v="March"/>
    <n v="87"/>
    <x v="1"/>
    <n v="87869.932235685206"/>
    <x v="1"/>
    <n v="55.021204399050276"/>
    <n v="1009.9992210998299"/>
  </r>
  <r>
    <d v="2034-04-21T00:00:00"/>
    <x v="2"/>
    <x v="3"/>
    <s v="April"/>
    <n v="96"/>
    <x v="2"/>
    <n v="109118.08390341405"/>
    <x v="3"/>
    <n v="65.454227669999995"/>
    <n v="1136.6467073272297"/>
  </r>
  <r>
    <d v="2034-05-21T00:00:00"/>
    <x v="2"/>
    <x v="0"/>
    <s v="May"/>
    <n v="97"/>
    <x v="3"/>
    <n v="128897.2893"/>
    <x v="1"/>
    <n v="80.970369636025964"/>
    <n v="1328.8380340206186"/>
  </r>
  <r>
    <d v="2034-06-20T00:00:00"/>
    <x v="3"/>
    <x v="0"/>
    <s v="June"/>
    <n v="116"/>
    <x v="4"/>
    <n v="86107.992616737116"/>
    <x v="0"/>
    <n v="94.894125133320415"/>
    <n v="742.31028117876826"/>
  </r>
  <r>
    <d v="2034-07-20T00:00:00"/>
    <x v="4"/>
    <x v="1"/>
    <s v="July"/>
    <n v="100"/>
    <x v="5"/>
    <n v="76912.746635340314"/>
    <x v="2"/>
    <n v="95.260068738756885"/>
    <n v="769.12746635340318"/>
  </r>
  <r>
    <d v="2034-08-19T00:00:00"/>
    <x v="2"/>
    <x v="3"/>
    <s v="August"/>
    <n v="97"/>
    <x v="6"/>
    <n v="64963.423864965618"/>
    <x v="3"/>
    <n v="33.982502789994705"/>
    <n v="669.72601922644969"/>
  </r>
  <r>
    <d v="2034-09-18T00:00:00"/>
    <x v="4"/>
    <x v="0"/>
    <s v="September"/>
    <n v="100"/>
    <x v="7"/>
    <n v="128897.2893"/>
    <x v="3"/>
    <n v="89.979491972525281"/>
    <n v="1288.9728930000001"/>
  </r>
  <r>
    <d v="2034-10-18T00:00:00"/>
    <x v="2"/>
    <x v="2"/>
    <s v="October"/>
    <n v="99"/>
    <x v="8"/>
    <n v="103161.06979840263"/>
    <x v="1"/>
    <n v="78.994515314169774"/>
    <n v="1042.031008064673"/>
  </r>
  <r>
    <d v="2034-11-17T00:00:00"/>
    <x v="1"/>
    <x v="1"/>
    <s v="November"/>
    <n v="100"/>
    <x v="9"/>
    <n v="98067.526599702207"/>
    <x v="1"/>
    <n v="40.226992055223143"/>
    <n v="980.67526599702205"/>
  </r>
  <r>
    <d v="2034-12-17T00:00:00"/>
    <x v="4"/>
    <x v="0"/>
    <s v="December"/>
    <n v="100"/>
    <x v="10"/>
    <n v="91680.661441052827"/>
    <x v="3"/>
    <n v="25.382769033721164"/>
    <n v="916.80661441052825"/>
  </r>
  <r>
    <d v="2035-01-16T00:00:00"/>
    <x v="2"/>
    <x v="2"/>
    <s v="January"/>
    <n v="82"/>
    <x v="0"/>
    <n v="81085.078786064376"/>
    <x v="0"/>
    <n v="41.439781350750238"/>
    <n v="988.84242422029729"/>
  </r>
  <r>
    <d v="2035-02-15T00:00:00"/>
    <x v="0"/>
    <x v="1"/>
    <s v="February"/>
    <n v="87"/>
    <x v="11"/>
    <n v="112164.92383369937"/>
    <x v="4"/>
    <n v="92.97665894252205"/>
    <n v="1289.2519980884986"/>
  </r>
  <r>
    <d v="2035-03-17T00:00:00"/>
    <x v="4"/>
    <x v="0"/>
    <s v="March"/>
    <n v="87"/>
    <x v="1"/>
    <n v="73657.361601068304"/>
    <x v="4"/>
    <n v="70.654293991661774"/>
    <n v="846.63634024216447"/>
  </r>
  <r>
    <d v="2035-04-16T00:00:00"/>
    <x v="3"/>
    <x v="0"/>
    <s v="April"/>
    <n v="90"/>
    <x v="2"/>
    <n v="115520.5582768695"/>
    <x v="0"/>
    <n v="77.684372871829751"/>
    <n v="1283.5617586318833"/>
  </r>
  <r>
    <d v="2035-05-16T00:00:00"/>
    <x v="0"/>
    <x v="0"/>
    <s v="May"/>
    <n v="115"/>
    <x v="3"/>
    <n v="79955.6596214655"/>
    <x v="2"/>
    <n v="40.572188088727671"/>
    <n v="695.26660540404782"/>
  </r>
  <r>
    <d v="2035-06-15T00:00:00"/>
    <x v="0"/>
    <x v="1"/>
    <s v="June"/>
    <n v="105"/>
    <x v="4"/>
    <n v="84951.295252939308"/>
    <x v="3"/>
    <n v="77.551052445985619"/>
    <n v="809.05995478989814"/>
  </r>
  <r>
    <d v="2035-07-15T00:00:00"/>
    <x v="3"/>
    <x v="2"/>
    <s v="July"/>
    <n v="90"/>
    <x v="5"/>
    <n v="70664.296187686457"/>
    <x v="3"/>
    <n v="65.454227669999995"/>
    <n v="785.15884652984948"/>
  </r>
  <r>
    <d v="2035-08-14T00:00:00"/>
    <x v="0"/>
    <x v="1"/>
    <s v="August"/>
    <n v="89"/>
    <x v="6"/>
    <n v="89971.957062287271"/>
    <x v="2"/>
    <n v="50.025707661841103"/>
    <n v="1010.9208658683963"/>
  </r>
  <r>
    <d v="2035-09-13T00:00:00"/>
    <x v="0"/>
    <x v="0"/>
    <s v="September"/>
    <n v="89"/>
    <x v="7"/>
    <n v="119506.24916955958"/>
    <x v="0"/>
    <n v="70.1402678833865"/>
    <n v="1342.7668446017931"/>
  </r>
  <r>
    <d v="2035-10-13T00:00:00"/>
    <x v="2"/>
    <x v="0"/>
    <s v="October"/>
    <n v="86"/>
    <x v="8"/>
    <n v="110312.56176887912"/>
    <x v="2"/>
    <n v="31.687725243305618"/>
    <n v="1282.7042066148736"/>
  </r>
  <r>
    <d v="2035-11-12T00:00:00"/>
    <x v="2"/>
    <x v="3"/>
    <s v="November"/>
    <n v="91"/>
    <x v="9"/>
    <n v="119568.4422405607"/>
    <x v="3"/>
    <n v="85.84028595575478"/>
    <n v="1313.9389257204473"/>
  </r>
  <r>
    <d v="2035-12-12T00:00:00"/>
    <x v="4"/>
    <x v="3"/>
    <s v="December"/>
    <n v="100"/>
    <x v="10"/>
    <n v="110442.85091867871"/>
    <x v="4"/>
    <n v="38.80250390495349"/>
    <n v="1104.4285091867871"/>
  </r>
  <r>
    <d v="2036-01-11T00:00:00"/>
    <x v="4"/>
    <x v="0"/>
    <s v="January"/>
    <n v="104"/>
    <x v="0"/>
    <n v="77926.60342939262"/>
    <x v="3"/>
    <n v="72.182489025475704"/>
    <n v="749.29426374415982"/>
  </r>
  <r>
    <d v="2036-02-10T00:00:00"/>
    <x v="4"/>
    <x v="0"/>
    <s v="February"/>
    <n v="80"/>
    <x v="11"/>
    <n v="93384.215513448857"/>
    <x v="3"/>
    <n v="52.415771406026373"/>
    <n v="1167.3026939181107"/>
  </r>
  <r>
    <d v="2036-03-11T00:00:00"/>
    <x v="2"/>
    <x v="1"/>
    <s v="March"/>
    <n v="110"/>
    <x v="1"/>
    <n v="84396.017417650743"/>
    <x v="2"/>
    <n v="67.683487638211773"/>
    <n v="767.23652197864317"/>
  </r>
  <r>
    <d v="2036-04-10T00:00:00"/>
    <x v="4"/>
    <x v="2"/>
    <s v="April"/>
    <n v="90"/>
    <x v="2"/>
    <n v="126611.4980807808"/>
    <x v="1"/>
    <n v="80.215177969999999"/>
    <n v="1406.7944231197866"/>
  </r>
  <r>
    <d v="2036-05-10T00:00:00"/>
    <x v="0"/>
    <x v="1"/>
    <s v="May"/>
    <n v="96"/>
    <x v="3"/>
    <n v="76064.227071473768"/>
    <x v="0"/>
    <n v="21.353023993728584"/>
    <n v="792.33569866118512"/>
  </r>
  <r>
    <d v="2036-06-09T00:00:00"/>
    <x v="2"/>
    <x v="2"/>
    <s v="June"/>
    <n v="103"/>
    <x v="4"/>
    <n v="117873.95378778221"/>
    <x v="4"/>
    <n v="92.765154190424099"/>
    <n v="1144.4073183279827"/>
  </r>
  <r>
    <d v="2036-07-09T00:00:00"/>
    <x v="4"/>
    <x v="1"/>
    <s v="July"/>
    <n v="99"/>
    <x v="5"/>
    <n v="117859.07740217539"/>
    <x v="0"/>
    <n v="41.570400701374624"/>
    <n v="1190.4957313351049"/>
  </r>
  <r>
    <d v="2036-08-08T00:00:00"/>
    <x v="0"/>
    <x v="3"/>
    <s v="August"/>
    <n v="100"/>
    <x v="6"/>
    <n v="136592.40403432175"/>
    <x v="4"/>
    <n v="85.574160222436731"/>
    <n v="1365.9240403432175"/>
  </r>
  <r>
    <d v="2036-09-07T00:00:00"/>
    <x v="4"/>
    <x v="1"/>
    <s v="September"/>
    <n v="106"/>
    <x v="7"/>
    <n v="91806.268147410054"/>
    <x v="4"/>
    <n v="99.948024037776008"/>
    <n v="866.09686931518922"/>
  </r>
  <r>
    <d v="2036-10-07T00:00:00"/>
    <x v="1"/>
    <x v="1"/>
    <s v="October"/>
    <n v="100"/>
    <x v="8"/>
    <n v="114246.44319160325"/>
    <x v="1"/>
    <n v="36.914500639912895"/>
    <n v="1142.4644319160325"/>
  </r>
  <r>
    <d v="2036-11-06T00:00:00"/>
    <x v="4"/>
    <x v="2"/>
    <s v="November"/>
    <n v="85"/>
    <x v="9"/>
    <n v="145633.03673077686"/>
    <x v="0"/>
    <n v="41.213659294668446"/>
    <n v="1713.3298438914924"/>
  </r>
  <r>
    <d v="2036-12-06T00:00:00"/>
    <x v="1"/>
    <x v="1"/>
    <s v="December"/>
    <n v="101"/>
    <x v="10"/>
    <n v="87647.166461326065"/>
    <x v="1"/>
    <n v="73.028783010773253"/>
    <n v="867.79372733986202"/>
  </r>
  <r>
    <d v="2037-01-05T00:00:00"/>
    <x v="4"/>
    <x v="2"/>
    <s v="January"/>
    <n v="93"/>
    <x v="0"/>
    <n v="69299.195049352798"/>
    <x v="0"/>
    <n v="97.2358907680497"/>
    <n v="745.15263493927739"/>
  </r>
  <r>
    <d v="2037-02-04T00:00:00"/>
    <x v="3"/>
    <x v="3"/>
    <s v="February"/>
    <n v="91"/>
    <x v="11"/>
    <n v="62399.79932184473"/>
    <x v="0"/>
    <n v="93.265147855259514"/>
    <n v="685.71208045983224"/>
  </r>
  <r>
    <d v="2037-03-06T00:00:00"/>
    <x v="4"/>
    <x v="3"/>
    <s v="March"/>
    <n v="103"/>
    <x v="1"/>
    <n v="114254.24057722662"/>
    <x v="2"/>
    <n v="60.23004160524679"/>
    <n v="1109.2644716235595"/>
  </r>
  <r>
    <d v="2037-04-05T00:00:00"/>
    <x v="2"/>
    <x v="3"/>
    <s v="April"/>
    <n v="109"/>
    <x v="2"/>
    <n v="62336.995838828327"/>
    <x v="1"/>
    <n v="83.608822602137977"/>
    <n v="571.89904439292047"/>
  </r>
  <r>
    <d v="2037-05-05T00:00:00"/>
    <x v="2"/>
    <x v="3"/>
    <s v="May"/>
    <n v="83"/>
    <x v="3"/>
    <n v="92553.618941241541"/>
    <x v="2"/>
    <n v="80.215177969999999"/>
    <n v="1115.1038426655607"/>
  </r>
  <r>
    <d v="2037-06-04T00:00:00"/>
    <x v="1"/>
    <x v="1"/>
    <s v="June"/>
    <n v="102"/>
    <x v="4"/>
    <n v="108746.26374077922"/>
    <x v="2"/>
    <n v="98.195054736320984"/>
    <n v="1066.1398405958746"/>
  </r>
  <r>
    <d v="2037-07-04T00:00:00"/>
    <x v="2"/>
    <x v="2"/>
    <s v="July"/>
    <n v="98"/>
    <x v="5"/>
    <n v="103703.51073659828"/>
    <x v="4"/>
    <n v="97.148258722878921"/>
    <n v="1058.199089148962"/>
  </r>
  <r>
    <d v="2037-08-03T00:00:00"/>
    <x v="0"/>
    <x v="3"/>
    <s v="August"/>
    <n v="93"/>
    <x v="6"/>
    <n v="108508.89728368344"/>
    <x v="0"/>
    <n v="33.098316630333677"/>
    <n v="1166.7623363836929"/>
  </r>
  <r>
    <d v="2037-09-02T00:00:00"/>
    <x v="3"/>
    <x v="3"/>
    <s v="September"/>
    <n v="104"/>
    <x v="7"/>
    <n v="128897.2893"/>
    <x v="3"/>
    <n v="43.953849984248528"/>
    <n v="1239.3970125000001"/>
  </r>
  <r>
    <d v="2037-10-02T00:00:00"/>
    <x v="3"/>
    <x v="0"/>
    <s v="October"/>
    <n v="96"/>
    <x v="8"/>
    <n v="125577.31626626787"/>
    <x v="0"/>
    <n v="28.012399800541353"/>
    <n v="1308.0970444402903"/>
  </r>
  <r>
    <d v="2037-11-01T00:00:00"/>
    <x v="0"/>
    <x v="2"/>
    <s v="November"/>
    <n v="103"/>
    <x v="9"/>
    <n v="80953.672385224054"/>
    <x v="0"/>
    <n v="41.737407911854376"/>
    <n v="785.95798432256368"/>
  </r>
  <r>
    <d v="2037-12-01T00:00:00"/>
    <x v="1"/>
    <x v="0"/>
    <s v="December"/>
    <n v="85"/>
    <x v="10"/>
    <n v="86460.097230829371"/>
    <x v="0"/>
    <n v="85.276463153216525"/>
    <n v="1017.1776144803456"/>
  </r>
  <r>
    <d v="2037-12-31T00:00:00"/>
    <x v="0"/>
    <x v="3"/>
    <s v="December"/>
    <n v="92"/>
    <x v="10"/>
    <n v="84546.811094583521"/>
    <x v="4"/>
    <n v="50.265248573220759"/>
    <n v="918.98707711503823"/>
  </r>
  <r>
    <d v="2038-01-30T00:00:00"/>
    <x v="0"/>
    <x v="0"/>
    <s v="January"/>
    <n v="90"/>
    <x v="0"/>
    <n v="116603.8362372522"/>
    <x v="0"/>
    <n v="27.07175737174067"/>
    <n v="1295.5981804139133"/>
  </r>
  <r>
    <d v="2038-03-01T00:00:00"/>
    <x v="3"/>
    <x v="2"/>
    <s v="March"/>
    <n v="83"/>
    <x v="1"/>
    <n v="118007.97176790127"/>
    <x v="4"/>
    <n v="47.378041982312368"/>
    <n v="1421.7827923843527"/>
  </r>
  <r>
    <d v="2038-03-31T00:00:00"/>
    <x v="4"/>
    <x v="0"/>
    <s v="March"/>
    <n v="86"/>
    <x v="1"/>
    <n v="109024.50638637017"/>
    <x v="2"/>
    <n v="98.510666739302408"/>
    <n v="1267.7268184461648"/>
  </r>
  <r>
    <d v="2038-04-30T00:00:00"/>
    <x v="3"/>
    <x v="0"/>
    <s v="April"/>
    <n v="110"/>
    <x v="2"/>
    <n v="123669.87333779855"/>
    <x v="4"/>
    <n v="70.374687620736239"/>
    <n v="1124.2715757981687"/>
  </r>
  <r>
    <d v="2038-05-30T00:00:00"/>
    <x v="3"/>
    <x v="2"/>
    <s v="May"/>
    <n v="89"/>
    <x v="3"/>
    <n v="76439.182652472387"/>
    <x v="0"/>
    <n v="53.292875712492616"/>
    <n v="858.8672208142965"/>
  </r>
  <r>
    <d v="2038-06-29T00:00:00"/>
    <x v="2"/>
    <x v="2"/>
    <s v="June"/>
    <n v="118"/>
    <x v="4"/>
    <n v="133344.48223102273"/>
    <x v="4"/>
    <n v="33.323081079781602"/>
    <n v="1130.0379850086672"/>
  </r>
  <r>
    <d v="2038-07-29T00:00:00"/>
    <x v="0"/>
    <x v="1"/>
    <s v="July"/>
    <n v="102"/>
    <x v="5"/>
    <n v="130464.77243424517"/>
    <x v="4"/>
    <n v="98.894143782695579"/>
    <n v="1279.0663964141684"/>
  </r>
  <r>
    <d v="2038-08-28T00:00:00"/>
    <x v="3"/>
    <x v="0"/>
    <s v="August"/>
    <n v="108"/>
    <x v="6"/>
    <n v="114712.43994491494"/>
    <x v="1"/>
    <n v="85.667920741050295"/>
    <n v="1062.1522217121753"/>
  </r>
  <r>
    <d v="2038-09-27T00:00:00"/>
    <x v="0"/>
    <x v="1"/>
    <s v="September"/>
    <n v="95"/>
    <x v="7"/>
    <n v="135635.97817542119"/>
    <x v="1"/>
    <n v="80.215177969999999"/>
    <n v="1427.7471386886441"/>
  </r>
  <r>
    <d v="2038-10-27T00:00:00"/>
    <x v="2"/>
    <x v="1"/>
    <s v="October"/>
    <n v="100"/>
    <x v="8"/>
    <n v="66867.535846444516"/>
    <x v="4"/>
    <n v="25.605495657695158"/>
    <n v="668.67535846444514"/>
  </r>
  <r>
    <d v="2038-11-26T00:00:00"/>
    <x v="0"/>
    <x v="2"/>
    <s v="November"/>
    <n v="86"/>
    <x v="9"/>
    <n v="89511.037274746966"/>
    <x v="1"/>
    <n v="24.530044590204643"/>
    <n v="1040.8260148226391"/>
  </r>
  <r>
    <d v="2038-12-26T00:00:00"/>
    <x v="3"/>
    <x v="2"/>
    <s v="December"/>
    <n v="94"/>
    <x v="10"/>
    <n v="85293.930786360957"/>
    <x v="4"/>
    <n v="29.630251960442706"/>
    <n v="907.38224240809529"/>
  </r>
  <r>
    <d v="2039-01-25T00:00:00"/>
    <x v="0"/>
    <x v="3"/>
    <s v="January"/>
    <n v="88"/>
    <x v="0"/>
    <n v="114429.58647514686"/>
    <x v="0"/>
    <n v="66.46148668915373"/>
    <n v="1300.3362099448507"/>
  </r>
  <r>
    <d v="2039-02-24T00:00:00"/>
    <x v="2"/>
    <x v="2"/>
    <s v="February"/>
    <n v="100"/>
    <x v="11"/>
    <n v="78997.185207957082"/>
    <x v="3"/>
    <n v="94.301073696439389"/>
    <n v="789.97185207957079"/>
  </r>
  <r>
    <d v="2039-03-26T00:00:00"/>
    <x v="4"/>
    <x v="0"/>
    <s v="March"/>
    <n v="95"/>
    <x v="1"/>
    <n v="115149.90298674972"/>
    <x v="2"/>
    <n v="59.739474240478756"/>
    <n v="1212.1042419657865"/>
  </r>
  <r>
    <d v="2039-04-25T00:00:00"/>
    <x v="0"/>
    <x v="2"/>
    <s v="April"/>
    <n v="95"/>
    <x v="2"/>
    <n v="127410.72287993427"/>
    <x v="3"/>
    <n v="87.435638596495778"/>
    <n v="1341.1655039993082"/>
  </r>
  <r>
    <d v="2039-05-25T00:00:00"/>
    <x v="3"/>
    <x v="1"/>
    <s v="May"/>
    <n v="92"/>
    <x v="3"/>
    <n v="113904.05800167998"/>
    <x v="2"/>
    <n v="55.670929588784624"/>
    <n v="1238.0875869747824"/>
  </r>
  <r>
    <d v="2039-06-24T00:00:00"/>
    <x v="2"/>
    <x v="1"/>
    <s v="June"/>
    <n v="108"/>
    <x v="4"/>
    <n v="105675.02047323002"/>
    <x v="2"/>
    <n v="76.686683661426017"/>
    <n v="978.47241178916681"/>
  </r>
  <r>
    <d v="2039-07-24T00:00:00"/>
    <x v="3"/>
    <x v="2"/>
    <s v="July"/>
    <n v="99"/>
    <x v="5"/>
    <n v="80242.533181985025"/>
    <x v="3"/>
    <n v="78.549818982920073"/>
    <n v="810.5306382018689"/>
  </r>
  <r>
    <d v="2039-08-23T00:00:00"/>
    <x v="3"/>
    <x v="0"/>
    <s v="August"/>
    <n v="95"/>
    <x v="6"/>
    <n v="83062.980677492713"/>
    <x v="4"/>
    <n v="33.91709647226709"/>
    <n v="874.34716502623905"/>
  </r>
  <r>
    <d v="2039-09-22T00:00:00"/>
    <x v="0"/>
    <x v="0"/>
    <s v="September"/>
    <n v="86"/>
    <x v="7"/>
    <n v="124992.37810593334"/>
    <x v="4"/>
    <n v="48.897284718064938"/>
    <n v="1453.3997454178295"/>
  </r>
  <r>
    <d v="2039-10-22T00:00:00"/>
    <x v="3"/>
    <x v="2"/>
    <s v="October"/>
    <n v="120"/>
    <x v="8"/>
    <n v="115586.98007810664"/>
    <x v="0"/>
    <n v="70.984172523041906"/>
    <n v="963.22483398422207"/>
  </r>
  <r>
    <d v="2039-11-21T00:00:00"/>
    <x v="0"/>
    <x v="2"/>
    <s v="November"/>
    <n v="81"/>
    <x v="9"/>
    <n v="99219.609612449116"/>
    <x v="4"/>
    <n v="80.215177969999999"/>
    <n v="1224.9334520055447"/>
  </r>
  <r>
    <d v="2039-12-21T00:00:00"/>
    <x v="4"/>
    <x v="3"/>
    <s v="December"/>
    <n v="102"/>
    <x v="10"/>
    <n v="91641.809084682187"/>
    <x v="0"/>
    <n v="48.923215021036526"/>
    <n v="898.44910867335477"/>
  </r>
  <r>
    <d v="2040-01-20T00:00:00"/>
    <x v="3"/>
    <x v="0"/>
    <s v="January"/>
    <n v="87"/>
    <x v="0"/>
    <n v="59483.842537772463"/>
    <x v="0"/>
    <n v="62.783957302495395"/>
    <n v="683.7223280203732"/>
  </r>
  <r>
    <d v="2040-02-19T00:00:00"/>
    <x v="3"/>
    <x v="2"/>
    <s v="February"/>
    <n v="90"/>
    <x v="11"/>
    <n v="78582.951626311231"/>
    <x v="0"/>
    <n v="99.697959443571094"/>
    <n v="873.14390695901363"/>
  </r>
  <r>
    <d v="2040-03-20T00:00:00"/>
    <x v="3"/>
    <x v="3"/>
    <s v="March"/>
    <n v="89"/>
    <x v="1"/>
    <n v="138228.38174279447"/>
    <x v="4"/>
    <n v="80.215177969999999"/>
    <n v="1553.1278847504998"/>
  </r>
  <r>
    <d v="2040-04-19T00:00:00"/>
    <x v="1"/>
    <x v="0"/>
    <s v="April"/>
    <n v="105"/>
    <x v="2"/>
    <n v="74390.888579950668"/>
    <x v="3"/>
    <n v="85.284540569145889"/>
    <n v="708.48465314238729"/>
  </r>
  <r>
    <d v="2040-05-19T00:00:00"/>
    <x v="1"/>
    <x v="3"/>
    <s v="May"/>
    <n v="96"/>
    <x v="3"/>
    <n v="103789.59642442162"/>
    <x v="0"/>
    <n v="54.565382805329421"/>
    <n v="1081.1416294210585"/>
  </r>
  <r>
    <d v="2040-06-18T00:00:00"/>
    <x v="2"/>
    <x v="3"/>
    <s v="June"/>
    <n v="97"/>
    <x v="4"/>
    <n v="120148.87946390397"/>
    <x v="0"/>
    <n v="83.711257809576708"/>
    <n v="1238.6482418959172"/>
  </r>
  <r>
    <d v="2040-07-18T00:00:00"/>
    <x v="1"/>
    <x v="0"/>
    <s v="July"/>
    <n v="98"/>
    <x v="5"/>
    <n v="74901.546639954147"/>
    <x v="1"/>
    <n v="67.633184129608679"/>
    <n v="764.30149632606276"/>
  </r>
  <r>
    <d v="2040-08-17T00:00:00"/>
    <x v="2"/>
    <x v="2"/>
    <s v="August"/>
    <n v="100"/>
    <x v="6"/>
    <n v="103694.20949562166"/>
    <x v="0"/>
    <n v="90.927635320191868"/>
    <n v="1036.9420949562166"/>
  </r>
  <r>
    <d v="2040-09-16T00:00:00"/>
    <x v="1"/>
    <x v="0"/>
    <s v="September"/>
    <n v="108"/>
    <x v="7"/>
    <n v="118758.3107502131"/>
    <x v="3"/>
    <n v="52.875404188008794"/>
    <n v="1099.6139884278991"/>
  </r>
  <r>
    <d v="2040-10-16T00:00:00"/>
    <x v="4"/>
    <x v="0"/>
    <s v="October"/>
    <n v="92"/>
    <x v="8"/>
    <n v="100249.986438145"/>
    <x v="1"/>
    <n v="68.344353585718309"/>
    <n v="1089.6737656320108"/>
  </r>
  <r>
    <d v="2040-11-15T00:00:00"/>
    <x v="2"/>
    <x v="2"/>
    <s v="November"/>
    <n v="97"/>
    <x v="9"/>
    <n v="102916.7736"/>
    <x v="0"/>
    <n v="70.401494449506188"/>
    <n v="1060.9976659793815"/>
  </r>
  <r>
    <d v="2040-12-15T00:00:00"/>
    <x v="1"/>
    <x v="2"/>
    <s v="December"/>
    <n v="116"/>
    <x v="10"/>
    <n v="66628.014822436089"/>
    <x v="4"/>
    <n v="53.390635344037861"/>
    <n v="574.37943812444905"/>
  </r>
  <r>
    <d v="2041-01-14T00:00:00"/>
    <x v="4"/>
    <x v="3"/>
    <s v="January"/>
    <n v="100"/>
    <x v="0"/>
    <n v="121174.57059767758"/>
    <x v="0"/>
    <n v="31.54496349499852"/>
    <n v="1211.7457059767758"/>
  </r>
  <r>
    <d v="2041-02-13T00:00:00"/>
    <x v="1"/>
    <x v="0"/>
    <s v="February"/>
    <n v="87"/>
    <x v="11"/>
    <n v="96543.965252070717"/>
    <x v="2"/>
    <n v="27.484752552986844"/>
    <n v="1109.7007500238014"/>
  </r>
  <r>
    <d v="2041-03-15T00:00:00"/>
    <x v="0"/>
    <x v="1"/>
    <s v="March"/>
    <n v="103"/>
    <x v="1"/>
    <n v="115438.4030967335"/>
    <x v="3"/>
    <n v="21.333724047970648"/>
    <n v="1120.7611951139174"/>
  </r>
  <r>
    <d v="2041-04-14T00:00:00"/>
    <x v="0"/>
    <x v="1"/>
    <s v="April"/>
    <n v="115"/>
    <x v="2"/>
    <n v="108826.14303398492"/>
    <x v="1"/>
    <n v="89.882741139617167"/>
    <n v="946.31428725204273"/>
  </r>
  <r>
    <d v="2041-05-14T00:00:00"/>
    <x v="4"/>
    <x v="0"/>
    <s v="May"/>
    <n v="88"/>
    <x v="3"/>
    <n v="85336.876057800066"/>
    <x v="3"/>
    <n v="80.215177969999999"/>
    <n v="969.73722792954618"/>
  </r>
  <r>
    <d v="2041-06-13T00:00:00"/>
    <x v="3"/>
    <x v="1"/>
    <s v="June"/>
    <n v="100"/>
    <x v="4"/>
    <n v="104579.9278491868"/>
    <x v="3"/>
    <n v="36.920539942541446"/>
    <n v="1045.7992784918681"/>
  </r>
  <r>
    <d v="2041-07-13T00:00:00"/>
    <x v="3"/>
    <x v="1"/>
    <s v="July"/>
    <n v="108"/>
    <x v="5"/>
    <n v="62841.970972034258"/>
    <x v="3"/>
    <n v="78.88283203408524"/>
    <n v="581.8701015929098"/>
  </r>
  <r>
    <d v="2041-08-12T00:00:00"/>
    <x v="0"/>
    <x v="1"/>
    <s v="August"/>
    <n v="100"/>
    <x v="6"/>
    <n v="112064.95001142788"/>
    <x v="1"/>
    <n v="45.60128904699134"/>
    <n v="1120.6495001142787"/>
  </r>
  <r>
    <d v="2041-09-11T00:00:00"/>
    <x v="0"/>
    <x v="3"/>
    <s v="September"/>
    <n v="86"/>
    <x v="7"/>
    <n v="105963.16931981052"/>
    <x v="3"/>
    <n v="65.454227669999995"/>
    <n v="1232.1298758117503"/>
  </r>
  <r>
    <d v="2041-10-11T00:00:00"/>
    <x v="3"/>
    <x v="3"/>
    <s v="October"/>
    <n v="87"/>
    <x v="8"/>
    <n v="112773.20337286204"/>
    <x v="3"/>
    <n v="33.000885223796502"/>
    <n v="1296.2437169294487"/>
  </r>
  <r>
    <d v="2041-11-10T00:00:00"/>
    <x v="2"/>
    <x v="0"/>
    <s v="November"/>
    <n v="109"/>
    <x v="9"/>
    <n v="121162.366501743"/>
    <x v="4"/>
    <n v="96.779657716957544"/>
    <n v="1111.5813440526881"/>
  </r>
  <r>
    <d v="2041-12-10T00:00:00"/>
    <x v="3"/>
    <x v="3"/>
    <s v="December"/>
    <n v="91"/>
    <x v="10"/>
    <n v="107352.39680419421"/>
    <x v="2"/>
    <n v="88.126512001378984"/>
    <n v="1179.6966681779584"/>
  </r>
  <r>
    <d v="2042-01-09T00:00:00"/>
    <x v="1"/>
    <x v="3"/>
    <s v="January"/>
    <n v="107"/>
    <x v="0"/>
    <n v="102961.78839596553"/>
    <x v="0"/>
    <n v="89.103169837200255"/>
    <n v="962.25970463519184"/>
  </r>
  <r>
    <d v="2042-02-08T00:00:00"/>
    <x v="2"/>
    <x v="2"/>
    <s v="February"/>
    <n v="106"/>
    <x v="11"/>
    <n v="82378.633266774152"/>
    <x v="2"/>
    <n v="52.541899885760415"/>
    <n v="777.15691761107689"/>
  </r>
  <r>
    <d v="2042-03-10T00:00:00"/>
    <x v="1"/>
    <x v="0"/>
    <s v="March"/>
    <n v="92"/>
    <x v="1"/>
    <n v="85755.584727018984"/>
    <x v="0"/>
    <n v="65.454227669999995"/>
    <n v="932.12592094585852"/>
  </r>
  <r>
    <d v="2042-04-09T00:00:00"/>
    <x v="0"/>
    <x v="2"/>
    <s v="April"/>
    <n v="90"/>
    <x v="2"/>
    <n v="102916.7736"/>
    <x v="3"/>
    <n v="31.510092431182414"/>
    <n v="1143.5197066666667"/>
  </r>
  <r>
    <d v="2042-05-09T00:00:00"/>
    <x v="2"/>
    <x v="3"/>
    <s v="May"/>
    <n v="102"/>
    <x v="3"/>
    <n v="102916.7736"/>
    <x v="3"/>
    <n v="20.689520207342422"/>
    <n v="1008.9879764705883"/>
  </r>
  <r>
    <d v="2042-06-08T00:00:00"/>
    <x v="1"/>
    <x v="0"/>
    <s v="June"/>
    <n v="99"/>
    <x v="4"/>
    <n v="95237.791273758921"/>
    <x v="0"/>
    <n v="21.597834606242252"/>
    <n v="961.99789165413051"/>
  </r>
  <r>
    <d v="2042-07-08T00:00:00"/>
    <x v="1"/>
    <x v="3"/>
    <s v="July"/>
    <n v="88"/>
    <x v="5"/>
    <n v="100920.05494506548"/>
    <x v="4"/>
    <n v="66.928138992364836"/>
    <n v="1146.8188061939259"/>
  </r>
  <r>
    <d v="2042-08-07T00:00:00"/>
    <x v="2"/>
    <x v="0"/>
    <s v="August"/>
    <n v="100"/>
    <x v="6"/>
    <n v="81907.712500124675"/>
    <x v="2"/>
    <n v="56.431592419835262"/>
    <n v="819.07712500124671"/>
  </r>
  <r>
    <d v="2042-09-06T00:00:00"/>
    <x v="4"/>
    <x v="2"/>
    <s v="September"/>
    <n v="100"/>
    <x v="7"/>
    <n v="123455.13690534889"/>
    <x v="0"/>
    <n v="61.441227912681583"/>
    <n v="1234.551369053489"/>
  </r>
  <r>
    <d v="2042-10-06T00:00:00"/>
    <x v="3"/>
    <x v="2"/>
    <s v="October"/>
    <n v="106"/>
    <x v="8"/>
    <n v="113308.33647383557"/>
    <x v="0"/>
    <n v="80.215177969999999"/>
    <n v="1068.9465705078828"/>
  </r>
  <r>
    <d v="2042-11-05T00:00:00"/>
    <x v="1"/>
    <x v="1"/>
    <s v="November"/>
    <n v="100"/>
    <x v="9"/>
    <n v="138824.34872927499"/>
    <x v="3"/>
    <n v="53.814929572594053"/>
    <n v="1388.2434872927499"/>
  </r>
  <r>
    <d v="2042-12-05T00:00:00"/>
    <x v="3"/>
    <x v="1"/>
    <s v="December"/>
    <n v="98"/>
    <x v="10"/>
    <n v="82433.538456405222"/>
    <x v="1"/>
    <n v="77.445452896068872"/>
    <n v="841.15855567760434"/>
  </r>
  <r>
    <d v="2043-01-04T00:00:00"/>
    <x v="3"/>
    <x v="2"/>
    <s v="January"/>
    <n v="119"/>
    <x v="0"/>
    <n v="92439.84201963566"/>
    <x v="4"/>
    <n v="55.41549615739487"/>
    <n v="776.80539512298878"/>
  </r>
  <r>
    <d v="2043-02-03T00:00:00"/>
    <x v="0"/>
    <x v="2"/>
    <s v="February"/>
    <n v="99"/>
    <x v="11"/>
    <n v="104628.91845051144"/>
    <x v="1"/>
    <n v="78.577536504977786"/>
    <n v="1056.8577621263782"/>
  </r>
  <r>
    <d v="2043-03-05T00:00:00"/>
    <x v="3"/>
    <x v="2"/>
    <s v="March"/>
    <n v="87"/>
    <x v="1"/>
    <n v="112929.79075451542"/>
    <x v="0"/>
    <n v="38.641517151746783"/>
    <n v="1298.0435718909819"/>
  </r>
  <r>
    <d v="2043-04-04T00:00:00"/>
    <x v="1"/>
    <x v="0"/>
    <s v="April"/>
    <n v="100"/>
    <x v="2"/>
    <n v="95686.647249047353"/>
    <x v="4"/>
    <n v="85.051360358538034"/>
    <n v="956.86647249047348"/>
  </r>
  <r>
    <d v="2043-05-04T00:00:00"/>
    <x v="0"/>
    <x v="1"/>
    <s v="May"/>
    <n v="103"/>
    <x v="3"/>
    <n v="82540.778190925994"/>
    <x v="1"/>
    <n v="67.074499236276182"/>
    <n v="801.36677855267953"/>
  </r>
  <r>
    <d v="2043-06-03T00:00:00"/>
    <x v="2"/>
    <x v="2"/>
    <s v="June"/>
    <n v="79"/>
    <x v="4"/>
    <n v="117628.15057847142"/>
    <x v="3"/>
    <n v="36.861047954392497"/>
    <n v="1488.9639313730561"/>
  </r>
  <r>
    <d v="2043-07-03T00:00:00"/>
    <x v="1"/>
    <x v="3"/>
    <s v="July"/>
    <n v="110"/>
    <x v="5"/>
    <n v="114422.70725091163"/>
    <x v="2"/>
    <n v="38.937638068306633"/>
    <n v="1040.2064295537421"/>
  </r>
  <r>
    <d v="2043-08-02T00:00:00"/>
    <x v="0"/>
    <x v="0"/>
    <s v="August"/>
    <n v="95"/>
    <x v="6"/>
    <n v="81674.517988725507"/>
    <x v="0"/>
    <n v="70.242437165562961"/>
    <n v="859.73176830237378"/>
  </r>
  <r>
    <d v="2043-09-01T00:00:00"/>
    <x v="0"/>
    <x v="1"/>
    <s v="September"/>
    <n v="101"/>
    <x v="7"/>
    <n v="127108.85602210992"/>
    <x v="0"/>
    <n v="86.395167456995466"/>
    <n v="1258.5035249713853"/>
  </r>
  <r>
    <d v="2043-10-01T00:00:00"/>
    <x v="3"/>
    <x v="0"/>
    <s v="October"/>
    <n v="95"/>
    <x v="8"/>
    <n v="123403.97418393208"/>
    <x v="0"/>
    <n v="80.215177969999999"/>
    <n v="1298.9892019361271"/>
  </r>
  <r>
    <d v="2043-10-31T00:00:00"/>
    <x v="2"/>
    <x v="3"/>
    <s v="October"/>
    <n v="107"/>
    <x v="8"/>
    <n v="102685.92994495586"/>
    <x v="2"/>
    <n v="40.664034330207379"/>
    <n v="959.68158827061552"/>
  </r>
  <r>
    <d v="2043-11-30T00:00:00"/>
    <x v="1"/>
    <x v="1"/>
    <s v="November"/>
    <n v="91"/>
    <x v="9"/>
    <n v="101591.95724752072"/>
    <x v="0"/>
    <n v="89.360928552848037"/>
    <n v="1116.3951345881399"/>
  </r>
  <r>
    <d v="2043-12-30T00:00:00"/>
    <x v="1"/>
    <x v="2"/>
    <s v="December"/>
    <n v="87"/>
    <x v="10"/>
    <n v="111081.15542231814"/>
    <x v="4"/>
    <n v="80.215177969999999"/>
    <n v="1276.7948899117027"/>
  </r>
  <r>
    <d v="2044-01-29T00:00:00"/>
    <x v="3"/>
    <x v="3"/>
    <s v="January"/>
    <n v="100"/>
    <x v="0"/>
    <n v="82765.938594874839"/>
    <x v="1"/>
    <n v="55.846838982646119"/>
    <n v="827.65938594874842"/>
  </r>
  <r>
    <d v="2044-02-28T00:00:00"/>
    <x v="2"/>
    <x v="1"/>
    <s v="February"/>
    <n v="117"/>
    <x v="11"/>
    <n v="100600.62958328164"/>
    <x v="4"/>
    <n v="59.032015622344147"/>
    <n v="859.83444088274905"/>
  </r>
  <r>
    <d v="2044-03-29T00:00:00"/>
    <x v="1"/>
    <x v="1"/>
    <s v="March"/>
    <n v="102"/>
    <x v="1"/>
    <n v="56952.329107816389"/>
    <x v="3"/>
    <n v="80.215177969999999"/>
    <n v="558.35616772369008"/>
  </r>
  <r>
    <d v="2044-04-28T00:00:00"/>
    <x v="2"/>
    <x v="1"/>
    <s v="April"/>
    <n v="88"/>
    <x v="2"/>
    <n v="117529.11291005871"/>
    <x v="0"/>
    <n v="70.144210405187522"/>
    <n v="1335.5581012506673"/>
  </r>
  <r>
    <d v="2044-05-28T00:00:00"/>
    <x v="1"/>
    <x v="2"/>
    <s v="May"/>
    <n v="100"/>
    <x v="3"/>
    <n v="68770.135551162821"/>
    <x v="3"/>
    <n v="48.699400843431093"/>
    <n v="687.70135551162821"/>
  </r>
  <r>
    <d v="2044-06-27T00:00:00"/>
    <x v="3"/>
    <x v="1"/>
    <s v="June"/>
    <n v="81"/>
    <x v="4"/>
    <n v="130068.39656857998"/>
    <x v="3"/>
    <n v="99.651614133947945"/>
    <n v="1605.7826736861725"/>
  </r>
  <r>
    <d v="2044-07-27T00:00:00"/>
    <x v="4"/>
    <x v="1"/>
    <s v="July"/>
    <n v="91"/>
    <x v="5"/>
    <n v="93397.598120670998"/>
    <x v="4"/>
    <n v="58.414681220951024"/>
    <n v="1026.3472320952858"/>
  </r>
  <r>
    <d v="2044-08-26T00:00:00"/>
    <x v="1"/>
    <x v="2"/>
    <s v="August"/>
    <n v="90"/>
    <x v="6"/>
    <n v="95766.66036137646"/>
    <x v="0"/>
    <n v="58.870848495169056"/>
    <n v="1064.0740040152939"/>
  </r>
  <r>
    <d v="2044-09-25T00:00:00"/>
    <x v="0"/>
    <x v="0"/>
    <s v="September"/>
    <n v="102"/>
    <x v="7"/>
    <n v="87445.321878309886"/>
    <x v="2"/>
    <n v="65.268142992853754"/>
    <n v="857.30707723833223"/>
  </r>
  <r>
    <d v="2044-10-25T00:00:00"/>
    <x v="0"/>
    <x v="3"/>
    <s v="October"/>
    <n v="109"/>
    <x v="8"/>
    <n v="94239.222521558477"/>
    <x v="2"/>
    <n v="93.340480249499734"/>
    <n v="864.58002313356405"/>
  </r>
  <r>
    <d v="2044-11-24T00:00:00"/>
    <x v="4"/>
    <x v="0"/>
    <s v="November"/>
    <n v="101"/>
    <x v="9"/>
    <n v="128370.62690296074"/>
    <x v="2"/>
    <n v="84.065447988780022"/>
    <n v="1270.9963059699082"/>
  </r>
  <r>
    <d v="2044-12-24T00:00:00"/>
    <x v="1"/>
    <x v="2"/>
    <s v="December"/>
    <n v="97"/>
    <x v="10"/>
    <n v="50243.826869298413"/>
    <x v="2"/>
    <n v="56.090405583827312"/>
    <n v="517.97759659070528"/>
  </r>
  <r>
    <d v="2045-01-23T00:00:00"/>
    <x v="0"/>
    <x v="0"/>
    <s v="January"/>
    <n v="88"/>
    <x v="0"/>
    <n v="125539.30772176376"/>
    <x v="4"/>
    <n v="77.495941277823675"/>
    <n v="1426.58304229277"/>
  </r>
  <r>
    <d v="2045-02-22T00:00:00"/>
    <x v="0"/>
    <x v="2"/>
    <s v="February"/>
    <n v="100"/>
    <x v="11"/>
    <n v="106760.46962203416"/>
    <x v="4"/>
    <n v="66.898839902460935"/>
    <n v="1067.6046962203416"/>
  </r>
  <r>
    <d v="2045-03-24T00:00:00"/>
    <x v="1"/>
    <x v="0"/>
    <s v="March"/>
    <n v="104"/>
    <x v="1"/>
    <n v="75859.567042855691"/>
    <x v="4"/>
    <n v="59.389363896099916"/>
    <n v="729.41891387361238"/>
  </r>
  <r>
    <d v="2045-04-23T00:00:00"/>
    <x v="2"/>
    <x v="1"/>
    <s v="April"/>
    <n v="106"/>
    <x v="2"/>
    <n v="78493.75213901524"/>
    <x v="0"/>
    <n v="35.385261822748042"/>
    <n v="740.50709565108718"/>
  </r>
  <r>
    <d v="2045-05-23T00:00:00"/>
    <x v="1"/>
    <x v="3"/>
    <s v="May"/>
    <n v="91"/>
    <x v="3"/>
    <n v="133527.86054416405"/>
    <x v="2"/>
    <n v="57.114901076391277"/>
    <n v="1467.3391268589457"/>
  </r>
  <r>
    <d v="2045-06-22T00:00:00"/>
    <x v="2"/>
    <x v="1"/>
    <s v="June"/>
    <n v="110"/>
    <x v="4"/>
    <n v="81089.862401145379"/>
    <x v="1"/>
    <n v="39.665486961805968"/>
    <n v="737.18056728313979"/>
  </r>
  <r>
    <d v="2045-07-22T00:00:00"/>
    <x v="4"/>
    <x v="2"/>
    <s v="July"/>
    <n v="104"/>
    <x v="5"/>
    <n v="76932.989788080813"/>
    <x v="0"/>
    <n v="93.187371988132369"/>
    <n v="739.74028642385395"/>
  </r>
  <r>
    <d v="2045-08-21T00:00:00"/>
    <x v="3"/>
    <x v="1"/>
    <s v="August"/>
    <n v="85"/>
    <x v="6"/>
    <n v="122746.29084729459"/>
    <x v="0"/>
    <n v="46.832545079707756"/>
    <n v="1444.0740099681716"/>
  </r>
  <r>
    <d v="2045-09-20T00:00:00"/>
    <x v="4"/>
    <x v="0"/>
    <s v="September"/>
    <n v="107"/>
    <x v="7"/>
    <n v="106771.05752571828"/>
    <x v="4"/>
    <n v="96.181121162669783"/>
    <n v="997.86035070764751"/>
  </r>
  <r>
    <d v="2045-10-20T00:00:00"/>
    <x v="3"/>
    <x v="1"/>
    <s v="October"/>
    <n v="111"/>
    <x v="8"/>
    <n v="81241.488469272022"/>
    <x v="2"/>
    <n v="62.644423207576892"/>
    <n v="731.9053015249732"/>
  </r>
  <r>
    <d v="2045-11-19T00:00:00"/>
    <x v="0"/>
    <x v="2"/>
    <s v="November"/>
    <n v="100"/>
    <x v="9"/>
    <n v="104332.49950809238"/>
    <x v="3"/>
    <n v="70.523550294092828"/>
    <n v="1043.3249950809238"/>
  </r>
  <r>
    <d v="2045-12-19T00:00:00"/>
    <x v="0"/>
    <x v="3"/>
    <s v="December"/>
    <n v="94"/>
    <x v="10"/>
    <n v="79484.946327194455"/>
    <x v="1"/>
    <n v="63.435235559146221"/>
    <n v="845.58453539568575"/>
  </r>
  <r>
    <d v="2046-01-18T00:00:00"/>
    <x v="0"/>
    <x v="0"/>
    <s v="January"/>
    <n v="91"/>
    <x v="0"/>
    <n v="122016.4279684521"/>
    <x v="1"/>
    <n v="30.350449357336071"/>
    <n v="1340.8398677851878"/>
  </r>
  <r>
    <d v="2046-02-17T00:00:00"/>
    <x v="2"/>
    <x v="0"/>
    <s v="February"/>
    <n v="89"/>
    <x v="11"/>
    <n v="121227.41929746268"/>
    <x v="3"/>
    <n v="50.065697520635275"/>
    <n v="1362.1058348029514"/>
  </r>
  <r>
    <d v="2046-03-19T00:00:00"/>
    <x v="3"/>
    <x v="3"/>
    <s v="March"/>
    <n v="98"/>
    <x v="1"/>
    <n v="110640.12397643886"/>
    <x v="0"/>
    <n v="27.931688982209913"/>
    <n v="1128.9808569024374"/>
  </r>
  <r>
    <d v="2046-04-18T00:00:00"/>
    <x v="0"/>
    <x v="1"/>
    <s v="April"/>
    <n v="110"/>
    <x v="2"/>
    <n v="107233.22122494034"/>
    <x v="4"/>
    <n v="69.836323534670541"/>
    <n v="974.84746568127582"/>
  </r>
  <r>
    <d v="2046-05-18T00:00:00"/>
    <x v="1"/>
    <x v="1"/>
    <s v="May"/>
    <n v="93"/>
    <x v="3"/>
    <n v="135223.76249734749"/>
    <x v="0"/>
    <n v="55.749935616035117"/>
    <n v="1454.0189515843815"/>
  </r>
  <r>
    <d v="2046-06-17T00:00:00"/>
    <x v="3"/>
    <x v="2"/>
    <s v="June"/>
    <n v="103"/>
    <x v="4"/>
    <n v="128897.2893"/>
    <x v="3"/>
    <n v="82.238797725674942"/>
    <n v="1251.4299932038834"/>
  </r>
  <r>
    <d v="2046-07-17T00:00:00"/>
    <x v="3"/>
    <x v="3"/>
    <s v="July"/>
    <n v="100"/>
    <x v="5"/>
    <n v="76362.517491583974"/>
    <x v="4"/>
    <n v="37.637638479949587"/>
    <n v="763.62517491583969"/>
  </r>
  <r>
    <d v="2046-08-16T00:00:00"/>
    <x v="2"/>
    <x v="1"/>
    <s v="August"/>
    <n v="101"/>
    <x v="6"/>
    <n v="128897.2893"/>
    <x v="3"/>
    <n v="33.165284674346793"/>
    <n v="1276.2107851485148"/>
  </r>
  <r>
    <d v="2046-09-15T00:00:00"/>
    <x v="4"/>
    <x v="2"/>
    <s v="September"/>
    <n v="94"/>
    <x v="7"/>
    <n v="102916.7736"/>
    <x v="2"/>
    <n v="52.506578477101428"/>
    <n v="1094.8592936170212"/>
  </r>
  <r>
    <d v="2046-10-15T00:00:00"/>
    <x v="2"/>
    <x v="1"/>
    <s v="October"/>
    <n v="108"/>
    <x v="8"/>
    <n v="79704.810136282962"/>
    <x v="0"/>
    <n v="94.126830657470492"/>
    <n v="738.00750126187927"/>
  </r>
  <r>
    <d v="2046-11-14T00:00:00"/>
    <x v="0"/>
    <x v="3"/>
    <s v="November"/>
    <n v="113"/>
    <x v="9"/>
    <n v="92770.744666120285"/>
    <x v="3"/>
    <n v="76.833745200992936"/>
    <n v="820.98004129309982"/>
  </r>
  <r>
    <d v="2046-12-14T00:00:00"/>
    <x v="1"/>
    <x v="1"/>
    <s v="December"/>
    <n v="115"/>
    <x v="10"/>
    <n v="128897.2893"/>
    <x v="4"/>
    <n v="53.513889983433494"/>
    <n v="1120.8459939130435"/>
  </r>
  <r>
    <d v="2047-01-13T00:00:00"/>
    <x v="1"/>
    <x v="2"/>
    <s v="January"/>
    <n v="98"/>
    <x v="0"/>
    <n v="98921.903019885212"/>
    <x v="3"/>
    <n v="61.381773580344841"/>
    <n v="1009.4071736722981"/>
  </r>
  <r>
    <d v="2047-02-12T00:00:00"/>
    <x v="0"/>
    <x v="0"/>
    <s v="February"/>
    <n v="93"/>
    <x v="11"/>
    <n v="80353.928392453701"/>
    <x v="1"/>
    <n v="26.737040894167869"/>
    <n v="864.02073540272795"/>
  </r>
  <r>
    <d v="2047-03-14T00:00:00"/>
    <x v="1"/>
    <x v="0"/>
    <s v="March"/>
    <n v="104"/>
    <x v="1"/>
    <n v="122437.15712460942"/>
    <x v="0"/>
    <n v="98.766071710089051"/>
    <n v="1177.2803569673983"/>
  </r>
  <r>
    <d v="2047-04-13T00:00:00"/>
    <x v="2"/>
    <x v="3"/>
    <s v="April"/>
    <n v="100"/>
    <x v="2"/>
    <n v="146400.81444034519"/>
    <x v="0"/>
    <n v="73.312584375593516"/>
    <n v="1464.008144403452"/>
  </r>
  <r>
    <d v="2047-05-13T00:00:00"/>
    <x v="2"/>
    <x v="1"/>
    <s v="May"/>
    <n v="89"/>
    <x v="3"/>
    <n v="103922.62918047815"/>
    <x v="3"/>
    <n v="42.832325477073795"/>
    <n v="1167.6699907918894"/>
  </r>
  <r>
    <d v="2047-06-12T00:00:00"/>
    <x v="0"/>
    <x v="0"/>
    <s v="June"/>
    <n v="86"/>
    <x v="4"/>
    <n v="81918.634205279988"/>
    <x v="0"/>
    <n v="80.215177969999999"/>
    <n v="952.54225820093006"/>
  </r>
  <r>
    <d v="2047-07-12T00:00:00"/>
    <x v="1"/>
    <x v="0"/>
    <s v="July"/>
    <n v="93"/>
    <x v="5"/>
    <n v="69020.789498930506"/>
    <x v="3"/>
    <n v="28.75858928551952"/>
    <n v="742.15902687022049"/>
  </r>
  <r>
    <d v="2047-08-11T00:00:00"/>
    <x v="3"/>
    <x v="2"/>
    <s v="August"/>
    <n v="104"/>
    <x v="6"/>
    <n v="105159.51962442361"/>
    <x v="1"/>
    <n v="97.266933504606683"/>
    <n v="1011.1492271579193"/>
  </r>
  <r>
    <d v="2047-09-10T00:00:00"/>
    <x v="4"/>
    <x v="1"/>
    <s v="September"/>
    <n v="91"/>
    <x v="7"/>
    <n v="122077.54686632515"/>
    <x v="2"/>
    <n v="33.982799030669277"/>
    <n v="1341.5115040255512"/>
  </r>
  <r>
    <d v="2047-10-10T00:00:00"/>
    <x v="3"/>
    <x v="2"/>
    <s v="October"/>
    <n v="113"/>
    <x v="8"/>
    <n v="102916.7736"/>
    <x v="1"/>
    <n v="71.842425444417131"/>
    <n v="910.76790796460182"/>
  </r>
  <r>
    <d v="2047-11-09T00:00:00"/>
    <x v="2"/>
    <x v="0"/>
    <s v="November"/>
    <n v="103"/>
    <x v="9"/>
    <n v="99951.923181622929"/>
    <x v="3"/>
    <n v="80.215177969999999"/>
    <n v="970.40702118080515"/>
  </r>
  <r>
    <d v="2047-12-09T00:00:00"/>
    <x v="2"/>
    <x v="2"/>
    <s v="December"/>
    <n v="98"/>
    <x v="10"/>
    <n v="88214.566964213882"/>
    <x v="2"/>
    <n v="77.404910611882855"/>
    <n v="900.14864249197842"/>
  </r>
  <r>
    <d v="2048-01-08T00:00:00"/>
    <x v="2"/>
    <x v="3"/>
    <s v="January"/>
    <n v="100"/>
    <x v="0"/>
    <n v="78156.72734563821"/>
    <x v="0"/>
    <n v="82.145709379222481"/>
    <n v="781.56727345638205"/>
  </r>
  <r>
    <d v="2048-02-07T00:00:00"/>
    <x v="2"/>
    <x v="3"/>
    <s v="February"/>
    <n v="89"/>
    <x v="11"/>
    <n v="116695.02652649765"/>
    <x v="1"/>
    <n v="73.873578312914617"/>
    <n v="1311.1800733314342"/>
  </r>
  <r>
    <d v="2048-03-08T00:00:00"/>
    <x v="4"/>
    <x v="0"/>
    <s v="March"/>
    <n v="83"/>
    <x v="1"/>
    <n v="118275.43242771171"/>
    <x v="2"/>
    <n v="69.159956820415402"/>
    <n v="1425.0052099724303"/>
  </r>
  <r>
    <d v="2048-04-07T00:00:00"/>
    <x v="0"/>
    <x v="0"/>
    <s v="April"/>
    <n v="92"/>
    <x v="2"/>
    <n v="69085.404266185331"/>
    <x v="3"/>
    <n v="91.397527516160935"/>
    <n v="750.92830724114492"/>
  </r>
  <r>
    <d v="2048-05-07T00:00:00"/>
    <x v="2"/>
    <x v="3"/>
    <s v="May"/>
    <n v="100"/>
    <x v="3"/>
    <n v="131796.77956361367"/>
    <x v="4"/>
    <n v="26.290136879180643"/>
    <n v="1317.9677956361368"/>
  </r>
  <r>
    <d v="2048-06-06T00:00:00"/>
    <x v="1"/>
    <x v="1"/>
    <s v="June"/>
    <n v="100"/>
    <x v="4"/>
    <n v="111481.42441788003"/>
    <x v="3"/>
    <n v="80.215177969999999"/>
    <n v="1114.8142441788002"/>
  </r>
  <r>
    <d v="2048-07-06T00:00:00"/>
    <x v="4"/>
    <x v="2"/>
    <s v="July"/>
    <n v="102"/>
    <x v="5"/>
    <n v="127991.89290291586"/>
    <x v="4"/>
    <n v="39.862998370467679"/>
    <n v="1254.8224794403516"/>
  </r>
  <r>
    <d v="2048-08-05T00:00:00"/>
    <x v="2"/>
    <x v="1"/>
    <s v="August"/>
    <n v="107"/>
    <x v="6"/>
    <n v="73157.445030297706"/>
    <x v="3"/>
    <n v="99.041116965233726"/>
    <n v="683.7144395354926"/>
  </r>
  <r>
    <d v="2048-09-04T00:00:00"/>
    <x v="1"/>
    <x v="3"/>
    <s v="September"/>
    <n v="103"/>
    <x v="7"/>
    <n v="72683.516891691223"/>
    <x v="3"/>
    <n v="51.151182373349883"/>
    <n v="705.66521254069153"/>
  </r>
  <r>
    <d v="2048-10-04T00:00:00"/>
    <x v="2"/>
    <x v="0"/>
    <s v="October"/>
    <n v="100"/>
    <x v="8"/>
    <n v="97020.613804654058"/>
    <x v="0"/>
    <n v="78.609015939231895"/>
    <n v="970.20613804654056"/>
  </r>
  <r>
    <d v="2048-11-03T00:00:00"/>
    <x v="0"/>
    <x v="0"/>
    <s v="November"/>
    <n v="100"/>
    <x v="9"/>
    <n v="110055.68853790389"/>
    <x v="0"/>
    <n v="80.215177969999999"/>
    <n v="1100.5568853790389"/>
  </r>
  <r>
    <d v="2048-12-03T00:00:00"/>
    <x v="4"/>
    <x v="0"/>
    <s v="December"/>
    <n v="85"/>
    <x v="10"/>
    <n v="135927.21645853927"/>
    <x v="1"/>
    <n v="36.966498998190218"/>
    <n v="1599.1437230416386"/>
  </r>
  <r>
    <d v="2049-01-02T00:00:00"/>
    <x v="0"/>
    <x v="0"/>
    <s v="January"/>
    <n v="107"/>
    <x v="0"/>
    <n v="114121.57827630264"/>
    <x v="0"/>
    <n v="39.119814416924108"/>
    <n v="1066.5568063205853"/>
  </r>
  <r>
    <d v="2049-02-01T00:00:00"/>
    <x v="4"/>
    <x v="3"/>
    <s v="February"/>
    <n v="106"/>
    <x v="11"/>
    <n v="95146.374463759334"/>
    <x v="0"/>
    <n v="42.502765084242725"/>
    <n v="897.60730626188047"/>
  </r>
  <r>
    <d v="2049-03-03T00:00:00"/>
    <x v="2"/>
    <x v="1"/>
    <s v="March"/>
    <n v="92"/>
    <x v="1"/>
    <n v="79472.615846682165"/>
    <x v="4"/>
    <n v="52.890182260750336"/>
    <n v="863.83278094219747"/>
  </r>
  <r>
    <d v="2049-04-02T00:00:00"/>
    <x v="2"/>
    <x v="1"/>
    <s v="April"/>
    <n v="110"/>
    <x v="2"/>
    <n v="124600.011454383"/>
    <x v="1"/>
    <n v="38.746005252042146"/>
    <n v="1132.7273768580274"/>
  </r>
  <r>
    <d v="2049-05-02T00:00:00"/>
    <x v="4"/>
    <x v="2"/>
    <s v="May"/>
    <n v="93"/>
    <x v="3"/>
    <n v="80705.89148498571"/>
    <x v="2"/>
    <n v="21.572118619747826"/>
    <n v="867.80528478479255"/>
  </r>
  <r>
    <d v="2049-06-01T00:00:00"/>
    <x v="1"/>
    <x v="0"/>
    <s v="June"/>
    <n v="100"/>
    <x v="4"/>
    <n v="132569.37109544643"/>
    <x v="1"/>
    <n v="90.351444544575642"/>
    <n v="1325.6937109544642"/>
  </r>
  <r>
    <d v="2049-07-01T00:00:00"/>
    <x v="1"/>
    <x v="0"/>
    <s v="July"/>
    <n v="117"/>
    <x v="5"/>
    <n v="94312.307007869807"/>
    <x v="4"/>
    <n v="97.248786510470723"/>
    <n v="806.08809408435729"/>
  </r>
  <r>
    <d v="2049-07-31T00:00:00"/>
    <x v="2"/>
    <x v="2"/>
    <s v="July"/>
    <n v="122"/>
    <x v="5"/>
    <n v="131811.641452357"/>
    <x v="4"/>
    <n v="65.454227669999995"/>
    <n v="1080.4232905930901"/>
  </r>
  <r>
    <d v="2049-08-30T00:00:00"/>
    <x v="2"/>
    <x v="3"/>
    <s v="August"/>
    <n v="90"/>
    <x v="6"/>
    <n v="113578.62580118557"/>
    <x v="0"/>
    <n v="47.080550354037825"/>
    <n v="1261.9847311242841"/>
  </r>
  <r>
    <d v="2049-09-29T00:00:00"/>
    <x v="0"/>
    <x v="1"/>
    <s v="September"/>
    <n v="113"/>
    <x v="7"/>
    <n v="97260.090211150833"/>
    <x v="2"/>
    <n v="20.567345021949677"/>
    <n v="860.70876293053834"/>
  </r>
  <r>
    <d v="2049-10-29T00:00:00"/>
    <x v="2"/>
    <x v="2"/>
    <s v="October"/>
    <n v="110"/>
    <x v="8"/>
    <n v="89612.072563477472"/>
    <x v="3"/>
    <n v="65.454227669999995"/>
    <n v="814.65520512252249"/>
  </r>
  <r>
    <d v="2049-11-28T00:00:00"/>
    <x v="4"/>
    <x v="0"/>
    <s v="November"/>
    <n v="106"/>
    <x v="9"/>
    <n v="128897.2893"/>
    <x v="4"/>
    <n v="80.215177969999999"/>
    <n v="1216.0121632075472"/>
  </r>
  <r>
    <d v="2049-12-28T00:00:00"/>
    <x v="1"/>
    <x v="0"/>
    <s v="December"/>
    <n v="92"/>
    <x v="10"/>
    <n v="108566.33384750475"/>
    <x v="1"/>
    <n v="31.728664028800253"/>
    <n v="1180.0688461685299"/>
  </r>
  <r>
    <d v="2050-01-27T00:00:00"/>
    <x v="1"/>
    <x v="3"/>
    <s v="January"/>
    <n v="121"/>
    <x v="0"/>
    <n v="128897.2893"/>
    <x v="3"/>
    <n v="32.773307949372061"/>
    <n v="1065.2668537190084"/>
  </r>
  <r>
    <d v="2050-02-26T00:00:00"/>
    <x v="0"/>
    <x v="3"/>
    <s v="February"/>
    <n v="89"/>
    <x v="11"/>
    <n v="88123.771838625893"/>
    <x v="2"/>
    <n v="83.206659997715022"/>
    <n v="990.1547397598415"/>
  </r>
  <r>
    <d v="2050-03-28T00:00:00"/>
    <x v="1"/>
    <x v="3"/>
    <s v="March"/>
    <n v="117"/>
    <x v="1"/>
    <n v="102916.7736"/>
    <x v="1"/>
    <n v="69.303259868331565"/>
    <n v="879.63054358974364"/>
  </r>
  <r>
    <d v="2050-04-27T00:00:00"/>
    <x v="1"/>
    <x v="0"/>
    <s v="April"/>
    <n v="106"/>
    <x v="2"/>
    <n v="101571.540594383"/>
    <x v="2"/>
    <n v="23.588844610217361"/>
    <n v="958.22208107908489"/>
  </r>
  <r>
    <d v="2050-05-27T00:00:00"/>
    <x v="3"/>
    <x v="0"/>
    <s v="May"/>
    <n v="121"/>
    <x v="3"/>
    <n v="57425.31811170376"/>
    <x v="1"/>
    <n v="69.803759236982529"/>
    <n v="474.58940588184925"/>
  </r>
  <r>
    <d v="2050-06-26T00:00:00"/>
    <x v="4"/>
    <x v="3"/>
    <s v="June"/>
    <n v="95"/>
    <x v="4"/>
    <n v="109163.36229577397"/>
    <x v="4"/>
    <n v="44.713417827501289"/>
    <n v="1149.0880241660418"/>
  </r>
  <r>
    <d v="2050-07-26T00:00:00"/>
    <x v="3"/>
    <x v="2"/>
    <s v="July"/>
    <n v="91"/>
    <x v="5"/>
    <n v="80405.575505663859"/>
    <x v="2"/>
    <n v="49.498012437667676"/>
    <n v="883.57775280949295"/>
  </r>
  <r>
    <d v="2050-08-25T00:00:00"/>
    <x v="1"/>
    <x v="0"/>
    <s v="August"/>
    <n v="82"/>
    <x v="6"/>
    <n v="76933.351935885104"/>
    <x v="3"/>
    <n v="65.454227669999995"/>
    <n v="938.21160897420862"/>
  </r>
  <r>
    <d v="2050-09-24T00:00:00"/>
    <x v="0"/>
    <x v="2"/>
    <s v="September"/>
    <n v="100"/>
    <x v="7"/>
    <n v="66253.113057785784"/>
    <x v="1"/>
    <n v="80.215177969999999"/>
    <n v="662.53113057785788"/>
  </r>
  <r>
    <d v="2050-10-24T00:00:00"/>
    <x v="0"/>
    <x v="0"/>
    <s v="October"/>
    <n v="81"/>
    <x v="8"/>
    <n v="64122.150042642192"/>
    <x v="3"/>
    <n v="52.028530147186451"/>
    <n v="791.6314820079283"/>
  </r>
  <r>
    <d v="2050-11-23T00:00:00"/>
    <x v="1"/>
    <x v="3"/>
    <s v="November"/>
    <n v="101"/>
    <x v="9"/>
    <n v="72891.049937754215"/>
    <x v="2"/>
    <n v="95.772234880508378"/>
    <n v="721.69356374014069"/>
  </r>
  <r>
    <d v="2050-12-23T00:00:00"/>
    <x v="2"/>
    <x v="3"/>
    <s v="December"/>
    <n v="95"/>
    <x v="10"/>
    <n v="85819.580847390185"/>
    <x v="2"/>
    <n v="52.51701743616578"/>
    <n v="903.36400891989672"/>
  </r>
  <r>
    <d v="2051-01-22T00:00:00"/>
    <x v="3"/>
    <x v="1"/>
    <s v="January"/>
    <n v="114"/>
    <x v="0"/>
    <n v="139065.18275053136"/>
    <x v="0"/>
    <n v="81.746882818408793"/>
    <n v="1219.870024127468"/>
  </r>
  <r>
    <d v="2051-02-21T00:00:00"/>
    <x v="1"/>
    <x v="3"/>
    <s v="February"/>
    <n v="92"/>
    <x v="11"/>
    <n v="89482.406482095917"/>
    <x v="1"/>
    <n v="58.710181165140725"/>
    <n v="972.63485306626001"/>
  </r>
  <r>
    <d v="2051-03-23T00:00:00"/>
    <x v="0"/>
    <x v="3"/>
    <s v="March"/>
    <n v="113"/>
    <x v="1"/>
    <n v="103555.00212536062"/>
    <x v="4"/>
    <n v="91.802586121766723"/>
    <n v="916.41594801204087"/>
  </r>
  <r>
    <d v="2051-04-22T00:00:00"/>
    <x v="0"/>
    <x v="2"/>
    <s v="April"/>
    <n v="113"/>
    <x v="2"/>
    <n v="108009.62773012658"/>
    <x v="4"/>
    <n v="92.620899492014289"/>
    <n v="955.8374135409432"/>
  </r>
  <r>
    <d v="2051-05-22T00:00:00"/>
    <x v="3"/>
    <x v="0"/>
    <s v="May"/>
    <n v="120"/>
    <x v="3"/>
    <n v="128897.2893"/>
    <x v="2"/>
    <n v="26.99334462968671"/>
    <n v="1074.1440775000001"/>
  </r>
  <r>
    <d v="2051-06-21T00:00:00"/>
    <x v="4"/>
    <x v="1"/>
    <s v="June"/>
    <n v="108"/>
    <x v="4"/>
    <n v="98451.130785480127"/>
    <x v="2"/>
    <n v="94.919466504818061"/>
    <n v="911.58454431000121"/>
  </r>
  <r>
    <d v="2051-07-21T00:00:00"/>
    <x v="1"/>
    <x v="2"/>
    <s v="July"/>
    <n v="99"/>
    <x v="5"/>
    <n v="76094.1247280151"/>
    <x v="2"/>
    <n v="86.042787321633256"/>
    <n v="768.62752250520305"/>
  </r>
  <r>
    <d v="2051-08-20T00:00:00"/>
    <x v="1"/>
    <x v="2"/>
    <s v="August"/>
    <n v="108"/>
    <x v="6"/>
    <n v="129018.55096558423"/>
    <x v="0"/>
    <n v="83.304857145013358"/>
    <n v="1194.6162126442985"/>
  </r>
  <r>
    <d v="2051-09-19T00:00:00"/>
    <x v="4"/>
    <x v="1"/>
    <s v="September"/>
    <n v="98"/>
    <x v="7"/>
    <n v="136143.93287275769"/>
    <x v="4"/>
    <n v="36.072907174841795"/>
    <n v="1389.2238048240581"/>
  </r>
  <r>
    <d v="2051-10-19T00:00:00"/>
    <x v="3"/>
    <x v="3"/>
    <s v="October"/>
    <n v="92"/>
    <x v="8"/>
    <n v="66346.826117546283"/>
    <x v="4"/>
    <n v="84.409536700373195"/>
    <n v="721.16115345159005"/>
  </r>
  <r>
    <d v="2051-11-18T00:00:00"/>
    <x v="3"/>
    <x v="2"/>
    <s v="November"/>
    <n v="96"/>
    <x v="9"/>
    <n v="79519.428182272415"/>
    <x v="2"/>
    <n v="88.01061877480295"/>
    <n v="828.32737689867099"/>
  </r>
  <r>
    <d v="2051-12-18T00:00:00"/>
    <x v="0"/>
    <x v="0"/>
    <s v="December"/>
    <n v="94"/>
    <x v="10"/>
    <n v="128897.2893"/>
    <x v="1"/>
    <n v="43.132026756332074"/>
    <n v="1371.2477585106383"/>
  </r>
  <r>
    <d v="2052-01-17T00:00:00"/>
    <x v="4"/>
    <x v="1"/>
    <s v="January"/>
    <n v="75"/>
    <x v="0"/>
    <n v="80709.244101796168"/>
    <x v="2"/>
    <n v="96.180806268985904"/>
    <n v="1076.1232546906156"/>
  </r>
  <r>
    <d v="2052-02-16T00:00:00"/>
    <x v="3"/>
    <x v="3"/>
    <s v="February"/>
    <n v="97"/>
    <x v="11"/>
    <n v="110119.31106911731"/>
    <x v="1"/>
    <n v="23.988811711933138"/>
    <n v="1135.250629578529"/>
  </r>
  <r>
    <d v="2052-03-17T00:00:00"/>
    <x v="2"/>
    <x v="2"/>
    <s v="March"/>
    <n v="100"/>
    <x v="1"/>
    <n v="85434.555951867733"/>
    <x v="0"/>
    <n v="31.992740259771175"/>
    <n v="854.34555951867731"/>
  </r>
  <r>
    <d v="2052-04-16T00:00:00"/>
    <x v="1"/>
    <x v="3"/>
    <s v="April"/>
    <n v="98"/>
    <x v="2"/>
    <n v="143301.12135613203"/>
    <x v="1"/>
    <n v="63.006491044121148"/>
    <n v="1462.2563403686943"/>
  </r>
  <r>
    <d v="2052-05-16T00:00:00"/>
    <x v="0"/>
    <x v="0"/>
    <s v="May"/>
    <n v="121"/>
    <x v="3"/>
    <n v="123810.97188687192"/>
    <x v="4"/>
    <n v="66.063397689784779"/>
    <n v="1023.2311726187762"/>
  </r>
  <r>
    <d v="2052-06-15T00:00:00"/>
    <x v="4"/>
    <x v="1"/>
    <s v="June"/>
    <n v="103"/>
    <x v="4"/>
    <n v="104251.4806126443"/>
    <x v="0"/>
    <n v="65.454227669999995"/>
    <n v="1012.1502972101389"/>
  </r>
  <r>
    <d v="2052-07-15T00:00:00"/>
    <x v="0"/>
    <x v="2"/>
    <s v="July"/>
    <n v="121"/>
    <x v="5"/>
    <n v="120539.72526639464"/>
    <x v="4"/>
    <n v="21.357530345237315"/>
    <n v="996.19607658177392"/>
  </r>
  <r>
    <d v="2052-08-14T00:00:00"/>
    <x v="3"/>
    <x v="1"/>
    <s v="August"/>
    <n v="103"/>
    <x v="6"/>
    <n v="122118.00848714617"/>
    <x v="2"/>
    <n v="96.829341969770425"/>
    <n v="1185.6117328849143"/>
  </r>
  <r>
    <d v="2052-09-13T00:00:00"/>
    <x v="3"/>
    <x v="0"/>
    <s v="September"/>
    <n v="91"/>
    <x v="7"/>
    <n v="88721.050238835131"/>
    <x v="1"/>
    <n v="23.567047418731519"/>
    <n v="974.9565960311553"/>
  </r>
  <r>
    <d v="2052-10-13T00:00:00"/>
    <x v="2"/>
    <x v="3"/>
    <s v="October"/>
    <n v="91"/>
    <x v="8"/>
    <n v="83675.655109160711"/>
    <x v="0"/>
    <n v="31.444956217872189"/>
    <n v="919.51269350726056"/>
  </r>
  <r>
    <d v="2052-11-12T00:00:00"/>
    <x v="1"/>
    <x v="0"/>
    <s v="November"/>
    <n v="100"/>
    <x v="9"/>
    <n v="101562.86125939294"/>
    <x v="0"/>
    <n v="21.12116140208456"/>
    <n v="1015.6286125939295"/>
  </r>
  <r>
    <d v="2052-12-12T00:00:00"/>
    <x v="4"/>
    <x v="1"/>
    <s v="December"/>
    <n v="97"/>
    <x v="10"/>
    <n v="117232.72248995888"/>
    <x v="2"/>
    <n v="65.348674663527575"/>
    <n v="1208.5847679377205"/>
  </r>
  <r>
    <d v="2053-01-11T00:00:00"/>
    <x v="0"/>
    <x v="2"/>
    <s v="January"/>
    <n v="106"/>
    <x v="0"/>
    <n v="102781.20797306835"/>
    <x v="4"/>
    <n v="94.581350713677779"/>
    <n v="969.63403748177689"/>
  </r>
  <r>
    <d v="2053-02-10T00:00:00"/>
    <x v="1"/>
    <x v="3"/>
    <s v="February"/>
    <n v="110"/>
    <x v="11"/>
    <n v="68460.070356180047"/>
    <x v="2"/>
    <n v="73.275773286437129"/>
    <n v="622.36427596527312"/>
  </r>
  <r>
    <d v="2053-03-12T00:00:00"/>
    <x v="3"/>
    <x v="0"/>
    <s v="March"/>
    <n v="91"/>
    <x v="1"/>
    <n v="83943.511120983152"/>
    <x v="4"/>
    <n v="85.812597478434185"/>
    <n v="922.45616616464997"/>
  </r>
  <r>
    <d v="2053-04-11T00:00:00"/>
    <x v="1"/>
    <x v="2"/>
    <s v="April"/>
    <n v="103"/>
    <x v="2"/>
    <n v="98520.542728112443"/>
    <x v="4"/>
    <n v="21.062496276686407"/>
    <n v="956.51012357390721"/>
  </r>
  <r>
    <d v="2053-05-11T00:00:00"/>
    <x v="0"/>
    <x v="3"/>
    <s v="May"/>
    <n v="84"/>
    <x v="3"/>
    <n v="98486.687913483402"/>
    <x v="0"/>
    <n v="63.361223878378084"/>
    <n v="1172.4605703986119"/>
  </r>
  <r>
    <d v="2053-06-10T00:00:00"/>
    <x v="1"/>
    <x v="3"/>
    <s v="June"/>
    <n v="93"/>
    <x v="4"/>
    <n v="139450.84353579616"/>
    <x v="3"/>
    <n v="56.765038200441751"/>
    <n v="1499.4714358687759"/>
  </r>
  <r>
    <d v="2053-07-10T00:00:00"/>
    <x v="3"/>
    <x v="0"/>
    <s v="July"/>
    <n v="113"/>
    <x v="5"/>
    <n v="72280.24115202004"/>
    <x v="0"/>
    <n v="59.917435537663444"/>
    <n v="639.64815178778792"/>
  </r>
  <r>
    <d v="2053-08-09T00:00:00"/>
    <x v="1"/>
    <x v="2"/>
    <s v="August"/>
    <n v="105"/>
    <x v="6"/>
    <n v="110111.78483671749"/>
    <x v="4"/>
    <n v="25.777054826815036"/>
    <n v="1048.683665111595"/>
  </r>
  <r>
    <d v="2053-09-08T00:00:00"/>
    <x v="4"/>
    <x v="0"/>
    <s v="September"/>
    <n v="83"/>
    <x v="7"/>
    <n v="129782.26216656579"/>
    <x v="3"/>
    <n v="74.754828885544597"/>
    <n v="1563.6417128501903"/>
  </r>
  <r>
    <d v="2053-10-08T00:00:00"/>
    <x v="1"/>
    <x v="2"/>
    <s v="October"/>
    <n v="96"/>
    <x v="8"/>
    <n v="145428.99490845593"/>
    <x v="3"/>
    <n v="60.257633188690754"/>
    <n v="1514.8853636297492"/>
  </r>
  <r>
    <d v="2053-11-07T00:00:00"/>
    <x v="4"/>
    <x v="2"/>
    <s v="November"/>
    <n v="107"/>
    <x v="9"/>
    <n v="91912.051536320767"/>
    <x v="1"/>
    <n v="81.211907988901118"/>
    <n v="858.99113585346515"/>
  </r>
  <r>
    <d v="2053-12-07T00:00:00"/>
    <x v="1"/>
    <x v="0"/>
    <s v="December"/>
    <n v="83"/>
    <x v="10"/>
    <n v="109828.589054404"/>
    <x v="0"/>
    <n v="58.823250724937225"/>
    <n v="1323.2360127036627"/>
  </r>
  <r>
    <d v="2054-01-06T00:00:00"/>
    <x v="3"/>
    <x v="2"/>
    <s v="January"/>
    <n v="105"/>
    <x v="0"/>
    <n v="111395.20714397293"/>
    <x v="2"/>
    <n v="31.950530898114565"/>
    <n v="1060.9067347045041"/>
  </r>
  <r>
    <d v="2054-02-05T00:00:00"/>
    <x v="2"/>
    <x v="2"/>
    <s v="February"/>
    <n v="112"/>
    <x v="11"/>
    <n v="103909.63463106581"/>
    <x v="4"/>
    <n v="71.860556326225762"/>
    <n v="927.76459492023048"/>
  </r>
  <r>
    <d v="2054-03-07T00:00:00"/>
    <x v="2"/>
    <x v="3"/>
    <s v="March"/>
    <n v="99"/>
    <x v="1"/>
    <n v="98023.095975213873"/>
    <x v="0"/>
    <n v="33.790908968413298"/>
    <n v="990.13228257791786"/>
  </r>
  <r>
    <d v="2054-04-06T00:00:00"/>
    <x v="4"/>
    <x v="2"/>
    <s v="April"/>
    <n v="111"/>
    <x v="2"/>
    <n v="108719.50779000092"/>
    <x v="3"/>
    <n v="89.791565068385196"/>
    <n v="979.45502513514339"/>
  </r>
  <r>
    <d v="2054-05-06T00:00:00"/>
    <x v="4"/>
    <x v="2"/>
    <s v="May"/>
    <n v="105"/>
    <x v="3"/>
    <n v="49355.07829560629"/>
    <x v="4"/>
    <n v="69.049299125539321"/>
    <n v="470.04836472005991"/>
  </r>
  <r>
    <d v="2054-06-05T00:00:00"/>
    <x v="2"/>
    <x v="2"/>
    <s v="June"/>
    <n v="93"/>
    <x v="4"/>
    <n v="113641.38980125263"/>
    <x v="4"/>
    <n v="32.57631068455634"/>
    <n v="1221.9504279704583"/>
  </r>
  <r>
    <d v="2054-07-05T00:00:00"/>
    <x v="3"/>
    <x v="2"/>
    <s v="July"/>
    <n v="109"/>
    <x v="5"/>
    <n v="102523.55807323934"/>
    <x v="4"/>
    <n v="96.987044598496539"/>
    <n v="940.58310158935171"/>
  </r>
  <r>
    <d v="2054-08-04T00:00:00"/>
    <x v="3"/>
    <x v="2"/>
    <s v="August"/>
    <n v="106"/>
    <x v="6"/>
    <n v="95550.502064434695"/>
    <x v="4"/>
    <n v="61.469237066825649"/>
    <n v="901.4198307965537"/>
  </r>
  <r>
    <d v="2054-09-03T00:00:00"/>
    <x v="1"/>
    <x v="1"/>
    <s v="September"/>
    <n v="106"/>
    <x v="7"/>
    <n v="140937.24391439115"/>
    <x v="1"/>
    <n v="25.831876149732402"/>
    <n v="1329.5966407018034"/>
  </r>
  <r>
    <d v="2054-10-03T00:00:00"/>
    <x v="4"/>
    <x v="2"/>
    <s v="October"/>
    <n v="103"/>
    <x v="8"/>
    <n v="86501.319624188953"/>
    <x v="1"/>
    <n v="70.146632353205376"/>
    <n v="839.81863712804807"/>
  </r>
  <r>
    <d v="2054-11-02T00:00:00"/>
    <x v="3"/>
    <x v="2"/>
    <s v="November"/>
    <n v="113"/>
    <x v="9"/>
    <n v="91938.480218699391"/>
    <x v="4"/>
    <n v="40.255912561024815"/>
    <n v="813.61486919203003"/>
  </r>
  <r>
    <d v="2054-12-02T00:00:00"/>
    <x v="0"/>
    <x v="3"/>
    <s v="December"/>
    <n v="111"/>
    <x v="10"/>
    <n v="102916.7736"/>
    <x v="4"/>
    <n v="84.2954761501842"/>
    <n v="927.17814054054054"/>
  </r>
  <r>
    <d v="2055-01-01T00:00:00"/>
    <x v="1"/>
    <x v="1"/>
    <s v="January"/>
    <n v="100"/>
    <x v="0"/>
    <n v="128897.2893"/>
    <x v="4"/>
    <n v="85.425765885295249"/>
    <n v="1288.9728930000001"/>
  </r>
  <r>
    <d v="2055-01-31T00:00:00"/>
    <x v="1"/>
    <x v="1"/>
    <s v="January"/>
    <n v="89"/>
    <x v="0"/>
    <n v="88997.69434126922"/>
    <x v="1"/>
    <n v="98.315788468372943"/>
    <n v="999.9740937221261"/>
  </r>
  <r>
    <d v="2055-03-02T00:00:00"/>
    <x v="2"/>
    <x v="2"/>
    <s v="March"/>
    <n v="111"/>
    <x v="1"/>
    <n v="97059.491531382999"/>
    <x v="0"/>
    <n v="60.149562481960295"/>
    <n v="874.409833616063"/>
  </r>
  <r>
    <d v="2055-04-01T00:00:00"/>
    <x v="4"/>
    <x v="1"/>
    <s v="April"/>
    <n v="104"/>
    <x v="2"/>
    <n v="102916.7736"/>
    <x v="3"/>
    <n v="56.396550378218969"/>
    <n v="989.58436153846151"/>
  </r>
  <r>
    <d v="2055-05-01T00:00:00"/>
    <x v="3"/>
    <x v="0"/>
    <s v="May"/>
    <n v="100"/>
    <x v="3"/>
    <n v="104156.05014706627"/>
    <x v="3"/>
    <n v="65.454227669999995"/>
    <n v="1041.5605014706628"/>
  </r>
  <r>
    <d v="2055-05-31T00:00:00"/>
    <x v="3"/>
    <x v="1"/>
    <s v="May"/>
    <n v="109"/>
    <x v="3"/>
    <n v="74147.493056954743"/>
    <x v="0"/>
    <n v="30.597652507354127"/>
    <n v="680.25222988031874"/>
  </r>
  <r>
    <d v="2055-06-30T00:00:00"/>
    <x v="1"/>
    <x v="1"/>
    <s v="June"/>
    <n v="108"/>
    <x v="4"/>
    <n v="89356.628737456209"/>
    <x v="3"/>
    <n v="63.753241103449938"/>
    <n v="827.37619201348343"/>
  </r>
  <r>
    <d v="2055-07-30T00:00:00"/>
    <x v="4"/>
    <x v="1"/>
    <s v="July"/>
    <n v="100"/>
    <x v="5"/>
    <n v="87852.91133575578"/>
    <x v="0"/>
    <n v="63.699808010468075"/>
    <n v="878.52911335755778"/>
  </r>
  <r>
    <d v="2055-08-29T00:00:00"/>
    <x v="4"/>
    <x v="0"/>
    <s v="August"/>
    <n v="104"/>
    <x v="6"/>
    <n v="98455.579095539084"/>
    <x v="4"/>
    <n v="27.157849824830976"/>
    <n v="946.68826053402961"/>
  </r>
  <r>
    <d v="2055-09-28T00:00:00"/>
    <x v="4"/>
    <x v="1"/>
    <s v="September"/>
    <n v="106"/>
    <x v="7"/>
    <n v="108516.87317259658"/>
    <x v="1"/>
    <n v="53.438726840553088"/>
    <n v="1023.7440865339299"/>
  </r>
  <r>
    <d v="2055-10-28T00:00:00"/>
    <x v="2"/>
    <x v="1"/>
    <s v="October"/>
    <n v="94"/>
    <x v="8"/>
    <n v="108364.11511775944"/>
    <x v="3"/>
    <n v="88.262783885376152"/>
    <n v="1152.8097352953132"/>
  </r>
  <r>
    <d v="2055-11-27T00:00:00"/>
    <x v="3"/>
    <x v="1"/>
    <s v="November"/>
    <n v="81"/>
    <x v="9"/>
    <n v="64479.764919031957"/>
    <x v="4"/>
    <n v="88.492289759572827"/>
    <n v="796.04648048187596"/>
  </r>
  <r>
    <d v="2055-12-27T00:00:00"/>
    <x v="4"/>
    <x v="2"/>
    <s v="December"/>
    <n v="95"/>
    <x v="10"/>
    <n v="121278.81975121712"/>
    <x v="4"/>
    <n v="27.939013193574482"/>
    <n v="1276.6191552759697"/>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s v="January"/>
    <s v="Winter"/>
    <n v="2015"/>
    <n v="96"/>
  </r>
  <r>
    <x v="1"/>
    <x v="0"/>
    <s v="January"/>
    <s v="Winter"/>
    <n v="2015"/>
    <n v="107"/>
  </r>
  <r>
    <x v="2"/>
    <x v="1"/>
    <s v="March"/>
    <s v="Winter"/>
    <n v="2015"/>
    <n v="88"/>
  </r>
  <r>
    <x v="3"/>
    <x v="2"/>
    <s v="April"/>
    <s v="Spring"/>
    <n v="2015"/>
    <n v="103"/>
  </r>
  <r>
    <x v="4"/>
    <x v="2"/>
    <s v="May"/>
    <s v="Spring"/>
    <n v="2015"/>
    <n v="111"/>
  </r>
  <r>
    <x v="5"/>
    <x v="2"/>
    <s v="May"/>
    <s v="Spring"/>
    <n v="2015"/>
    <n v="90"/>
  </r>
  <r>
    <x v="6"/>
    <x v="0"/>
    <s v="June"/>
    <s v="Spring"/>
    <n v="2015"/>
    <n v="94"/>
  </r>
  <r>
    <x v="7"/>
    <x v="3"/>
    <s v="July"/>
    <s v="Summer"/>
    <n v="2015"/>
    <n v="98"/>
  </r>
  <r>
    <x v="8"/>
    <x v="0"/>
    <s v="August"/>
    <s v="Summer"/>
    <n v="2015"/>
    <n v="103"/>
  </r>
  <r>
    <x v="9"/>
    <x v="3"/>
    <s v="September"/>
    <s v="Summer"/>
    <n v="2015"/>
    <n v="94"/>
  </r>
  <r>
    <x v="10"/>
    <x v="4"/>
    <s v="October"/>
    <s v="Autumn"/>
    <n v="2015"/>
    <n v="99"/>
  </r>
  <r>
    <x v="11"/>
    <x v="0"/>
    <s v="November"/>
    <s v="Autumn"/>
    <n v="2015"/>
    <n v="90"/>
  </r>
  <r>
    <x v="12"/>
    <x v="0"/>
    <s v="December"/>
    <s v="Autumn"/>
    <n v="2015"/>
    <n v="100"/>
  </r>
  <r>
    <x v="13"/>
    <x v="0"/>
    <s v="January"/>
    <s v="Winter"/>
    <n v="2016"/>
    <n v="103"/>
  </r>
  <r>
    <x v="14"/>
    <x v="2"/>
    <s v="February"/>
    <s v="Winter"/>
    <n v="2016"/>
    <n v="94"/>
  </r>
  <r>
    <x v="15"/>
    <x v="2"/>
    <s v="March"/>
    <s v="Winter"/>
    <n v="2016"/>
    <n v="105"/>
  </r>
  <r>
    <x v="16"/>
    <x v="3"/>
    <s v="April"/>
    <s v="Spring"/>
    <n v="2016"/>
    <n v="86"/>
  </r>
  <r>
    <x v="17"/>
    <x v="3"/>
    <s v="May"/>
    <s v="Spring"/>
    <n v="2016"/>
    <n v="92"/>
  </r>
  <r>
    <x v="18"/>
    <x v="0"/>
    <s v="June"/>
    <s v="Spring"/>
    <n v="2016"/>
    <n v="94"/>
  </r>
  <r>
    <x v="19"/>
    <x v="3"/>
    <s v="July"/>
    <s v="Summer"/>
    <n v="2016"/>
    <n v="101"/>
  </r>
  <r>
    <x v="20"/>
    <x v="2"/>
    <s v="August"/>
    <s v="Summer"/>
    <n v="2016"/>
    <n v="103"/>
  </r>
  <r>
    <x v="21"/>
    <x v="3"/>
    <s v="September"/>
    <s v="Summer"/>
    <n v="2016"/>
    <n v="84"/>
  </r>
  <r>
    <x v="22"/>
    <x v="4"/>
    <s v="October"/>
    <s v="Autumn"/>
    <n v="2016"/>
    <n v="76"/>
  </r>
  <r>
    <x v="23"/>
    <x v="2"/>
    <s v="November"/>
    <s v="Autumn"/>
    <n v="2016"/>
    <n v="100"/>
  </r>
  <r>
    <x v="24"/>
    <x v="4"/>
    <s v="December"/>
    <s v="Autumn"/>
    <n v="2016"/>
    <n v="111"/>
  </r>
  <r>
    <x v="25"/>
    <x v="3"/>
    <s v="January"/>
    <s v="Winter"/>
    <n v="2017"/>
    <n v="93"/>
  </r>
  <r>
    <x v="26"/>
    <x v="1"/>
    <s v="February"/>
    <s v="Winter"/>
    <n v="2017"/>
    <n v="87"/>
  </r>
  <r>
    <x v="27"/>
    <x v="0"/>
    <s v="March"/>
    <s v="Winter"/>
    <n v="2017"/>
    <n v="108"/>
  </r>
  <r>
    <x v="28"/>
    <x v="2"/>
    <s v="April"/>
    <s v="Spring"/>
    <n v="2017"/>
    <n v="106"/>
  </r>
  <r>
    <x v="29"/>
    <x v="4"/>
    <s v="May"/>
    <s v="Spring"/>
    <n v="2017"/>
    <n v="108"/>
  </r>
  <r>
    <x v="30"/>
    <x v="1"/>
    <s v="June"/>
    <s v="Spring"/>
    <n v="2017"/>
    <n v="96"/>
  </r>
  <r>
    <x v="31"/>
    <x v="1"/>
    <s v="July"/>
    <s v="Summer"/>
    <n v="2017"/>
    <n v="113"/>
  </r>
  <r>
    <x v="32"/>
    <x v="2"/>
    <s v="August"/>
    <s v="Summer"/>
    <n v="2017"/>
    <n v="95"/>
  </r>
  <r>
    <x v="33"/>
    <x v="2"/>
    <s v="September"/>
    <s v="Summer"/>
    <n v="2017"/>
    <n v="94"/>
  </r>
  <r>
    <x v="34"/>
    <x v="1"/>
    <s v="October"/>
    <s v="Autumn"/>
    <n v="2017"/>
    <n v="107"/>
  </r>
  <r>
    <x v="35"/>
    <x v="0"/>
    <s v="November"/>
    <s v="Autumn"/>
    <n v="2017"/>
    <n v="114"/>
  </r>
  <r>
    <x v="36"/>
    <x v="0"/>
    <s v="December"/>
    <s v="Autumn"/>
    <n v="2017"/>
    <n v="86"/>
  </r>
  <r>
    <x v="37"/>
    <x v="4"/>
    <s v="January"/>
    <s v="Winter"/>
    <n v="2018"/>
    <n v="100"/>
  </r>
  <r>
    <x v="38"/>
    <x v="0"/>
    <s v="February"/>
    <s v="Winter"/>
    <n v="2018"/>
    <n v="108"/>
  </r>
  <r>
    <x v="39"/>
    <x v="1"/>
    <s v="March"/>
    <s v="Winter"/>
    <n v="2018"/>
    <n v="101"/>
  </r>
  <r>
    <x v="40"/>
    <x v="1"/>
    <s v="April"/>
    <s v="Spring"/>
    <n v="2018"/>
    <n v="94"/>
  </r>
  <r>
    <x v="41"/>
    <x v="3"/>
    <s v="May"/>
    <s v="Spring"/>
    <n v="2018"/>
    <n v="116"/>
  </r>
  <r>
    <x v="42"/>
    <x v="1"/>
    <s v="June"/>
    <s v="Spring"/>
    <n v="2018"/>
    <n v="97"/>
  </r>
  <r>
    <x v="43"/>
    <x v="0"/>
    <s v="July"/>
    <s v="Summer"/>
    <n v="2018"/>
    <n v="100"/>
  </r>
  <r>
    <x v="44"/>
    <x v="4"/>
    <s v="August"/>
    <s v="Summer"/>
    <n v="2018"/>
    <n v="94"/>
  </r>
  <r>
    <x v="45"/>
    <x v="3"/>
    <s v="September"/>
    <s v="Summer"/>
    <n v="2018"/>
    <n v="118"/>
  </r>
  <r>
    <x v="46"/>
    <x v="0"/>
    <s v="October"/>
    <s v="Autumn"/>
    <n v="2018"/>
    <n v="104"/>
  </r>
  <r>
    <x v="47"/>
    <x v="4"/>
    <s v="November"/>
    <s v="Autumn"/>
    <n v="2018"/>
    <n v="100"/>
  </r>
  <r>
    <x v="48"/>
    <x v="0"/>
    <s v="December"/>
    <s v="Autumn"/>
    <n v="2018"/>
    <n v="115"/>
  </r>
  <r>
    <x v="49"/>
    <x v="3"/>
    <s v="January"/>
    <s v="Winter"/>
    <n v="2019"/>
    <n v="94"/>
  </r>
  <r>
    <x v="50"/>
    <x v="1"/>
    <s v="February"/>
    <s v="Winter"/>
    <n v="2019"/>
    <n v="91"/>
  </r>
  <r>
    <x v="51"/>
    <x v="3"/>
    <s v="March"/>
    <s v="Winter"/>
    <n v="2019"/>
    <n v="110"/>
  </r>
  <r>
    <x v="52"/>
    <x v="1"/>
    <s v="April"/>
    <s v="Spring"/>
    <n v="2019"/>
    <n v="98"/>
  </r>
  <r>
    <x v="53"/>
    <x v="3"/>
    <s v="May"/>
    <s v="Spring"/>
    <n v="2019"/>
    <n v="86"/>
  </r>
  <r>
    <x v="54"/>
    <x v="2"/>
    <s v="June"/>
    <s v="Spring"/>
    <n v="2019"/>
    <n v="121"/>
  </r>
  <r>
    <x v="55"/>
    <x v="0"/>
    <s v="July"/>
    <s v="Summer"/>
    <n v="2019"/>
    <n v="100"/>
  </r>
  <r>
    <x v="56"/>
    <x v="0"/>
    <s v="August"/>
    <s v="Summer"/>
    <n v="2019"/>
    <n v="96"/>
  </r>
  <r>
    <x v="57"/>
    <x v="2"/>
    <s v="September"/>
    <s v="Summer"/>
    <n v="2019"/>
    <n v="100"/>
  </r>
  <r>
    <x v="58"/>
    <x v="1"/>
    <s v="October"/>
    <s v="Autumn"/>
    <n v="2019"/>
    <n v="100"/>
  </r>
  <r>
    <x v="59"/>
    <x v="0"/>
    <s v="November"/>
    <s v="Autumn"/>
    <n v="2019"/>
    <n v="93"/>
  </r>
  <r>
    <x v="60"/>
    <x v="2"/>
    <s v="December"/>
    <s v="Autumn"/>
    <n v="2019"/>
    <n v="103"/>
  </r>
  <r>
    <x v="61"/>
    <x v="0"/>
    <s v="January"/>
    <s v="Winter"/>
    <n v="2020"/>
    <n v="78"/>
  </r>
  <r>
    <x v="62"/>
    <x v="4"/>
    <s v="February"/>
    <s v="Winter"/>
    <n v="2020"/>
    <n v="116"/>
  </r>
  <r>
    <x v="63"/>
    <x v="1"/>
    <s v="March"/>
    <s v="Winter"/>
    <n v="2020"/>
    <n v="88"/>
  </r>
  <r>
    <x v="64"/>
    <x v="4"/>
    <s v="April"/>
    <s v="Spring"/>
    <n v="2020"/>
    <n v="105"/>
  </r>
  <r>
    <x v="65"/>
    <x v="1"/>
    <s v="May"/>
    <s v="Spring"/>
    <n v="2020"/>
    <n v="92"/>
  </r>
  <r>
    <x v="66"/>
    <x v="2"/>
    <s v="June"/>
    <s v="Spring"/>
    <n v="2020"/>
    <n v="96"/>
  </r>
  <r>
    <x v="67"/>
    <x v="1"/>
    <s v="July"/>
    <s v="Summer"/>
    <n v="2020"/>
    <n v="104"/>
  </r>
  <r>
    <x v="68"/>
    <x v="1"/>
    <s v="August"/>
    <s v="Summer"/>
    <n v="2020"/>
    <n v="84"/>
  </r>
  <r>
    <x v="69"/>
    <x v="2"/>
    <s v="September"/>
    <s v="Summer"/>
    <n v="2020"/>
    <n v="95"/>
  </r>
  <r>
    <x v="70"/>
    <x v="1"/>
    <s v="October"/>
    <s v="Autumn"/>
    <n v="2020"/>
    <n v="105"/>
  </r>
  <r>
    <x v="71"/>
    <x v="0"/>
    <s v="October"/>
    <s v="Autumn"/>
    <n v="2020"/>
    <n v="100"/>
  </r>
  <r>
    <x v="72"/>
    <x v="3"/>
    <s v="November"/>
    <s v="Autumn"/>
    <n v="2020"/>
    <n v="104"/>
  </r>
  <r>
    <x v="73"/>
    <x v="2"/>
    <s v="December"/>
    <s v="Autumn"/>
    <n v="2020"/>
    <n v="106"/>
  </r>
  <r>
    <x v="74"/>
    <x v="3"/>
    <s v="January"/>
    <s v="Winter"/>
    <n v="2021"/>
    <n v="120"/>
  </r>
  <r>
    <x v="75"/>
    <x v="2"/>
    <s v="February"/>
    <s v="Winter"/>
    <n v="2021"/>
    <n v="100"/>
  </r>
  <r>
    <x v="76"/>
    <x v="2"/>
    <s v="March"/>
    <s v="Winter"/>
    <n v="2021"/>
    <n v="118"/>
  </r>
  <r>
    <x v="77"/>
    <x v="4"/>
    <s v="April"/>
    <s v="Spring"/>
    <n v="2021"/>
    <n v="92"/>
  </r>
  <r>
    <x v="78"/>
    <x v="4"/>
    <s v="May"/>
    <s v="Spring"/>
    <n v="2021"/>
    <n v="110"/>
  </r>
  <r>
    <x v="79"/>
    <x v="1"/>
    <s v="June"/>
    <s v="Spring"/>
    <n v="2021"/>
    <n v="101"/>
  </r>
  <r>
    <x v="80"/>
    <x v="3"/>
    <s v="July"/>
    <s v="Summer"/>
    <n v="2021"/>
    <n v="84"/>
  </r>
  <r>
    <x v="81"/>
    <x v="2"/>
    <s v="August"/>
    <s v="Summer"/>
    <n v="2021"/>
    <n v="115"/>
  </r>
  <r>
    <x v="82"/>
    <x v="1"/>
    <s v="September"/>
    <s v="Summer"/>
    <n v="2021"/>
    <n v="95"/>
  </r>
  <r>
    <x v="83"/>
    <x v="0"/>
    <s v="October"/>
    <s v="Autumn"/>
    <n v="2021"/>
    <n v="114"/>
  </r>
  <r>
    <x v="84"/>
    <x v="2"/>
    <s v="November"/>
    <s v="Autumn"/>
    <n v="2021"/>
    <n v="104"/>
  </r>
  <r>
    <x v="85"/>
    <x v="0"/>
    <s v="December"/>
    <s v="Autumn"/>
    <n v="2021"/>
    <n v="89"/>
  </r>
  <r>
    <x v="86"/>
    <x v="1"/>
    <s v="January"/>
    <s v="Winter"/>
    <n v="2022"/>
    <n v="100"/>
  </r>
  <r>
    <x v="87"/>
    <x v="4"/>
    <s v="February"/>
    <s v="Winter"/>
    <n v="2022"/>
    <n v="85"/>
  </r>
  <r>
    <x v="88"/>
    <x v="1"/>
    <s v="March"/>
    <s v="Winter"/>
    <n v="2022"/>
    <n v="101"/>
  </r>
  <r>
    <x v="89"/>
    <x v="0"/>
    <s v="April"/>
    <s v="Spring"/>
    <n v="2022"/>
    <n v="104"/>
  </r>
  <r>
    <x v="90"/>
    <x v="2"/>
    <s v="May"/>
    <s v="Spring"/>
    <n v="2022"/>
    <n v="106"/>
  </r>
  <r>
    <x v="91"/>
    <x v="3"/>
    <s v="June"/>
    <s v="Spring"/>
    <n v="2022"/>
    <n v="95"/>
  </r>
  <r>
    <x v="92"/>
    <x v="1"/>
    <s v="July"/>
    <s v="Summer"/>
    <n v="2022"/>
    <n v="104"/>
  </r>
  <r>
    <x v="93"/>
    <x v="2"/>
    <s v="August"/>
    <s v="Summer"/>
    <n v="2022"/>
    <n v="105"/>
  </r>
  <r>
    <x v="94"/>
    <x v="4"/>
    <s v="September"/>
    <s v="Summer"/>
    <n v="2022"/>
    <n v="84"/>
  </r>
  <r>
    <x v="95"/>
    <x v="4"/>
    <s v="October"/>
    <s v="Autumn"/>
    <n v="2022"/>
    <n v="93"/>
  </r>
  <r>
    <x v="96"/>
    <x v="4"/>
    <s v="November"/>
    <s v="Autumn"/>
    <n v="2022"/>
    <n v="115"/>
  </r>
  <r>
    <x v="97"/>
    <x v="2"/>
    <s v="December"/>
    <s v="Autumn"/>
    <n v="2022"/>
    <n v="109"/>
  </r>
  <r>
    <x v="98"/>
    <x v="1"/>
    <s v="January"/>
    <s v="Winter"/>
    <n v="2023"/>
    <n v="102"/>
  </r>
  <r>
    <x v="99"/>
    <x v="2"/>
    <s v="February"/>
    <s v="Winter"/>
    <n v="2023"/>
    <n v="100"/>
  </r>
  <r>
    <x v="100"/>
    <x v="2"/>
    <s v="March"/>
    <s v="Winter"/>
    <n v="2023"/>
    <n v="93"/>
  </r>
  <r>
    <x v="101"/>
    <x v="3"/>
    <s v="April"/>
    <s v="Spring"/>
    <n v="2023"/>
    <n v="100"/>
  </r>
  <r>
    <x v="102"/>
    <x v="3"/>
    <s v="May"/>
    <s v="Spring"/>
    <n v="2023"/>
    <n v="117"/>
  </r>
  <r>
    <x v="103"/>
    <x v="1"/>
    <s v="June"/>
    <s v="Spring"/>
    <n v="2023"/>
    <n v="98"/>
  </r>
  <r>
    <x v="104"/>
    <x v="3"/>
    <s v="July"/>
    <s v="Summer"/>
    <n v="2023"/>
    <n v="94"/>
  </r>
  <r>
    <x v="105"/>
    <x v="4"/>
    <s v="August"/>
    <s v="Summer"/>
    <n v="2023"/>
    <n v="112"/>
  </r>
  <r>
    <x v="106"/>
    <x v="3"/>
    <s v="September"/>
    <s v="Summer"/>
    <n v="2023"/>
    <n v="89"/>
  </r>
  <r>
    <x v="107"/>
    <x v="4"/>
    <s v="October"/>
    <s v="Autumn"/>
    <n v="2023"/>
    <n v="119"/>
  </r>
  <r>
    <x v="108"/>
    <x v="1"/>
    <s v="November"/>
    <s v="Autumn"/>
    <n v="2023"/>
    <n v="102"/>
  </r>
  <r>
    <x v="109"/>
    <x v="2"/>
    <s v="December"/>
    <s v="Autumn"/>
    <n v="2023"/>
    <n v="87"/>
  </r>
  <r>
    <x v="110"/>
    <x v="2"/>
    <s v="January"/>
    <s v="Winter"/>
    <n v="2024"/>
    <n v="113"/>
  </r>
  <r>
    <x v="111"/>
    <x v="3"/>
    <s v="February"/>
    <s v="Winter"/>
    <n v="2024"/>
    <n v="106"/>
  </r>
  <r>
    <x v="112"/>
    <x v="4"/>
    <s v="March"/>
    <s v="Winter"/>
    <n v="2024"/>
    <n v="96"/>
  </r>
  <r>
    <x v="113"/>
    <x v="0"/>
    <s v="April"/>
    <s v="Spring"/>
    <n v="2024"/>
    <n v="110"/>
  </r>
  <r>
    <x v="114"/>
    <x v="0"/>
    <s v="May"/>
    <s v="Spring"/>
    <n v="2024"/>
    <n v="100"/>
  </r>
  <r>
    <x v="115"/>
    <x v="0"/>
    <s v="June"/>
    <s v="Spring"/>
    <n v="2024"/>
    <n v="100"/>
  </r>
  <r>
    <x v="116"/>
    <x v="2"/>
    <s v="July"/>
    <s v="Summer"/>
    <n v="2024"/>
    <n v="106"/>
  </r>
  <r>
    <x v="117"/>
    <x v="2"/>
    <s v="August"/>
    <s v="Summer"/>
    <n v="2024"/>
    <n v="114"/>
  </r>
  <r>
    <x v="118"/>
    <x v="4"/>
    <s v="September"/>
    <s v="Summer"/>
    <n v="2024"/>
    <n v="96"/>
  </r>
  <r>
    <x v="119"/>
    <x v="3"/>
    <s v="October"/>
    <s v="Autumn"/>
    <n v="2024"/>
    <n v="102"/>
  </r>
  <r>
    <x v="120"/>
    <x v="0"/>
    <s v="November"/>
    <s v="Autumn"/>
    <n v="2024"/>
    <n v="100"/>
  </r>
  <r>
    <x v="121"/>
    <x v="4"/>
    <s v="December"/>
    <s v="Autumn"/>
    <n v="2024"/>
    <n v="93"/>
  </r>
  <r>
    <x v="122"/>
    <x v="4"/>
    <s v="January"/>
    <s v="Winter"/>
    <n v="2025"/>
    <n v="100"/>
  </r>
  <r>
    <x v="123"/>
    <x v="3"/>
    <s v="February"/>
    <s v="Winter"/>
    <n v="2025"/>
    <n v="111"/>
  </r>
  <r>
    <x v="124"/>
    <x v="4"/>
    <s v="March"/>
    <s v="Winter"/>
    <n v="2025"/>
    <n v="87"/>
  </r>
  <r>
    <x v="125"/>
    <x v="3"/>
    <s v="April"/>
    <s v="Spring"/>
    <n v="2025"/>
    <n v="100"/>
  </r>
  <r>
    <x v="126"/>
    <x v="1"/>
    <s v="May"/>
    <s v="Spring"/>
    <n v="2025"/>
    <n v="104"/>
  </r>
  <r>
    <x v="127"/>
    <x v="3"/>
    <s v="June"/>
    <s v="Spring"/>
    <n v="2025"/>
    <n v="78"/>
  </r>
  <r>
    <x v="128"/>
    <x v="0"/>
    <s v="July"/>
    <s v="Summer"/>
    <n v="2025"/>
    <n v="101"/>
  </r>
  <r>
    <x v="129"/>
    <x v="0"/>
    <s v="August"/>
    <s v="Summer"/>
    <n v="2025"/>
    <n v="100"/>
  </r>
  <r>
    <x v="130"/>
    <x v="3"/>
    <s v="September"/>
    <s v="Summer"/>
    <n v="2025"/>
    <n v="109"/>
  </r>
  <r>
    <x v="131"/>
    <x v="1"/>
    <s v="October"/>
    <s v="Autumn"/>
    <n v="2025"/>
    <n v="98"/>
  </r>
  <r>
    <x v="132"/>
    <x v="1"/>
    <s v="November"/>
    <s v="Autumn"/>
    <n v="2025"/>
    <n v="111"/>
  </r>
  <r>
    <x v="133"/>
    <x v="0"/>
    <s v="December"/>
    <s v="Autumn"/>
    <n v="2025"/>
    <n v="97"/>
  </r>
  <r>
    <x v="134"/>
    <x v="1"/>
    <s v="January"/>
    <s v="Winter"/>
    <n v="2026"/>
    <n v="88"/>
  </r>
  <r>
    <x v="135"/>
    <x v="4"/>
    <s v="February"/>
    <s v="Winter"/>
    <n v="2026"/>
    <n v="101"/>
  </r>
  <r>
    <x v="136"/>
    <x v="2"/>
    <s v="March"/>
    <s v="Winter"/>
    <n v="2026"/>
    <n v="105"/>
  </r>
  <r>
    <x v="137"/>
    <x v="4"/>
    <s v="April"/>
    <s v="Spring"/>
    <n v="2026"/>
    <n v="102"/>
  </r>
  <r>
    <x v="138"/>
    <x v="0"/>
    <s v="May"/>
    <s v="Spring"/>
    <n v="2026"/>
    <n v="98"/>
  </r>
  <r>
    <x v="139"/>
    <x v="1"/>
    <s v="June"/>
    <s v="Spring"/>
    <n v="2026"/>
    <n v="96"/>
  </r>
  <r>
    <x v="140"/>
    <x v="3"/>
    <s v="July"/>
    <s v="Summer"/>
    <n v="2026"/>
    <n v="76"/>
  </r>
  <r>
    <x v="141"/>
    <x v="2"/>
    <s v="August"/>
    <s v="Summer"/>
    <n v="2026"/>
    <n v="112"/>
  </r>
  <r>
    <x v="142"/>
    <x v="3"/>
    <s v="August"/>
    <s v="Summer"/>
    <n v="2026"/>
    <n v="99"/>
  </r>
  <r>
    <x v="143"/>
    <x v="0"/>
    <s v="September"/>
    <s v="Summer"/>
    <n v="2026"/>
    <n v="100"/>
  </r>
  <r>
    <x v="144"/>
    <x v="1"/>
    <s v="October"/>
    <s v="Autumn"/>
    <n v="2026"/>
    <n v="89"/>
  </r>
  <r>
    <x v="145"/>
    <x v="3"/>
    <s v="November"/>
    <s v="Autumn"/>
    <n v="2026"/>
    <n v="100"/>
  </r>
  <r>
    <x v="146"/>
    <x v="3"/>
    <s v="December"/>
    <s v="Autumn"/>
    <n v="2026"/>
    <n v="104"/>
  </r>
  <r>
    <x v="147"/>
    <x v="2"/>
    <s v="January"/>
    <s v="Winter"/>
    <n v="2027"/>
    <n v="96"/>
  </r>
  <r>
    <x v="148"/>
    <x v="2"/>
    <s v="February"/>
    <s v="Winter"/>
    <n v="2027"/>
    <n v="100"/>
  </r>
  <r>
    <x v="149"/>
    <x v="1"/>
    <s v="March"/>
    <s v="Winter"/>
    <n v="2027"/>
    <n v="105"/>
  </r>
  <r>
    <x v="150"/>
    <x v="2"/>
    <s v="April"/>
    <s v="Spring"/>
    <n v="2027"/>
    <n v="81"/>
  </r>
  <r>
    <x v="151"/>
    <x v="3"/>
    <s v="May"/>
    <s v="Spring"/>
    <n v="2027"/>
    <n v="120"/>
  </r>
  <r>
    <x v="152"/>
    <x v="3"/>
    <s v="June"/>
    <s v="Spring"/>
    <n v="2027"/>
    <n v="97"/>
  </r>
  <r>
    <x v="153"/>
    <x v="0"/>
    <s v="July"/>
    <s v="Summer"/>
    <n v="2027"/>
    <n v="99"/>
  </r>
  <r>
    <x v="154"/>
    <x v="3"/>
    <s v="August"/>
    <s v="Summer"/>
    <n v="2027"/>
    <n v="120"/>
  </r>
  <r>
    <x v="155"/>
    <x v="1"/>
    <s v="September"/>
    <s v="Summer"/>
    <n v="2027"/>
    <n v="90"/>
  </r>
  <r>
    <x v="156"/>
    <x v="4"/>
    <s v="October"/>
    <s v="Autumn"/>
    <n v="2027"/>
    <n v="85"/>
  </r>
  <r>
    <x v="157"/>
    <x v="0"/>
    <s v="November"/>
    <s v="Autumn"/>
    <n v="2027"/>
    <n v="84"/>
  </r>
  <r>
    <x v="158"/>
    <x v="0"/>
    <s v="December"/>
    <s v="Autumn"/>
    <n v="2027"/>
    <n v="100"/>
  </r>
  <r>
    <x v="159"/>
    <x v="1"/>
    <s v="January"/>
    <s v="Winter"/>
    <n v="2028"/>
    <n v="112"/>
  </r>
  <r>
    <x v="160"/>
    <x v="1"/>
    <s v="February"/>
    <s v="Winter"/>
    <n v="2028"/>
    <n v="110"/>
  </r>
  <r>
    <x v="161"/>
    <x v="2"/>
    <s v="March"/>
    <s v="Winter"/>
    <n v="2028"/>
    <n v="86"/>
  </r>
  <r>
    <x v="162"/>
    <x v="0"/>
    <s v="April"/>
    <s v="Spring"/>
    <n v="2028"/>
    <n v="104"/>
  </r>
  <r>
    <x v="163"/>
    <x v="2"/>
    <s v="May"/>
    <s v="Spring"/>
    <n v="2028"/>
    <n v="107"/>
  </r>
  <r>
    <x v="164"/>
    <x v="3"/>
    <s v="June"/>
    <s v="Spring"/>
    <n v="2028"/>
    <n v="93"/>
  </r>
  <r>
    <x v="165"/>
    <x v="0"/>
    <s v="July"/>
    <s v="Summer"/>
    <n v="2028"/>
    <n v="108"/>
  </r>
  <r>
    <x v="166"/>
    <x v="0"/>
    <s v="August"/>
    <s v="Summer"/>
    <n v="2028"/>
    <n v="96"/>
  </r>
  <r>
    <x v="167"/>
    <x v="4"/>
    <s v="September"/>
    <s v="Summer"/>
    <n v="2028"/>
    <n v="95"/>
  </r>
  <r>
    <x v="168"/>
    <x v="0"/>
    <s v="October"/>
    <s v="Autumn"/>
    <n v="2028"/>
    <n v="112"/>
  </r>
  <r>
    <x v="169"/>
    <x v="3"/>
    <s v="November"/>
    <s v="Autumn"/>
    <n v="2028"/>
    <n v="108"/>
  </r>
  <r>
    <x v="170"/>
    <x v="2"/>
    <s v="December"/>
    <s v="Autumn"/>
    <n v="2028"/>
    <n v="85"/>
  </r>
  <r>
    <x v="171"/>
    <x v="2"/>
    <s v="January"/>
    <s v="Winter"/>
    <n v="2029"/>
    <n v="100"/>
  </r>
  <r>
    <x v="172"/>
    <x v="4"/>
    <s v="February"/>
    <s v="Winter"/>
    <n v="2029"/>
    <n v="95"/>
  </r>
  <r>
    <x v="173"/>
    <x v="3"/>
    <s v="March"/>
    <s v="Winter"/>
    <n v="2029"/>
    <n v="97"/>
  </r>
  <r>
    <x v="174"/>
    <x v="2"/>
    <s v="April"/>
    <s v="Spring"/>
    <n v="2029"/>
    <n v="116"/>
  </r>
  <r>
    <x v="175"/>
    <x v="1"/>
    <s v="May"/>
    <s v="Spring"/>
    <n v="2029"/>
    <n v="95"/>
  </r>
  <r>
    <x v="176"/>
    <x v="3"/>
    <s v="June"/>
    <s v="Spring"/>
    <n v="2029"/>
    <n v="123"/>
  </r>
  <r>
    <x v="177"/>
    <x v="3"/>
    <s v="July"/>
    <s v="Summer"/>
    <n v="2029"/>
    <n v="104"/>
  </r>
  <r>
    <x v="178"/>
    <x v="4"/>
    <s v="August"/>
    <s v="Summer"/>
    <n v="2029"/>
    <n v="94"/>
  </r>
  <r>
    <x v="179"/>
    <x v="2"/>
    <s v="September"/>
    <s v="Summer"/>
    <n v="2029"/>
    <n v="105"/>
  </r>
  <r>
    <x v="180"/>
    <x v="3"/>
    <s v="October"/>
    <s v="Autumn"/>
    <n v="2029"/>
    <n v="109"/>
  </r>
  <r>
    <x v="181"/>
    <x v="2"/>
    <s v="November"/>
    <s v="Autumn"/>
    <n v="2029"/>
    <n v="84"/>
  </r>
  <r>
    <x v="182"/>
    <x v="1"/>
    <s v="December"/>
    <s v="Autumn"/>
    <n v="2029"/>
    <n v="79"/>
  </r>
  <r>
    <x v="183"/>
    <x v="4"/>
    <s v="January"/>
    <s v="Winter"/>
    <n v="2030"/>
    <n v="98"/>
  </r>
  <r>
    <x v="184"/>
    <x v="1"/>
    <s v="February"/>
    <s v="Winter"/>
    <n v="2030"/>
    <n v="96"/>
  </r>
  <r>
    <x v="185"/>
    <x v="4"/>
    <s v="March"/>
    <s v="Winter"/>
    <n v="2030"/>
    <n v="88"/>
  </r>
  <r>
    <x v="186"/>
    <x v="3"/>
    <s v="April"/>
    <s v="Spring"/>
    <n v="2030"/>
    <n v="103"/>
  </r>
  <r>
    <x v="187"/>
    <x v="4"/>
    <s v="May"/>
    <s v="Spring"/>
    <n v="2030"/>
    <n v="83"/>
  </r>
  <r>
    <x v="188"/>
    <x v="0"/>
    <s v="June"/>
    <s v="Spring"/>
    <n v="2030"/>
    <n v="82"/>
  </r>
  <r>
    <x v="189"/>
    <x v="2"/>
    <s v="July"/>
    <s v="Summer"/>
    <n v="2030"/>
    <n v="106"/>
  </r>
  <r>
    <x v="190"/>
    <x v="2"/>
    <s v="August"/>
    <s v="Summer"/>
    <n v="2030"/>
    <n v="96"/>
  </r>
  <r>
    <x v="191"/>
    <x v="0"/>
    <s v="September"/>
    <s v="Summer"/>
    <n v="2030"/>
    <n v="96"/>
  </r>
  <r>
    <x v="192"/>
    <x v="1"/>
    <s v="October"/>
    <s v="Autumn"/>
    <n v="2030"/>
    <n v="109"/>
  </r>
  <r>
    <x v="193"/>
    <x v="0"/>
    <s v="November"/>
    <s v="Autumn"/>
    <n v="2030"/>
    <n v="98"/>
  </r>
  <r>
    <x v="194"/>
    <x v="3"/>
    <s v="December"/>
    <s v="Autumn"/>
    <n v="2030"/>
    <n v="86"/>
  </r>
  <r>
    <x v="195"/>
    <x v="3"/>
    <s v="January"/>
    <s v="Winter"/>
    <n v="2031"/>
    <n v="79"/>
  </r>
  <r>
    <x v="196"/>
    <x v="2"/>
    <s v="February"/>
    <s v="Winter"/>
    <n v="2031"/>
    <n v="86"/>
  </r>
  <r>
    <x v="197"/>
    <x v="3"/>
    <s v="March"/>
    <s v="Winter"/>
    <n v="2031"/>
    <n v="108"/>
  </r>
  <r>
    <x v="198"/>
    <x v="2"/>
    <s v="April"/>
    <s v="Spring"/>
    <n v="2031"/>
    <n v="100"/>
  </r>
  <r>
    <x v="199"/>
    <x v="0"/>
    <s v="May"/>
    <s v="Spring"/>
    <n v="2031"/>
    <n v="93"/>
  </r>
  <r>
    <x v="200"/>
    <x v="0"/>
    <s v="June"/>
    <s v="Spring"/>
    <n v="2031"/>
    <n v="82"/>
  </r>
  <r>
    <x v="201"/>
    <x v="0"/>
    <s v="July"/>
    <s v="Summer"/>
    <n v="2031"/>
    <n v="104"/>
  </r>
  <r>
    <x v="202"/>
    <x v="2"/>
    <s v="August"/>
    <s v="Summer"/>
    <n v="2031"/>
    <n v="99"/>
  </r>
  <r>
    <x v="203"/>
    <x v="0"/>
    <s v="September"/>
    <s v="Summer"/>
    <n v="2031"/>
    <n v="102"/>
  </r>
  <r>
    <x v="204"/>
    <x v="0"/>
    <s v="October"/>
    <s v="Autumn"/>
    <n v="2031"/>
    <n v="76"/>
  </r>
  <r>
    <x v="205"/>
    <x v="1"/>
    <s v="November"/>
    <s v="Autumn"/>
    <n v="2031"/>
    <n v="99"/>
  </r>
  <r>
    <x v="206"/>
    <x v="0"/>
    <s v="December"/>
    <s v="Autumn"/>
    <n v="2031"/>
    <n v="93"/>
  </r>
  <r>
    <x v="207"/>
    <x v="3"/>
    <s v="January"/>
    <s v="Winter"/>
    <n v="2032"/>
    <n v="99"/>
  </r>
  <r>
    <x v="208"/>
    <x v="2"/>
    <s v="February"/>
    <s v="Winter"/>
    <n v="2032"/>
    <n v="102"/>
  </r>
  <r>
    <x v="209"/>
    <x v="1"/>
    <s v="March"/>
    <s v="Winter"/>
    <n v="2032"/>
    <n v="106"/>
  </r>
  <r>
    <x v="210"/>
    <x v="4"/>
    <s v="April"/>
    <s v="Spring"/>
    <n v="2032"/>
    <n v="94"/>
  </r>
  <r>
    <x v="211"/>
    <x v="2"/>
    <s v="May"/>
    <s v="Spring"/>
    <n v="2032"/>
    <n v="105"/>
  </r>
  <r>
    <x v="212"/>
    <x v="3"/>
    <s v="May"/>
    <s v="Spring"/>
    <n v="2032"/>
    <n v="100"/>
  </r>
  <r>
    <x v="213"/>
    <x v="2"/>
    <s v="June"/>
    <s v="Spring"/>
    <n v="2032"/>
    <n v="122"/>
  </r>
  <r>
    <x v="214"/>
    <x v="3"/>
    <s v="July"/>
    <s v="Summer"/>
    <n v="2032"/>
    <n v="103"/>
  </r>
  <r>
    <x v="215"/>
    <x v="3"/>
    <s v="August"/>
    <s v="Summer"/>
    <n v="2032"/>
    <n v="119"/>
  </r>
  <r>
    <x v="216"/>
    <x v="4"/>
    <s v="September"/>
    <s v="Summer"/>
    <n v="2032"/>
    <n v="76"/>
  </r>
  <r>
    <x v="217"/>
    <x v="2"/>
    <s v="October"/>
    <s v="Autumn"/>
    <n v="2032"/>
    <n v="96"/>
  </r>
  <r>
    <x v="218"/>
    <x v="4"/>
    <s v="November"/>
    <s v="Autumn"/>
    <n v="2032"/>
    <n v="103"/>
  </r>
  <r>
    <x v="219"/>
    <x v="4"/>
    <s v="December"/>
    <s v="Autumn"/>
    <n v="2032"/>
    <n v="111"/>
  </r>
  <r>
    <x v="220"/>
    <x v="2"/>
    <s v="January"/>
    <s v="Winter"/>
    <n v="2033"/>
    <n v="97"/>
  </r>
  <r>
    <x v="221"/>
    <x v="0"/>
    <s v="February"/>
    <s v="Winter"/>
    <n v="2033"/>
    <n v="112"/>
  </r>
  <r>
    <x v="222"/>
    <x v="0"/>
    <s v="March"/>
    <s v="Winter"/>
    <n v="2033"/>
    <n v="99"/>
  </r>
  <r>
    <x v="223"/>
    <x v="4"/>
    <s v="April"/>
    <s v="Spring"/>
    <n v="2033"/>
    <n v="124"/>
  </r>
  <r>
    <x v="224"/>
    <x v="1"/>
    <s v="May"/>
    <s v="Spring"/>
    <n v="2033"/>
    <n v="91"/>
  </r>
  <r>
    <x v="225"/>
    <x v="4"/>
    <s v="June"/>
    <s v="Spring"/>
    <n v="2033"/>
    <n v="103"/>
  </r>
  <r>
    <x v="226"/>
    <x v="4"/>
    <s v="July"/>
    <s v="Summer"/>
    <n v="2033"/>
    <n v="86"/>
  </r>
  <r>
    <x v="227"/>
    <x v="4"/>
    <s v="August"/>
    <s v="Summer"/>
    <n v="2033"/>
    <n v="101"/>
  </r>
  <r>
    <x v="228"/>
    <x v="0"/>
    <s v="September"/>
    <s v="Summer"/>
    <n v="2033"/>
    <n v="101"/>
  </r>
  <r>
    <x v="229"/>
    <x v="0"/>
    <s v="October"/>
    <s v="Autumn"/>
    <n v="2033"/>
    <n v="101"/>
  </r>
  <r>
    <x v="230"/>
    <x v="0"/>
    <s v="November"/>
    <s v="Autumn"/>
    <n v="2033"/>
    <n v="113"/>
  </r>
  <r>
    <x v="231"/>
    <x v="4"/>
    <s v="December"/>
    <s v="Autumn"/>
    <n v="2033"/>
    <n v="87"/>
  </r>
  <r>
    <x v="232"/>
    <x v="1"/>
    <s v="January"/>
    <s v="Winter"/>
    <n v="2034"/>
    <n v="108"/>
  </r>
  <r>
    <x v="233"/>
    <x v="0"/>
    <s v="February"/>
    <s v="Winter"/>
    <n v="2034"/>
    <n v="100"/>
  </r>
  <r>
    <x v="234"/>
    <x v="2"/>
    <s v="March"/>
    <s v="Winter"/>
    <n v="2034"/>
    <n v="87"/>
  </r>
  <r>
    <x v="235"/>
    <x v="2"/>
    <s v="April"/>
    <s v="Spring"/>
    <n v="2034"/>
    <n v="96"/>
  </r>
  <r>
    <x v="236"/>
    <x v="2"/>
    <s v="May"/>
    <s v="Spring"/>
    <n v="2034"/>
    <n v="97"/>
  </r>
  <r>
    <x v="237"/>
    <x v="3"/>
    <s v="June"/>
    <s v="Spring"/>
    <n v="2034"/>
    <n v="116"/>
  </r>
  <r>
    <x v="238"/>
    <x v="4"/>
    <s v="July"/>
    <s v="Summer"/>
    <n v="2034"/>
    <n v="100"/>
  </r>
  <r>
    <x v="239"/>
    <x v="2"/>
    <s v="August"/>
    <s v="Summer"/>
    <n v="2034"/>
    <n v="97"/>
  </r>
  <r>
    <x v="240"/>
    <x v="4"/>
    <s v="September"/>
    <s v="Summer"/>
    <n v="2034"/>
    <n v="100"/>
  </r>
  <r>
    <x v="241"/>
    <x v="2"/>
    <s v="October"/>
    <s v="Autumn"/>
    <n v="2034"/>
    <n v="99"/>
  </r>
  <r>
    <x v="242"/>
    <x v="1"/>
    <s v="November"/>
    <s v="Autumn"/>
    <n v="2034"/>
    <n v="100"/>
  </r>
  <r>
    <x v="243"/>
    <x v="4"/>
    <s v="December"/>
    <s v="Autumn"/>
    <n v="2034"/>
    <n v="100"/>
  </r>
  <r>
    <x v="244"/>
    <x v="2"/>
    <s v="January"/>
    <s v="Winter"/>
    <n v="2035"/>
    <n v="82"/>
  </r>
  <r>
    <x v="245"/>
    <x v="0"/>
    <s v="February"/>
    <s v="Winter"/>
    <n v="2035"/>
    <n v="87"/>
  </r>
  <r>
    <x v="246"/>
    <x v="4"/>
    <s v="March"/>
    <s v="Winter"/>
    <n v="2035"/>
    <n v="87"/>
  </r>
  <r>
    <x v="247"/>
    <x v="3"/>
    <s v="April"/>
    <s v="Spring"/>
    <n v="2035"/>
    <n v="90"/>
  </r>
  <r>
    <x v="248"/>
    <x v="0"/>
    <s v="May"/>
    <s v="Spring"/>
    <n v="2035"/>
    <n v="115"/>
  </r>
  <r>
    <x v="249"/>
    <x v="0"/>
    <s v="June"/>
    <s v="Spring"/>
    <n v="2035"/>
    <n v="105"/>
  </r>
  <r>
    <x v="250"/>
    <x v="3"/>
    <s v="July"/>
    <s v="Summer"/>
    <n v="2035"/>
    <n v="90"/>
  </r>
  <r>
    <x v="251"/>
    <x v="0"/>
    <s v="August"/>
    <s v="Summer"/>
    <n v="2035"/>
    <n v="89"/>
  </r>
  <r>
    <x v="252"/>
    <x v="0"/>
    <s v="September"/>
    <s v="Summer"/>
    <n v="2035"/>
    <n v="89"/>
  </r>
  <r>
    <x v="253"/>
    <x v="2"/>
    <s v="October"/>
    <s v="Autumn"/>
    <n v="2035"/>
    <n v="86"/>
  </r>
  <r>
    <x v="254"/>
    <x v="2"/>
    <s v="November"/>
    <s v="Autumn"/>
    <n v="2035"/>
    <n v="91"/>
  </r>
  <r>
    <x v="255"/>
    <x v="4"/>
    <s v="December"/>
    <s v="Autumn"/>
    <n v="2035"/>
    <n v="100"/>
  </r>
  <r>
    <x v="256"/>
    <x v="4"/>
    <s v="January"/>
    <s v="Winter"/>
    <n v="2036"/>
    <n v="104"/>
  </r>
  <r>
    <x v="257"/>
    <x v="4"/>
    <s v="February"/>
    <s v="Winter"/>
    <n v="2036"/>
    <n v="80"/>
  </r>
  <r>
    <x v="258"/>
    <x v="2"/>
    <s v="March"/>
    <s v="Winter"/>
    <n v="2036"/>
    <n v="110"/>
  </r>
  <r>
    <x v="259"/>
    <x v="4"/>
    <s v="April"/>
    <s v="Spring"/>
    <n v="2036"/>
    <n v="90"/>
  </r>
  <r>
    <x v="260"/>
    <x v="0"/>
    <s v="May"/>
    <s v="Spring"/>
    <n v="2036"/>
    <n v="96"/>
  </r>
  <r>
    <x v="261"/>
    <x v="2"/>
    <s v="June"/>
    <s v="Spring"/>
    <n v="2036"/>
    <n v="103"/>
  </r>
  <r>
    <x v="262"/>
    <x v="4"/>
    <s v="July"/>
    <s v="Summer"/>
    <n v="2036"/>
    <n v="99"/>
  </r>
  <r>
    <x v="263"/>
    <x v="0"/>
    <s v="August"/>
    <s v="Summer"/>
    <n v="2036"/>
    <n v="100"/>
  </r>
  <r>
    <x v="264"/>
    <x v="4"/>
    <s v="September"/>
    <s v="Summer"/>
    <n v="2036"/>
    <n v="106"/>
  </r>
  <r>
    <x v="265"/>
    <x v="1"/>
    <s v="October"/>
    <s v="Autumn"/>
    <n v="2036"/>
    <n v="100"/>
  </r>
  <r>
    <x v="266"/>
    <x v="4"/>
    <s v="November"/>
    <s v="Autumn"/>
    <n v="2036"/>
    <n v="85"/>
  </r>
  <r>
    <x v="267"/>
    <x v="1"/>
    <s v="December"/>
    <s v="Autumn"/>
    <n v="2036"/>
    <n v="101"/>
  </r>
  <r>
    <x v="268"/>
    <x v="4"/>
    <s v="January"/>
    <s v="Winter"/>
    <n v="2037"/>
    <n v="93"/>
  </r>
  <r>
    <x v="269"/>
    <x v="3"/>
    <s v="February"/>
    <s v="Winter"/>
    <n v="2037"/>
    <n v="91"/>
  </r>
  <r>
    <x v="270"/>
    <x v="4"/>
    <s v="March"/>
    <s v="Winter"/>
    <n v="2037"/>
    <n v="103"/>
  </r>
  <r>
    <x v="271"/>
    <x v="2"/>
    <s v="April"/>
    <s v="Spring"/>
    <n v="2037"/>
    <n v="109"/>
  </r>
  <r>
    <x v="272"/>
    <x v="2"/>
    <s v="May"/>
    <s v="Spring"/>
    <n v="2037"/>
    <n v="83"/>
  </r>
  <r>
    <x v="273"/>
    <x v="1"/>
    <s v="June"/>
    <s v="Spring"/>
    <n v="2037"/>
    <n v="102"/>
  </r>
  <r>
    <x v="274"/>
    <x v="2"/>
    <s v="July"/>
    <s v="Summer"/>
    <n v="2037"/>
    <n v="98"/>
  </r>
  <r>
    <x v="275"/>
    <x v="0"/>
    <s v="August"/>
    <s v="Summer"/>
    <n v="2037"/>
    <n v="93"/>
  </r>
  <r>
    <x v="276"/>
    <x v="3"/>
    <s v="September"/>
    <s v="Summer"/>
    <n v="2037"/>
    <n v="104"/>
  </r>
  <r>
    <x v="277"/>
    <x v="3"/>
    <s v="October"/>
    <s v="Autumn"/>
    <n v="2037"/>
    <n v="96"/>
  </r>
  <r>
    <x v="278"/>
    <x v="0"/>
    <s v="November"/>
    <s v="Autumn"/>
    <n v="2037"/>
    <n v="103"/>
  </r>
  <r>
    <x v="279"/>
    <x v="1"/>
    <s v="December"/>
    <s v="Autumn"/>
    <n v="2037"/>
    <n v="85"/>
  </r>
  <r>
    <x v="280"/>
    <x v="0"/>
    <s v="December"/>
    <s v="Autumn"/>
    <n v="2037"/>
    <n v="92"/>
  </r>
  <r>
    <x v="281"/>
    <x v="0"/>
    <s v="January"/>
    <s v="Winter"/>
    <n v="2038"/>
    <n v="90"/>
  </r>
  <r>
    <x v="282"/>
    <x v="3"/>
    <s v="March"/>
    <s v="Winter"/>
    <n v="2038"/>
    <n v="83"/>
  </r>
  <r>
    <x v="283"/>
    <x v="4"/>
    <s v="March"/>
    <s v="Winter"/>
    <n v="2038"/>
    <n v="86"/>
  </r>
  <r>
    <x v="284"/>
    <x v="3"/>
    <s v="April"/>
    <s v="Spring"/>
    <n v="2038"/>
    <n v="110"/>
  </r>
  <r>
    <x v="285"/>
    <x v="3"/>
    <s v="May"/>
    <s v="Spring"/>
    <n v="2038"/>
    <n v="89"/>
  </r>
  <r>
    <x v="286"/>
    <x v="2"/>
    <s v="June"/>
    <s v="Spring"/>
    <n v="2038"/>
    <n v="118"/>
  </r>
  <r>
    <x v="287"/>
    <x v="0"/>
    <s v="July"/>
    <s v="Summer"/>
    <n v="2038"/>
    <n v="102"/>
  </r>
  <r>
    <x v="288"/>
    <x v="3"/>
    <s v="August"/>
    <s v="Summer"/>
    <n v="2038"/>
    <n v="108"/>
  </r>
  <r>
    <x v="289"/>
    <x v="0"/>
    <s v="September"/>
    <s v="Summer"/>
    <n v="2038"/>
    <n v="95"/>
  </r>
  <r>
    <x v="290"/>
    <x v="2"/>
    <s v="October"/>
    <s v="Autumn"/>
    <n v="2038"/>
    <n v="100"/>
  </r>
  <r>
    <x v="291"/>
    <x v="0"/>
    <s v="November"/>
    <s v="Autumn"/>
    <n v="2038"/>
    <n v="86"/>
  </r>
  <r>
    <x v="292"/>
    <x v="3"/>
    <s v="December"/>
    <s v="Autumn"/>
    <n v="2038"/>
    <n v="94"/>
  </r>
  <r>
    <x v="293"/>
    <x v="0"/>
    <s v="January"/>
    <s v="Winter"/>
    <n v="2039"/>
    <n v="88"/>
  </r>
  <r>
    <x v="294"/>
    <x v="2"/>
    <s v="February"/>
    <s v="Winter"/>
    <n v="2039"/>
    <n v="100"/>
  </r>
  <r>
    <x v="295"/>
    <x v="4"/>
    <s v="March"/>
    <s v="Winter"/>
    <n v="2039"/>
    <n v="95"/>
  </r>
  <r>
    <x v="296"/>
    <x v="0"/>
    <s v="April"/>
    <s v="Spring"/>
    <n v="2039"/>
    <n v="95"/>
  </r>
  <r>
    <x v="297"/>
    <x v="3"/>
    <s v="May"/>
    <s v="Spring"/>
    <n v="2039"/>
    <n v="92"/>
  </r>
  <r>
    <x v="298"/>
    <x v="2"/>
    <s v="June"/>
    <s v="Spring"/>
    <n v="2039"/>
    <n v="108"/>
  </r>
  <r>
    <x v="299"/>
    <x v="3"/>
    <s v="July"/>
    <s v="Summer"/>
    <n v="2039"/>
    <n v="99"/>
  </r>
  <r>
    <x v="300"/>
    <x v="3"/>
    <s v="August"/>
    <s v="Summer"/>
    <n v="2039"/>
    <n v="95"/>
  </r>
  <r>
    <x v="301"/>
    <x v="0"/>
    <s v="September"/>
    <s v="Summer"/>
    <n v="2039"/>
    <n v="86"/>
  </r>
  <r>
    <x v="302"/>
    <x v="3"/>
    <s v="October"/>
    <s v="Autumn"/>
    <n v="2039"/>
    <n v="120"/>
  </r>
  <r>
    <x v="303"/>
    <x v="0"/>
    <s v="November"/>
    <s v="Autumn"/>
    <n v="2039"/>
    <n v="81"/>
  </r>
  <r>
    <x v="304"/>
    <x v="4"/>
    <s v="December"/>
    <s v="Autumn"/>
    <n v="2039"/>
    <n v="102"/>
  </r>
  <r>
    <x v="305"/>
    <x v="3"/>
    <s v="January"/>
    <s v="Winter"/>
    <n v="2040"/>
    <n v="87"/>
  </r>
  <r>
    <x v="306"/>
    <x v="3"/>
    <s v="February"/>
    <s v="Winter"/>
    <n v="2040"/>
    <n v="90"/>
  </r>
  <r>
    <x v="307"/>
    <x v="3"/>
    <s v="March"/>
    <s v="Winter"/>
    <n v="2040"/>
    <n v="89"/>
  </r>
  <r>
    <x v="308"/>
    <x v="1"/>
    <s v="April"/>
    <s v="Spring"/>
    <n v="2040"/>
    <n v="105"/>
  </r>
  <r>
    <x v="309"/>
    <x v="1"/>
    <s v="May"/>
    <s v="Spring"/>
    <n v="2040"/>
    <n v="96"/>
  </r>
  <r>
    <x v="310"/>
    <x v="2"/>
    <s v="June"/>
    <s v="Spring"/>
    <n v="2040"/>
    <n v="97"/>
  </r>
  <r>
    <x v="311"/>
    <x v="1"/>
    <s v="July"/>
    <s v="Summer"/>
    <n v="2040"/>
    <n v="98"/>
  </r>
  <r>
    <x v="312"/>
    <x v="2"/>
    <s v="August"/>
    <s v="Summer"/>
    <n v="2040"/>
    <n v="100"/>
  </r>
  <r>
    <x v="313"/>
    <x v="1"/>
    <s v="September"/>
    <s v="Summer"/>
    <n v="2040"/>
    <n v="108"/>
  </r>
  <r>
    <x v="314"/>
    <x v="4"/>
    <s v="October"/>
    <s v="Autumn"/>
    <n v="2040"/>
    <n v="92"/>
  </r>
  <r>
    <x v="315"/>
    <x v="2"/>
    <s v="November"/>
    <s v="Autumn"/>
    <n v="2040"/>
    <n v="97"/>
  </r>
  <r>
    <x v="316"/>
    <x v="1"/>
    <s v="December"/>
    <s v="Autumn"/>
    <n v="2040"/>
    <n v="116"/>
  </r>
  <r>
    <x v="317"/>
    <x v="4"/>
    <s v="January"/>
    <s v="Winter"/>
    <n v="2041"/>
    <n v="100"/>
  </r>
  <r>
    <x v="318"/>
    <x v="1"/>
    <s v="February"/>
    <s v="Winter"/>
    <n v="2041"/>
    <n v="87"/>
  </r>
  <r>
    <x v="319"/>
    <x v="0"/>
    <s v="March"/>
    <s v="Winter"/>
    <n v="2041"/>
    <n v="103"/>
  </r>
  <r>
    <x v="320"/>
    <x v="0"/>
    <s v="April"/>
    <s v="Spring"/>
    <n v="2041"/>
    <n v="115"/>
  </r>
  <r>
    <x v="321"/>
    <x v="4"/>
    <s v="May"/>
    <s v="Spring"/>
    <n v="2041"/>
    <n v="88"/>
  </r>
  <r>
    <x v="322"/>
    <x v="3"/>
    <s v="June"/>
    <s v="Spring"/>
    <n v="2041"/>
    <n v="100"/>
  </r>
  <r>
    <x v="323"/>
    <x v="3"/>
    <s v="July"/>
    <s v="Summer"/>
    <n v="2041"/>
    <n v="108"/>
  </r>
  <r>
    <x v="324"/>
    <x v="0"/>
    <s v="August"/>
    <s v="Summer"/>
    <n v="2041"/>
    <n v="100"/>
  </r>
  <r>
    <x v="325"/>
    <x v="0"/>
    <s v="September"/>
    <s v="Summer"/>
    <n v="2041"/>
    <n v="86"/>
  </r>
  <r>
    <x v="326"/>
    <x v="3"/>
    <s v="October"/>
    <s v="Autumn"/>
    <n v="2041"/>
    <n v="87"/>
  </r>
  <r>
    <x v="327"/>
    <x v="2"/>
    <s v="November"/>
    <s v="Autumn"/>
    <n v="2041"/>
    <n v="109"/>
  </r>
  <r>
    <x v="328"/>
    <x v="3"/>
    <s v="December"/>
    <s v="Autumn"/>
    <n v="2041"/>
    <n v="91"/>
  </r>
  <r>
    <x v="329"/>
    <x v="1"/>
    <s v="January"/>
    <s v="Winter"/>
    <n v="2042"/>
    <n v="107"/>
  </r>
  <r>
    <x v="330"/>
    <x v="2"/>
    <s v="February"/>
    <s v="Winter"/>
    <n v="2042"/>
    <n v="106"/>
  </r>
  <r>
    <x v="331"/>
    <x v="1"/>
    <s v="March"/>
    <s v="Winter"/>
    <n v="2042"/>
    <n v="92"/>
  </r>
  <r>
    <x v="332"/>
    <x v="0"/>
    <s v="April"/>
    <s v="Spring"/>
    <n v="2042"/>
    <n v="90"/>
  </r>
  <r>
    <x v="333"/>
    <x v="2"/>
    <s v="May"/>
    <s v="Spring"/>
    <n v="2042"/>
    <n v="102"/>
  </r>
  <r>
    <x v="334"/>
    <x v="1"/>
    <s v="June"/>
    <s v="Spring"/>
    <n v="2042"/>
    <n v="99"/>
  </r>
  <r>
    <x v="335"/>
    <x v="1"/>
    <s v="July"/>
    <s v="Summer"/>
    <n v="2042"/>
    <n v="88"/>
  </r>
  <r>
    <x v="336"/>
    <x v="2"/>
    <s v="August"/>
    <s v="Summer"/>
    <n v="2042"/>
    <n v="100"/>
  </r>
  <r>
    <x v="337"/>
    <x v="4"/>
    <s v="September"/>
    <s v="Summer"/>
    <n v="2042"/>
    <n v="100"/>
  </r>
  <r>
    <x v="338"/>
    <x v="3"/>
    <s v="October"/>
    <s v="Autumn"/>
    <n v="2042"/>
    <n v="106"/>
  </r>
  <r>
    <x v="339"/>
    <x v="1"/>
    <s v="November"/>
    <s v="Autumn"/>
    <n v="2042"/>
    <n v="100"/>
  </r>
  <r>
    <x v="340"/>
    <x v="3"/>
    <s v="December"/>
    <s v="Autumn"/>
    <n v="2042"/>
    <n v="98"/>
  </r>
  <r>
    <x v="341"/>
    <x v="3"/>
    <s v="January"/>
    <s v="Winter"/>
    <n v="2043"/>
    <n v="119"/>
  </r>
  <r>
    <x v="342"/>
    <x v="0"/>
    <s v="February"/>
    <s v="Winter"/>
    <n v="2043"/>
    <n v="99"/>
  </r>
  <r>
    <x v="343"/>
    <x v="3"/>
    <s v="March"/>
    <s v="Winter"/>
    <n v="2043"/>
    <n v="87"/>
  </r>
  <r>
    <x v="344"/>
    <x v="1"/>
    <s v="April"/>
    <s v="Spring"/>
    <n v="2043"/>
    <n v="100"/>
  </r>
  <r>
    <x v="345"/>
    <x v="0"/>
    <s v="May"/>
    <s v="Spring"/>
    <n v="2043"/>
    <n v="103"/>
  </r>
  <r>
    <x v="346"/>
    <x v="2"/>
    <s v="June"/>
    <s v="Spring"/>
    <n v="2043"/>
    <n v="79"/>
  </r>
  <r>
    <x v="347"/>
    <x v="1"/>
    <s v="July"/>
    <s v="Summer"/>
    <n v="2043"/>
    <n v="110"/>
  </r>
  <r>
    <x v="348"/>
    <x v="0"/>
    <s v="August"/>
    <s v="Summer"/>
    <n v="2043"/>
    <n v="95"/>
  </r>
  <r>
    <x v="349"/>
    <x v="0"/>
    <s v="September"/>
    <s v="Summer"/>
    <n v="2043"/>
    <n v="101"/>
  </r>
  <r>
    <x v="350"/>
    <x v="3"/>
    <s v="October"/>
    <s v="Autumn"/>
    <n v="2043"/>
    <n v="95"/>
  </r>
  <r>
    <x v="351"/>
    <x v="2"/>
    <s v="October"/>
    <s v="Autumn"/>
    <n v="2043"/>
    <n v="107"/>
  </r>
  <r>
    <x v="352"/>
    <x v="1"/>
    <s v="November"/>
    <s v="Autumn"/>
    <n v="2043"/>
    <n v="91"/>
  </r>
  <r>
    <x v="353"/>
    <x v="1"/>
    <s v="December"/>
    <s v="Autumn"/>
    <n v="2043"/>
    <n v="87"/>
  </r>
  <r>
    <x v="354"/>
    <x v="3"/>
    <s v="January"/>
    <s v="Winter"/>
    <n v="2044"/>
    <n v="100"/>
  </r>
  <r>
    <x v="355"/>
    <x v="2"/>
    <s v="February"/>
    <s v="Winter"/>
    <n v="2044"/>
    <n v="117"/>
  </r>
  <r>
    <x v="356"/>
    <x v="1"/>
    <s v="March"/>
    <s v="Winter"/>
    <n v="2044"/>
    <n v="102"/>
  </r>
  <r>
    <x v="357"/>
    <x v="2"/>
    <s v="April"/>
    <s v="Spring"/>
    <n v="2044"/>
    <n v="88"/>
  </r>
  <r>
    <x v="358"/>
    <x v="1"/>
    <s v="May"/>
    <s v="Spring"/>
    <n v="2044"/>
    <n v="100"/>
  </r>
  <r>
    <x v="359"/>
    <x v="3"/>
    <s v="June"/>
    <s v="Spring"/>
    <n v="2044"/>
    <n v="81"/>
  </r>
  <r>
    <x v="360"/>
    <x v="4"/>
    <s v="July"/>
    <s v="Summer"/>
    <n v="2044"/>
    <n v="91"/>
  </r>
  <r>
    <x v="361"/>
    <x v="1"/>
    <s v="August"/>
    <s v="Summer"/>
    <n v="2044"/>
    <n v="90"/>
  </r>
  <r>
    <x v="362"/>
    <x v="0"/>
    <s v="September"/>
    <s v="Summer"/>
    <n v="2044"/>
    <n v="102"/>
  </r>
  <r>
    <x v="363"/>
    <x v="0"/>
    <s v="October"/>
    <s v="Autumn"/>
    <n v="2044"/>
    <n v="109"/>
  </r>
  <r>
    <x v="364"/>
    <x v="4"/>
    <s v="November"/>
    <s v="Autumn"/>
    <n v="2044"/>
    <n v="101"/>
  </r>
  <r>
    <x v="365"/>
    <x v="1"/>
    <s v="December"/>
    <s v="Autumn"/>
    <n v="2044"/>
    <n v="97"/>
  </r>
  <r>
    <x v="366"/>
    <x v="0"/>
    <s v="January"/>
    <s v="Winter"/>
    <n v="2045"/>
    <n v="88"/>
  </r>
  <r>
    <x v="367"/>
    <x v="0"/>
    <s v="February"/>
    <s v="Winter"/>
    <n v="2045"/>
    <n v="100"/>
  </r>
  <r>
    <x v="368"/>
    <x v="1"/>
    <s v="March"/>
    <s v="Winter"/>
    <n v="2045"/>
    <n v="104"/>
  </r>
  <r>
    <x v="369"/>
    <x v="2"/>
    <s v="April"/>
    <s v="Spring"/>
    <n v="2045"/>
    <n v="106"/>
  </r>
  <r>
    <x v="370"/>
    <x v="1"/>
    <s v="May"/>
    <s v="Spring"/>
    <n v="2045"/>
    <n v="91"/>
  </r>
  <r>
    <x v="371"/>
    <x v="2"/>
    <s v="June"/>
    <s v="Spring"/>
    <n v="2045"/>
    <n v="110"/>
  </r>
  <r>
    <x v="372"/>
    <x v="4"/>
    <s v="July"/>
    <s v="Summer"/>
    <n v="2045"/>
    <n v="104"/>
  </r>
  <r>
    <x v="373"/>
    <x v="3"/>
    <s v="August"/>
    <s v="Summer"/>
    <n v="2045"/>
    <n v="85"/>
  </r>
  <r>
    <x v="374"/>
    <x v="4"/>
    <s v="September"/>
    <s v="Summer"/>
    <n v="2045"/>
    <n v="107"/>
  </r>
  <r>
    <x v="375"/>
    <x v="3"/>
    <s v="October"/>
    <s v="Autumn"/>
    <n v="2045"/>
    <n v="111"/>
  </r>
  <r>
    <x v="376"/>
    <x v="0"/>
    <s v="November"/>
    <s v="Autumn"/>
    <n v="2045"/>
    <n v="100"/>
  </r>
  <r>
    <x v="377"/>
    <x v="0"/>
    <s v="December"/>
    <s v="Autumn"/>
    <n v="2045"/>
    <n v="94"/>
  </r>
  <r>
    <x v="378"/>
    <x v="0"/>
    <s v="January"/>
    <s v="Winter"/>
    <n v="2046"/>
    <n v="91"/>
  </r>
  <r>
    <x v="379"/>
    <x v="2"/>
    <s v="February"/>
    <s v="Winter"/>
    <n v="2046"/>
    <n v="89"/>
  </r>
  <r>
    <x v="380"/>
    <x v="3"/>
    <s v="March"/>
    <s v="Winter"/>
    <n v="2046"/>
    <n v="98"/>
  </r>
  <r>
    <x v="381"/>
    <x v="0"/>
    <s v="April"/>
    <s v="Spring"/>
    <n v="2046"/>
    <n v="110"/>
  </r>
  <r>
    <x v="382"/>
    <x v="1"/>
    <s v="May"/>
    <s v="Spring"/>
    <n v="2046"/>
    <n v="93"/>
  </r>
  <r>
    <x v="383"/>
    <x v="3"/>
    <s v="June"/>
    <s v="Spring"/>
    <n v="2046"/>
    <n v="103"/>
  </r>
  <r>
    <x v="384"/>
    <x v="3"/>
    <s v="July"/>
    <s v="Summer"/>
    <n v="2046"/>
    <n v="100"/>
  </r>
  <r>
    <x v="385"/>
    <x v="2"/>
    <s v="August"/>
    <s v="Summer"/>
    <n v="2046"/>
    <n v="101"/>
  </r>
  <r>
    <x v="386"/>
    <x v="4"/>
    <s v="September"/>
    <s v="Summer"/>
    <n v="2046"/>
    <n v="94"/>
  </r>
  <r>
    <x v="387"/>
    <x v="2"/>
    <s v="October"/>
    <s v="Autumn"/>
    <n v="2046"/>
    <n v="108"/>
  </r>
  <r>
    <x v="388"/>
    <x v="0"/>
    <s v="November"/>
    <s v="Autumn"/>
    <n v="2046"/>
    <n v="113"/>
  </r>
  <r>
    <x v="389"/>
    <x v="1"/>
    <s v="December"/>
    <s v="Autumn"/>
    <n v="2046"/>
    <n v="115"/>
  </r>
  <r>
    <x v="390"/>
    <x v="1"/>
    <s v="January"/>
    <s v="Winter"/>
    <n v="2047"/>
    <n v="98"/>
  </r>
  <r>
    <x v="391"/>
    <x v="0"/>
    <s v="February"/>
    <s v="Winter"/>
    <n v="2047"/>
    <n v="93"/>
  </r>
  <r>
    <x v="392"/>
    <x v="1"/>
    <s v="March"/>
    <s v="Winter"/>
    <n v="2047"/>
    <n v="104"/>
  </r>
  <r>
    <x v="393"/>
    <x v="2"/>
    <s v="April"/>
    <s v="Spring"/>
    <n v="2047"/>
    <n v="100"/>
  </r>
  <r>
    <x v="394"/>
    <x v="2"/>
    <s v="May"/>
    <s v="Spring"/>
    <n v="2047"/>
    <n v="89"/>
  </r>
  <r>
    <x v="395"/>
    <x v="0"/>
    <s v="June"/>
    <s v="Spring"/>
    <n v="2047"/>
    <n v="86"/>
  </r>
  <r>
    <x v="396"/>
    <x v="1"/>
    <s v="July"/>
    <s v="Summer"/>
    <n v="2047"/>
    <n v="93"/>
  </r>
  <r>
    <x v="397"/>
    <x v="3"/>
    <s v="August"/>
    <s v="Summer"/>
    <n v="2047"/>
    <n v="104"/>
  </r>
  <r>
    <x v="398"/>
    <x v="4"/>
    <s v="September"/>
    <s v="Summer"/>
    <n v="2047"/>
    <n v="91"/>
  </r>
  <r>
    <x v="399"/>
    <x v="3"/>
    <s v="October"/>
    <s v="Autumn"/>
    <n v="2047"/>
    <n v="113"/>
  </r>
  <r>
    <x v="400"/>
    <x v="2"/>
    <s v="November"/>
    <s v="Autumn"/>
    <n v="2047"/>
    <n v="103"/>
  </r>
  <r>
    <x v="401"/>
    <x v="2"/>
    <s v="December"/>
    <s v="Autumn"/>
    <n v="2047"/>
    <n v="98"/>
  </r>
  <r>
    <x v="402"/>
    <x v="2"/>
    <s v="January"/>
    <s v="Winter"/>
    <n v="2048"/>
    <n v="100"/>
  </r>
  <r>
    <x v="403"/>
    <x v="2"/>
    <s v="February"/>
    <s v="Winter"/>
    <n v="2048"/>
    <n v="89"/>
  </r>
  <r>
    <x v="404"/>
    <x v="4"/>
    <s v="March"/>
    <s v="Winter"/>
    <n v="2048"/>
    <n v="83"/>
  </r>
  <r>
    <x v="405"/>
    <x v="0"/>
    <s v="April"/>
    <s v="Spring"/>
    <n v="2048"/>
    <n v="92"/>
  </r>
  <r>
    <x v="406"/>
    <x v="2"/>
    <s v="May"/>
    <s v="Spring"/>
    <n v="2048"/>
    <n v="100"/>
  </r>
  <r>
    <x v="407"/>
    <x v="1"/>
    <s v="June"/>
    <s v="Spring"/>
    <n v="2048"/>
    <n v="100"/>
  </r>
  <r>
    <x v="408"/>
    <x v="4"/>
    <s v="July"/>
    <s v="Summer"/>
    <n v="2048"/>
    <n v="102"/>
  </r>
  <r>
    <x v="409"/>
    <x v="2"/>
    <s v="August"/>
    <s v="Summer"/>
    <n v="2048"/>
    <n v="107"/>
  </r>
  <r>
    <x v="410"/>
    <x v="1"/>
    <s v="September"/>
    <s v="Summer"/>
    <n v="2048"/>
    <n v="103"/>
  </r>
  <r>
    <x v="411"/>
    <x v="2"/>
    <s v="October"/>
    <s v="Autumn"/>
    <n v="2048"/>
    <n v="100"/>
  </r>
  <r>
    <x v="412"/>
    <x v="0"/>
    <s v="November"/>
    <s v="Autumn"/>
    <n v="2048"/>
    <n v="100"/>
  </r>
  <r>
    <x v="413"/>
    <x v="4"/>
    <s v="December"/>
    <s v="Autumn"/>
    <n v="2048"/>
    <n v="85"/>
  </r>
  <r>
    <x v="414"/>
    <x v="0"/>
    <s v="January"/>
    <s v="Winter"/>
    <n v="2049"/>
    <n v="107"/>
  </r>
  <r>
    <x v="415"/>
    <x v="4"/>
    <s v="February"/>
    <s v="Winter"/>
    <n v="2049"/>
    <n v="106"/>
  </r>
  <r>
    <x v="416"/>
    <x v="2"/>
    <s v="March"/>
    <s v="Winter"/>
    <n v="2049"/>
    <n v="92"/>
  </r>
  <r>
    <x v="417"/>
    <x v="2"/>
    <s v="April"/>
    <s v="Spring"/>
    <n v="2049"/>
    <n v="110"/>
  </r>
  <r>
    <x v="418"/>
    <x v="4"/>
    <s v="May"/>
    <s v="Spring"/>
    <n v="2049"/>
    <n v="93"/>
  </r>
  <r>
    <x v="419"/>
    <x v="1"/>
    <s v="June"/>
    <s v="Spring"/>
    <n v="2049"/>
    <n v="100"/>
  </r>
  <r>
    <x v="420"/>
    <x v="1"/>
    <s v="July"/>
    <s v="Summer"/>
    <n v="2049"/>
    <n v="117"/>
  </r>
  <r>
    <x v="421"/>
    <x v="2"/>
    <s v="July"/>
    <s v="Summer"/>
    <n v="2049"/>
    <n v="122"/>
  </r>
  <r>
    <x v="422"/>
    <x v="2"/>
    <s v="August"/>
    <s v="Summer"/>
    <n v="2049"/>
    <n v="90"/>
  </r>
  <r>
    <x v="423"/>
    <x v="0"/>
    <s v="September"/>
    <s v="Summer"/>
    <n v="2049"/>
    <n v="113"/>
  </r>
  <r>
    <x v="424"/>
    <x v="2"/>
    <s v="October"/>
    <s v="Autumn"/>
    <n v="2049"/>
    <n v="110"/>
  </r>
  <r>
    <x v="425"/>
    <x v="4"/>
    <s v="November"/>
    <s v="Autumn"/>
    <n v="2049"/>
    <n v="106"/>
  </r>
  <r>
    <x v="426"/>
    <x v="1"/>
    <s v="December"/>
    <s v="Autumn"/>
    <n v="2049"/>
    <n v="92"/>
  </r>
  <r>
    <x v="427"/>
    <x v="1"/>
    <s v="January"/>
    <s v="Winter"/>
    <n v="2050"/>
    <n v="121"/>
  </r>
  <r>
    <x v="428"/>
    <x v="0"/>
    <s v="February"/>
    <s v="Winter"/>
    <n v="2050"/>
    <n v="89"/>
  </r>
  <r>
    <x v="429"/>
    <x v="1"/>
    <s v="March"/>
    <s v="Winter"/>
    <n v="2050"/>
    <n v="117"/>
  </r>
  <r>
    <x v="430"/>
    <x v="1"/>
    <s v="April"/>
    <s v="Spring"/>
    <n v="2050"/>
    <n v="106"/>
  </r>
  <r>
    <x v="431"/>
    <x v="3"/>
    <s v="May"/>
    <s v="Spring"/>
    <n v="2050"/>
    <n v="121"/>
  </r>
  <r>
    <x v="432"/>
    <x v="4"/>
    <s v="June"/>
    <s v="Spring"/>
    <n v="2050"/>
    <n v="95"/>
  </r>
  <r>
    <x v="433"/>
    <x v="3"/>
    <s v="July"/>
    <s v="Summer"/>
    <n v="2050"/>
    <n v="91"/>
  </r>
  <r>
    <x v="434"/>
    <x v="1"/>
    <s v="August"/>
    <s v="Summer"/>
    <n v="2050"/>
    <n v="82"/>
  </r>
  <r>
    <x v="435"/>
    <x v="0"/>
    <s v="September"/>
    <s v="Summer"/>
    <n v="2050"/>
    <n v="100"/>
  </r>
  <r>
    <x v="436"/>
    <x v="0"/>
    <s v="October"/>
    <s v="Autumn"/>
    <n v="2050"/>
    <n v="81"/>
  </r>
  <r>
    <x v="437"/>
    <x v="1"/>
    <s v="November"/>
    <s v="Autumn"/>
    <n v="2050"/>
    <n v="101"/>
  </r>
  <r>
    <x v="438"/>
    <x v="2"/>
    <s v="December"/>
    <s v="Autumn"/>
    <n v="2050"/>
    <n v="95"/>
  </r>
  <r>
    <x v="439"/>
    <x v="3"/>
    <s v="January"/>
    <s v="Winter"/>
    <n v="2051"/>
    <n v="114"/>
  </r>
  <r>
    <x v="440"/>
    <x v="1"/>
    <s v="February"/>
    <s v="Winter"/>
    <n v="2051"/>
    <n v="92"/>
  </r>
  <r>
    <x v="441"/>
    <x v="0"/>
    <s v="March"/>
    <s v="Winter"/>
    <n v="2051"/>
    <n v="113"/>
  </r>
  <r>
    <x v="442"/>
    <x v="0"/>
    <s v="April"/>
    <s v="Spring"/>
    <n v="2051"/>
    <n v="113"/>
  </r>
  <r>
    <x v="443"/>
    <x v="3"/>
    <s v="May"/>
    <s v="Spring"/>
    <n v="2051"/>
    <n v="120"/>
  </r>
  <r>
    <x v="444"/>
    <x v="4"/>
    <s v="June"/>
    <s v="Spring"/>
    <n v="2051"/>
    <n v="108"/>
  </r>
  <r>
    <x v="445"/>
    <x v="1"/>
    <s v="July"/>
    <s v="Summer"/>
    <n v="2051"/>
    <n v="99"/>
  </r>
  <r>
    <x v="446"/>
    <x v="1"/>
    <s v="August"/>
    <s v="Summer"/>
    <n v="2051"/>
    <n v="108"/>
  </r>
  <r>
    <x v="447"/>
    <x v="4"/>
    <s v="September"/>
    <s v="Summer"/>
    <n v="2051"/>
    <n v="98"/>
  </r>
  <r>
    <x v="448"/>
    <x v="3"/>
    <s v="October"/>
    <s v="Autumn"/>
    <n v="2051"/>
    <n v="92"/>
  </r>
  <r>
    <x v="449"/>
    <x v="3"/>
    <s v="November"/>
    <s v="Autumn"/>
    <n v="2051"/>
    <n v="96"/>
  </r>
  <r>
    <x v="450"/>
    <x v="0"/>
    <s v="December"/>
    <s v="Autumn"/>
    <n v="2051"/>
    <n v="94"/>
  </r>
  <r>
    <x v="451"/>
    <x v="4"/>
    <s v="January"/>
    <s v="Winter"/>
    <n v="2052"/>
    <n v="75"/>
  </r>
  <r>
    <x v="452"/>
    <x v="3"/>
    <s v="February"/>
    <s v="Winter"/>
    <n v="2052"/>
    <n v="97"/>
  </r>
  <r>
    <x v="453"/>
    <x v="2"/>
    <s v="March"/>
    <s v="Winter"/>
    <n v="2052"/>
    <n v="100"/>
  </r>
  <r>
    <x v="454"/>
    <x v="1"/>
    <s v="April"/>
    <s v="Spring"/>
    <n v="2052"/>
    <n v="98"/>
  </r>
  <r>
    <x v="455"/>
    <x v="0"/>
    <s v="May"/>
    <s v="Spring"/>
    <n v="2052"/>
    <n v="121"/>
  </r>
  <r>
    <x v="456"/>
    <x v="4"/>
    <s v="June"/>
    <s v="Spring"/>
    <n v="2052"/>
    <n v="103"/>
  </r>
  <r>
    <x v="457"/>
    <x v="0"/>
    <s v="July"/>
    <s v="Summer"/>
    <n v="2052"/>
    <n v="121"/>
  </r>
  <r>
    <x v="458"/>
    <x v="3"/>
    <s v="August"/>
    <s v="Summer"/>
    <n v="2052"/>
    <n v="103"/>
  </r>
  <r>
    <x v="459"/>
    <x v="3"/>
    <s v="September"/>
    <s v="Summer"/>
    <n v="2052"/>
    <n v="91"/>
  </r>
  <r>
    <x v="460"/>
    <x v="2"/>
    <s v="October"/>
    <s v="Autumn"/>
    <n v="2052"/>
    <n v="91"/>
  </r>
  <r>
    <x v="461"/>
    <x v="1"/>
    <s v="November"/>
    <s v="Autumn"/>
    <n v="2052"/>
    <n v="100"/>
  </r>
  <r>
    <x v="462"/>
    <x v="4"/>
    <s v="December"/>
    <s v="Autumn"/>
    <n v="2052"/>
    <n v="97"/>
  </r>
  <r>
    <x v="463"/>
    <x v="0"/>
    <s v="January"/>
    <s v="Winter"/>
    <n v="2053"/>
    <n v="106"/>
  </r>
  <r>
    <x v="464"/>
    <x v="1"/>
    <s v="February"/>
    <s v="Winter"/>
    <n v="2053"/>
    <n v="110"/>
  </r>
  <r>
    <x v="465"/>
    <x v="3"/>
    <s v="March"/>
    <s v="Winter"/>
    <n v="2053"/>
    <n v="91"/>
  </r>
  <r>
    <x v="466"/>
    <x v="1"/>
    <s v="April"/>
    <s v="Spring"/>
    <n v="2053"/>
    <n v="103"/>
  </r>
  <r>
    <x v="467"/>
    <x v="0"/>
    <s v="May"/>
    <s v="Spring"/>
    <n v="2053"/>
    <n v="84"/>
  </r>
  <r>
    <x v="468"/>
    <x v="1"/>
    <s v="June"/>
    <s v="Spring"/>
    <n v="2053"/>
    <n v="93"/>
  </r>
  <r>
    <x v="469"/>
    <x v="3"/>
    <s v="July"/>
    <s v="Summer"/>
    <n v="2053"/>
    <n v="113"/>
  </r>
  <r>
    <x v="470"/>
    <x v="1"/>
    <s v="August"/>
    <s v="Summer"/>
    <n v="2053"/>
    <n v="105"/>
  </r>
  <r>
    <x v="471"/>
    <x v="4"/>
    <s v="September"/>
    <s v="Summer"/>
    <n v="2053"/>
    <n v="83"/>
  </r>
  <r>
    <x v="472"/>
    <x v="1"/>
    <s v="October"/>
    <s v="Autumn"/>
    <n v="2053"/>
    <n v="96"/>
  </r>
  <r>
    <x v="473"/>
    <x v="4"/>
    <s v="November"/>
    <s v="Autumn"/>
    <n v="2053"/>
    <n v="107"/>
  </r>
  <r>
    <x v="474"/>
    <x v="1"/>
    <s v="December"/>
    <s v="Autumn"/>
    <n v="2053"/>
    <n v="83"/>
  </r>
  <r>
    <x v="475"/>
    <x v="3"/>
    <s v="January"/>
    <s v="Winter"/>
    <n v="2054"/>
    <n v="105"/>
  </r>
  <r>
    <x v="476"/>
    <x v="2"/>
    <s v="February"/>
    <s v="Winter"/>
    <n v="2054"/>
    <n v="112"/>
  </r>
  <r>
    <x v="477"/>
    <x v="2"/>
    <s v="March"/>
    <s v="Winter"/>
    <n v="2054"/>
    <n v="99"/>
  </r>
  <r>
    <x v="478"/>
    <x v="4"/>
    <s v="April"/>
    <s v="Spring"/>
    <n v="2054"/>
    <n v="111"/>
  </r>
  <r>
    <x v="479"/>
    <x v="4"/>
    <s v="May"/>
    <s v="Spring"/>
    <n v="2054"/>
    <n v="105"/>
  </r>
  <r>
    <x v="480"/>
    <x v="2"/>
    <s v="June"/>
    <s v="Spring"/>
    <n v="2054"/>
    <n v="93"/>
  </r>
  <r>
    <x v="481"/>
    <x v="3"/>
    <s v="July"/>
    <s v="Summer"/>
    <n v="2054"/>
    <n v="109"/>
  </r>
  <r>
    <x v="482"/>
    <x v="3"/>
    <s v="August"/>
    <s v="Summer"/>
    <n v="2054"/>
    <n v="106"/>
  </r>
  <r>
    <x v="483"/>
    <x v="1"/>
    <s v="September"/>
    <s v="Summer"/>
    <n v="2054"/>
    <n v="106"/>
  </r>
  <r>
    <x v="484"/>
    <x v="4"/>
    <s v="October"/>
    <s v="Autumn"/>
    <n v="2054"/>
    <n v="103"/>
  </r>
  <r>
    <x v="485"/>
    <x v="3"/>
    <s v="November"/>
    <s v="Autumn"/>
    <n v="2054"/>
    <n v="113"/>
  </r>
  <r>
    <x v="486"/>
    <x v="0"/>
    <s v="December"/>
    <s v="Autumn"/>
    <n v="2054"/>
    <n v="111"/>
  </r>
  <r>
    <x v="487"/>
    <x v="1"/>
    <s v="January"/>
    <s v="Winter"/>
    <n v="2055"/>
    <n v="100"/>
  </r>
  <r>
    <x v="488"/>
    <x v="1"/>
    <s v="January"/>
    <s v="Winter"/>
    <n v="2055"/>
    <n v="89"/>
  </r>
  <r>
    <x v="489"/>
    <x v="2"/>
    <s v="March"/>
    <s v="Winter"/>
    <n v="2055"/>
    <n v="111"/>
  </r>
  <r>
    <x v="490"/>
    <x v="4"/>
    <s v="April"/>
    <s v="Spring"/>
    <n v="2055"/>
    <n v="104"/>
  </r>
  <r>
    <x v="491"/>
    <x v="3"/>
    <s v="May"/>
    <s v="Spring"/>
    <n v="2055"/>
    <n v="100"/>
  </r>
  <r>
    <x v="492"/>
    <x v="3"/>
    <s v="May"/>
    <s v="Spring"/>
    <n v="2055"/>
    <n v="109"/>
  </r>
  <r>
    <x v="493"/>
    <x v="1"/>
    <s v="June"/>
    <s v="Spring"/>
    <n v="2055"/>
    <n v="108"/>
  </r>
  <r>
    <x v="494"/>
    <x v="4"/>
    <s v="July"/>
    <s v="Summer"/>
    <n v="2055"/>
    <n v="100"/>
  </r>
  <r>
    <x v="495"/>
    <x v="4"/>
    <s v="August"/>
    <s v="Summer"/>
    <n v="2055"/>
    <n v="104"/>
  </r>
  <r>
    <x v="496"/>
    <x v="4"/>
    <s v="September"/>
    <s v="Summer"/>
    <n v="2055"/>
    <n v="106"/>
  </r>
  <r>
    <x v="497"/>
    <x v="2"/>
    <s v="October"/>
    <s v="Autumn"/>
    <n v="2055"/>
    <n v="94"/>
  </r>
  <r>
    <x v="498"/>
    <x v="3"/>
    <s v="November"/>
    <s v="Autumn"/>
    <n v="2055"/>
    <n v="81"/>
  </r>
  <r>
    <x v="499"/>
    <x v="4"/>
    <s v="December"/>
    <s v="Autumn"/>
    <n v="2055"/>
    <n v="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F052E4-6179-45A3-8A21-6CFC5226DB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2">
    <pivotField numFmtId="14" showAll="0"/>
    <pivotField axis="axisRow" showAll="0">
      <items count="6">
        <item x="3"/>
        <item x="1"/>
        <item x="0"/>
        <item x="2"/>
        <item x="4"/>
        <item t="default"/>
      </items>
    </pivotField>
    <pivotField dataField="1" showAll="0">
      <items count="51">
        <item x="49"/>
        <item x="15"/>
        <item x="32"/>
        <item x="43"/>
        <item x="48"/>
        <item x="41"/>
        <item x="45"/>
        <item x="44"/>
        <item x="14"/>
        <item x="35"/>
        <item x="11"/>
        <item x="17"/>
        <item x="2"/>
        <item x="34"/>
        <item x="5"/>
        <item x="28"/>
        <item x="12"/>
        <item x="16"/>
        <item x="6"/>
        <item x="21"/>
        <item x="0"/>
        <item x="24"/>
        <item x="7"/>
        <item x="8"/>
        <item x="9"/>
        <item x="13"/>
        <item x="37"/>
        <item x="3"/>
        <item x="26"/>
        <item x="10"/>
        <item x="19"/>
        <item x="1"/>
        <item x="18"/>
        <item x="36"/>
        <item x="29"/>
        <item x="4"/>
        <item x="39"/>
        <item x="20"/>
        <item x="22"/>
        <item x="27"/>
        <item x="23"/>
        <item x="38"/>
        <item x="25"/>
        <item x="40"/>
        <item x="33"/>
        <item x="30"/>
        <item x="46"/>
        <item x="42"/>
        <item x="47"/>
        <item x="31"/>
        <item t="default"/>
      </items>
    </pivotField>
    <pivotField showAll="0"/>
    <pivotField showAll="0"/>
    <pivotField showAll="0"/>
    <pivotField showAll="0"/>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Sum of Units_Sol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8C8537-4CEC-4AE0-B98D-EDE0780D8E59}"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4" firstHeaderRow="1" firstDataRow="1" firstDataCol="1"/>
  <pivotFields count="8">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items count="6">
        <item x="3"/>
        <item x="1"/>
        <item x="0"/>
        <item x="2"/>
        <item x="4"/>
        <item t="default"/>
      </items>
    </pivotField>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axis="axisRow"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2">
    <field x="7"/>
    <field x="6"/>
  </rowFields>
  <rowItems count="531">
    <i>
      <x v="1"/>
    </i>
    <i r="1">
      <x v="1"/>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r="1">
      <x v="12"/>
    </i>
    <i>
      <x v="7"/>
    </i>
    <i r="1">
      <x v="1"/>
    </i>
    <i r="1">
      <x v="2"/>
    </i>
    <i r="1">
      <x v="3"/>
    </i>
    <i r="1">
      <x v="4"/>
    </i>
    <i r="1">
      <x v="5"/>
    </i>
    <i r="1">
      <x v="6"/>
    </i>
    <i r="1">
      <x v="7"/>
    </i>
    <i r="1">
      <x v="8"/>
    </i>
    <i r="1">
      <x v="9"/>
    </i>
    <i r="1">
      <x v="10"/>
    </i>
    <i r="1">
      <x v="11"/>
    </i>
    <i r="1">
      <x v="12"/>
    </i>
    <i>
      <x v="8"/>
    </i>
    <i r="1">
      <x v="1"/>
    </i>
    <i r="1">
      <x v="2"/>
    </i>
    <i r="1">
      <x v="3"/>
    </i>
    <i r="1">
      <x v="4"/>
    </i>
    <i r="1">
      <x v="5"/>
    </i>
    <i r="1">
      <x v="6"/>
    </i>
    <i r="1">
      <x v="7"/>
    </i>
    <i r="1">
      <x v="8"/>
    </i>
    <i r="1">
      <x v="9"/>
    </i>
    <i r="1">
      <x v="10"/>
    </i>
    <i r="1">
      <x v="11"/>
    </i>
    <i r="1">
      <x v="12"/>
    </i>
    <i>
      <x v="9"/>
    </i>
    <i r="1">
      <x v="1"/>
    </i>
    <i r="1">
      <x v="2"/>
    </i>
    <i r="1">
      <x v="3"/>
    </i>
    <i r="1">
      <x v="4"/>
    </i>
    <i r="1">
      <x v="5"/>
    </i>
    <i r="1">
      <x v="6"/>
    </i>
    <i r="1">
      <x v="7"/>
    </i>
    <i r="1">
      <x v="8"/>
    </i>
    <i r="1">
      <x v="9"/>
    </i>
    <i r="1">
      <x v="10"/>
    </i>
    <i r="1">
      <x v="11"/>
    </i>
    <i r="1">
      <x v="12"/>
    </i>
    <i>
      <x v="10"/>
    </i>
    <i r="1">
      <x v="1"/>
    </i>
    <i r="1">
      <x v="2"/>
    </i>
    <i r="1">
      <x v="3"/>
    </i>
    <i r="1">
      <x v="4"/>
    </i>
    <i r="1">
      <x v="5"/>
    </i>
    <i r="1">
      <x v="6"/>
    </i>
    <i r="1">
      <x v="7"/>
    </i>
    <i r="1">
      <x v="8"/>
    </i>
    <i r="1">
      <x v="9"/>
    </i>
    <i r="1">
      <x v="10"/>
    </i>
    <i r="1">
      <x v="11"/>
    </i>
    <i r="1">
      <x v="12"/>
    </i>
    <i>
      <x v="11"/>
    </i>
    <i r="1">
      <x v="1"/>
    </i>
    <i r="1">
      <x v="2"/>
    </i>
    <i r="1">
      <x v="3"/>
    </i>
    <i r="1">
      <x v="4"/>
    </i>
    <i r="1">
      <x v="5"/>
    </i>
    <i r="1">
      <x v="6"/>
    </i>
    <i r="1">
      <x v="7"/>
    </i>
    <i r="1">
      <x v="8"/>
    </i>
    <i r="1">
      <x v="9"/>
    </i>
    <i r="1">
      <x v="10"/>
    </i>
    <i r="1">
      <x v="11"/>
    </i>
    <i r="1">
      <x v="12"/>
    </i>
    <i>
      <x v="12"/>
    </i>
    <i r="1">
      <x v="1"/>
    </i>
    <i r="1">
      <x v="2"/>
    </i>
    <i r="1">
      <x v="3"/>
    </i>
    <i r="1">
      <x v="4"/>
    </i>
    <i r="1">
      <x v="5"/>
    </i>
    <i r="1">
      <x v="6"/>
    </i>
    <i r="1">
      <x v="7"/>
    </i>
    <i r="1">
      <x v="8"/>
    </i>
    <i r="1">
      <x v="9"/>
    </i>
    <i r="1">
      <x v="10"/>
    </i>
    <i r="1">
      <x v="11"/>
    </i>
    <i r="1">
      <x v="12"/>
    </i>
    <i>
      <x v="13"/>
    </i>
    <i r="1">
      <x v="1"/>
    </i>
    <i r="1">
      <x v="2"/>
    </i>
    <i r="1">
      <x v="3"/>
    </i>
    <i r="1">
      <x v="4"/>
    </i>
    <i r="1">
      <x v="5"/>
    </i>
    <i r="1">
      <x v="6"/>
    </i>
    <i r="1">
      <x v="7"/>
    </i>
    <i r="1">
      <x v="8"/>
    </i>
    <i r="1">
      <x v="9"/>
    </i>
    <i r="1">
      <x v="10"/>
    </i>
    <i r="1">
      <x v="11"/>
    </i>
    <i r="1">
      <x v="12"/>
    </i>
    <i>
      <x v="14"/>
    </i>
    <i r="1">
      <x v="1"/>
    </i>
    <i r="1">
      <x v="2"/>
    </i>
    <i r="1">
      <x v="3"/>
    </i>
    <i r="1">
      <x v="4"/>
    </i>
    <i r="1">
      <x v="5"/>
    </i>
    <i r="1">
      <x v="6"/>
    </i>
    <i r="1">
      <x v="7"/>
    </i>
    <i r="1">
      <x v="8"/>
    </i>
    <i r="1">
      <x v="9"/>
    </i>
    <i r="1">
      <x v="10"/>
    </i>
    <i r="1">
      <x v="11"/>
    </i>
    <i r="1">
      <x v="12"/>
    </i>
    <i>
      <x v="15"/>
    </i>
    <i r="1">
      <x v="1"/>
    </i>
    <i r="1">
      <x v="2"/>
    </i>
    <i r="1">
      <x v="3"/>
    </i>
    <i r="1">
      <x v="4"/>
    </i>
    <i r="1">
      <x v="5"/>
    </i>
    <i r="1">
      <x v="6"/>
    </i>
    <i r="1">
      <x v="7"/>
    </i>
    <i r="1">
      <x v="8"/>
    </i>
    <i r="1">
      <x v="9"/>
    </i>
    <i r="1">
      <x v="10"/>
    </i>
    <i r="1">
      <x v="11"/>
    </i>
    <i r="1">
      <x v="12"/>
    </i>
    <i>
      <x v="16"/>
    </i>
    <i r="1">
      <x v="1"/>
    </i>
    <i r="1">
      <x v="2"/>
    </i>
    <i r="1">
      <x v="3"/>
    </i>
    <i r="1">
      <x v="4"/>
    </i>
    <i r="1">
      <x v="5"/>
    </i>
    <i r="1">
      <x v="6"/>
    </i>
    <i r="1">
      <x v="7"/>
    </i>
    <i r="1">
      <x v="8"/>
    </i>
    <i r="1">
      <x v="9"/>
    </i>
    <i r="1">
      <x v="10"/>
    </i>
    <i r="1">
      <x v="11"/>
    </i>
    <i r="1">
      <x v="12"/>
    </i>
    <i>
      <x v="17"/>
    </i>
    <i r="1">
      <x v="1"/>
    </i>
    <i r="1">
      <x v="2"/>
    </i>
    <i r="1">
      <x v="3"/>
    </i>
    <i r="1">
      <x v="4"/>
    </i>
    <i r="1">
      <x v="5"/>
    </i>
    <i r="1">
      <x v="6"/>
    </i>
    <i r="1">
      <x v="7"/>
    </i>
    <i r="1">
      <x v="8"/>
    </i>
    <i r="1">
      <x v="9"/>
    </i>
    <i r="1">
      <x v="10"/>
    </i>
    <i r="1">
      <x v="11"/>
    </i>
    <i r="1">
      <x v="12"/>
    </i>
    <i>
      <x v="18"/>
    </i>
    <i r="1">
      <x v="1"/>
    </i>
    <i r="1">
      <x v="2"/>
    </i>
    <i r="1">
      <x v="3"/>
    </i>
    <i r="1">
      <x v="4"/>
    </i>
    <i r="1">
      <x v="5"/>
    </i>
    <i r="1">
      <x v="6"/>
    </i>
    <i r="1">
      <x v="7"/>
    </i>
    <i r="1">
      <x v="8"/>
    </i>
    <i r="1">
      <x v="9"/>
    </i>
    <i r="1">
      <x v="10"/>
    </i>
    <i r="1">
      <x v="11"/>
    </i>
    <i r="1">
      <x v="12"/>
    </i>
    <i>
      <x v="19"/>
    </i>
    <i r="1">
      <x v="1"/>
    </i>
    <i r="1">
      <x v="2"/>
    </i>
    <i r="1">
      <x v="3"/>
    </i>
    <i r="1">
      <x v="4"/>
    </i>
    <i r="1">
      <x v="5"/>
    </i>
    <i r="1">
      <x v="6"/>
    </i>
    <i r="1">
      <x v="7"/>
    </i>
    <i r="1">
      <x v="8"/>
    </i>
    <i r="1">
      <x v="9"/>
    </i>
    <i r="1">
      <x v="10"/>
    </i>
    <i r="1">
      <x v="11"/>
    </i>
    <i r="1">
      <x v="12"/>
    </i>
    <i>
      <x v="20"/>
    </i>
    <i r="1">
      <x v="1"/>
    </i>
    <i r="1">
      <x v="2"/>
    </i>
    <i r="1">
      <x v="3"/>
    </i>
    <i r="1">
      <x v="4"/>
    </i>
    <i r="1">
      <x v="5"/>
    </i>
    <i r="1">
      <x v="6"/>
    </i>
    <i r="1">
      <x v="7"/>
    </i>
    <i r="1">
      <x v="8"/>
    </i>
    <i r="1">
      <x v="9"/>
    </i>
    <i r="1">
      <x v="10"/>
    </i>
    <i r="1">
      <x v="11"/>
    </i>
    <i r="1">
      <x v="12"/>
    </i>
    <i>
      <x v="21"/>
    </i>
    <i r="1">
      <x v="1"/>
    </i>
    <i r="1">
      <x v="2"/>
    </i>
    <i r="1">
      <x v="3"/>
    </i>
    <i r="1">
      <x v="4"/>
    </i>
    <i r="1">
      <x v="5"/>
    </i>
    <i r="1">
      <x v="6"/>
    </i>
    <i r="1">
      <x v="7"/>
    </i>
    <i r="1">
      <x v="8"/>
    </i>
    <i r="1">
      <x v="9"/>
    </i>
    <i r="1">
      <x v="10"/>
    </i>
    <i r="1">
      <x v="11"/>
    </i>
    <i r="1">
      <x v="12"/>
    </i>
    <i>
      <x v="22"/>
    </i>
    <i r="1">
      <x v="1"/>
    </i>
    <i r="1">
      <x v="2"/>
    </i>
    <i r="1">
      <x v="3"/>
    </i>
    <i r="1">
      <x v="4"/>
    </i>
    <i r="1">
      <x v="5"/>
    </i>
    <i r="1">
      <x v="6"/>
    </i>
    <i r="1">
      <x v="7"/>
    </i>
    <i r="1">
      <x v="8"/>
    </i>
    <i r="1">
      <x v="9"/>
    </i>
    <i r="1">
      <x v="10"/>
    </i>
    <i r="1">
      <x v="11"/>
    </i>
    <i r="1">
      <x v="12"/>
    </i>
    <i>
      <x v="23"/>
    </i>
    <i r="1">
      <x v="1"/>
    </i>
    <i r="1">
      <x v="2"/>
    </i>
    <i r="1">
      <x v="3"/>
    </i>
    <i r="1">
      <x v="4"/>
    </i>
    <i r="1">
      <x v="5"/>
    </i>
    <i r="1">
      <x v="6"/>
    </i>
    <i r="1">
      <x v="7"/>
    </i>
    <i r="1">
      <x v="8"/>
    </i>
    <i r="1">
      <x v="9"/>
    </i>
    <i r="1">
      <x v="10"/>
    </i>
    <i r="1">
      <x v="11"/>
    </i>
    <i r="1">
      <x v="12"/>
    </i>
    <i>
      <x v="24"/>
    </i>
    <i r="1">
      <x v="1"/>
    </i>
    <i r="1">
      <x v="3"/>
    </i>
    <i r="1">
      <x v="4"/>
    </i>
    <i r="1">
      <x v="5"/>
    </i>
    <i r="1">
      <x v="6"/>
    </i>
    <i r="1">
      <x v="7"/>
    </i>
    <i r="1">
      <x v="8"/>
    </i>
    <i r="1">
      <x v="9"/>
    </i>
    <i r="1">
      <x v="10"/>
    </i>
    <i r="1">
      <x v="11"/>
    </i>
    <i r="1">
      <x v="12"/>
    </i>
    <i>
      <x v="25"/>
    </i>
    <i r="1">
      <x v="1"/>
    </i>
    <i r="1">
      <x v="2"/>
    </i>
    <i r="1">
      <x v="3"/>
    </i>
    <i r="1">
      <x v="4"/>
    </i>
    <i r="1">
      <x v="5"/>
    </i>
    <i r="1">
      <x v="6"/>
    </i>
    <i r="1">
      <x v="7"/>
    </i>
    <i r="1">
      <x v="8"/>
    </i>
    <i r="1">
      <x v="9"/>
    </i>
    <i r="1">
      <x v="10"/>
    </i>
    <i r="1">
      <x v="11"/>
    </i>
    <i r="1">
      <x v="12"/>
    </i>
    <i>
      <x v="26"/>
    </i>
    <i r="1">
      <x v="1"/>
    </i>
    <i r="1">
      <x v="2"/>
    </i>
    <i r="1">
      <x v="3"/>
    </i>
    <i r="1">
      <x v="4"/>
    </i>
    <i r="1">
      <x v="5"/>
    </i>
    <i r="1">
      <x v="6"/>
    </i>
    <i r="1">
      <x v="7"/>
    </i>
    <i r="1">
      <x v="8"/>
    </i>
    <i r="1">
      <x v="9"/>
    </i>
    <i r="1">
      <x v="10"/>
    </i>
    <i r="1">
      <x v="11"/>
    </i>
    <i r="1">
      <x v="12"/>
    </i>
    <i>
      <x v="27"/>
    </i>
    <i r="1">
      <x v="1"/>
    </i>
    <i r="1">
      <x v="2"/>
    </i>
    <i r="1">
      <x v="3"/>
    </i>
    <i r="1">
      <x v="4"/>
    </i>
    <i r="1">
      <x v="5"/>
    </i>
    <i r="1">
      <x v="6"/>
    </i>
    <i r="1">
      <x v="7"/>
    </i>
    <i r="1">
      <x v="8"/>
    </i>
    <i r="1">
      <x v="9"/>
    </i>
    <i r="1">
      <x v="10"/>
    </i>
    <i r="1">
      <x v="11"/>
    </i>
    <i r="1">
      <x v="12"/>
    </i>
    <i>
      <x v="28"/>
    </i>
    <i r="1">
      <x v="1"/>
    </i>
    <i r="1">
      <x v="2"/>
    </i>
    <i r="1">
      <x v="3"/>
    </i>
    <i r="1">
      <x v="4"/>
    </i>
    <i r="1">
      <x v="5"/>
    </i>
    <i r="1">
      <x v="6"/>
    </i>
    <i r="1">
      <x v="7"/>
    </i>
    <i r="1">
      <x v="8"/>
    </i>
    <i r="1">
      <x v="9"/>
    </i>
    <i r="1">
      <x v="10"/>
    </i>
    <i r="1">
      <x v="11"/>
    </i>
    <i r="1">
      <x v="12"/>
    </i>
    <i>
      <x v="29"/>
    </i>
    <i r="1">
      <x v="1"/>
    </i>
    <i r="1">
      <x v="2"/>
    </i>
    <i r="1">
      <x v="3"/>
    </i>
    <i r="1">
      <x v="4"/>
    </i>
    <i r="1">
      <x v="5"/>
    </i>
    <i r="1">
      <x v="6"/>
    </i>
    <i r="1">
      <x v="7"/>
    </i>
    <i r="1">
      <x v="8"/>
    </i>
    <i r="1">
      <x v="9"/>
    </i>
    <i r="1">
      <x v="10"/>
    </i>
    <i r="1">
      <x v="11"/>
    </i>
    <i r="1">
      <x v="12"/>
    </i>
    <i>
      <x v="30"/>
    </i>
    <i r="1">
      <x v="1"/>
    </i>
    <i r="1">
      <x v="2"/>
    </i>
    <i r="1">
      <x v="3"/>
    </i>
    <i r="1">
      <x v="4"/>
    </i>
    <i r="1">
      <x v="5"/>
    </i>
    <i r="1">
      <x v="6"/>
    </i>
    <i r="1">
      <x v="7"/>
    </i>
    <i r="1">
      <x v="8"/>
    </i>
    <i r="1">
      <x v="9"/>
    </i>
    <i r="1">
      <x v="10"/>
    </i>
    <i r="1">
      <x v="11"/>
    </i>
    <i r="1">
      <x v="12"/>
    </i>
    <i>
      <x v="31"/>
    </i>
    <i r="1">
      <x v="1"/>
    </i>
    <i r="1">
      <x v="2"/>
    </i>
    <i r="1">
      <x v="3"/>
    </i>
    <i r="1">
      <x v="4"/>
    </i>
    <i r="1">
      <x v="5"/>
    </i>
    <i r="1">
      <x v="6"/>
    </i>
    <i r="1">
      <x v="7"/>
    </i>
    <i r="1">
      <x v="8"/>
    </i>
    <i r="1">
      <x v="9"/>
    </i>
    <i r="1">
      <x v="10"/>
    </i>
    <i r="1">
      <x v="11"/>
    </i>
    <i r="1">
      <x v="12"/>
    </i>
    <i>
      <x v="32"/>
    </i>
    <i r="1">
      <x v="1"/>
    </i>
    <i r="1">
      <x v="2"/>
    </i>
    <i r="1">
      <x v="3"/>
    </i>
    <i r="1">
      <x v="4"/>
    </i>
    <i r="1">
      <x v="5"/>
    </i>
    <i r="1">
      <x v="6"/>
    </i>
    <i r="1">
      <x v="7"/>
    </i>
    <i r="1">
      <x v="8"/>
    </i>
    <i r="1">
      <x v="9"/>
    </i>
    <i r="1">
      <x v="10"/>
    </i>
    <i r="1">
      <x v="11"/>
    </i>
    <i r="1">
      <x v="12"/>
    </i>
    <i>
      <x v="33"/>
    </i>
    <i r="1">
      <x v="1"/>
    </i>
    <i r="1">
      <x v="2"/>
    </i>
    <i r="1">
      <x v="3"/>
    </i>
    <i r="1">
      <x v="4"/>
    </i>
    <i r="1">
      <x v="5"/>
    </i>
    <i r="1">
      <x v="6"/>
    </i>
    <i r="1">
      <x v="7"/>
    </i>
    <i r="1">
      <x v="8"/>
    </i>
    <i r="1">
      <x v="9"/>
    </i>
    <i r="1">
      <x v="10"/>
    </i>
    <i r="1">
      <x v="11"/>
    </i>
    <i r="1">
      <x v="12"/>
    </i>
    <i>
      <x v="34"/>
    </i>
    <i r="1">
      <x v="1"/>
    </i>
    <i r="1">
      <x v="2"/>
    </i>
    <i r="1">
      <x v="3"/>
    </i>
    <i r="1">
      <x v="4"/>
    </i>
    <i r="1">
      <x v="5"/>
    </i>
    <i r="1">
      <x v="6"/>
    </i>
    <i r="1">
      <x v="7"/>
    </i>
    <i r="1">
      <x v="8"/>
    </i>
    <i r="1">
      <x v="9"/>
    </i>
    <i r="1">
      <x v="10"/>
    </i>
    <i r="1">
      <x v="11"/>
    </i>
    <i r="1">
      <x v="12"/>
    </i>
    <i>
      <x v="35"/>
    </i>
    <i r="1">
      <x v="1"/>
    </i>
    <i r="1">
      <x v="2"/>
    </i>
    <i r="1">
      <x v="3"/>
    </i>
    <i r="1">
      <x v="4"/>
    </i>
    <i r="1">
      <x v="5"/>
    </i>
    <i r="1">
      <x v="6"/>
    </i>
    <i r="1">
      <x v="7"/>
    </i>
    <i r="1">
      <x v="8"/>
    </i>
    <i r="1">
      <x v="9"/>
    </i>
    <i r="1">
      <x v="10"/>
    </i>
    <i r="1">
      <x v="11"/>
    </i>
    <i r="1">
      <x v="12"/>
    </i>
    <i>
      <x v="36"/>
    </i>
    <i r="1">
      <x v="1"/>
    </i>
    <i r="1">
      <x v="2"/>
    </i>
    <i r="1">
      <x v="3"/>
    </i>
    <i r="1">
      <x v="4"/>
    </i>
    <i r="1">
      <x v="5"/>
    </i>
    <i r="1">
      <x v="6"/>
    </i>
    <i r="1">
      <x v="7"/>
    </i>
    <i r="1">
      <x v="8"/>
    </i>
    <i r="1">
      <x v="9"/>
    </i>
    <i r="1">
      <x v="10"/>
    </i>
    <i r="1">
      <x v="11"/>
    </i>
    <i r="1">
      <x v="12"/>
    </i>
    <i>
      <x v="37"/>
    </i>
    <i r="1">
      <x v="1"/>
    </i>
    <i r="1">
      <x v="2"/>
    </i>
    <i r="1">
      <x v="3"/>
    </i>
    <i r="1">
      <x v="4"/>
    </i>
    <i r="1">
      <x v="5"/>
    </i>
    <i r="1">
      <x v="6"/>
    </i>
    <i r="1">
      <x v="7"/>
    </i>
    <i r="1">
      <x v="8"/>
    </i>
    <i r="1">
      <x v="9"/>
    </i>
    <i r="1">
      <x v="10"/>
    </i>
    <i r="1">
      <x v="11"/>
    </i>
    <i r="1">
      <x v="12"/>
    </i>
    <i>
      <x v="38"/>
    </i>
    <i r="1">
      <x v="1"/>
    </i>
    <i r="1">
      <x v="2"/>
    </i>
    <i r="1">
      <x v="3"/>
    </i>
    <i r="1">
      <x v="4"/>
    </i>
    <i r="1">
      <x v="5"/>
    </i>
    <i r="1">
      <x v="6"/>
    </i>
    <i r="1">
      <x v="7"/>
    </i>
    <i r="1">
      <x v="8"/>
    </i>
    <i r="1">
      <x v="9"/>
    </i>
    <i r="1">
      <x v="10"/>
    </i>
    <i r="1">
      <x v="11"/>
    </i>
    <i r="1">
      <x v="12"/>
    </i>
    <i>
      <x v="39"/>
    </i>
    <i r="1">
      <x v="1"/>
    </i>
    <i r="1">
      <x v="2"/>
    </i>
    <i r="1">
      <x v="3"/>
    </i>
    <i r="1">
      <x v="4"/>
    </i>
    <i r="1">
      <x v="5"/>
    </i>
    <i r="1">
      <x v="6"/>
    </i>
    <i r="1">
      <x v="7"/>
    </i>
    <i r="1">
      <x v="8"/>
    </i>
    <i r="1">
      <x v="9"/>
    </i>
    <i r="1">
      <x v="10"/>
    </i>
    <i r="1">
      <x v="11"/>
    </i>
    <i r="1">
      <x v="12"/>
    </i>
    <i>
      <x v="40"/>
    </i>
    <i r="1">
      <x v="1"/>
    </i>
    <i r="1">
      <x v="2"/>
    </i>
    <i r="1">
      <x v="3"/>
    </i>
    <i r="1">
      <x v="4"/>
    </i>
    <i r="1">
      <x v="5"/>
    </i>
    <i r="1">
      <x v="6"/>
    </i>
    <i r="1">
      <x v="7"/>
    </i>
    <i r="1">
      <x v="8"/>
    </i>
    <i r="1">
      <x v="9"/>
    </i>
    <i r="1">
      <x v="10"/>
    </i>
    <i r="1">
      <x v="11"/>
    </i>
    <i r="1">
      <x v="12"/>
    </i>
    <i>
      <x v="41"/>
    </i>
    <i r="1">
      <x v="1"/>
    </i>
    <i r="1">
      <x v="3"/>
    </i>
    <i r="1">
      <x v="4"/>
    </i>
    <i r="1">
      <x v="5"/>
    </i>
    <i r="1">
      <x v="6"/>
    </i>
    <i r="1">
      <x v="7"/>
    </i>
    <i r="1">
      <x v="8"/>
    </i>
    <i r="1">
      <x v="9"/>
    </i>
    <i r="1">
      <x v="10"/>
    </i>
    <i r="1">
      <x v="11"/>
    </i>
    <i r="1">
      <x v="12"/>
    </i>
    <i t="grand">
      <x/>
    </i>
  </rowItems>
  <colItems count="1">
    <i/>
  </colItems>
  <dataFields count="1">
    <dataField name="Sum of Units_Sol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6A6AD2-78D7-4EA8-8EEE-D3C391BDD52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05" firstHeaderRow="1"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items count="6">
        <item x="3"/>
        <item x="1"/>
        <item x="0"/>
        <item x="2"/>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2">
    <field x="17"/>
    <field x="18"/>
  </rowFields>
  <rowItems count="50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2"/>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5"/>
    </i>
    <i r="1">
      <x v="26"/>
    </i>
    <i r="1">
      <x v="27"/>
    </i>
    <i r="1">
      <x v="28"/>
    </i>
    <i r="1">
      <x v="29"/>
    </i>
    <i r="1">
      <x v="30"/>
    </i>
    <i r="1">
      <x v="31"/>
    </i>
    <i r="1">
      <x v="32"/>
    </i>
    <i r="1">
      <x v="33"/>
    </i>
    <i r="1">
      <x v="34"/>
    </i>
    <i r="1">
      <x v="35"/>
    </i>
    <i r="1">
      <x v="36"/>
    </i>
    <i r="1">
      <x v="37"/>
    </i>
    <i r="1">
      <x v="38"/>
    </i>
    <i r="1">
      <x v="39"/>
    </i>
    <i r="1">
      <x v="40"/>
    </i>
    <i>
      <x v="3"/>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4"/>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5"/>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6"/>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7"/>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8"/>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9"/>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0"/>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2"/>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t="grand">
      <x/>
    </i>
  </rowItems>
  <colItems count="1">
    <i/>
  </colItems>
  <dataFields count="1">
    <dataField name="Sum of Units_Sold" fld="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0987C5-2E67-470C-B974-E58BE3605BA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505" firstHeaderRow="1"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pivotField showAll="0"/>
    <pivotField showAll="0"/>
    <pivotField showAll="0"/>
    <pivotField showAll="0"/>
    <pivotField showAll="0">
      <items count="5">
        <item h="1" x="0"/>
        <item x="3"/>
        <item h="1" x="1"/>
        <item h="1" x="2"/>
        <item t="default"/>
      </items>
    </pivotField>
    <pivotField dataField="1" showAll="0"/>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2">
    <field x="17"/>
    <field x="18"/>
  </rowFields>
  <rowItems count="50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2"/>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5"/>
    </i>
    <i r="1">
      <x v="26"/>
    </i>
    <i r="1">
      <x v="27"/>
    </i>
    <i r="1">
      <x v="28"/>
    </i>
    <i r="1">
      <x v="29"/>
    </i>
    <i r="1">
      <x v="30"/>
    </i>
    <i r="1">
      <x v="31"/>
    </i>
    <i r="1">
      <x v="32"/>
    </i>
    <i r="1">
      <x v="33"/>
    </i>
    <i r="1">
      <x v="34"/>
    </i>
    <i r="1">
      <x v="35"/>
    </i>
    <i r="1">
      <x v="36"/>
    </i>
    <i r="1">
      <x v="37"/>
    </i>
    <i r="1">
      <x v="38"/>
    </i>
    <i r="1">
      <x v="39"/>
    </i>
    <i r="1">
      <x v="40"/>
    </i>
    <i>
      <x v="3"/>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4"/>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5"/>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6"/>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7"/>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8"/>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9"/>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0"/>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2"/>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t="grand">
      <x/>
    </i>
  </rowItems>
  <colItems count="1">
    <i/>
  </colItems>
  <dataFields count="1">
    <dataField name="Sum of Average_Price" fld="7"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4D01F3-EDBE-4B6F-B089-B0C79B4F161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505" firstHeaderRow="0"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items count="6">
        <item x="3"/>
        <item x="1"/>
        <item x="0"/>
        <item x="2"/>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2">
    <field x="17"/>
    <field x="18"/>
  </rowFields>
  <rowItems count="50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2"/>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5"/>
    </i>
    <i r="1">
      <x v="26"/>
    </i>
    <i r="1">
      <x v="27"/>
    </i>
    <i r="1">
      <x v="28"/>
    </i>
    <i r="1">
      <x v="29"/>
    </i>
    <i r="1">
      <x v="30"/>
    </i>
    <i r="1">
      <x v="31"/>
    </i>
    <i r="1">
      <x v="32"/>
    </i>
    <i r="1">
      <x v="33"/>
    </i>
    <i r="1">
      <x v="34"/>
    </i>
    <i r="1">
      <x v="35"/>
    </i>
    <i r="1">
      <x v="36"/>
    </i>
    <i r="1">
      <x v="37"/>
    </i>
    <i r="1">
      <x v="38"/>
    </i>
    <i r="1">
      <x v="39"/>
    </i>
    <i r="1">
      <x v="40"/>
    </i>
    <i>
      <x v="3"/>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4"/>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5"/>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6"/>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7"/>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8"/>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9"/>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0"/>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x v="12"/>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t="grand">
      <x/>
    </i>
  </rowItems>
  <colFields count="1">
    <field x="-2"/>
  </colFields>
  <colItems count="2">
    <i>
      <x/>
    </i>
    <i i="1">
      <x v="1"/>
    </i>
  </colItems>
  <dataFields count="2">
    <dataField name="Sum of Marketing_Spend" fld="12" baseField="0" baseItem="0"/>
    <dataField name="Sum of Online_Interest_Index" fld="14"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D0C638-29D4-447F-8F16-69294620B75C}"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6" firstHeaderRow="1" firstDataRow="1" firstDataCol="1"/>
  <pivotFields count="10">
    <pivotField numFmtId="14" showAll="0"/>
    <pivotField showAll="0"/>
    <pivotField showAll="0"/>
    <pivotField showAll="0"/>
    <pivotField dataField="1" showAll="0"/>
    <pivotField axis="axisRow" showAll="0">
      <items count="13">
        <item x="7"/>
        <item x="2"/>
        <item x="8"/>
        <item x="0"/>
        <item x="9"/>
        <item x="3"/>
        <item x="1"/>
        <item x="6"/>
        <item x="5"/>
        <item x="4"/>
        <item x="11"/>
        <item x="10"/>
        <item t="default"/>
      </items>
    </pivotField>
    <pivotField showAll="0"/>
    <pivotField showAll="0">
      <items count="6">
        <item x="0"/>
        <item x="1"/>
        <item x="4"/>
        <item x="2"/>
        <item x="3"/>
        <item t="default"/>
      </items>
    </pivotField>
    <pivotField showAll="0"/>
    <pivotField showAll="0"/>
  </pivotFields>
  <rowFields count="1">
    <field x="5"/>
  </rowFields>
  <rowItems count="13">
    <i>
      <x/>
    </i>
    <i>
      <x v="1"/>
    </i>
    <i>
      <x v="2"/>
    </i>
    <i>
      <x v="3"/>
    </i>
    <i>
      <x v="4"/>
    </i>
    <i>
      <x v="5"/>
    </i>
    <i>
      <x v="6"/>
    </i>
    <i>
      <x v="7"/>
    </i>
    <i>
      <x v="8"/>
    </i>
    <i>
      <x v="9"/>
    </i>
    <i>
      <x v="10"/>
    </i>
    <i>
      <x v="11"/>
    </i>
    <i t="grand">
      <x/>
    </i>
  </rowItems>
  <colItems count="1">
    <i/>
  </colItems>
  <dataFields count="1">
    <dataField name="Sum of Units_Sold" fld="4" baseField="0" baseItem="0"/>
  </dataField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56F661-F629-4ED9-9679-C5ADF9FD52DA}"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10">
    <pivotField numFmtId="14" showAll="0"/>
    <pivotField showAll="0"/>
    <pivotField showAll="0">
      <items count="5">
        <item x="2"/>
        <item x="1"/>
        <item x="0"/>
        <item x="3"/>
        <item t="default"/>
      </items>
    </pivotField>
    <pivotField showAll="0"/>
    <pivotField showAll="0"/>
    <pivotField axis="axisRow" showAll="0">
      <items count="13">
        <item x="7"/>
        <item x="2"/>
        <item x="8"/>
        <item x="0"/>
        <item x="9"/>
        <item x="3"/>
        <item x="1"/>
        <item x="6"/>
        <item x="5"/>
        <item x="4"/>
        <item x="11"/>
        <item x="10"/>
        <item t="default"/>
      </items>
    </pivotField>
    <pivotField dataField="1" showAll="0"/>
    <pivotField showAll="0"/>
    <pivotField showAll="0"/>
    <pivotField showAll="0"/>
  </pivotFields>
  <rowFields count="1">
    <field x="5"/>
  </rowFields>
  <rowItems count="13">
    <i>
      <x/>
    </i>
    <i>
      <x v="1"/>
    </i>
    <i>
      <x v="2"/>
    </i>
    <i>
      <x v="3"/>
    </i>
    <i>
      <x v="4"/>
    </i>
    <i>
      <x v="5"/>
    </i>
    <i>
      <x v="6"/>
    </i>
    <i>
      <x v="7"/>
    </i>
    <i>
      <x v="8"/>
    </i>
    <i>
      <x v="9"/>
    </i>
    <i>
      <x v="10"/>
    </i>
    <i>
      <x v="11"/>
    </i>
    <i t="grand">
      <x/>
    </i>
  </rowItems>
  <colItems count="1">
    <i/>
  </colItems>
  <dataFields count="1">
    <dataField name="Sum of Marketing_Spend" fld="6" baseField="0" baseItem="0"/>
  </dataFields>
  <chartFormats count="2">
    <chartFormat chart="4"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83FB5F-FA33-4D3A-B917-764D702F3F6B}"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0">
    <pivotField numFmtId="14" showAll="0"/>
    <pivotField showAll="0">
      <items count="6">
        <item x="3"/>
        <item x="1"/>
        <item x="0"/>
        <item x="2"/>
        <item x="4"/>
        <item t="default"/>
      </items>
    </pivotField>
    <pivotField showAll="0"/>
    <pivotField showAll="0"/>
    <pivotField showAll="0"/>
    <pivotField showAll="0"/>
    <pivotField dataField="1" showAll="0"/>
    <pivotField axis="axisRow" showAll="0">
      <items count="6">
        <item x="0"/>
        <item x="1"/>
        <item x="4"/>
        <item x="2"/>
        <item x="3"/>
        <item t="default"/>
      </items>
    </pivotField>
    <pivotField showAll="0"/>
    <pivotField showAll="0"/>
  </pivotFields>
  <rowFields count="1">
    <field x="7"/>
  </rowFields>
  <rowItems count="6">
    <i>
      <x/>
    </i>
    <i>
      <x v="1"/>
    </i>
    <i>
      <x v="2"/>
    </i>
    <i>
      <x v="3"/>
    </i>
    <i>
      <x v="4"/>
    </i>
    <i t="grand">
      <x/>
    </i>
  </rowItems>
  <colItems count="1">
    <i/>
  </colItems>
  <dataFields count="1">
    <dataField name="Sum of Marketing_Spend" fld="6" baseField="0" baseItem="0"/>
  </dataFields>
  <chartFormats count="12">
    <chartFormat chart="2"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7" count="1" selected="0">
            <x v="0"/>
          </reference>
        </references>
      </pivotArea>
    </chartFormat>
    <chartFormat chart="4" format="9">
      <pivotArea type="data" outline="0" fieldPosition="0">
        <references count="2">
          <reference field="4294967294" count="1" selected="0">
            <x v="0"/>
          </reference>
          <reference field="7" count="1" selected="0">
            <x v="1"/>
          </reference>
        </references>
      </pivotArea>
    </chartFormat>
    <chartFormat chart="4" format="10">
      <pivotArea type="data" outline="0" fieldPosition="0">
        <references count="2">
          <reference field="4294967294" count="1" selected="0">
            <x v="0"/>
          </reference>
          <reference field="7" count="1" selected="0">
            <x v="2"/>
          </reference>
        </references>
      </pivotArea>
    </chartFormat>
    <chartFormat chart="4" format="11">
      <pivotArea type="data" outline="0" fieldPosition="0">
        <references count="2">
          <reference field="4294967294" count="1" selected="0">
            <x v="0"/>
          </reference>
          <reference field="7" count="1" selected="0">
            <x v="3"/>
          </reference>
        </references>
      </pivotArea>
    </chartFormat>
    <chartFormat chart="4" format="12">
      <pivotArea type="data" outline="0" fieldPosition="0">
        <references count="2">
          <reference field="4294967294" count="1" selected="0">
            <x v="0"/>
          </reference>
          <reference field="7" count="1" selected="0">
            <x v="4"/>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2" format="4">
      <pivotArea type="data" outline="0" fieldPosition="0">
        <references count="2">
          <reference field="4294967294" count="1" selected="0">
            <x v="0"/>
          </reference>
          <reference field="7" count="1" selected="0">
            <x v="3"/>
          </reference>
        </references>
      </pivotArea>
    </chartFormat>
    <chartFormat chart="2" format="5">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2F6B6C-6FD9-4D83-97A2-9CAFDA9B6DA0}"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0">
    <pivotField numFmtId="14" showAll="0"/>
    <pivotField showAll="0">
      <items count="6">
        <item x="3"/>
        <item x="1"/>
        <item x="0"/>
        <item x="2"/>
        <item x="4"/>
        <item t="default"/>
      </items>
    </pivotField>
    <pivotField showAll="0">
      <items count="5">
        <item x="2"/>
        <item x="1"/>
        <item x="0"/>
        <item x="3"/>
        <item t="default"/>
      </items>
    </pivotField>
    <pivotField showAll="0"/>
    <pivotField showAll="0"/>
    <pivotField axis="axisRow" showAll="0">
      <items count="13">
        <item x="7"/>
        <item x="2"/>
        <item x="8"/>
        <item x="0"/>
        <item x="9"/>
        <item x="3"/>
        <item x="1"/>
        <item x="6"/>
        <item x="5"/>
        <item x="4"/>
        <item x="11"/>
        <item x="10"/>
        <item t="default"/>
      </items>
    </pivotField>
    <pivotField showAll="0"/>
    <pivotField showAll="0"/>
    <pivotField showAll="0"/>
    <pivotField dataField="1" showAll="0"/>
  </pivotFields>
  <rowFields count="1">
    <field x="5"/>
  </rowFields>
  <rowItems count="13">
    <i>
      <x/>
    </i>
    <i>
      <x v="1"/>
    </i>
    <i>
      <x v="2"/>
    </i>
    <i>
      <x v="3"/>
    </i>
    <i>
      <x v="4"/>
    </i>
    <i>
      <x v="5"/>
    </i>
    <i>
      <x v="6"/>
    </i>
    <i>
      <x v="7"/>
    </i>
    <i>
      <x v="8"/>
    </i>
    <i>
      <x v="9"/>
    </i>
    <i>
      <x v="10"/>
    </i>
    <i>
      <x v="11"/>
    </i>
    <i t="grand">
      <x/>
    </i>
  </rowItems>
  <colItems count="1">
    <i/>
  </colItems>
  <dataFields count="1">
    <dataField name="Sum of Cost per Unit Sold:" fld="9" baseField="0" baseItem="0"/>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0DA99A-0AF3-4384-9A71-1488805B80D2}"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8" firstHeaderRow="1"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Row" showAll="0">
      <items count="6">
        <item x="3"/>
        <item x="1"/>
        <item x="0"/>
        <item x="2"/>
        <item x="4"/>
        <item t="default"/>
      </items>
    </pivotField>
    <pivotField showAll="0"/>
    <pivotField showAll="0"/>
    <pivotField dataField="1" showAll="0"/>
    <pivotField showAll="0"/>
    <pivotField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1"/>
  </rowFields>
  <rowItems count="5">
    <i>
      <x/>
    </i>
    <i>
      <x v="1"/>
    </i>
    <i>
      <x v="3"/>
    </i>
    <i>
      <x v="4"/>
    </i>
    <i t="grand">
      <x/>
    </i>
  </rowItems>
  <colItems count="1">
    <i/>
  </colItems>
  <dataFields count="1">
    <dataField name="Sum of Units_Sold" fld="4" baseField="0" baseItem="0"/>
  </dataFields>
  <chartFormats count="2">
    <chartFormat chart="1"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15" name="Date">
      <autoFilter ref="A1">
        <filterColumn colId="0">
          <customFilters and="1">
            <customFilter operator="greaterThanOrEqual" val="51136"/>
            <customFilter operator="lessThanOrEqual" val="5150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98C1CD-1824-4405-82A3-754510FE7209}"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8">
  <location ref="A3:B16" firstHeaderRow="1"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items count="6">
        <item x="3"/>
        <item x="1"/>
        <item h="1" x="0"/>
        <item x="2"/>
        <item x="4"/>
        <item t="default"/>
      </items>
    </pivotField>
    <pivotField axis="axisRow" showAll="0">
      <items count="13">
        <item x="0"/>
        <item x="11"/>
        <item x="1"/>
        <item x="2"/>
        <item x="3"/>
        <item x="4"/>
        <item x="5"/>
        <item x="6"/>
        <item x="7"/>
        <item x="8"/>
        <item x="9"/>
        <item x="1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Units_Sold" fld="4" baseField="2" baseItem="0"/>
  </dataFields>
  <chartFormats count="3">
    <chartFormat chart="1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15" name="Date">
      <autoFilter ref="A1">
        <filterColumn colId="0">
          <customFilters and="1">
            <customFilter operator="greaterThanOrEqual" val="51136"/>
            <customFilter operator="lessThanOrEqual" val="5150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052201-468D-43E5-BC72-35E01628898B}"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8">
  <location ref="A3:B8" firstHeaderRow="1"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Row" showAll="0">
      <items count="6">
        <item x="3"/>
        <item x="1"/>
        <item x="0"/>
        <item x="2"/>
        <item x="4"/>
        <item t="default"/>
      </items>
    </pivotField>
    <pivotField showAll="0"/>
    <pivotField showAll="0"/>
    <pivotField showAll="0"/>
    <pivotField showAll="0"/>
    <pivotField showAll="0">
      <items count="5">
        <item x="0"/>
        <item x="3"/>
        <item x="1"/>
        <item x="2"/>
        <item t="default"/>
      </items>
    </pivotField>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1"/>
  </rowFields>
  <rowItems count="5">
    <i>
      <x/>
    </i>
    <i>
      <x v="1"/>
    </i>
    <i>
      <x v="3"/>
    </i>
    <i>
      <x v="4"/>
    </i>
    <i t="grand">
      <x/>
    </i>
  </rowItems>
  <colItems count="1">
    <i/>
  </colItems>
  <dataFields count="1">
    <dataField name="Sum of Marketing_Spend" fld="12" baseField="0" baseItem="0"/>
  </dataFields>
  <chartFormats count="12">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 count="1" selected="0">
            <x v="0"/>
          </reference>
        </references>
      </pivotArea>
    </chartFormat>
    <chartFormat chart="19" format="2">
      <pivotArea type="data" outline="0" fieldPosition="0">
        <references count="2">
          <reference field="4294967294" count="1" selected="0">
            <x v="0"/>
          </reference>
          <reference field="1" count="1" selected="0">
            <x v="1"/>
          </reference>
        </references>
      </pivotArea>
    </chartFormat>
    <chartFormat chart="19" format="3">
      <pivotArea type="data" outline="0" fieldPosition="0">
        <references count="2">
          <reference field="4294967294" count="1" selected="0">
            <x v="0"/>
          </reference>
          <reference field="1" count="1" selected="0">
            <x v="2"/>
          </reference>
        </references>
      </pivotArea>
    </chartFormat>
    <chartFormat chart="19" format="4">
      <pivotArea type="data" outline="0" fieldPosition="0">
        <references count="2">
          <reference field="4294967294" count="1" selected="0">
            <x v="0"/>
          </reference>
          <reference field="1" count="1" selected="0">
            <x v="3"/>
          </reference>
        </references>
      </pivotArea>
    </chartFormat>
    <chartFormat chart="19" format="5">
      <pivotArea type="data" outline="0" fieldPosition="0">
        <references count="2">
          <reference field="4294967294" count="1" selected="0">
            <x v="0"/>
          </reference>
          <reference field="1" count="1" selected="0">
            <x v="4"/>
          </reference>
        </references>
      </pivotArea>
    </chartFormat>
    <chartFormat chart="25" format="12" series="1">
      <pivotArea type="data" outline="0" fieldPosition="0">
        <references count="1">
          <reference field="4294967294" count="1" selected="0">
            <x v="0"/>
          </reference>
        </references>
      </pivotArea>
    </chartFormat>
    <chartFormat chart="25" format="13">
      <pivotArea type="data" outline="0" fieldPosition="0">
        <references count="2">
          <reference field="4294967294" count="1" selected="0">
            <x v="0"/>
          </reference>
          <reference field="1" count="1" selected="0">
            <x v="0"/>
          </reference>
        </references>
      </pivotArea>
    </chartFormat>
    <chartFormat chart="25" format="14">
      <pivotArea type="data" outline="0" fieldPosition="0">
        <references count="2">
          <reference field="4294967294" count="1" selected="0">
            <x v="0"/>
          </reference>
          <reference field="1" count="1" selected="0">
            <x v="1"/>
          </reference>
        </references>
      </pivotArea>
    </chartFormat>
    <chartFormat chart="25" format="15">
      <pivotArea type="data" outline="0" fieldPosition="0">
        <references count="2">
          <reference field="4294967294" count="1" selected="0">
            <x v="0"/>
          </reference>
          <reference field="1" count="1" selected="0">
            <x v="2"/>
          </reference>
        </references>
      </pivotArea>
    </chartFormat>
    <chartFormat chart="25" format="16">
      <pivotArea type="data" outline="0" fieldPosition="0">
        <references count="2">
          <reference field="4294967294" count="1" selected="0">
            <x v="0"/>
          </reference>
          <reference field="1" count="1" selected="0">
            <x v="3"/>
          </reference>
        </references>
      </pivotArea>
    </chartFormat>
    <chartFormat chart="25" format="17">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filters count="1">
    <filter fld="0" type="dateBetween" evalOrder="-1" id="215" name="Date">
      <autoFilter ref="A1">
        <filterColumn colId="0">
          <customFilters and="1">
            <customFilter operator="greaterThanOrEqual" val="51136"/>
            <customFilter operator="lessThanOrEqual" val="5150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74F1E70-B384-4821-A01D-AD89887323E6}"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A3:B6" firstHeaderRow="1"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items count="6">
        <item h="1" x="3"/>
        <item h="1" x="1"/>
        <item h="1" x="0"/>
        <item x="2"/>
        <item h="1" x="4"/>
        <item t="default"/>
      </items>
    </pivotField>
    <pivotField showAll="0"/>
    <pivotField showAll="0"/>
    <pivotField dataField="1" showAll="0"/>
    <pivotField showAll="0"/>
    <pivotField axis="axisRow"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6"/>
  </rowFields>
  <rowItems count="3">
    <i>
      <x/>
    </i>
    <i>
      <x v="2"/>
    </i>
    <i t="grand">
      <x/>
    </i>
  </rowItems>
  <colItems count="1">
    <i/>
  </colItems>
  <dataFields count="1">
    <dataField name="Average of Units_Sold" fld="4" subtotal="average" baseField="5" baseItem="0"/>
  </dataFields>
  <chartFormats count="6">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6" count="1" selected="0">
            <x v="1"/>
          </reference>
        </references>
      </pivotArea>
    </chartFormat>
    <chartFormat chart="12" format="2">
      <pivotArea type="data" outline="0" fieldPosition="0">
        <references count="2">
          <reference field="4294967294" count="1" selected="0">
            <x v="0"/>
          </reference>
          <reference field="6" count="1" selected="0">
            <x v="2"/>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6" count="1" selected="0">
            <x v="1"/>
          </reference>
        </references>
      </pivotArea>
    </chartFormat>
    <chartFormat chart="26"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1">
    <filter fld="0" type="dateBetween" evalOrder="-1" id="215" name="Date">
      <autoFilter ref="A1">
        <filterColumn colId="0">
          <customFilters and="1">
            <customFilter operator="greaterThanOrEqual" val="51136"/>
            <customFilter operator="lessThanOrEqual" val="5150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127A84C-D1C6-407C-8BD6-04C67A78411F}"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B15" firstHeaderRow="1"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items count="6">
        <item x="3"/>
        <item x="1"/>
        <item x="0"/>
        <item x="2"/>
        <item x="4"/>
        <item t="default"/>
      </items>
    </pivotField>
    <pivotField showAll="0"/>
    <pivotField showAll="0"/>
    <pivotField axis="axisRow" showAll="0">
      <items count="67">
        <item x="64"/>
        <item x="15"/>
        <item x="36"/>
        <item x="49"/>
        <item x="57"/>
        <item x="47"/>
        <item x="51"/>
        <item x="50"/>
        <item x="14"/>
        <item x="39"/>
        <item x="11"/>
        <item x="18"/>
        <item x="2"/>
        <item x="38"/>
        <item x="5"/>
        <item x="31"/>
        <item x="12"/>
        <item x="17"/>
        <item x="6"/>
        <item x="22"/>
        <item x="0"/>
        <item x="26"/>
        <item x="7"/>
        <item x="8"/>
        <item x="34"/>
        <item x="13"/>
        <item x="41"/>
        <item x="3"/>
        <item x="29"/>
        <item x="10"/>
        <item x="20"/>
        <item x="1"/>
        <item x="19"/>
        <item x="40"/>
        <item x="32"/>
        <item x="4"/>
        <item x="44"/>
        <item x="21"/>
        <item x="23"/>
        <item x="30"/>
        <item x="25"/>
        <item x="43"/>
        <item x="28"/>
        <item x="45"/>
        <item x="37"/>
        <item x="33"/>
        <item x="53"/>
        <item x="48"/>
        <item x="54"/>
        <item x="35"/>
        <item x="9"/>
        <item x="16"/>
        <item x="24"/>
        <item x="27"/>
        <item x="42"/>
        <item x="46"/>
        <item x="52"/>
        <item x="55"/>
        <item x="56"/>
        <item x="58"/>
        <item x="59"/>
        <item x="60"/>
        <item x="61"/>
        <item x="62"/>
        <item x="63"/>
        <item x="6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4"/>
  </rowFields>
  <rowItems count="12">
    <i>
      <x v="11"/>
    </i>
    <i>
      <x v="13"/>
    </i>
    <i>
      <x v="14"/>
    </i>
    <i>
      <x v="16"/>
    </i>
    <i>
      <x v="20"/>
    </i>
    <i>
      <x v="21"/>
    </i>
    <i>
      <x v="22"/>
    </i>
    <i>
      <x v="29"/>
    </i>
    <i>
      <x v="32"/>
    </i>
    <i>
      <x v="40"/>
    </i>
    <i>
      <x v="60"/>
    </i>
    <i t="grand">
      <x/>
    </i>
  </rowItems>
  <colItems count="1">
    <i/>
  </colItems>
  <dataFields count="1">
    <dataField name="Average of Average_Price" fld="7" subtotal="average" baseField="3" baseItem="0"/>
  </dataFields>
  <pivotTableStyleInfo name="PivotStyleLight16" showRowHeaders="1" showColHeaders="1" showRowStripes="0" showColStripes="0" showLastColumn="1"/>
  <filters count="1">
    <filter fld="0" type="dateBetween" evalOrder="-1" id="215" name="Date">
      <autoFilter ref="A1">
        <filterColumn colId="0">
          <customFilters and="1">
            <customFilter operator="greaterThanOrEqual" val="51136"/>
            <customFilter operator="lessThanOrEqual" val="5150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73D8612-400E-4139-A758-0FA9AF53FD8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location ref="A3:D9" firstHeaderRow="0" firstDataRow="1" firstDataCol="1" rowPageCount="1" colPageCount="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Row" showAll="0">
      <items count="6">
        <item x="3"/>
        <item x="1"/>
        <item x="0"/>
        <item x="2"/>
        <item x="4"/>
        <item t="default"/>
      </items>
    </pivotField>
    <pivotField showAll="0"/>
    <pivotField showAll="0"/>
    <pivotField dataField="1" showAll="0"/>
    <pivotField showAll="0"/>
    <pivotField showAll="0"/>
    <pivotField dataField="1" showAll="0"/>
    <pivotField axis="axisPage" showAll="0">
      <items count="478">
        <item x="313"/>
        <item x="134"/>
        <item x="165"/>
        <item x="276"/>
        <item x="375"/>
        <item x="229"/>
        <item x="470"/>
        <item x="398"/>
        <item x="352"/>
        <item x="87"/>
        <item x="315"/>
        <item x="365"/>
        <item x="464"/>
        <item x="105"/>
        <item x="61"/>
        <item x="29"/>
        <item x="417"/>
        <item x="431"/>
        <item x="419"/>
        <item x="299"/>
        <item x="147"/>
        <item x="325"/>
        <item x="109"/>
        <item x="366"/>
        <item x="368"/>
        <item x="456"/>
        <item x="182"/>
        <item x="139"/>
        <item x="62"/>
        <item x="364"/>
        <item x="344"/>
        <item x="347"/>
        <item x="192"/>
        <item x="60"/>
        <item x="342"/>
        <item x="144"/>
        <item x="258"/>
        <item x="337"/>
        <item x="17"/>
        <item x="142"/>
        <item x="35"/>
        <item x="42"/>
        <item x="458"/>
        <item x="407"/>
        <item x="112"/>
        <item x="393"/>
        <item x="84"/>
        <item x="457"/>
        <item x="103"/>
        <item x="423"/>
        <item x="1"/>
        <item x="421"/>
        <item x="383"/>
        <item x="472"/>
        <item x="161"/>
        <item x="301"/>
        <item x="210"/>
        <item x="300"/>
        <item x="401"/>
        <item x="92"/>
        <item x="153"/>
        <item x="166"/>
        <item x="225"/>
        <item x="261"/>
        <item x="233"/>
        <item x="377"/>
        <item x="273"/>
        <item x="97"/>
        <item x="207"/>
        <item x="176"/>
        <item x="288"/>
        <item x="307"/>
        <item x="239"/>
        <item x="475"/>
        <item x="248"/>
        <item x="374"/>
        <item x="52"/>
        <item x="403"/>
        <item x="37"/>
        <item x="202"/>
        <item x="327"/>
        <item x="159"/>
        <item x="126"/>
        <item x="76"/>
        <item x="150"/>
        <item x="437"/>
        <item x="432"/>
        <item x="130"/>
        <item x="174"/>
        <item x="358"/>
        <item x="466"/>
        <item x="48"/>
        <item x="349"/>
        <item x="356"/>
        <item x="188"/>
        <item x="133"/>
        <item x="336"/>
        <item x="149"/>
        <item x="170"/>
        <item x="376"/>
        <item x="86"/>
        <item x="363"/>
        <item x="341"/>
        <item x="262"/>
        <item x="410"/>
        <item x="194"/>
        <item x="19"/>
        <item x="381"/>
        <item x="406"/>
        <item x="173"/>
        <item x="203"/>
        <item x="334"/>
        <item x="467"/>
        <item x="391"/>
        <item x="338"/>
        <item x="45"/>
        <item x="230"/>
        <item x="118"/>
        <item x="7"/>
        <item x="38"/>
        <item x="66"/>
        <item x="429"/>
        <item x="64"/>
        <item x="75"/>
        <item x="399"/>
        <item x="465"/>
        <item x="290"/>
        <item x="278"/>
        <item x="111"/>
        <item x="140"/>
        <item x="20"/>
        <item x="234"/>
        <item x="102"/>
        <item x="175"/>
        <item x="256"/>
        <item x="439"/>
        <item x="469"/>
        <item x="108"/>
        <item x="251"/>
        <item x="117"/>
        <item x="79"/>
        <item x="197"/>
        <item x="53"/>
        <item x="442"/>
        <item x="283"/>
        <item x="245"/>
        <item x="340"/>
        <item x="189"/>
        <item x="422"/>
        <item x="206"/>
        <item x="57"/>
        <item x="238"/>
        <item x="55"/>
        <item x="98"/>
        <item x="445"/>
        <item x="158"/>
        <item x="237"/>
        <item x="222"/>
        <item x="295"/>
        <item x="205"/>
        <item x="451"/>
        <item x="241"/>
        <item x="357"/>
        <item x="348"/>
        <item x="425"/>
        <item x="297"/>
        <item x="449"/>
        <item x="223"/>
        <item x="181"/>
        <item x="3"/>
        <item x="131"/>
        <item x="373"/>
        <item x="285"/>
        <item x="254"/>
        <item x="446"/>
        <item x="180"/>
        <item x="411"/>
        <item x="10"/>
        <item x="326"/>
        <item x="270"/>
        <item x="236"/>
        <item x="96"/>
        <item x="127"/>
        <item x="380"/>
        <item x="294"/>
        <item x="2"/>
        <item x="424"/>
        <item x="430"/>
        <item x="36"/>
        <item x="396"/>
        <item x="125"/>
        <item x="85"/>
        <item x="216"/>
        <item x="171"/>
        <item x="185"/>
        <item x="329"/>
        <item x="78"/>
        <item x="304"/>
        <item x="468"/>
        <item x="8"/>
        <item x="354"/>
        <item x="107"/>
        <item x="34"/>
        <item x="318"/>
        <item x="414"/>
        <item x="46"/>
        <item x="272"/>
        <item x="378"/>
        <item x="397"/>
        <item x="89"/>
        <item x="50"/>
        <item x="275"/>
        <item x="228"/>
        <item x="443"/>
        <item x="454"/>
        <item x="303"/>
        <item x="124"/>
        <item x="385"/>
        <item x="279"/>
        <item x="444"/>
        <item x="343"/>
        <item x="88"/>
        <item x="213"/>
        <item x="184"/>
        <item x="362"/>
        <item x="339"/>
        <item x="146"/>
        <item x="395"/>
        <item x="114"/>
        <item x="436"/>
        <item x="247"/>
        <item x="232"/>
        <item x="132"/>
        <item x="296"/>
        <item m="1" x="476"/>
        <item x="440"/>
        <item x="77"/>
        <item x="441"/>
        <item x="47"/>
        <item x="386"/>
        <item x="169"/>
        <item x="23"/>
        <item x="360"/>
        <item x="211"/>
        <item x="332"/>
        <item x="154"/>
        <item x="199"/>
        <item x="305"/>
        <item x="324"/>
        <item x="379"/>
        <item x="346"/>
        <item x="82"/>
        <item x="394"/>
        <item x="191"/>
        <item x="177"/>
        <item x="330"/>
        <item x="259"/>
        <item x="104"/>
        <item x="459"/>
        <item x="370"/>
        <item x="400"/>
        <item x="157"/>
        <item x="264"/>
        <item x="16"/>
        <item x="67"/>
        <item x="311"/>
        <item x="281"/>
        <item x="335"/>
        <item x="151"/>
        <item x="252"/>
        <item x="58"/>
        <item x="388"/>
        <item x="308"/>
        <item x="473"/>
        <item x="26"/>
        <item x="413"/>
        <item x="9"/>
        <item x="253"/>
        <item x="390"/>
        <item x="412"/>
        <item x="187"/>
        <item x="121"/>
        <item x="4"/>
        <item x="24"/>
        <item x="350"/>
        <item x="179"/>
        <item x="106"/>
        <item x="249"/>
        <item x="280"/>
        <item x="265"/>
        <item x="392"/>
        <item x="292"/>
        <item x="128"/>
        <item x="453"/>
        <item x="31"/>
        <item x="41"/>
        <item x="18"/>
        <item x="246"/>
        <item x="269"/>
        <item x="51"/>
        <item x="208"/>
        <item x="438"/>
        <item x="405"/>
        <item x="215"/>
        <item x="155"/>
        <item x="163"/>
        <item x="382"/>
        <item x="43"/>
        <item x="455"/>
        <item x="214"/>
        <item x="145"/>
        <item x="119"/>
        <item x="201"/>
        <item x="266"/>
        <item x="12"/>
        <item x="463"/>
        <item x="310"/>
        <item x="367"/>
        <item x="316"/>
        <item x="284"/>
        <item x="110"/>
        <item x="263"/>
        <item x="331"/>
        <item x="448"/>
        <item x="28"/>
        <item x="220"/>
        <item x="95"/>
        <item x="21"/>
        <item x="255"/>
        <item x="73"/>
        <item x="287"/>
        <item x="167"/>
        <item x="91"/>
        <item x="462"/>
        <item x="49"/>
        <item x="14"/>
        <item x="355"/>
        <item x="33"/>
        <item x="314"/>
        <item x="156"/>
        <item x="80"/>
        <item x="450"/>
        <item x="387"/>
        <item x="282"/>
        <item x="54"/>
        <item x="13"/>
        <item x="136"/>
        <item x="286"/>
        <item x="323"/>
        <item x="471"/>
        <item x="30"/>
        <item x="345"/>
        <item x="74"/>
        <item x="426"/>
        <item x="416"/>
        <item x="141"/>
        <item x="298"/>
        <item x="291"/>
        <item x="415"/>
        <item x="5"/>
        <item x="235"/>
        <item x="277"/>
        <item x="200"/>
        <item x="6"/>
        <item x="183"/>
        <item x="135"/>
        <item x="369"/>
        <item x="372"/>
        <item x="164"/>
        <item x="129"/>
        <item x="408"/>
        <item x="193"/>
        <item x="59"/>
        <item x="302"/>
        <item x="319"/>
        <item x="389"/>
        <item x="433"/>
        <item x="404"/>
        <item x="217"/>
        <item x="244"/>
        <item x="409"/>
        <item x="312"/>
        <item x="72"/>
        <item x="204"/>
        <item x="420"/>
        <item x="359"/>
        <item x="196"/>
        <item x="289"/>
        <item x="99"/>
        <item x="274"/>
        <item x="268"/>
        <item x="226"/>
        <item x="190"/>
        <item x="152"/>
        <item x="306"/>
        <item x="148"/>
        <item x="452"/>
        <item x="15"/>
        <item x="218"/>
        <item x="250"/>
        <item x="44"/>
        <item x="71"/>
        <item x="242"/>
        <item x="94"/>
        <item x="123"/>
        <item x="22"/>
        <item x="63"/>
        <item x="402"/>
        <item x="198"/>
        <item x="32"/>
        <item x="231"/>
        <item x="418"/>
        <item x="427"/>
        <item x="321"/>
        <item x="227"/>
        <item x="224"/>
        <item x="351"/>
        <item x="317"/>
        <item x="172"/>
        <item x="428"/>
        <item x="384"/>
        <item x="212"/>
        <item x="83"/>
        <item x="90"/>
        <item x="243"/>
        <item x="68"/>
        <item x="101"/>
        <item x="447"/>
        <item x="11"/>
        <item x="371"/>
        <item x="320"/>
        <item x="434"/>
        <item x="178"/>
        <item x="322"/>
        <item x="116"/>
        <item x="40"/>
        <item x="333"/>
        <item x="25"/>
        <item x="56"/>
        <item x="460"/>
        <item x="115"/>
        <item x="293"/>
        <item x="93"/>
        <item x="195"/>
        <item x="100"/>
        <item x="271"/>
        <item x="361"/>
        <item x="260"/>
        <item x="69"/>
        <item x="0"/>
        <item x="70"/>
        <item x="209"/>
        <item x="474"/>
        <item x="328"/>
        <item x="461"/>
        <item x="65"/>
        <item x="219"/>
        <item x="27"/>
        <item x="39"/>
        <item x="81"/>
        <item x="113"/>
        <item x="120"/>
        <item x="122"/>
        <item x="137"/>
        <item x="138"/>
        <item x="143"/>
        <item x="160"/>
        <item x="162"/>
        <item x="168"/>
        <item x="186"/>
        <item x="221"/>
        <item x="240"/>
        <item x="257"/>
        <item x="267"/>
        <item x="309"/>
        <item x="353"/>
        <item x="435"/>
        <item t="default"/>
      </items>
    </pivotField>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1"/>
  </rowFields>
  <rowItems count="6">
    <i>
      <x/>
    </i>
    <i>
      <x v="1"/>
    </i>
    <i>
      <x v="2"/>
    </i>
    <i>
      <x v="3"/>
    </i>
    <i>
      <x v="4"/>
    </i>
    <i t="grand">
      <x/>
    </i>
  </rowItems>
  <colFields count="1">
    <field x="-2"/>
  </colFields>
  <colItems count="3">
    <i>
      <x/>
    </i>
    <i i="1">
      <x v="1"/>
    </i>
    <i i="2">
      <x v="2"/>
    </i>
  </colItems>
  <pageFields count="1">
    <pageField fld="8" hier="-1"/>
  </pageFields>
  <dataFields count="3">
    <dataField name="Sum of Units_Sold" fld="4" baseField="0" baseItem="0"/>
    <dataField name="Sum of Average_Price" fld="7" baseField="0" baseItem="0"/>
    <dataField name="Sum of Marketing_Spend" fld="12" baseField="0" baseItem="0"/>
  </dataFields>
  <chartFormats count="6">
    <chartFormat chart="64" format="0" series="1">
      <pivotArea type="data" outline="0" fieldPosition="0">
        <references count="1">
          <reference field="4294967294" count="1" selected="0">
            <x v="0"/>
          </reference>
        </references>
      </pivotArea>
    </chartFormat>
    <chartFormat chart="64" format="1" series="1">
      <pivotArea type="data" outline="0" fieldPosition="0">
        <references count="1">
          <reference field="4294967294" count="1" selected="0">
            <x v="1"/>
          </reference>
        </references>
      </pivotArea>
    </chartFormat>
    <chartFormat chart="64" format="2" series="1">
      <pivotArea type="data" outline="0" fieldPosition="0">
        <references count="1">
          <reference field="4294967294" count="1" selected="0">
            <x v="2"/>
          </reference>
        </references>
      </pivotArea>
    </chartFormat>
    <chartFormat chart="68" format="6" series="1">
      <pivotArea type="data" outline="0" fieldPosition="0">
        <references count="1">
          <reference field="4294967294" count="1" selected="0">
            <x v="0"/>
          </reference>
        </references>
      </pivotArea>
    </chartFormat>
    <chartFormat chart="68" format="7" series="1">
      <pivotArea type="data" outline="0" fieldPosition="0">
        <references count="1">
          <reference field="4294967294" count="1" selected="0">
            <x v="1"/>
          </reference>
        </references>
      </pivotArea>
    </chartFormat>
    <chartFormat chart="6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5B4CB63-2BC9-4ED1-8996-B483C04A619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location ref="A3:G17" firstHeaderRow="1" firstDataRow="2"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Col" showAll="0">
      <items count="6">
        <item x="3"/>
        <item x="1"/>
        <item x="0"/>
        <item x="2"/>
        <item x="4"/>
        <item t="default"/>
      </items>
    </pivotField>
    <pivotField showAll="0"/>
    <pivotField showAll="0"/>
    <pivotField dataField="1" showAll="0"/>
    <pivotField showAll="0"/>
    <pivotField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t="default"/>
      </items>
    </pivotField>
  </pivotFields>
  <rowFields count="1">
    <field x="17"/>
  </rowFields>
  <rowItems count="13">
    <i>
      <x v="1"/>
    </i>
    <i>
      <x v="2"/>
    </i>
    <i>
      <x v="3"/>
    </i>
    <i>
      <x v="4"/>
    </i>
    <i>
      <x v="5"/>
    </i>
    <i>
      <x v="6"/>
    </i>
    <i>
      <x v="7"/>
    </i>
    <i>
      <x v="8"/>
    </i>
    <i>
      <x v="9"/>
    </i>
    <i>
      <x v="10"/>
    </i>
    <i>
      <x v="11"/>
    </i>
    <i>
      <x v="12"/>
    </i>
    <i t="grand">
      <x/>
    </i>
  </rowItems>
  <colFields count="1">
    <field x="1"/>
  </colFields>
  <colItems count="6">
    <i>
      <x/>
    </i>
    <i>
      <x v="1"/>
    </i>
    <i>
      <x v="2"/>
    </i>
    <i>
      <x v="3"/>
    </i>
    <i>
      <x v="4"/>
    </i>
    <i t="grand">
      <x/>
    </i>
  </colItems>
  <dataFields count="1">
    <dataField name="Sum of Units_Sold" fld="4" baseField="0" baseItem="0"/>
  </dataFields>
  <chartFormats count="10">
    <chartFormat chart="74" format="15" series="1">
      <pivotArea type="data" outline="0" fieldPosition="0">
        <references count="1">
          <reference field="4294967294" count="1" selected="0">
            <x v="0"/>
          </reference>
        </references>
      </pivotArea>
    </chartFormat>
    <chartFormat chart="70" format="5" series="1">
      <pivotArea type="data" outline="0" fieldPosition="0">
        <references count="1">
          <reference field="4294967294" count="1" selected="0">
            <x v="0"/>
          </reference>
        </references>
      </pivotArea>
    </chartFormat>
    <chartFormat chart="74" format="16" series="1">
      <pivotArea type="data" outline="0" fieldPosition="0">
        <references count="2">
          <reference field="4294967294" count="1" selected="0">
            <x v="0"/>
          </reference>
          <reference field="1" count="1" selected="0">
            <x v="1"/>
          </reference>
        </references>
      </pivotArea>
    </chartFormat>
    <chartFormat chart="74" format="17" series="1">
      <pivotArea type="data" outline="0" fieldPosition="0">
        <references count="2">
          <reference field="4294967294" count="1" selected="0">
            <x v="0"/>
          </reference>
          <reference field="1" count="1" selected="0">
            <x v="2"/>
          </reference>
        </references>
      </pivotArea>
    </chartFormat>
    <chartFormat chart="74" format="18" series="1">
      <pivotArea type="data" outline="0" fieldPosition="0">
        <references count="2">
          <reference field="4294967294" count="1" selected="0">
            <x v="0"/>
          </reference>
          <reference field="1" count="1" selected="0">
            <x v="3"/>
          </reference>
        </references>
      </pivotArea>
    </chartFormat>
    <chartFormat chart="74" format="19" series="1">
      <pivotArea type="data" outline="0" fieldPosition="0">
        <references count="2">
          <reference field="4294967294" count="1" selected="0">
            <x v="0"/>
          </reference>
          <reference field="1" count="1" selected="0">
            <x v="4"/>
          </reference>
        </references>
      </pivotArea>
    </chartFormat>
    <chartFormat chart="70" format="6" series="1">
      <pivotArea type="data" outline="0" fieldPosition="0">
        <references count="2">
          <reference field="4294967294" count="1" selected="0">
            <x v="0"/>
          </reference>
          <reference field="1" count="1" selected="0">
            <x v="1"/>
          </reference>
        </references>
      </pivotArea>
    </chartFormat>
    <chartFormat chart="70" format="7" series="1">
      <pivotArea type="data" outline="0" fieldPosition="0">
        <references count="2">
          <reference field="4294967294" count="1" selected="0">
            <x v="0"/>
          </reference>
          <reference field="1" count="1" selected="0">
            <x v="2"/>
          </reference>
        </references>
      </pivotArea>
    </chartFormat>
    <chartFormat chart="70" format="8" series="1">
      <pivotArea type="data" outline="0" fieldPosition="0">
        <references count="2">
          <reference field="4294967294" count="1" selected="0">
            <x v="0"/>
          </reference>
          <reference field="1" count="1" selected="0">
            <x v="3"/>
          </reference>
        </references>
      </pivotArea>
    </chartFormat>
    <chartFormat chart="70" format="9"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365497A-B2DB-4B29-84F8-146C1F0CCFD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G9" firstHeaderRow="1" firstDataRow="2"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Col" showAll="0">
      <items count="6">
        <item x="3"/>
        <item x="1"/>
        <item x="0"/>
        <item x="2"/>
        <item x="4"/>
        <item t="default"/>
      </items>
    </pivotField>
    <pivotField showAll="0">
      <items count="13">
        <item x="0"/>
        <item x="11"/>
        <item x="1"/>
        <item x="2"/>
        <item x="3"/>
        <item x="4"/>
        <item x="5"/>
        <item x="6"/>
        <item x="7"/>
        <item x="8"/>
        <item x="9"/>
        <item x="10"/>
        <item t="default"/>
      </items>
    </pivotField>
    <pivotField showAll="0"/>
    <pivotField dataField="1" showAll="0"/>
    <pivotField showAll="0"/>
    <pivotField axis="axisRow"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6"/>
  </rowFields>
  <rowItems count="5">
    <i>
      <x/>
    </i>
    <i>
      <x v="1"/>
    </i>
    <i>
      <x v="2"/>
    </i>
    <i>
      <x v="3"/>
    </i>
    <i t="grand">
      <x/>
    </i>
  </rowItems>
  <colFields count="1">
    <field x="1"/>
  </colFields>
  <colItems count="6">
    <i>
      <x/>
    </i>
    <i>
      <x v="1"/>
    </i>
    <i>
      <x v="2"/>
    </i>
    <i>
      <x v="3"/>
    </i>
    <i>
      <x v="4"/>
    </i>
    <i t="grand">
      <x/>
    </i>
  </colItems>
  <dataFields count="1">
    <dataField name="Sum of Units_Sold" fld="4" baseField="0" baseItem="0"/>
  </dataFields>
  <chartFormats count="10">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2" series="1">
      <pivotArea type="data" outline="0" fieldPosition="0">
        <references count="2">
          <reference field="4294967294" count="1" selected="0">
            <x v="0"/>
          </reference>
          <reference field="1" count="1" selected="0">
            <x v="2"/>
          </reference>
        </references>
      </pivotArea>
    </chartFormat>
    <chartFormat chart="8" format="3" series="1">
      <pivotArea type="data" outline="0" fieldPosition="0">
        <references count="2">
          <reference field="4294967294" count="1" selected="0">
            <x v="0"/>
          </reference>
          <reference field="1" count="1" selected="0">
            <x v="3"/>
          </reference>
        </references>
      </pivotArea>
    </chartFormat>
    <chartFormat chart="8" format="4" series="1">
      <pivotArea type="data" outline="0" fieldPosition="0">
        <references count="2">
          <reference field="4294967294" count="1" selected="0">
            <x v="0"/>
          </reference>
          <reference field="1" count="1" selected="0">
            <x v="4"/>
          </reference>
        </references>
      </pivotArea>
    </chartFormat>
    <chartFormat chart="12" format="10" series="1">
      <pivotArea type="data" outline="0" fieldPosition="0">
        <references count="2">
          <reference field="4294967294" count="1" selected="0">
            <x v="0"/>
          </reference>
          <reference field="1" count="1" selected="0">
            <x v="0"/>
          </reference>
        </references>
      </pivotArea>
    </chartFormat>
    <chartFormat chart="12" format="11" series="1">
      <pivotArea type="data" outline="0" fieldPosition="0">
        <references count="2">
          <reference field="4294967294" count="1" selected="0">
            <x v="0"/>
          </reference>
          <reference field="1" count="1" selected="0">
            <x v="1"/>
          </reference>
        </references>
      </pivotArea>
    </chartFormat>
    <chartFormat chart="12" format="12" series="1">
      <pivotArea type="data" outline="0" fieldPosition="0">
        <references count="2">
          <reference field="4294967294" count="1" selected="0">
            <x v="0"/>
          </reference>
          <reference field="1" count="1" selected="0">
            <x v="2"/>
          </reference>
        </references>
      </pivotArea>
    </chartFormat>
    <chartFormat chart="12" format="13" series="1">
      <pivotArea type="data" outline="0" fieldPosition="0">
        <references count="2">
          <reference field="4294967294" count="1" selected="0">
            <x v="0"/>
          </reference>
          <reference field="1" count="1" selected="0">
            <x v="3"/>
          </reference>
        </references>
      </pivotArea>
    </chartFormat>
    <chartFormat chart="12"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C55F2FB-7980-4FE2-8DEE-7D20ADD3836F}"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C16" firstHeaderRow="0" firstDataRow="1" firstDataCol="1"/>
  <pivotFields count="9">
    <pivotField numFmtId="14" showAll="0"/>
    <pivotField axis="axisRow" showAll="0">
      <items count="13">
        <item x="0"/>
        <item x="11"/>
        <item x="1"/>
        <item x="2"/>
        <item x="3"/>
        <item x="4"/>
        <item x="5"/>
        <item x="6"/>
        <item x="7"/>
        <item x="8"/>
        <item x="9"/>
        <item x="10"/>
        <item t="default"/>
      </items>
    </pivotField>
    <pivotField showAll="0"/>
    <pivotField showAll="0">
      <items count="6">
        <item x="3"/>
        <item x="1"/>
        <item x="0"/>
        <item x="2"/>
        <item x="4"/>
        <item t="default"/>
      </items>
    </pivotField>
    <pivotField dataField="1" showAll="0"/>
    <pivotField showAll="0"/>
    <pivotField dataField="1" numFmtId="1" showAll="0"/>
    <pivotField showAll="0"/>
    <pivotField numFmtId="10"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Units_Sold" fld="4" baseField="0" baseItem="0"/>
    <dataField name="Sum of Forecasted_Units" fld="6" baseField="0" baseItem="0" numFmtId="1"/>
  </dataFields>
  <chartFormats count="6">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2"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1"/>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D34B6E1-5206-4549-BD5A-EC3F50DABE63}"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9">
    <pivotField numFmtId="14" showAll="0"/>
    <pivotField axis="axisRow" showAll="0">
      <items count="13">
        <item x="0"/>
        <item x="11"/>
        <item x="1"/>
        <item x="2"/>
        <item x="3"/>
        <item x="4"/>
        <item x="5"/>
        <item x="6"/>
        <item x="7"/>
        <item x="8"/>
        <item x="9"/>
        <item x="10"/>
        <item t="default"/>
      </items>
    </pivotField>
    <pivotField showAll="0"/>
    <pivotField showAll="0">
      <items count="6">
        <item x="3"/>
        <item x="1"/>
        <item x="0"/>
        <item x="2"/>
        <item x="4"/>
        <item t="default"/>
      </items>
    </pivotField>
    <pivotField showAll="0"/>
    <pivotField dataField="1" showAll="0"/>
    <pivotField numFmtId="1" showAll="0"/>
    <pivotField showAll="0"/>
    <pivotField numFmtId="10" showAll="0"/>
  </pivotFields>
  <rowFields count="1">
    <field x="1"/>
  </rowFields>
  <rowItems count="13">
    <i>
      <x/>
    </i>
    <i>
      <x v="1"/>
    </i>
    <i>
      <x v="2"/>
    </i>
    <i>
      <x v="3"/>
    </i>
    <i>
      <x v="4"/>
    </i>
    <i>
      <x v="5"/>
    </i>
    <i>
      <x v="6"/>
    </i>
    <i>
      <x v="7"/>
    </i>
    <i>
      <x v="8"/>
    </i>
    <i>
      <x v="9"/>
    </i>
    <i>
      <x v="10"/>
    </i>
    <i>
      <x v="11"/>
    </i>
    <i t="grand">
      <x/>
    </i>
  </rowItems>
  <colItems count="1">
    <i/>
  </colItems>
  <dataFields count="1">
    <dataField name="Sum of Marketing_Spend" fld="5" baseField="0" baseItem="0"/>
  </dataField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2"/>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2176B61-74C1-43F6-AB60-63DBE80B15A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9">
    <pivotField numFmtId="14" showAll="0"/>
    <pivotField showAll="0">
      <items count="13">
        <item x="0"/>
        <item x="11"/>
        <item x="1"/>
        <item x="2"/>
        <item x="3"/>
        <item x="4"/>
        <item x="5"/>
        <item x="6"/>
        <item x="7"/>
        <item x="8"/>
        <item x="9"/>
        <item x="10"/>
        <item t="default"/>
      </items>
    </pivotField>
    <pivotField showAll="0"/>
    <pivotField axis="axisRow" showAll="0">
      <items count="6">
        <item x="3"/>
        <item x="1"/>
        <item x="0"/>
        <item x="2"/>
        <item x="4"/>
        <item t="default"/>
      </items>
    </pivotField>
    <pivotField dataField="1" showAll="0"/>
    <pivotField showAll="0"/>
    <pivotField numFmtId="1" showAll="0"/>
    <pivotField showAll="0"/>
    <pivotField numFmtId="10" showAll="0"/>
  </pivotFields>
  <rowFields count="1">
    <field x="3"/>
  </rowFields>
  <rowItems count="6">
    <i>
      <x/>
    </i>
    <i>
      <x v="1"/>
    </i>
    <i>
      <x v="2"/>
    </i>
    <i>
      <x v="3"/>
    </i>
    <i>
      <x v="4"/>
    </i>
    <i t="grand">
      <x/>
    </i>
  </rowItems>
  <colItems count="1">
    <i/>
  </colItems>
  <dataFields count="1">
    <dataField name="Sum of Units_Sold" fld="4"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BB7B5F0-DEB7-459C-BC02-E70AC6145FA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G9" firstHeaderRow="1" firstDataRow="2" firstDataCol="1"/>
  <pivotFields count="17">
    <pivotField numFmtId="14" showAll="0"/>
    <pivotField axis="axisCol" showAll="0">
      <items count="6">
        <item x="3"/>
        <item x="1"/>
        <item x="0"/>
        <item x="2"/>
        <item x="4"/>
        <item t="default"/>
      </items>
    </pivotField>
    <pivotField showAll="0"/>
    <pivotField axis="axisRow" showAll="0">
      <items count="5">
        <item x="3"/>
        <item x="1"/>
        <item x="2"/>
        <item x="0"/>
        <item t="default"/>
      </items>
    </pivotField>
    <pivotField dataField="1" showAll="0"/>
    <pivotField showAll="0"/>
    <pivotField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1"/>
  </colFields>
  <colItems count="6">
    <i>
      <x/>
    </i>
    <i>
      <x v="1"/>
    </i>
    <i>
      <x v="2"/>
    </i>
    <i>
      <x v="3"/>
    </i>
    <i>
      <x v="4"/>
    </i>
    <i t="grand">
      <x/>
    </i>
  </colItems>
  <dataFields count="1">
    <dataField name="Sum of Units_Sold" fld="4" baseField="0" baseItem="0"/>
  </dataFields>
  <conditionalFormats count="5">
    <conditionalFormat priority="1">
      <pivotAreas count="1">
        <pivotArea type="data" collapsedLevelsAreSubtotals="1" fieldPosition="0">
          <references count="3">
            <reference field="4294967294" count="1" selected="0">
              <x v="0"/>
            </reference>
            <reference field="1" count="1" selected="0">
              <x v="4"/>
            </reference>
            <reference field="3"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1" count="1" selected="0">
              <x v="3"/>
            </reference>
            <reference field="3"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1" count="1" selected="0">
              <x v="2"/>
            </reference>
            <reference field="3" count="4">
              <x v="0"/>
              <x v="1"/>
              <x v="2"/>
              <x v="3"/>
            </reference>
          </references>
        </pivotArea>
      </pivotAreas>
    </conditionalFormat>
    <conditionalFormat priority="4">
      <pivotAreas count="1">
        <pivotArea type="data" collapsedLevelsAreSubtotals="1" fieldPosition="0">
          <references count="3">
            <reference field="4294967294" count="1" selected="0">
              <x v="0"/>
            </reference>
            <reference field="1" count="1" selected="0">
              <x v="1"/>
            </reference>
            <reference field="3" count="4">
              <x v="0"/>
              <x v="1"/>
              <x v="2"/>
              <x v="3"/>
            </reference>
          </references>
        </pivotArea>
      </pivotAreas>
    </conditionalFormat>
    <conditionalFormat priority="5">
      <pivotAreas count="1">
        <pivotArea type="data" collapsedLevelsAreSubtotals="1" fieldPosition="0">
          <references count="3">
            <reference field="4294967294" count="1" selected="0">
              <x v="0"/>
            </reference>
            <reference field="1" count="1" selected="0">
              <x v="0"/>
            </reference>
            <reference field="3" count="4">
              <x v="0"/>
              <x v="1"/>
              <x v="2"/>
              <x v="3"/>
            </reference>
          </references>
        </pivotArea>
      </pivotAreas>
    </conditionalFormat>
  </conditionalFormats>
  <chartFormats count="10">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3"/>
          </reference>
        </references>
      </pivotArea>
    </chartFormat>
    <chartFormat chart="3" format="4" series="1">
      <pivotArea type="data" outline="0" fieldPosition="0">
        <references count="2">
          <reference field="4294967294" count="1" selected="0">
            <x v="0"/>
          </reference>
          <reference field="1" count="1" selected="0">
            <x v="4"/>
          </reference>
        </references>
      </pivotArea>
    </chartFormat>
    <chartFormat chart="5" format="10" series="1">
      <pivotArea type="data" outline="0" fieldPosition="0">
        <references count="2">
          <reference field="4294967294" count="1" selected="0">
            <x v="0"/>
          </reference>
          <reference field="1" count="1" selected="0">
            <x v="0"/>
          </reference>
        </references>
      </pivotArea>
    </chartFormat>
    <chartFormat chart="5"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2">
          <reference field="4294967294" count="1" selected="0">
            <x v="0"/>
          </reference>
          <reference field="1" count="1" selected="0">
            <x v="3"/>
          </reference>
        </references>
      </pivotArea>
    </chartFormat>
    <chartFormat chart="5"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594CECF-5CA9-4D70-B241-74F740326AA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6" firstHeaderRow="1" firstDataRow="1" firstDataCol="1"/>
  <pivotFields count="16">
    <pivotField numFmtId="14" showAll="0"/>
    <pivotField showAll="0">
      <items count="6">
        <item x="3"/>
        <item x="1"/>
        <item x="0"/>
        <item x="2"/>
        <item x="4"/>
        <item t="default"/>
      </items>
    </pivotField>
    <pivotField axis="axisRow" showAll="0">
      <items count="13">
        <item x="0"/>
        <item x="11"/>
        <item x="1"/>
        <item x="2"/>
        <item x="3"/>
        <item x="4"/>
        <item x="5"/>
        <item x="6"/>
        <item x="7"/>
        <item x="8"/>
        <item x="9"/>
        <item x="10"/>
        <item t="default"/>
      </items>
    </pivotField>
    <pivotField showAll="0"/>
    <pivotField numFmtId="1" showAll="0"/>
    <pivotField showAll="0"/>
    <pivotField numFmtId="1" showAll="0"/>
    <pivotField showAll="0"/>
    <pivotField dataField="1" showAll="0"/>
    <pivotField numFmtId="2" showAll="0"/>
    <pivotField numFmtId="1" showAll="0"/>
    <pivotField numFmtId="1" showAll="0"/>
    <pivotField numFmtId="1" showAll="0"/>
    <pivotField numFmtId="1" showAll="0"/>
    <pivotField showAll="0"/>
    <pivotField numFmtId="1" showAll="0"/>
  </pivotFields>
  <rowFields count="1">
    <field x="2"/>
  </rowFields>
  <rowItems count="13">
    <i>
      <x/>
    </i>
    <i>
      <x v="1"/>
    </i>
    <i>
      <x v="2"/>
    </i>
    <i>
      <x v="3"/>
    </i>
    <i>
      <x v="4"/>
    </i>
    <i>
      <x v="5"/>
    </i>
    <i>
      <x v="6"/>
    </i>
    <i>
      <x v="7"/>
    </i>
    <i>
      <x v="8"/>
    </i>
    <i>
      <x v="9"/>
    </i>
    <i>
      <x v="10"/>
    </i>
    <i>
      <x v="11"/>
    </i>
    <i t="grand">
      <x/>
    </i>
  </rowItems>
  <colItems count="1">
    <i/>
  </colItems>
  <dataFields count="1">
    <dataField name="Sum of Production_Capacity" fld="8" baseField="0" baseItem="0"/>
  </dataFields>
  <chartFormats count="2">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84B2CC5-2170-40DE-BFF5-3B226D58D74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C16" firstHeaderRow="0" firstDataRow="1" firstDataCol="1"/>
  <pivotFields count="16">
    <pivotField numFmtId="14" showAll="0"/>
    <pivotField showAll="0">
      <items count="6">
        <item x="3"/>
        <item h="1" x="1"/>
        <item h="1" x="0"/>
        <item h="1" x="2"/>
        <item h="1" x="4"/>
        <item t="default"/>
      </items>
    </pivotField>
    <pivotField axis="axisRow" showAll="0">
      <items count="13">
        <item x="0"/>
        <item x="11"/>
        <item x="1"/>
        <item x="2"/>
        <item x="3"/>
        <item x="4"/>
        <item x="5"/>
        <item x="6"/>
        <item x="7"/>
        <item x="8"/>
        <item x="9"/>
        <item x="10"/>
        <item t="default"/>
      </items>
    </pivotField>
    <pivotField dataField="1" showAll="0"/>
    <pivotField dataField="1" numFmtId="1" showAll="0"/>
    <pivotField showAll="0"/>
    <pivotField numFmtId="1" showAll="0"/>
    <pivotField showAll="0"/>
    <pivotField showAll="0"/>
    <pivotField numFmtId="2" showAll="0"/>
    <pivotField numFmtId="1" showAll="0"/>
    <pivotField numFmtId="1" showAll="0"/>
    <pivotField numFmtId="1" showAll="0"/>
    <pivotField numFmtId="1" showAll="0"/>
    <pivotField showAll="0"/>
    <pivotField numFmtId="1"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Units_Sold" fld="3" baseField="0" baseItem="0"/>
    <dataField name="Sum of Forecasted_Units" fld="4" baseField="0" baseItem="0" numFmtId="1"/>
  </dataFields>
  <chartFormats count="8">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30" format="2"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1"/>
          </reference>
        </references>
      </pivotArea>
    </chartFormat>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8D7D5BC-A88E-40B1-94E7-93C20C443E2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1">
  <location ref="A3:B9" firstHeaderRow="1" firstDataRow="1" firstDataCol="1"/>
  <pivotFields count="16">
    <pivotField numFmtId="14" showAll="0"/>
    <pivotField axis="axisRow" showAll="0">
      <items count="6">
        <item x="3"/>
        <item x="1"/>
        <item x="0"/>
        <item x="2"/>
        <item x="4"/>
        <item t="default"/>
      </items>
    </pivotField>
    <pivotField showAll="0">
      <items count="13">
        <item x="0"/>
        <item h="1" x="11"/>
        <item h="1" x="1"/>
        <item h="1" x="2"/>
        <item h="1" x="3"/>
        <item h="1" x="4"/>
        <item h="1" x="5"/>
        <item h="1" x="6"/>
        <item h="1" x="7"/>
        <item h="1" x="8"/>
        <item h="1" x="9"/>
        <item h="1" x="10"/>
        <item t="default"/>
      </items>
    </pivotField>
    <pivotField showAll="0"/>
    <pivotField numFmtId="1" showAll="0"/>
    <pivotField showAll="0"/>
    <pivotField numFmtId="1" showAll="0"/>
    <pivotField showAll="0"/>
    <pivotField showAll="0"/>
    <pivotField numFmtId="2" showAll="0"/>
    <pivotField numFmtId="1" showAll="0"/>
    <pivotField dataField="1" numFmtId="1" showAll="0"/>
    <pivotField numFmtId="1" showAll="0"/>
    <pivotField numFmtId="1" showAll="0"/>
    <pivotField showAll="0"/>
    <pivotField numFmtId="1" showAll="0"/>
  </pivotFields>
  <rowFields count="1">
    <field x="1"/>
  </rowFields>
  <rowItems count="6">
    <i>
      <x/>
    </i>
    <i>
      <x v="1"/>
    </i>
    <i>
      <x v="2"/>
    </i>
    <i>
      <x v="3"/>
    </i>
    <i>
      <x v="4"/>
    </i>
    <i t="grand">
      <x/>
    </i>
  </rowItems>
  <colItems count="1">
    <i/>
  </colItems>
  <dataFields count="1">
    <dataField name="Sum of Planned_Production" fld="11" baseField="0" baseItem="0" numFmtId="1"/>
  </dataFields>
  <chartFormats count="2">
    <chartFormat chart="77" format="5"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E7247D1-4C31-4A9F-BFD8-B415034F8F2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C16" firstHeaderRow="0" firstDataRow="1" firstDataCol="1"/>
  <pivotFields count="16">
    <pivotField numFmtId="14" showAll="0"/>
    <pivotField showAll="0">
      <items count="6">
        <item x="3"/>
        <item h="1" x="1"/>
        <item h="1" x="0"/>
        <item h="1" x="2"/>
        <item h="1" x="4"/>
        <item t="default"/>
      </items>
    </pivotField>
    <pivotField axis="axisRow" showAll="0">
      <items count="13">
        <item x="0"/>
        <item x="11"/>
        <item x="1"/>
        <item x="2"/>
        <item x="3"/>
        <item x="4"/>
        <item x="5"/>
        <item x="6"/>
        <item x="7"/>
        <item x="8"/>
        <item x="9"/>
        <item x="10"/>
        <item t="default"/>
      </items>
    </pivotField>
    <pivotField showAll="0"/>
    <pivotField numFmtId="1" showAll="0"/>
    <pivotField showAll="0"/>
    <pivotField dataField="1" numFmtId="1" showAll="0"/>
    <pivotField showAll="0"/>
    <pivotField showAll="0"/>
    <pivotField numFmtId="2" showAll="0"/>
    <pivotField numFmtId="1" showAll="0"/>
    <pivotField numFmtId="1" showAll="0"/>
    <pivotField numFmtId="1" showAll="0"/>
    <pivotField dataField="1" numFmtId="1" showAll="0"/>
    <pivotField showAll="0"/>
    <pivotField numFmtId="1"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Inventory_On_Hand" fld="6" baseField="0" baseItem="0" numFmtId="1"/>
    <dataField name="Sum of Inventory_After" fld="13" baseField="0" baseItem="0" numFmtId="1"/>
  </dataFields>
  <chartFormats count="4">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C92884C-429A-46B1-8732-6E5B0A3BB95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0" firstHeaderRow="1" firstDataRow="1" firstDataCol="1"/>
  <pivotFields count="8">
    <pivotField numFmtId="14" showAll="0"/>
    <pivotField showAll="0">
      <items count="6">
        <item x="3"/>
        <item x="1"/>
        <item x="0"/>
        <item x="2"/>
        <item x="4"/>
        <item t="default"/>
      </items>
    </pivotField>
    <pivotField showAll="0"/>
    <pivotField showAll="0"/>
    <pivotField axis="axisRow" showAll="0">
      <items count="7">
        <item x="3"/>
        <item x="0"/>
        <item x="2"/>
        <item x="4"/>
        <item x="1"/>
        <item x="5"/>
        <item t="default"/>
      </items>
    </pivotField>
    <pivotField showAll="0"/>
    <pivotField showAll="0"/>
    <pivotField dataField="1" showAll="0"/>
  </pivotFields>
  <rowFields count="1">
    <field x="4"/>
  </rowFields>
  <rowItems count="7">
    <i>
      <x/>
    </i>
    <i>
      <x v="1"/>
    </i>
    <i>
      <x v="2"/>
    </i>
    <i>
      <x v="3"/>
    </i>
    <i>
      <x v="4"/>
    </i>
    <i>
      <x v="5"/>
    </i>
    <i t="grand">
      <x/>
    </i>
  </rowItems>
  <colItems count="1">
    <i/>
  </colItems>
  <dataFields count="1">
    <dataField name="Sum of Feedback_Adjustment" fld="7" baseField="0" baseItem="0"/>
  </dataField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870CCA4-DDF1-43B9-B244-0D035CA36CB3}"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C16" firstHeaderRow="0" firstDataRow="1" firstDataCol="1"/>
  <pivotFields count="7">
    <pivotField numFmtId="14" showAll="0"/>
    <pivotField axis="axisRow" showAll="0">
      <items count="13">
        <item x="0"/>
        <item x="11"/>
        <item x="1"/>
        <item x="2"/>
        <item x="3"/>
        <item x="4"/>
        <item x="5"/>
        <item x="6"/>
        <item x="7"/>
        <item x="8"/>
        <item x="9"/>
        <item x="10"/>
        <item t="default"/>
      </items>
    </pivotField>
    <pivotField showAll="0">
      <items count="6">
        <item x="3"/>
        <item x="1"/>
        <item x="0"/>
        <item x="2"/>
        <item x="4"/>
        <item t="default"/>
      </items>
    </pivotField>
    <pivotField showAll="0"/>
    <pivotField numFmtId="1" showAll="0"/>
    <pivotField dataField="1" numFmtId="1" showAll="0"/>
    <pivotField dataField="1" numFmtId="10"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Adjusted_Forecast" fld="5" baseField="0" baseItem="0" numFmtId="1"/>
    <dataField name="Sum of Accuracy (%)" fld="6" baseField="0" baseItem="0" numFmtId="2"/>
  </dataFields>
  <formats count="1">
    <format dxfId="211">
      <pivotArea outline="0" collapsedLevelsAreSubtotals="1" fieldPosition="0">
        <references count="1">
          <reference field="4294967294" count="1" selected="0">
            <x v="1"/>
          </reference>
        </references>
      </pivotArea>
    </format>
  </formats>
  <chartFormats count="4">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57ACC17-1FF4-4341-A945-9AB08091B73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items count="6">
        <item x="3"/>
        <item h="1" x="1"/>
        <item h="1" x="0"/>
        <item h="1" x="2"/>
        <item h="1" x="4"/>
        <item t="default"/>
      </items>
    </pivotField>
    <pivotField showAll="0"/>
    <pivotField showAll="0"/>
    <pivotField dataField="1" showAll="0"/>
    <pivotField showAll="0"/>
    <pivotField axis="axisRow"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6"/>
  </rowFields>
  <rowItems count="5">
    <i>
      <x/>
    </i>
    <i>
      <x v="1"/>
    </i>
    <i>
      <x v="2"/>
    </i>
    <i>
      <x v="3"/>
    </i>
    <i t="grand">
      <x/>
    </i>
  </rowItems>
  <colItems count="1">
    <i/>
  </colItems>
  <dataFields count="1">
    <dataField name="Sum of Units_Sold" fld="4"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748FA04-786C-4297-8BD9-9D4F68A940B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4">
  <location ref="A3:G17" firstHeaderRow="1" firstDataRow="2"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Col" showAll="0">
      <items count="6">
        <item x="3"/>
        <item x="1"/>
        <item x="0"/>
        <item x="2"/>
        <item x="4"/>
        <item t="default"/>
      </items>
    </pivotField>
    <pivotField showAll="0"/>
    <pivotField showAll="0"/>
    <pivotField dataField="1" showAll="0"/>
    <pivotField showAll="0"/>
    <pivotField showAll="0">
      <items count="5">
        <item x="0"/>
        <item h="1" x="3"/>
        <item h="1" x="1"/>
        <item h="1" x="2"/>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17"/>
  </rowFields>
  <rowItems count="13">
    <i>
      <x v="1"/>
    </i>
    <i>
      <x v="2"/>
    </i>
    <i>
      <x v="3"/>
    </i>
    <i>
      <x v="4"/>
    </i>
    <i>
      <x v="5"/>
    </i>
    <i>
      <x v="6"/>
    </i>
    <i>
      <x v="7"/>
    </i>
    <i>
      <x v="8"/>
    </i>
    <i>
      <x v="9"/>
    </i>
    <i>
      <x v="10"/>
    </i>
    <i>
      <x v="11"/>
    </i>
    <i>
      <x v="12"/>
    </i>
    <i t="grand">
      <x/>
    </i>
  </rowItems>
  <colFields count="1">
    <field x="1"/>
  </colFields>
  <colItems count="6">
    <i>
      <x/>
    </i>
    <i>
      <x v="1"/>
    </i>
    <i>
      <x v="2"/>
    </i>
    <i>
      <x v="3"/>
    </i>
    <i>
      <x v="4"/>
    </i>
    <i t="grand">
      <x/>
    </i>
  </colItems>
  <dataFields count="1">
    <dataField name="Sum of Units_Sold" fld="4" baseField="0" baseItem="0"/>
  </dataFields>
  <chartFormats count="18">
    <chartFormat chart="103" format="15" series="1">
      <pivotArea type="data" outline="0" fieldPosition="0">
        <references count="1">
          <reference field="4294967294" count="1" selected="0">
            <x v="0"/>
          </reference>
        </references>
      </pivotArea>
    </chartFormat>
    <chartFormat chart="98" format="15" series="1">
      <pivotArea type="data" outline="0" fieldPosition="0">
        <references count="1">
          <reference field="4294967294" count="1" selected="0">
            <x v="0"/>
          </reference>
        </references>
      </pivotArea>
    </chartFormat>
    <chartFormat chart="96" format="5" series="1">
      <pivotArea type="data" outline="0" fieldPosition="0">
        <references count="1">
          <reference field="4294967294" count="1" selected="0">
            <x v="0"/>
          </reference>
        </references>
      </pivotArea>
    </chartFormat>
    <chartFormat chart="103" format="16" series="1">
      <pivotArea type="data" outline="0" fieldPosition="0">
        <references count="2">
          <reference field="4294967294" count="1" selected="0">
            <x v="0"/>
          </reference>
          <reference field="1" count="1" selected="0">
            <x v="1"/>
          </reference>
        </references>
      </pivotArea>
    </chartFormat>
    <chartFormat chart="103" format="17" series="1">
      <pivotArea type="data" outline="0" fieldPosition="0">
        <references count="2">
          <reference field="4294967294" count="1" selected="0">
            <x v="0"/>
          </reference>
          <reference field="1" count="1" selected="0">
            <x v="2"/>
          </reference>
        </references>
      </pivotArea>
    </chartFormat>
    <chartFormat chart="103" format="18" series="1">
      <pivotArea type="data" outline="0" fieldPosition="0">
        <references count="2">
          <reference field="4294967294" count="1" selected="0">
            <x v="0"/>
          </reference>
          <reference field="1" count="1" selected="0">
            <x v="3"/>
          </reference>
        </references>
      </pivotArea>
    </chartFormat>
    <chartFormat chart="103" format="19" series="1">
      <pivotArea type="data" outline="0" fieldPosition="0">
        <references count="2">
          <reference field="4294967294" count="1" selected="0">
            <x v="0"/>
          </reference>
          <reference field="1" count="1" selected="0">
            <x v="4"/>
          </reference>
        </references>
      </pivotArea>
    </chartFormat>
    <chartFormat chart="98" format="16" series="1">
      <pivotArea type="data" outline="0" fieldPosition="0">
        <references count="2">
          <reference field="4294967294" count="1" selected="0">
            <x v="0"/>
          </reference>
          <reference field="1" count="1" selected="0">
            <x v="1"/>
          </reference>
        </references>
      </pivotArea>
    </chartFormat>
    <chartFormat chart="98" format="17" series="1">
      <pivotArea type="data" outline="0" fieldPosition="0">
        <references count="2">
          <reference field="4294967294" count="1" selected="0">
            <x v="0"/>
          </reference>
          <reference field="1" count="1" selected="0">
            <x v="2"/>
          </reference>
        </references>
      </pivotArea>
    </chartFormat>
    <chartFormat chart="98" format="18" series="1">
      <pivotArea type="data" outline="0" fieldPosition="0">
        <references count="2">
          <reference field="4294967294" count="1" selected="0">
            <x v="0"/>
          </reference>
          <reference field="1" count="1" selected="0">
            <x v="3"/>
          </reference>
        </references>
      </pivotArea>
    </chartFormat>
    <chartFormat chart="98" format="19" series="1">
      <pivotArea type="data" outline="0" fieldPosition="0">
        <references count="2">
          <reference field="4294967294" count="1" selected="0">
            <x v="0"/>
          </reference>
          <reference field="1" count="1" selected="0">
            <x v="4"/>
          </reference>
        </references>
      </pivotArea>
    </chartFormat>
    <chartFormat chart="96" format="6" series="1">
      <pivotArea type="data" outline="0" fieldPosition="0">
        <references count="2">
          <reference field="4294967294" count="1" selected="0">
            <x v="0"/>
          </reference>
          <reference field="1" count="1" selected="0">
            <x v="1"/>
          </reference>
        </references>
      </pivotArea>
    </chartFormat>
    <chartFormat chart="96" format="7" series="1">
      <pivotArea type="data" outline="0" fieldPosition="0">
        <references count="2">
          <reference field="4294967294" count="1" selected="0">
            <x v="0"/>
          </reference>
          <reference field="1" count="1" selected="0">
            <x v="2"/>
          </reference>
        </references>
      </pivotArea>
    </chartFormat>
    <chartFormat chart="96" format="8" series="1">
      <pivotArea type="data" outline="0" fieldPosition="0">
        <references count="2">
          <reference field="4294967294" count="1" selected="0">
            <x v="0"/>
          </reference>
          <reference field="1" count="1" selected="0">
            <x v="3"/>
          </reference>
        </references>
      </pivotArea>
    </chartFormat>
    <chartFormat chart="96" format="9" series="1">
      <pivotArea type="data" outline="0" fieldPosition="0">
        <references count="2">
          <reference field="4294967294" count="1" selected="0">
            <x v="0"/>
          </reference>
          <reference field="1" count="1" selected="0">
            <x v="4"/>
          </reference>
        </references>
      </pivotArea>
    </chartFormat>
    <chartFormat chart="103" format="20" series="1">
      <pivotArea type="data" outline="0" fieldPosition="0">
        <references count="2">
          <reference field="4294967294" count="1" selected="0">
            <x v="0"/>
          </reference>
          <reference field="1" count="1" selected="0">
            <x v="0"/>
          </reference>
        </references>
      </pivotArea>
    </chartFormat>
    <chartFormat chart="98" format="20" series="1">
      <pivotArea type="data" outline="0" fieldPosition="0">
        <references count="2">
          <reference field="4294967294" count="1" selected="0">
            <x v="0"/>
          </reference>
          <reference field="1" count="1" selected="0">
            <x v="0"/>
          </reference>
        </references>
      </pivotArea>
    </chartFormat>
    <chartFormat chart="96" format="10"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3E49F20-7E7B-45F9-A417-2AB60DC2F83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9" firstHeaderRow="0"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axis="axisRow" showAll="0">
      <items count="6">
        <item x="3"/>
        <item x="1"/>
        <item x="0"/>
        <item x="2"/>
        <item x="4"/>
        <item t="default"/>
      </items>
    </pivotField>
    <pivotField showAll="0"/>
    <pivotField showAll="0"/>
    <pivotField dataField="1" showAll="0"/>
    <pivotField showAll="0"/>
    <pivotField showAll="0">
      <items count="5">
        <item x="0"/>
        <item x="3"/>
        <item x="1"/>
        <item x="2"/>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1"/>
  </rowFields>
  <rowItems count="6">
    <i>
      <x/>
    </i>
    <i>
      <x v="1"/>
    </i>
    <i>
      <x v="2"/>
    </i>
    <i>
      <x v="3"/>
    </i>
    <i>
      <x v="4"/>
    </i>
    <i t="grand">
      <x/>
    </i>
  </rowItems>
  <colFields count="1">
    <field x="-2"/>
  </colFields>
  <colItems count="2">
    <i>
      <x/>
    </i>
    <i i="1">
      <x v="1"/>
    </i>
  </colItems>
  <dataFields count="2">
    <dataField name="Sum of Units_Sold" fld="4" baseField="0" baseItem="0"/>
    <dataField name="Sum of Competitor_Sales" fld="13"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34704D2-2F90-4C9F-AC7A-70D830EF9D9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19">
    <pivotField numFmtId="14" showAl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showAll="0"/>
    <pivotField axis="axisRow" showAll="0">
      <items count="13">
        <item x="0"/>
        <item x="11"/>
        <item x="1"/>
        <item x="2"/>
        <item x="3"/>
        <item x="4"/>
        <item x="5"/>
        <item x="6"/>
        <item x="7"/>
        <item x="8"/>
        <item x="9"/>
        <item x="10"/>
        <item t="default"/>
      </items>
    </pivotField>
    <pivotField showAll="0"/>
    <pivotField dataField="1" showAll="0"/>
    <pivotField showAll="0"/>
    <pivotField showAll="0">
      <items count="5">
        <item x="0"/>
        <item x="3"/>
        <item x="1"/>
        <item x="2"/>
        <item t="default"/>
      </items>
    </pivotField>
    <pivotField dataField="1"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Average_Price" fld="7" baseField="0" baseItem="0"/>
    <dataField name="Sum of Units_Sold" fld="4"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6825674-04FB-4E0B-AF18-9B80A9775A28}"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9" firstHeaderRow="0" firstDataRow="1" firstDataCol="1"/>
  <pivotFields count="12">
    <pivotField numFmtId="14" showAll="0"/>
    <pivotField axis="axisRow" showAll="0">
      <items count="6">
        <item x="3"/>
        <item x="1"/>
        <item x="0"/>
        <item x="2"/>
        <item x="4"/>
        <item t="default"/>
      </items>
    </pivotField>
    <pivotField dataField="1" showAll="0"/>
    <pivotField showAll="0"/>
    <pivotField showAll="0"/>
    <pivotField showAll="0"/>
    <pivotField showAll="0"/>
    <pivotField showAll="0"/>
    <pivotField dataField="1" showAll="0"/>
    <pivotField showAll="0"/>
    <pivotField showAll="0"/>
    <pivotField showAll="0"/>
  </pivotFields>
  <rowFields count="1">
    <field x="1"/>
  </rowFields>
  <rowItems count="6">
    <i>
      <x/>
    </i>
    <i>
      <x v="1"/>
    </i>
    <i>
      <x v="2"/>
    </i>
    <i>
      <x v="3"/>
    </i>
    <i>
      <x v="4"/>
    </i>
    <i t="grand">
      <x/>
    </i>
  </rowItems>
  <colFields count="1">
    <field x="-2"/>
  </colFields>
  <colItems count="2">
    <i>
      <x/>
    </i>
    <i i="1">
      <x v="1"/>
    </i>
  </colItems>
  <dataFields count="2">
    <dataField name="Sum of Marketing_Spend" fld="8" baseField="0" baseItem="0"/>
    <dataField name="Sum of Units_Sold" fld="2" baseField="0" baseItem="0"/>
  </dataFields>
  <chartFormats count="4">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74FBBC07-9EFB-4F74-AD17-4422A212568E}" autoFormatId="16" applyNumberFormats="0" applyBorderFormats="0" applyFontFormats="0" applyPatternFormats="0" applyAlignmentFormats="0" applyWidthHeightFormats="0">
  <queryTableRefresh nextId="11">
    <queryTableFields count="10">
      <queryTableField id="1" name="Date" tableColumnId="1"/>
      <queryTableField id="2" name="Vehicle_Type" tableColumnId="2"/>
      <queryTableField id="3" name="Units_Sold" tableColumnId="3"/>
      <queryTableField id="4" name="Average_Price" tableColumnId="4"/>
      <queryTableField id="5" name="Fuel_Price" tableColumnId="5"/>
      <queryTableField id="6" name="GDP_Growth_Rate" tableColumnId="6"/>
      <queryTableField id="7" name="Unemployment_Rate" tableColumnId="7"/>
      <queryTableField id="8" name="Marketing_Spend" tableColumnId="8"/>
      <queryTableField id="9" name="Competitor_Sales" tableColumnId="9"/>
      <queryTableField id="10" name="Online_Interest_Index"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7" xr16:uid="{CF2031EC-0354-42E2-9594-5CAE3AC12574}" autoFormatId="16" applyNumberFormats="0" applyBorderFormats="0" applyFontFormats="0" applyPatternFormats="0" applyAlignmentFormats="0" applyWidthHeightFormats="0">
  <queryTableRefresh nextId="11">
    <queryTableFields count="10">
      <queryTableField id="1" name="Date" tableColumnId="1"/>
      <queryTableField id="2" name="Vehicle_Type" tableColumnId="2"/>
      <queryTableField id="3" name="Units_Sold" tableColumnId="3"/>
      <queryTableField id="4" name="Average_Price" tableColumnId="4"/>
      <queryTableField id="5" name="Fuel_Price" tableColumnId="5"/>
      <queryTableField id="6" name="GDP_Growth_Rate" tableColumnId="6"/>
      <queryTableField id="7" name="Unemployment_Rate" tableColumnId="7"/>
      <queryTableField id="8" name="Marketing_Spend" tableColumnId="8"/>
      <queryTableField id="9" name="Competitor_Sales" tableColumnId="9"/>
      <queryTableField id="10" name="Online_Interest_Index"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5BB76392-D6DA-4540-ABE6-C0FA31AB6BEC}" autoFormatId="16" applyNumberFormats="0" applyBorderFormats="0" applyFontFormats="0" applyPatternFormats="0" applyAlignmentFormats="0" applyWidthHeightFormats="0">
  <queryTableRefresh nextId="13" unboundColumnsRight="2">
    <queryTableFields count="12">
      <queryTableField id="1" name="Date" tableColumnId="1"/>
      <queryTableField id="2" name="Vehicle_Type" tableColumnId="2"/>
      <queryTableField id="3" name="Units_Sold" tableColumnId="3"/>
      <queryTableField id="4" name="Average_Price" tableColumnId="4"/>
      <queryTableField id="5" name="Fuel_Price" tableColumnId="5"/>
      <queryTableField id="6" name="GDP_Growth_Rate" tableColumnId="6"/>
      <queryTableField id="7" name="Unemployment_Rate" tableColumnId="7"/>
      <queryTableField id="8" name="Marketing_Spend" tableColumnId="8"/>
      <queryTableField id="9" name="Competitor_Sales" tableColumnId="9"/>
      <queryTableField id="10" name="Online_Interest_Index" tableColumnId="10"/>
      <queryTableField id="11" dataBound="0" tableColumnId="11"/>
      <queryTableField id="12" dataBound="0"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1F7A3E7F-FF31-4DB0-8176-43DA82C19059}" autoFormatId="16" applyNumberFormats="0" applyBorderFormats="0" applyFontFormats="0" applyPatternFormats="0" applyAlignmentFormats="0" applyWidthHeightFormats="0">
  <queryTableRefresh nextId="14" unboundColumnsRight="1">
    <queryTableFields count="12">
      <queryTableField id="1" name="Date" tableColumnId="1"/>
      <queryTableField id="2" name="Vehicle_Type" tableColumnId="2"/>
      <queryTableField id="3" name="Units_Sold" tableColumnId="3"/>
      <queryTableField id="13" dataBound="0" tableColumnId="13"/>
      <queryTableField id="4" name="Average_Price" tableColumnId="4"/>
      <queryTableField id="5" name="Fuel_Price" tableColumnId="5"/>
      <queryTableField id="6" name="GDP_Growth_Rate" tableColumnId="6"/>
      <queryTableField id="7" name="Unemployment_Rate" tableColumnId="7"/>
      <queryTableField id="8" name="Marketing_Spend" tableColumnId="8"/>
      <queryTableField id="9" name="Competitor_Sales" tableColumnId="9"/>
      <queryTableField id="10" name="Online_Interest_Index" tableColumnId="10"/>
      <queryTableField id="11" dataBound="0"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3" xr16:uid="{E01E0593-7BBB-43F5-B628-F5E4285C53BE}" autoFormatId="16" applyNumberFormats="0" applyBorderFormats="0" applyFontFormats="0" applyPatternFormats="0" applyAlignmentFormats="0" applyWidthHeightFormats="0">
  <queryTableRefresh nextId="14" unboundColumnsRight="1">
    <queryTableFields count="12">
      <queryTableField id="1" name="Date" tableColumnId="1"/>
      <queryTableField id="2" name="Vehicle_Type" tableColumnId="2"/>
      <queryTableField id="3" name="Units_Sold" tableColumnId="3"/>
      <queryTableField id="13" dataBound="0" tableColumnId="13"/>
      <queryTableField id="4" name="Average_Price" tableColumnId="4"/>
      <queryTableField id="5" name="Fuel_Price" tableColumnId="5"/>
      <queryTableField id="6" name="GDP_Growth_Rate" tableColumnId="6"/>
      <queryTableField id="7" name="Unemployment_Rate" tableColumnId="7"/>
      <queryTableField id="8" name="Marketing_Spend" tableColumnId="8"/>
      <queryTableField id="9" name="Competitor_Sales" tableColumnId="9"/>
      <queryTableField id="10" name="Online_Interest_Index" tableColumnId="10"/>
      <queryTableField id="11" dataBound="0"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3" xr16:uid="{9889712B-CD3F-4EA4-A919-807F56C778CB}" autoFormatId="16" applyNumberFormats="0" applyBorderFormats="0" applyFontFormats="0" applyPatternFormats="0" applyAlignmentFormats="0" applyWidthHeightFormats="0">
  <queryTableRefresh nextId="24" unboundColumnsRight="4">
    <queryTableFields count="19">
      <queryTableField id="1" name="Date" tableColumnId="1"/>
      <queryTableField id="2" name="Vehicle_Type" tableColumnId="2"/>
      <queryTableField id="15" dataBound="0" tableColumnId="14"/>
      <queryTableField id="18" dataBound="0" tableColumnId="17"/>
      <queryTableField id="23" dataBound="0" tableColumnId="19"/>
      <queryTableField id="3" name="Units_Sold" tableColumnId="3"/>
      <queryTableField id="13" dataBound="0" tableColumnId="13"/>
      <queryTableField id="14" dataBound="0" tableColumnId="12"/>
      <queryTableField id="4" name="Average_Price" tableColumnId="4"/>
      <queryTableField id="5" name="Fuel_Price" tableColumnId="5"/>
      <queryTableField id="6" dataBound="0" tableColumnId="6"/>
      <queryTableField id="7" name="Unemployment_Rate" tableColumnId="7"/>
      <queryTableField id="8" name="Marketing_Spend" tableColumnId="8"/>
      <queryTableField id="9" name="Competitor_Sales" tableColumnId="9"/>
      <queryTableField id="10" name="Online_Interest_Index" tableColumnId="10"/>
      <queryTableField id="21" dataBound="0" tableColumnId="15"/>
      <queryTableField id="22" dataBound="0" tableColumnId="16"/>
      <queryTableField id="16" dataBound="0" tableColumnId="18"/>
      <queryTableField id="11" dataBound="0" tableColumnId="11"/>
    </queryTableFields>
    <queryTableDeletedFields count="2">
      <deletedField name="GDP_Growth_Rate"/>
      <deletedField name="GDP_Growth_Rate"/>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4" xr16:uid="{9B5CB8FB-B9E6-4144-96DE-D398CF5FF025}" autoFormatId="16" applyNumberFormats="0" applyBorderFormats="0" applyFontFormats="0" applyPatternFormats="0" applyAlignmentFormats="0" applyWidthHeightFormats="0">
  <queryTableRefresh nextId="23" unboundColumnsRight="4">
    <queryTableFields count="19">
      <queryTableField id="1" name="Date" tableColumnId="1"/>
      <queryTableField id="2" name="Vehicle_Type" tableColumnId="2"/>
      <queryTableField id="15" dataBound="0" tableColumnId="14"/>
      <queryTableField id="17" dataBound="0" tableColumnId="15"/>
      <queryTableField id="22" dataBound="0" tableColumnId="19"/>
      <queryTableField id="3" name="Units_Sold" tableColumnId="3"/>
      <queryTableField id="13" dataBound="0" tableColumnId="13"/>
      <queryTableField id="14" dataBound="0" tableColumnId="12"/>
      <queryTableField id="4" name="Average_Price" tableColumnId="4"/>
      <queryTableField id="5" name="Fuel_Price" tableColumnId="5"/>
      <queryTableField id="6" dataBound="0" tableColumnId="6"/>
      <queryTableField id="7" name="Unemployment_Rate" tableColumnId="7"/>
      <queryTableField id="8" name="Marketing_Spend" tableColumnId="8"/>
      <queryTableField id="9" name="Competitor_Sales" tableColumnId="9"/>
      <queryTableField id="10" name="Online_Interest_Index" tableColumnId="10"/>
      <queryTableField id="20" dataBound="0" tableColumnId="16"/>
      <queryTableField id="21" dataBound="0" tableColumnId="17"/>
      <queryTableField id="16" dataBound="0" tableColumnId="18"/>
      <queryTableField id="11" dataBound="0" tableColumnId="11"/>
    </queryTableFields>
    <queryTableDeletedFields count="2">
      <deletedField name="GDP_Growth_Rate"/>
      <deletedField name="GDP_Growth_R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 xr10:uid="{B8660E04-864A-46DC-B39B-CBCE2ADCCEE7}" sourceName="Vehicle_Type">
  <pivotTables>
    <pivotTable tabId="26" name="PivotTable4"/>
  </pivotTables>
  <data>
    <tabular pivotCacheId="627690073">
      <items count="5">
        <i x="3"/>
        <i x="1"/>
        <i x="2" s="1"/>
        <i x="4"/>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6E32CA-B00D-4E6A-AFB4-F9023DD3888E}" sourceName="Region">
  <pivotTables>
    <pivotTable tabId="23" name="PivotTable1"/>
  </pivotTables>
  <data>
    <tabular pivotCacheId="627690073">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8852D51-F3A1-4902-AD3E-A41E872F148D}" sourceName="Region">
  <pivotTables>
    <pivotTable tabId="36" name="PivotTable1"/>
  </pivotTables>
  <data>
    <tabular pivotCacheId="627690073">
      <items count="4">
        <i x="0" s="1"/>
        <i x="3"/>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882EFF41-2A3A-499E-A150-09DF39048AD0}" sourceName="Region">
  <pivotTables>
    <pivotTable tabId="41" name="PivotTable1"/>
  </pivotTables>
  <data>
    <tabular pivotCacheId="627690073">
      <items count="4">
        <i x="0" s="1"/>
        <i x="3"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BA01D6AC-32C1-43DF-91A7-B935311A1F38}" sourceName="Years (Date)">
  <pivotTables>
    <pivotTable tabId="39" name="PivotTable1"/>
  </pivotTables>
  <data>
    <tabular pivotCacheId="627690073">
      <items count="43">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0" s="1" nd="1"/>
        <i x="4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330A23E0-198E-4D34-8AC8-2C0E9A7FFBF1}" sourceName="Region">
  <pivotTables>
    <pivotTable tabId="55" name="PivotTable7"/>
  </pivotTables>
  <data>
    <tabular pivotCacheId="786381195">
      <items count="4">
        <i x="1" s="1"/>
        <i x="2" s="1"/>
        <i x="0"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y_Sale" xr10:uid="{A645A01C-D77C-4AFF-8BB4-DCE20E058D87}" sourceName="Monthy_Sale">
  <pivotTables>
    <pivotTable tabId="62" name="PivotTable1"/>
  </pivotTables>
  <data>
    <tabular pivotCacheId="657571639">
      <items count="12">
        <i x="0" s="1"/>
        <i x="11"/>
        <i x="1"/>
        <i x="2"/>
        <i x="3"/>
        <i x="4"/>
        <i x="5"/>
        <i x="6"/>
        <i x="7"/>
        <i x="8"/>
        <i x="9"/>
        <i x="10"/>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1" xr10:uid="{3DDC2759-49B3-40DE-81AE-0FAA21F72CC0}" sourceName="Vehicle_Type">
  <pivotTables>
    <pivotTable tabId="64" name="PivotTable3"/>
    <pivotTable tabId="70" name="PivotTable1"/>
  </pivotTables>
  <data>
    <tabular pivotCacheId="657571639">
      <items count="5">
        <i x="3" s="1"/>
        <i x="1"/>
        <i x="0"/>
        <i x="2"/>
        <i x="4"/>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2" xr10:uid="{2E405CE6-C9F3-4F23-A6FE-82332518002F}" sourceName="Vehicle_Type">
  <pivotTables>
    <pivotTable tabId="71" name="PivotTable1"/>
  </pivotTables>
  <data>
    <tabular pivotCacheId="1446999819">
      <items count="5">
        <i x="3" s="1"/>
        <i x="1" s="1"/>
        <i x="0" s="1"/>
        <i x="2" s="1"/>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3" xr10:uid="{75473AEE-F6F7-4E4F-9901-48A2803581CF}" sourceName="Vehicle_Type">
  <pivotTables>
    <pivotTable tabId="73" name="PivotTable2"/>
  </pivotTables>
  <data>
    <tabular pivotCacheId="657571639">
      <items count="5">
        <i x="3" s="1"/>
        <i x="1" s="1"/>
        <i x="0" s="1"/>
        <i x="2"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4" xr10:uid="{157FE11C-005D-406C-BAAD-E62FA790499F}" sourceName="Vehicle_type">
  <pivotTables>
    <pivotTable tabId="75" name="PivotTable2"/>
  </pivotTables>
  <data>
    <tabular pivotCacheId="288744542">
      <items count="5">
        <i x="3" s="1"/>
        <i x="1" s="1"/>
        <i x="0" s="1"/>
        <i x="2" s="1"/>
        <i x="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5" xr10:uid="{441701CE-6FE3-4791-A495-8817C897249B}" sourceName="Vehicle_Type">
  <pivotTables>
    <pivotTable tabId="78" name="PivotTable1"/>
    <pivotTable tabId="82" name="PivotTable5"/>
  </pivotTables>
  <data>
    <tabular pivotCacheId="974106100">
      <items count="5">
        <i x="3" s="1"/>
        <i x="1" s="1"/>
        <i x="0" s="1"/>
        <i x="2" s="1"/>
        <i x="4"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322E12E-2578-418E-9694-F079F5D71F2D}" sourceName="Month">
  <pivotTables>
    <pivotTable tabId="79" name="PivotTable2"/>
  </pivotTables>
  <data>
    <tabular pivotCacheId="974106100">
      <items count="12">
        <i x="0" s="1"/>
        <i x="11" s="1"/>
        <i x="1" s="1"/>
        <i x="2" s="1"/>
        <i x="3" s="1"/>
        <i x="4" s="1"/>
        <i x="5" s="1"/>
        <i x="6" s="1"/>
        <i x="7" s="1"/>
        <i x="8" s="1"/>
        <i x="9" s="1"/>
        <i x="1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6" xr10:uid="{37B6F974-387E-4013-A80C-FC3E4BC78235}" sourceName="Vehicle_Type">
  <pivotTables>
    <pivotTable tabId="87" name="PivotTable1"/>
  </pivotTables>
  <data>
    <tabular pivotCacheId="627690073">
      <items count="5">
        <i x="3" s="1"/>
        <i x="1"/>
        <i x="0"/>
        <i x="2"/>
        <i x="4"/>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y_Sale1" xr10:uid="{273BE77B-0254-4E23-98CC-51A11A34B211}" sourceName="Monthy_Sale">
  <pivotTables>
    <pivotTable tabId="45" name="PivotTable1"/>
  </pivotTables>
  <data>
    <tabular pivotCacheId="627690073">
      <items count="12">
        <i x="0" s="1"/>
        <i x="11" s="1"/>
        <i x="1" s="1"/>
        <i x="2" s="1"/>
        <i x="3" s="1"/>
        <i x="4" s="1"/>
        <i x="5" s="1"/>
        <i x="6" s="1"/>
        <i x="7" s="1"/>
        <i x="8" s="1"/>
        <i x="9" s="1"/>
        <i x="10"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Channel" xr10:uid="{9A364444-FB48-4DD6-BEEC-644E591C9C2B}" sourceName="Campaign_Channel">
  <pivotTables>
    <pivotTable tabId="101" name="PivotTable1"/>
  </pivotTables>
  <data>
    <tabular pivotCacheId="1642479623">
      <items count="5">
        <i x="0" s="1"/>
        <i x="1" s="1"/>
        <i x="4" s="1"/>
        <i x="2" s="1"/>
        <i x="3"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7" xr10:uid="{EFBF1D47-A217-459D-9031-224A1077CDBE}" sourceName="Vehicle_Type">
  <pivotTables>
    <pivotTable tabId="103" name="PivotTable3"/>
    <pivotTable tabId="104" name="PivotTable4"/>
  </pivotTables>
  <data>
    <tabular pivotCacheId="1642479623">
      <items count="5">
        <i x="3" s="1"/>
        <i x="1" s="1"/>
        <i x="0" s="1"/>
        <i x="2" s="1"/>
        <i x="4"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4" xr10:uid="{2CEDFFEF-E1F1-4A9F-BA19-25C0318CDE97}" sourceName="Region">
  <pivotTables>
    <pivotTable tabId="102" name="PivotTable2"/>
  </pivotTables>
  <data>
    <tabular pivotCacheId="1642479623">
      <items count="4">
        <i x="2" s="1"/>
        <i x="1" s="1"/>
        <i x="0" s="1"/>
        <i x="3"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8" xr10:uid="{838F3079-D70C-4DF0-9302-EBCA1E9122DA}" sourceName="Vehicle_Type">
  <pivotTables>
    <pivotTable tabId="108" name="PivotTable1"/>
    <pivotTable tabId="111" name="PivotTable4"/>
  </pivotTables>
  <data>
    <tabular pivotCacheId="627690073">
      <items count="5">
        <i x="3" s="1"/>
        <i x="1" s="1"/>
        <i x="0" s="1"/>
        <i x="2" s="1"/>
        <i x="4"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9" xr10:uid="{0D11963B-9A94-4335-8F2D-9ACBEB03BD2C}" sourceName="Vehicle_Type">
  <pivotTables>
    <pivotTable tabId="24" name="PivotTable2"/>
  </pivotTables>
  <data>
    <tabular pivotCacheId="627690073">
      <items count="5">
        <i x="3" s="1"/>
        <i x="1" s="1"/>
        <i x="2" s="1"/>
        <i x="4" s="1"/>
        <i x="0"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6" xr10:uid="{836DBB58-E1D6-4D90-8E7E-75F191BA0562}" sourceName="Region">
  <pivotTables>
    <pivotTable tabId="90" name="PivotTable4"/>
    <pivotTable tabId="25" name="PivotTable3"/>
    <pivotTable tabId="88" name="PivotTable2"/>
  </pivotTables>
  <data>
    <tabular pivotCacheId="627690073">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9" xr10:uid="{3F1F4D8A-D445-47E3-A03C-EA97AB0C1E7F}" cache="Slicer_Vehicle_Type8" caption="Vehicle_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9" xr10:uid="{8E09121E-F359-4751-BF49-61727DAB60C5}" cache="Slicer_Region6"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20" xr10:uid="{107B6F2E-CA75-499A-BD36-6C472EFD15EE}" cache="Slicer_Vehicle_Type8" caption="Vehicle_Type" rowHeight="234950"/>
  <slicer name="Region 10" xr10:uid="{F6E4A237-BAE9-432A-88DB-E37DDB4FB818}" cache="Slicer_Region6"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_Channel" xr10:uid="{48FC1077-5A14-4DA9-B181-CA749231E94B}" cache="Slicer_Campaign_Channel" caption="Campaign_Channel"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CD78F45A-39FA-44AA-9175-02201F653440}" cache="Slicer_Region4" caption="Region"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6" xr10:uid="{C223D402-424E-484F-BD99-F2C0B8E25152}" cache="Slicer_Vehicle_Type7" caption="Vehicle_Type"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7" xr10:uid="{B1084A33-B3B6-4FFE-875F-5B6DBA88D602}" cache="Slicer_Vehicle_Type7" caption="Vehicle_Type"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_Channel 1" xr10:uid="{08B6349A-F490-4981-AC4B-109A3C3A50BB}" cache="Slicer_Campaign_Channel" caption="Campaign_Channel" rowHeight="234950"/>
  <slicer name="Vehicle_Type 18" xr10:uid="{FA4737CF-1ACD-458C-A128-3618493F6AF8}" cache="Slicer_Vehicle_Type7" caption="Vehicle_Type" rowHeight="234950"/>
  <slicer name="Region 8" xr10:uid="{11841526-CEE6-44BB-9BE8-778F3BED143F}" cache="Slicer_Region4" caption="Region"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CC3B491-5528-499D-B841-7B682E95F23E}" cache="Slicer_Region" caption="Region"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21" xr10:uid="{6E82EC3E-8B45-4044-9D92-B0F568AAB023}" cache="Slicer_Vehicle_Type9" caption="Vehicle_Type"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22" xr10:uid="{7DE6D6B8-B256-4087-954A-F87C828745CD}" cache="Slicer_Vehicle_Type9" caption="Vehicle_Type" rowHeight="2349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xr10:uid="{B70301F5-1701-4F2E-8F0E-C277A7AEC07F}" cache="Slicer_Vehicle_Type" caption="Vehicle_Type" rowHeight="23495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 xr10:uid="{A9142AC5-8536-4798-A776-745010522202}" cache="Slicer_Vehicle_Type" caption="Vehicle_Type" rowHeight="234950"/>
  <slicer name="Region 1" xr10:uid="{B4EF8FFE-7C02-4003-9CB0-5B1D97144D6C}" cache="Slicer_Region" caption="Region" rowHeight="23495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xr10:uid="{78DE8E07-EA3F-44F4-83E6-CD05542B200A}" cache="Slicer_Years__Date" caption="Years (Date)" rowHeight="23495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0BABD27C-2F16-4079-AED4-28DD8C5067A9}" cache="Slicer_Region2" caption="Region" rowHeight="23495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5" xr10:uid="{9B01B205-582D-4F6D-9BCD-1846E4DEFF6F}" cache="Slicer_Region2" caption="Region" rowHeight="234950"/>
  <slicer name="Years (Date) 1" xr10:uid="{07AB5767-D1B3-46E0-8155-91C32DC2C29A}" cache="Slicer_Years__Date" caption="Years (Date)" rowHeight="23495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y_Sale 2" xr10:uid="{153031A8-7ADE-4765-B34A-957ABC3B4649}" cache="Slicer_Monthy_Sale1" caption="Monthy_Sale" rowHeight="23495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0" xr10:uid="{3C9E9866-E85D-43AD-B488-FBD5D1A7574C}" cache="Slicer_Vehicle_Type5" caption="Vehicle_Type" rowHeight="23495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68947B7-C8BE-45FE-AD6E-748E12E292C9}" cache="Slicer_Month" caption="Month" rowHeight="23495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1" xr10:uid="{DB1FE70B-53F7-4E40-9D55-093BC7EDD55B}" cache="Slicer_Vehicle_Type5" caption="Vehicle_Type" rowHeight="234950"/>
  <slicer name="Month 1" xr10:uid="{8FD50322-016C-4F19-B138-2E1A298E2DD5}" cache="Slicer_Month" caption="Month" rowHeight="23495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6" xr10:uid="{E4B98330-1D0F-475E-9692-894D2B875005}" cache="Slicer_Region3" caption="Region" rowHeight="23495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7" xr10:uid="{591C1C0E-22BD-46C0-9BB4-74D12B721359}" cache="Slicer_Region3" caption="Region" rowHeight="23495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5" xr10:uid="{F4AB2FCC-CA29-4696-8931-EA380EEAE2F1}" cache="Slicer_Vehicle_Type3" caption="Vehicle_Type" rowHeight="23495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4" xr10:uid="{87B42335-A014-4728-906E-8215C4BE5772}" cache="Slicer_Vehicle_Type1" caption="Vehicle_Type" rowHeight="23495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y_Sale" xr10:uid="{2B407544-57A4-4916-8079-FB17936F3439}" cache="Slicer_Monthy_Sale" caption="Monthy_Sale" rowHeight="23495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2" xr10:uid="{BD4CC1AC-C726-4423-A7F3-AFED39A3ADA1}" cache="Slicer_Vehicle_Type1" caption="Vehicle_Type" rowHeight="23495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y_Sale 1" xr10:uid="{415340D7-FC46-48F6-965A-F169FA77DB17}" cache="Slicer_Monthy_Sale" caption="Monthy_Sale" rowHeight="234950"/>
  <slicer name="Vehicle_Type 3" xr10:uid="{4E67C0DE-6CEC-41ED-B1C5-3BA854409A9E}" cache="Slicer_Vehicle_Type1" caption="Vehicle_Type" rowHeight="234950"/>
  <slicer name="Vehicle_Type 6" xr10:uid="{E4011D35-2FB1-4052-AAC3-4157F1B544FE}" cache="Slicer_Vehicle_Type3" caption="Vehicle_Type" rowHeight="23495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4" xr10:uid="{12C4366C-2EA0-4D8A-836B-05CAAB991A0D}" cache="Slicer_Vehicle_Type2" caption="Vehicle_Type" rowHeight="23495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8" xr10:uid="{6EAAE8DB-85BA-41D0-8910-E9CCBA3DC49F}" cache="Slicer_Vehicle_type4" caption="Vehicle_type" rowHeight="234950"/>
</slicers>
</file>

<file path=xl/slicers/slicer3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7" xr10:uid="{4B1F79DD-F935-4C7B-92CC-B2527968FD15}" cache="Slicer_Vehicle_Type2" caption="Vehicle_Type" rowHeight="234950"/>
  <slicer name="Vehicle_type 9" xr10:uid="{D369CDA3-E521-4630-8181-00F524D03ABC}" cache="Slicer_Vehicle_type4" caption="Vehicle_type" rowHeight="234950"/>
</slicers>
</file>

<file path=xl/slicers/slicer3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3" xr10:uid="{A52B2F3D-075F-4BCE-A1DA-E0B521EA508C}" cache="Slicer_Vehicle_Type6" caption="Vehicle_Type" rowHeight="234950"/>
</slicers>
</file>

<file path=xl/slicers/slicer3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7857A253-653C-4EA7-A55E-DC3C4C9D6F14}" cache="Slicer_Region1" caption="Region" rowHeight="234950"/>
</slicers>
</file>

<file path=xl/slicers/slicer3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23" xr10:uid="{45456BDC-718B-40AB-BB32-28CDFC16E501}" cache="Slicer_Vehicle_Type6" caption="Vehicle_Type" rowHeight="234950"/>
  <slicer name="Region 11" xr10:uid="{1E054BE6-6ADF-4970-A258-9BDCCABBB065}" cache="Slicer_Region6" caption="Region" rowHeight="234950"/>
</slicers>
</file>

<file path=xl/slicers/slicer3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15" xr10:uid="{088616E9-65EF-4C85-BFA3-6E5880F56637}" cache="Slicer_Vehicle_Type1" caption="Vehicle_Type" rowHeight="234950"/>
  <slicer name="Vehicle_Type 12" xr10:uid="{9FFA9779-DD43-495C-8734-EB9835530C59}" cache="Slicer_Vehicle_Type6" caption="Vehicle_Type" rowHeight="234950"/>
  <slicer name="Monthy_Sale 3" xr10:uid="{64570AD4-8D91-4DD2-B6F7-2593B997506D}" cache="Slicer_Monthy_Sale1" caption="Monthy_Sal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3E9365-B8A2-406D-B553-88836CDCB9B5}" name="automotive_demand_forecasting_dataset__2" displayName="automotive_demand_forecasting_dataset__2" ref="A1:J501" tableType="queryTable" totalsRowShown="0">
  <autoFilter ref="A1:J501" xr:uid="{673E9365-B8A2-406D-B553-88836CDCB9B5}"/>
  <tableColumns count="10">
    <tableColumn id="1" xr3:uid="{B89BB07B-647C-4661-82A8-58D2441EB81E}" uniqueName="1" name="Date" queryTableFieldId="1" dataDxfId="331"/>
    <tableColumn id="2" xr3:uid="{3EBF8781-749E-40D1-9070-F14D0A372FFA}" uniqueName="2" name="Vehicle_Type" queryTableFieldId="2" dataDxfId="330"/>
    <tableColumn id="3" xr3:uid="{54ED702D-902F-43E5-BAFC-80665069A8DD}" uniqueName="3" name="Units_Sold" queryTableFieldId="3"/>
    <tableColumn id="4" xr3:uid="{0A460CCF-915F-4F22-98EB-516FDD67028F}" uniqueName="4" name="Average_Price" queryTableFieldId="4"/>
    <tableColumn id="5" xr3:uid="{398DAAC3-75B4-4169-A2F1-1678AF01826F}" uniqueName="5" name="Fuel_Price" queryTableFieldId="5"/>
    <tableColumn id="6" xr3:uid="{639681DF-54BA-4C5F-BA04-8BB8FE7D870F}" uniqueName="6" name="GDP_Growth_Rate" queryTableFieldId="6"/>
    <tableColumn id="7" xr3:uid="{43BDF19A-153F-48D8-B08B-58084EE91BD0}" uniqueName="7" name="Unemployment_Rate" queryTableFieldId="7"/>
    <tableColumn id="8" xr3:uid="{9C4A7F27-EB66-4B58-BD0D-E2B76808A418}" uniqueName="8" name="Marketing_Spend" queryTableFieldId="8"/>
    <tableColumn id="9" xr3:uid="{8EAD7384-C173-48F3-BFA9-B08C6C5D6F41}" uniqueName="9" name="Competitor_Sales" queryTableFieldId="9"/>
    <tableColumn id="10" xr3:uid="{998BDC8F-3574-48F9-BBFF-D180439534C7}" uniqueName="10" name="Online_Interest_Index" queryTableFieldId="1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4B67EE-5828-414E-80A4-847832B333D9}" name="automotive_demand_forecasting_dataset__24" displayName="automotive_demand_forecasting_dataset__24" ref="A1:J501" tableType="queryTable" totalsRowShown="0">
  <autoFilter ref="A1:J501" xr:uid="{673E9365-B8A2-406D-B553-88836CDCB9B5}"/>
  <tableColumns count="10">
    <tableColumn id="1" xr3:uid="{A97D6260-7051-4917-9FB1-507B47372A08}" uniqueName="1" name="Date" queryTableFieldId="1" dataDxfId="329"/>
    <tableColumn id="2" xr3:uid="{E34C072C-88E4-49A7-9CCD-6BEC527ECD17}" uniqueName="2" name="Vehicle_Type" queryTableFieldId="2" dataDxfId="328"/>
    <tableColumn id="3" xr3:uid="{BA66AC2B-8B39-4904-B80D-962D14EA7B41}" uniqueName="3" name="Units_Sold" queryTableFieldId="3"/>
    <tableColumn id="4" xr3:uid="{AA5F3956-C44D-4586-AAA5-81D8F9813166}" uniqueName="4" name="Average_Price" queryTableFieldId="4"/>
    <tableColumn id="5" xr3:uid="{93E5A81F-FBED-47EE-8388-071BDF4BA739}" uniqueName="5" name="Fuel_Price" queryTableFieldId="5"/>
    <tableColumn id="6" xr3:uid="{74CCB369-12FA-43B2-832A-BA6583F083C4}" uniqueName="6" name="GDP_Growth_Rate" queryTableFieldId="6"/>
    <tableColumn id="7" xr3:uid="{E6EFE1A0-CC82-4A99-8F83-1519C6E11E12}" uniqueName="7" name="Unemployment_Rate" queryTableFieldId="7"/>
    <tableColumn id="8" xr3:uid="{56DADEB1-B7DB-42A1-A17C-E555E0BA1731}" uniqueName="8" name="Marketing_Spend" queryTableFieldId="8"/>
    <tableColumn id="9" xr3:uid="{A584E58C-11B4-4FA2-8E7E-7C2635031A9E}" uniqueName="9" name="Competitor_Sales" queryTableFieldId="9"/>
    <tableColumn id="10" xr3:uid="{2683CCBD-79A3-40F4-9139-AB39D13D40B0}" uniqueName="10" name="Online_Interest_Index" queryTableField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FB78CF-6136-4204-964C-0AF040524CC2}" name="automotive_demand_forecasting_dataset" displayName="automotive_demand_forecasting_dataset" ref="A1:L501" tableType="queryTable" totalsRowShown="0">
  <autoFilter ref="A1:L501" xr:uid="{8FFB78CF-6136-4204-964C-0AF040524CC2}"/>
  <tableColumns count="12">
    <tableColumn id="1" xr3:uid="{F4BCF567-853B-4A1D-9898-D420311DAEC8}" uniqueName="1" name="Date" queryTableFieldId="1" dataDxfId="327"/>
    <tableColumn id="2" xr3:uid="{452C13FB-C821-4297-A0A2-83D4F81DD458}" uniqueName="2" name="Vehicle_Type" queryTableFieldId="2" dataDxfId="326"/>
    <tableColumn id="3" xr3:uid="{82F246F7-2116-4E81-BBF9-ACA222EEB290}" uniqueName="3" name="Units_Sold" queryTableFieldId="3"/>
    <tableColumn id="4" xr3:uid="{6B914F87-A6F2-4475-A751-FEEDED4F4CF1}" uniqueName="4" name="Average_Price" queryTableFieldId="4"/>
    <tableColumn id="5" xr3:uid="{2A817BCB-1A2F-4ECA-B30D-E8E2F90185A1}" uniqueName="5" name="Fuel_Price" queryTableFieldId="5"/>
    <tableColumn id="6" xr3:uid="{379AB6EB-4ECF-4A33-87BA-0A7FFC555FB1}" uniqueName="6" name="GDP_Growth_Rate" queryTableFieldId="6"/>
    <tableColumn id="7" xr3:uid="{3C45B0C4-723D-476E-87BB-71E81C324067}" uniqueName="7" name="Unemployment_Rate" queryTableFieldId="7"/>
    <tableColumn id="8" xr3:uid="{66CEBCAF-F741-45D8-AAE3-22A8423FA588}" uniqueName="8" name="Marketing_Spend" queryTableFieldId="8"/>
    <tableColumn id="9" xr3:uid="{B481AA88-B55D-4089-B9E9-C1D5DAA0E11E}" uniqueName="9" name="Competitor_Sales" queryTableFieldId="9"/>
    <tableColumn id="10" xr3:uid="{C18CBC9C-1EEB-4BB1-92C7-D5D7B1F2B8B2}" uniqueName="10" name="Online_Interest_Index" queryTableFieldId="10"/>
    <tableColumn id="11" xr3:uid="{61442266-CEC4-4DD8-8D8C-8D892BF8539E}" uniqueName="11" name="Missing Data" queryTableFieldId="11" dataDxfId="325">
      <calculatedColumnFormula>IF(COUNTA(A2:J2)&lt;COLUMNS(A2:J2), "Missing Data", "OK")</calculatedColumnFormula>
    </tableColumn>
    <tableColumn id="12" xr3:uid="{DBA96F11-FF1B-4E20-ABD7-A8B677368046}" uniqueName="12" name="Column1" queryTableField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3E9B978-9EB9-40AE-8A22-3A519441626F}" name="automotive_demand_forecasting_dataset5" displayName="automotive_demand_forecasting_dataset5" ref="A10:L510" tableType="queryTable" totalsRowShown="0">
  <autoFilter ref="A10:L510" xr:uid="{8FFB78CF-6136-4204-964C-0AF040524CC2}"/>
  <tableColumns count="12">
    <tableColumn id="1" xr3:uid="{3661F756-1367-466A-B86E-F87010AF2314}" uniqueName="1" name="Date" queryTableFieldId="1" dataDxfId="324"/>
    <tableColumn id="2" xr3:uid="{9C4C8306-14EC-40E3-8B78-BC7C6A5D4192}" uniqueName="2" name="Vehicle_Type" queryTableFieldId="2" dataDxfId="323"/>
    <tableColumn id="3" xr3:uid="{D193E161-C529-4C97-B705-6B06A988F3E8}" uniqueName="3" name="Units_Sold" queryTableFieldId="3"/>
    <tableColumn id="13" xr3:uid="{307A9F29-5E13-4B1F-B50A-E6651BE56F03}" uniqueName="13" name="Unit_Sold Z Score" queryTableFieldId="13" dataDxfId="322">
      <calculatedColumnFormula>(automotive_demand_forecasting_dataset5[[#This Row],[Units_Sold]] -$C$4) / $C$5</calculatedColumnFormula>
    </tableColumn>
    <tableColumn id="4" xr3:uid="{93522738-C061-4700-A73D-C7A08D8530E5}" uniqueName="4" name="Average_Price" queryTableFieldId="4"/>
    <tableColumn id="5" xr3:uid="{AF5CA60E-594B-4317-8B56-34FF23BB9659}" uniqueName="5" name="Fuel_Price" queryTableFieldId="5"/>
    <tableColumn id="6" xr3:uid="{C0759339-280C-420E-B9EE-71CDA2925AA6}" uniqueName="6" name="GDP_Growth_Rate" queryTableFieldId="6"/>
    <tableColumn id="7" xr3:uid="{A36473A7-9361-4E10-B86B-722F8194B435}" uniqueName="7" name="Unemployment_Rate" queryTableFieldId="7"/>
    <tableColumn id="8" xr3:uid="{FA4FCF89-F029-4DDB-9939-EE814B466683}" uniqueName="8" name="Marketing_Spend" queryTableFieldId="8"/>
    <tableColumn id="9" xr3:uid="{C0E2CB28-DD90-4B33-B1FA-B36EF9F83CFF}" uniqueName="9" name="Competitor_Sales" queryTableFieldId="9"/>
    <tableColumn id="10" xr3:uid="{B06AB8F7-267A-439A-8553-DA11A3189A3D}" uniqueName="10" name="Online_Interest_Index" queryTableFieldId="10"/>
    <tableColumn id="11" xr3:uid="{5B9EB1DF-6608-4CED-B2BA-710A762BC85E}" uniqueName="11" name="Missing Data" queryTableFieldId="11" dataDxfId="321">
      <calculatedColumnFormula>IF(COUNTA(A11:K11)&lt;COLUMNS(A11:K11), "Missing Data", "OK")</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9AC93C6-BA4A-470F-BF45-189C8434D922}" name="automotive_demand_forecasting_dataset56" displayName="automotive_demand_forecasting_dataset56" ref="A10:L510" tableType="queryTable" totalsRowShown="0">
  <autoFilter ref="A10:L510" xr:uid="{8FFB78CF-6136-4204-964C-0AF040524CC2}"/>
  <tableColumns count="12">
    <tableColumn id="1" xr3:uid="{87A89BD0-996F-4DFE-A555-A708CD15F81F}" uniqueName="1" name="Date" queryTableFieldId="1" dataDxfId="320"/>
    <tableColumn id="2" xr3:uid="{BD398D2F-0820-4E07-A24A-070202A26AC6}" uniqueName="2" name="Vehicle_Type" queryTableFieldId="2" dataDxfId="319"/>
    <tableColumn id="3" xr3:uid="{573F5262-A233-4E83-B58F-3E75CCC7C71E}" uniqueName="3" name="Units_Sold" queryTableFieldId="3"/>
    <tableColumn id="13" xr3:uid="{0C2A7F06-5353-4498-BE57-92EADA0FF610}" uniqueName="13" name="Unit_Sold Z Score" queryTableFieldId="13" dataDxfId="318">
      <calculatedColumnFormula>(automotive_demand_forecasting_dataset56[[#This Row],[Units_Sold]] -$C$4) / $C$5</calculatedColumnFormula>
    </tableColumn>
    <tableColumn id="4" xr3:uid="{BC2F48AB-2C82-4176-A26E-AD30C97C33D3}" uniqueName="4" name="Average_Price" queryTableFieldId="4"/>
    <tableColumn id="5" xr3:uid="{AEFE649C-FD6D-41F5-BBD4-40AB66A355DB}" uniqueName="5" name="Fuel_Price" queryTableFieldId="5"/>
    <tableColumn id="6" xr3:uid="{C433FB0A-4954-447E-BE9B-C6682EE8BAEC}" uniqueName="6" name="GDP_Growth_Rate" queryTableFieldId="6"/>
    <tableColumn id="7" xr3:uid="{34617F6F-57BB-4E15-9AF7-A7D9F52FD467}" uniqueName="7" name="Unemployment_Rate" queryTableFieldId="7"/>
    <tableColumn id="8" xr3:uid="{99E5C985-6B5C-4258-9AAE-F979B01E7DCF}" uniqueName="8" name="Marketing_Spend" queryTableFieldId="8"/>
    <tableColumn id="9" xr3:uid="{0D6A8B35-2440-4C5C-8B08-AC3F0FB1A6AD}" uniqueName="9" name="Competitor_Sales" queryTableFieldId="9" dataDxfId="317"/>
    <tableColumn id="10" xr3:uid="{A94ADAF1-284E-455F-AF46-80215C674A8E}" uniqueName="10" name="Online_Interest_Index" queryTableFieldId="10"/>
    <tableColumn id="11" xr3:uid="{123FBA1A-1AB2-4EF5-9EEE-E2B30C913E7A}" uniqueName="11" name="Missing Data" queryTableFieldId="11" dataDxfId="316">
      <calculatedColumnFormula>IF(COUNTA(A11:K11)&lt;COLUMNS(A11:K11), "Missing Data", "OK")</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B4F196A-9E4A-477A-B3D5-7BBE71300561}" name="automotive_demand_forecasting_dataset567" displayName="automotive_demand_forecasting_dataset567" ref="A10:S510" tableType="queryTable" totalsRowShown="0">
  <autoFilter ref="A10:S510" xr:uid="{8FFB78CF-6136-4204-964C-0AF040524CC2}"/>
  <tableColumns count="19">
    <tableColumn id="1" xr3:uid="{7EE54E93-B313-4DA0-AEA4-8A623F036DC1}" uniqueName="1" name="Date" queryTableFieldId="1" dataDxfId="315"/>
    <tableColumn id="2" xr3:uid="{AEC2C9B7-D2EE-4461-98C4-5DEEBB27B651}" uniqueName="2" name="Vehicle_Type" queryTableFieldId="2" dataDxfId="314"/>
    <tableColumn id="14" xr3:uid="{061E6E64-F973-47CF-B5FF-9D742EFE1C28}" uniqueName="14" name="Month" queryTableFieldId="15" dataDxfId="313">
      <calculatedColumnFormula>TEXT(automotive_demand_forecasting_dataset567[[#This Row],[Date]],"mmmm")</calculatedColumnFormula>
    </tableColumn>
    <tableColumn id="17" xr3:uid="{183844DB-948D-4658-B30D-221CDAF78ABE}" uniqueName="17" name="Season" queryTableFieldId="18" dataDxfId="312">
      <calculatedColumnFormula>CHOOSE(MATCH(MONTH(A11), {1,4,7,10}), "Winter", "Spring", "Summer", "Autumn")</calculatedColumnFormula>
    </tableColumn>
    <tableColumn id="19" xr3:uid="{B13E05CB-9183-478D-85DD-943BB732F269}" uniqueName="19" name="Year" queryTableFieldId="23" dataDxfId="311">
      <calculatedColumnFormula>YEAR(automotive_demand_forecasting_dataset567[[#This Row],[Date]])</calculatedColumnFormula>
    </tableColumn>
    <tableColumn id="3" xr3:uid="{23CE55A1-2F60-4E13-8B2B-5715EBEDDFA5}" uniqueName="3" name="Units_Sold" queryTableFieldId="3"/>
    <tableColumn id="13" xr3:uid="{D39D9286-5840-448F-8318-81F4F8BB43DA}" uniqueName="13" name="Unit_Sold Z Score" queryTableFieldId="13" dataDxfId="310">
      <calculatedColumnFormula>(automotive_demand_forecasting_dataset567[[#This Row],[Units_Sold]] -$C$4) / $C$5</calculatedColumnFormula>
    </tableColumn>
    <tableColumn id="12" xr3:uid="{533D7A19-6034-49CE-8AE3-8AA86DDAB3E7}" uniqueName="12" name="Region" queryTableFieldId="14" dataDxfId="309">
      <calculatedColumnFormula>CHOOSE(RANDBETWEEN(1,4),"North","South","East","West")</calculatedColumnFormula>
    </tableColumn>
    <tableColumn id="4" xr3:uid="{272F9C77-915E-4C59-B079-81E51DE72551}" uniqueName="4" name="Average_Price" queryTableFieldId="4"/>
    <tableColumn id="5" xr3:uid="{E8A8864C-E229-45B2-AC2E-621BB9961E7D}" uniqueName="5" name="Fuel_Price" queryTableFieldId="5"/>
    <tableColumn id="6" xr3:uid="{CEE1EB6E-85BA-4FAB-BC81-35DF767F7333}" uniqueName="6" name="GDP_Growth_Rate" queryTableFieldId="6"/>
    <tableColumn id="7" xr3:uid="{5BCC8BF7-3C7E-4BAC-8849-50AE4A88A2E8}" uniqueName="7" name="Unemployment_Rate" queryTableFieldId="7"/>
    <tableColumn id="8" xr3:uid="{F8496726-F89D-4639-A77F-96DA224552D3}" uniqueName="8" name="Marketing_Spend" queryTableFieldId="8"/>
    <tableColumn id="9" xr3:uid="{AD818B51-2AE3-491A-A01F-F712771F39B4}" uniqueName="9" name="Competitor_Sales" queryTableFieldId="9" dataDxfId="308"/>
    <tableColumn id="10" xr3:uid="{ED75D9CC-4367-467C-8C0F-BB45AC9BE810}" uniqueName="10" name="Online_Interest_Index" queryTableFieldId="10"/>
    <tableColumn id="15" xr3:uid="{67B8B4CF-4A8D-4158-82DF-B0579EFECC0A}" uniqueName="15" name="Marketing_Campaign" queryTableFieldId="21">
      <calculatedColumnFormula>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calculatedColumnFormula>
    </tableColumn>
    <tableColumn id="16" xr3:uid="{5BBBDC35-5A5A-4C3C-BADA-10D32AB8EE2F}" uniqueName="16" name="Campaign_Channel" queryTableFieldId="22">
      <calculatedColumnFormula>CHOOSE(RANDBETWEEN(1,5),"Online","TV","Radio","Print","Billboards")</calculatedColumnFormula>
    </tableColumn>
    <tableColumn id="18" xr3:uid="{7928B1EF-CCAB-4178-95FB-64AA212A7112}" uniqueName="18" name="Estimated Revenue" queryTableFieldId="16" dataDxfId="307">
      <calculatedColumnFormula>automotive_demand_forecasting_dataset567[[#This Row],[Units_Sold]]*automotive_demand_forecasting_dataset567[[#This Row],[Average_Price]]</calculatedColumnFormula>
    </tableColumn>
    <tableColumn id="11" xr3:uid="{D11F096F-5A89-4BE9-BE3D-B23C5BADB7CF}" uniqueName="11" name="Missing Data" queryTableFieldId="11" dataDxfId="306">
      <calculatedColumnFormula>IF(COUNTA(A11:O11)&lt;COLUMNS(A11:O11), "Missing Data", "OK")</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0FE3BD-C2C2-4F8C-A7F8-8F274D94E54F}" name="automotive_demand_forecasting_dataset5678" displayName="automotive_demand_forecasting_dataset5678" ref="A10:S511" tableType="queryTable" totalsRowShown="0">
  <autoFilter ref="A10:S511" xr:uid="{8FFB78CF-6136-4204-964C-0AF040524CC2}"/>
  <tableColumns count="19">
    <tableColumn id="1" xr3:uid="{45EC626F-B202-4A58-8A72-EF35073A5AC9}" uniqueName="1" name="Date" queryTableFieldId="1" dataDxfId="305"/>
    <tableColumn id="2" xr3:uid="{1DF27015-8D28-4FF3-9CAE-799393678C61}" uniqueName="2" name="Vehicle_Type" queryTableFieldId="2" dataDxfId="304"/>
    <tableColumn id="14" xr3:uid="{A974EE79-BF61-42BC-9BAF-691B47F8E14C}" uniqueName="14" name="Month" queryTableFieldId="15" dataDxfId="303">
      <calculatedColumnFormula>TEXT(automotive_demand_forecasting_dataset5678[[#This Row],[Date]],"mmmm")</calculatedColumnFormula>
    </tableColumn>
    <tableColumn id="15" xr3:uid="{00EDDD76-1CEB-44EC-8F4F-F1D01F76FA1F}" uniqueName="15" name="Season" queryTableFieldId="17" dataDxfId="302">
      <calculatedColumnFormula>CHOOSE(MATCH(MONTH(A11), {1,4,7,10}), "Winter", "Spring", "Summer", "Autumn")</calculatedColumnFormula>
    </tableColumn>
    <tableColumn id="19" xr3:uid="{71723E1C-01AF-49FB-B2D5-6E08CD85E8BC}" uniqueName="19" name="Year" queryTableFieldId="22" dataDxfId="301">
      <calculatedColumnFormula>YEAR(automotive_demand_forecasting_dataset5678[[#This Row],[Date]])</calculatedColumnFormula>
    </tableColumn>
    <tableColumn id="3" xr3:uid="{46ABF84A-6D39-4416-A810-0294885680C7}" uniqueName="3" name="Units_Sold" queryTableFieldId="3"/>
    <tableColumn id="13" xr3:uid="{EF2A55C1-F902-4F2A-A411-95A5C9085381}" uniqueName="13" name="Unit_Sold Z Score" queryTableFieldId="13" dataDxfId="300">
      <calculatedColumnFormula>(automotive_demand_forecasting_dataset5678[[#This Row],[Units_Sold]] -$C$4) / $C$5</calculatedColumnFormula>
    </tableColumn>
    <tableColumn id="12" xr3:uid="{BF279716-0C2B-4EBD-85D0-6F1D275BDA09}" uniqueName="12" name="Region" queryTableFieldId="14" dataDxfId="299">
      <calculatedColumnFormula>CHOOSE(RANDBETWEEN(1,4),"North","South","East","West")</calculatedColumnFormula>
    </tableColumn>
    <tableColumn id="4" xr3:uid="{0C7F2577-EAB0-45BC-83E8-87AA293DA89A}" uniqueName="4" name="Average_Price" queryTableFieldId="4"/>
    <tableColumn id="5" xr3:uid="{DF7DD9AE-1083-494F-AF5B-B1E170CDDB25}" uniqueName="5" name="Fuel_Price" queryTableFieldId="5"/>
    <tableColumn id="6" xr3:uid="{4E170F8C-5E4A-4637-89F1-3D606394C925}" uniqueName="6" name="GDP_Growth_Rate" queryTableFieldId="6"/>
    <tableColumn id="7" xr3:uid="{775B2CE0-CB6F-4340-936C-6A52CDF63990}" uniqueName="7" name="Unemployment_Rate" queryTableFieldId="7"/>
    <tableColumn id="8" xr3:uid="{D15C6485-C1DD-4E46-A012-6D810374FCAA}" uniqueName="8" name="Marketing_Spend" queryTableFieldId="8"/>
    <tableColumn id="9" xr3:uid="{9111E3FC-A1BE-4DBA-A97D-AF262776B28C}" uniqueName="9" name="Competitor_Sales" queryTableFieldId="9" dataDxfId="298"/>
    <tableColumn id="10" xr3:uid="{4A72A9E5-349E-4514-9A56-EE98A47E75CA}" uniqueName="10" name="Online_Interest_Index" queryTableFieldId="10"/>
    <tableColumn id="16" xr3:uid="{D3B91C5E-3FB0-4336-A3DE-FA53451EDDD2}" uniqueName="16" name="Marketing_Campaign" queryTableFieldId="20">
      <calculatedColumnFormula>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calculatedColumnFormula>
    </tableColumn>
    <tableColumn id="17" xr3:uid="{BB05438F-93D2-43AA-AE32-FB3AA5586E18}" uniqueName="17" name="Campaign_Channel" queryTableFieldId="21">
      <calculatedColumnFormula>CHOOSE(RANDBETWEEN(1,5),"Online","TV","Radio","Print","Billboards")</calculatedColumnFormula>
    </tableColumn>
    <tableColumn id="18" xr3:uid="{CBE90684-8241-48AA-8038-F222E570A6ED}" uniqueName="18" name="Estimated Revenue" queryTableFieldId="16" dataDxfId="297">
      <calculatedColumnFormula>automotive_demand_forecasting_dataset5678[[#This Row],[Units_Sold]]*automotive_demand_forecasting_dataset5678[[#This Row],[Average_Price]]</calculatedColumnFormula>
    </tableColumn>
    <tableColumn id="11" xr3:uid="{2704076A-41AA-4C3E-9EBC-B4237913CFF4}" uniqueName="11" name="Missing Data" queryTableFieldId="11" dataDxfId="296">
      <calculatedColumnFormula>IF(COUNTA(A11:O11)&lt;COLUMNS(A11:O11), "Missing Data", "OK")</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D25FD88-373B-4C11-9C1F-402225801549}" name="Table18" displayName="Table18" ref="A1:E108" totalsRowShown="0" headerRowDxfId="295">
  <autoFilter ref="A1:E108" xr:uid="{8D25FD88-373B-4C11-9C1F-402225801549}"/>
  <tableColumns count="5">
    <tableColumn id="1" xr3:uid="{5AAAE5CC-1705-4A52-9E35-2AC4F80EEAAE}" name="SUVs Sale"/>
    <tableColumn id="2" xr3:uid="{2DE1A72E-D9C6-4333-AC35-9A7D5A4ECED0}" name="Sedans Sale" dataDxfId="294"/>
    <tableColumn id="3" xr3:uid="{71E806AB-B3F6-44A1-8067-6552D073FC9A}" name="Hatchback Sale"/>
    <tableColumn id="4" xr3:uid="{FA567DA7-9314-4276-948E-CB694402E436}" name="Electric Sale"/>
    <tableColumn id="5" xr3:uid="{A56E28B4-E954-4BE4-8166-EE1EDCE7D958}" name="Truck Sal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FC6A42C-7ECE-434F-AEDC-A1E7BA65B254}" name="Table14" displayName="Table14" ref="A1:D501" totalsRowShown="0" headerRowDxfId="293" tableBorderDxfId="292">
  <autoFilter ref="A1:D501" xr:uid="{8FC6A42C-7ECE-434F-AEDC-A1E7BA65B254}"/>
  <tableColumns count="4">
    <tableColumn id="1" xr3:uid="{37FE6617-3FB0-42D6-8DB2-CA6659AB8D24}" name="Date" dataDxfId="291"/>
    <tableColumn id="2" xr3:uid="{0967AD91-E2DF-4232-8BB1-CB9888302014}" name="Vehicle_Type" dataDxfId="290"/>
    <tableColumn id="3" xr3:uid="{4FE186B9-FBB1-45A9-B8E2-60EE5A13C3FB}" name="Units_Sold" dataDxfId="289"/>
    <tableColumn id="4" xr3:uid="{C6B8DD2B-B0C7-441A-8D2C-C2CDC8A01CD3}" name="Forecasted_Unit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4A2F8F2-F9C7-4F41-B65F-1D5D031D2B39}" name="Table17" displayName="Table17" ref="A1:J501" totalsRowShown="0" headerRowDxfId="288" tableBorderDxfId="287">
  <autoFilter ref="A1:J501" xr:uid="{C4A2F8F2-F9C7-4F41-B65F-1D5D031D2B39}"/>
  <tableColumns count="10">
    <tableColumn id="1" xr3:uid="{B08FB868-7B5D-4CF9-AC43-B49B761584DF}" name="Date" dataDxfId="286"/>
    <tableColumn id="2" xr3:uid="{DE9C218D-BF8F-49EF-ADAF-3F95D10E4C81}" name="Vehicle_Type" dataDxfId="285"/>
    <tableColumn id="3" xr3:uid="{9E3205CA-A50A-400D-9E19-F209ECBB9970}" name="Month" dataDxfId="284">
      <calculatedColumnFormula>TEXT(A2,"mmmm")</calculatedColumnFormula>
    </tableColumn>
    <tableColumn id="4" xr3:uid="{C7CBA041-0F78-4909-A32F-F95A990A6B57}" name="Season" dataDxfId="283">
      <calculatedColumnFormula>CHOOSE(MATCH(MONTH(A2), {1,4,7,10}), "Winter", "Spring", "Summer", "Autumn")</calculatedColumnFormula>
    </tableColumn>
    <tableColumn id="5" xr3:uid="{3F6AAFEC-17D6-40E9-94D9-5CEBDCAB8BCA}" name="Year">
      <calculatedColumnFormula>YEAR(A2)</calculatedColumnFormula>
    </tableColumn>
    <tableColumn id="6" xr3:uid="{9993BA28-3571-4804-9873-DC28BE6D8D22}" name="Units_Sold"/>
    <tableColumn id="7" xr3:uid="{2015075A-9779-4913-A271-D1C56CB35F71}" name="Current_Month_Sales" dataDxfId="282">
      <calculatedColumnFormula>CHOOSE(RANDBETWEEN(1,12), 121,133,65,78,150,189,89,157,100,172,97,130)</calculatedColumnFormula>
    </tableColumn>
    <tableColumn id="8" xr3:uid="{B5495CBE-0D2D-43B3-830C-B33359A65D25}" name="Previous Month Sales" dataDxfId="281">
      <calculatedColumnFormula>CHOOSE(RANDBETWEEN(1,12), 129,63,79,105,117,129,56,48,117,109,68,118)</calculatedColumnFormula>
    </tableColumn>
    <tableColumn id="9" xr3:uid="{5D4EE62C-B3C3-42EA-A1D4-4A2D214DF0D6}" name="%Change" dataDxfId="280">
      <calculatedColumnFormula>(Table17[[#This Row],[Current_Month_Sales]]-Table17[[#This Row],[Previous Month Sales]])/Table17[[#This Row],[Previous Month Sales]]</calculatedColumnFormula>
    </tableColumn>
    <tableColumn id="10" xr3:uid="{291A0FF2-997A-4ADB-B029-55E352B1651C}" name="Alert" dataDxfId="279">
      <calculatedColumnFormula>IF(ABS(Table17[[#This Row],[%Change]]) &gt; 0.3, "Alert: Preference Shift", "")</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14C02E3-709B-4C9F-ABE1-73E06F3DD01B}" name="Table10" displayName="Table10" ref="A1:E635" totalsRowShown="0">
  <autoFilter ref="A1:E635" xr:uid="{B14C02E3-709B-4C9F-ABE1-73E06F3DD01B}"/>
  <tableColumns count="5">
    <tableColumn id="1" xr3:uid="{5A4237BF-499C-407F-98AB-E2247365DBA4}" name="Date" dataDxfId="278"/>
    <tableColumn id="2" xr3:uid="{8912C15A-59B1-4CB9-9F4A-010335AC6C1C}" name="Units_Sold"/>
    <tableColumn id="3" xr3:uid="{72FE2A24-A505-4107-BF82-B4DF2DF6AEC4}" name="Forecast(Units_Sold)">
      <calculatedColumnFormula>_xlfn.FORECAST.ETS(A2,$B$2:$B$501,$A$2:$A$501,1,1)</calculatedColumnFormula>
    </tableColumn>
    <tableColumn id="4" xr3:uid="{E738BC29-D077-4C65-B5E1-327E47DF7CB7}" name="Lower Confidence Bound(Units_Sold)" dataDxfId="277">
      <calculatedColumnFormula>C2-_xlfn.FORECAST.ETS.CONFINT(A2,$B$2:$B$501,$A$2:$A$501,0.95,1,1)</calculatedColumnFormula>
    </tableColumn>
    <tableColumn id="5" xr3:uid="{D7FFEFA2-C69F-4A92-BB0B-617517EE3D39}" name="Upper Confidence Bound(Units_Sold)" dataDxfId="276">
      <calculatedColumnFormula>C2+_xlfn.FORECAST.ETS.CONFINT(A2,$B$2:$B$501,$A$2:$A$501,0.95,1,1)</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BADE1B2-D336-4047-847B-EF49E9A819B8}" name="Table8" displayName="Table8" ref="A1:D501" totalsRowShown="0" headerRowDxfId="275" tableBorderDxfId="274">
  <autoFilter ref="A1:D501" xr:uid="{CBADE1B2-D336-4047-847B-EF49E9A819B8}"/>
  <tableColumns count="4">
    <tableColumn id="1" xr3:uid="{0E3B8221-75C9-471D-9510-64EE2E3B9F6A}" name="Date" dataDxfId="273"/>
    <tableColumn id="2" xr3:uid="{9D46880E-C892-4930-BB8E-69C6D5C8E4D1}" name="Vehicle_Type" dataDxfId="272"/>
    <tableColumn id="3" xr3:uid="{8DCF15FD-EFC2-4386-8959-D0651C212AFC}" name="Units_Sold" dataDxfId="271"/>
    <tableColumn id="4" xr3:uid="{AE830234-AAB2-4427-B927-C27E6C29B2BF}" name="Demand Change">
      <calculatedColumnFormula>IF(B2=B1, C2 - C1, "")</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02253B2-6D69-4EEB-8493-C8496F3B0B8F}" name="Table11" displayName="Table11" ref="A1:Q501" totalsRowShown="0" tableBorderDxfId="270">
  <autoFilter ref="A1:Q501" xr:uid="{B02253B2-6D69-4EEB-8493-C8496F3B0B8F}"/>
  <tableColumns count="17">
    <tableColumn id="1" xr3:uid="{4B65693F-EAB1-4F16-85B0-855D62273CE6}" name="Date" dataDxfId="269"/>
    <tableColumn id="2" xr3:uid="{CE099106-AC81-4509-9404-DFE8483B30C2}" name="Vehicle_Type" dataDxfId="268"/>
    <tableColumn id="3" xr3:uid="{8B9F036A-1E6A-4B0A-82EA-1E9499F613A4}" name="Monthy_Sale" dataDxfId="267">
      <calculatedColumnFormula>TEXT(Table11[[#This Row],[Date]],"mmmm")</calculatedColumnFormula>
    </tableColumn>
    <tableColumn id="4" xr3:uid="{66C46D96-D5F1-4539-A0A4-85D9123BEC11}" name="Units_Sold" dataDxfId="266"/>
    <tableColumn id="5" xr3:uid="{AE7021B3-A686-4765-8A6E-C6C48E2535C4}" name="Forecasted_Units" dataDxfId="265">
      <calculatedColumnFormula>_xlfn.FORECAST.LINEAR(Table11[[#This Row],[Date]],Table11[Units_Sold],Table11[Date])</calculatedColumnFormula>
    </tableColumn>
    <tableColumn id="11" xr3:uid="{311A04A5-D336-4A7A-8B0A-9891F90E1109}" name="Daily_Production" dataDxfId="264">
      <calculatedColumnFormula array="1">_xlfn.IFS(Table11[[#This Row],[Vehicle_Type]]="SUV",250,Table11[[#This Row],[Vehicle_Type]]="Sedan",200,Table11[[#This Row],[Vehicle_Type]]="Hatchback",185,Table11[[#This Row],[Vehicle_Type]]="Electric",190,Table11[[#This Row],[Vehicle_Type]]="Truck",150)</calculatedColumnFormula>
    </tableColumn>
    <tableColumn id="17" xr3:uid="{88942E9C-BF4C-48FF-809F-1308E0F40E0F}" name="Working_Days" dataDxfId="263">
      <calculatedColumnFormula>RANDBETWEEN(20,25)</calculatedColumnFormula>
    </tableColumn>
    <tableColumn id="6" xr3:uid="{07B12759-B979-4FC4-A245-AD62148DE961}" name="Inventory_On_Hand" dataDxfId="262">
      <calculatedColumnFormula>Table11[[#This Row],[Daily_Production]]-Table11[[#This Row],[Forecasted_Units]]</calculatedColumnFormula>
    </tableColumn>
    <tableColumn id="7" xr3:uid="{3BEDB369-6B82-4D72-907E-0DE4B638FEAF}" name="Lead_Time" dataDxfId="261">
      <calculatedColumnFormula array="1">_xlfn.IFS(Table11[[#This Row],[Vehicle_Type]]="SUV",5,Table11[[#This Row],[Vehicle_Type]]="Sedan",7,Table11[[#This Row],[Vehicle_Type]]="Hatchback",10,Table11[[#This Row],[Vehicle_Type]]="Electric",11,Table11[[#This Row],[Vehicle_Type]]="Truck",13)</calculatedColumnFormula>
    </tableColumn>
    <tableColumn id="9" xr3:uid="{633D345B-8669-42D7-A249-E628C5B6CF24}" name="Production_Capacity" dataDxfId="260">
      <calculatedColumnFormula>Table11[[#This Row],[Daily_Production]]*Table11[[#This Row],[Working_Days]]</calculatedColumnFormula>
    </tableColumn>
    <tableColumn id="10" xr3:uid="{CD7E451C-1AAF-4D82-AB95-C0EF8EAB28A0}" name="Safety_Stock" dataDxfId="259">
      <calculatedColumnFormula>Table11[[#This Row],[Forecasted_Units]]*0.1</calculatedColumnFormula>
    </tableColumn>
    <tableColumn id="12" xr3:uid="{AA6FD224-A5FB-4969-9C56-A86BCFB87A8C}" name="Production_Needed" dataDxfId="258">
      <calculatedColumnFormula>Table11[[#This Row],[Adjusted_Forecast]]+Table11[[#This Row],[Safety_Stock]]-Table11[[#This Row],[Inventory_On_Hand]]</calculatedColumnFormula>
    </tableColumn>
    <tableColumn id="13" xr3:uid="{1D8C0F8E-DA50-47D0-B8CC-96927D111297}" name="Planned_Production" dataDxfId="257">
      <calculatedColumnFormula>MIN(Table11[[#This Row],[Production_Needed]],Table11[[#This Row],[Production_Capacity]])</calculatedColumnFormula>
    </tableColumn>
    <tableColumn id="14" xr3:uid="{86F4C381-204D-4085-98E3-9F937DCAEA14}" name="Backlog" dataDxfId="256">
      <calculatedColumnFormula>MAX(Table11[[#This Row],[Production_Needed]]-Table11[[#This Row],[Planned_Production]],0)</calculatedColumnFormula>
    </tableColumn>
    <tableColumn id="15" xr3:uid="{E6DB2AB8-6863-476A-936C-A762683D335E}" name="Inventory_After" dataDxfId="255">
      <calculatedColumnFormula>Table11[[#This Row],[Inventory_On_Hand]]+Table11[[#This Row],[Planned_Production]]-Table11[[#This Row],[Forecasted_Units]]</calculatedColumnFormula>
    </tableColumn>
    <tableColumn id="16" xr3:uid="{99F6AD6B-2899-4068-83C9-8E82F3777B8C}" name="Adjustment_Percentage" dataDxfId="254">
      <calculatedColumnFormula array="1">_xlfn.XLOOKUP(Table11[[#This Row],[Date]] &amp; Table11[[#This Row],[Vehicle_Type]], Table12[Date] &amp; Table12[Vehicle_Type],Table12[Feedback_Adjustment], 0)</calculatedColumnFormula>
    </tableColumn>
    <tableColumn id="8" xr3:uid="{DEA87259-763E-4B3A-95A2-4B8C3EE571A3}" name="Adjusted_Forecast" dataDxfId="253">
      <calculatedColumnFormula>Table11[[#This Row],[Forecasted_Units]]*(1+Table11[[#This Row],[Adjustment_Percentage]])</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A0987E0-E851-4467-8DC2-74D398422F56}" name="Table15" displayName="Table15" ref="A1:L501" totalsRowShown="0" headerRowDxfId="252" dataDxfId="251" tableBorderDxfId="250">
  <autoFilter ref="A1:L501" xr:uid="{4A0987E0-E851-4467-8DC2-74D398422F56}"/>
  <tableColumns count="12">
    <tableColumn id="1" xr3:uid="{224A03D6-8A3C-4477-B73E-D2E84489D053}" name="Date" dataDxfId="249"/>
    <tableColumn id="2" xr3:uid="{D97072DE-F5A0-4E30-B3F8-85C0419AE317}" name="Vehicle_Type" dataDxfId="248"/>
    <tableColumn id="3" xr3:uid="{ED3682EB-9520-4586-B59A-F58ABEF3CEA3}" name="Units_Sold" dataDxfId="247"/>
    <tableColumn id="4" xr3:uid="{64696DE0-6C63-4231-9109-194F0DD18C70}" name="Average_Price" dataDxfId="246"/>
    <tableColumn id="5" xr3:uid="{75351EB3-4AAA-49ED-BD7B-AB5177141487}" name="Forecasted_Demand" dataDxfId="245">
      <calculatedColumnFormula>_xlfn.FORECAST.LINEAR(Table15[[#This Row],[Date]],Table15[Units_Sold],Table15[Date])</calculatedColumnFormula>
    </tableColumn>
    <tableColumn id="6" xr3:uid="{D56EFBF1-5EF9-45DF-9164-7E69EFCA0911}" name="Prod_Cost_Per_Unit" dataDxfId="244">
      <calculatedColumnFormula>Table15[[#This Row],[Average_Price]]/Table15[[#This Row],[Units_Sold]]</calculatedColumnFormula>
    </tableColumn>
    <tableColumn id="7" xr3:uid="{1324C41E-DE09-4F70-BD24-11A8C3E19761}" name="Daily_Production" dataDxfId="243">
      <calculatedColumnFormula array="1">_xlfn.IFS(Table15[[#This Row],[Vehicle_Type]]="SUV",250,Table15[[#This Row],[Vehicle_Type]]="Sedan",200,Table15[[#This Row],[Vehicle_Type]]="Hatchback",185,Table15[[#This Row],[Vehicle_Type]]="Electric",190,Table15[[#This Row],[Vehicle_Type]]="Truck",150)</calculatedColumnFormula>
    </tableColumn>
    <tableColumn id="8" xr3:uid="{0E0CC796-ECAB-474B-A872-22191024D13B}" name="Working_Days" dataDxfId="242">
      <calculatedColumnFormula>RANDBETWEEN(20,25)</calculatedColumnFormula>
    </tableColumn>
    <tableColumn id="10" xr3:uid="{F09521E5-7E5B-4209-AEE7-7576CD0CC10F}" name="Production_Hours" dataDxfId="241">
      <calculatedColumnFormula>RANDBETWEEN(8,12)</calculatedColumnFormula>
    </tableColumn>
    <tableColumn id="11" xr3:uid="{A009F10B-7FF1-41F0-B4D7-A4ECDC765579}" name="Maintenance_Downtime" dataDxfId="240">
      <calculatedColumnFormula>24/Table15[[#This Row],[Production_Hours]]</calculatedColumnFormula>
    </tableColumn>
    <tableColumn id="9" xr3:uid="{DAFA1248-15BD-4E92-AEB0-8DBA05D0BBBF}" name="Max Capacity" dataDxfId="239">
      <calculatedColumnFormula>(Table15[[#This Row],[Daily_Production]]*Table15[[#This Row],[Working_Days]]) -Table15[[#This Row],[Maintenance_Downtime]]</calculatedColumnFormula>
    </tableColumn>
    <tableColumn id="12" xr3:uid="{92BB075F-DF0E-45E0-A232-1BDEEE414BB2}" name="Units_to_Produce (Decision Variable)" dataDxfId="23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2755936-0292-44E3-8D75-09EEB557D59E}" name="Table16" displayName="Table16" ref="A1:J501" totalsRowShown="0" tableBorderDxfId="237">
  <autoFilter ref="A1:J501" xr:uid="{72755936-0292-44E3-8D75-09EEB557D59E}"/>
  <tableColumns count="10">
    <tableColumn id="1" xr3:uid="{3DE8CF84-0D71-4705-B318-9EE33F34AC08}" name="Date" dataDxfId="236"/>
    <tableColumn id="2" xr3:uid="{FA512EA6-CDB2-4BB3-8FC5-ECEC801E5870}" name="Vehicle_Type" dataDxfId="235"/>
    <tableColumn id="3" xr3:uid="{2FD5A012-816B-4805-94C6-8B1B80EEF3E6}" name="Region">
      <calculatedColumnFormula>CHOOSE(RANDBETWEEN(1,4),"North","South","East","West")</calculatedColumnFormula>
    </tableColumn>
    <tableColumn id="4" xr3:uid="{58C6E1EF-421E-44EA-A75B-9FC75BB716EE}" name="Month">
      <calculatedColumnFormula>TEXT(A2,"mmmm")</calculatedColumnFormula>
    </tableColumn>
    <tableColumn id="5" xr3:uid="{37E1FFA9-0828-4E03-8CCC-C660AE174FCA}" name="Units_Sold" dataDxfId="234"/>
    <tableColumn id="6" xr3:uid="{6A39824F-8F0A-4739-AFD2-C968A17AAE34}" name="Marketing_Campaign" dataDxfId="233">
      <calculatedColumnFormula>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calculatedColumnFormula>
    </tableColumn>
    <tableColumn id="8" xr3:uid="{99FA0B25-00A6-414B-9D8D-31DB13BF1420}" name="Marketing_Spend"/>
    <tableColumn id="7" xr3:uid="{6C42FBB0-5332-4892-BC19-D8F24BB66B49}" name="Campaign_Channel" dataDxfId="232">
      <calculatedColumnFormula>CHOOSE(RANDBETWEEN(1,5),"Online","TV","Radio","Print","Billboards")</calculatedColumnFormula>
    </tableColumn>
    <tableColumn id="9" xr3:uid="{614FBB4A-353D-43A2-9B16-6DABD406407B}" name="Online_Interest_Index"/>
    <tableColumn id="10" xr3:uid="{3330A99F-D090-4A93-AC1A-D7313A945B0A}" name="Cost per Unit Sold:" dataDxfId="231">
      <calculatedColumnFormula>Table16[[#This Row],[Marketing_Spend]]/Table16[[#This Row],[Units_Sold]]</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DADFAC-FE6B-4D68-AAE1-3886A34A3DF2}" name="Table9" displayName="Table9" ref="A1:I501" totalsRowShown="0" tableBorderDxfId="230">
  <autoFilter ref="A1:I501" xr:uid="{1DDADFAC-FE6B-4D68-AAE1-3886A34A3DF2}"/>
  <tableColumns count="9">
    <tableColumn id="1" xr3:uid="{212C72BC-5DEA-47AA-96EA-E4BF6B9CEF6C}" name="Date" dataDxfId="229"/>
    <tableColumn id="2" xr3:uid="{0349EF0A-E94C-4836-9883-70CFD51EDA90}" name="Month" dataDxfId="228">
      <calculatedColumnFormula>TEXT(Table9[[#This Row],[Date]], "mmm")</calculatedColumnFormula>
    </tableColumn>
    <tableColumn id="3" xr3:uid="{6B0497D9-3761-4AAB-8257-763F90D83104}" name="Year" dataDxfId="227">
      <calculatedColumnFormula>YEAR(Table9[[#This Row],[Date]])</calculatedColumnFormula>
    </tableColumn>
    <tableColumn id="8" xr3:uid="{F05C1CD2-901C-48E4-9F29-A46ADEDFBAEA}" name="Vehicle_Type"/>
    <tableColumn id="4" xr3:uid="{DA43BFC1-076F-4BE7-82DD-C26CAEACEB4F}" name="Units_Sold" dataDxfId="226"/>
    <tableColumn id="9" xr3:uid="{296595FF-0608-444D-B5B2-C0D1628A45AE}" name="Marketing_Spend"/>
    <tableColumn id="5" xr3:uid="{ED2ED9A2-6660-4BE7-83B6-16299DEE73D3}" name="Forecasted_Units" dataDxfId="225">
      <calculatedColumnFormula>_xlfn.FORECAST.LINEAR(Table9[[#This Row],[Date]],Table9[Units_Sold],Table9[Date])</calculatedColumnFormula>
    </tableColumn>
    <tableColumn id="6" xr3:uid="{6640AF3B-65A4-405B-A231-0983D649FD32}" name="Error">
      <calculatedColumnFormula>E2-G2</calculatedColumnFormula>
    </tableColumn>
    <tableColumn id="7" xr3:uid="{8C5F6475-AFDC-4635-9E4D-E8865D217A5C}" name="% Error" dataDxfId="224">
      <calculatedColumnFormula>H2/E2</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1E06F7B-C5B2-4A23-89BC-A8BDB96BD347}" name="Table12" displayName="Table12" ref="A1:H501" totalsRowShown="0" tableBorderDxfId="223">
  <autoFilter ref="A1:H501" xr:uid="{B1E06F7B-C5B2-4A23-89BC-A8BDB96BD347}"/>
  <tableColumns count="8">
    <tableColumn id="1" xr3:uid="{ACAE9BE8-4C63-49B3-9E7B-5E3D1B486685}" name="Date" dataDxfId="222"/>
    <tableColumn id="2" xr3:uid="{873AD2E3-7F1F-44F9-8850-469565B36C5B}" name="Vehicle_Type" dataDxfId="221"/>
    <tableColumn id="3" xr3:uid="{7DD589D8-584A-4C09-A031-40C944A5EB7C}" name="Region"/>
    <tableColumn id="4" xr3:uid="{3B60D540-618B-45DC-A789-F53F393B6A92}" name="Sales_Rep_Name"/>
    <tableColumn id="5" xr3:uid="{022CCD84-2851-4BC7-BBA9-1EEFC9781653}" name="Feedback_Type"/>
    <tableColumn id="6" xr3:uid="{342FC3E0-16D7-4E8B-8D63-7A19F7A84BB6}" name="Feedback_Comment"/>
    <tableColumn id="7" xr3:uid="{686C8857-414E-4263-85A2-06E3F7859666}" name="Adjustment_Suggestion"/>
    <tableColumn id="8" xr3:uid="{E4095291-78DD-4353-8910-74326AA5C46E}" name="Feedback_Adjustment" dataDxfId="220">
      <calculatedColumnFormula>_xlfn.XLOOKUP(Table12[[#This Row],[Adjustment_Suggestion]],Feedback_Reference_Table!$C$2:$C$6,Feedback_Reference_Table!$D$2:$D$6)</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5A9919C-087D-4DD3-AAB0-9FFD408E7288}" name="Table13" displayName="Table13" ref="A1:G501" totalsRowShown="0" headerRowDxfId="219" tableBorderDxfId="218">
  <autoFilter ref="A1:G501" xr:uid="{45A9919C-087D-4DD3-AAB0-9FFD408E7288}"/>
  <tableColumns count="7">
    <tableColumn id="1" xr3:uid="{DBD3A473-9BA7-4A64-8327-F495143C2F36}" name="Date" dataDxfId="217"/>
    <tableColumn id="2" xr3:uid="{9AB12CEF-7F02-4D59-867E-1B0863B2B2BC}" name="Month">
      <calculatedColumnFormula>TEXT(A2,"mmmm")</calculatedColumnFormula>
    </tableColumn>
    <tableColumn id="7" xr3:uid="{9CE5783C-58C8-4FF1-BE7A-8C1991EC1DAE}" name="Vehicle_type" dataDxfId="216"/>
    <tableColumn id="3" xr3:uid="{79ED6F83-3B44-44D4-8ECC-A8B836C1D729}" name="Units_Sold" dataDxfId="215"/>
    <tableColumn id="4" xr3:uid="{13C6CBD8-951A-4EA4-8044-7AEDAED92531}" name="Forecasted_Units" dataDxfId="214">
      <calculatedColumnFormula>_xlfn.FORECAST.LINEAR(Table13[[#This Row],[Date]],Table13[Units_Sold],Table13[Date])</calculatedColumnFormula>
    </tableColumn>
    <tableColumn id="5" xr3:uid="{33A99C93-FC46-4C2C-A331-9789AC547562}" name="Adjusted_Forecast" dataDxfId="213">
      <calculatedColumnFormula>Table11[[#This Row],[Forecasted_Units]]*(1+Table11[[#This Row],[Adjustment_Percentage]])</calculatedColumnFormula>
    </tableColumn>
    <tableColumn id="6" xr3:uid="{79752B15-353E-440B-A5AB-360775BC0915}" name="Accuracy (%)" dataDxfId="212">
      <calculatedColumnFormula>1-ABS(D2-F2)/D2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CC1EC59B-9E2E-45A2-A6B4-5A190647546A}" sourceName="Date">
  <pivotTables>
    <pivotTable tabId="27" name="PivotTable5"/>
    <pivotTable tabId="25" name="PivotTable3"/>
    <pivotTable tabId="24" name="PivotTable2"/>
    <pivotTable tabId="26" name="PivotTable4"/>
    <pivotTable tabId="23" name="PivotTable1"/>
  </pivotTables>
  <state minimalRefreshVersion="6" lastRefreshVersion="6" pivotCacheId="627690073" filterType="dateBetween">
    <selection startDate="2040-01-01T00:00:00" endDate="2040-12-31T00:00:00"/>
    <bounds startDate="2015-01-01T00:00:00" endDate="205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194F87C-8E0C-40E9-B940-87F72EBB3D1D}" cache="NativeTimeline_Date" caption="Date" level="0" selectionLevel="0" scrollPosition="2037-05-2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FA4907B-94F6-4317-BFF8-60221FC6AE7F}" cache="NativeTimeline_Date" caption="Date" level="0" selectionLevel="0" scrollPosition="2037-08-2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EC6688E-5442-49A8-9BEE-FF20EBAE6D77}">
  <we:reference id="wa200005502" version="1.0.0.12" store="en-US" storeType="OMEX"/>
  <we:alternateReferences>
    <we:reference id="wa200005502" version="1.0.0.12" store="wa200005502" storeType="OMEX"/>
  </we:alternateReferences>
  <we:properties>
    <we:property name="docId" value="&quot;w7iKx2_ZzPMYNSU2RDUm9&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6" Type="http://schemas.openxmlformats.org/officeDocument/2006/relationships/table" Target="../tables/table9.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2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2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ivotTable" Target="../pivotTables/pivotTable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29.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13.xml"/><Relationship Id="rId4" Type="http://schemas.microsoft.com/office/2007/relationships/slicer" Target="../slicers/slicer3.xml"/></Relationships>
</file>

<file path=xl/worksheets/_rels/sheet3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4.xml"/><Relationship Id="rId1" Type="http://schemas.openxmlformats.org/officeDocument/2006/relationships/pivotTable" Target="../pivotTables/pivotTable6.xml"/></Relationships>
</file>

<file path=xl/worksheets/_rels/sheet3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5.xml"/><Relationship Id="rId1" Type="http://schemas.openxmlformats.org/officeDocument/2006/relationships/pivotTable" Target="../pivotTables/pivotTable7.xml"/></Relationships>
</file>

<file path=xl/worksheets/_rels/sheet3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6.xml"/><Relationship Id="rId1" Type="http://schemas.openxmlformats.org/officeDocument/2006/relationships/pivotTable" Target="../pivotTables/pivotTable8.xml"/></Relationships>
</file>

<file path=xl/worksheets/_rels/sheet3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7.xml"/><Relationship Id="rId1" Type="http://schemas.openxmlformats.org/officeDocument/2006/relationships/pivotTable" Target="../pivotTables/pivotTable9.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36.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38.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9.xml"/><Relationship Id="rId1" Type="http://schemas.openxmlformats.org/officeDocument/2006/relationships/pivotTable" Target="../pivotTables/pivotTable10.xml"/></Relationships>
</file>

<file path=xl/worksheets/_rels/sheet39.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20.xml"/><Relationship Id="rId1" Type="http://schemas.openxmlformats.org/officeDocument/2006/relationships/pivotTable" Target="../pivotTables/pivotTable11.xml"/></Relationships>
</file>

<file path=xl/worksheets/_rels/sheet40.xml.rels><?xml version="1.0" encoding="UTF-8" standalone="yes"?>
<Relationships xmlns="http://schemas.openxmlformats.org/package/2006/relationships"><Relationship Id="rId2" Type="http://schemas.microsoft.com/office/2007/relationships/slicer" Target="../slicers/slicer11.xml"/><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12.xml"/></Relationships>
</file>

<file path=xl/worksheets/_rels/sheet43.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23.xml"/><Relationship Id="rId1" Type="http://schemas.openxmlformats.org/officeDocument/2006/relationships/pivotTable" Target="../pivotTables/pivotTable13.xml"/></Relationships>
</file>

<file path=xl/worksheets/_rels/sheet4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24.xml"/><Relationship Id="rId1" Type="http://schemas.openxmlformats.org/officeDocument/2006/relationships/pivotTable" Target="../pivotTables/pivotTable1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6.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6.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8.xml"/><Relationship Id="rId1" Type="http://schemas.openxmlformats.org/officeDocument/2006/relationships/pivotTable" Target="../pivotTables/pivotTable15.xml"/></Relationships>
</file>

<file path=xl/worksheets/_rels/sheet4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9.xml"/><Relationship Id="rId1" Type="http://schemas.openxmlformats.org/officeDocument/2006/relationships/pivotTable" Target="../pivotTables/pivotTable16.xml"/></Relationships>
</file>

<file path=xl/worksheets/_rels/sheet51.xml.rels><?xml version="1.0" encoding="UTF-8" standalone="yes"?>
<Relationships xmlns="http://schemas.openxmlformats.org/package/2006/relationships"><Relationship Id="rId2" Type="http://schemas.microsoft.com/office/2007/relationships/slicer" Target="../slicers/slicer16.xml"/><Relationship Id="rId1" Type="http://schemas.openxmlformats.org/officeDocument/2006/relationships/drawing" Target="../drawings/drawing30.xml"/></Relationships>
</file>

<file path=xl/worksheets/_rels/sheet53.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31.xml"/><Relationship Id="rId1" Type="http://schemas.openxmlformats.org/officeDocument/2006/relationships/pivotTable" Target="../pivotTables/pivotTable17.xml"/></Relationships>
</file>

<file path=xl/worksheets/_rels/sheet54.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32.xml"/><Relationship Id="rId1" Type="http://schemas.openxmlformats.org/officeDocument/2006/relationships/pivotTable" Target="../pivotTables/pivotTable18.xm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ivotTable" Target="../pivotTables/pivotTable19.xml"/></Relationships>
</file>

<file path=xl/worksheets/_rels/sheet5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34.xml"/><Relationship Id="rId1" Type="http://schemas.openxmlformats.org/officeDocument/2006/relationships/pivotTable" Target="../pivotTables/pivotTable20.xml"/></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5.xml"/><Relationship Id="rId1" Type="http://schemas.openxmlformats.org/officeDocument/2006/relationships/printerSettings" Target="../printerSettings/printerSettings3.bin"/><Relationship Id="rId5" Type="http://schemas.microsoft.com/office/2007/relationships/slicer" Target="../slicers/slicer20.xml"/><Relationship Id="rId4" Type="http://schemas.openxmlformats.org/officeDocument/2006/relationships/ctrlProp" Target="../ctrlProps/ctrlProp4.xml"/></Relationships>
</file>

<file path=xl/worksheets/_rels/sheet59.xml.rels><?xml version="1.0" encoding="UTF-8" standalone="yes"?>
<Relationships xmlns="http://schemas.openxmlformats.org/package/2006/relationships"><Relationship Id="rId3" Type="http://schemas.microsoft.com/office/2007/relationships/slicer" Target="../slicers/slicer21.xml"/><Relationship Id="rId2" Type="http://schemas.openxmlformats.org/officeDocument/2006/relationships/drawing" Target="../drawings/drawing36.xml"/><Relationship Id="rId1" Type="http://schemas.openxmlformats.org/officeDocument/2006/relationships/pivotTable" Target="../pivotTables/pivotTable21.xml"/></Relationships>
</file>

<file path=xl/worksheets/_rels/sheet61.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37.xml"/></Relationships>
</file>

<file path=xl/worksheets/_rels/sheet62.xml.rels><?xml version="1.0" encoding="UTF-8" standalone="yes"?>
<Relationships xmlns="http://schemas.openxmlformats.org/package/2006/relationships"><Relationship Id="rId3" Type="http://schemas.microsoft.com/office/2007/relationships/slicer" Target="../slicers/slicer23.xml"/><Relationship Id="rId2" Type="http://schemas.openxmlformats.org/officeDocument/2006/relationships/drawing" Target="../drawings/drawing38.xml"/><Relationship Id="rId1" Type="http://schemas.openxmlformats.org/officeDocument/2006/relationships/pivotTable" Target="../pivotTables/pivotTable22.xml"/></Relationships>
</file>

<file path=xl/worksheets/_rels/sheet63.xml.rels><?xml version="1.0" encoding="UTF-8" standalone="yes"?>
<Relationships xmlns="http://schemas.openxmlformats.org/package/2006/relationships"><Relationship Id="rId3" Type="http://schemas.microsoft.com/office/2007/relationships/slicer" Target="../slicers/slicer24.xml"/><Relationship Id="rId2" Type="http://schemas.openxmlformats.org/officeDocument/2006/relationships/drawing" Target="../drawings/drawing39.xml"/><Relationship Id="rId1" Type="http://schemas.openxmlformats.org/officeDocument/2006/relationships/pivotTable" Target="../pivotTables/pivotTable23.xml"/></Relationships>
</file>

<file path=xl/worksheets/_rels/sheet64.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40.xml"/><Relationship Id="rId1" Type="http://schemas.openxmlformats.org/officeDocument/2006/relationships/pivotTable" Target="../pivotTables/pivotTable24.xml"/></Relationships>
</file>

<file path=xl/worksheets/_rels/sheet65.xml.rels><?xml version="1.0" encoding="UTF-8" standalone="yes"?>
<Relationships xmlns="http://schemas.openxmlformats.org/package/2006/relationships"><Relationship Id="rId3" Type="http://schemas.microsoft.com/office/2007/relationships/slicer" Target="../slicers/slicer26.xml"/><Relationship Id="rId2" Type="http://schemas.openxmlformats.org/officeDocument/2006/relationships/drawing" Target="../drawings/drawing41.xml"/><Relationship Id="rId1" Type="http://schemas.openxmlformats.org/officeDocument/2006/relationships/pivotTable" Target="../pivotTables/pivotTable25.xml"/></Relationships>
</file>

<file path=xl/worksheets/_rels/sheet67.xml.rels><?xml version="1.0" encoding="UTF-8" standalone="yes"?>
<Relationships xmlns="http://schemas.openxmlformats.org/package/2006/relationships"><Relationship Id="rId2" Type="http://schemas.microsoft.com/office/2007/relationships/slicer" Target="../slicers/slicer27.xml"/><Relationship Id="rId1" Type="http://schemas.openxmlformats.org/officeDocument/2006/relationships/drawing" Target="../drawings/drawing42.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71.xml.rels><?xml version="1.0" encoding="UTF-8" standalone="yes"?>
<Relationships xmlns="http://schemas.openxmlformats.org/package/2006/relationships"><Relationship Id="rId3" Type="http://schemas.microsoft.com/office/2007/relationships/slicer" Target="../slicers/slicer28.xml"/><Relationship Id="rId2" Type="http://schemas.openxmlformats.org/officeDocument/2006/relationships/drawing" Target="../drawings/drawing43.xml"/><Relationship Id="rId1" Type="http://schemas.openxmlformats.org/officeDocument/2006/relationships/pivotTable" Target="../pivotTables/pivotTable26.xml"/></Relationships>
</file>

<file path=xl/worksheets/_rels/sheet72.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4.xml"/><Relationship Id="rId1" Type="http://schemas.openxmlformats.org/officeDocument/2006/relationships/pivotTable" Target="../pivotTables/pivotTable27.xml"/></Relationships>
</file>

<file path=xl/worksheets/_rels/sheet74.xml.rels><?xml version="1.0" encoding="UTF-8" standalone="yes"?>
<Relationships xmlns="http://schemas.openxmlformats.org/package/2006/relationships"><Relationship Id="rId2" Type="http://schemas.microsoft.com/office/2007/relationships/slicer" Target="../slicers/slicer30.xml"/><Relationship Id="rId1" Type="http://schemas.openxmlformats.org/officeDocument/2006/relationships/drawing" Target="../drawings/drawing45.xml"/></Relationships>
</file>

<file path=xl/worksheets/_rels/sheet75.xml.rels><?xml version="1.0" encoding="UTF-8" standalone="yes"?>
<Relationships xmlns="http://schemas.openxmlformats.org/package/2006/relationships"><Relationship Id="rId3" Type="http://schemas.microsoft.com/office/2007/relationships/slicer" Target="../slicers/slicer31.xml"/><Relationship Id="rId2" Type="http://schemas.openxmlformats.org/officeDocument/2006/relationships/drawing" Target="../drawings/drawing46.xml"/><Relationship Id="rId1" Type="http://schemas.openxmlformats.org/officeDocument/2006/relationships/pivotTable" Target="../pivotTables/pivotTable28.xml"/></Relationships>
</file>

<file path=xl/worksheets/_rels/sheet76.xml.rels><?xml version="1.0" encoding="UTF-8" standalone="yes"?>
<Relationships xmlns="http://schemas.openxmlformats.org/package/2006/relationships"><Relationship Id="rId3" Type="http://schemas.microsoft.com/office/2007/relationships/slicer" Target="../slicers/slicer32.xml"/><Relationship Id="rId2" Type="http://schemas.openxmlformats.org/officeDocument/2006/relationships/drawing" Target="../drawings/drawing47.xml"/><Relationship Id="rId1" Type="http://schemas.openxmlformats.org/officeDocument/2006/relationships/pivotTable" Target="../pivotTables/pivotTable29.xml"/></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ivotTable" Target="../pivotTables/pivotTable30.xml"/></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ivotTable" Target="../pivotTables/pivotTable31.xml"/></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ivotTable" Target="../pivotTables/pivotTable32.xml"/></Relationships>
</file>

<file path=xl/worksheets/_rels/sheet81.xml.rels><?xml version="1.0" encoding="UTF-8" standalone="yes"?>
<Relationships xmlns="http://schemas.openxmlformats.org/package/2006/relationships"><Relationship Id="rId3" Type="http://schemas.openxmlformats.org/officeDocument/2006/relationships/ctrlProp" Target="../ctrlProps/ctrlProp5.xml"/><Relationship Id="rId2" Type="http://schemas.openxmlformats.org/officeDocument/2006/relationships/vmlDrawing" Target="../drawings/vmlDrawing4.vml"/><Relationship Id="rId1" Type="http://schemas.openxmlformats.org/officeDocument/2006/relationships/drawing" Target="../drawings/drawing51.xml"/><Relationship Id="rId4" Type="http://schemas.microsoft.com/office/2007/relationships/slicer" Target="../slicers/slicer33.xml"/></Relationships>
</file>

<file path=xl/worksheets/_rels/sheet83.xml.rels><?xml version="1.0" encoding="UTF-8" standalone="yes"?>
<Relationships xmlns="http://schemas.openxmlformats.org/package/2006/relationships"><Relationship Id="rId3" Type="http://schemas.openxmlformats.org/officeDocument/2006/relationships/ctrlProp" Target="../ctrlProps/ctrlProp6.xml"/><Relationship Id="rId2" Type="http://schemas.openxmlformats.org/officeDocument/2006/relationships/vmlDrawing" Target="../drawings/vmlDrawing5.vml"/><Relationship Id="rId1" Type="http://schemas.openxmlformats.org/officeDocument/2006/relationships/drawing" Target="../drawings/drawing52.xml"/><Relationship Id="rId4" Type="http://schemas.microsoft.com/office/2007/relationships/slicer" Target="../slicers/slicer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F0578-6C75-46B1-ADD2-E2C52FC89079}">
  <sheetPr codeName="Sheet1"/>
  <dimension ref="A1:J501"/>
  <sheetViews>
    <sheetView topLeftCell="A4" workbookViewId="0">
      <selection activeCell="L52" sqref="L52"/>
    </sheetView>
  </sheetViews>
  <sheetFormatPr defaultRowHeight="14.4"/>
  <cols>
    <col min="1" max="1" width="10.33203125" bestFit="1" customWidth="1"/>
    <col min="2" max="2" width="14.44140625" bestFit="1" customWidth="1"/>
    <col min="3" max="3" width="12.21875" bestFit="1" customWidth="1"/>
    <col min="4" max="4" width="15.33203125" bestFit="1" customWidth="1"/>
    <col min="5" max="5" width="12" bestFit="1" customWidth="1"/>
    <col min="6" max="6" width="18.88671875" bestFit="1" customWidth="1"/>
    <col min="7" max="7" width="21.44140625" bestFit="1" customWidth="1"/>
    <col min="8" max="8" width="18.33203125" bestFit="1" customWidth="1"/>
    <col min="9" max="9" width="18.109375" bestFit="1" customWidth="1"/>
    <col min="10" max="10" width="22" bestFit="1" customWidth="1"/>
  </cols>
  <sheetData>
    <row r="1" spans="1:10">
      <c r="A1" t="s">
        <v>0</v>
      </c>
      <c r="B1" t="s">
        <v>1</v>
      </c>
      <c r="C1" t="s">
        <v>2</v>
      </c>
      <c r="D1" t="s">
        <v>3</v>
      </c>
      <c r="E1" t="s">
        <v>4</v>
      </c>
      <c r="F1" t="s">
        <v>5</v>
      </c>
      <c r="G1" t="s">
        <v>6</v>
      </c>
      <c r="H1" t="s">
        <v>7</v>
      </c>
      <c r="I1" t="s">
        <v>8</v>
      </c>
      <c r="J1" t="s">
        <v>9</v>
      </c>
    </row>
    <row r="2" spans="1:10">
      <c r="A2" s="1">
        <v>42005</v>
      </c>
      <c r="B2" t="s">
        <v>10</v>
      </c>
      <c r="C2">
        <v>96</v>
      </c>
      <c r="D2">
        <v>27205.390763642059</v>
      </c>
      <c r="E2">
        <v>4.5281035649701611</v>
      </c>
      <c r="F2">
        <v>-3.0287522746329731E-2</v>
      </c>
      <c r="G2">
        <v>6.1864689300569733</v>
      </c>
      <c r="H2">
        <v>97675.419137560835</v>
      </c>
      <c r="I2">
        <v>99</v>
      </c>
      <c r="J2">
        <v>62.296585590724206</v>
      </c>
    </row>
    <row r="3" spans="1:10">
      <c r="A3" s="1">
        <v>42035</v>
      </c>
      <c r="B3" t="s">
        <v>10</v>
      </c>
      <c r="C3">
        <v>107</v>
      </c>
      <c r="D3">
        <v>31886.059375322606</v>
      </c>
      <c r="E3">
        <v>2.9483958171391587</v>
      </c>
      <c r="F3">
        <v>2.2139957781198891</v>
      </c>
      <c r="G3">
        <v>5.4253707796008266</v>
      </c>
      <c r="H3">
        <v>104294.26366341053</v>
      </c>
      <c r="I3">
        <v>100</v>
      </c>
      <c r="J3">
        <v>22.750148668138017</v>
      </c>
    </row>
    <row r="4" spans="1:10">
      <c r="A4" s="1">
        <v>42065</v>
      </c>
      <c r="B4" t="s">
        <v>11</v>
      </c>
      <c r="C4">
        <v>88</v>
      </c>
      <c r="E4">
        <v>3.3893731882071139</v>
      </c>
      <c r="F4">
        <v>3.6009596349985711</v>
      </c>
      <c r="G4">
        <v>6.8492240318446029</v>
      </c>
      <c r="H4">
        <v>131562.36115124368</v>
      </c>
      <c r="I4">
        <v>98</v>
      </c>
      <c r="J4">
        <v>71.117041757862765</v>
      </c>
    </row>
    <row r="5" spans="1:10">
      <c r="A5" s="1">
        <v>42095</v>
      </c>
      <c r="B5" t="s">
        <v>12</v>
      </c>
      <c r="C5">
        <v>103</v>
      </c>
      <c r="D5">
        <v>29671.248694635062</v>
      </c>
      <c r="E5">
        <v>3.3615933500555397</v>
      </c>
      <c r="F5">
        <v>44.583474542205934</v>
      </c>
      <c r="G5">
        <v>5.0991073228240715</v>
      </c>
      <c r="H5">
        <v>119708.99371230436</v>
      </c>
      <c r="I5">
        <v>88</v>
      </c>
      <c r="J5">
        <v>26.515777031292735</v>
      </c>
    </row>
    <row r="6" spans="1:10">
      <c r="A6" s="1">
        <v>42125</v>
      </c>
      <c r="B6" t="s">
        <v>12</v>
      </c>
      <c r="C6">
        <v>111</v>
      </c>
      <c r="D6">
        <v>27224.002366534009</v>
      </c>
      <c r="E6">
        <v>3.6537033489045503</v>
      </c>
      <c r="F6">
        <v>1.2704504055475832</v>
      </c>
      <c r="G6">
        <v>6.1775271110723207</v>
      </c>
      <c r="H6">
        <v>117383.09184993793</v>
      </c>
      <c r="I6">
        <v>91</v>
      </c>
      <c r="J6">
        <v>54.801167547217872</v>
      </c>
    </row>
    <row r="7" spans="1:10">
      <c r="A7" s="1">
        <v>42155</v>
      </c>
      <c r="B7" t="s">
        <v>12</v>
      </c>
      <c r="C7">
        <v>90</v>
      </c>
      <c r="D7">
        <v>39405.785347202953</v>
      </c>
      <c r="E7">
        <v>3.9078686062696484</v>
      </c>
      <c r="F7">
        <v>2.9966992232365217</v>
      </c>
      <c r="G7">
        <v>4.2764027935694617</v>
      </c>
      <c r="H7">
        <v>90889.209479522586</v>
      </c>
      <c r="I7">
        <v>82</v>
      </c>
      <c r="J7">
        <v>43.412407813392626</v>
      </c>
    </row>
    <row r="8" spans="1:10">
      <c r="A8" s="1">
        <v>42185</v>
      </c>
      <c r="B8" t="s">
        <v>10</v>
      </c>
      <c r="C8">
        <v>94</v>
      </c>
      <c r="D8">
        <v>22759.93049791878</v>
      </c>
      <c r="E8">
        <v>3.9302367441798727</v>
      </c>
      <c r="F8">
        <v>2.0346895432199466</v>
      </c>
      <c r="G8">
        <v>5.471737418950914</v>
      </c>
      <c r="H8">
        <v>82215.183435433515</v>
      </c>
      <c r="I8">
        <v>92</v>
      </c>
      <c r="J8">
        <v>636.34236016937041</v>
      </c>
    </row>
    <row r="9" spans="1:10">
      <c r="A9" s="1">
        <v>42215</v>
      </c>
      <c r="B9" t="s">
        <v>13</v>
      </c>
      <c r="C9">
        <v>98</v>
      </c>
      <c r="D9">
        <v>19005.97021689959</v>
      </c>
      <c r="E9">
        <v>3.2084612807155306</v>
      </c>
      <c r="F9">
        <v>2.3940516456958645</v>
      </c>
      <c r="G9">
        <v>5.2907748905165972</v>
      </c>
      <c r="H9">
        <v>119106.01116475507</v>
      </c>
      <c r="I9">
        <v>71</v>
      </c>
      <c r="J9">
        <v>30.673306841856565</v>
      </c>
    </row>
    <row r="10" spans="1:10">
      <c r="A10" s="1">
        <v>42245</v>
      </c>
      <c r="B10" t="s">
        <v>10</v>
      </c>
      <c r="C10">
        <v>103</v>
      </c>
      <c r="D10">
        <v>32200.072250266661</v>
      </c>
      <c r="E10">
        <v>3.4164391431067944</v>
      </c>
      <c r="F10">
        <v>5.1443433470170348</v>
      </c>
      <c r="G10">
        <v>5.7703695064491303</v>
      </c>
      <c r="H10">
        <v>117520.93585059588</v>
      </c>
      <c r="I10">
        <v>98</v>
      </c>
      <c r="J10">
        <v>75.331472157865448</v>
      </c>
    </row>
    <row r="11" spans="1:10">
      <c r="A11" s="1">
        <v>42275</v>
      </c>
      <c r="B11" t="s">
        <v>13</v>
      </c>
      <c r="C11">
        <v>94</v>
      </c>
      <c r="D11">
        <v>27489.728878236943</v>
      </c>
      <c r="E11">
        <v>3.6412899752441499</v>
      </c>
      <c r="F11">
        <v>0.99702967160484679</v>
      </c>
      <c r="G11">
        <v>5.0565676853999699</v>
      </c>
      <c r="I11">
        <v>82</v>
      </c>
      <c r="J11">
        <v>83.600922954277621</v>
      </c>
    </row>
    <row r="12" spans="1:10">
      <c r="A12" s="1">
        <v>42305</v>
      </c>
      <c r="B12" t="s">
        <v>14</v>
      </c>
      <c r="C12">
        <v>99</v>
      </c>
      <c r="D12">
        <v>24893.835914346433</v>
      </c>
      <c r="E12">
        <v>3.3756544369082264</v>
      </c>
      <c r="F12">
        <v>27.537396614945735</v>
      </c>
      <c r="G12">
        <v>5.3422328851939991</v>
      </c>
      <c r="H12">
        <v>87920.387480615405</v>
      </c>
      <c r="J12">
        <v>33.068355979452519</v>
      </c>
    </row>
    <row r="13" spans="1:10">
      <c r="A13" s="1">
        <v>42335</v>
      </c>
      <c r="B13" t="s">
        <v>10</v>
      </c>
      <c r="C13">
        <v>90</v>
      </c>
      <c r="D13">
        <v>33541.782236496765</v>
      </c>
      <c r="E13">
        <v>4.3036727880099965</v>
      </c>
      <c r="F13">
        <v>2.9676931717654331</v>
      </c>
      <c r="G13">
        <v>6.4912566057298076</v>
      </c>
      <c r="H13">
        <v>95409.026892793059</v>
      </c>
      <c r="I13">
        <v>79</v>
      </c>
      <c r="J13">
        <v>28.345046988150571</v>
      </c>
    </row>
    <row r="14" spans="1:10">
      <c r="A14" s="1">
        <v>42365</v>
      </c>
      <c r="B14" t="s">
        <v>10</v>
      </c>
      <c r="C14">
        <v>1030</v>
      </c>
      <c r="D14">
        <v>31219.003568855995</v>
      </c>
      <c r="E14">
        <v>3.7454874758191257</v>
      </c>
      <c r="F14">
        <v>3.5857863249393471</v>
      </c>
      <c r="G14">
        <v>4.9758829153141395</v>
      </c>
      <c r="H14">
        <v>67210.316749491321</v>
      </c>
      <c r="I14">
        <v>81</v>
      </c>
      <c r="J14">
        <v>31.64123862298873</v>
      </c>
    </row>
    <row r="15" spans="1:10">
      <c r="A15" s="1">
        <v>42395</v>
      </c>
      <c r="B15" t="s">
        <v>10</v>
      </c>
      <c r="C15">
        <v>103</v>
      </c>
      <c r="D15">
        <v>27179.606846316357</v>
      </c>
      <c r="E15">
        <v>3.8674388930249086</v>
      </c>
      <c r="F15">
        <v>2.5979831534708953</v>
      </c>
      <c r="G15">
        <v>35.721074791135848</v>
      </c>
      <c r="H15">
        <v>92150.57787878254</v>
      </c>
      <c r="I15">
        <v>690</v>
      </c>
      <c r="J15">
        <v>90.170204951880137</v>
      </c>
    </row>
    <row r="16" spans="1:10">
      <c r="A16" s="1">
        <v>42425</v>
      </c>
      <c r="B16" t="s">
        <v>12</v>
      </c>
      <c r="C16">
        <v>94</v>
      </c>
      <c r="D16">
        <v>23598.478006645528</v>
      </c>
      <c r="E16">
        <v>3.8314406343337062</v>
      </c>
      <c r="F16">
        <v>2.8080505395041024</v>
      </c>
      <c r="H16">
        <v>119931.41021158894</v>
      </c>
      <c r="I16">
        <v>90</v>
      </c>
      <c r="J16">
        <v>62.255140940508497</v>
      </c>
    </row>
    <row r="17" spans="1:10">
      <c r="A17" s="1">
        <v>42455</v>
      </c>
      <c r="B17" t="s">
        <v>12</v>
      </c>
      <c r="C17">
        <v>105</v>
      </c>
      <c r="D17">
        <v>34362.286641400722</v>
      </c>
      <c r="E17">
        <v>4.0867369287426625</v>
      </c>
      <c r="F17">
        <v>2.1083514325782087</v>
      </c>
      <c r="G17">
        <v>7.1577448944285837</v>
      </c>
      <c r="H17">
        <v>906700.92415436043</v>
      </c>
      <c r="I17">
        <v>87</v>
      </c>
      <c r="J17">
        <v>57.380879680600209</v>
      </c>
    </row>
    <row r="18" spans="1:10">
      <c r="A18" s="1">
        <v>42485</v>
      </c>
      <c r="B18" t="s">
        <v>13</v>
      </c>
      <c r="C18">
        <v>86</v>
      </c>
      <c r="D18">
        <v>33251.005889793305</v>
      </c>
      <c r="E18">
        <v>3.5905107793518534</v>
      </c>
      <c r="F18">
        <v>2.7691269412451072</v>
      </c>
      <c r="G18">
        <v>3.9492847658732577</v>
      </c>
      <c r="H18">
        <v>112809.59590401647</v>
      </c>
      <c r="I18">
        <v>78</v>
      </c>
      <c r="J18">
        <v>28.53694552818834</v>
      </c>
    </row>
    <row r="19" spans="1:10">
      <c r="A19" s="1">
        <v>42515</v>
      </c>
      <c r="B19" t="s">
        <v>13</v>
      </c>
      <c r="C19">
        <v>92</v>
      </c>
      <c r="D19">
        <v>29504.120681103086</v>
      </c>
      <c r="E19">
        <v>2.8515840260220768</v>
      </c>
      <c r="F19">
        <v>2.1568077245025896</v>
      </c>
      <c r="G19">
        <v>6.3276493662942332</v>
      </c>
      <c r="H19">
        <v>96189.93788004377</v>
      </c>
      <c r="I19">
        <v>71</v>
      </c>
      <c r="J19">
        <v>71.964480540556934</v>
      </c>
    </row>
    <row r="20" spans="1:10">
      <c r="A20" s="1">
        <v>42545</v>
      </c>
      <c r="B20" t="s">
        <v>10</v>
      </c>
      <c r="C20">
        <v>94</v>
      </c>
      <c r="D20">
        <v>39233.184980238329</v>
      </c>
      <c r="E20">
        <v>3.6998439758763206</v>
      </c>
      <c r="F20">
        <v>3.1215718898560509</v>
      </c>
      <c r="G20">
        <v>4.8964302753383881</v>
      </c>
      <c r="H20">
        <v>106481.14056443122</v>
      </c>
      <c r="I20">
        <v>92</v>
      </c>
      <c r="J20">
        <v>89.439967351607194</v>
      </c>
    </row>
    <row r="21" spans="1:10">
      <c r="A21" s="1">
        <v>42575</v>
      </c>
      <c r="B21" t="s">
        <v>13</v>
      </c>
      <c r="C21">
        <v>101</v>
      </c>
      <c r="D21">
        <v>24649.576168369236</v>
      </c>
      <c r="E21">
        <v>3.1743215531040856</v>
      </c>
      <c r="F21">
        <v>2.130389663956366</v>
      </c>
      <c r="G21">
        <v>5.8161846583972716</v>
      </c>
      <c r="H21">
        <v>77046.172203686656</v>
      </c>
      <c r="I21">
        <v>103</v>
      </c>
      <c r="J21">
        <v>86.254869545876232</v>
      </c>
    </row>
    <row r="22" spans="1:10">
      <c r="A22" s="1">
        <v>42605</v>
      </c>
      <c r="B22" t="s">
        <v>12</v>
      </c>
      <c r="C22">
        <v>103</v>
      </c>
      <c r="D22">
        <v>22372.374145376307</v>
      </c>
      <c r="E22">
        <v>3.2356916591251217</v>
      </c>
      <c r="F22">
        <v>2.8771003939021864</v>
      </c>
      <c r="G22">
        <v>5.8530689548161927</v>
      </c>
      <c r="H22">
        <v>1017041.8899267802</v>
      </c>
      <c r="I22">
        <v>114</v>
      </c>
      <c r="J22">
        <v>70.0843767184641</v>
      </c>
    </row>
    <row r="23" spans="1:10">
      <c r="A23" s="1">
        <v>42635</v>
      </c>
      <c r="B23" t="s">
        <v>13</v>
      </c>
      <c r="C23">
        <v>84</v>
      </c>
      <c r="D23">
        <v>26540.459650593777</v>
      </c>
      <c r="E23">
        <v>3.7931820093775466</v>
      </c>
      <c r="F23">
        <v>2.4707371863150218</v>
      </c>
      <c r="G23">
        <v>5.2187106396204133</v>
      </c>
      <c r="H23">
        <v>40177.280581985535</v>
      </c>
      <c r="I23">
        <v>75</v>
      </c>
    </row>
    <row r="24" spans="1:10">
      <c r="A24" s="1">
        <v>42665</v>
      </c>
      <c r="B24" t="s">
        <v>14</v>
      </c>
      <c r="C24">
        <v>76</v>
      </c>
      <c r="D24">
        <v>29772.069918222511</v>
      </c>
      <c r="E24">
        <v>4.1191415357168175</v>
      </c>
      <c r="F24">
        <v>3.6260502507721681</v>
      </c>
      <c r="G24">
        <v>4.5594812012963244</v>
      </c>
      <c r="H24">
        <v>96262.076836760301</v>
      </c>
      <c r="I24">
        <v>80</v>
      </c>
      <c r="J24">
        <v>28.991762174081039</v>
      </c>
    </row>
    <row r="25" spans="1:10">
      <c r="A25" s="1">
        <v>42695</v>
      </c>
      <c r="B25" t="s">
        <v>12</v>
      </c>
      <c r="C25">
        <v>970</v>
      </c>
      <c r="D25">
        <v>31216.697246613458</v>
      </c>
      <c r="E25">
        <v>3.510635788368031</v>
      </c>
      <c r="F25">
        <v>2.448606276411514</v>
      </c>
      <c r="G25">
        <v>4.6713507372204885</v>
      </c>
      <c r="H25">
        <v>67390.535125697206</v>
      </c>
      <c r="I25">
        <v>94</v>
      </c>
      <c r="J25">
        <v>23.944718968785974</v>
      </c>
    </row>
    <row r="26" spans="1:10">
      <c r="A26" s="1">
        <v>42725</v>
      </c>
      <c r="B26" t="s">
        <v>14</v>
      </c>
      <c r="C26">
        <v>111</v>
      </c>
      <c r="D26">
        <v>28793.819710718351</v>
      </c>
      <c r="E26">
        <v>3.6544165062994818</v>
      </c>
      <c r="F26">
        <v>0.72696753179311857</v>
      </c>
      <c r="G26">
        <v>4.4005697014225094</v>
      </c>
      <c r="H26">
        <v>124119.89033093632</v>
      </c>
      <c r="I26">
        <v>110</v>
      </c>
      <c r="J26">
        <v>40.598337319397544</v>
      </c>
    </row>
    <row r="27" spans="1:10">
      <c r="A27" s="1">
        <v>42755</v>
      </c>
      <c r="B27" t="s">
        <v>13</v>
      </c>
      <c r="C27">
        <v>93</v>
      </c>
      <c r="E27">
        <v>4.3511074723176186</v>
      </c>
      <c r="F27">
        <v>3.7619215007139917</v>
      </c>
      <c r="G27">
        <v>4.5018133501234665</v>
      </c>
      <c r="I27">
        <v>84</v>
      </c>
      <c r="J27">
        <v>30.85291737283022</v>
      </c>
    </row>
    <row r="28" spans="1:10">
      <c r="A28" s="1">
        <v>42785</v>
      </c>
      <c r="B28" t="s">
        <v>11</v>
      </c>
      <c r="C28">
        <v>87</v>
      </c>
      <c r="D28">
        <v>23742.30287904778</v>
      </c>
      <c r="E28">
        <v>3.6203765897442843</v>
      </c>
      <c r="F28">
        <v>1.5942676991373812</v>
      </c>
      <c r="G28">
        <v>5.4193860519407737</v>
      </c>
      <c r="I28">
        <v>80</v>
      </c>
      <c r="J28">
        <v>40.803843220194707</v>
      </c>
    </row>
    <row r="29" spans="1:10">
      <c r="A29" s="1">
        <v>42815</v>
      </c>
      <c r="B29" t="s">
        <v>10</v>
      </c>
      <c r="C29">
        <v>108</v>
      </c>
      <c r="D29">
        <v>37218.823020366297</v>
      </c>
      <c r="E29">
        <v>4.8008415570901972</v>
      </c>
      <c r="F29">
        <v>1.8462336613511803</v>
      </c>
      <c r="G29">
        <v>4.6410880130670975</v>
      </c>
      <c r="H29">
        <v>130420.1245431876</v>
      </c>
      <c r="I29">
        <v>77</v>
      </c>
      <c r="J29">
        <v>50.804644457516936</v>
      </c>
    </row>
    <row r="30" spans="1:10">
      <c r="A30" s="1">
        <v>42845</v>
      </c>
      <c r="B30" t="s">
        <v>12</v>
      </c>
      <c r="C30">
        <v>106</v>
      </c>
      <c r="D30">
        <v>29589.244108037157</v>
      </c>
      <c r="E30">
        <v>3.7827548228157721</v>
      </c>
      <c r="F30">
        <v>1.904338705956508</v>
      </c>
      <c r="G30">
        <v>6.3184624788551442</v>
      </c>
      <c r="H30">
        <v>81021.669583503259</v>
      </c>
      <c r="I30">
        <v>82</v>
      </c>
      <c r="J30">
        <v>95.438622725690848</v>
      </c>
    </row>
    <row r="31" spans="1:10">
      <c r="A31" s="1">
        <v>42875</v>
      </c>
      <c r="B31" t="s">
        <v>14</v>
      </c>
      <c r="C31">
        <v>108</v>
      </c>
      <c r="D31">
        <v>35586.479157940637</v>
      </c>
      <c r="E31">
        <v>2.619618620422091</v>
      </c>
      <c r="F31">
        <v>3.8744380931708173</v>
      </c>
      <c r="G31">
        <v>7.2846953864031132</v>
      </c>
      <c r="H31">
        <v>134947.26395831117</v>
      </c>
      <c r="I31">
        <v>111</v>
      </c>
      <c r="J31">
        <v>68.830084782535366</v>
      </c>
    </row>
    <row r="32" spans="1:10">
      <c r="A32" s="1">
        <v>42905</v>
      </c>
      <c r="B32" t="s">
        <v>11</v>
      </c>
      <c r="C32">
        <v>96</v>
      </c>
      <c r="D32">
        <v>31713.626731888522</v>
      </c>
      <c r="E32">
        <v>3.876670810552266</v>
      </c>
      <c r="F32">
        <v>0.3643257860213045</v>
      </c>
      <c r="G32">
        <v>4.8039361103559486</v>
      </c>
      <c r="H32">
        <v>118643.83128520769</v>
      </c>
      <c r="I32">
        <v>87</v>
      </c>
      <c r="J32">
        <v>86.797902854636988</v>
      </c>
    </row>
    <row r="33" spans="1:10">
      <c r="A33" s="1">
        <v>42935</v>
      </c>
      <c r="B33" t="s">
        <v>11</v>
      </c>
      <c r="C33">
        <v>113</v>
      </c>
      <c r="D33">
        <v>32283.766095768919</v>
      </c>
      <c r="E33">
        <v>3.6905791924413887</v>
      </c>
      <c r="G33">
        <v>5.7872854006424523</v>
      </c>
      <c r="H33">
        <v>95268.894255621082</v>
      </c>
      <c r="I33">
        <v>73</v>
      </c>
      <c r="J33">
        <v>76.828120056986577</v>
      </c>
    </row>
    <row r="34" spans="1:10">
      <c r="A34" s="1">
        <v>42965</v>
      </c>
      <c r="B34" t="s">
        <v>12</v>
      </c>
      <c r="C34">
        <v>95</v>
      </c>
      <c r="D34">
        <v>32848.836401161017</v>
      </c>
      <c r="E34">
        <v>4.1448763770413724</v>
      </c>
      <c r="G34">
        <v>6.0996221323635202</v>
      </c>
      <c r="H34">
        <v>122712.40294365888</v>
      </c>
      <c r="I34">
        <v>95</v>
      </c>
      <c r="J34">
        <v>29.00025044213054</v>
      </c>
    </row>
    <row r="35" spans="1:10">
      <c r="A35" s="1">
        <v>42995</v>
      </c>
      <c r="B35" t="s">
        <v>12</v>
      </c>
      <c r="C35">
        <v>94</v>
      </c>
      <c r="D35">
        <v>32238.542800086576</v>
      </c>
      <c r="E35">
        <v>3.8365906756349792</v>
      </c>
      <c r="F35">
        <v>2.7232389141291597</v>
      </c>
      <c r="G35">
        <v>6.0664027251031296</v>
      </c>
      <c r="H35">
        <v>77874.129751767323</v>
      </c>
      <c r="I35">
        <v>87</v>
      </c>
      <c r="J35">
        <v>78.873632509915907</v>
      </c>
    </row>
    <row r="36" spans="1:10">
      <c r="A36" s="1">
        <v>43025</v>
      </c>
      <c r="B36" t="s">
        <v>11</v>
      </c>
      <c r="C36">
        <v>107</v>
      </c>
      <c r="D36">
        <v>33213.61379933772</v>
      </c>
      <c r="E36">
        <v>3.430772008008113</v>
      </c>
      <c r="F36">
        <v>2.4451059993837134</v>
      </c>
      <c r="G36">
        <v>5.5911463214993047</v>
      </c>
      <c r="H36">
        <v>83509.716769446532</v>
      </c>
      <c r="I36">
        <v>88</v>
      </c>
      <c r="J36">
        <v>42.007910524729951</v>
      </c>
    </row>
    <row r="37" spans="1:10">
      <c r="A37" s="1">
        <v>43055</v>
      </c>
      <c r="B37" t="s">
        <v>10</v>
      </c>
      <c r="C37">
        <v>114</v>
      </c>
      <c r="D37">
        <v>36645.76265066216</v>
      </c>
      <c r="E37">
        <v>2.887850881855317</v>
      </c>
      <c r="F37">
        <v>2.7855540748576568</v>
      </c>
      <c r="G37">
        <v>6.3912189020316665</v>
      </c>
      <c r="H37">
        <v>878282.05535206001</v>
      </c>
      <c r="I37">
        <v>85</v>
      </c>
    </row>
    <row r="38" spans="1:10">
      <c r="A38" s="1">
        <v>43085</v>
      </c>
      <c r="B38" t="s">
        <v>10</v>
      </c>
      <c r="C38">
        <v>86</v>
      </c>
      <c r="D38">
        <v>30982.605848507352</v>
      </c>
      <c r="E38">
        <v>3.3954883713569872</v>
      </c>
      <c r="F38">
        <v>3.0211224283793383</v>
      </c>
      <c r="G38">
        <v>6.0786987432167887</v>
      </c>
      <c r="H38">
        <v>89420.445838719694</v>
      </c>
      <c r="I38">
        <v>93</v>
      </c>
      <c r="J38">
        <v>47.276957891439082</v>
      </c>
    </row>
    <row r="39" spans="1:10">
      <c r="A39" s="1">
        <v>43115</v>
      </c>
      <c r="B39" t="s">
        <v>14</v>
      </c>
      <c r="C39">
        <v>1080</v>
      </c>
      <c r="D39">
        <v>33545.018787942565</v>
      </c>
      <c r="E39">
        <v>3.0747397728953501</v>
      </c>
      <c r="F39">
        <v>3.1452155859500568</v>
      </c>
      <c r="G39">
        <v>4.0148050932072428</v>
      </c>
      <c r="H39">
        <v>78868.847144794941</v>
      </c>
      <c r="I39">
        <v>85</v>
      </c>
      <c r="J39">
        <v>99.813781061172733</v>
      </c>
    </row>
    <row r="40" spans="1:10">
      <c r="A40" s="1">
        <v>43145</v>
      </c>
      <c r="B40" t="s">
        <v>10</v>
      </c>
      <c r="C40">
        <v>108</v>
      </c>
      <c r="D40">
        <v>29551.321528563865</v>
      </c>
      <c r="E40">
        <v>3.2097382750976386</v>
      </c>
      <c r="F40">
        <v>3.0556044660034485</v>
      </c>
      <c r="G40">
        <v>6.5429872772671276</v>
      </c>
      <c r="H40">
        <v>124461.6613419065</v>
      </c>
      <c r="I40">
        <v>820</v>
      </c>
      <c r="J40">
        <v>41.084118359742227</v>
      </c>
    </row>
    <row r="41" spans="1:10">
      <c r="A41" s="1">
        <v>43175</v>
      </c>
      <c r="B41" t="s">
        <v>11</v>
      </c>
      <c r="C41">
        <v>101</v>
      </c>
      <c r="D41">
        <v>37200.586077247368</v>
      </c>
      <c r="E41">
        <v>37.942892022103052</v>
      </c>
      <c r="F41">
        <v>2.5895806812552489</v>
      </c>
      <c r="G41">
        <v>6.56474900472009</v>
      </c>
      <c r="H41">
        <v>94822.91199260336</v>
      </c>
      <c r="I41">
        <v>80</v>
      </c>
      <c r="J41">
        <v>42.330437661941573</v>
      </c>
    </row>
    <row r="42" spans="1:10">
      <c r="A42" s="1">
        <v>43205</v>
      </c>
      <c r="B42" t="s">
        <v>11</v>
      </c>
      <c r="C42">
        <v>94</v>
      </c>
      <c r="D42">
        <v>26618.038489703653</v>
      </c>
      <c r="E42">
        <v>4.3349522521757029</v>
      </c>
      <c r="F42">
        <v>2.3026615796926739</v>
      </c>
      <c r="G42">
        <v>4.5840566749857024</v>
      </c>
      <c r="H42">
        <v>107050.09936713759</v>
      </c>
      <c r="I42">
        <v>95</v>
      </c>
      <c r="J42">
        <v>94.453780444991864</v>
      </c>
    </row>
    <row r="43" spans="1:10">
      <c r="A43" s="1">
        <v>43235</v>
      </c>
      <c r="B43" t="s">
        <v>13</v>
      </c>
      <c r="C43">
        <v>116</v>
      </c>
      <c r="D43">
        <v>39004.702164554081</v>
      </c>
      <c r="E43">
        <v>3.6973357649114904</v>
      </c>
      <c r="G43">
        <v>5.5455254025371223</v>
      </c>
      <c r="I43">
        <v>89</v>
      </c>
      <c r="J43">
        <v>21.971552370905812</v>
      </c>
    </row>
    <row r="44" spans="1:10">
      <c r="A44" s="1">
        <v>43265</v>
      </c>
      <c r="B44" t="s">
        <v>11</v>
      </c>
      <c r="C44">
        <v>97</v>
      </c>
      <c r="D44">
        <v>29799.210246778282</v>
      </c>
      <c r="E44">
        <v>2.9020584689824078</v>
      </c>
      <c r="F44">
        <v>2.3050917196473191</v>
      </c>
      <c r="G44">
        <v>63.199947913732828</v>
      </c>
      <c r="H44">
        <v>63587.933989029654</v>
      </c>
      <c r="I44">
        <v>73</v>
      </c>
      <c r="J44">
        <v>75.735119029855753</v>
      </c>
    </row>
    <row r="45" spans="1:10">
      <c r="A45" s="1">
        <v>43295</v>
      </c>
      <c r="B45" t="s">
        <v>10</v>
      </c>
      <c r="D45">
        <v>22846.124489409758</v>
      </c>
      <c r="E45">
        <v>3.7223013341100701</v>
      </c>
      <c r="F45">
        <v>3.6337700968670648</v>
      </c>
      <c r="G45">
        <v>5.2488234165047665</v>
      </c>
      <c r="H45">
        <v>105401.14716782844</v>
      </c>
      <c r="I45">
        <v>86</v>
      </c>
      <c r="J45">
        <v>78.026111258870259</v>
      </c>
    </row>
    <row r="46" spans="1:10">
      <c r="A46" s="1">
        <v>43325</v>
      </c>
      <c r="B46" t="s">
        <v>14</v>
      </c>
      <c r="C46">
        <v>94</v>
      </c>
      <c r="D46">
        <v>30640.522074553948</v>
      </c>
      <c r="E46">
        <v>4.0983157433228259</v>
      </c>
      <c r="F46">
        <v>3.0935567222808618</v>
      </c>
      <c r="G46">
        <v>6.7875736573192142</v>
      </c>
      <c r="H46">
        <v>61754.900491604465</v>
      </c>
      <c r="I46">
        <v>82</v>
      </c>
      <c r="J46">
        <v>86.910286192831947</v>
      </c>
    </row>
    <row r="47" spans="1:10">
      <c r="A47" s="1">
        <v>43355</v>
      </c>
      <c r="B47" t="s">
        <v>13</v>
      </c>
      <c r="C47">
        <v>118</v>
      </c>
      <c r="D47">
        <v>26594.741712625597</v>
      </c>
      <c r="E47">
        <v>3.195108547840309</v>
      </c>
      <c r="F47">
        <v>-0.44038863466428024</v>
      </c>
      <c r="G47">
        <v>8.3366469935432335</v>
      </c>
      <c r="H47">
        <v>98627.319078290631</v>
      </c>
      <c r="I47">
        <v>80</v>
      </c>
      <c r="J47">
        <v>97.955144851078032</v>
      </c>
    </row>
    <row r="48" spans="1:10">
      <c r="A48" s="1">
        <v>43385</v>
      </c>
      <c r="B48" t="s">
        <v>10</v>
      </c>
      <c r="C48">
        <v>104</v>
      </c>
      <c r="D48">
        <v>34203.21774494362</v>
      </c>
      <c r="E48">
        <v>3.4329914166635414</v>
      </c>
      <c r="F48">
        <v>3.1559007765297609</v>
      </c>
      <c r="G48">
        <v>4.5568167608380215</v>
      </c>
      <c r="H48">
        <v>72633.699223343792</v>
      </c>
      <c r="I48">
        <v>85</v>
      </c>
      <c r="J48">
        <v>98.048153532532197</v>
      </c>
    </row>
    <row r="49" spans="1:10">
      <c r="A49" s="1">
        <v>43415</v>
      </c>
      <c r="B49" t="s">
        <v>14</v>
      </c>
      <c r="D49">
        <v>26736.880103488045</v>
      </c>
      <c r="E49">
        <v>3.5073440973645984</v>
      </c>
      <c r="F49">
        <v>2.6947361947187747</v>
      </c>
      <c r="G49">
        <v>3.8427464762154702</v>
      </c>
      <c r="H49">
        <v>139745.51998461617</v>
      </c>
      <c r="I49">
        <v>88</v>
      </c>
      <c r="J49">
        <v>25.222140605317112</v>
      </c>
    </row>
    <row r="50" spans="1:10">
      <c r="A50" s="1">
        <v>43445</v>
      </c>
      <c r="B50" t="s">
        <v>10</v>
      </c>
      <c r="C50">
        <v>115</v>
      </c>
      <c r="D50">
        <v>27769.082833926102</v>
      </c>
      <c r="E50">
        <v>3.1075508434588799</v>
      </c>
      <c r="F50">
        <v>2.4812912435541028</v>
      </c>
      <c r="G50">
        <v>5.8645823147258511</v>
      </c>
      <c r="H50">
        <v>118227.25444349443</v>
      </c>
      <c r="I50">
        <v>100</v>
      </c>
      <c r="J50">
        <v>85.747145820232205</v>
      </c>
    </row>
    <row r="51" spans="1:10">
      <c r="A51" s="1">
        <v>43475</v>
      </c>
      <c r="B51" t="s">
        <v>13</v>
      </c>
      <c r="C51">
        <v>94</v>
      </c>
      <c r="D51">
        <v>20552.296345272345</v>
      </c>
      <c r="E51">
        <v>3.8241402169219296</v>
      </c>
      <c r="F51">
        <v>2.1114815469111141</v>
      </c>
      <c r="G51">
        <v>6.3658750061513718</v>
      </c>
      <c r="H51">
        <v>102115.07582542961</v>
      </c>
      <c r="I51">
        <v>102</v>
      </c>
      <c r="J51">
        <v>71.704794692590497</v>
      </c>
    </row>
    <row r="52" spans="1:10">
      <c r="A52" s="1">
        <v>43505</v>
      </c>
      <c r="B52" t="s">
        <v>11</v>
      </c>
      <c r="C52">
        <v>91</v>
      </c>
      <c r="D52">
        <v>27738.468403754618</v>
      </c>
      <c r="E52">
        <v>3.4395259256961093</v>
      </c>
      <c r="F52">
        <v>3.6241127199860133</v>
      </c>
      <c r="G52">
        <v>5.222960351386277</v>
      </c>
      <c r="H52">
        <v>125274.13355309337</v>
      </c>
      <c r="I52">
        <v>95</v>
      </c>
      <c r="J52">
        <v>71.787370749847298</v>
      </c>
    </row>
    <row r="53" spans="1:10">
      <c r="A53" s="1">
        <v>43535</v>
      </c>
      <c r="B53" t="s">
        <v>13</v>
      </c>
      <c r="C53">
        <v>110</v>
      </c>
      <c r="D53">
        <v>17880.603366855219</v>
      </c>
      <c r="E53">
        <v>3.7097662219535139</v>
      </c>
      <c r="F53">
        <v>3.4475264621228581</v>
      </c>
      <c r="G53">
        <v>7.2439127959852412</v>
      </c>
      <c r="H53">
        <v>83073.680450685279</v>
      </c>
      <c r="I53">
        <v>88</v>
      </c>
      <c r="J53">
        <v>30.267994129175584</v>
      </c>
    </row>
    <row r="54" spans="1:10">
      <c r="A54" s="1">
        <v>43565</v>
      </c>
      <c r="B54" t="s">
        <v>11</v>
      </c>
      <c r="C54">
        <v>98</v>
      </c>
      <c r="D54">
        <v>22080.485882571382</v>
      </c>
      <c r="E54">
        <v>3.0562539110989499</v>
      </c>
      <c r="F54">
        <v>1.7271223321763909</v>
      </c>
      <c r="G54">
        <v>3.8936730403321018</v>
      </c>
      <c r="H54">
        <v>110869.58757340186</v>
      </c>
      <c r="I54">
        <v>87</v>
      </c>
    </row>
    <row r="55" spans="1:10">
      <c r="A55" s="1">
        <v>43595</v>
      </c>
      <c r="B55" t="s">
        <v>13</v>
      </c>
      <c r="C55">
        <v>86</v>
      </c>
      <c r="D55">
        <v>33802.073280721488</v>
      </c>
      <c r="E55">
        <v>3.281270849838295</v>
      </c>
      <c r="F55">
        <v>2.907052287124535</v>
      </c>
      <c r="G55">
        <v>6.3315023476379331</v>
      </c>
      <c r="H55">
        <v>103996.20867437427</v>
      </c>
      <c r="I55">
        <v>95</v>
      </c>
      <c r="J55">
        <v>98.598606448099829</v>
      </c>
    </row>
    <row r="56" spans="1:10">
      <c r="A56" s="1">
        <v>43625</v>
      </c>
      <c r="B56" t="s">
        <v>12</v>
      </c>
      <c r="C56">
        <v>121</v>
      </c>
      <c r="E56">
        <v>3.8611906789138857</v>
      </c>
      <c r="F56">
        <v>1.5283432654587141</v>
      </c>
      <c r="G56">
        <v>4.7729670150893284</v>
      </c>
      <c r="H56">
        <v>105280.4016266734</v>
      </c>
      <c r="I56">
        <v>78</v>
      </c>
      <c r="J56">
        <v>929.45485563155762</v>
      </c>
    </row>
    <row r="57" spans="1:10">
      <c r="A57" s="1">
        <v>43655</v>
      </c>
      <c r="B57" t="s">
        <v>10</v>
      </c>
      <c r="C57">
        <v>100</v>
      </c>
      <c r="D57">
        <v>32127.287808924822</v>
      </c>
      <c r="E57">
        <v>3.3135834239541166</v>
      </c>
      <c r="F57">
        <v>1.1203818352110695</v>
      </c>
      <c r="G57">
        <v>7.5632534874487565</v>
      </c>
      <c r="H57">
        <v>125447.07000213536</v>
      </c>
      <c r="I57">
        <v>810</v>
      </c>
      <c r="J57">
        <v>55.13045286438804</v>
      </c>
    </row>
    <row r="58" spans="1:10">
      <c r="A58" s="1">
        <v>43685</v>
      </c>
      <c r="B58" t="s">
        <v>10</v>
      </c>
      <c r="C58">
        <v>96</v>
      </c>
      <c r="D58">
        <v>25165.119284353936</v>
      </c>
      <c r="E58">
        <v>4.3634819256167026</v>
      </c>
      <c r="F58">
        <v>1.873282775410035</v>
      </c>
      <c r="G58">
        <v>7.891018423801742</v>
      </c>
      <c r="H58">
        <v>114649.84205559605</v>
      </c>
      <c r="I58">
        <v>95</v>
      </c>
      <c r="J58">
        <v>23.195837862887547</v>
      </c>
    </row>
    <row r="59" spans="1:10">
      <c r="A59" s="1">
        <v>43715</v>
      </c>
      <c r="B59" t="s">
        <v>12</v>
      </c>
      <c r="C59">
        <v>127</v>
      </c>
      <c r="D59">
        <v>29761.4432192901</v>
      </c>
      <c r="E59">
        <v>3.300181907192699</v>
      </c>
      <c r="F59">
        <v>3.3623934723827587</v>
      </c>
      <c r="G59">
        <v>4.5800120946599829</v>
      </c>
      <c r="H59">
        <v>105774.47325650047</v>
      </c>
      <c r="I59">
        <v>88</v>
      </c>
      <c r="J59">
        <v>48.98347920001639</v>
      </c>
    </row>
    <row r="60" spans="1:10">
      <c r="A60" s="1">
        <v>43745</v>
      </c>
      <c r="B60" t="s">
        <v>11</v>
      </c>
      <c r="C60">
        <v>100</v>
      </c>
      <c r="D60">
        <v>29981.987304547158</v>
      </c>
      <c r="E60">
        <v>3.612342362875943</v>
      </c>
      <c r="F60">
        <v>3.4531250453760869</v>
      </c>
      <c r="G60">
        <v>4.8405314369097034</v>
      </c>
      <c r="H60">
        <v>66902.251275434071</v>
      </c>
      <c r="J60">
        <v>86.111224928044422</v>
      </c>
    </row>
    <row r="61" spans="1:10">
      <c r="A61" s="1">
        <v>43775</v>
      </c>
      <c r="B61" t="s">
        <v>10</v>
      </c>
      <c r="C61">
        <v>93</v>
      </c>
      <c r="D61">
        <v>24208.176554037287</v>
      </c>
      <c r="E61">
        <v>3.9662954159365449</v>
      </c>
      <c r="F61">
        <v>3.0130854200972932</v>
      </c>
      <c r="G61">
        <v>6.531505464375762</v>
      </c>
      <c r="H61">
        <v>80799.074094410724</v>
      </c>
      <c r="I61">
        <v>79</v>
      </c>
      <c r="J61">
        <v>76.119928117213277</v>
      </c>
    </row>
    <row r="62" spans="1:10">
      <c r="A62" s="1">
        <v>43805</v>
      </c>
      <c r="B62" t="s">
        <v>12</v>
      </c>
      <c r="C62">
        <v>103</v>
      </c>
      <c r="D62">
        <v>37516.991508835752</v>
      </c>
      <c r="E62">
        <v>2.7908171335334844</v>
      </c>
      <c r="F62">
        <v>3.225095786847997</v>
      </c>
      <c r="G62">
        <v>5.0354432202525823</v>
      </c>
      <c r="H62">
        <v>97545.821328085513</v>
      </c>
      <c r="I62">
        <v>91</v>
      </c>
      <c r="J62">
        <v>56.747492447516514</v>
      </c>
    </row>
    <row r="63" spans="1:10">
      <c r="A63" s="1">
        <v>43835</v>
      </c>
      <c r="B63" t="s">
        <v>10</v>
      </c>
      <c r="C63">
        <v>78</v>
      </c>
      <c r="D63">
        <v>34386.811452878355</v>
      </c>
      <c r="E63">
        <v>2.6195955940096121</v>
      </c>
      <c r="F63">
        <v>3.0161782871149585</v>
      </c>
      <c r="G63">
        <v>5.4455065384813137</v>
      </c>
      <c r="H63">
        <v>101867.44748553302</v>
      </c>
      <c r="I63">
        <v>81</v>
      </c>
    </row>
    <row r="64" spans="1:10">
      <c r="A64" s="1">
        <v>43865</v>
      </c>
      <c r="B64" t="s">
        <v>14</v>
      </c>
      <c r="C64">
        <v>116</v>
      </c>
      <c r="D64">
        <v>288951.79130851681</v>
      </c>
      <c r="E64">
        <v>2.7371718427149525</v>
      </c>
      <c r="F64">
        <v>1.8585184047770478</v>
      </c>
      <c r="G64">
        <v>5.5304661046508921</v>
      </c>
      <c r="H64">
        <v>77395.925506521526</v>
      </c>
      <c r="I64">
        <v>98</v>
      </c>
      <c r="J64">
        <v>54.151578225864213</v>
      </c>
    </row>
    <row r="65" spans="1:10">
      <c r="A65" s="1">
        <v>43895</v>
      </c>
      <c r="B65" t="s">
        <v>11</v>
      </c>
      <c r="C65">
        <v>88</v>
      </c>
      <c r="D65">
        <v>30134.429194972654</v>
      </c>
      <c r="E65">
        <v>4.1312920517135909</v>
      </c>
      <c r="F65">
        <v>2.9319225446739408</v>
      </c>
      <c r="G65">
        <v>3.1963922125628126</v>
      </c>
      <c r="H65">
        <v>148233.53351156841</v>
      </c>
      <c r="I65">
        <v>83</v>
      </c>
      <c r="J65">
        <v>57.521995177430682</v>
      </c>
    </row>
    <row r="66" spans="1:10">
      <c r="A66" s="1">
        <v>43925</v>
      </c>
      <c r="B66" t="s">
        <v>14</v>
      </c>
      <c r="C66">
        <v>105</v>
      </c>
      <c r="D66">
        <v>31041.914039737763</v>
      </c>
      <c r="E66">
        <v>3.2240709270537766</v>
      </c>
      <c r="F66">
        <v>3.3004095252276824</v>
      </c>
      <c r="G66">
        <v>5.4833947046869156</v>
      </c>
      <c r="H66">
        <v>130327.88110507146</v>
      </c>
      <c r="J66">
        <v>94.284442631530879</v>
      </c>
    </row>
    <row r="67" spans="1:10">
      <c r="A67" s="1">
        <v>43955</v>
      </c>
      <c r="B67" t="s">
        <v>11</v>
      </c>
      <c r="C67">
        <v>92</v>
      </c>
      <c r="D67">
        <v>19791.325657878548</v>
      </c>
      <c r="E67">
        <v>4.7790996428341259</v>
      </c>
      <c r="F67">
        <v>3.2542913298135741</v>
      </c>
      <c r="G67">
        <v>46.723266711229918</v>
      </c>
      <c r="H67">
        <v>112042.36640784967</v>
      </c>
      <c r="I67">
        <v>97</v>
      </c>
      <c r="J67">
        <v>71.286888286572747</v>
      </c>
    </row>
    <row r="68" spans="1:10">
      <c r="A68" s="1">
        <v>43985</v>
      </c>
      <c r="B68" t="s">
        <v>12</v>
      </c>
      <c r="C68">
        <v>96</v>
      </c>
      <c r="D68">
        <v>28764.113087397014</v>
      </c>
      <c r="E68">
        <v>3.2178762006713058</v>
      </c>
      <c r="F68">
        <v>3.6889133714746429</v>
      </c>
      <c r="G68">
        <v>4.9082526131202737</v>
      </c>
      <c r="H68">
        <v>101440.73722567489</v>
      </c>
      <c r="I68">
        <v>90</v>
      </c>
      <c r="J68">
        <v>44.932233332371908</v>
      </c>
    </row>
    <row r="69" spans="1:10">
      <c r="A69" s="1">
        <v>44015</v>
      </c>
      <c r="B69" t="s">
        <v>11</v>
      </c>
      <c r="C69">
        <v>104</v>
      </c>
      <c r="D69">
        <v>26590.078760011005</v>
      </c>
      <c r="E69">
        <v>3.5922756515985186</v>
      </c>
      <c r="F69">
        <v>3.2083038472010639</v>
      </c>
      <c r="G69">
        <v>7.2323584041625768</v>
      </c>
      <c r="H69">
        <v>95755.820601976971</v>
      </c>
      <c r="I69">
        <v>83</v>
      </c>
      <c r="J69">
        <v>62.025461156057709</v>
      </c>
    </row>
    <row r="70" spans="1:10">
      <c r="A70" s="1">
        <v>44045</v>
      </c>
      <c r="B70" t="s">
        <v>11</v>
      </c>
      <c r="C70">
        <v>84</v>
      </c>
      <c r="D70">
        <v>249918.99950525421</v>
      </c>
      <c r="E70">
        <v>4.2710549762839376</v>
      </c>
      <c r="F70">
        <v>2.851448207541583</v>
      </c>
      <c r="G70">
        <v>3.9921917268648928</v>
      </c>
      <c r="H70">
        <v>80961.630799555292</v>
      </c>
      <c r="I70">
        <v>93</v>
      </c>
      <c r="J70">
        <v>25.284424625772807</v>
      </c>
    </row>
    <row r="71" spans="1:10">
      <c r="A71" s="1">
        <v>44075</v>
      </c>
      <c r="B71" t="s">
        <v>12</v>
      </c>
      <c r="C71">
        <v>95</v>
      </c>
      <c r="D71">
        <v>28594.498535570227</v>
      </c>
      <c r="E71">
        <v>4.5030464440795619</v>
      </c>
      <c r="F71">
        <v>3.5701502383164274</v>
      </c>
      <c r="G71">
        <v>64.758462240975732</v>
      </c>
      <c r="H71">
        <v>101549.61037037725</v>
      </c>
      <c r="I71">
        <v>84</v>
      </c>
      <c r="J71">
        <v>97.805458851978941</v>
      </c>
    </row>
    <row r="72" spans="1:10">
      <c r="A72" s="1">
        <v>44105</v>
      </c>
      <c r="B72" t="s">
        <v>11</v>
      </c>
      <c r="C72">
        <v>105</v>
      </c>
      <c r="D72">
        <v>38988.432634247612</v>
      </c>
      <c r="E72">
        <v>4.5307517883181987</v>
      </c>
      <c r="G72">
        <v>5.1652444836018301</v>
      </c>
      <c r="H72">
        <v>105155.05080285501</v>
      </c>
      <c r="I72">
        <v>90</v>
      </c>
      <c r="J72">
        <v>48.804792154458084</v>
      </c>
    </row>
    <row r="73" spans="1:10">
      <c r="A73" s="1">
        <v>44135</v>
      </c>
      <c r="B73" t="s">
        <v>10</v>
      </c>
      <c r="C73">
        <v>100</v>
      </c>
      <c r="D73">
        <v>33204.214306335052</v>
      </c>
      <c r="E73">
        <v>4.1041831152965713</v>
      </c>
      <c r="F73">
        <v>1.6181253487722822</v>
      </c>
      <c r="G73">
        <v>5.1642877978049988</v>
      </c>
      <c r="H73">
        <v>75164.788490367515</v>
      </c>
      <c r="I73">
        <v>97</v>
      </c>
      <c r="J73">
        <v>58.229388393050868</v>
      </c>
    </row>
    <row r="74" spans="1:10">
      <c r="A74" s="1">
        <v>44165</v>
      </c>
      <c r="B74" t="s">
        <v>13</v>
      </c>
      <c r="C74">
        <v>104</v>
      </c>
      <c r="D74">
        <v>27144.105051086015</v>
      </c>
      <c r="E74">
        <v>4.0120312629057313</v>
      </c>
      <c r="F74">
        <v>2.3369330360562359</v>
      </c>
      <c r="G74">
        <v>6.4484462752620537</v>
      </c>
      <c r="H74">
        <v>106683.52834489795</v>
      </c>
      <c r="I74">
        <v>92</v>
      </c>
      <c r="J74">
        <v>48.422717938953809</v>
      </c>
    </row>
    <row r="75" spans="1:10">
      <c r="A75" s="1">
        <v>44195</v>
      </c>
      <c r="B75" t="s">
        <v>12</v>
      </c>
      <c r="C75">
        <v>106</v>
      </c>
      <c r="D75">
        <v>32862.913906780792</v>
      </c>
      <c r="E75">
        <v>3.7962634746005914</v>
      </c>
      <c r="F75">
        <v>1.7550973551935509</v>
      </c>
      <c r="G75">
        <v>5.9080615534826686</v>
      </c>
      <c r="H75">
        <v>96894.819023505028</v>
      </c>
      <c r="I75">
        <v>80</v>
      </c>
      <c r="J75">
        <v>74.60093840929602</v>
      </c>
    </row>
    <row r="76" spans="1:10">
      <c r="A76" s="1">
        <v>44225</v>
      </c>
      <c r="B76" t="s">
        <v>13</v>
      </c>
      <c r="C76">
        <v>120</v>
      </c>
      <c r="D76">
        <v>36996.777182930011</v>
      </c>
      <c r="E76">
        <v>3.8891805380833189</v>
      </c>
      <c r="F76">
        <v>1.8248217250256185</v>
      </c>
      <c r="G76">
        <v>6.1847355966634368</v>
      </c>
      <c r="H76">
        <v>61843.848842452178</v>
      </c>
      <c r="I76">
        <v>75</v>
      </c>
      <c r="J76">
        <v>72.978572666367441</v>
      </c>
    </row>
    <row r="77" spans="1:10">
      <c r="A77" s="1">
        <v>44255</v>
      </c>
      <c r="B77" t="s">
        <v>12</v>
      </c>
      <c r="E77">
        <v>3.2244071418357332</v>
      </c>
      <c r="F77">
        <v>2.3554813292844821</v>
      </c>
      <c r="G77">
        <v>6.6618215926394333</v>
      </c>
      <c r="H77">
        <v>82792.299784409959</v>
      </c>
      <c r="I77">
        <v>91</v>
      </c>
      <c r="J77">
        <v>77.225784842330853</v>
      </c>
    </row>
    <row r="78" spans="1:10">
      <c r="A78" s="1">
        <v>44285</v>
      </c>
      <c r="B78" t="s">
        <v>12</v>
      </c>
      <c r="C78">
        <v>118</v>
      </c>
      <c r="D78">
        <v>30298.151849600872</v>
      </c>
      <c r="E78">
        <v>3.0909005582888462</v>
      </c>
      <c r="F78">
        <v>1.7075800790000386</v>
      </c>
      <c r="G78">
        <v>5.1024299401800128</v>
      </c>
      <c r="H78">
        <v>91727.889331567116</v>
      </c>
      <c r="I78">
        <v>91</v>
      </c>
      <c r="J78">
        <v>41.451458368953666</v>
      </c>
    </row>
    <row r="79" spans="1:10">
      <c r="A79" s="1">
        <v>44315</v>
      </c>
      <c r="B79" t="s">
        <v>14</v>
      </c>
      <c r="C79">
        <v>92</v>
      </c>
      <c r="D79">
        <v>26765.31611147213</v>
      </c>
      <c r="E79">
        <v>3.4983127712945241</v>
      </c>
      <c r="G79">
        <v>4.7653159185906997</v>
      </c>
      <c r="H79">
        <v>137753.75314680382</v>
      </c>
      <c r="I79">
        <v>81</v>
      </c>
      <c r="J79">
        <v>45.253478493125279</v>
      </c>
    </row>
    <row r="80" spans="1:10">
      <c r="A80" s="1">
        <v>44345</v>
      </c>
      <c r="B80" t="s">
        <v>14</v>
      </c>
      <c r="C80">
        <v>110</v>
      </c>
      <c r="D80">
        <v>33491.116568067948</v>
      </c>
      <c r="E80">
        <v>3.4149076887375358</v>
      </c>
      <c r="G80">
        <v>4.1978193681306424</v>
      </c>
      <c r="H80">
        <v>111131.06249067516</v>
      </c>
      <c r="J80">
        <v>30.020098487696636</v>
      </c>
    </row>
    <row r="81" spans="1:10">
      <c r="A81" s="1">
        <v>44375</v>
      </c>
      <c r="B81" t="s">
        <v>11</v>
      </c>
      <c r="C81">
        <v>101</v>
      </c>
      <c r="D81">
        <v>31967.426927108747</v>
      </c>
      <c r="E81">
        <v>3.2733859753363626</v>
      </c>
      <c r="F81">
        <v>2.7132937073729386</v>
      </c>
      <c r="G81">
        <v>4.5095073640252537</v>
      </c>
      <c r="H81">
        <v>73290.368618002176</v>
      </c>
      <c r="I81">
        <v>104</v>
      </c>
      <c r="J81">
        <v>72.440797747689004</v>
      </c>
    </row>
    <row r="82" spans="1:10">
      <c r="A82" s="1">
        <v>44405</v>
      </c>
      <c r="B82" t="s">
        <v>13</v>
      </c>
      <c r="C82">
        <v>84</v>
      </c>
      <c r="D82">
        <v>34475.966100138663</v>
      </c>
      <c r="E82">
        <v>3.8481937237283574</v>
      </c>
      <c r="F82">
        <v>2.5012054753622244</v>
      </c>
      <c r="G82">
        <v>9.0389133103704697</v>
      </c>
      <c r="H82">
        <v>109720.72578835273</v>
      </c>
      <c r="I82">
        <v>99</v>
      </c>
      <c r="J82">
        <v>23.183770186852204</v>
      </c>
    </row>
    <row r="83" spans="1:10">
      <c r="A83" s="1">
        <v>44435</v>
      </c>
      <c r="B83" t="s">
        <v>12</v>
      </c>
      <c r="C83">
        <v>115</v>
      </c>
      <c r="D83">
        <v>33175.859008409847</v>
      </c>
      <c r="F83">
        <v>1.6829113689318094</v>
      </c>
      <c r="G83">
        <v>6.9936154968841437</v>
      </c>
      <c r="H83">
        <v>69053.920221232693</v>
      </c>
      <c r="I83">
        <v>92</v>
      </c>
      <c r="J83">
        <v>67.814586841876718</v>
      </c>
    </row>
    <row r="84" spans="1:10">
      <c r="A84" s="1">
        <v>44465</v>
      </c>
      <c r="B84" t="s">
        <v>11</v>
      </c>
      <c r="C84">
        <v>95</v>
      </c>
      <c r="D84">
        <v>35247.763576596677</v>
      </c>
      <c r="E84">
        <v>3.5442034431459235</v>
      </c>
      <c r="F84">
        <v>3.1592456684324048</v>
      </c>
      <c r="G84">
        <v>3.8787107605503746</v>
      </c>
      <c r="H84">
        <v>121653.82107774146</v>
      </c>
      <c r="I84">
        <v>83</v>
      </c>
      <c r="J84">
        <v>89.575670788130708</v>
      </c>
    </row>
    <row r="85" spans="1:10">
      <c r="A85" s="1">
        <v>44495</v>
      </c>
      <c r="B85" t="s">
        <v>10</v>
      </c>
      <c r="C85">
        <v>114</v>
      </c>
      <c r="D85">
        <v>27323.823942197159</v>
      </c>
      <c r="E85">
        <v>4.2387650405276309</v>
      </c>
      <c r="F85">
        <v>3.4375701376265582</v>
      </c>
      <c r="G85">
        <v>3.9130504519077158</v>
      </c>
      <c r="H85">
        <v>90577.50696364243</v>
      </c>
      <c r="J85">
        <v>91.266571863170682</v>
      </c>
    </row>
    <row r="86" spans="1:10">
      <c r="A86" s="1">
        <v>44525</v>
      </c>
      <c r="B86" t="s">
        <v>12</v>
      </c>
      <c r="C86">
        <v>104</v>
      </c>
      <c r="D86">
        <v>36586.970328171628</v>
      </c>
      <c r="E86">
        <v>2.9291554429332476</v>
      </c>
      <c r="F86">
        <v>0.89244013563102587</v>
      </c>
      <c r="H86">
        <v>98127.276225216585</v>
      </c>
      <c r="I86">
        <v>91</v>
      </c>
      <c r="J86">
        <v>55.923020829596936</v>
      </c>
    </row>
    <row r="87" spans="1:10">
      <c r="A87" s="1">
        <v>44555</v>
      </c>
      <c r="B87" t="s">
        <v>10</v>
      </c>
      <c r="C87">
        <v>89</v>
      </c>
      <c r="D87">
        <v>30987.998023461998</v>
      </c>
      <c r="E87">
        <v>3.4031702703601407</v>
      </c>
      <c r="F87">
        <v>1.7372752214337859</v>
      </c>
      <c r="G87">
        <v>6.1567177568535607</v>
      </c>
      <c r="H87">
        <v>126515.93295084379</v>
      </c>
      <c r="J87">
        <v>56.744295057045903</v>
      </c>
    </row>
    <row r="88" spans="1:10">
      <c r="A88" s="1">
        <v>44585</v>
      </c>
      <c r="B88" t="s">
        <v>11</v>
      </c>
      <c r="D88">
        <v>40376.304363126328</v>
      </c>
      <c r="E88">
        <v>3.1415888396985974</v>
      </c>
      <c r="F88">
        <v>1.7308576502127018</v>
      </c>
      <c r="G88">
        <v>6.158660602380837</v>
      </c>
      <c r="H88">
        <v>74256.728628315002</v>
      </c>
      <c r="I88">
        <v>74</v>
      </c>
      <c r="J88">
        <v>26.157534640641387</v>
      </c>
    </row>
    <row r="89" spans="1:10">
      <c r="A89" s="1">
        <v>44615</v>
      </c>
      <c r="B89" t="s">
        <v>14</v>
      </c>
      <c r="C89">
        <v>85</v>
      </c>
      <c r="D89">
        <v>26554.060909552161</v>
      </c>
      <c r="E89">
        <v>2.5667316914634699</v>
      </c>
      <c r="F89">
        <v>1.5600968988911355</v>
      </c>
      <c r="G89">
        <v>5.1940530477355624</v>
      </c>
      <c r="H89">
        <v>72057.636297740173</v>
      </c>
      <c r="I89">
        <v>80</v>
      </c>
      <c r="J89">
        <v>73.661202035442855</v>
      </c>
    </row>
    <row r="90" spans="1:10">
      <c r="A90" s="1">
        <v>44645</v>
      </c>
      <c r="B90" t="s">
        <v>11</v>
      </c>
      <c r="C90">
        <v>101</v>
      </c>
      <c r="D90">
        <v>38679.819015826244</v>
      </c>
      <c r="E90">
        <v>3.4586596570786505</v>
      </c>
      <c r="F90">
        <v>3.3294748419317486</v>
      </c>
      <c r="G90">
        <v>5.3494548879965196</v>
      </c>
      <c r="H90">
        <v>88328.013473079904</v>
      </c>
      <c r="I90">
        <v>81</v>
      </c>
      <c r="J90">
        <v>85.700753629827645</v>
      </c>
    </row>
    <row r="91" spans="1:10">
      <c r="A91" s="1">
        <v>44675</v>
      </c>
      <c r="B91" t="s">
        <v>10</v>
      </c>
      <c r="C91">
        <v>104</v>
      </c>
      <c r="D91">
        <v>30989.553917313238</v>
      </c>
      <c r="E91">
        <v>3.439126245808358</v>
      </c>
      <c r="F91">
        <v>2.3061738612271965</v>
      </c>
      <c r="G91">
        <v>5.8934554289912287</v>
      </c>
      <c r="H91">
        <v>120767.57702038634</v>
      </c>
      <c r="I91">
        <v>87</v>
      </c>
      <c r="J91">
        <v>39.572404368377043</v>
      </c>
    </row>
    <row r="92" spans="1:10">
      <c r="A92" s="1">
        <v>44705</v>
      </c>
      <c r="B92" t="s">
        <v>12</v>
      </c>
      <c r="C92">
        <v>106</v>
      </c>
      <c r="E92">
        <v>4.2567248716210653</v>
      </c>
      <c r="F92">
        <v>2.2354851586893894</v>
      </c>
      <c r="G92">
        <v>5.6030716075519962</v>
      </c>
      <c r="H92">
        <v>69613.078490463144</v>
      </c>
      <c r="I92">
        <v>95</v>
      </c>
      <c r="J92">
        <v>53.704070530669171</v>
      </c>
    </row>
    <row r="93" spans="1:10">
      <c r="A93" s="1">
        <v>44735</v>
      </c>
      <c r="B93" t="s">
        <v>13</v>
      </c>
      <c r="C93">
        <v>95</v>
      </c>
      <c r="D93">
        <v>27580.570829728393</v>
      </c>
      <c r="E93">
        <v>3.8154058422773889</v>
      </c>
      <c r="F93">
        <v>0.49613763559324653</v>
      </c>
      <c r="G93">
        <v>2.836839552702958</v>
      </c>
      <c r="H93">
        <v>43356.888037788623</v>
      </c>
      <c r="I93">
        <v>108</v>
      </c>
      <c r="J93">
        <v>87.107146941221629</v>
      </c>
    </row>
    <row r="94" spans="1:10">
      <c r="A94" s="1">
        <v>44765</v>
      </c>
      <c r="B94" t="s">
        <v>11</v>
      </c>
      <c r="C94">
        <v>104</v>
      </c>
      <c r="D94">
        <v>28398.2634590284</v>
      </c>
      <c r="E94">
        <v>2.9879065878353974</v>
      </c>
      <c r="F94">
        <v>3.1354180302092263</v>
      </c>
      <c r="G94">
        <v>5.2242404433097676</v>
      </c>
      <c r="H94">
        <v>90976.822831820027</v>
      </c>
      <c r="I94">
        <v>79</v>
      </c>
      <c r="J94">
        <v>90.169637412983036</v>
      </c>
    </row>
    <row r="95" spans="1:10">
      <c r="A95" s="1">
        <v>44795</v>
      </c>
      <c r="B95" t="s">
        <v>12</v>
      </c>
      <c r="C95">
        <v>105</v>
      </c>
      <c r="D95">
        <v>32120.829732009581</v>
      </c>
      <c r="E95">
        <v>4.427046283167094</v>
      </c>
      <c r="F95">
        <v>1.2607416051465274</v>
      </c>
      <c r="G95">
        <v>4.478312278887624</v>
      </c>
      <c r="I95">
        <v>89</v>
      </c>
      <c r="J95">
        <v>39.454398421138073</v>
      </c>
    </row>
    <row r="96" spans="1:10">
      <c r="A96" s="1">
        <v>44825</v>
      </c>
      <c r="B96" t="s">
        <v>14</v>
      </c>
      <c r="C96">
        <v>84</v>
      </c>
      <c r="D96">
        <v>32614.177440177496</v>
      </c>
      <c r="E96">
        <v>4.1105168477626766</v>
      </c>
      <c r="F96">
        <v>2.5599326302663283</v>
      </c>
      <c r="G96">
        <v>5.7102537026902143</v>
      </c>
      <c r="H96">
        <v>124005.23499477659</v>
      </c>
      <c r="I96">
        <v>95</v>
      </c>
      <c r="J96">
        <v>64.045650763309141</v>
      </c>
    </row>
    <row r="97" spans="1:10">
      <c r="A97" s="1">
        <v>44855</v>
      </c>
      <c r="B97" t="s">
        <v>14</v>
      </c>
      <c r="C97">
        <v>93</v>
      </c>
      <c r="D97">
        <v>27131.499980307104</v>
      </c>
      <c r="E97">
        <v>3.7910488517343079</v>
      </c>
      <c r="F97">
        <v>2.7773769379581918</v>
      </c>
      <c r="G97">
        <v>9.0823108031240913</v>
      </c>
      <c r="H97">
        <v>90736.77275829202</v>
      </c>
      <c r="I97">
        <v>96</v>
      </c>
      <c r="J97">
        <v>35.399452050866167</v>
      </c>
    </row>
    <row r="98" spans="1:10">
      <c r="A98" s="1">
        <v>44885</v>
      </c>
      <c r="B98" t="s">
        <v>14</v>
      </c>
      <c r="C98">
        <v>115</v>
      </c>
      <c r="D98">
        <v>29878.227038695084</v>
      </c>
      <c r="E98">
        <v>3.3867579505750842</v>
      </c>
      <c r="F98">
        <v>3.8606585958386512</v>
      </c>
      <c r="G98">
        <v>5.9409779985691653</v>
      </c>
      <c r="H98">
        <v>91771.467857679949</v>
      </c>
      <c r="I98">
        <v>103</v>
      </c>
      <c r="J98">
        <v>28.150301131164525</v>
      </c>
    </row>
    <row r="99" spans="1:10">
      <c r="A99" s="1">
        <v>44915</v>
      </c>
      <c r="B99" t="s">
        <v>12</v>
      </c>
      <c r="C99">
        <v>109</v>
      </c>
      <c r="D99">
        <v>40711.351793059323</v>
      </c>
      <c r="E99">
        <v>3.0202803816382602</v>
      </c>
      <c r="F99">
        <v>1.1911796008808879</v>
      </c>
      <c r="G99">
        <v>5.1237643765931224</v>
      </c>
      <c r="H99">
        <v>123078.01468511495</v>
      </c>
      <c r="I99">
        <v>82</v>
      </c>
      <c r="J99">
        <v>92.889640111356599</v>
      </c>
    </row>
    <row r="100" spans="1:10">
      <c r="A100" s="1">
        <v>44945</v>
      </c>
      <c r="B100" t="s">
        <v>11</v>
      </c>
      <c r="C100">
        <v>102</v>
      </c>
      <c r="D100">
        <v>38637.715850503555</v>
      </c>
      <c r="E100">
        <v>3.3138966119644735</v>
      </c>
      <c r="F100">
        <v>-0.51951215582082533</v>
      </c>
      <c r="G100">
        <v>6.6061618023727027</v>
      </c>
      <c r="H100">
        <v>62605.166006091589</v>
      </c>
      <c r="I100">
        <v>83</v>
      </c>
      <c r="J100">
        <v>85.640600338568731</v>
      </c>
    </row>
    <row r="101" spans="1:10">
      <c r="A101" s="1">
        <v>44975</v>
      </c>
      <c r="B101" t="s">
        <v>12</v>
      </c>
      <c r="C101">
        <v>900</v>
      </c>
      <c r="D101">
        <v>32181.618348370161</v>
      </c>
      <c r="E101">
        <v>4.0443743098520928</v>
      </c>
      <c r="F101">
        <v>2.683849544753695</v>
      </c>
      <c r="G101">
        <v>6.0792254646510555</v>
      </c>
      <c r="H101">
        <v>92229.584496339812</v>
      </c>
      <c r="I101">
        <v>78</v>
      </c>
      <c r="J101">
        <v>80.802792144253914</v>
      </c>
    </row>
    <row r="102" spans="1:10">
      <c r="A102" s="1">
        <v>45005</v>
      </c>
      <c r="B102" t="s">
        <v>12</v>
      </c>
      <c r="C102">
        <v>93</v>
      </c>
      <c r="D102">
        <v>30190.017390841</v>
      </c>
      <c r="E102">
        <v>4.4422931529673049</v>
      </c>
      <c r="F102">
        <v>4.3005111815108537</v>
      </c>
      <c r="G102">
        <v>6.0041133885422093</v>
      </c>
      <c r="H102">
        <v>103808.47779850116</v>
      </c>
      <c r="I102">
        <v>90</v>
      </c>
      <c r="J102">
        <v>23.901305505051234</v>
      </c>
    </row>
    <row r="103" spans="1:10">
      <c r="A103" s="1">
        <v>45035</v>
      </c>
      <c r="B103" t="s">
        <v>13</v>
      </c>
      <c r="D103">
        <v>30600.156633591305</v>
      </c>
      <c r="E103">
        <v>4.2716217641360945</v>
      </c>
      <c r="F103">
        <v>3.7389463529394371</v>
      </c>
      <c r="G103">
        <v>6.2282207118588051</v>
      </c>
      <c r="H103">
        <v>108984.37442570069</v>
      </c>
      <c r="I103">
        <v>820</v>
      </c>
      <c r="J103">
        <v>87.49830341682059</v>
      </c>
    </row>
    <row r="104" spans="1:10">
      <c r="A104" s="1">
        <v>45065</v>
      </c>
      <c r="B104" t="s">
        <v>13</v>
      </c>
      <c r="C104">
        <v>117</v>
      </c>
      <c r="D104">
        <v>33067.589863652087</v>
      </c>
      <c r="E104">
        <v>3.2555752891068628</v>
      </c>
      <c r="F104">
        <v>2.7096594152746256</v>
      </c>
      <c r="G104">
        <v>7.9678522777954495</v>
      </c>
      <c r="H104">
        <v>898038.66136182344</v>
      </c>
      <c r="I104">
        <v>98</v>
      </c>
      <c r="J104">
        <v>55.043526072430701</v>
      </c>
    </row>
    <row r="105" spans="1:10">
      <c r="A105" s="1">
        <v>45095</v>
      </c>
      <c r="B105" t="s">
        <v>11</v>
      </c>
      <c r="C105">
        <v>98</v>
      </c>
      <c r="D105">
        <v>24886.037174007972</v>
      </c>
      <c r="E105">
        <v>2.9401912833554942</v>
      </c>
      <c r="F105">
        <v>2.0083638143679527</v>
      </c>
      <c r="G105">
        <v>4.1429338776089013</v>
      </c>
      <c r="H105">
        <v>100688.82023411682</v>
      </c>
      <c r="I105">
        <v>87</v>
      </c>
      <c r="J105">
        <v>47.391609863668769</v>
      </c>
    </row>
    <row r="106" spans="1:10">
      <c r="A106" s="1">
        <v>45125</v>
      </c>
      <c r="B106" t="s">
        <v>13</v>
      </c>
      <c r="C106">
        <v>94</v>
      </c>
      <c r="D106">
        <v>28713.117312883274</v>
      </c>
      <c r="E106">
        <v>3.5704431234556018</v>
      </c>
      <c r="F106">
        <v>3.3071225966373103</v>
      </c>
      <c r="G106">
        <v>6.0683584921737452</v>
      </c>
      <c r="H106">
        <v>50233.452931740212</v>
      </c>
      <c r="I106">
        <v>108</v>
      </c>
      <c r="J106">
        <v>63.718108882030116</v>
      </c>
    </row>
    <row r="107" spans="1:10">
      <c r="A107" s="1">
        <v>45155</v>
      </c>
      <c r="B107" t="s">
        <v>14</v>
      </c>
      <c r="C107">
        <v>112</v>
      </c>
      <c r="D107">
        <v>21657.079630612054</v>
      </c>
      <c r="E107">
        <v>2.6157803172185741</v>
      </c>
      <c r="G107">
        <v>4.3883426440221545</v>
      </c>
      <c r="H107">
        <v>86835.031753323041</v>
      </c>
      <c r="I107">
        <v>98</v>
      </c>
      <c r="J107">
        <v>27.308259417884464</v>
      </c>
    </row>
    <row r="108" spans="1:10">
      <c r="A108" s="1">
        <v>45185</v>
      </c>
      <c r="B108" t="s">
        <v>13</v>
      </c>
      <c r="C108">
        <v>89</v>
      </c>
      <c r="D108">
        <v>31996.115613026395</v>
      </c>
      <c r="E108">
        <v>3.6615838570923906</v>
      </c>
      <c r="F108">
        <v>2.9763577693562193</v>
      </c>
      <c r="G108">
        <v>6.1666151756106977</v>
      </c>
      <c r="H108">
        <v>109070.17425108935</v>
      </c>
      <c r="I108">
        <v>87</v>
      </c>
      <c r="J108">
        <v>80.53172394819191</v>
      </c>
    </row>
    <row r="109" spans="1:10">
      <c r="A109" s="1">
        <v>45215</v>
      </c>
      <c r="B109" t="s">
        <v>14</v>
      </c>
      <c r="C109">
        <v>119</v>
      </c>
      <c r="D109">
        <v>33235.979698513707</v>
      </c>
      <c r="E109">
        <v>3.4261987068506659</v>
      </c>
      <c r="F109">
        <v>3.0054701591666269</v>
      </c>
      <c r="G109">
        <v>4.3975761862166873</v>
      </c>
      <c r="H109">
        <v>80354.119314906406</v>
      </c>
      <c r="I109">
        <v>95</v>
      </c>
      <c r="J109">
        <v>66.594806151063665</v>
      </c>
    </row>
    <row r="110" spans="1:10">
      <c r="A110" s="1">
        <v>45245</v>
      </c>
      <c r="B110" t="s">
        <v>11</v>
      </c>
      <c r="C110">
        <v>102</v>
      </c>
      <c r="D110">
        <v>27584.067688503128</v>
      </c>
      <c r="E110">
        <v>3.266981749065879</v>
      </c>
      <c r="F110">
        <v>3.56020990749888</v>
      </c>
      <c r="G110">
        <v>4.9991598236738986</v>
      </c>
      <c r="I110">
        <v>92</v>
      </c>
      <c r="J110">
        <v>34.927207749853402</v>
      </c>
    </row>
    <row r="111" spans="1:10">
      <c r="A111" s="1">
        <v>45275</v>
      </c>
      <c r="B111" t="s">
        <v>12</v>
      </c>
      <c r="C111">
        <v>87</v>
      </c>
      <c r="D111">
        <v>37869.933816450168</v>
      </c>
      <c r="E111">
        <v>2.7026484663666022</v>
      </c>
      <c r="G111">
        <v>5.1458921029145124</v>
      </c>
      <c r="H111">
        <v>108937.45001605396</v>
      </c>
      <c r="I111">
        <v>90</v>
      </c>
      <c r="J111">
        <v>35.058575981523646</v>
      </c>
    </row>
    <row r="112" spans="1:10">
      <c r="A112" s="1">
        <v>45305</v>
      </c>
      <c r="B112" t="s">
        <v>12</v>
      </c>
      <c r="C112">
        <v>113</v>
      </c>
      <c r="D112">
        <v>23871.171684988294</v>
      </c>
      <c r="E112">
        <v>3.7568000532848584</v>
      </c>
      <c r="F112">
        <v>2.892415967178767</v>
      </c>
      <c r="G112">
        <v>6.6709800632136513</v>
      </c>
      <c r="H112">
        <v>93149.015982844707</v>
      </c>
      <c r="I112">
        <v>88</v>
      </c>
      <c r="J112">
        <v>34.739892125813938</v>
      </c>
    </row>
    <row r="113" spans="1:10">
      <c r="A113" s="1">
        <v>45335</v>
      </c>
      <c r="B113" t="s">
        <v>13</v>
      </c>
      <c r="C113">
        <v>106</v>
      </c>
      <c r="D113">
        <v>22678.125598950901</v>
      </c>
      <c r="E113">
        <v>3.2336495801690441</v>
      </c>
      <c r="F113">
        <v>1.9910363742925012</v>
      </c>
      <c r="G113">
        <v>6.6021453327308963</v>
      </c>
      <c r="H113">
        <v>103409.27541993142</v>
      </c>
      <c r="J113">
        <v>24.560191004154717</v>
      </c>
    </row>
    <row r="114" spans="1:10">
      <c r="A114" s="1">
        <v>45365</v>
      </c>
      <c r="B114" t="s">
        <v>14</v>
      </c>
      <c r="C114">
        <v>96</v>
      </c>
      <c r="E114">
        <v>2.9150415821448559</v>
      </c>
      <c r="F114">
        <v>2.4744256878080058</v>
      </c>
      <c r="H114">
        <v>80745.348694307759</v>
      </c>
      <c r="I114">
        <v>87</v>
      </c>
      <c r="J114">
        <v>67.023875949734787</v>
      </c>
    </row>
    <row r="115" spans="1:10">
      <c r="A115" s="1">
        <v>45395</v>
      </c>
      <c r="B115" t="s">
        <v>10</v>
      </c>
      <c r="C115">
        <v>110</v>
      </c>
      <c r="D115">
        <v>35235.49151306077</v>
      </c>
      <c r="E115">
        <v>2.0638688933591753</v>
      </c>
      <c r="F115">
        <v>0.73092409511088174</v>
      </c>
      <c r="G115">
        <v>5.5659209331998181</v>
      </c>
      <c r="H115">
        <v>95867.774406079072</v>
      </c>
      <c r="I115">
        <v>81</v>
      </c>
      <c r="J115">
        <v>87.227854207080654</v>
      </c>
    </row>
    <row r="116" spans="1:10">
      <c r="A116" s="1">
        <v>45425</v>
      </c>
      <c r="B116" t="s">
        <v>10</v>
      </c>
      <c r="C116">
        <v>100</v>
      </c>
      <c r="D116">
        <v>38419.638457289344</v>
      </c>
      <c r="E116">
        <v>3.4862425474746819</v>
      </c>
      <c r="F116">
        <v>1.8052868689109418</v>
      </c>
      <c r="G116">
        <v>4.6485041743009932</v>
      </c>
      <c r="H116">
        <v>1122043.2339178445</v>
      </c>
      <c r="I116">
        <v>105</v>
      </c>
      <c r="J116">
        <v>21.399857118991086</v>
      </c>
    </row>
    <row r="117" spans="1:10">
      <c r="A117" s="1">
        <v>45455</v>
      </c>
      <c r="B117" t="s">
        <v>10</v>
      </c>
      <c r="D117">
        <v>27705.578685655299</v>
      </c>
      <c r="E117">
        <v>4.3861257983348718</v>
      </c>
      <c r="F117">
        <v>2.0907175618868958</v>
      </c>
      <c r="G117">
        <v>3.9897941071895984</v>
      </c>
      <c r="H117">
        <v>103139.45921936868</v>
      </c>
      <c r="I117">
        <v>101</v>
      </c>
      <c r="J117">
        <v>23.920371597701884</v>
      </c>
    </row>
    <row r="118" spans="1:10">
      <c r="A118" s="1">
        <v>45485</v>
      </c>
      <c r="B118" t="s">
        <v>12</v>
      </c>
      <c r="C118">
        <v>106</v>
      </c>
      <c r="D118">
        <v>35393.404167156477</v>
      </c>
      <c r="E118">
        <v>4.3306296072739352</v>
      </c>
      <c r="F118">
        <v>1.9759116020654075</v>
      </c>
      <c r="G118">
        <v>5.2395795394907552</v>
      </c>
      <c r="H118">
        <v>88269.374608721293</v>
      </c>
      <c r="I118">
        <v>113</v>
      </c>
      <c r="J118">
        <v>65.82162213495566</v>
      </c>
    </row>
    <row r="119" spans="1:10">
      <c r="A119" s="1">
        <v>45515</v>
      </c>
      <c r="B119" t="s">
        <v>12</v>
      </c>
      <c r="C119">
        <v>114</v>
      </c>
      <c r="D119">
        <v>29807.457652496465</v>
      </c>
      <c r="E119">
        <v>3.2714518717068639</v>
      </c>
      <c r="F119">
        <v>2.652354872033722</v>
      </c>
      <c r="G119">
        <v>5.1298206538530167</v>
      </c>
      <c r="H119">
        <v>104484.32808581585</v>
      </c>
      <c r="I119">
        <v>85</v>
      </c>
      <c r="J119">
        <v>85.559654830884185</v>
      </c>
    </row>
    <row r="120" spans="1:10">
      <c r="A120" s="1">
        <v>45545</v>
      </c>
      <c r="B120" t="s">
        <v>14</v>
      </c>
      <c r="C120">
        <v>96</v>
      </c>
      <c r="D120">
        <v>29136.863500295902</v>
      </c>
      <c r="E120">
        <v>3.1988939698191099</v>
      </c>
      <c r="G120">
        <v>8.4120597836146267</v>
      </c>
      <c r="H120">
        <v>114292.19581273236</v>
      </c>
      <c r="I120">
        <v>90</v>
      </c>
      <c r="J120">
        <v>46.139111245490689</v>
      </c>
    </row>
    <row r="121" spans="1:10">
      <c r="A121" s="1">
        <v>45575</v>
      </c>
      <c r="B121" t="s">
        <v>13</v>
      </c>
      <c r="C121">
        <v>102</v>
      </c>
      <c r="D121">
        <v>34418.299687433362</v>
      </c>
      <c r="E121">
        <v>3.734387128037512</v>
      </c>
      <c r="F121">
        <v>3.6210306673244714</v>
      </c>
      <c r="G121">
        <v>6.0195517904328355</v>
      </c>
      <c r="H121">
        <v>59001.174428450438</v>
      </c>
      <c r="I121">
        <v>83</v>
      </c>
      <c r="J121">
        <v>47.969151904617775</v>
      </c>
    </row>
    <row r="122" spans="1:10">
      <c r="A122" s="1">
        <v>45605</v>
      </c>
      <c r="B122" t="s">
        <v>10</v>
      </c>
      <c r="D122">
        <v>33261.614392067095</v>
      </c>
      <c r="E122">
        <v>30.008072804058543</v>
      </c>
      <c r="F122">
        <v>2.5002070649181971</v>
      </c>
      <c r="G122">
        <v>3.8468589990949154</v>
      </c>
      <c r="H122">
        <v>123181.48129911795</v>
      </c>
      <c r="I122">
        <v>99</v>
      </c>
      <c r="J122">
        <v>67.70771979974208</v>
      </c>
    </row>
    <row r="123" spans="1:10">
      <c r="A123" s="1">
        <v>45635</v>
      </c>
      <c r="B123" t="s">
        <v>14</v>
      </c>
      <c r="C123">
        <v>93</v>
      </c>
      <c r="D123">
        <v>22118.039215078752</v>
      </c>
      <c r="E123">
        <v>3.6508959499097329</v>
      </c>
      <c r="F123">
        <v>2.4906996788613855</v>
      </c>
      <c r="G123">
        <v>4.8222711949948689</v>
      </c>
      <c r="H123">
        <v>93274.905226378556</v>
      </c>
      <c r="I123">
        <v>84</v>
      </c>
      <c r="J123">
        <v>41.937031129931761</v>
      </c>
    </row>
    <row r="124" spans="1:10">
      <c r="A124" s="1">
        <v>45665</v>
      </c>
      <c r="B124" t="s">
        <v>14</v>
      </c>
      <c r="C124">
        <v>69</v>
      </c>
      <c r="D124">
        <v>37382.701748629479</v>
      </c>
      <c r="E124">
        <v>38.830401391923452</v>
      </c>
      <c r="F124">
        <v>2.172105283487082</v>
      </c>
      <c r="G124">
        <v>6.7256599545152778</v>
      </c>
      <c r="H124">
        <v>108509.79866480461</v>
      </c>
      <c r="J124">
        <v>22.128669286214731</v>
      </c>
    </row>
    <row r="125" spans="1:10">
      <c r="A125" s="1">
        <v>45695</v>
      </c>
      <c r="B125" t="s">
        <v>13</v>
      </c>
      <c r="C125">
        <v>111</v>
      </c>
      <c r="D125">
        <v>36900.456770737255</v>
      </c>
      <c r="E125">
        <v>4.1134666119421537</v>
      </c>
      <c r="F125">
        <v>2.6551906838589789</v>
      </c>
      <c r="G125">
        <v>8.0061313274439101</v>
      </c>
      <c r="H125">
        <v>123944.93847290456</v>
      </c>
      <c r="I125">
        <v>78</v>
      </c>
      <c r="J125">
        <v>78.818281448127692</v>
      </c>
    </row>
    <row r="126" spans="1:10">
      <c r="A126" s="1">
        <v>45725</v>
      </c>
      <c r="B126" t="s">
        <v>14</v>
      </c>
      <c r="C126">
        <v>87</v>
      </c>
      <c r="E126">
        <v>3.4499229617600236</v>
      </c>
      <c r="F126">
        <v>3.3250982646676346</v>
      </c>
      <c r="G126">
        <v>3.5968200253144502</v>
      </c>
      <c r="H126">
        <v>72566.526055390685</v>
      </c>
      <c r="I126">
        <v>110</v>
      </c>
    </row>
    <row r="127" spans="1:10">
      <c r="A127" s="1">
        <v>45755</v>
      </c>
      <c r="B127" t="s">
        <v>13</v>
      </c>
      <c r="C127">
        <v>1080</v>
      </c>
      <c r="D127">
        <v>31979.017667187047</v>
      </c>
      <c r="E127">
        <v>3.398163124911517</v>
      </c>
      <c r="F127">
        <v>1.6328697842890998</v>
      </c>
      <c r="G127">
        <v>3.2440907378331461</v>
      </c>
      <c r="H127">
        <v>85811.17995144907</v>
      </c>
      <c r="I127">
        <v>85</v>
      </c>
      <c r="J127">
        <v>66.460479924452727</v>
      </c>
    </row>
    <row r="128" spans="1:10">
      <c r="A128" s="1">
        <v>45785</v>
      </c>
      <c r="B128" t="s">
        <v>11</v>
      </c>
      <c r="C128">
        <v>104</v>
      </c>
      <c r="D128">
        <v>32470.150931413693</v>
      </c>
      <c r="F128">
        <v>1.8418835109247433</v>
      </c>
      <c r="G128">
        <v>7.7451582104461387</v>
      </c>
      <c r="H128">
        <v>942290.26082485903</v>
      </c>
      <c r="I128">
        <v>94</v>
      </c>
      <c r="J128">
        <v>79.334730319345852</v>
      </c>
    </row>
    <row r="129" spans="1:10">
      <c r="A129" s="1">
        <v>45815</v>
      </c>
      <c r="B129" t="s">
        <v>13</v>
      </c>
      <c r="C129">
        <v>78</v>
      </c>
      <c r="D129">
        <v>313033.68829119537</v>
      </c>
      <c r="E129">
        <v>3.0865598229800701</v>
      </c>
      <c r="F129">
        <v>2.1962739712233352</v>
      </c>
      <c r="G129">
        <v>5.9675370128450851</v>
      </c>
      <c r="H129">
        <v>84324.92957751143</v>
      </c>
      <c r="I129">
        <v>77</v>
      </c>
      <c r="J129">
        <v>74.018467004963</v>
      </c>
    </row>
    <row r="130" spans="1:10">
      <c r="A130" s="1">
        <v>45845</v>
      </c>
      <c r="B130" t="s">
        <v>10</v>
      </c>
      <c r="C130">
        <v>101</v>
      </c>
      <c r="D130">
        <v>27248.474230772899</v>
      </c>
      <c r="E130">
        <v>3.3867605540492365</v>
      </c>
      <c r="F130">
        <v>1.1541290765267851</v>
      </c>
      <c r="G130">
        <v>4.4580487217483604</v>
      </c>
      <c r="H130">
        <v>134698.73151673615</v>
      </c>
      <c r="I130">
        <v>99</v>
      </c>
      <c r="J130">
        <v>36.470559054265692</v>
      </c>
    </row>
    <row r="131" spans="1:10">
      <c r="A131" s="1">
        <v>45875</v>
      </c>
      <c r="B131" t="s">
        <v>10</v>
      </c>
      <c r="C131">
        <v>100</v>
      </c>
      <c r="D131">
        <v>26641.883160309742</v>
      </c>
      <c r="E131">
        <v>3.6836827534080889</v>
      </c>
      <c r="F131">
        <v>1.6807421402785021</v>
      </c>
      <c r="G131">
        <v>6.1415549033469219</v>
      </c>
      <c r="I131">
        <v>85</v>
      </c>
      <c r="J131">
        <v>48.198483755468089</v>
      </c>
    </row>
    <row r="132" spans="1:10">
      <c r="A132" s="1">
        <v>45905</v>
      </c>
      <c r="B132" t="s">
        <v>13</v>
      </c>
      <c r="C132">
        <v>109</v>
      </c>
      <c r="D132">
        <v>29872.229645042775</v>
      </c>
      <c r="E132">
        <v>3.9567923131166247</v>
      </c>
      <c r="F132">
        <v>2.0237791264553411</v>
      </c>
      <c r="G132">
        <v>2.3371027131797466</v>
      </c>
      <c r="H132">
        <v>88889.064410262668</v>
      </c>
      <c r="I132">
        <v>97</v>
      </c>
      <c r="J132">
        <v>30.08881133429</v>
      </c>
    </row>
    <row r="133" spans="1:10">
      <c r="A133" s="1">
        <v>45935</v>
      </c>
      <c r="B133" t="s">
        <v>11</v>
      </c>
      <c r="C133">
        <v>98</v>
      </c>
      <c r="D133">
        <v>35863.645096296823</v>
      </c>
      <c r="E133">
        <v>3.0984105246598275</v>
      </c>
      <c r="F133">
        <v>3.3743891807127273</v>
      </c>
      <c r="G133">
        <v>5.504050607916593</v>
      </c>
      <c r="H133">
        <v>104087.78063205954</v>
      </c>
      <c r="J133">
        <v>30.388561073430481</v>
      </c>
    </row>
    <row r="134" spans="1:10">
      <c r="A134" s="1">
        <v>45965</v>
      </c>
      <c r="B134" t="s">
        <v>11</v>
      </c>
      <c r="C134">
        <v>111</v>
      </c>
      <c r="D134">
        <v>32718.000772972162</v>
      </c>
      <c r="F134">
        <v>2.7625613290019251</v>
      </c>
      <c r="G134">
        <v>5.893385407411702</v>
      </c>
      <c r="H134">
        <v>75957.009478478227</v>
      </c>
      <c r="I134">
        <v>102</v>
      </c>
      <c r="J134">
        <v>74.095659708523129</v>
      </c>
    </row>
    <row r="135" spans="1:10">
      <c r="A135" s="1">
        <v>45995</v>
      </c>
      <c r="B135" t="s">
        <v>10</v>
      </c>
      <c r="C135">
        <v>97</v>
      </c>
      <c r="D135">
        <v>28146.928339569469</v>
      </c>
      <c r="E135">
        <v>3.3644381994787156</v>
      </c>
      <c r="F135">
        <v>2.6935899113675443</v>
      </c>
      <c r="G135">
        <v>6.6091241674453958</v>
      </c>
      <c r="I135">
        <v>96</v>
      </c>
      <c r="J135">
        <v>88.688008558599861</v>
      </c>
    </row>
    <row r="136" spans="1:10">
      <c r="A136" s="1">
        <v>46025</v>
      </c>
      <c r="B136" t="s">
        <v>11</v>
      </c>
      <c r="C136">
        <v>88</v>
      </c>
      <c r="D136">
        <v>33858.493553241722</v>
      </c>
      <c r="E136">
        <v>3.489316352825782</v>
      </c>
      <c r="F136">
        <v>3.3508979621679722</v>
      </c>
      <c r="G136">
        <v>4.2833248572489548</v>
      </c>
      <c r="H136">
        <v>106349.06522500351</v>
      </c>
      <c r="I136">
        <v>95</v>
      </c>
      <c r="J136">
        <v>97.018606708891127</v>
      </c>
    </row>
    <row r="137" spans="1:10">
      <c r="A137" s="1">
        <v>46055</v>
      </c>
      <c r="B137" t="s">
        <v>14</v>
      </c>
      <c r="C137">
        <v>101</v>
      </c>
      <c r="D137">
        <v>15757.286896849622</v>
      </c>
      <c r="E137">
        <v>3.1263941604260883</v>
      </c>
      <c r="F137">
        <v>2.3626282116006032</v>
      </c>
      <c r="G137">
        <v>5.6028245936840309</v>
      </c>
      <c r="H137">
        <v>93342.79191234977</v>
      </c>
      <c r="I137">
        <v>103</v>
      </c>
      <c r="J137">
        <v>70.267769403955555</v>
      </c>
    </row>
    <row r="138" spans="1:10">
      <c r="A138" s="1">
        <v>46085</v>
      </c>
      <c r="B138" t="s">
        <v>12</v>
      </c>
      <c r="C138">
        <v>105</v>
      </c>
      <c r="D138">
        <v>35743.828501860517</v>
      </c>
      <c r="E138">
        <v>2.287879869863529</v>
      </c>
      <c r="F138">
        <v>2.8904648499288896</v>
      </c>
      <c r="G138">
        <v>4.3894904487284956</v>
      </c>
      <c r="H138">
        <v>98132.262822001037</v>
      </c>
      <c r="I138">
        <v>89</v>
      </c>
      <c r="J138">
        <v>34.728105868876554</v>
      </c>
    </row>
    <row r="139" spans="1:10">
      <c r="A139" s="1">
        <v>46115</v>
      </c>
      <c r="B139" t="s">
        <v>14</v>
      </c>
      <c r="C139">
        <v>102</v>
      </c>
      <c r="D139">
        <v>21301.4311061095</v>
      </c>
      <c r="E139">
        <v>3.9420226981805246</v>
      </c>
      <c r="F139">
        <v>2.3967782470675036</v>
      </c>
      <c r="G139">
        <v>5.8064605068091808</v>
      </c>
      <c r="H139">
        <v>89413.357751032585</v>
      </c>
      <c r="I139">
        <v>87</v>
      </c>
      <c r="J139">
        <v>28.452027635914455</v>
      </c>
    </row>
    <row r="140" spans="1:10">
      <c r="A140" s="1">
        <v>46145</v>
      </c>
      <c r="B140" t="s">
        <v>10</v>
      </c>
      <c r="C140">
        <v>98</v>
      </c>
      <c r="D140">
        <v>28187.795292984338</v>
      </c>
      <c r="E140">
        <v>3.8684219485462168</v>
      </c>
      <c r="F140">
        <v>2.7653623493996284</v>
      </c>
      <c r="G140">
        <v>4.4255844131643709</v>
      </c>
      <c r="H140">
        <v>69710.593816384659</v>
      </c>
      <c r="I140">
        <v>101</v>
      </c>
      <c r="J140">
        <v>85.028077722940623</v>
      </c>
    </row>
    <row r="141" spans="1:10">
      <c r="A141" s="1">
        <v>46175</v>
      </c>
      <c r="B141" t="s">
        <v>11</v>
      </c>
      <c r="C141">
        <v>96</v>
      </c>
      <c r="D141">
        <v>24401.650526869282</v>
      </c>
      <c r="E141">
        <v>33.593362214408934</v>
      </c>
      <c r="F141">
        <v>1.9172413423884178</v>
      </c>
      <c r="H141">
        <v>106431.86422678478</v>
      </c>
      <c r="I141">
        <v>80</v>
      </c>
      <c r="J141">
        <v>66.300518108799935</v>
      </c>
    </row>
    <row r="142" spans="1:10">
      <c r="A142" s="1">
        <v>46205</v>
      </c>
      <c r="B142" t="s">
        <v>13</v>
      </c>
      <c r="C142">
        <v>76</v>
      </c>
      <c r="D142">
        <v>23526.59262139547</v>
      </c>
      <c r="E142">
        <v>35.334953586124357</v>
      </c>
      <c r="F142">
        <v>6.1182841723570913E-2</v>
      </c>
      <c r="G142">
        <v>4.3050215262517249</v>
      </c>
      <c r="H142">
        <v>135098.66143294482</v>
      </c>
      <c r="I142">
        <v>90</v>
      </c>
      <c r="J142">
        <v>69.462801681097588</v>
      </c>
    </row>
    <row r="143" spans="1:10">
      <c r="A143" s="1">
        <v>46235</v>
      </c>
      <c r="B143" t="s">
        <v>12</v>
      </c>
      <c r="C143">
        <v>112</v>
      </c>
      <c r="D143">
        <v>35804.133936892598</v>
      </c>
      <c r="F143">
        <v>2.3657208378136958</v>
      </c>
      <c r="G143">
        <v>6.2813634901883884</v>
      </c>
      <c r="H143">
        <v>100368.03261566877</v>
      </c>
      <c r="I143">
        <v>89</v>
      </c>
      <c r="J143">
        <v>82.516967100376746</v>
      </c>
    </row>
    <row r="144" spans="1:10">
      <c r="A144" s="1">
        <v>46265</v>
      </c>
      <c r="B144" t="s">
        <v>13</v>
      </c>
      <c r="C144">
        <v>99</v>
      </c>
      <c r="D144">
        <v>27661.493993440545</v>
      </c>
      <c r="E144">
        <v>2.7187270715567289</v>
      </c>
      <c r="F144">
        <v>3.9227481360999401</v>
      </c>
      <c r="G144">
        <v>6.5301413399879982</v>
      </c>
      <c r="I144">
        <v>100</v>
      </c>
      <c r="J144">
        <v>76.262178218596119</v>
      </c>
    </row>
    <row r="145" spans="1:10">
      <c r="A145" s="1">
        <v>46295</v>
      </c>
      <c r="B145" t="s">
        <v>10</v>
      </c>
      <c r="C145">
        <v>100</v>
      </c>
      <c r="D145">
        <v>31732.519408653578</v>
      </c>
      <c r="E145">
        <v>3.2354736613268527</v>
      </c>
      <c r="F145">
        <v>3.4262154022415925</v>
      </c>
      <c r="G145">
        <v>5.2184553160511031</v>
      </c>
      <c r="H145">
        <v>113854.45510233719</v>
      </c>
      <c r="I145">
        <v>76</v>
      </c>
      <c r="J145">
        <v>86.756660228487732</v>
      </c>
    </row>
    <row r="146" spans="1:10">
      <c r="A146" s="1">
        <v>46325</v>
      </c>
      <c r="B146" t="s">
        <v>11</v>
      </c>
      <c r="C146">
        <v>89</v>
      </c>
      <c r="D146">
        <v>29765.397105604079</v>
      </c>
      <c r="E146">
        <v>3.8971323398109137</v>
      </c>
      <c r="F146">
        <v>3.4653974845911706</v>
      </c>
      <c r="G146">
        <v>5.5458855939520344</v>
      </c>
      <c r="H146">
        <v>74613.390069066023</v>
      </c>
      <c r="I146">
        <v>95</v>
      </c>
      <c r="J146">
        <v>24.497112436790278</v>
      </c>
    </row>
    <row r="147" spans="1:10">
      <c r="A147" s="1">
        <v>46355</v>
      </c>
      <c r="B147" t="s">
        <v>13</v>
      </c>
      <c r="D147">
        <v>32385.204136115608</v>
      </c>
      <c r="E147">
        <v>2.8728552884153755</v>
      </c>
      <c r="F147">
        <v>3.7361307218062176</v>
      </c>
      <c r="G147">
        <v>3.7616903024397468</v>
      </c>
      <c r="H147">
        <v>134050.2931625921</v>
      </c>
      <c r="I147">
        <v>86</v>
      </c>
      <c r="J147">
        <v>79.801650939720389</v>
      </c>
    </row>
    <row r="148" spans="1:10">
      <c r="A148" s="1">
        <v>46385</v>
      </c>
      <c r="B148" t="s">
        <v>13</v>
      </c>
      <c r="C148">
        <v>104</v>
      </c>
      <c r="D148">
        <v>30384.109455301277</v>
      </c>
      <c r="E148">
        <v>36.467789660833148</v>
      </c>
      <c r="F148">
        <v>2.5886575909614375</v>
      </c>
      <c r="G148">
        <v>5.1403880223918552</v>
      </c>
      <c r="H148">
        <v>104046.57592845603</v>
      </c>
      <c r="I148">
        <v>96</v>
      </c>
      <c r="J148">
        <v>88.068220585767634</v>
      </c>
    </row>
    <row r="149" spans="1:10">
      <c r="A149" s="1">
        <v>46415</v>
      </c>
      <c r="B149" t="s">
        <v>12</v>
      </c>
      <c r="C149">
        <v>96</v>
      </c>
      <c r="D149">
        <v>23585.038879057152</v>
      </c>
      <c r="E149">
        <v>2.8217090976882977</v>
      </c>
      <c r="F149">
        <v>2.6973157074055956</v>
      </c>
      <c r="G149">
        <v>5.4397544595499063</v>
      </c>
      <c r="H149">
        <v>132637.13798178217</v>
      </c>
      <c r="I149">
        <v>87</v>
      </c>
      <c r="J149">
        <v>42.890803396665149</v>
      </c>
    </row>
    <row r="150" spans="1:10">
      <c r="A150" s="1">
        <v>46445</v>
      </c>
      <c r="B150" t="s">
        <v>12</v>
      </c>
      <c r="C150">
        <v>100</v>
      </c>
      <c r="D150">
        <v>34981.334097235696</v>
      </c>
      <c r="E150">
        <v>3.7332149912167631</v>
      </c>
      <c r="F150">
        <v>1.8823481045656498</v>
      </c>
      <c r="G150">
        <v>8.6449517092359702</v>
      </c>
      <c r="H150">
        <v>85339.340089520207</v>
      </c>
      <c r="I150">
        <v>95</v>
      </c>
      <c r="J150">
        <v>71.235781919460237</v>
      </c>
    </row>
    <row r="151" spans="1:10">
      <c r="A151" s="1">
        <v>46475</v>
      </c>
      <c r="B151" t="s">
        <v>11</v>
      </c>
      <c r="C151">
        <v>105</v>
      </c>
      <c r="D151">
        <v>27531.217084193438</v>
      </c>
      <c r="E151">
        <v>3.4821792588512581</v>
      </c>
      <c r="F151">
        <v>2.1839271439729502</v>
      </c>
      <c r="G151">
        <v>4.1656395690710042</v>
      </c>
      <c r="H151">
        <v>136361.2384511565</v>
      </c>
      <c r="I151">
        <v>83</v>
      </c>
      <c r="J151">
        <v>45.132965106957769</v>
      </c>
    </row>
    <row r="152" spans="1:10">
      <c r="A152" s="1">
        <v>46505</v>
      </c>
      <c r="B152" t="s">
        <v>12</v>
      </c>
      <c r="C152">
        <v>81</v>
      </c>
      <c r="D152">
        <v>22217.090506701243</v>
      </c>
      <c r="E152">
        <v>2.6924340920472454</v>
      </c>
      <c r="F152">
        <v>3.1157711497711418</v>
      </c>
      <c r="G152">
        <v>7.2570126865029252</v>
      </c>
      <c r="H152">
        <v>115503.10988069566</v>
      </c>
      <c r="I152">
        <v>109</v>
      </c>
      <c r="J152">
        <v>96.637685318596326</v>
      </c>
    </row>
    <row r="153" spans="1:10">
      <c r="A153" s="1">
        <v>46535</v>
      </c>
      <c r="B153" t="s">
        <v>13</v>
      </c>
      <c r="C153">
        <v>120</v>
      </c>
      <c r="D153">
        <v>27859.424195170439</v>
      </c>
      <c r="E153">
        <v>4.082369677228586</v>
      </c>
      <c r="F153">
        <v>3.7038844371688162</v>
      </c>
      <c r="G153">
        <v>6.6962305281589698</v>
      </c>
      <c r="H153">
        <v>111060.80171704717</v>
      </c>
      <c r="I153">
        <v>98</v>
      </c>
      <c r="J153">
        <v>22.673885794840302</v>
      </c>
    </row>
    <row r="154" spans="1:10">
      <c r="A154" s="1">
        <v>46565</v>
      </c>
      <c r="B154" t="s">
        <v>13</v>
      </c>
      <c r="C154">
        <v>97</v>
      </c>
      <c r="D154">
        <v>37503.798953171558</v>
      </c>
      <c r="E154">
        <v>3.1327042116009753</v>
      </c>
      <c r="F154">
        <v>23.605537243190007</v>
      </c>
      <c r="G154">
        <v>5.8367636853881635</v>
      </c>
      <c r="H154">
        <v>104680.48908706296</v>
      </c>
      <c r="I154">
        <v>78</v>
      </c>
      <c r="J154">
        <v>66.383427506636394</v>
      </c>
    </row>
    <row r="155" spans="1:10">
      <c r="A155" s="1">
        <v>46595</v>
      </c>
      <c r="B155" t="s">
        <v>10</v>
      </c>
      <c r="C155">
        <v>99</v>
      </c>
      <c r="D155">
        <v>34251.108710567467</v>
      </c>
      <c r="E155">
        <v>3.0948737814928093</v>
      </c>
      <c r="F155">
        <v>2.0498107351485886</v>
      </c>
      <c r="G155">
        <v>7.6103445810341599</v>
      </c>
      <c r="H155">
        <v>95029.427638511013</v>
      </c>
      <c r="I155">
        <v>91</v>
      </c>
      <c r="J155">
        <v>33.320283763961207</v>
      </c>
    </row>
    <row r="156" spans="1:10">
      <c r="A156" s="1">
        <v>46625</v>
      </c>
      <c r="B156" t="s">
        <v>13</v>
      </c>
      <c r="C156">
        <v>120</v>
      </c>
      <c r="D156">
        <v>28256.739327960706</v>
      </c>
      <c r="E156">
        <v>3.6002845986154712</v>
      </c>
      <c r="F156">
        <v>2.5005279588565972</v>
      </c>
      <c r="G156">
        <v>5.9465265671282355</v>
      </c>
      <c r="H156">
        <v>124010.63316947746</v>
      </c>
      <c r="I156">
        <v>86</v>
      </c>
    </row>
    <row r="157" spans="1:10">
      <c r="A157" s="1">
        <v>46655</v>
      </c>
      <c r="B157" t="s">
        <v>11</v>
      </c>
      <c r="C157">
        <v>90</v>
      </c>
      <c r="D157">
        <v>28253.711478407855</v>
      </c>
      <c r="E157">
        <v>4.0743186747143572</v>
      </c>
      <c r="F157">
        <v>3.1012067489291146</v>
      </c>
      <c r="G157">
        <v>5.9669910348015147</v>
      </c>
      <c r="H157">
        <v>102807.19739696094</v>
      </c>
      <c r="I157">
        <v>86</v>
      </c>
      <c r="J157">
        <v>34.071222673492969</v>
      </c>
    </row>
    <row r="158" spans="1:10">
      <c r="A158" s="1">
        <v>46685</v>
      </c>
      <c r="B158" t="s">
        <v>14</v>
      </c>
      <c r="C158">
        <v>85</v>
      </c>
      <c r="D158">
        <v>28391.824743913086</v>
      </c>
      <c r="E158">
        <v>2.9920890905108015</v>
      </c>
      <c r="F158">
        <v>1.0561451838664582</v>
      </c>
      <c r="G158">
        <v>5.4362552163789459</v>
      </c>
      <c r="H158">
        <v>60658.605928256955</v>
      </c>
      <c r="I158">
        <v>88</v>
      </c>
      <c r="J158">
        <v>38.830660951868609</v>
      </c>
    </row>
    <row r="159" spans="1:10">
      <c r="A159" s="1">
        <v>46715</v>
      </c>
      <c r="B159" t="s">
        <v>10</v>
      </c>
      <c r="C159">
        <v>84</v>
      </c>
      <c r="D159">
        <v>40383.739917804203</v>
      </c>
      <c r="E159">
        <v>3.5308399249239857</v>
      </c>
      <c r="F159">
        <v>0.20381904686276187</v>
      </c>
      <c r="G159">
        <v>6.9682826589023534</v>
      </c>
      <c r="H159">
        <v>77656.270765859954</v>
      </c>
      <c r="I159">
        <v>90</v>
      </c>
      <c r="J159">
        <v>59.549664883660647</v>
      </c>
    </row>
    <row r="160" spans="1:10">
      <c r="A160" s="1">
        <v>46745</v>
      </c>
      <c r="B160" t="s">
        <v>10</v>
      </c>
      <c r="D160">
        <v>31909.677261157765</v>
      </c>
      <c r="E160">
        <v>3.7144082501652864</v>
      </c>
      <c r="F160">
        <v>1.9494631505084166</v>
      </c>
      <c r="G160">
        <v>6.8157630805730607</v>
      </c>
      <c r="H160">
        <v>96283.08495614506</v>
      </c>
      <c r="I160">
        <v>83</v>
      </c>
      <c r="J160">
        <v>93.186795999750245</v>
      </c>
    </row>
    <row r="161" spans="1:10">
      <c r="A161" s="1">
        <v>46775</v>
      </c>
      <c r="B161" t="s">
        <v>11</v>
      </c>
      <c r="C161">
        <v>112</v>
      </c>
      <c r="D161">
        <v>32150.20823595535</v>
      </c>
      <c r="E161">
        <v>3.8465528036315719</v>
      </c>
      <c r="F161">
        <v>1.2792875740858414</v>
      </c>
      <c r="G161">
        <v>4.7491872550045446</v>
      </c>
      <c r="H161">
        <v>106199.9796633111</v>
      </c>
      <c r="J161">
        <v>36.937149771837667</v>
      </c>
    </row>
    <row r="162" spans="1:10">
      <c r="A162" s="1">
        <v>46805</v>
      </c>
      <c r="B162" t="s">
        <v>11</v>
      </c>
      <c r="C162">
        <v>110</v>
      </c>
      <c r="D162">
        <v>35151.417270159211</v>
      </c>
      <c r="E162">
        <v>3.5882207776386128</v>
      </c>
      <c r="F162">
        <v>1.991859802352689</v>
      </c>
      <c r="G162">
        <v>3.9169033664814794</v>
      </c>
      <c r="H162">
        <v>98868.230222002079</v>
      </c>
      <c r="I162">
        <v>88</v>
      </c>
      <c r="J162">
        <v>31.539201689448284</v>
      </c>
    </row>
    <row r="163" spans="1:10">
      <c r="A163" s="1">
        <v>46835</v>
      </c>
      <c r="B163" t="s">
        <v>12</v>
      </c>
      <c r="C163">
        <v>86</v>
      </c>
      <c r="D163">
        <v>31193.945795132568</v>
      </c>
      <c r="E163">
        <v>3.3164860804583389</v>
      </c>
      <c r="F163">
        <v>2.3522196811825284</v>
      </c>
      <c r="G163">
        <v>5.2564232351252116</v>
      </c>
      <c r="H163">
        <v>124379.41579587327</v>
      </c>
      <c r="I163">
        <v>99</v>
      </c>
      <c r="J163">
        <v>80.718146548322451</v>
      </c>
    </row>
    <row r="164" spans="1:10">
      <c r="A164" s="1">
        <v>46865</v>
      </c>
      <c r="B164" t="s">
        <v>10</v>
      </c>
      <c r="C164">
        <v>104</v>
      </c>
      <c r="D164">
        <v>287047.89270896482</v>
      </c>
      <c r="E164">
        <v>3.0862048896756402</v>
      </c>
      <c r="F164">
        <v>2.0467515909769864</v>
      </c>
      <c r="G164">
        <v>4.5399537227228244</v>
      </c>
      <c r="H164">
        <v>60977.9627192275</v>
      </c>
      <c r="I164">
        <v>100</v>
      </c>
      <c r="J164">
        <v>60.04956258671448</v>
      </c>
    </row>
    <row r="165" spans="1:10">
      <c r="A165" s="1">
        <v>46895</v>
      </c>
      <c r="B165" t="s">
        <v>12</v>
      </c>
      <c r="C165">
        <v>107</v>
      </c>
      <c r="D165">
        <v>29018.250754575107</v>
      </c>
      <c r="E165">
        <v>35.43071941523187</v>
      </c>
      <c r="F165">
        <v>3.9524675344707454</v>
      </c>
      <c r="G165">
        <v>5.4237705104615737</v>
      </c>
      <c r="H165">
        <v>102871.7587301032</v>
      </c>
      <c r="I165">
        <v>88</v>
      </c>
      <c r="J165">
        <v>92.942808990541707</v>
      </c>
    </row>
    <row r="166" spans="1:10">
      <c r="A166" s="1">
        <v>46925</v>
      </c>
      <c r="B166" t="s">
        <v>13</v>
      </c>
      <c r="C166">
        <v>93</v>
      </c>
      <c r="D166">
        <v>29641.993702929682</v>
      </c>
      <c r="E166">
        <v>2.9639304940071964</v>
      </c>
      <c r="F166">
        <v>2.8267447646023198</v>
      </c>
      <c r="G166">
        <v>6.9849257616209668</v>
      </c>
      <c r="H166">
        <v>63640.415492256907</v>
      </c>
      <c r="I166">
        <v>83</v>
      </c>
      <c r="J166">
        <v>31.729164572787383</v>
      </c>
    </row>
    <row r="167" spans="1:10">
      <c r="A167" s="1">
        <v>46955</v>
      </c>
      <c r="B167" t="s">
        <v>10</v>
      </c>
      <c r="C167">
        <v>108</v>
      </c>
      <c r="D167">
        <v>29813.888817450792</v>
      </c>
      <c r="E167">
        <v>2.0393247582526963</v>
      </c>
      <c r="F167">
        <v>2.8004743596108286</v>
      </c>
      <c r="G167">
        <v>4.9512380138958516</v>
      </c>
      <c r="H167">
        <v>115194.24590968336</v>
      </c>
      <c r="I167">
        <v>90</v>
      </c>
      <c r="J167">
        <v>71.674231441843148</v>
      </c>
    </row>
    <row r="168" spans="1:10">
      <c r="A168" s="1">
        <v>46985</v>
      </c>
      <c r="B168" t="s">
        <v>10</v>
      </c>
      <c r="C168">
        <v>96</v>
      </c>
      <c r="D168">
        <v>33638.147718184897</v>
      </c>
      <c r="E168">
        <v>3.7182799020788337</v>
      </c>
      <c r="F168">
        <v>3.122207144043402</v>
      </c>
      <c r="G168">
        <v>5.4486119424261101</v>
      </c>
      <c r="H168">
        <v>98110.825711159938</v>
      </c>
      <c r="I168">
        <v>88</v>
      </c>
      <c r="J168">
        <v>38.630331692145205</v>
      </c>
    </row>
    <row r="169" spans="1:10">
      <c r="A169" s="1">
        <v>47015</v>
      </c>
      <c r="B169" t="s">
        <v>14</v>
      </c>
      <c r="C169">
        <v>95</v>
      </c>
      <c r="D169">
        <v>30259.729429036499</v>
      </c>
      <c r="E169">
        <v>3.9519674205430975</v>
      </c>
      <c r="F169">
        <v>1.3611668822192309</v>
      </c>
      <c r="G169">
        <v>5.5696272817700745</v>
      </c>
      <c r="I169">
        <v>86</v>
      </c>
      <c r="J169">
        <v>32.540834292131144</v>
      </c>
    </row>
    <row r="170" spans="1:10">
      <c r="A170" s="1">
        <v>47045</v>
      </c>
      <c r="B170" t="s">
        <v>10</v>
      </c>
      <c r="C170">
        <v>112</v>
      </c>
      <c r="D170">
        <v>33663.200386077893</v>
      </c>
      <c r="E170">
        <v>2.318533782229081</v>
      </c>
      <c r="F170">
        <v>3.5391117874202687</v>
      </c>
      <c r="G170">
        <v>6.5181170586463413</v>
      </c>
      <c r="H170">
        <v>82722.340788204674</v>
      </c>
      <c r="I170">
        <v>81</v>
      </c>
      <c r="J170">
        <v>74.67435321258165</v>
      </c>
    </row>
    <row r="171" spans="1:10">
      <c r="A171" s="1">
        <v>47075</v>
      </c>
      <c r="B171" t="s">
        <v>13</v>
      </c>
      <c r="C171">
        <v>108</v>
      </c>
      <c r="D171">
        <v>29596.417099457089</v>
      </c>
      <c r="E171">
        <v>2.9951346476450311</v>
      </c>
      <c r="G171">
        <v>2.8037327992184737</v>
      </c>
      <c r="H171">
        <v>125589.29863315502</v>
      </c>
      <c r="I171">
        <v>82</v>
      </c>
      <c r="J171">
        <v>67.49476959269866</v>
      </c>
    </row>
    <row r="172" spans="1:10">
      <c r="A172" s="1">
        <v>47105</v>
      </c>
      <c r="B172" t="s">
        <v>12</v>
      </c>
      <c r="C172">
        <v>85</v>
      </c>
      <c r="D172">
        <v>30393.175951580452</v>
      </c>
      <c r="E172">
        <v>3.8095771305025989</v>
      </c>
      <c r="F172">
        <v>3.1704806172412123</v>
      </c>
      <c r="G172">
        <v>4.771959646281644</v>
      </c>
      <c r="H172">
        <v>120834.49328117703</v>
      </c>
      <c r="I172">
        <v>106</v>
      </c>
      <c r="J172">
        <v>80.3861966689865</v>
      </c>
    </row>
    <row r="173" spans="1:10">
      <c r="A173" s="1">
        <v>47135</v>
      </c>
      <c r="B173" t="s">
        <v>12</v>
      </c>
      <c r="D173">
        <v>20008.996577339462</v>
      </c>
      <c r="E173">
        <v>45.28747734855849</v>
      </c>
      <c r="F173">
        <v>1.4281427669598445</v>
      </c>
      <c r="G173">
        <v>5.7535404307353675</v>
      </c>
      <c r="H173">
        <v>111670.88606023775</v>
      </c>
      <c r="I173">
        <v>97</v>
      </c>
      <c r="J173">
        <v>44.757006115694587</v>
      </c>
    </row>
    <row r="174" spans="1:10">
      <c r="A174" s="1">
        <v>47165</v>
      </c>
      <c r="B174" t="s">
        <v>14</v>
      </c>
      <c r="C174">
        <v>95</v>
      </c>
      <c r="D174">
        <v>34581.638373512411</v>
      </c>
      <c r="E174">
        <v>3.5103968538377042</v>
      </c>
      <c r="F174">
        <v>0.94624123398393567</v>
      </c>
      <c r="I174">
        <v>77</v>
      </c>
      <c r="J174">
        <v>55.837732510575194</v>
      </c>
    </row>
    <row r="175" spans="1:10">
      <c r="A175" s="1">
        <v>47195</v>
      </c>
      <c r="B175" t="s">
        <v>13</v>
      </c>
      <c r="C175">
        <v>97</v>
      </c>
      <c r="D175">
        <v>31732.442379489963</v>
      </c>
      <c r="E175">
        <v>3.1359985293854327</v>
      </c>
      <c r="F175">
        <v>3.3178896580250288</v>
      </c>
      <c r="G175">
        <v>4.9097170629925539</v>
      </c>
      <c r="H175">
        <v>111597.14570590264</v>
      </c>
      <c r="I175">
        <v>88</v>
      </c>
      <c r="J175">
        <v>52.437734106433481</v>
      </c>
    </row>
    <row r="176" spans="1:10">
      <c r="A176" s="1">
        <v>47225</v>
      </c>
      <c r="B176" t="s">
        <v>12</v>
      </c>
      <c r="C176">
        <v>116</v>
      </c>
      <c r="D176">
        <v>34990.050549298263</v>
      </c>
      <c r="E176">
        <v>3.4085517794475799</v>
      </c>
      <c r="F176">
        <v>2.8764095260975164</v>
      </c>
      <c r="G176">
        <v>3.2481367527497511</v>
      </c>
      <c r="H176">
        <v>85862.148640253028</v>
      </c>
      <c r="I176">
        <v>90</v>
      </c>
      <c r="J176">
        <v>987.27157117321144</v>
      </c>
    </row>
    <row r="177" spans="1:10">
      <c r="A177" s="1">
        <v>47255</v>
      </c>
      <c r="B177" t="s">
        <v>11</v>
      </c>
      <c r="C177">
        <v>95</v>
      </c>
      <c r="D177">
        <v>15518.723109031554</v>
      </c>
      <c r="E177">
        <v>4.1874382095740925</v>
      </c>
      <c r="F177">
        <v>1.5979484456424897</v>
      </c>
      <c r="G177">
        <v>6.2436537351593637</v>
      </c>
      <c r="H177">
        <v>117111.11318041425</v>
      </c>
      <c r="I177">
        <v>86</v>
      </c>
      <c r="J177">
        <v>43.379916539151033</v>
      </c>
    </row>
    <row r="178" spans="1:10">
      <c r="A178" s="1">
        <v>47285</v>
      </c>
      <c r="B178" t="s">
        <v>13</v>
      </c>
      <c r="C178">
        <v>123</v>
      </c>
      <c r="D178">
        <v>40441.87352390364</v>
      </c>
      <c r="E178">
        <v>3.1770179104377325</v>
      </c>
      <c r="F178">
        <v>1.6303369187253056</v>
      </c>
      <c r="G178">
        <v>4.7375651334092446</v>
      </c>
      <c r="H178">
        <v>132989.61788647843</v>
      </c>
      <c r="I178">
        <v>96</v>
      </c>
      <c r="J178">
        <v>43.58537906774135</v>
      </c>
    </row>
    <row r="179" spans="1:10">
      <c r="A179" s="1">
        <v>47315</v>
      </c>
      <c r="B179" t="s">
        <v>13</v>
      </c>
      <c r="C179">
        <v>104</v>
      </c>
      <c r="D179">
        <v>29302.051859224131</v>
      </c>
      <c r="E179">
        <v>3.1004039966748733</v>
      </c>
      <c r="F179">
        <v>3.6254347844147694</v>
      </c>
      <c r="G179">
        <v>4.0724000090915666</v>
      </c>
      <c r="H179">
        <v>121412.21119958372</v>
      </c>
      <c r="I179">
        <v>82</v>
      </c>
    </row>
    <row r="180" spans="1:10">
      <c r="A180" s="1">
        <v>47345</v>
      </c>
      <c r="B180" t="s">
        <v>14</v>
      </c>
      <c r="C180">
        <v>94</v>
      </c>
      <c r="D180">
        <v>35540.914083687581</v>
      </c>
      <c r="E180">
        <v>3.258628238908984</v>
      </c>
      <c r="F180">
        <v>1.3105881071326722</v>
      </c>
      <c r="G180">
        <v>4.750785532344131</v>
      </c>
      <c r="H180">
        <v>85407.950603851816</v>
      </c>
      <c r="I180">
        <v>80</v>
      </c>
      <c r="J180">
        <v>65.16752650322573</v>
      </c>
    </row>
    <row r="181" spans="1:10">
      <c r="A181" s="1">
        <v>47375</v>
      </c>
      <c r="B181" t="s">
        <v>12</v>
      </c>
      <c r="C181">
        <v>105</v>
      </c>
      <c r="D181">
        <v>24800.470364372348</v>
      </c>
      <c r="E181">
        <v>3.0233356958706437</v>
      </c>
      <c r="F181">
        <v>4.1426729532559632</v>
      </c>
      <c r="G181">
        <v>5.2785695708129809</v>
      </c>
      <c r="H181">
        <v>1072283.4634546204</v>
      </c>
      <c r="I181">
        <v>87</v>
      </c>
      <c r="J181">
        <v>40.185819541099619</v>
      </c>
    </row>
    <row r="182" spans="1:10">
      <c r="A182" s="1">
        <v>47405</v>
      </c>
      <c r="B182" t="s">
        <v>13</v>
      </c>
      <c r="C182">
        <v>109</v>
      </c>
      <c r="D182">
        <v>33063.869525312846</v>
      </c>
      <c r="E182">
        <v>3.561335157997398</v>
      </c>
      <c r="F182">
        <v>15.993792653521313</v>
      </c>
      <c r="G182">
        <v>4.7743064025541448</v>
      </c>
      <c r="H182">
        <v>74137.169124827051</v>
      </c>
      <c r="I182">
        <v>85</v>
      </c>
      <c r="J182">
        <v>93.223195230341915</v>
      </c>
    </row>
    <row r="183" spans="1:10">
      <c r="A183" s="1">
        <v>47435</v>
      </c>
      <c r="B183" t="s">
        <v>12</v>
      </c>
      <c r="C183">
        <v>84</v>
      </c>
      <c r="D183">
        <v>24732.922184131719</v>
      </c>
      <c r="E183">
        <v>4.3123392292347802</v>
      </c>
      <c r="F183">
        <v>3.1383919256083832</v>
      </c>
      <c r="G183">
        <v>2.8533207314811171</v>
      </c>
      <c r="H183">
        <v>111447.80622351351</v>
      </c>
      <c r="I183">
        <v>95</v>
      </c>
      <c r="J183">
        <v>41.254845189301079</v>
      </c>
    </row>
    <row r="184" spans="1:10">
      <c r="A184" s="1">
        <v>47465</v>
      </c>
      <c r="B184" t="s">
        <v>11</v>
      </c>
      <c r="C184">
        <v>79</v>
      </c>
      <c r="D184">
        <v>26881.155196520973</v>
      </c>
      <c r="E184">
        <v>3.6615396365580146</v>
      </c>
      <c r="F184">
        <v>2.1713815242510153</v>
      </c>
      <c r="G184">
        <v>6.5764794362645587</v>
      </c>
      <c r="H184">
        <v>109012.06825725078</v>
      </c>
      <c r="I184">
        <v>97</v>
      </c>
      <c r="J184">
        <v>91.66525852481557</v>
      </c>
    </row>
    <row r="185" spans="1:10">
      <c r="A185" s="1">
        <v>47495</v>
      </c>
      <c r="B185" t="s">
        <v>14</v>
      </c>
      <c r="C185">
        <v>98</v>
      </c>
      <c r="D185">
        <v>39570.156769333931</v>
      </c>
      <c r="E185">
        <v>3.3738232489368563</v>
      </c>
      <c r="F185">
        <v>3.1031874310823433</v>
      </c>
      <c r="G185">
        <v>7.0298500495344669</v>
      </c>
      <c r="H185">
        <v>62603.673209356719</v>
      </c>
      <c r="I185">
        <v>102</v>
      </c>
      <c r="J185">
        <v>28.278005091726772</v>
      </c>
    </row>
    <row r="186" spans="1:10">
      <c r="A186" s="1">
        <v>47525</v>
      </c>
      <c r="B186" t="s">
        <v>11</v>
      </c>
      <c r="C186">
        <v>96</v>
      </c>
      <c r="D186">
        <v>29046.587996183269</v>
      </c>
      <c r="E186">
        <v>3.354094365542228</v>
      </c>
      <c r="F186">
        <v>1.9558859978858074</v>
      </c>
      <c r="G186">
        <v>6.2818263896074065</v>
      </c>
      <c r="H186">
        <v>76764.323121752721</v>
      </c>
      <c r="I186">
        <v>96</v>
      </c>
      <c r="J186">
        <v>72.525016191972185</v>
      </c>
    </row>
    <row r="187" spans="1:10">
      <c r="A187" s="1">
        <v>47555</v>
      </c>
      <c r="B187" t="s">
        <v>14</v>
      </c>
      <c r="C187">
        <v>88</v>
      </c>
      <c r="D187">
        <v>31087.164365898614</v>
      </c>
      <c r="E187">
        <v>2.7184045956516716</v>
      </c>
      <c r="F187">
        <v>2.3372070939277059</v>
      </c>
      <c r="G187">
        <v>4.1347771954902202</v>
      </c>
      <c r="H187">
        <v>94337.222065124661</v>
      </c>
      <c r="I187">
        <v>82</v>
      </c>
      <c r="J187">
        <v>925.58841475059489</v>
      </c>
    </row>
    <row r="188" spans="1:10">
      <c r="A188" s="1">
        <v>47585</v>
      </c>
      <c r="B188" t="s">
        <v>13</v>
      </c>
      <c r="C188">
        <v>103</v>
      </c>
      <c r="D188">
        <v>34350.338653443774</v>
      </c>
      <c r="E188">
        <v>3.9415548885735796</v>
      </c>
      <c r="F188">
        <v>2.5409191753957212</v>
      </c>
      <c r="G188">
        <v>5.2582101592629789</v>
      </c>
      <c r="H188">
        <v>93982.805057183476</v>
      </c>
      <c r="I188">
        <v>85</v>
      </c>
      <c r="J188">
        <v>33.499955071858366</v>
      </c>
    </row>
    <row r="189" spans="1:10">
      <c r="A189" s="1">
        <v>47615</v>
      </c>
      <c r="B189" t="s">
        <v>14</v>
      </c>
      <c r="C189">
        <v>83</v>
      </c>
      <c r="D189">
        <v>32478.409439863022</v>
      </c>
      <c r="E189">
        <v>3.4610814014935989</v>
      </c>
      <c r="F189">
        <v>1.4978125442185273</v>
      </c>
      <c r="G189">
        <v>5.4921744217246502</v>
      </c>
      <c r="H189">
        <v>75810.461291623898</v>
      </c>
      <c r="I189">
        <v>82</v>
      </c>
      <c r="J189">
        <v>97.466156807940393</v>
      </c>
    </row>
    <row r="190" spans="1:10">
      <c r="A190" s="1">
        <v>47645</v>
      </c>
      <c r="B190" t="s">
        <v>10</v>
      </c>
      <c r="C190">
        <v>82</v>
      </c>
      <c r="D190">
        <v>30752.094525717883</v>
      </c>
      <c r="E190">
        <v>3.4097600432046873</v>
      </c>
      <c r="F190">
        <v>3.2408243454201258</v>
      </c>
      <c r="G190">
        <v>6.2185532674742925</v>
      </c>
      <c r="H190">
        <v>107779.57458704368</v>
      </c>
      <c r="J190">
        <v>56.230668833240934</v>
      </c>
    </row>
    <row r="191" spans="1:10">
      <c r="A191" s="1">
        <v>47675</v>
      </c>
      <c r="B191" t="s">
        <v>12</v>
      </c>
      <c r="C191">
        <v>106</v>
      </c>
      <c r="D191">
        <v>31824.805012331126</v>
      </c>
      <c r="E191">
        <v>5.0965537839224302</v>
      </c>
      <c r="F191">
        <v>1.9867864335284149</v>
      </c>
      <c r="G191">
        <v>6.3020085864616968</v>
      </c>
      <c r="H191">
        <v>105029.47217881025</v>
      </c>
      <c r="I191">
        <v>91</v>
      </c>
    </row>
    <row r="192" spans="1:10">
      <c r="A192" s="1">
        <v>47705</v>
      </c>
      <c r="B192" t="s">
        <v>12</v>
      </c>
      <c r="C192">
        <v>96</v>
      </c>
      <c r="D192">
        <v>42017.077926191378</v>
      </c>
      <c r="E192">
        <v>3.6493764541828431</v>
      </c>
      <c r="F192">
        <v>2.2714000846599816</v>
      </c>
      <c r="G192">
        <v>4.6189914414658055</v>
      </c>
      <c r="H192">
        <v>96114.61736042962</v>
      </c>
      <c r="I192">
        <v>88</v>
      </c>
      <c r="J192">
        <v>74.145603490403758</v>
      </c>
    </row>
    <row r="193" spans="1:10">
      <c r="A193" s="1">
        <v>47735</v>
      </c>
      <c r="B193" t="s">
        <v>10</v>
      </c>
      <c r="C193">
        <v>96</v>
      </c>
      <c r="D193">
        <v>29711.906014832071</v>
      </c>
      <c r="E193">
        <v>3.1241044749524081</v>
      </c>
      <c r="F193">
        <v>1.5056506253914876</v>
      </c>
      <c r="G193">
        <v>5.5983946676962724</v>
      </c>
      <c r="H193">
        <v>84884.169996832745</v>
      </c>
      <c r="I193">
        <v>90</v>
      </c>
      <c r="J193">
        <v>44.12694958988412</v>
      </c>
    </row>
    <row r="194" spans="1:10">
      <c r="A194" s="1">
        <v>47765</v>
      </c>
      <c r="B194" t="s">
        <v>11</v>
      </c>
      <c r="C194">
        <v>109</v>
      </c>
      <c r="D194">
        <v>31005.495233574838</v>
      </c>
      <c r="E194">
        <v>3.2868212018972285</v>
      </c>
      <c r="F194">
        <v>-6.2333658795310498E-2</v>
      </c>
      <c r="G194">
        <v>6.0487364855382895</v>
      </c>
      <c r="H194">
        <v>120974.14252833127</v>
      </c>
      <c r="I194">
        <v>710</v>
      </c>
      <c r="J194">
        <v>35.064201993368513</v>
      </c>
    </row>
    <row r="195" spans="1:10">
      <c r="A195" s="1">
        <v>47795</v>
      </c>
      <c r="B195" t="s">
        <v>10</v>
      </c>
      <c r="C195">
        <v>98</v>
      </c>
      <c r="D195">
        <v>35253.271980038058</v>
      </c>
      <c r="E195">
        <v>4.0742228545983776</v>
      </c>
      <c r="F195">
        <v>2.3089722373998312</v>
      </c>
      <c r="G195">
        <v>7.2469867865761195</v>
      </c>
      <c r="H195">
        <v>133108.1422617659</v>
      </c>
      <c r="I195">
        <v>84</v>
      </c>
      <c r="J195">
        <v>44.298803698007951</v>
      </c>
    </row>
    <row r="196" spans="1:10">
      <c r="A196" s="1">
        <v>47825</v>
      </c>
      <c r="B196" t="s">
        <v>13</v>
      </c>
      <c r="C196">
        <v>86</v>
      </c>
      <c r="D196">
        <v>35527.629664789922</v>
      </c>
      <c r="E196">
        <v>3.5566352052688823</v>
      </c>
      <c r="F196">
        <v>49.126154216129159</v>
      </c>
      <c r="G196">
        <v>6.3454078477896676</v>
      </c>
      <c r="I196">
        <v>79</v>
      </c>
      <c r="J196">
        <v>27.441392741013999</v>
      </c>
    </row>
    <row r="197" spans="1:10">
      <c r="A197" s="1">
        <v>47855</v>
      </c>
      <c r="B197" t="s">
        <v>13</v>
      </c>
      <c r="C197">
        <v>79</v>
      </c>
      <c r="D197">
        <v>35935.1515278019</v>
      </c>
      <c r="E197">
        <v>2.7808610108413165</v>
      </c>
      <c r="F197">
        <v>3.2846042878980239</v>
      </c>
      <c r="G197">
        <v>6.4468680248506232</v>
      </c>
      <c r="H197">
        <v>87756.661656903583</v>
      </c>
      <c r="I197">
        <v>77</v>
      </c>
      <c r="J197">
        <v>31.509437307466381</v>
      </c>
    </row>
    <row r="198" spans="1:10">
      <c r="A198" s="1">
        <v>47885</v>
      </c>
      <c r="B198" t="s">
        <v>12</v>
      </c>
      <c r="C198">
        <v>86</v>
      </c>
      <c r="E198">
        <v>3.9596144672876017</v>
      </c>
      <c r="G198">
        <v>5.6005919535152335</v>
      </c>
      <c r="H198">
        <v>109824.15330823993</v>
      </c>
      <c r="I198">
        <v>77</v>
      </c>
      <c r="J198">
        <v>28.37283522771849</v>
      </c>
    </row>
    <row r="199" spans="1:10">
      <c r="A199" s="1">
        <v>47915</v>
      </c>
      <c r="B199" t="s">
        <v>13</v>
      </c>
      <c r="C199">
        <v>108</v>
      </c>
      <c r="D199">
        <v>24284.97543634758</v>
      </c>
      <c r="E199">
        <v>3.1659279572305028</v>
      </c>
      <c r="F199">
        <v>2.2371091707917321</v>
      </c>
      <c r="G199">
        <v>7.1925509742442042</v>
      </c>
      <c r="H199">
        <v>92839.41240506027</v>
      </c>
      <c r="I199">
        <v>105</v>
      </c>
      <c r="J199">
        <v>53.835483499324617</v>
      </c>
    </row>
    <row r="200" spans="1:10">
      <c r="A200" s="1">
        <v>47945</v>
      </c>
      <c r="B200" t="s">
        <v>12</v>
      </c>
      <c r="C200">
        <v>127</v>
      </c>
      <c r="D200">
        <v>38167.15766150548</v>
      </c>
      <c r="E200">
        <v>4.4366488881087731</v>
      </c>
      <c r="F200">
        <v>2.5224658928120465</v>
      </c>
      <c r="G200">
        <v>5.9917153551513973</v>
      </c>
      <c r="H200">
        <v>97212.055986735315</v>
      </c>
      <c r="I200">
        <v>100</v>
      </c>
      <c r="J200">
        <v>83.646270100606912</v>
      </c>
    </row>
    <row r="201" spans="1:10">
      <c r="A201" s="1">
        <v>47975</v>
      </c>
      <c r="B201" t="s">
        <v>10</v>
      </c>
      <c r="C201">
        <v>93</v>
      </c>
      <c r="D201">
        <v>24268.27303490656</v>
      </c>
      <c r="E201">
        <v>4.0400240328573247</v>
      </c>
      <c r="H201">
        <v>114793.06303449343</v>
      </c>
      <c r="I201">
        <v>82</v>
      </c>
      <c r="J201">
        <v>31.310684337307215</v>
      </c>
    </row>
    <row r="202" spans="1:10">
      <c r="A202" s="1">
        <v>48005</v>
      </c>
      <c r="B202" t="s">
        <v>10</v>
      </c>
      <c r="C202">
        <v>82</v>
      </c>
      <c r="D202">
        <v>31513.177326195168</v>
      </c>
      <c r="E202">
        <v>3.2763390521706244</v>
      </c>
      <c r="F202">
        <v>1.3191871846911551</v>
      </c>
      <c r="G202">
        <v>7.1840439641502289</v>
      </c>
      <c r="H202">
        <v>61812.87824985414</v>
      </c>
      <c r="I202">
        <v>105</v>
      </c>
      <c r="J202">
        <v>30.425634653786872</v>
      </c>
    </row>
    <row r="203" spans="1:10">
      <c r="A203" s="1">
        <v>48035</v>
      </c>
      <c r="B203" t="s">
        <v>10</v>
      </c>
      <c r="C203">
        <v>104</v>
      </c>
      <c r="D203">
        <v>26228.62074990321</v>
      </c>
      <c r="E203">
        <v>4.1405081808675561</v>
      </c>
      <c r="F203">
        <v>3.6143216946688721</v>
      </c>
      <c r="G203">
        <v>63.374839270468328</v>
      </c>
      <c r="H203">
        <v>126366.04649705338</v>
      </c>
      <c r="I203">
        <v>103</v>
      </c>
      <c r="J203">
        <v>71.474315961386452</v>
      </c>
    </row>
    <row r="204" spans="1:10">
      <c r="A204" s="1">
        <v>48065</v>
      </c>
      <c r="B204" t="s">
        <v>12</v>
      </c>
      <c r="C204">
        <v>99</v>
      </c>
      <c r="D204">
        <v>29679.308267035038</v>
      </c>
      <c r="E204">
        <v>3.5339277552637016</v>
      </c>
      <c r="F204">
        <v>3.2153813154412441</v>
      </c>
      <c r="G204">
        <v>4.968347174645821</v>
      </c>
      <c r="H204">
        <v>101453.61048658683</v>
      </c>
      <c r="I204">
        <v>84</v>
      </c>
      <c r="J204">
        <v>35.7746385574453</v>
      </c>
    </row>
    <row r="205" spans="1:10">
      <c r="A205" s="1">
        <v>48095</v>
      </c>
      <c r="B205" t="s">
        <v>10</v>
      </c>
      <c r="C205">
        <v>102</v>
      </c>
      <c r="D205">
        <v>31643.812051517401</v>
      </c>
      <c r="E205">
        <v>3.9263868375611097</v>
      </c>
      <c r="F205">
        <v>3.2181857257079347</v>
      </c>
      <c r="G205">
        <v>4.9246084391209077</v>
      </c>
      <c r="H205">
        <v>91770.137108756389</v>
      </c>
      <c r="I205">
        <v>860</v>
      </c>
      <c r="J205">
        <v>27.808803048719327</v>
      </c>
    </row>
    <row r="206" spans="1:10">
      <c r="A206" s="1">
        <v>48125</v>
      </c>
      <c r="B206" t="s">
        <v>10</v>
      </c>
      <c r="C206">
        <v>76</v>
      </c>
      <c r="E206">
        <v>3.7423664086472375</v>
      </c>
      <c r="F206">
        <v>2.9384757388097271</v>
      </c>
      <c r="G206">
        <v>5.8558906541689142</v>
      </c>
      <c r="H206">
        <v>98215.31691557102</v>
      </c>
      <c r="I206">
        <v>91</v>
      </c>
      <c r="J206">
        <v>33.347886256446209</v>
      </c>
    </row>
    <row r="207" spans="1:10">
      <c r="A207" s="1">
        <v>48155</v>
      </c>
      <c r="B207" t="s">
        <v>11</v>
      </c>
      <c r="C207">
        <v>99</v>
      </c>
      <c r="D207">
        <v>32109.603771176422</v>
      </c>
      <c r="E207">
        <v>3.0768216725045634</v>
      </c>
      <c r="F207">
        <v>2.51961665769399</v>
      </c>
      <c r="G207">
        <v>6.0558217543211015</v>
      </c>
      <c r="H207">
        <v>99248.587100410368</v>
      </c>
      <c r="I207">
        <v>95</v>
      </c>
      <c r="J207">
        <v>93.898511670142085</v>
      </c>
    </row>
    <row r="208" spans="1:10">
      <c r="A208" s="1">
        <v>48185</v>
      </c>
      <c r="B208" t="s">
        <v>10</v>
      </c>
      <c r="C208">
        <v>93</v>
      </c>
      <c r="D208">
        <v>38068.556345293233</v>
      </c>
      <c r="E208">
        <v>3.1782250838412689</v>
      </c>
      <c r="F208">
        <v>3.17286123596682</v>
      </c>
      <c r="G208">
        <v>5.736750718757448</v>
      </c>
      <c r="H208">
        <v>65375.973931101493</v>
      </c>
      <c r="I208">
        <v>85</v>
      </c>
      <c r="J208">
        <v>85.71770022209526</v>
      </c>
    </row>
    <row r="209" spans="1:10">
      <c r="A209" s="1">
        <v>48215</v>
      </c>
      <c r="B209" t="s">
        <v>13</v>
      </c>
      <c r="C209">
        <v>99</v>
      </c>
      <c r="D209">
        <v>32267.671507569899</v>
      </c>
      <c r="E209">
        <v>4.0149804087905805</v>
      </c>
      <c r="F209">
        <v>3.0918141337413783</v>
      </c>
      <c r="H209">
        <v>129898.76454906471</v>
      </c>
      <c r="I209">
        <v>99</v>
      </c>
      <c r="J209">
        <v>48.325164988407529</v>
      </c>
    </row>
    <row r="210" spans="1:10">
      <c r="A210" s="1">
        <v>48245</v>
      </c>
      <c r="B210" t="s">
        <v>12</v>
      </c>
      <c r="C210">
        <v>102</v>
      </c>
      <c r="D210">
        <v>28779.216823546758</v>
      </c>
      <c r="E210">
        <v>3.3326123339467295</v>
      </c>
      <c r="G210">
        <v>7.5399488494916564</v>
      </c>
      <c r="H210">
        <v>100826.51264541237</v>
      </c>
      <c r="I210">
        <v>94</v>
      </c>
      <c r="J210">
        <v>72.465661386191428</v>
      </c>
    </row>
    <row r="211" spans="1:10">
      <c r="A211" s="1">
        <v>48275</v>
      </c>
      <c r="B211" t="s">
        <v>11</v>
      </c>
      <c r="C211">
        <v>106</v>
      </c>
      <c r="D211">
        <v>34820.435841441787</v>
      </c>
      <c r="E211">
        <v>3.2981757683790018</v>
      </c>
      <c r="F211">
        <v>1.926398227103099</v>
      </c>
      <c r="G211">
        <v>6.7858517826818625</v>
      </c>
      <c r="H211">
        <v>108860.04260894751</v>
      </c>
      <c r="I211">
        <v>91</v>
      </c>
      <c r="J211">
        <v>62.982053893443045</v>
      </c>
    </row>
    <row r="212" spans="1:10">
      <c r="A212" s="1">
        <v>48305</v>
      </c>
      <c r="B212" t="s">
        <v>14</v>
      </c>
      <c r="C212">
        <v>94</v>
      </c>
      <c r="D212">
        <v>35947.352444623204</v>
      </c>
      <c r="E212">
        <v>3.0224387103253236</v>
      </c>
      <c r="F212">
        <v>2.6018562952619866</v>
      </c>
      <c r="G212">
        <v>5.7287627095180289</v>
      </c>
      <c r="H212">
        <v>119030.99541148086</v>
      </c>
      <c r="I212">
        <v>87</v>
      </c>
      <c r="J212">
        <v>74.16994107860512</v>
      </c>
    </row>
    <row r="213" spans="1:10">
      <c r="A213" s="1">
        <v>48335</v>
      </c>
      <c r="B213" t="s">
        <v>12</v>
      </c>
      <c r="C213">
        <v>105</v>
      </c>
      <c r="D213">
        <v>23861.960924315037</v>
      </c>
      <c r="E213">
        <v>3.7117995327967304</v>
      </c>
      <c r="F213">
        <v>4.0490201514951876</v>
      </c>
      <c r="G213">
        <v>6.6295726969209801</v>
      </c>
      <c r="H213">
        <v>79576.750848793992</v>
      </c>
      <c r="I213">
        <v>66</v>
      </c>
      <c r="J213">
        <v>74.613692197020754</v>
      </c>
    </row>
    <row r="214" spans="1:10">
      <c r="A214" s="1">
        <v>48365</v>
      </c>
      <c r="B214" t="s">
        <v>13</v>
      </c>
      <c r="C214">
        <v>1160</v>
      </c>
      <c r="D214">
        <v>32987.000349249291</v>
      </c>
      <c r="E214">
        <v>4.5312624596215727</v>
      </c>
      <c r="G214">
        <v>4.2609713157669526</v>
      </c>
      <c r="H214">
        <v>109469.43798070456</v>
      </c>
      <c r="I214">
        <v>86</v>
      </c>
      <c r="J214">
        <v>70.298721204799435</v>
      </c>
    </row>
    <row r="215" spans="1:10">
      <c r="A215" s="1">
        <v>48395</v>
      </c>
      <c r="B215" t="s">
        <v>12</v>
      </c>
      <c r="C215">
        <v>122</v>
      </c>
      <c r="D215">
        <v>33505.863711554492</v>
      </c>
      <c r="E215">
        <v>2.9662335428728634</v>
      </c>
      <c r="F215">
        <v>1.03247473424756</v>
      </c>
      <c r="G215">
        <v>5.9775124599361709</v>
      </c>
      <c r="H215">
        <v>94647.17818202413</v>
      </c>
      <c r="I215">
        <v>80</v>
      </c>
      <c r="J215">
        <v>41.288109482984687</v>
      </c>
    </row>
    <row r="216" spans="1:10">
      <c r="A216" s="1">
        <v>48425</v>
      </c>
      <c r="B216" t="s">
        <v>13</v>
      </c>
      <c r="C216">
        <v>103</v>
      </c>
      <c r="D216">
        <v>28512.182483200042</v>
      </c>
      <c r="E216">
        <v>3.5121097283363789</v>
      </c>
      <c r="F216">
        <v>2.6647608412365167</v>
      </c>
      <c r="H216">
        <v>116935.41550432987</v>
      </c>
      <c r="I216">
        <v>111</v>
      </c>
      <c r="J216">
        <v>23.120513661025448</v>
      </c>
    </row>
    <row r="217" spans="1:10">
      <c r="A217" s="1">
        <v>48455</v>
      </c>
      <c r="B217" t="s">
        <v>13</v>
      </c>
      <c r="C217">
        <v>119</v>
      </c>
      <c r="D217">
        <v>36878.534066558095</v>
      </c>
      <c r="E217">
        <v>4.2061102777077144</v>
      </c>
      <c r="G217">
        <v>5.2383449255291517</v>
      </c>
      <c r="I217">
        <v>98</v>
      </c>
      <c r="J217">
        <v>564.453425592087</v>
      </c>
    </row>
    <row r="218" spans="1:10">
      <c r="A218" s="1">
        <v>48485</v>
      </c>
      <c r="B218" t="s">
        <v>14</v>
      </c>
      <c r="C218">
        <v>76</v>
      </c>
      <c r="D218">
        <v>29249.722064837366</v>
      </c>
      <c r="E218">
        <v>3.4601793043771423</v>
      </c>
      <c r="F218">
        <v>2.6733416643704082</v>
      </c>
      <c r="G218">
        <v>4.4828392856570982</v>
      </c>
      <c r="H218">
        <v>98018.113995174615</v>
      </c>
      <c r="I218">
        <v>98</v>
      </c>
      <c r="J218">
        <v>91.277910775256302</v>
      </c>
    </row>
    <row r="219" spans="1:10">
      <c r="A219" s="1">
        <v>48515</v>
      </c>
      <c r="B219" t="s">
        <v>12</v>
      </c>
      <c r="C219">
        <v>96</v>
      </c>
      <c r="E219">
        <v>3.726185898124867</v>
      </c>
      <c r="F219">
        <v>2.7439531979085001</v>
      </c>
      <c r="G219">
        <v>4.7174933336883269</v>
      </c>
      <c r="H219">
        <v>87943.586884320772</v>
      </c>
      <c r="I219">
        <v>93</v>
      </c>
      <c r="J219">
        <v>65.559780681486075</v>
      </c>
    </row>
    <row r="220" spans="1:10">
      <c r="A220" s="1">
        <v>48545</v>
      </c>
      <c r="B220" t="s">
        <v>14</v>
      </c>
      <c r="C220">
        <v>103</v>
      </c>
      <c r="D220">
        <v>29134.640878580652</v>
      </c>
      <c r="F220">
        <v>2.2767977453651951</v>
      </c>
      <c r="G220">
        <v>4.1924403551891345</v>
      </c>
      <c r="H220">
        <v>108645.25901268311</v>
      </c>
      <c r="I220">
        <v>106</v>
      </c>
      <c r="J220">
        <v>86.591283336152628</v>
      </c>
    </row>
    <row r="221" spans="1:10">
      <c r="A221" s="1">
        <v>48575</v>
      </c>
      <c r="B221" t="s">
        <v>14</v>
      </c>
      <c r="C221">
        <v>111</v>
      </c>
      <c r="D221">
        <v>30077.895237907338</v>
      </c>
      <c r="E221">
        <v>3.7141535486038242</v>
      </c>
      <c r="F221">
        <v>3.9898634386020824</v>
      </c>
      <c r="G221">
        <v>45.582857102467564</v>
      </c>
      <c r="H221">
        <v>109400.88374736405</v>
      </c>
      <c r="I221">
        <v>93</v>
      </c>
    </row>
    <row r="222" spans="1:10">
      <c r="A222" s="1">
        <v>48605</v>
      </c>
      <c r="B222" t="s">
        <v>12</v>
      </c>
      <c r="C222">
        <v>97</v>
      </c>
      <c r="D222">
        <v>24518.624565523991</v>
      </c>
      <c r="E222">
        <v>3.4064278674977255</v>
      </c>
      <c r="F222">
        <v>0.89909602152348445</v>
      </c>
      <c r="G222">
        <v>5.0553902816919649</v>
      </c>
      <c r="H222">
        <v>85847.48210355948</v>
      </c>
      <c r="I222">
        <v>72</v>
      </c>
      <c r="J222">
        <v>33.089296331062101</v>
      </c>
    </row>
    <row r="223" spans="1:10">
      <c r="A223" s="1">
        <v>48635</v>
      </c>
      <c r="B223" t="s">
        <v>10</v>
      </c>
      <c r="C223">
        <v>112</v>
      </c>
      <c r="D223">
        <v>22799.745587028527</v>
      </c>
      <c r="E223">
        <v>3.9928649978399315</v>
      </c>
      <c r="F223">
        <v>1.6715029752197541</v>
      </c>
      <c r="G223">
        <v>3.8133195769856298</v>
      </c>
      <c r="H223">
        <v>85756.522716479129</v>
      </c>
      <c r="I223">
        <v>85</v>
      </c>
      <c r="J223">
        <v>753.42211131358579</v>
      </c>
    </row>
    <row r="224" spans="1:10">
      <c r="A224" s="1">
        <v>48665</v>
      </c>
      <c r="B224" t="s">
        <v>10</v>
      </c>
      <c r="C224">
        <v>99</v>
      </c>
      <c r="D224">
        <v>37972.525316124862</v>
      </c>
      <c r="E224">
        <v>4.0936930257823754</v>
      </c>
      <c r="F224">
        <v>2.3967452398509526</v>
      </c>
      <c r="G224">
        <v>5.5187420007395236</v>
      </c>
      <c r="H224">
        <v>97786.692628853416</v>
      </c>
      <c r="I224">
        <v>86</v>
      </c>
      <c r="J224">
        <v>73.943485896001974</v>
      </c>
    </row>
    <row r="225" spans="1:10">
      <c r="A225" s="1">
        <v>48695</v>
      </c>
      <c r="B225" t="s">
        <v>14</v>
      </c>
      <c r="C225">
        <v>124</v>
      </c>
      <c r="D225">
        <v>25765.193258408362</v>
      </c>
      <c r="E225">
        <v>4.7947818210093072</v>
      </c>
      <c r="F225">
        <v>0.85681118884583274</v>
      </c>
      <c r="H225">
        <v>82067.155453695828</v>
      </c>
      <c r="I225">
        <v>93</v>
      </c>
      <c r="J225">
        <v>98.396435788662274</v>
      </c>
    </row>
    <row r="226" spans="1:10">
      <c r="A226" s="1">
        <v>48725</v>
      </c>
      <c r="B226" t="s">
        <v>11</v>
      </c>
      <c r="C226">
        <v>91</v>
      </c>
      <c r="D226">
        <v>25043.038252718463</v>
      </c>
      <c r="E226">
        <v>3.7898165866067877</v>
      </c>
      <c r="F226">
        <v>2.3241455955679289</v>
      </c>
      <c r="G226">
        <v>4.4106925838236961</v>
      </c>
      <c r="H226">
        <v>116839.67390904254</v>
      </c>
      <c r="I226">
        <v>87</v>
      </c>
      <c r="J226">
        <v>98.848058716224031</v>
      </c>
    </row>
    <row r="227" spans="1:10">
      <c r="A227" s="1">
        <v>48755</v>
      </c>
      <c r="B227" t="s">
        <v>14</v>
      </c>
      <c r="C227">
        <v>103</v>
      </c>
      <c r="D227">
        <v>19233.049431981424</v>
      </c>
      <c r="E227">
        <v>36.628981582910832</v>
      </c>
      <c r="F227">
        <v>4.1614701657280184</v>
      </c>
      <c r="G227">
        <v>7.3231407083701221</v>
      </c>
      <c r="H227">
        <v>92615.855991051081</v>
      </c>
      <c r="I227">
        <v>81</v>
      </c>
      <c r="J227">
        <v>74.934288937930361</v>
      </c>
    </row>
    <row r="228" spans="1:10">
      <c r="A228" s="1">
        <v>48785</v>
      </c>
      <c r="B228" t="s">
        <v>14</v>
      </c>
      <c r="C228">
        <v>86</v>
      </c>
      <c r="D228">
        <v>26805.191261552489</v>
      </c>
      <c r="F228">
        <v>2.5208864882959618</v>
      </c>
      <c r="G228">
        <v>6.1129505062331138</v>
      </c>
      <c r="H228">
        <v>41860.235613567173</v>
      </c>
      <c r="I228">
        <v>84</v>
      </c>
      <c r="J228">
        <v>39.489183358575545</v>
      </c>
    </row>
    <row r="229" spans="1:10">
      <c r="A229" s="1">
        <v>48815</v>
      </c>
      <c r="B229" t="s">
        <v>14</v>
      </c>
      <c r="C229">
        <v>101</v>
      </c>
      <c r="D229">
        <v>23384.55103296251</v>
      </c>
      <c r="E229">
        <v>3.3234168535946558</v>
      </c>
      <c r="F229">
        <v>2.7307009057186833</v>
      </c>
      <c r="G229">
        <v>6.7366967027488691</v>
      </c>
      <c r="H229">
        <v>92503.558867563872</v>
      </c>
      <c r="I229">
        <v>93</v>
      </c>
      <c r="J229">
        <v>83.884467050447924</v>
      </c>
    </row>
    <row r="230" spans="1:10">
      <c r="A230" s="1">
        <v>48845</v>
      </c>
      <c r="B230" t="s">
        <v>10</v>
      </c>
      <c r="C230">
        <v>101</v>
      </c>
      <c r="D230">
        <v>38210.075800681843</v>
      </c>
      <c r="F230">
        <v>1.2398352348274198</v>
      </c>
      <c r="G230">
        <v>4.7105985353774358</v>
      </c>
      <c r="H230">
        <v>79229.123583120556</v>
      </c>
      <c r="I230">
        <v>86</v>
      </c>
      <c r="J230">
        <v>28.562330736883048</v>
      </c>
    </row>
    <row r="231" spans="1:10">
      <c r="A231" s="1">
        <v>48875</v>
      </c>
      <c r="B231" t="s">
        <v>10</v>
      </c>
      <c r="C231">
        <v>101</v>
      </c>
      <c r="D231">
        <v>35049.085446713172</v>
      </c>
      <c r="E231">
        <v>3.3522992949304853</v>
      </c>
      <c r="F231">
        <v>1.8836385919605225</v>
      </c>
      <c r="G231">
        <v>6.5254302724799391</v>
      </c>
      <c r="H231">
        <v>67374.483690781082</v>
      </c>
      <c r="I231">
        <v>81</v>
      </c>
      <c r="J231">
        <v>82.455944333730287</v>
      </c>
    </row>
    <row r="232" spans="1:10">
      <c r="A232" s="1">
        <v>48905</v>
      </c>
      <c r="B232" t="s">
        <v>10</v>
      </c>
      <c r="C232">
        <v>113</v>
      </c>
      <c r="D232">
        <v>26559.248274111382</v>
      </c>
      <c r="F232">
        <v>2.1248036196760629</v>
      </c>
      <c r="G232">
        <v>4.1896793195256254</v>
      </c>
      <c r="H232">
        <v>75251.467235548553</v>
      </c>
      <c r="I232">
        <v>99</v>
      </c>
      <c r="J232">
        <v>92.815689931575719</v>
      </c>
    </row>
    <row r="233" spans="1:10">
      <c r="A233" s="1">
        <v>48935</v>
      </c>
      <c r="B233" t="s">
        <v>14</v>
      </c>
      <c r="C233">
        <v>87</v>
      </c>
      <c r="D233">
        <v>41262.17902672154</v>
      </c>
      <c r="E233">
        <v>4.1587987678039795</v>
      </c>
      <c r="F233">
        <v>2.1822849032437661</v>
      </c>
      <c r="G233">
        <v>6.5682970010038106</v>
      </c>
      <c r="H233">
        <v>102188.1694366594</v>
      </c>
      <c r="I233">
        <v>86</v>
      </c>
      <c r="J233">
        <v>50.626671581474824</v>
      </c>
    </row>
    <row r="234" spans="1:10">
      <c r="A234" s="1">
        <v>48965</v>
      </c>
      <c r="B234" t="s">
        <v>11</v>
      </c>
      <c r="C234">
        <v>108</v>
      </c>
      <c r="D234">
        <v>34908.827434957973</v>
      </c>
      <c r="E234">
        <v>2.9967287173601793</v>
      </c>
      <c r="F234">
        <v>3.7816437950037685</v>
      </c>
      <c r="G234">
        <v>5.7062072077522377</v>
      </c>
      <c r="I234">
        <v>85</v>
      </c>
      <c r="J234">
        <v>70.450823598646437</v>
      </c>
    </row>
    <row r="235" spans="1:10">
      <c r="A235" s="1">
        <v>48995</v>
      </c>
      <c r="B235" t="s">
        <v>10</v>
      </c>
      <c r="C235">
        <v>1060</v>
      </c>
      <c r="D235">
        <v>283758.43082456884</v>
      </c>
      <c r="E235">
        <v>4.0699392805645225</v>
      </c>
      <c r="F235">
        <v>3.0576910607251246</v>
      </c>
      <c r="G235">
        <v>6.1639014639817402</v>
      </c>
      <c r="H235">
        <v>106263.6894772996</v>
      </c>
      <c r="I235">
        <v>93</v>
      </c>
      <c r="J235">
        <v>54.411418567746104</v>
      </c>
    </row>
    <row r="236" spans="1:10">
      <c r="A236" s="1">
        <v>49025</v>
      </c>
      <c r="B236" t="s">
        <v>12</v>
      </c>
      <c r="C236">
        <v>87</v>
      </c>
      <c r="D236">
        <v>17502.971425632135</v>
      </c>
      <c r="E236">
        <v>4.1585575336699323</v>
      </c>
      <c r="F236">
        <v>1.388542043062968</v>
      </c>
      <c r="G236">
        <v>4.0892864732501781</v>
      </c>
      <c r="H236">
        <v>87869.932235685206</v>
      </c>
      <c r="I236">
        <v>87</v>
      </c>
      <c r="J236">
        <v>55.021204399050276</v>
      </c>
    </row>
    <row r="237" spans="1:10">
      <c r="A237" s="1">
        <v>49055</v>
      </c>
      <c r="B237" t="s">
        <v>12</v>
      </c>
      <c r="C237">
        <v>96</v>
      </c>
      <c r="D237">
        <v>41454.712862953711</v>
      </c>
      <c r="E237">
        <v>3.4409657365044608</v>
      </c>
      <c r="F237">
        <v>2.7465047784320049</v>
      </c>
      <c r="G237">
        <v>4.4259161892680741</v>
      </c>
      <c r="H237">
        <v>109118.08390341405</v>
      </c>
      <c r="I237">
        <v>78</v>
      </c>
      <c r="J237">
        <v>448.29671128649608</v>
      </c>
    </row>
    <row r="238" spans="1:10">
      <c r="A238" s="1">
        <v>49085</v>
      </c>
      <c r="B238" t="s">
        <v>12</v>
      </c>
      <c r="C238">
        <v>97</v>
      </c>
      <c r="D238">
        <v>23052.137666182018</v>
      </c>
      <c r="E238">
        <v>2.4390725504957027</v>
      </c>
      <c r="F238">
        <v>2.998221748496785</v>
      </c>
      <c r="G238">
        <v>6.216673861904062</v>
      </c>
      <c r="I238">
        <v>75</v>
      </c>
      <c r="J238">
        <v>80.970369636025964</v>
      </c>
    </row>
    <row r="239" spans="1:10">
      <c r="A239" s="1">
        <v>49115</v>
      </c>
      <c r="B239" t="s">
        <v>13</v>
      </c>
      <c r="C239">
        <v>116</v>
      </c>
      <c r="E239">
        <v>3.1960890064527838</v>
      </c>
      <c r="F239">
        <v>3.6401490385212663</v>
      </c>
      <c r="G239">
        <v>4.3619823949309593</v>
      </c>
      <c r="H239">
        <v>86107.992616737116</v>
      </c>
      <c r="I239">
        <v>77</v>
      </c>
      <c r="J239">
        <v>94.894125133320415</v>
      </c>
    </row>
    <row r="240" spans="1:10">
      <c r="A240" s="1">
        <v>49145</v>
      </c>
      <c r="B240" t="s">
        <v>14</v>
      </c>
      <c r="C240">
        <v>100</v>
      </c>
      <c r="D240">
        <v>35112.852160048198</v>
      </c>
      <c r="E240">
        <v>4.1484972732805545</v>
      </c>
      <c r="G240">
        <v>6.0558475505189477</v>
      </c>
      <c r="H240">
        <v>76912.746635340314</v>
      </c>
      <c r="J240">
        <v>95.260068738756885</v>
      </c>
    </row>
    <row r="241" spans="1:10">
      <c r="A241" s="1">
        <v>49175</v>
      </c>
      <c r="B241" t="s">
        <v>12</v>
      </c>
      <c r="C241">
        <v>97</v>
      </c>
      <c r="D241">
        <v>42198.762031696366</v>
      </c>
      <c r="E241">
        <v>3.4885659688505588</v>
      </c>
      <c r="F241">
        <v>1.4849058081721314</v>
      </c>
      <c r="G241">
        <v>38.594346322477051</v>
      </c>
      <c r="H241">
        <v>64963.423864965618</v>
      </c>
      <c r="I241">
        <v>117</v>
      </c>
      <c r="J241">
        <v>33.982502789994705</v>
      </c>
    </row>
    <row r="242" spans="1:10">
      <c r="A242" s="1">
        <v>49205</v>
      </c>
      <c r="B242" t="s">
        <v>14</v>
      </c>
      <c r="C242">
        <v>100</v>
      </c>
      <c r="D242">
        <v>36921.364092552591</v>
      </c>
      <c r="E242">
        <v>3.0003488838525447</v>
      </c>
      <c r="F242">
        <v>1.6891424887896618</v>
      </c>
      <c r="G242">
        <v>6.5178090552000016</v>
      </c>
      <c r="I242">
        <v>97</v>
      </c>
      <c r="J242">
        <v>89.979491972525281</v>
      </c>
    </row>
    <row r="243" spans="1:10">
      <c r="A243" s="1">
        <v>49235</v>
      </c>
      <c r="B243" t="s">
        <v>12</v>
      </c>
      <c r="C243">
        <v>99</v>
      </c>
      <c r="D243">
        <v>32819.545600261801</v>
      </c>
      <c r="E243">
        <v>3.2476125393858912</v>
      </c>
      <c r="F243">
        <v>1.2424221410853837</v>
      </c>
      <c r="G243">
        <v>4.0209720222777889</v>
      </c>
      <c r="H243">
        <v>103161.06979840263</v>
      </c>
      <c r="I243">
        <v>103</v>
      </c>
      <c r="J243">
        <v>78.994515314169774</v>
      </c>
    </row>
    <row r="244" spans="1:10">
      <c r="A244" s="1">
        <v>49265</v>
      </c>
      <c r="B244" t="s">
        <v>11</v>
      </c>
      <c r="C244">
        <v>100</v>
      </c>
      <c r="D244">
        <v>32973.771708326429</v>
      </c>
      <c r="E244">
        <v>3.9203100132522763</v>
      </c>
      <c r="F244">
        <v>2.2659801408930185</v>
      </c>
      <c r="G244">
        <v>6.1627599252154281</v>
      </c>
      <c r="H244">
        <v>98067.526599702207</v>
      </c>
      <c r="J244">
        <v>40.226992055223143</v>
      </c>
    </row>
    <row r="245" spans="1:10">
      <c r="A245" s="1">
        <v>49295</v>
      </c>
      <c r="B245" t="s">
        <v>14</v>
      </c>
      <c r="C245">
        <v>1040</v>
      </c>
      <c r="D245">
        <v>34267.077793901539</v>
      </c>
      <c r="F245">
        <v>2.9663583744463344</v>
      </c>
      <c r="G245">
        <v>6.2507571203752015</v>
      </c>
      <c r="H245">
        <v>91680.661441052827</v>
      </c>
      <c r="I245">
        <v>85</v>
      </c>
      <c r="J245">
        <v>25.382769033721164</v>
      </c>
    </row>
    <row r="246" spans="1:10">
      <c r="A246" s="1">
        <v>49325</v>
      </c>
      <c r="B246" t="s">
        <v>12</v>
      </c>
      <c r="C246">
        <v>82</v>
      </c>
      <c r="D246">
        <v>33794.642948933826</v>
      </c>
      <c r="E246">
        <v>3.380533950415153</v>
      </c>
      <c r="F246">
        <v>34.873345165891017</v>
      </c>
      <c r="G246">
        <v>4.6638738178845101</v>
      </c>
      <c r="H246">
        <v>81085.078786064376</v>
      </c>
      <c r="I246">
        <v>98</v>
      </c>
      <c r="J246">
        <v>41.439781350750238</v>
      </c>
    </row>
    <row r="247" spans="1:10">
      <c r="A247" s="1">
        <v>49355</v>
      </c>
      <c r="B247" t="s">
        <v>10</v>
      </c>
      <c r="C247">
        <v>87</v>
      </c>
      <c r="D247">
        <v>31405.95711984688</v>
      </c>
      <c r="E247">
        <v>3.3165877940926562</v>
      </c>
      <c r="F247">
        <v>2.4240489763574771</v>
      </c>
      <c r="G247">
        <v>6.1984318805016727</v>
      </c>
      <c r="H247">
        <v>112164.92383369937</v>
      </c>
      <c r="I247">
        <v>93</v>
      </c>
      <c r="J247">
        <v>92.97665894252205</v>
      </c>
    </row>
    <row r="248" spans="1:10">
      <c r="A248" s="1">
        <v>49385</v>
      </c>
      <c r="B248" t="s">
        <v>14</v>
      </c>
      <c r="C248">
        <v>87</v>
      </c>
      <c r="D248">
        <v>30521.005519759379</v>
      </c>
      <c r="E248">
        <v>3.304120925478089</v>
      </c>
      <c r="F248">
        <v>2.1801524767451559</v>
      </c>
      <c r="G248">
        <v>5.8125307160002668</v>
      </c>
      <c r="H248">
        <v>73657.361601068304</v>
      </c>
      <c r="I248">
        <v>69</v>
      </c>
      <c r="J248">
        <v>70.654293991661774</v>
      </c>
    </row>
    <row r="249" spans="1:10">
      <c r="A249" s="1">
        <v>49415</v>
      </c>
      <c r="B249" t="s">
        <v>13</v>
      </c>
      <c r="C249">
        <v>90</v>
      </c>
      <c r="D249">
        <v>29687.034360502388</v>
      </c>
      <c r="E249">
        <v>3.0387949077507486</v>
      </c>
      <c r="F249">
        <v>2.6517579922487404</v>
      </c>
      <c r="G249">
        <v>4.8533897725687138</v>
      </c>
      <c r="H249">
        <v>115520.5582768695</v>
      </c>
      <c r="I249">
        <v>89</v>
      </c>
      <c r="J249">
        <v>77.684372871829751</v>
      </c>
    </row>
    <row r="250" spans="1:10">
      <c r="A250" s="1">
        <v>49445</v>
      </c>
      <c r="B250" t="s">
        <v>10</v>
      </c>
      <c r="C250">
        <v>115</v>
      </c>
      <c r="D250">
        <v>26230.17705566662</v>
      </c>
      <c r="E250">
        <v>43.076878447347212</v>
      </c>
      <c r="F250">
        <v>1.6648570983699771</v>
      </c>
      <c r="H250">
        <v>79955.6596214655</v>
      </c>
      <c r="I250">
        <v>88</v>
      </c>
      <c r="J250">
        <v>40.572188088727671</v>
      </c>
    </row>
    <row r="251" spans="1:10">
      <c r="A251" s="1">
        <v>49475</v>
      </c>
      <c r="B251" t="s">
        <v>10</v>
      </c>
      <c r="C251">
        <v>105</v>
      </c>
      <c r="D251">
        <v>28596.624615666129</v>
      </c>
      <c r="E251">
        <v>3.3388397653943303</v>
      </c>
      <c r="F251">
        <v>4.5895387216947734</v>
      </c>
      <c r="H251">
        <v>84951.295252939308</v>
      </c>
      <c r="I251">
        <v>115</v>
      </c>
      <c r="J251">
        <v>77.551052445985619</v>
      </c>
    </row>
    <row r="252" spans="1:10">
      <c r="A252" s="1">
        <v>49505</v>
      </c>
      <c r="B252" t="s">
        <v>13</v>
      </c>
      <c r="C252">
        <v>90</v>
      </c>
      <c r="D252">
        <v>21535.21592902307</v>
      </c>
      <c r="E252">
        <v>4.108579260412748</v>
      </c>
      <c r="F252">
        <v>0.89233897288194131</v>
      </c>
      <c r="G252">
        <v>5.9195800567596324</v>
      </c>
      <c r="H252">
        <v>70664.296187686457</v>
      </c>
      <c r="I252">
        <v>90</v>
      </c>
      <c r="J252">
        <v>222.49720502233899</v>
      </c>
    </row>
    <row r="253" spans="1:10">
      <c r="A253" s="1">
        <v>49535</v>
      </c>
      <c r="B253" t="s">
        <v>10</v>
      </c>
      <c r="C253">
        <v>89</v>
      </c>
      <c r="D253">
        <v>29508.30186602625</v>
      </c>
      <c r="E253">
        <v>4.2606580259612254</v>
      </c>
      <c r="F253">
        <v>2.6847405788957244</v>
      </c>
      <c r="G253">
        <v>3.6222366743655341</v>
      </c>
      <c r="H253">
        <v>89971.957062287271</v>
      </c>
      <c r="I253">
        <v>105</v>
      </c>
      <c r="J253">
        <v>50.025707661841103</v>
      </c>
    </row>
    <row r="254" spans="1:10">
      <c r="A254" s="1">
        <v>49565</v>
      </c>
      <c r="B254" t="s">
        <v>10</v>
      </c>
      <c r="C254">
        <v>89</v>
      </c>
      <c r="D254">
        <v>25057.044464245413</v>
      </c>
      <c r="E254">
        <v>3.9991554490739802</v>
      </c>
      <c r="F254">
        <v>4.5236062192296398</v>
      </c>
      <c r="G254">
        <v>5.6144130393295697</v>
      </c>
      <c r="H254">
        <v>119506.24916955958</v>
      </c>
      <c r="I254">
        <v>98</v>
      </c>
      <c r="J254">
        <v>70.1402678833865</v>
      </c>
    </row>
    <row r="255" spans="1:10">
      <c r="A255" s="1">
        <v>49595</v>
      </c>
      <c r="B255" t="s">
        <v>12</v>
      </c>
      <c r="C255">
        <v>86</v>
      </c>
      <c r="E255">
        <v>3.2841898436409758</v>
      </c>
      <c r="F255">
        <v>2.5067998445599979</v>
      </c>
      <c r="G255">
        <v>5.1838621407013008</v>
      </c>
      <c r="H255">
        <v>110312.56176887912</v>
      </c>
      <c r="I255">
        <v>85</v>
      </c>
      <c r="J255">
        <v>31.687725243305618</v>
      </c>
    </row>
    <row r="256" spans="1:10">
      <c r="A256" s="1">
        <v>49625</v>
      </c>
      <c r="B256" t="s">
        <v>12</v>
      </c>
      <c r="C256">
        <v>91</v>
      </c>
      <c r="D256">
        <v>30899.470755767394</v>
      </c>
      <c r="E256">
        <v>3.7018650451683048</v>
      </c>
      <c r="F256">
        <v>2.3099609649985053</v>
      </c>
      <c r="G256">
        <v>6.3149713305258341</v>
      </c>
      <c r="H256">
        <v>119568.4422405607</v>
      </c>
      <c r="I256">
        <v>101</v>
      </c>
      <c r="J256">
        <v>85.84028595575478</v>
      </c>
    </row>
    <row r="257" spans="1:10">
      <c r="A257" s="1">
        <v>49655</v>
      </c>
      <c r="B257" t="s">
        <v>14</v>
      </c>
      <c r="C257">
        <v>100</v>
      </c>
      <c r="D257">
        <v>36960.011431722996</v>
      </c>
      <c r="E257">
        <v>3.4879021968045421</v>
      </c>
      <c r="F257">
        <v>2.1425545771895727</v>
      </c>
      <c r="G257">
        <v>5.1375454006121632</v>
      </c>
      <c r="H257">
        <v>110442.85091867871</v>
      </c>
      <c r="I257">
        <v>93</v>
      </c>
      <c r="J257">
        <v>38.80250390495349</v>
      </c>
    </row>
    <row r="258" spans="1:10">
      <c r="A258" s="1">
        <v>49685</v>
      </c>
      <c r="B258" t="s">
        <v>14</v>
      </c>
      <c r="C258">
        <v>104</v>
      </c>
      <c r="D258">
        <v>34591.583030011563</v>
      </c>
      <c r="E258">
        <v>3.048149069634936</v>
      </c>
      <c r="F258">
        <v>2.3196083182375924</v>
      </c>
      <c r="G258">
        <v>5.10466265638349</v>
      </c>
      <c r="H258">
        <v>77926.60342939262</v>
      </c>
      <c r="I258">
        <v>99</v>
      </c>
      <c r="J258">
        <v>72.182489025475704</v>
      </c>
    </row>
    <row r="259" spans="1:10">
      <c r="A259" s="1">
        <v>49715</v>
      </c>
      <c r="B259" t="s">
        <v>14</v>
      </c>
      <c r="C259">
        <v>80</v>
      </c>
      <c r="D259">
        <v>22147.496981884113</v>
      </c>
      <c r="E259">
        <v>3.6621796408608014</v>
      </c>
      <c r="F259">
        <v>3.8728484746765304</v>
      </c>
      <c r="G259">
        <v>6.3782448451459546</v>
      </c>
      <c r="H259">
        <v>93384.215513448857</v>
      </c>
      <c r="I259">
        <v>87</v>
      </c>
      <c r="J259">
        <v>52.415771406026373</v>
      </c>
    </row>
    <row r="260" spans="1:10">
      <c r="A260" s="1">
        <v>49745</v>
      </c>
      <c r="B260" t="s">
        <v>12</v>
      </c>
      <c r="C260">
        <v>110</v>
      </c>
      <c r="D260">
        <v>25051.859317148312</v>
      </c>
      <c r="F260">
        <v>0.28813808867049318</v>
      </c>
      <c r="G260">
        <v>5.9020696349009407</v>
      </c>
      <c r="H260">
        <v>84396.017417650743</v>
      </c>
      <c r="I260">
        <v>87</v>
      </c>
      <c r="J260">
        <v>67.683487638211773</v>
      </c>
    </row>
    <row r="261" spans="1:10">
      <c r="A261" s="1">
        <v>49775</v>
      </c>
      <c r="B261" t="s">
        <v>14</v>
      </c>
      <c r="C261">
        <v>90</v>
      </c>
      <c r="D261">
        <v>34703.855939941081</v>
      </c>
      <c r="E261">
        <v>4.0938396942307822</v>
      </c>
      <c r="F261">
        <v>4.0334337012963255</v>
      </c>
      <c r="G261">
        <v>5.8793871486193341</v>
      </c>
      <c r="H261">
        <v>126611.4980807808</v>
      </c>
      <c r="I261">
        <v>89</v>
      </c>
    </row>
    <row r="262" spans="1:10">
      <c r="A262" s="1">
        <v>49805</v>
      </c>
      <c r="B262" t="s">
        <v>10</v>
      </c>
      <c r="C262">
        <v>96</v>
      </c>
      <c r="D262">
        <v>25087.563032308452</v>
      </c>
      <c r="E262">
        <v>3.2676913513508037</v>
      </c>
      <c r="F262">
        <v>1.0760428475498549</v>
      </c>
      <c r="G262">
        <v>6.0631211077702316</v>
      </c>
      <c r="H262">
        <v>76064.227071473768</v>
      </c>
      <c r="I262">
        <v>86</v>
      </c>
      <c r="J262">
        <v>21.353023993728584</v>
      </c>
    </row>
    <row r="263" spans="1:10">
      <c r="A263" s="1">
        <v>49835</v>
      </c>
      <c r="B263" t="s">
        <v>12</v>
      </c>
      <c r="C263">
        <v>103</v>
      </c>
      <c r="D263">
        <v>28876.834250014876</v>
      </c>
      <c r="E263">
        <v>3.6005798279364196</v>
      </c>
      <c r="F263">
        <v>2.233347670765585</v>
      </c>
      <c r="G263">
        <v>3.657313452151473</v>
      </c>
      <c r="H263">
        <v>117873.95378778221</v>
      </c>
      <c r="I263">
        <v>80</v>
      </c>
      <c r="J263">
        <v>92.765154190424099</v>
      </c>
    </row>
    <row r="264" spans="1:10">
      <c r="A264" s="1">
        <v>49865</v>
      </c>
      <c r="B264" t="s">
        <v>14</v>
      </c>
      <c r="C264">
        <v>99</v>
      </c>
      <c r="D264">
        <v>32750.260495122759</v>
      </c>
      <c r="E264">
        <v>3.6416439357730712</v>
      </c>
      <c r="F264">
        <v>2.0707555797013382</v>
      </c>
      <c r="G264">
        <v>6.408146415984378</v>
      </c>
      <c r="H264">
        <v>117859.07740217539</v>
      </c>
      <c r="I264">
        <v>91</v>
      </c>
      <c r="J264">
        <v>41.570400701374624</v>
      </c>
    </row>
    <row r="265" spans="1:10">
      <c r="A265" s="1">
        <v>49895</v>
      </c>
      <c r="B265" t="s">
        <v>10</v>
      </c>
      <c r="D265">
        <v>25158.277725681823</v>
      </c>
      <c r="E265">
        <v>3.3705475131479612</v>
      </c>
      <c r="F265">
        <v>3.0885532697707196</v>
      </c>
      <c r="G265">
        <v>6.2349625528163228</v>
      </c>
      <c r="H265">
        <v>136592.40403432175</v>
      </c>
      <c r="I265">
        <v>84</v>
      </c>
      <c r="J265">
        <v>85.574160222436731</v>
      </c>
    </row>
    <row r="266" spans="1:10">
      <c r="A266" s="1">
        <v>49925</v>
      </c>
      <c r="B266" t="s">
        <v>14</v>
      </c>
      <c r="C266">
        <v>106</v>
      </c>
      <c r="D266">
        <v>30526.877530729798</v>
      </c>
      <c r="E266">
        <v>3.7933469007376375</v>
      </c>
      <c r="F266">
        <v>0.90187564811625243</v>
      </c>
      <c r="G266">
        <v>4.2799802457082032</v>
      </c>
      <c r="H266">
        <v>91806.268147410054</v>
      </c>
      <c r="I266">
        <v>89</v>
      </c>
      <c r="J266">
        <v>99.948024037776008</v>
      </c>
    </row>
    <row r="267" spans="1:10">
      <c r="A267" s="1">
        <v>49955</v>
      </c>
      <c r="B267" t="s">
        <v>11</v>
      </c>
      <c r="C267">
        <v>100</v>
      </c>
      <c r="E267">
        <v>3.2625481716887377</v>
      </c>
      <c r="F267">
        <v>2.9621726660819427</v>
      </c>
      <c r="G267">
        <v>5.2071034315909586</v>
      </c>
      <c r="H267">
        <v>114246.44319160325</v>
      </c>
      <c r="I267">
        <v>113</v>
      </c>
      <c r="J267">
        <v>36.914500639912895</v>
      </c>
    </row>
    <row r="268" spans="1:10">
      <c r="A268" s="1">
        <v>49985</v>
      </c>
      <c r="B268" t="s">
        <v>14</v>
      </c>
      <c r="C268">
        <v>85</v>
      </c>
      <c r="D268">
        <v>26993.161780243932</v>
      </c>
      <c r="E268">
        <v>39.356486487286219</v>
      </c>
      <c r="F268">
        <v>4.524309623286852</v>
      </c>
      <c r="G268">
        <v>5.4528312548468429</v>
      </c>
      <c r="H268">
        <v>145633.03673077686</v>
      </c>
      <c r="I268">
        <v>89</v>
      </c>
      <c r="J268">
        <v>41.213659294668446</v>
      </c>
    </row>
    <row r="269" spans="1:10">
      <c r="A269" s="1">
        <v>50015</v>
      </c>
      <c r="B269" t="s">
        <v>11</v>
      </c>
      <c r="C269">
        <v>101</v>
      </c>
      <c r="D269">
        <v>31598.909670712685</v>
      </c>
      <c r="E269">
        <v>2.8270101598766257</v>
      </c>
      <c r="F269">
        <v>1.1368259954071895</v>
      </c>
      <c r="G269">
        <v>5.3386038587179208</v>
      </c>
      <c r="H269">
        <v>87647.166461326065</v>
      </c>
      <c r="I269">
        <v>91</v>
      </c>
      <c r="J269">
        <v>73.028783010773253</v>
      </c>
    </row>
    <row r="270" spans="1:10">
      <c r="A270" s="1">
        <v>50045</v>
      </c>
      <c r="B270" t="s">
        <v>14</v>
      </c>
      <c r="C270">
        <v>93</v>
      </c>
      <c r="D270">
        <v>22035.031332341656</v>
      </c>
      <c r="E270">
        <v>3.5631897897732059</v>
      </c>
      <c r="F270">
        <v>2.6897061676103955</v>
      </c>
      <c r="G270">
        <v>5.9006319598822419</v>
      </c>
      <c r="H270">
        <v>69299.195049352798</v>
      </c>
      <c r="I270">
        <v>83</v>
      </c>
      <c r="J270">
        <v>97.2358907680497</v>
      </c>
    </row>
    <row r="271" spans="1:10">
      <c r="A271" s="1">
        <v>50075</v>
      </c>
      <c r="B271" t="s">
        <v>13</v>
      </c>
      <c r="C271">
        <v>91</v>
      </c>
      <c r="D271">
        <v>32202.373689801996</v>
      </c>
      <c r="E271">
        <v>4.4694644995291419</v>
      </c>
      <c r="F271">
        <v>1.8380178222033909</v>
      </c>
      <c r="G271">
        <v>7.21764013819742</v>
      </c>
      <c r="H271">
        <v>62399.79932184473</v>
      </c>
      <c r="I271">
        <v>77</v>
      </c>
      <c r="J271">
        <v>93.265147855259514</v>
      </c>
    </row>
    <row r="272" spans="1:10">
      <c r="A272" s="1">
        <v>50105</v>
      </c>
      <c r="B272" t="s">
        <v>14</v>
      </c>
      <c r="C272">
        <v>103</v>
      </c>
      <c r="D272">
        <v>29901.811005366595</v>
      </c>
      <c r="E272">
        <v>2.9998343376972127</v>
      </c>
      <c r="F272">
        <v>2.9258872061930359</v>
      </c>
      <c r="G272">
        <v>6.7981200732073948</v>
      </c>
      <c r="H272">
        <v>114254.24057722662</v>
      </c>
      <c r="I272">
        <v>95</v>
      </c>
      <c r="J272">
        <v>60.23004160524679</v>
      </c>
    </row>
    <row r="273" spans="1:10">
      <c r="A273" s="1">
        <v>50135</v>
      </c>
      <c r="B273" t="s">
        <v>12</v>
      </c>
      <c r="C273">
        <v>109</v>
      </c>
      <c r="D273">
        <v>327624.49772085738</v>
      </c>
      <c r="E273">
        <v>3.1611275147375744</v>
      </c>
      <c r="F273">
        <v>2.519147777415752</v>
      </c>
      <c r="G273">
        <v>3.9253369678823127</v>
      </c>
      <c r="H273">
        <v>62336.995838828327</v>
      </c>
      <c r="I273">
        <v>91</v>
      </c>
      <c r="J273">
        <v>83.608822602137977</v>
      </c>
    </row>
    <row r="274" spans="1:10">
      <c r="A274" s="1">
        <v>50165</v>
      </c>
      <c r="B274" t="s">
        <v>12</v>
      </c>
      <c r="C274">
        <v>83</v>
      </c>
      <c r="D274">
        <v>31119.570670323308</v>
      </c>
      <c r="E274">
        <v>3.7569539248294577</v>
      </c>
      <c r="F274">
        <v>1.8585130909556904</v>
      </c>
      <c r="G274">
        <v>6.2464839883672587</v>
      </c>
      <c r="H274">
        <v>92553.618941241541</v>
      </c>
      <c r="I274">
        <v>97</v>
      </c>
    </row>
    <row r="275" spans="1:10">
      <c r="A275" s="1">
        <v>50195</v>
      </c>
      <c r="B275" t="s">
        <v>11</v>
      </c>
      <c r="C275">
        <v>102</v>
      </c>
      <c r="D275">
        <v>36820.702149869219</v>
      </c>
      <c r="E275">
        <v>3.5897908909697991</v>
      </c>
      <c r="F275">
        <v>2.9878722848710741</v>
      </c>
      <c r="G275">
        <v>70.947199834424907</v>
      </c>
      <c r="H275">
        <v>108746.26374077922</v>
      </c>
      <c r="I275">
        <v>97</v>
      </c>
      <c r="J275">
        <v>98.195054736320984</v>
      </c>
    </row>
    <row r="276" spans="1:10">
      <c r="A276" s="1">
        <v>50225</v>
      </c>
      <c r="B276" t="s">
        <v>12</v>
      </c>
      <c r="C276">
        <v>98</v>
      </c>
      <c r="D276">
        <v>30626.122513239538</v>
      </c>
      <c r="E276">
        <v>3.6753150496367795</v>
      </c>
      <c r="F276">
        <v>4.3043481097867433</v>
      </c>
      <c r="G276">
        <v>5.9641702248270434</v>
      </c>
      <c r="H276">
        <v>103703.51073659828</v>
      </c>
      <c r="I276">
        <v>85</v>
      </c>
      <c r="J276">
        <v>97.148258722878921</v>
      </c>
    </row>
    <row r="277" spans="1:10">
      <c r="A277" s="1">
        <v>50255</v>
      </c>
      <c r="B277" t="s">
        <v>10</v>
      </c>
      <c r="C277">
        <v>93</v>
      </c>
      <c r="D277">
        <v>27852.972294373736</v>
      </c>
      <c r="E277">
        <v>3.7445935650738318</v>
      </c>
      <c r="F277">
        <v>2.3090962082727011</v>
      </c>
      <c r="H277">
        <v>108508.89728368344</v>
      </c>
      <c r="I277">
        <v>77</v>
      </c>
      <c r="J277">
        <v>33.098316630333677</v>
      </c>
    </row>
    <row r="278" spans="1:10">
      <c r="A278" s="1">
        <v>50285</v>
      </c>
      <c r="B278" t="s">
        <v>13</v>
      </c>
      <c r="C278">
        <v>104</v>
      </c>
      <c r="D278">
        <v>30611.487515161418</v>
      </c>
      <c r="E278">
        <v>38.17360734280885</v>
      </c>
      <c r="F278">
        <v>3.2197579421481821</v>
      </c>
      <c r="G278">
        <v>7.9147245348409179</v>
      </c>
      <c r="I278">
        <v>100</v>
      </c>
      <c r="J278">
        <v>43.953849984248528</v>
      </c>
    </row>
    <row r="279" spans="1:10">
      <c r="A279" s="1">
        <v>50315</v>
      </c>
      <c r="B279" t="s">
        <v>13</v>
      </c>
      <c r="C279">
        <v>96</v>
      </c>
      <c r="D279">
        <v>32716.490145181939</v>
      </c>
      <c r="E279">
        <v>4.0548499209781115</v>
      </c>
      <c r="G279">
        <v>6.7284514553283774</v>
      </c>
      <c r="H279">
        <v>125577.31626626787</v>
      </c>
      <c r="I279">
        <v>87</v>
      </c>
      <c r="J279">
        <v>28.012399800541353</v>
      </c>
    </row>
    <row r="280" spans="1:10">
      <c r="A280" s="1">
        <v>50345</v>
      </c>
      <c r="B280" t="s">
        <v>10</v>
      </c>
      <c r="C280">
        <v>103</v>
      </c>
      <c r="D280">
        <v>30244.300351628521</v>
      </c>
      <c r="E280">
        <v>3.7049093284642565</v>
      </c>
      <c r="F280">
        <v>1.5435636231819911</v>
      </c>
      <c r="G280">
        <v>5.7991703147700751</v>
      </c>
      <c r="H280">
        <v>80953.672385224054</v>
      </c>
      <c r="I280">
        <v>102</v>
      </c>
      <c r="J280">
        <v>41.737407911854376</v>
      </c>
    </row>
    <row r="281" spans="1:10">
      <c r="A281" s="1">
        <v>50375</v>
      </c>
      <c r="B281" t="s">
        <v>11</v>
      </c>
      <c r="C281">
        <v>85</v>
      </c>
      <c r="D281">
        <v>30202.958456019413</v>
      </c>
      <c r="E281">
        <v>3.3793711726907287</v>
      </c>
      <c r="F281">
        <v>2.9724062778803773</v>
      </c>
      <c r="H281">
        <v>86460.097230829371</v>
      </c>
      <c r="I281">
        <v>102</v>
      </c>
      <c r="J281">
        <v>85.276463153216525</v>
      </c>
    </row>
    <row r="282" spans="1:10">
      <c r="A282" s="1">
        <v>50405</v>
      </c>
      <c r="B282" t="s">
        <v>10</v>
      </c>
      <c r="C282">
        <v>92</v>
      </c>
      <c r="D282">
        <v>26490.041560966223</v>
      </c>
      <c r="F282">
        <v>3.9841160285359649</v>
      </c>
      <c r="G282">
        <v>5.6738653997162691</v>
      </c>
      <c r="H282">
        <v>84546.811094583521</v>
      </c>
      <c r="I282">
        <v>98</v>
      </c>
      <c r="J282">
        <v>50.265248573220759</v>
      </c>
    </row>
    <row r="283" spans="1:10">
      <c r="A283" s="1">
        <v>50435</v>
      </c>
      <c r="B283" t="s">
        <v>10</v>
      </c>
      <c r="C283">
        <v>90</v>
      </c>
      <c r="D283">
        <v>26685.495412245258</v>
      </c>
      <c r="E283">
        <v>4.449940967447608</v>
      </c>
      <c r="F283">
        <v>2.8556133487856599</v>
      </c>
      <c r="G283">
        <v>5.5286836519419467</v>
      </c>
      <c r="H283">
        <v>116603.8362372522</v>
      </c>
      <c r="I283">
        <v>80</v>
      </c>
      <c r="J283">
        <v>27.07175737174067</v>
      </c>
    </row>
    <row r="284" spans="1:10">
      <c r="A284" s="1">
        <v>50465</v>
      </c>
      <c r="B284" t="s">
        <v>13</v>
      </c>
      <c r="C284">
        <v>83</v>
      </c>
      <c r="D284">
        <v>22986.973641001532</v>
      </c>
      <c r="E284">
        <v>3.4336831268087131</v>
      </c>
      <c r="F284">
        <v>2.1869419694768455</v>
      </c>
      <c r="G284">
        <v>5.078302917143521</v>
      </c>
      <c r="H284">
        <v>118007.97176790127</v>
      </c>
      <c r="I284">
        <v>79</v>
      </c>
      <c r="J284">
        <v>47.378041982312368</v>
      </c>
    </row>
    <row r="285" spans="1:10">
      <c r="A285" s="1">
        <v>50495</v>
      </c>
      <c r="B285" t="s">
        <v>14</v>
      </c>
      <c r="C285">
        <v>86</v>
      </c>
      <c r="D285">
        <v>38747.883715934695</v>
      </c>
      <c r="E285">
        <v>3.0127353476646794</v>
      </c>
      <c r="F285">
        <v>2.4992914054233539</v>
      </c>
      <c r="G285">
        <v>7.3760960305985295</v>
      </c>
      <c r="H285">
        <v>109024.50638637017</v>
      </c>
      <c r="I285">
        <v>91</v>
      </c>
      <c r="J285">
        <v>98.510666739302408</v>
      </c>
    </row>
    <row r="286" spans="1:10">
      <c r="A286" s="1">
        <v>50525</v>
      </c>
      <c r="B286" t="s">
        <v>13</v>
      </c>
      <c r="C286">
        <v>110</v>
      </c>
      <c r="D286">
        <v>23780.683823043575</v>
      </c>
      <c r="E286">
        <v>4.0535403346434862</v>
      </c>
      <c r="F286">
        <v>1.2495922660302825</v>
      </c>
      <c r="G286">
        <v>4.5178856008695982</v>
      </c>
      <c r="H286">
        <v>123669.87333779855</v>
      </c>
      <c r="I286">
        <v>81</v>
      </c>
      <c r="J286">
        <v>70.374687620736239</v>
      </c>
    </row>
    <row r="287" spans="1:10">
      <c r="A287" s="1">
        <v>50555</v>
      </c>
      <c r="B287" t="s">
        <v>13</v>
      </c>
      <c r="C287">
        <v>89</v>
      </c>
      <c r="E287">
        <v>3.4398094180232008</v>
      </c>
      <c r="F287">
        <v>3.1045153263553669</v>
      </c>
      <c r="G287">
        <v>7.3388412696137388</v>
      </c>
      <c r="H287">
        <v>76439.182652472387</v>
      </c>
      <c r="I287">
        <v>66</v>
      </c>
      <c r="J287">
        <v>53.292875712492616</v>
      </c>
    </row>
    <row r="288" spans="1:10">
      <c r="A288" s="1">
        <v>50585</v>
      </c>
      <c r="B288" t="s">
        <v>12</v>
      </c>
      <c r="C288">
        <v>118</v>
      </c>
      <c r="D288">
        <v>264079.63672154013</v>
      </c>
      <c r="E288">
        <v>2.4136652269929817</v>
      </c>
      <c r="F288">
        <v>3.3823330623234091</v>
      </c>
      <c r="G288">
        <v>6.0998369484884458</v>
      </c>
      <c r="H288">
        <v>133344.48223102273</v>
      </c>
      <c r="I288">
        <v>92</v>
      </c>
      <c r="J288">
        <v>33.323081079781602</v>
      </c>
    </row>
    <row r="289" spans="1:10">
      <c r="A289" s="1">
        <v>50615</v>
      </c>
      <c r="B289" t="s">
        <v>10</v>
      </c>
      <c r="C289">
        <v>102</v>
      </c>
      <c r="D289">
        <v>34474.621884722204</v>
      </c>
      <c r="E289">
        <v>3.9237108385752109</v>
      </c>
      <c r="F289">
        <v>2.0479096671669197</v>
      </c>
      <c r="G289">
        <v>3.8208325902376705</v>
      </c>
      <c r="H289">
        <v>130464.77243424517</v>
      </c>
      <c r="I289">
        <v>95</v>
      </c>
      <c r="J289">
        <v>98.894143782695579</v>
      </c>
    </row>
    <row r="290" spans="1:10">
      <c r="A290" s="1">
        <v>50645</v>
      </c>
      <c r="B290" t="s">
        <v>13</v>
      </c>
      <c r="C290">
        <v>108</v>
      </c>
      <c r="D290">
        <v>28525.25160853986</v>
      </c>
      <c r="E290">
        <v>3.2323359070230389</v>
      </c>
      <c r="F290">
        <v>2.0299578522404986</v>
      </c>
      <c r="G290">
        <v>59.411791515897065</v>
      </c>
      <c r="H290">
        <v>114712.43994491494</v>
      </c>
      <c r="J290">
        <v>85.667920741050295</v>
      </c>
    </row>
    <row r="291" spans="1:10">
      <c r="A291" s="1">
        <v>50675</v>
      </c>
      <c r="B291" t="s">
        <v>10</v>
      </c>
      <c r="C291">
        <v>95</v>
      </c>
      <c r="D291">
        <v>36238.710363368671</v>
      </c>
      <c r="E291">
        <v>3.4547333588479194</v>
      </c>
      <c r="F291">
        <v>2.7658782296520483</v>
      </c>
      <c r="G291">
        <v>2.9799681908180511</v>
      </c>
      <c r="H291">
        <v>135635.97817542119</v>
      </c>
      <c r="I291">
        <v>108</v>
      </c>
    </row>
    <row r="292" spans="1:10">
      <c r="A292" s="1">
        <v>50705</v>
      </c>
      <c r="B292" t="s">
        <v>12</v>
      </c>
      <c r="C292">
        <v>100</v>
      </c>
      <c r="D292">
        <v>26632.546878780657</v>
      </c>
      <c r="E292">
        <v>3.6659901652845073</v>
      </c>
      <c r="F292">
        <v>2.0632802639594043</v>
      </c>
      <c r="G292">
        <v>6.2506096201972428</v>
      </c>
      <c r="H292">
        <v>66867.535846444516</v>
      </c>
      <c r="I292">
        <v>83</v>
      </c>
      <c r="J292">
        <v>25.605495657695158</v>
      </c>
    </row>
    <row r="293" spans="1:10">
      <c r="A293" s="1">
        <v>50735</v>
      </c>
      <c r="B293" t="s">
        <v>10</v>
      </c>
      <c r="C293">
        <v>86</v>
      </c>
      <c r="D293">
        <v>31394.970811119008</v>
      </c>
      <c r="E293">
        <v>3.5952498398895334</v>
      </c>
      <c r="F293">
        <v>2.4338673853741777</v>
      </c>
      <c r="G293">
        <v>6.5622777795867897</v>
      </c>
      <c r="H293">
        <v>89511.037274746966</v>
      </c>
      <c r="I293">
        <v>96</v>
      </c>
      <c r="J293">
        <v>24.530044590204643</v>
      </c>
    </row>
    <row r="294" spans="1:10">
      <c r="A294" s="1">
        <v>50765</v>
      </c>
      <c r="B294" t="s">
        <v>13</v>
      </c>
      <c r="C294">
        <v>94</v>
      </c>
      <c r="D294">
        <v>25823.264733701213</v>
      </c>
      <c r="E294">
        <v>3.8547259085695198</v>
      </c>
      <c r="F294">
        <v>4.5997217891665159</v>
      </c>
      <c r="G294">
        <v>4.7891728532175355</v>
      </c>
      <c r="H294">
        <v>85293.930786360957</v>
      </c>
      <c r="I294">
        <v>84</v>
      </c>
      <c r="J294">
        <v>29.630251960442706</v>
      </c>
    </row>
    <row r="295" spans="1:10">
      <c r="A295" s="1">
        <v>50795</v>
      </c>
      <c r="B295" t="s">
        <v>10</v>
      </c>
      <c r="C295">
        <v>88</v>
      </c>
      <c r="D295">
        <v>40725.745638866938</v>
      </c>
      <c r="E295">
        <v>3.2822568147150784</v>
      </c>
      <c r="F295">
        <v>2.2529742992540034</v>
      </c>
      <c r="G295">
        <v>5.6482572351466986</v>
      </c>
      <c r="H295">
        <v>114429.58647514686</v>
      </c>
      <c r="I295">
        <v>92</v>
      </c>
      <c r="J295">
        <v>66.46148668915373</v>
      </c>
    </row>
    <row r="296" spans="1:10">
      <c r="A296" s="1">
        <v>50825</v>
      </c>
      <c r="B296" t="s">
        <v>12</v>
      </c>
      <c r="C296">
        <v>1010</v>
      </c>
      <c r="D296">
        <v>24062.007904852435</v>
      </c>
      <c r="E296">
        <v>3.7565528990880415</v>
      </c>
      <c r="F296">
        <v>21.416598479787776</v>
      </c>
      <c r="G296">
        <v>7.8449889205003434</v>
      </c>
      <c r="H296">
        <v>78997.185207957082</v>
      </c>
      <c r="I296">
        <v>790</v>
      </c>
      <c r="J296">
        <v>94.301073696439389</v>
      </c>
    </row>
    <row r="297" spans="1:10">
      <c r="A297" s="1">
        <v>50855</v>
      </c>
      <c r="B297" t="s">
        <v>14</v>
      </c>
      <c r="C297">
        <v>95</v>
      </c>
      <c r="D297">
        <v>31549.103551135137</v>
      </c>
      <c r="E297">
        <v>3.3702266612080414</v>
      </c>
      <c r="F297">
        <v>1.8524581943648408</v>
      </c>
      <c r="G297">
        <v>4.8931039548856763</v>
      </c>
      <c r="H297">
        <v>115149.90298674972</v>
      </c>
      <c r="I297">
        <v>98</v>
      </c>
      <c r="J297">
        <v>59.739474240478756</v>
      </c>
    </row>
    <row r="298" spans="1:10">
      <c r="A298" s="1">
        <v>50885</v>
      </c>
      <c r="B298" t="s">
        <v>10</v>
      </c>
      <c r="C298">
        <v>95</v>
      </c>
      <c r="D298">
        <v>33168.884404660494</v>
      </c>
      <c r="E298">
        <v>3.8694052404437516</v>
      </c>
      <c r="F298">
        <v>3.2441919714999368</v>
      </c>
      <c r="G298">
        <v>4.2293108955320795</v>
      </c>
      <c r="H298">
        <v>127410.72287993427</v>
      </c>
      <c r="I298">
        <v>800</v>
      </c>
      <c r="J298">
        <v>87.435638596495778</v>
      </c>
    </row>
    <row r="299" spans="1:10">
      <c r="A299" s="1">
        <v>50915</v>
      </c>
      <c r="B299" t="s">
        <v>13</v>
      </c>
      <c r="C299">
        <v>92</v>
      </c>
      <c r="D299">
        <v>32068.995487257493</v>
      </c>
      <c r="E299">
        <v>3.8076837420065268</v>
      </c>
      <c r="F299">
        <v>2.3187758267818972</v>
      </c>
      <c r="G299">
        <v>7.2779960829551182</v>
      </c>
      <c r="H299">
        <v>113904.05800167998</v>
      </c>
      <c r="I299">
        <v>93</v>
      </c>
      <c r="J299">
        <v>55.670929588784624</v>
      </c>
    </row>
    <row r="300" spans="1:10">
      <c r="A300" s="1">
        <v>50945</v>
      </c>
      <c r="B300" t="s">
        <v>12</v>
      </c>
      <c r="C300">
        <v>108</v>
      </c>
      <c r="D300">
        <v>29073.561705611457</v>
      </c>
      <c r="E300">
        <v>3.0322806489777023</v>
      </c>
      <c r="F300">
        <v>1.850626961678574</v>
      </c>
      <c r="G300">
        <v>7.855104628636953</v>
      </c>
      <c r="H300">
        <v>105675.02047323002</v>
      </c>
      <c r="I300">
        <v>90</v>
      </c>
      <c r="J300">
        <v>76.686683661426017</v>
      </c>
    </row>
    <row r="301" spans="1:10">
      <c r="A301" s="1">
        <v>50975</v>
      </c>
      <c r="B301" t="s">
        <v>13</v>
      </c>
      <c r="C301">
        <v>99</v>
      </c>
      <c r="D301">
        <v>29350.896501332871</v>
      </c>
      <c r="E301">
        <v>4.0429910580875159</v>
      </c>
      <c r="G301">
        <v>5.5044348062174171</v>
      </c>
      <c r="H301">
        <v>80242.533181985025</v>
      </c>
      <c r="I301">
        <v>85</v>
      </c>
      <c r="J301">
        <v>78.549818982920073</v>
      </c>
    </row>
    <row r="302" spans="1:10">
      <c r="A302" s="1">
        <v>51005</v>
      </c>
      <c r="B302" t="s">
        <v>13</v>
      </c>
      <c r="C302">
        <v>95</v>
      </c>
      <c r="D302">
        <v>30219.057359895549</v>
      </c>
      <c r="E302">
        <v>3.2320182774429762</v>
      </c>
      <c r="F302">
        <v>3.919603004513637</v>
      </c>
      <c r="G302">
        <v>6.7137556424900273</v>
      </c>
      <c r="H302">
        <v>83062.980677492713</v>
      </c>
      <c r="I302">
        <v>81</v>
      </c>
      <c r="J302">
        <v>33.91709647226709</v>
      </c>
    </row>
    <row r="303" spans="1:10">
      <c r="A303" s="1">
        <v>51035</v>
      </c>
      <c r="B303" t="s">
        <v>10</v>
      </c>
      <c r="C303">
        <v>86</v>
      </c>
      <c r="D303">
        <v>29264.989991857557</v>
      </c>
      <c r="E303">
        <v>3.9040288991405725</v>
      </c>
      <c r="F303">
        <v>1.8995764342612949</v>
      </c>
      <c r="G303">
        <v>7.109771098637057</v>
      </c>
      <c r="H303">
        <v>124992.37810593334</v>
      </c>
      <c r="I303">
        <v>80</v>
      </c>
      <c r="J303">
        <v>48.897284718064938</v>
      </c>
    </row>
    <row r="304" spans="1:10">
      <c r="A304" s="1">
        <v>51065</v>
      </c>
      <c r="B304" t="s">
        <v>13</v>
      </c>
      <c r="C304">
        <v>120</v>
      </c>
      <c r="D304">
        <v>34819.395583974547</v>
      </c>
      <c r="E304">
        <v>3.6836436567006703</v>
      </c>
      <c r="F304">
        <v>0.63346004863938377</v>
      </c>
      <c r="G304">
        <v>4.6090189209539396</v>
      </c>
      <c r="H304">
        <v>115586.98007810664</v>
      </c>
      <c r="I304">
        <v>88</v>
      </c>
      <c r="J304">
        <v>70.984172523041906</v>
      </c>
    </row>
    <row r="305" spans="1:10">
      <c r="A305" s="1">
        <v>51095</v>
      </c>
      <c r="B305" t="s">
        <v>10</v>
      </c>
      <c r="C305">
        <v>81</v>
      </c>
      <c r="D305">
        <v>41052.61500795676</v>
      </c>
      <c r="E305">
        <v>4.419091838397561</v>
      </c>
      <c r="F305">
        <v>3.5075136898369221</v>
      </c>
      <c r="G305">
        <v>49.176329975585574</v>
      </c>
      <c r="H305">
        <v>99219.609612449116</v>
      </c>
      <c r="I305">
        <v>88</v>
      </c>
    </row>
    <row r="306" spans="1:10">
      <c r="A306" s="1">
        <v>51125</v>
      </c>
      <c r="B306" t="s">
        <v>14</v>
      </c>
      <c r="C306">
        <v>102</v>
      </c>
      <c r="D306">
        <v>272125.4107496083</v>
      </c>
      <c r="E306">
        <v>3.3882670088140738</v>
      </c>
      <c r="F306">
        <v>1.8153701742399959</v>
      </c>
      <c r="G306">
        <v>6.9770494157856824</v>
      </c>
      <c r="H306">
        <v>91641.809084682187</v>
      </c>
      <c r="I306">
        <v>92</v>
      </c>
      <c r="J306">
        <v>48.923215021036526</v>
      </c>
    </row>
    <row r="307" spans="1:10">
      <c r="A307" s="1">
        <v>51155</v>
      </c>
      <c r="B307" t="s">
        <v>13</v>
      </c>
      <c r="C307">
        <v>87</v>
      </c>
      <c r="D307">
        <v>23150.985102104612</v>
      </c>
      <c r="E307">
        <v>3.3253416019409014</v>
      </c>
      <c r="F307">
        <v>3.2906255991627686</v>
      </c>
      <c r="G307">
        <v>7.5220171344502109</v>
      </c>
      <c r="H307">
        <v>59483.842537772463</v>
      </c>
      <c r="I307">
        <v>90</v>
      </c>
      <c r="J307">
        <v>62.783957302495395</v>
      </c>
    </row>
    <row r="308" spans="1:10">
      <c r="A308" s="1">
        <v>51185</v>
      </c>
      <c r="B308" t="s">
        <v>13</v>
      </c>
      <c r="C308">
        <v>90</v>
      </c>
      <c r="D308">
        <v>29558.589758243725</v>
      </c>
      <c r="E308">
        <v>3.4902901970561335</v>
      </c>
      <c r="F308">
        <v>0.52989618228816449</v>
      </c>
      <c r="G308">
        <v>6.1754570322092253</v>
      </c>
      <c r="H308">
        <v>78582.951626311231</v>
      </c>
      <c r="I308">
        <v>97</v>
      </c>
      <c r="J308">
        <v>99.697959443571094</v>
      </c>
    </row>
    <row r="309" spans="1:10">
      <c r="A309" s="1">
        <v>51215</v>
      </c>
      <c r="B309" t="s">
        <v>13</v>
      </c>
      <c r="C309">
        <v>89</v>
      </c>
      <c r="D309">
        <v>42898.546688271592</v>
      </c>
      <c r="E309">
        <v>3.3484101085828621</v>
      </c>
      <c r="F309">
        <v>3.3925973382993093</v>
      </c>
      <c r="G309">
        <v>4.4442227757975346</v>
      </c>
      <c r="H309">
        <v>138228.38174279447</v>
      </c>
      <c r="I309">
        <v>89</v>
      </c>
    </row>
    <row r="310" spans="1:10">
      <c r="A310" s="1">
        <v>51245</v>
      </c>
      <c r="B310" t="s">
        <v>11</v>
      </c>
      <c r="C310">
        <v>105</v>
      </c>
      <c r="D310">
        <v>25981.627160151347</v>
      </c>
      <c r="E310">
        <v>3.8999709509710252</v>
      </c>
      <c r="F310">
        <v>1.2888280707192188</v>
      </c>
      <c r="H310">
        <v>74390.888579950668</v>
      </c>
      <c r="I310">
        <v>106</v>
      </c>
      <c r="J310">
        <v>85.284540569145889</v>
      </c>
    </row>
    <row r="311" spans="1:10">
      <c r="A311" s="1">
        <v>51275</v>
      </c>
      <c r="B311" t="s">
        <v>11</v>
      </c>
      <c r="C311">
        <v>96</v>
      </c>
      <c r="D311">
        <v>38195.584027220335</v>
      </c>
      <c r="E311">
        <v>2.6918446957817062</v>
      </c>
      <c r="F311">
        <v>3.2307641190665244</v>
      </c>
      <c r="G311">
        <v>4.8628349226256429</v>
      </c>
      <c r="H311">
        <v>103789.59642442162</v>
      </c>
      <c r="I311">
        <v>91</v>
      </c>
      <c r="J311">
        <v>54.565382805329421</v>
      </c>
    </row>
    <row r="312" spans="1:10">
      <c r="A312" s="1">
        <v>51305</v>
      </c>
      <c r="B312" t="s">
        <v>12</v>
      </c>
      <c r="C312">
        <v>97</v>
      </c>
      <c r="D312">
        <v>38388.504070382201</v>
      </c>
      <c r="E312">
        <v>2.9731587904268229</v>
      </c>
      <c r="F312">
        <v>2.514273067836434</v>
      </c>
      <c r="G312">
        <v>5.0978346625942574</v>
      </c>
      <c r="H312">
        <v>120148.87946390397</v>
      </c>
      <c r="J312">
        <v>83.711257809576708</v>
      </c>
    </row>
    <row r="313" spans="1:10">
      <c r="A313" s="1">
        <v>51335</v>
      </c>
      <c r="B313" t="s">
        <v>11</v>
      </c>
      <c r="C313">
        <v>98</v>
      </c>
      <c r="D313">
        <v>27232.058791460026</v>
      </c>
      <c r="E313">
        <v>2.9660985392104036</v>
      </c>
      <c r="F313">
        <v>1.5460605806033552</v>
      </c>
      <c r="G313">
        <v>5.9108054013875453</v>
      </c>
      <c r="H313">
        <v>74901.546639954147</v>
      </c>
      <c r="I313">
        <v>93</v>
      </c>
      <c r="J313">
        <v>67.633184129608679</v>
      </c>
    </row>
    <row r="314" spans="1:10">
      <c r="A314" s="1">
        <v>51365</v>
      </c>
      <c r="B314" t="s">
        <v>12</v>
      </c>
      <c r="C314">
        <v>990</v>
      </c>
      <c r="D314">
        <v>32844.915395926379</v>
      </c>
      <c r="E314">
        <v>3.9751537959867878</v>
      </c>
      <c r="F314">
        <v>2.0929636870732193</v>
      </c>
      <c r="G314">
        <v>7.3649925048577289</v>
      </c>
      <c r="H314">
        <v>103694.20949562166</v>
      </c>
      <c r="I314">
        <v>89</v>
      </c>
      <c r="J314">
        <v>90.927635320191868</v>
      </c>
    </row>
    <row r="315" spans="1:10">
      <c r="A315" s="1">
        <v>51395</v>
      </c>
      <c r="B315" t="s">
        <v>11</v>
      </c>
      <c r="C315">
        <v>108</v>
      </c>
      <c r="D315">
        <v>38141.983115642688</v>
      </c>
      <c r="F315">
        <v>3.1863184569567009</v>
      </c>
      <c r="G315">
        <v>6.5247711718626684</v>
      </c>
      <c r="H315">
        <v>118758.3107502131</v>
      </c>
      <c r="I315">
        <v>73</v>
      </c>
      <c r="J315">
        <v>52.875404188008794</v>
      </c>
    </row>
    <row r="316" spans="1:10">
      <c r="A316" s="1">
        <v>51425</v>
      </c>
      <c r="B316" t="s">
        <v>14</v>
      </c>
      <c r="C316">
        <v>92</v>
      </c>
      <c r="D316">
        <v>28104.361295062565</v>
      </c>
      <c r="E316">
        <v>3.4477753907312643</v>
      </c>
      <c r="F316">
        <v>2.6058944531152344</v>
      </c>
      <c r="G316">
        <v>5.9978386004342923</v>
      </c>
      <c r="H316">
        <v>100249.986438145</v>
      </c>
      <c r="I316">
        <v>101</v>
      </c>
      <c r="J316">
        <v>68.344353585718309</v>
      </c>
    </row>
    <row r="317" spans="1:10">
      <c r="A317" s="1">
        <v>51455</v>
      </c>
      <c r="B317" t="s">
        <v>12</v>
      </c>
      <c r="C317">
        <v>97</v>
      </c>
      <c r="D317">
        <v>28982.098199488191</v>
      </c>
      <c r="E317">
        <v>3.4155891384049948</v>
      </c>
      <c r="F317">
        <v>3.084412980472484</v>
      </c>
      <c r="G317">
        <v>6.0559462361417271</v>
      </c>
      <c r="H317">
        <v>157368.06111333537</v>
      </c>
      <c r="I317">
        <v>81</v>
      </c>
      <c r="J317">
        <v>70.401494449506188</v>
      </c>
    </row>
    <row r="318" spans="1:10">
      <c r="A318" s="1">
        <v>51485</v>
      </c>
      <c r="B318" t="s">
        <v>11</v>
      </c>
      <c r="C318">
        <v>116</v>
      </c>
      <c r="D318">
        <v>27091.595430256781</v>
      </c>
      <c r="E318">
        <v>3.5350260815565906</v>
      </c>
      <c r="F318">
        <v>4.4764405845154851</v>
      </c>
      <c r="G318">
        <v>5.552217602372159</v>
      </c>
      <c r="H318">
        <v>66628.014822436089</v>
      </c>
      <c r="I318">
        <v>98</v>
      </c>
      <c r="J318">
        <v>53.390635344037861</v>
      </c>
    </row>
    <row r="319" spans="1:10">
      <c r="A319" s="1">
        <v>51515</v>
      </c>
      <c r="B319" t="s">
        <v>14</v>
      </c>
      <c r="D319">
        <v>24926.216346535664</v>
      </c>
      <c r="E319">
        <v>4.0809391513040953</v>
      </c>
      <c r="F319">
        <v>0.93575838828894864</v>
      </c>
      <c r="G319">
        <v>6.1697674174222072</v>
      </c>
      <c r="H319">
        <v>121174.57059767758</v>
      </c>
      <c r="I319">
        <v>92</v>
      </c>
      <c r="J319">
        <v>31.54496349499852</v>
      </c>
    </row>
    <row r="320" spans="1:10">
      <c r="A320" s="1">
        <v>51545</v>
      </c>
      <c r="B320" t="s">
        <v>11</v>
      </c>
      <c r="C320">
        <v>87</v>
      </c>
      <c r="D320">
        <v>26753.612274669966</v>
      </c>
      <c r="E320">
        <v>3.0363234329047128</v>
      </c>
      <c r="F320">
        <v>4.1172125749686241</v>
      </c>
      <c r="G320">
        <v>24.645279067668366</v>
      </c>
      <c r="H320">
        <v>96543.965252070717</v>
      </c>
      <c r="J320">
        <v>27.484752552986844</v>
      </c>
    </row>
    <row r="321" spans="1:10">
      <c r="A321" s="1">
        <v>51575</v>
      </c>
      <c r="B321" t="s">
        <v>10</v>
      </c>
      <c r="C321">
        <v>103</v>
      </c>
      <c r="D321">
        <v>23880.298666188719</v>
      </c>
      <c r="E321">
        <v>3.6191844913673927</v>
      </c>
      <c r="F321">
        <v>2.6043559375232128</v>
      </c>
      <c r="G321">
        <v>5.144071049116242</v>
      </c>
      <c r="H321">
        <v>115438.4030967335</v>
      </c>
      <c r="I321">
        <v>101</v>
      </c>
      <c r="J321">
        <v>21.333724047970648</v>
      </c>
    </row>
    <row r="322" spans="1:10">
      <c r="A322" s="1">
        <v>51605</v>
      </c>
      <c r="B322" t="s">
        <v>10</v>
      </c>
      <c r="C322">
        <v>115</v>
      </c>
      <c r="D322">
        <v>30170.417341296132</v>
      </c>
      <c r="E322">
        <v>39.87598814891215</v>
      </c>
      <c r="F322">
        <v>1.6012159516768718</v>
      </c>
      <c r="G322">
        <v>5.7895863219001376</v>
      </c>
      <c r="H322">
        <v>108826.14303398492</v>
      </c>
      <c r="I322">
        <v>67</v>
      </c>
      <c r="J322">
        <v>89.882741139617167</v>
      </c>
    </row>
    <row r="323" spans="1:10">
      <c r="A323" s="1">
        <v>51635</v>
      </c>
      <c r="B323" t="s">
        <v>14</v>
      </c>
      <c r="C323">
        <v>88</v>
      </c>
      <c r="D323">
        <v>26150.13384470679</v>
      </c>
      <c r="E323">
        <v>3.7505470849699227</v>
      </c>
      <c r="F323">
        <v>1.1696863742610102</v>
      </c>
      <c r="G323">
        <v>4.1187830996565911</v>
      </c>
      <c r="H323">
        <v>85336.876057800066</v>
      </c>
      <c r="I323">
        <v>101</v>
      </c>
    </row>
    <row r="324" spans="1:10">
      <c r="A324" s="1">
        <v>51665</v>
      </c>
      <c r="B324" t="s">
        <v>13</v>
      </c>
      <c r="C324">
        <v>920</v>
      </c>
      <c r="D324">
        <v>31168.92955895374</v>
      </c>
      <c r="E324">
        <v>3.5947908082993716</v>
      </c>
      <c r="F324">
        <v>2.3108796092229666</v>
      </c>
      <c r="G324">
        <v>5.9635879813738724</v>
      </c>
      <c r="H324">
        <v>104579.9278491868</v>
      </c>
      <c r="I324">
        <v>88</v>
      </c>
      <c r="J324">
        <v>36.920539942541446</v>
      </c>
    </row>
    <row r="325" spans="1:10">
      <c r="A325" s="1">
        <v>51695</v>
      </c>
      <c r="B325" t="s">
        <v>13</v>
      </c>
      <c r="C325">
        <v>108</v>
      </c>
      <c r="D325">
        <v>22220.521768981864</v>
      </c>
      <c r="E325">
        <v>4.0005230462835701</v>
      </c>
      <c r="F325">
        <v>3.4216501119244596</v>
      </c>
      <c r="G325">
        <v>5.2546345348166543</v>
      </c>
      <c r="H325">
        <v>62841.970972034258</v>
      </c>
      <c r="I325">
        <v>89</v>
      </c>
      <c r="J325">
        <v>78.88283203408524</v>
      </c>
    </row>
    <row r="326" spans="1:10">
      <c r="A326" s="1">
        <v>51725</v>
      </c>
      <c r="B326" t="s">
        <v>10</v>
      </c>
      <c r="D326">
        <v>31654.401161072285</v>
      </c>
      <c r="E326">
        <v>2.1483838535003814</v>
      </c>
      <c r="F326">
        <v>2.3724508796224657</v>
      </c>
      <c r="G326">
        <v>7.6065708379785875</v>
      </c>
      <c r="H326">
        <v>112064.95001142788</v>
      </c>
      <c r="I326">
        <v>92</v>
      </c>
      <c r="J326">
        <v>45.60128904699134</v>
      </c>
    </row>
    <row r="327" spans="1:10">
      <c r="A327" s="1">
        <v>51755</v>
      </c>
      <c r="B327" t="s">
        <v>10</v>
      </c>
      <c r="C327">
        <v>86</v>
      </c>
      <c r="D327">
        <v>34167.644808044621</v>
      </c>
      <c r="E327">
        <v>3.8389376597654539</v>
      </c>
      <c r="F327">
        <v>4.011154930247347</v>
      </c>
      <c r="G327">
        <v>7.3876236702578275</v>
      </c>
      <c r="H327">
        <v>105963.16931981052</v>
      </c>
      <c r="I327">
        <v>85</v>
      </c>
      <c r="J327">
        <v>604.83575392946921</v>
      </c>
    </row>
    <row r="328" spans="1:10">
      <c r="A328" s="1">
        <v>51785</v>
      </c>
      <c r="B328" t="s">
        <v>13</v>
      </c>
      <c r="C328">
        <v>87</v>
      </c>
      <c r="D328">
        <v>20031.321787142722</v>
      </c>
      <c r="F328">
        <v>1.0488243099484411</v>
      </c>
      <c r="G328">
        <v>4.9410333170582046</v>
      </c>
      <c r="H328">
        <v>112773.20337286204</v>
      </c>
      <c r="I328">
        <v>86</v>
      </c>
      <c r="J328">
        <v>33.000885223796502</v>
      </c>
    </row>
    <row r="329" spans="1:10">
      <c r="A329" s="1">
        <v>51815</v>
      </c>
      <c r="B329" t="s">
        <v>12</v>
      </c>
      <c r="C329">
        <v>109</v>
      </c>
      <c r="D329">
        <v>31870.282849237861</v>
      </c>
      <c r="E329">
        <v>2.5846835515717714</v>
      </c>
      <c r="F329">
        <v>2.4879110521539456</v>
      </c>
      <c r="G329">
        <v>5.3189947461199658</v>
      </c>
      <c r="H329">
        <v>121162.366501743</v>
      </c>
      <c r="I329">
        <v>93</v>
      </c>
      <c r="J329">
        <v>96.779657716957544</v>
      </c>
    </row>
    <row r="330" spans="1:10">
      <c r="A330" s="1">
        <v>51845</v>
      </c>
      <c r="B330" t="s">
        <v>13</v>
      </c>
      <c r="C330">
        <v>91</v>
      </c>
      <c r="D330">
        <v>36138.344962366464</v>
      </c>
      <c r="E330">
        <v>3.7556012997624904</v>
      </c>
      <c r="F330">
        <v>1.2476065555868809</v>
      </c>
      <c r="G330">
        <v>5.4112629212699286</v>
      </c>
      <c r="H330">
        <v>107352.39680419421</v>
      </c>
      <c r="I330">
        <v>84</v>
      </c>
      <c r="J330">
        <v>88.126512001378984</v>
      </c>
    </row>
    <row r="331" spans="1:10">
      <c r="A331" s="1">
        <v>51875</v>
      </c>
      <c r="B331" t="s">
        <v>11</v>
      </c>
      <c r="C331">
        <v>107</v>
      </c>
      <c r="D331">
        <v>23951.794906543972</v>
      </c>
      <c r="E331">
        <v>4.1868292725814786</v>
      </c>
      <c r="F331">
        <v>2.863631882624968</v>
      </c>
      <c r="G331">
        <v>49.58008628608453</v>
      </c>
      <c r="H331">
        <v>102961.78839596553</v>
      </c>
      <c r="I331">
        <v>89</v>
      </c>
      <c r="J331">
        <v>89.103169837200255</v>
      </c>
    </row>
    <row r="332" spans="1:10">
      <c r="A332" s="1">
        <v>51905</v>
      </c>
      <c r="B332" t="s">
        <v>12</v>
      </c>
      <c r="C332">
        <v>106</v>
      </c>
      <c r="D332">
        <v>38362.861934188521</v>
      </c>
      <c r="E332">
        <v>3.4312757426861542</v>
      </c>
      <c r="F332">
        <v>3.3868873900973004</v>
      </c>
      <c r="G332">
        <v>5.7340299808337525</v>
      </c>
      <c r="H332">
        <v>82378.633266774152</v>
      </c>
      <c r="I332">
        <v>98</v>
      </c>
      <c r="J332">
        <v>52.541899885760415</v>
      </c>
    </row>
    <row r="333" spans="1:10">
      <c r="A333" s="1">
        <v>51935</v>
      </c>
      <c r="B333" t="s">
        <v>11</v>
      </c>
      <c r="C333">
        <v>92</v>
      </c>
      <c r="D333">
        <v>32095.095046830225</v>
      </c>
      <c r="E333">
        <v>3.9764372736014693</v>
      </c>
      <c r="F333">
        <v>2.079238206318947</v>
      </c>
      <c r="G333">
        <v>4.5900615173348918</v>
      </c>
      <c r="H333">
        <v>85755.584727018984</v>
      </c>
      <c r="I333">
        <v>85</v>
      </c>
      <c r="J333">
        <v>809.88897096573828</v>
      </c>
    </row>
    <row r="334" spans="1:10">
      <c r="A334" s="1">
        <v>51965</v>
      </c>
      <c r="B334" t="s">
        <v>10</v>
      </c>
      <c r="C334">
        <v>90</v>
      </c>
      <c r="D334">
        <v>26474.940721207957</v>
      </c>
      <c r="E334">
        <v>4.3061391289943227</v>
      </c>
      <c r="F334">
        <v>-0.10421385662713423</v>
      </c>
      <c r="G334">
        <v>4.1432615980749681</v>
      </c>
      <c r="H334">
        <v>1237346.9240354663</v>
      </c>
      <c r="I334">
        <v>70</v>
      </c>
      <c r="J334">
        <v>31.510092431182414</v>
      </c>
    </row>
    <row r="335" spans="1:10">
      <c r="A335" s="1">
        <v>51995</v>
      </c>
      <c r="B335" t="s">
        <v>12</v>
      </c>
      <c r="C335">
        <v>102</v>
      </c>
      <c r="D335">
        <v>29721.15461171147</v>
      </c>
      <c r="E335">
        <v>4.1574572267920233</v>
      </c>
      <c r="F335">
        <v>2.6989481467964946</v>
      </c>
      <c r="G335">
        <v>6.2472534686803218</v>
      </c>
      <c r="H335">
        <v>1287267.0811411957</v>
      </c>
      <c r="I335">
        <v>106</v>
      </c>
      <c r="J335">
        <v>20.689520207342422</v>
      </c>
    </row>
    <row r="336" spans="1:10">
      <c r="A336" s="1">
        <v>52025</v>
      </c>
      <c r="B336" t="s">
        <v>11</v>
      </c>
      <c r="C336">
        <v>99</v>
      </c>
      <c r="D336">
        <v>32791.634562608611</v>
      </c>
      <c r="E336">
        <v>4.3199822646856969</v>
      </c>
      <c r="F336">
        <v>2.9367385517335096</v>
      </c>
      <c r="G336">
        <v>6.2554355010661729</v>
      </c>
      <c r="H336">
        <v>95237.791273758921</v>
      </c>
      <c r="I336">
        <v>91</v>
      </c>
      <c r="J336">
        <v>21.597834606242252</v>
      </c>
    </row>
    <row r="337" spans="1:10">
      <c r="A337" s="1">
        <v>52055</v>
      </c>
      <c r="B337" t="s">
        <v>11</v>
      </c>
      <c r="C337">
        <v>88</v>
      </c>
      <c r="E337">
        <v>3.8710637455359462</v>
      </c>
      <c r="F337">
        <v>2.9042947549616978</v>
      </c>
      <c r="G337">
        <v>4.5348210884080089</v>
      </c>
      <c r="H337">
        <v>100920.05494506548</v>
      </c>
      <c r="I337">
        <v>86</v>
      </c>
      <c r="J337">
        <v>66.928138992364836</v>
      </c>
    </row>
    <row r="338" spans="1:10">
      <c r="A338" s="1">
        <v>52085</v>
      </c>
      <c r="B338" t="s">
        <v>12</v>
      </c>
      <c r="C338">
        <v>100</v>
      </c>
      <c r="D338">
        <v>32693.779962231845</v>
      </c>
      <c r="E338">
        <v>3.5377168194507962</v>
      </c>
      <c r="F338">
        <v>3.7357821918221541</v>
      </c>
      <c r="G338">
        <v>6.5744265169151195</v>
      </c>
      <c r="H338">
        <v>81907.712500124675</v>
      </c>
      <c r="I338">
        <v>92</v>
      </c>
      <c r="J338">
        <v>56.431592419835262</v>
      </c>
    </row>
    <row r="339" spans="1:10">
      <c r="A339" s="1">
        <v>52115</v>
      </c>
      <c r="B339" t="s">
        <v>14</v>
      </c>
      <c r="D339">
        <v>25396.632034603168</v>
      </c>
      <c r="E339">
        <v>2.699017094051416</v>
      </c>
      <c r="F339">
        <v>1.4289463203509511</v>
      </c>
      <c r="G339">
        <v>4.7421067250016025</v>
      </c>
      <c r="H339">
        <v>123455.13690534889</v>
      </c>
      <c r="I339">
        <v>75</v>
      </c>
      <c r="J339">
        <v>61.441227912681583</v>
      </c>
    </row>
    <row r="340" spans="1:10">
      <c r="A340" s="1">
        <v>52145</v>
      </c>
      <c r="B340" t="s">
        <v>13</v>
      </c>
      <c r="C340">
        <v>106</v>
      </c>
      <c r="D340">
        <v>30846.80412018039</v>
      </c>
      <c r="E340">
        <v>3.3769687559350259</v>
      </c>
      <c r="F340">
        <v>3.1802161054504494</v>
      </c>
      <c r="G340">
        <v>5.803798285645577</v>
      </c>
      <c r="H340">
        <v>113308.33647383557</v>
      </c>
      <c r="I340">
        <v>116</v>
      </c>
    </row>
    <row r="341" spans="1:10">
      <c r="A341" s="1">
        <v>52175</v>
      </c>
      <c r="B341" t="s">
        <v>11</v>
      </c>
      <c r="D341">
        <v>22931.427515475101</v>
      </c>
      <c r="E341">
        <v>3.0783767023419042</v>
      </c>
      <c r="F341">
        <v>3.6925075124779747</v>
      </c>
      <c r="G341">
        <v>64.844128151349466</v>
      </c>
      <c r="H341">
        <v>138824.34872927499</v>
      </c>
      <c r="I341">
        <v>93</v>
      </c>
      <c r="J341">
        <v>53.814929572594053</v>
      </c>
    </row>
    <row r="342" spans="1:10">
      <c r="A342" s="1">
        <v>52205</v>
      </c>
      <c r="B342" t="s">
        <v>13</v>
      </c>
      <c r="C342">
        <v>98</v>
      </c>
      <c r="D342">
        <v>29443.8696932565</v>
      </c>
      <c r="E342">
        <v>4.5854713587489071</v>
      </c>
      <c r="F342">
        <v>0.72141241599348316</v>
      </c>
      <c r="G342">
        <v>5.459664922355544</v>
      </c>
      <c r="H342">
        <v>82433.538456405222</v>
      </c>
      <c r="I342">
        <v>92</v>
      </c>
      <c r="J342">
        <v>77.445452896068872</v>
      </c>
    </row>
    <row r="343" spans="1:10">
      <c r="A343" s="1">
        <v>52235</v>
      </c>
      <c r="B343" t="s">
        <v>13</v>
      </c>
      <c r="C343">
        <v>119</v>
      </c>
      <c r="D343">
        <v>254804.61792676052</v>
      </c>
      <c r="E343">
        <v>3.4120570937838317</v>
      </c>
      <c r="F343">
        <v>2.8196518259189771</v>
      </c>
      <c r="G343">
        <v>6.0456890945693615</v>
      </c>
      <c r="H343">
        <v>92439.84201963566</v>
      </c>
      <c r="I343">
        <v>92</v>
      </c>
      <c r="J343">
        <v>55.41549615739487</v>
      </c>
    </row>
    <row r="344" spans="1:10">
      <c r="A344" s="1">
        <v>52265</v>
      </c>
      <c r="B344" t="s">
        <v>10</v>
      </c>
      <c r="C344">
        <v>99</v>
      </c>
      <c r="D344">
        <v>26322.350287051166</v>
      </c>
      <c r="E344">
        <v>3.5616024033922429</v>
      </c>
      <c r="F344">
        <v>1.9958201689923285</v>
      </c>
      <c r="H344">
        <v>104628.91845051144</v>
      </c>
      <c r="J344">
        <v>78.577536504977786</v>
      </c>
    </row>
    <row r="345" spans="1:10">
      <c r="A345" s="1">
        <v>52295</v>
      </c>
      <c r="B345" t="s">
        <v>13</v>
      </c>
      <c r="C345">
        <v>87</v>
      </c>
      <c r="D345">
        <v>36180.465876052185</v>
      </c>
      <c r="E345">
        <v>3.7757426880202338</v>
      </c>
      <c r="F345">
        <v>2.4184773268983539</v>
      </c>
      <c r="G345">
        <v>5.2642400998862833</v>
      </c>
      <c r="H345">
        <v>112929.79075451542</v>
      </c>
      <c r="I345">
        <v>94</v>
      </c>
      <c r="J345">
        <v>38.641517151746783</v>
      </c>
    </row>
    <row r="346" spans="1:10">
      <c r="A346" s="1">
        <v>52325</v>
      </c>
      <c r="B346" t="s">
        <v>11</v>
      </c>
      <c r="D346">
        <v>35456.550602971343</v>
      </c>
      <c r="E346">
        <v>3.5218012231862268</v>
      </c>
      <c r="F346">
        <v>2.8476764835383364</v>
      </c>
      <c r="G346">
        <v>5.2529686829435915</v>
      </c>
      <c r="H346">
        <v>95686.647249047353</v>
      </c>
      <c r="I346">
        <v>93</v>
      </c>
      <c r="J346">
        <v>85.051360358538034</v>
      </c>
    </row>
    <row r="347" spans="1:10">
      <c r="A347" s="1">
        <v>52355</v>
      </c>
      <c r="B347" t="s">
        <v>10</v>
      </c>
      <c r="C347">
        <v>103</v>
      </c>
      <c r="D347">
        <v>33045.690604535885</v>
      </c>
      <c r="E347">
        <v>4.3475255202153766</v>
      </c>
      <c r="F347">
        <v>2.0127714358864477</v>
      </c>
      <c r="G347">
        <v>4.6041059841517136</v>
      </c>
      <c r="H347">
        <v>82540.778190925994</v>
      </c>
      <c r="I347">
        <v>84</v>
      </c>
      <c r="J347">
        <v>67.074499236276182</v>
      </c>
    </row>
    <row r="348" spans="1:10">
      <c r="A348" s="1">
        <v>52385</v>
      </c>
      <c r="B348" t="s">
        <v>12</v>
      </c>
      <c r="C348">
        <v>79</v>
      </c>
      <c r="D348">
        <v>24538.436176637104</v>
      </c>
      <c r="E348">
        <v>3.1886753191327739</v>
      </c>
      <c r="F348">
        <v>1.8242919208383883</v>
      </c>
      <c r="G348">
        <v>5.2878710042610617</v>
      </c>
      <c r="H348">
        <v>117628.15057847142</v>
      </c>
      <c r="I348">
        <v>1050</v>
      </c>
      <c r="J348">
        <v>36.861047954392497</v>
      </c>
    </row>
    <row r="349" spans="1:10">
      <c r="A349" s="1">
        <v>52415</v>
      </c>
      <c r="B349" t="s">
        <v>11</v>
      </c>
      <c r="C349">
        <v>110</v>
      </c>
      <c r="D349">
        <v>28417.957751525992</v>
      </c>
      <c r="E349">
        <v>3.5973037276186215</v>
      </c>
      <c r="F349">
        <v>2.5341524174880248</v>
      </c>
      <c r="H349">
        <v>114422.70725091163</v>
      </c>
      <c r="I349">
        <v>95</v>
      </c>
      <c r="J349">
        <v>38.937638068306633</v>
      </c>
    </row>
    <row r="350" spans="1:10">
      <c r="A350" s="1">
        <v>52445</v>
      </c>
      <c r="B350" t="s">
        <v>10</v>
      </c>
      <c r="C350">
        <v>95</v>
      </c>
      <c r="D350">
        <v>36065.488499895917</v>
      </c>
      <c r="E350">
        <v>3.1287647071509759</v>
      </c>
      <c r="F350">
        <v>1.4127540611371974</v>
      </c>
      <c r="G350">
        <v>4.9106155034294741</v>
      </c>
      <c r="H350">
        <v>81674.517988725507</v>
      </c>
      <c r="I350">
        <v>80</v>
      </c>
      <c r="J350">
        <v>70.242437165562961</v>
      </c>
    </row>
    <row r="351" spans="1:10">
      <c r="A351" s="1">
        <v>52475</v>
      </c>
      <c r="B351" t="s">
        <v>10</v>
      </c>
      <c r="C351">
        <v>101</v>
      </c>
      <c r="D351">
        <v>30708.584568199523</v>
      </c>
      <c r="E351">
        <v>2.8399887443896472</v>
      </c>
      <c r="F351">
        <v>1.4141748711148145</v>
      </c>
      <c r="G351">
        <v>5.1581494079563948</v>
      </c>
      <c r="H351">
        <v>127108.85602210992</v>
      </c>
      <c r="I351">
        <v>89</v>
      </c>
      <c r="J351">
        <v>86.395167456995466</v>
      </c>
    </row>
    <row r="352" spans="1:10">
      <c r="A352" s="1">
        <v>52505</v>
      </c>
      <c r="B352" t="s">
        <v>13</v>
      </c>
      <c r="C352">
        <v>95</v>
      </c>
      <c r="D352">
        <v>41596.64769990847</v>
      </c>
      <c r="E352">
        <v>3.1941154545473571</v>
      </c>
      <c r="F352">
        <v>3.1793732829565036</v>
      </c>
      <c r="G352">
        <v>5.1925842970055438</v>
      </c>
      <c r="H352">
        <v>123403.97418393208</v>
      </c>
      <c r="I352">
        <v>93</v>
      </c>
    </row>
    <row r="353" spans="1:10">
      <c r="A353" s="1">
        <v>52535</v>
      </c>
      <c r="B353" t="s">
        <v>12</v>
      </c>
      <c r="C353">
        <v>107</v>
      </c>
      <c r="D353">
        <v>31966.589196971858</v>
      </c>
      <c r="E353">
        <v>3.4814816014757941</v>
      </c>
      <c r="F353">
        <v>1.3512059648413439</v>
      </c>
      <c r="G353">
        <v>5.2102030649550652</v>
      </c>
      <c r="H353">
        <v>102685.92994495586</v>
      </c>
      <c r="I353">
        <v>85</v>
      </c>
      <c r="J353">
        <v>40.664034330207379</v>
      </c>
    </row>
    <row r="354" spans="1:10">
      <c r="A354" s="1">
        <v>52565</v>
      </c>
      <c r="B354" t="s">
        <v>11</v>
      </c>
      <c r="C354">
        <v>91</v>
      </c>
      <c r="E354">
        <v>3.2853488877413701</v>
      </c>
      <c r="F354">
        <v>3.1663125009092119</v>
      </c>
      <c r="G354">
        <v>5.4258829601678453</v>
      </c>
      <c r="H354">
        <v>101591.95724752072</v>
      </c>
      <c r="I354">
        <v>81</v>
      </c>
      <c r="J354">
        <v>89.360928552848037</v>
      </c>
    </row>
    <row r="355" spans="1:10">
      <c r="A355" s="1">
        <v>52595</v>
      </c>
      <c r="B355" t="s">
        <v>11</v>
      </c>
      <c r="C355">
        <v>87</v>
      </c>
      <c r="D355">
        <v>28454.417678987495</v>
      </c>
      <c r="E355">
        <v>3.153789510063072</v>
      </c>
      <c r="F355">
        <v>2.9625912928539511</v>
      </c>
      <c r="G355">
        <v>6.075329821703277</v>
      </c>
      <c r="H355">
        <v>111081.15542231814</v>
      </c>
      <c r="I355">
        <v>81</v>
      </c>
    </row>
    <row r="356" spans="1:10">
      <c r="A356" s="1">
        <v>52625</v>
      </c>
      <c r="B356" t="s">
        <v>13</v>
      </c>
      <c r="C356">
        <v>100</v>
      </c>
      <c r="D356">
        <v>30667.704523911412</v>
      </c>
      <c r="E356">
        <v>2.7968412681640831</v>
      </c>
      <c r="F356">
        <v>0.77419327120940329</v>
      </c>
      <c r="G356">
        <v>6.5494204889590275</v>
      </c>
      <c r="H356">
        <v>82765.938594874839</v>
      </c>
      <c r="I356">
        <v>88</v>
      </c>
      <c r="J356">
        <v>55.846838982646119</v>
      </c>
    </row>
    <row r="357" spans="1:10">
      <c r="A357" s="1">
        <v>52655</v>
      </c>
      <c r="B357" t="s">
        <v>12</v>
      </c>
      <c r="C357">
        <v>117</v>
      </c>
      <c r="D357">
        <v>29237.650818097281</v>
      </c>
      <c r="E357">
        <v>3.4584472136856528</v>
      </c>
      <c r="G357">
        <v>4.7202817277820799</v>
      </c>
      <c r="H357">
        <v>100600.62958328164</v>
      </c>
      <c r="I357">
        <v>88</v>
      </c>
      <c r="J357">
        <v>59.032015622344147</v>
      </c>
    </row>
    <row r="358" spans="1:10">
      <c r="A358" s="1">
        <v>52685</v>
      </c>
      <c r="B358" t="s">
        <v>11</v>
      </c>
      <c r="C358">
        <v>102</v>
      </c>
      <c r="E358">
        <v>2.7476398129844988</v>
      </c>
      <c r="G358">
        <v>4.0561589735330266</v>
      </c>
      <c r="H358">
        <v>56952.329107816389</v>
      </c>
      <c r="I358">
        <v>103</v>
      </c>
    </row>
    <row r="359" spans="1:10">
      <c r="A359" s="1">
        <v>52715</v>
      </c>
      <c r="B359" t="s">
        <v>12</v>
      </c>
      <c r="C359">
        <v>88</v>
      </c>
      <c r="D359">
        <v>34783.511583972919</v>
      </c>
      <c r="E359">
        <v>3.8800279818448011</v>
      </c>
      <c r="F359">
        <v>1.5188344688603184</v>
      </c>
      <c r="G359">
        <v>4.2495467053082763</v>
      </c>
      <c r="H359">
        <v>117529.11291005871</v>
      </c>
      <c r="I359">
        <v>91</v>
      </c>
      <c r="J359">
        <v>70.144210405187522</v>
      </c>
    </row>
    <row r="360" spans="1:10">
      <c r="A360" s="1">
        <v>52745</v>
      </c>
      <c r="B360" t="s">
        <v>11</v>
      </c>
      <c r="C360">
        <v>100</v>
      </c>
      <c r="D360">
        <v>26070.052697460254</v>
      </c>
      <c r="E360">
        <v>3.5412198764672516</v>
      </c>
      <c r="F360">
        <v>2.0355957376906124</v>
      </c>
      <c r="G360">
        <v>4.9153564945660877</v>
      </c>
      <c r="H360">
        <v>68770.135551162821</v>
      </c>
      <c r="J360">
        <v>48.699400843431093</v>
      </c>
    </row>
    <row r="361" spans="1:10">
      <c r="A361" s="1">
        <v>52775</v>
      </c>
      <c r="B361" t="s">
        <v>13</v>
      </c>
      <c r="C361">
        <v>81</v>
      </c>
      <c r="D361">
        <v>23343.83523221111</v>
      </c>
      <c r="E361">
        <v>2.7712242502675348</v>
      </c>
      <c r="F361">
        <v>2.9620608932518966</v>
      </c>
      <c r="G361">
        <v>5.0776944186201893</v>
      </c>
      <c r="H361">
        <v>130068.39656857998</v>
      </c>
      <c r="I361">
        <v>95</v>
      </c>
      <c r="J361">
        <v>99.651614133947945</v>
      </c>
    </row>
    <row r="362" spans="1:10">
      <c r="A362" s="1">
        <v>52805</v>
      </c>
      <c r="B362" t="s">
        <v>14</v>
      </c>
      <c r="C362">
        <v>91</v>
      </c>
      <c r="D362">
        <v>20818.973134483516</v>
      </c>
      <c r="E362">
        <v>3.3453954614750683</v>
      </c>
      <c r="F362">
        <v>3.2833905092825955</v>
      </c>
      <c r="G362">
        <v>4.5760047205630512</v>
      </c>
      <c r="H362">
        <v>93397.598120670998</v>
      </c>
      <c r="I362">
        <v>109</v>
      </c>
      <c r="J362">
        <v>58.414681220951024</v>
      </c>
    </row>
    <row r="363" spans="1:10">
      <c r="A363" s="1">
        <v>52835</v>
      </c>
      <c r="B363" t="s">
        <v>11</v>
      </c>
      <c r="C363">
        <v>90</v>
      </c>
      <c r="D363">
        <v>32539.956634562717</v>
      </c>
      <c r="E363">
        <v>3.1239217972047086</v>
      </c>
      <c r="G363">
        <v>3.9446600029001266</v>
      </c>
      <c r="H363">
        <v>95766.66036137646</v>
      </c>
      <c r="I363">
        <v>85</v>
      </c>
      <c r="J363">
        <v>58.870848495169056</v>
      </c>
    </row>
    <row r="364" spans="1:10">
      <c r="A364" s="1">
        <v>52865</v>
      </c>
      <c r="B364" t="s">
        <v>10</v>
      </c>
      <c r="C364">
        <v>102</v>
      </c>
      <c r="D364">
        <v>24483.166969130631</v>
      </c>
      <c r="E364">
        <v>3.6595872552095901</v>
      </c>
      <c r="F364">
        <v>1.9024898053083583</v>
      </c>
      <c r="G364">
        <v>4.9526550070309741</v>
      </c>
      <c r="H364">
        <v>87445.321878309886</v>
      </c>
      <c r="I364">
        <v>81</v>
      </c>
      <c r="J364">
        <v>65.268142992853754</v>
      </c>
    </row>
    <row r="365" spans="1:10">
      <c r="A365" s="1">
        <v>52895</v>
      </c>
      <c r="B365" t="s">
        <v>10</v>
      </c>
      <c r="C365">
        <v>109</v>
      </c>
      <c r="D365">
        <v>19235.547035237585</v>
      </c>
      <c r="E365">
        <v>4.1702252230115722</v>
      </c>
      <c r="F365">
        <v>3.9223698616985079</v>
      </c>
      <c r="G365">
        <v>5.7177119441367656</v>
      </c>
      <c r="H365">
        <v>94239.222521558477</v>
      </c>
      <c r="I365">
        <v>97</v>
      </c>
      <c r="J365">
        <v>93.340480249499734</v>
      </c>
    </row>
    <row r="366" spans="1:10">
      <c r="A366" s="1">
        <v>52925</v>
      </c>
      <c r="B366" t="s">
        <v>14</v>
      </c>
      <c r="C366">
        <v>101</v>
      </c>
      <c r="D366">
        <v>31942.893022654822</v>
      </c>
      <c r="E366">
        <v>2.5624137651771277</v>
      </c>
      <c r="F366">
        <v>4.2388996637975787</v>
      </c>
      <c r="G366">
        <v>6.2140353590026773</v>
      </c>
      <c r="H366">
        <v>128370.62690296074</v>
      </c>
      <c r="I366">
        <v>87</v>
      </c>
      <c r="J366">
        <v>84.065447988780022</v>
      </c>
    </row>
    <row r="367" spans="1:10">
      <c r="A367" s="1">
        <v>52955</v>
      </c>
      <c r="B367" t="s">
        <v>11</v>
      </c>
      <c r="C367">
        <v>97</v>
      </c>
      <c r="D367">
        <v>42464.997587163954</v>
      </c>
      <c r="E367">
        <v>35.575130395737084</v>
      </c>
      <c r="F367">
        <v>3.4788580507817954</v>
      </c>
      <c r="G367">
        <v>4.8310923362700144</v>
      </c>
      <c r="H367">
        <v>50243.826869298413</v>
      </c>
      <c r="I367">
        <v>94</v>
      </c>
      <c r="J367">
        <v>56.090405583827312</v>
      </c>
    </row>
    <row r="368" spans="1:10">
      <c r="A368" s="1">
        <v>52985</v>
      </c>
      <c r="B368" t="s">
        <v>10</v>
      </c>
      <c r="C368">
        <v>88</v>
      </c>
      <c r="D368">
        <v>29969.645442300534</v>
      </c>
      <c r="E368">
        <v>3.41993360221668</v>
      </c>
      <c r="F368">
        <v>2.5853181425650242</v>
      </c>
      <c r="G368">
        <v>5.004402613427879</v>
      </c>
      <c r="H368">
        <v>125539.30772176376</v>
      </c>
      <c r="I368">
        <v>990</v>
      </c>
      <c r="J368">
        <v>77.495941277823675</v>
      </c>
    </row>
    <row r="369" spans="1:10">
      <c r="A369" s="1">
        <v>53015</v>
      </c>
      <c r="B369" t="s">
        <v>10</v>
      </c>
      <c r="C369">
        <v>960</v>
      </c>
      <c r="D369">
        <v>34192.453872258207</v>
      </c>
      <c r="E369">
        <v>3.8356700382252327</v>
      </c>
      <c r="F369">
        <v>1.6917342783590736</v>
      </c>
      <c r="G369">
        <v>4.3879620293832273</v>
      </c>
      <c r="H369">
        <v>106760.46962203416</v>
      </c>
      <c r="J369">
        <v>66.898839902460935</v>
      </c>
    </row>
    <row r="370" spans="1:10">
      <c r="A370" s="1">
        <v>53045</v>
      </c>
      <c r="B370" t="s">
        <v>11</v>
      </c>
      <c r="C370">
        <v>104</v>
      </c>
      <c r="D370">
        <v>30409.146792737825</v>
      </c>
      <c r="F370">
        <v>1.6695555934434347</v>
      </c>
      <c r="G370">
        <v>5.4622729955502685</v>
      </c>
      <c r="H370">
        <v>75859.567042855691</v>
      </c>
      <c r="I370">
        <v>111</v>
      </c>
      <c r="J370">
        <v>59.389363896099916</v>
      </c>
    </row>
    <row r="371" spans="1:10">
      <c r="A371" s="1">
        <v>53075</v>
      </c>
      <c r="B371" t="s">
        <v>12</v>
      </c>
      <c r="C371">
        <v>106</v>
      </c>
      <c r="D371">
        <v>29505.551734044286</v>
      </c>
      <c r="E371">
        <v>3.1240153341305903</v>
      </c>
      <c r="F371">
        <v>3.0225141052657576</v>
      </c>
      <c r="G371">
        <v>4.481885638971022</v>
      </c>
      <c r="H371">
        <v>78493.75213901524</v>
      </c>
      <c r="I371">
        <v>85</v>
      </c>
      <c r="J371">
        <v>35.385261822748042</v>
      </c>
    </row>
    <row r="372" spans="1:10">
      <c r="A372" s="1">
        <v>53105</v>
      </c>
      <c r="B372" t="s">
        <v>11</v>
      </c>
      <c r="C372">
        <v>91</v>
      </c>
      <c r="D372">
        <v>34595.382414938846</v>
      </c>
      <c r="E372">
        <v>3.3404730321666909</v>
      </c>
      <c r="F372">
        <v>2.9183982208886836</v>
      </c>
      <c r="H372">
        <v>133527.86054416405</v>
      </c>
      <c r="I372">
        <v>87</v>
      </c>
      <c r="J372">
        <v>57.114901076391277</v>
      </c>
    </row>
    <row r="373" spans="1:10">
      <c r="A373" s="1">
        <v>53135</v>
      </c>
      <c r="B373" t="s">
        <v>12</v>
      </c>
      <c r="C373">
        <v>110</v>
      </c>
      <c r="D373">
        <v>28548.627279056742</v>
      </c>
      <c r="E373">
        <v>3.1019870715982556</v>
      </c>
      <c r="F373">
        <v>3.9015985929464296</v>
      </c>
      <c r="G373">
        <v>3.3569602096790665</v>
      </c>
      <c r="H373">
        <v>81089.862401145379</v>
      </c>
      <c r="I373">
        <v>88</v>
      </c>
      <c r="J373">
        <v>39.665486961805968</v>
      </c>
    </row>
    <row r="374" spans="1:10">
      <c r="A374" s="1">
        <v>53165</v>
      </c>
      <c r="B374" t="s">
        <v>14</v>
      </c>
      <c r="C374">
        <v>104</v>
      </c>
      <c r="D374">
        <v>31336.961570359515</v>
      </c>
      <c r="E374">
        <v>4.038003569299299</v>
      </c>
      <c r="F374">
        <v>3.1504500925361389</v>
      </c>
      <c r="G374">
        <v>5.0684443930570451</v>
      </c>
      <c r="H374">
        <v>76932.989788080813</v>
      </c>
      <c r="I374">
        <v>82</v>
      </c>
      <c r="J374">
        <v>93.187371988132369</v>
      </c>
    </row>
    <row r="375" spans="1:10">
      <c r="A375" s="1">
        <v>53195</v>
      </c>
      <c r="B375" t="s">
        <v>13</v>
      </c>
      <c r="C375">
        <v>85</v>
      </c>
      <c r="D375">
        <v>31608.489030980068</v>
      </c>
      <c r="E375">
        <v>3.5106558243359709</v>
      </c>
      <c r="F375">
        <v>0.99691969824018201</v>
      </c>
      <c r="G375">
        <v>5.8613288070300902</v>
      </c>
      <c r="H375">
        <v>122746.29084729459</v>
      </c>
      <c r="I375">
        <v>84</v>
      </c>
      <c r="J375">
        <v>46.832545079707756</v>
      </c>
    </row>
    <row r="376" spans="1:10">
      <c r="A376" s="1">
        <v>53225</v>
      </c>
      <c r="B376" t="s">
        <v>14</v>
      </c>
      <c r="C376">
        <v>107</v>
      </c>
      <c r="D376">
        <v>26659.547731784754</v>
      </c>
      <c r="E376">
        <v>4.4505953428765039</v>
      </c>
      <c r="F376">
        <v>3.5519476177229183</v>
      </c>
      <c r="G376">
        <v>5.7206014195870054</v>
      </c>
      <c r="H376">
        <v>106771.05752571828</v>
      </c>
      <c r="I376">
        <v>79</v>
      </c>
      <c r="J376">
        <v>96.181121162669783</v>
      </c>
    </row>
    <row r="377" spans="1:10">
      <c r="A377" s="1">
        <v>53255</v>
      </c>
      <c r="B377" t="s">
        <v>13</v>
      </c>
      <c r="C377">
        <v>111</v>
      </c>
      <c r="D377">
        <v>34960.211747682617</v>
      </c>
      <c r="E377">
        <v>3.4696695930926897</v>
      </c>
      <c r="F377">
        <v>1.501939372685587</v>
      </c>
      <c r="G377">
        <v>8.7316403967765961</v>
      </c>
      <c r="H377">
        <v>81241.488469272022</v>
      </c>
      <c r="I377">
        <v>87</v>
      </c>
      <c r="J377">
        <v>62.644423207576892</v>
      </c>
    </row>
    <row r="378" spans="1:10">
      <c r="A378" s="1">
        <v>53285</v>
      </c>
      <c r="B378" t="s">
        <v>10</v>
      </c>
      <c r="D378">
        <v>29125.201216522957</v>
      </c>
      <c r="E378">
        <v>3.1457966165447688</v>
      </c>
      <c r="F378">
        <v>2.1160287280476484</v>
      </c>
      <c r="H378">
        <v>104332.49950809238</v>
      </c>
      <c r="I378">
        <v>92</v>
      </c>
      <c r="J378">
        <v>70.523550294092828</v>
      </c>
    </row>
    <row r="379" spans="1:10">
      <c r="A379" s="1">
        <v>53315</v>
      </c>
      <c r="B379" t="s">
        <v>10</v>
      </c>
      <c r="C379">
        <v>94</v>
      </c>
      <c r="D379">
        <v>26221.274202535777</v>
      </c>
      <c r="E379">
        <v>2.7431428036935865</v>
      </c>
      <c r="F379">
        <v>2.7502002062516944</v>
      </c>
      <c r="G379">
        <v>4.295134483789588</v>
      </c>
      <c r="H379">
        <v>79484.946327194455</v>
      </c>
      <c r="I379">
        <v>79</v>
      </c>
      <c r="J379">
        <v>63.435235559146221</v>
      </c>
    </row>
    <row r="380" spans="1:10">
      <c r="A380" s="1">
        <v>53345</v>
      </c>
      <c r="B380" t="s">
        <v>10</v>
      </c>
      <c r="C380">
        <v>91</v>
      </c>
      <c r="D380">
        <v>32682.549217852018</v>
      </c>
      <c r="E380">
        <v>2.5984301618720274</v>
      </c>
      <c r="F380">
        <v>4.4956674897839646</v>
      </c>
      <c r="G380">
        <v>5.3854429034931126</v>
      </c>
      <c r="H380">
        <v>122016.4279684521</v>
      </c>
      <c r="I380">
        <v>95</v>
      </c>
      <c r="J380">
        <v>30.350449357336071</v>
      </c>
    </row>
    <row r="381" spans="1:10">
      <c r="A381" s="1">
        <v>53375</v>
      </c>
      <c r="B381" t="s">
        <v>12</v>
      </c>
      <c r="C381">
        <v>89</v>
      </c>
      <c r="D381">
        <v>25507.660091044814</v>
      </c>
      <c r="E381">
        <v>2.7079320284972552</v>
      </c>
      <c r="F381">
        <v>5.6099185560053613</v>
      </c>
      <c r="G381">
        <v>3.368504399840258</v>
      </c>
      <c r="H381">
        <v>121227.41929746268</v>
      </c>
      <c r="I381">
        <v>96</v>
      </c>
      <c r="J381">
        <v>50.065697520635275</v>
      </c>
    </row>
    <row r="382" spans="1:10">
      <c r="A382" s="1">
        <v>53405</v>
      </c>
      <c r="B382" t="s">
        <v>13</v>
      </c>
      <c r="C382">
        <v>98</v>
      </c>
      <c r="D382">
        <v>30140.90578684564</v>
      </c>
      <c r="F382">
        <v>3.1067230591361827</v>
      </c>
      <c r="G382">
        <v>5.4032803008438872</v>
      </c>
      <c r="H382">
        <v>110640.12397643886</v>
      </c>
      <c r="I382">
        <v>90</v>
      </c>
      <c r="J382">
        <v>27.931688982209913</v>
      </c>
    </row>
    <row r="383" spans="1:10">
      <c r="A383" s="1">
        <v>53435</v>
      </c>
      <c r="B383" t="s">
        <v>10</v>
      </c>
      <c r="C383">
        <v>110</v>
      </c>
      <c r="D383">
        <v>29954.405016778983</v>
      </c>
      <c r="E383">
        <v>3.7543625116149668</v>
      </c>
      <c r="F383">
        <v>2.3168033812796121</v>
      </c>
      <c r="G383">
        <v>4.50033273159909</v>
      </c>
      <c r="H383">
        <v>107233.22122494034</v>
      </c>
      <c r="I383">
        <v>95</v>
      </c>
      <c r="J383">
        <v>69.836323534670541</v>
      </c>
    </row>
    <row r="384" spans="1:10">
      <c r="A384" s="1">
        <v>53465</v>
      </c>
      <c r="B384" t="s">
        <v>11</v>
      </c>
      <c r="C384">
        <v>93</v>
      </c>
      <c r="D384">
        <v>35429.477829157891</v>
      </c>
      <c r="E384">
        <v>2.7094046489839334</v>
      </c>
      <c r="F384">
        <v>3.0345056484805504</v>
      </c>
      <c r="H384">
        <v>135223.76249734749</v>
      </c>
      <c r="J384">
        <v>55.749935616035117</v>
      </c>
    </row>
    <row r="385" spans="1:10">
      <c r="A385" s="1">
        <v>53495</v>
      </c>
      <c r="B385" t="s">
        <v>13</v>
      </c>
      <c r="C385">
        <v>103</v>
      </c>
      <c r="D385">
        <v>32373.491164399762</v>
      </c>
      <c r="E385">
        <v>3.9475191570380579</v>
      </c>
      <c r="F385">
        <v>3.3876554258738363</v>
      </c>
      <c r="G385">
        <v>4.8405516704853584</v>
      </c>
      <c r="I385">
        <v>96</v>
      </c>
      <c r="J385">
        <v>82.238797725674942</v>
      </c>
    </row>
    <row r="386" spans="1:10">
      <c r="A386" s="1">
        <v>53525</v>
      </c>
      <c r="B386" t="s">
        <v>13</v>
      </c>
      <c r="F386">
        <v>2.1793323744428084</v>
      </c>
      <c r="G386">
        <v>5.3598809010457042</v>
      </c>
      <c r="H386">
        <v>76362.517491583974</v>
      </c>
      <c r="I386">
        <v>89</v>
      </c>
      <c r="J386">
        <v>37.637638479949587</v>
      </c>
    </row>
    <row r="387" spans="1:10">
      <c r="A387" s="1">
        <v>53555</v>
      </c>
      <c r="B387" t="s">
        <v>12</v>
      </c>
      <c r="C387">
        <v>101</v>
      </c>
      <c r="D387">
        <v>34088.831496001432</v>
      </c>
      <c r="E387">
        <v>3.5733965059927746</v>
      </c>
      <c r="F387">
        <v>42.952113559123219</v>
      </c>
      <c r="G387">
        <v>4.7373305903147163</v>
      </c>
      <c r="I387">
        <v>87</v>
      </c>
      <c r="J387">
        <v>33.165284674346793</v>
      </c>
    </row>
    <row r="388" spans="1:10">
      <c r="A388" s="1">
        <v>53585</v>
      </c>
      <c r="B388" t="s">
        <v>14</v>
      </c>
      <c r="C388">
        <v>94</v>
      </c>
      <c r="D388">
        <v>369510.37745086564</v>
      </c>
      <c r="E388">
        <v>4.3061103141277126</v>
      </c>
      <c r="F388">
        <v>2.7300707591914022</v>
      </c>
      <c r="G388">
        <v>7.5866216222239977</v>
      </c>
      <c r="H388">
        <v>1417209.4099074227</v>
      </c>
      <c r="I388">
        <v>96</v>
      </c>
      <c r="J388">
        <v>52.506578477101428</v>
      </c>
    </row>
    <row r="389" spans="1:10">
      <c r="A389" s="1">
        <v>53615</v>
      </c>
      <c r="B389" t="s">
        <v>12</v>
      </c>
      <c r="C389">
        <v>108</v>
      </c>
      <c r="D389">
        <v>32789.051531759309</v>
      </c>
      <c r="E389">
        <v>3.9484196579327659</v>
      </c>
      <c r="F389">
        <v>2.9977430890913941</v>
      </c>
      <c r="G389">
        <v>5.1145086806585063</v>
      </c>
      <c r="H389">
        <v>79704.810136282962</v>
      </c>
      <c r="I389">
        <v>102</v>
      </c>
      <c r="J389">
        <v>94.126830657470492</v>
      </c>
    </row>
    <row r="390" spans="1:10">
      <c r="A390" s="1">
        <v>53645</v>
      </c>
      <c r="B390" t="s">
        <v>10</v>
      </c>
      <c r="C390">
        <v>113</v>
      </c>
      <c r="D390">
        <v>30051.763099216903</v>
      </c>
      <c r="E390">
        <v>3.3657346760470839</v>
      </c>
      <c r="F390">
        <v>3.1659242520544613</v>
      </c>
      <c r="G390">
        <v>7.6990684521750419</v>
      </c>
      <c r="H390">
        <v>92770.744666120285</v>
      </c>
      <c r="I390">
        <v>72</v>
      </c>
      <c r="J390">
        <v>76.833745200992936</v>
      </c>
    </row>
    <row r="391" spans="1:10">
      <c r="A391" s="1">
        <v>53675</v>
      </c>
      <c r="B391" t="s">
        <v>11</v>
      </c>
      <c r="C391">
        <v>115</v>
      </c>
      <c r="D391">
        <v>23440.818838249201</v>
      </c>
      <c r="E391">
        <v>3.0544038872923562</v>
      </c>
      <c r="F391">
        <v>2.9215866106144555</v>
      </c>
      <c r="G391">
        <v>6.4769821145419195</v>
      </c>
      <c r="I391">
        <v>88</v>
      </c>
      <c r="J391">
        <v>53.513889983433494</v>
      </c>
    </row>
    <row r="392" spans="1:10">
      <c r="A392" s="1">
        <v>53705</v>
      </c>
      <c r="B392" t="s">
        <v>11</v>
      </c>
      <c r="C392">
        <v>98</v>
      </c>
      <c r="D392">
        <v>24674.431684623138</v>
      </c>
      <c r="E392">
        <v>2.4240922993353475</v>
      </c>
      <c r="F392">
        <v>3.3389405004696124</v>
      </c>
      <c r="G392">
        <v>6.0784800728024635</v>
      </c>
      <c r="H392">
        <v>98921.903019885212</v>
      </c>
      <c r="I392">
        <v>81</v>
      </c>
      <c r="J392">
        <v>61.381773580344841</v>
      </c>
    </row>
    <row r="393" spans="1:10">
      <c r="A393" s="1">
        <v>53735</v>
      </c>
      <c r="B393" t="s">
        <v>10</v>
      </c>
      <c r="C393">
        <v>93</v>
      </c>
      <c r="D393">
        <v>28473.876478226663</v>
      </c>
      <c r="E393">
        <v>3.1404233403787898</v>
      </c>
      <c r="F393">
        <v>18.827468134530768</v>
      </c>
      <c r="G393">
        <v>5.942479776781024</v>
      </c>
      <c r="H393">
        <v>80353.928392453701</v>
      </c>
      <c r="I393">
        <v>92</v>
      </c>
      <c r="J393">
        <v>26.737040894167869</v>
      </c>
    </row>
    <row r="394" spans="1:10">
      <c r="A394" s="1">
        <v>53765</v>
      </c>
      <c r="B394" t="s">
        <v>11</v>
      </c>
      <c r="C394">
        <v>104</v>
      </c>
      <c r="D394">
        <v>26952.438989203583</v>
      </c>
      <c r="F394">
        <v>1.9416982460539693</v>
      </c>
      <c r="G394">
        <v>5.9725567578595022</v>
      </c>
      <c r="H394">
        <v>122437.15712460942</v>
      </c>
      <c r="J394">
        <v>98.766071710089051</v>
      </c>
    </row>
    <row r="395" spans="1:10">
      <c r="A395" s="1">
        <v>53795</v>
      </c>
      <c r="B395" t="s">
        <v>12</v>
      </c>
      <c r="C395">
        <v>870</v>
      </c>
      <c r="D395">
        <v>29065.143485072771</v>
      </c>
      <c r="E395">
        <v>3.0064102364244079</v>
      </c>
      <c r="F395">
        <v>1.3998457670283051</v>
      </c>
      <c r="G395">
        <v>3.1867929047852681</v>
      </c>
      <c r="H395">
        <v>146400.81444034519</v>
      </c>
      <c r="I395">
        <v>102</v>
      </c>
      <c r="J395">
        <v>73.312584375593516</v>
      </c>
    </row>
    <row r="396" spans="1:10">
      <c r="A396" s="1">
        <v>53825</v>
      </c>
      <c r="B396" t="s">
        <v>12</v>
      </c>
      <c r="C396">
        <v>89</v>
      </c>
      <c r="E396">
        <v>3.4343715164538478</v>
      </c>
      <c r="G396">
        <v>5.1653399270190921</v>
      </c>
      <c r="H396">
        <v>103922.62918047815</v>
      </c>
      <c r="I396">
        <v>80</v>
      </c>
      <c r="J396">
        <v>42.832325477073795</v>
      </c>
    </row>
    <row r="397" spans="1:10">
      <c r="A397" s="1">
        <v>53855</v>
      </c>
      <c r="B397" t="s">
        <v>10</v>
      </c>
      <c r="C397">
        <v>86</v>
      </c>
      <c r="D397">
        <v>32648.463771783652</v>
      </c>
      <c r="E397">
        <v>3.5384259414793839</v>
      </c>
      <c r="F397">
        <v>3.2789365035121141</v>
      </c>
      <c r="G397">
        <v>6.5141895654211854</v>
      </c>
      <c r="H397">
        <v>81918.634205279988</v>
      </c>
      <c r="I397">
        <v>84</v>
      </c>
    </row>
    <row r="398" spans="1:10">
      <c r="A398" s="1">
        <v>53885</v>
      </c>
      <c r="B398" t="s">
        <v>11</v>
      </c>
      <c r="C398">
        <v>93</v>
      </c>
      <c r="D398">
        <v>29647.506109704544</v>
      </c>
      <c r="E398">
        <v>3.3875720090959609</v>
      </c>
      <c r="F398">
        <v>2.9577728661518856</v>
      </c>
      <c r="G398">
        <v>5.4413233798310729</v>
      </c>
      <c r="H398">
        <v>69020.789498930506</v>
      </c>
      <c r="I398">
        <v>89</v>
      </c>
      <c r="J398">
        <v>28.75858928551952</v>
      </c>
    </row>
    <row r="399" spans="1:10">
      <c r="A399" s="1">
        <v>53915</v>
      </c>
      <c r="B399" t="s">
        <v>13</v>
      </c>
      <c r="C399">
        <v>104</v>
      </c>
      <c r="D399">
        <v>32432.50821913101</v>
      </c>
      <c r="E399">
        <v>3.1749987095882704</v>
      </c>
      <c r="F399">
        <v>4.1744924333475373</v>
      </c>
      <c r="G399">
        <v>3.8137721838357099</v>
      </c>
      <c r="H399">
        <v>105159.51962442361</v>
      </c>
      <c r="I399">
        <v>79</v>
      </c>
      <c r="J399">
        <v>97.266933504606683</v>
      </c>
    </row>
    <row r="400" spans="1:10">
      <c r="A400" s="1">
        <v>53945</v>
      </c>
      <c r="B400" t="s">
        <v>14</v>
      </c>
      <c r="C400">
        <v>91</v>
      </c>
      <c r="F400">
        <v>2.4944039811709535</v>
      </c>
      <c r="G400">
        <v>5.4371146593070367</v>
      </c>
      <c r="H400">
        <v>122077.54686632515</v>
      </c>
      <c r="J400">
        <v>33.982799030669277</v>
      </c>
    </row>
    <row r="401" spans="1:10">
      <c r="A401" s="1">
        <v>53975</v>
      </c>
      <c r="B401" t="s">
        <v>13</v>
      </c>
      <c r="C401">
        <v>113</v>
      </c>
      <c r="D401">
        <v>20122.667168230644</v>
      </c>
      <c r="E401">
        <v>3.7209703247847044</v>
      </c>
      <c r="F401">
        <v>3.1687416555925125</v>
      </c>
      <c r="G401">
        <v>7.5449266195065894</v>
      </c>
      <c r="H401">
        <v>1095033.5492990762</v>
      </c>
      <c r="I401">
        <v>80</v>
      </c>
      <c r="J401">
        <v>71.842425444417131</v>
      </c>
    </row>
    <row r="402" spans="1:10">
      <c r="A402" s="1">
        <v>54005</v>
      </c>
      <c r="B402" t="s">
        <v>12</v>
      </c>
      <c r="C402">
        <v>103</v>
      </c>
      <c r="D402">
        <v>25303.323030906227</v>
      </c>
      <c r="E402">
        <v>2.9548004612785768</v>
      </c>
      <c r="F402">
        <v>1.4082991238606857</v>
      </c>
      <c r="G402">
        <v>6.9962700586416631</v>
      </c>
      <c r="H402">
        <v>99951.923181622929</v>
      </c>
      <c r="I402">
        <v>89</v>
      </c>
    </row>
    <row r="403" spans="1:10">
      <c r="A403" s="1">
        <v>54035</v>
      </c>
      <c r="B403" t="s">
        <v>12</v>
      </c>
      <c r="C403">
        <v>98</v>
      </c>
      <c r="D403">
        <v>29279.562221391923</v>
      </c>
      <c r="E403">
        <v>4.2054661898731354</v>
      </c>
      <c r="F403">
        <v>2.112900297525599</v>
      </c>
      <c r="G403">
        <v>5.4255951887607621</v>
      </c>
      <c r="H403">
        <v>88214.566964213882</v>
      </c>
      <c r="I403">
        <v>75</v>
      </c>
      <c r="J403">
        <v>77.404910611882855</v>
      </c>
    </row>
    <row r="404" spans="1:10">
      <c r="A404" s="1">
        <v>54065</v>
      </c>
      <c r="B404" t="s">
        <v>12</v>
      </c>
      <c r="C404">
        <v>100</v>
      </c>
      <c r="D404">
        <v>23951.526285794462</v>
      </c>
      <c r="E404">
        <v>3.4507059338578689</v>
      </c>
      <c r="F404">
        <v>3.1955377575657775</v>
      </c>
      <c r="G404">
        <v>6.6417391324697039</v>
      </c>
      <c r="H404">
        <v>78156.72734563821</v>
      </c>
      <c r="I404">
        <v>84</v>
      </c>
      <c r="J404">
        <v>82.145709379222481</v>
      </c>
    </row>
    <row r="405" spans="1:10">
      <c r="A405" s="1">
        <v>54095</v>
      </c>
      <c r="B405" t="s">
        <v>12</v>
      </c>
      <c r="C405">
        <v>89</v>
      </c>
      <c r="D405">
        <v>32999.643649981022</v>
      </c>
      <c r="E405">
        <v>3.509424811472424</v>
      </c>
      <c r="F405">
        <v>3.3491021107431438</v>
      </c>
      <c r="G405">
        <v>5.0601915755583375</v>
      </c>
      <c r="H405">
        <v>116695.02652649765</v>
      </c>
      <c r="I405">
        <v>65</v>
      </c>
      <c r="J405">
        <v>73.873578312914617</v>
      </c>
    </row>
    <row r="406" spans="1:10">
      <c r="A406" s="1">
        <v>54125</v>
      </c>
      <c r="B406" t="s">
        <v>14</v>
      </c>
      <c r="C406">
        <v>83</v>
      </c>
      <c r="D406">
        <v>37653.754161718491</v>
      </c>
      <c r="E406">
        <v>3.8541072116282784</v>
      </c>
      <c r="F406">
        <v>2.2060330523358176</v>
      </c>
      <c r="G406">
        <v>3.4553540958079374</v>
      </c>
      <c r="H406">
        <v>118275.43242771171</v>
      </c>
      <c r="I406">
        <v>98</v>
      </c>
      <c r="J406">
        <v>69.159956820415402</v>
      </c>
    </row>
    <row r="407" spans="1:10">
      <c r="A407" s="1">
        <v>54155</v>
      </c>
      <c r="B407" t="s">
        <v>10</v>
      </c>
      <c r="C407">
        <v>92</v>
      </c>
      <c r="D407">
        <v>36093.809258486581</v>
      </c>
      <c r="E407">
        <v>3.616608065631751</v>
      </c>
      <c r="F407">
        <v>2.4284007481419332</v>
      </c>
      <c r="G407">
        <v>4.3906408142445343</v>
      </c>
      <c r="H407">
        <v>69085.404266185331</v>
      </c>
      <c r="I407">
        <v>89</v>
      </c>
      <c r="J407">
        <v>91.397527516160935</v>
      </c>
    </row>
    <row r="408" spans="1:10">
      <c r="A408" s="1">
        <v>54185</v>
      </c>
      <c r="B408" t="s">
        <v>12</v>
      </c>
      <c r="D408">
        <v>28932.785645348958</v>
      </c>
      <c r="E408">
        <v>3.9765683169566226</v>
      </c>
      <c r="F408">
        <v>0.98212625331919057</v>
      </c>
      <c r="G408">
        <v>7.3754665222098374</v>
      </c>
      <c r="H408">
        <v>131796.77956361367</v>
      </c>
      <c r="I408">
        <v>88</v>
      </c>
      <c r="J408">
        <v>26.290136879180643</v>
      </c>
    </row>
    <row r="409" spans="1:10">
      <c r="A409" s="1">
        <v>54215</v>
      </c>
      <c r="B409" t="s">
        <v>11</v>
      </c>
      <c r="D409">
        <v>37453.630684249758</v>
      </c>
      <c r="E409">
        <v>3.6435620826009121</v>
      </c>
      <c r="F409">
        <v>2.1429707991933906</v>
      </c>
      <c r="G409">
        <v>5.1712083018048354</v>
      </c>
      <c r="H409">
        <v>111481.42441788003</v>
      </c>
      <c r="I409">
        <v>98</v>
      </c>
    </row>
    <row r="410" spans="1:10">
      <c r="A410" s="1">
        <v>54245</v>
      </c>
      <c r="B410" t="s">
        <v>14</v>
      </c>
      <c r="C410">
        <v>102</v>
      </c>
      <c r="D410">
        <v>30743.337286010559</v>
      </c>
      <c r="E410">
        <v>3.1937813126797812</v>
      </c>
      <c r="F410">
        <v>3.3903831635197861</v>
      </c>
      <c r="H410">
        <v>127991.89290291586</v>
      </c>
      <c r="I410">
        <v>88</v>
      </c>
      <c r="J410">
        <v>39.862998370467679</v>
      </c>
    </row>
    <row r="411" spans="1:10">
      <c r="A411" s="1">
        <v>54275</v>
      </c>
      <c r="B411" t="s">
        <v>12</v>
      </c>
      <c r="C411">
        <v>107</v>
      </c>
      <c r="D411">
        <v>28314.570144409805</v>
      </c>
      <c r="E411">
        <v>3.6807517626030508</v>
      </c>
      <c r="F411">
        <v>3.0752050161065663</v>
      </c>
      <c r="H411">
        <v>73157.445030297706</v>
      </c>
      <c r="I411">
        <v>89</v>
      </c>
      <c r="J411">
        <v>99.041116965233726</v>
      </c>
    </row>
    <row r="412" spans="1:10">
      <c r="A412" s="1">
        <v>54305</v>
      </c>
      <c r="B412" t="s">
        <v>11</v>
      </c>
      <c r="C412">
        <v>103</v>
      </c>
      <c r="D412">
        <v>269329.86682295299</v>
      </c>
      <c r="E412">
        <v>2.928136896339669</v>
      </c>
      <c r="F412">
        <v>3.0006657213812096</v>
      </c>
      <c r="G412">
        <v>7.784963907487608</v>
      </c>
      <c r="H412">
        <v>72683.516891691223</v>
      </c>
      <c r="I412">
        <v>103</v>
      </c>
      <c r="J412">
        <v>51.151182373349883</v>
      </c>
    </row>
    <row r="413" spans="1:10">
      <c r="A413" s="1">
        <v>54335</v>
      </c>
      <c r="B413" t="s">
        <v>12</v>
      </c>
      <c r="C413">
        <v>100</v>
      </c>
      <c r="E413">
        <v>3.5542798528882615</v>
      </c>
      <c r="F413">
        <v>2.5497736871809602</v>
      </c>
      <c r="G413">
        <v>7.4511506984344757</v>
      </c>
      <c r="H413">
        <v>97020.613804654058</v>
      </c>
      <c r="I413">
        <v>85</v>
      </c>
      <c r="J413">
        <v>78.609015939231895</v>
      </c>
    </row>
    <row r="414" spans="1:10">
      <c r="A414" s="1">
        <v>54365</v>
      </c>
      <c r="B414" t="s">
        <v>10</v>
      </c>
      <c r="D414">
        <v>28059.115907293857</v>
      </c>
      <c r="E414">
        <v>3.4833850046777695</v>
      </c>
      <c r="F414">
        <v>2.5070631586281764</v>
      </c>
      <c r="G414">
        <v>8.1625362801377612</v>
      </c>
      <c r="H414">
        <v>110055.68853790389</v>
      </c>
      <c r="I414">
        <v>90</v>
      </c>
    </row>
    <row r="415" spans="1:10">
      <c r="A415" s="1">
        <v>54395</v>
      </c>
      <c r="B415" t="s">
        <v>14</v>
      </c>
      <c r="C415">
        <v>85</v>
      </c>
      <c r="D415">
        <v>30852.08111187744</v>
      </c>
      <c r="E415">
        <v>3.3959415713637302</v>
      </c>
      <c r="F415">
        <v>1.8396788605265528</v>
      </c>
      <c r="G415">
        <v>5.3091457475199384</v>
      </c>
      <c r="H415">
        <v>135927.21645853927</v>
      </c>
      <c r="I415">
        <v>84</v>
      </c>
      <c r="J415">
        <v>36.966498998190218</v>
      </c>
    </row>
    <row r="416" spans="1:10">
      <c r="A416" s="1">
        <v>54425</v>
      </c>
      <c r="B416" t="s">
        <v>10</v>
      </c>
      <c r="C416">
        <v>107</v>
      </c>
      <c r="D416">
        <v>30802.869905249325</v>
      </c>
      <c r="E416">
        <v>3.4357312442805346</v>
      </c>
      <c r="F416">
        <v>3.1988284202025348</v>
      </c>
      <c r="G416">
        <v>5.8547493864965139</v>
      </c>
      <c r="H416">
        <v>114121.57827630264</v>
      </c>
      <c r="I416">
        <v>78</v>
      </c>
      <c r="J416">
        <v>39.119814416924108</v>
      </c>
    </row>
    <row r="417" spans="1:10">
      <c r="A417" s="1">
        <v>54455</v>
      </c>
      <c r="B417" t="s">
        <v>14</v>
      </c>
      <c r="C417">
        <v>106</v>
      </c>
      <c r="D417">
        <v>30015.230100767072</v>
      </c>
      <c r="E417">
        <v>2.5590754772511803</v>
      </c>
      <c r="F417">
        <v>2.9209729443893897</v>
      </c>
      <c r="G417">
        <v>3.6800289406950508</v>
      </c>
      <c r="H417">
        <v>95146.374463759334</v>
      </c>
      <c r="I417">
        <v>84</v>
      </c>
      <c r="J417">
        <v>42.502765084242725</v>
      </c>
    </row>
    <row r="418" spans="1:10">
      <c r="A418" s="1">
        <v>54485</v>
      </c>
      <c r="B418" t="s">
        <v>12</v>
      </c>
      <c r="C418">
        <v>92</v>
      </c>
      <c r="D418">
        <v>32184.690848731749</v>
      </c>
      <c r="E418">
        <v>3.2256375461295193</v>
      </c>
      <c r="F418">
        <v>2.9920188479927994</v>
      </c>
      <c r="G418">
        <v>7.2723213113419289</v>
      </c>
      <c r="H418">
        <v>79472.615846682165</v>
      </c>
      <c r="I418">
        <v>70</v>
      </c>
      <c r="J418">
        <v>52.890182260750336</v>
      </c>
    </row>
    <row r="419" spans="1:10">
      <c r="A419" s="1">
        <v>54515</v>
      </c>
      <c r="B419" t="s">
        <v>12</v>
      </c>
      <c r="C419">
        <v>110</v>
      </c>
      <c r="D419">
        <v>35953.231373931703</v>
      </c>
      <c r="F419">
        <v>1.9739651573324197</v>
      </c>
      <c r="G419">
        <v>4.0986645384784781</v>
      </c>
      <c r="H419">
        <v>124600.011454383</v>
      </c>
      <c r="I419">
        <v>74</v>
      </c>
      <c r="J419">
        <v>38.746005252042146</v>
      </c>
    </row>
    <row r="420" spans="1:10">
      <c r="A420" s="1">
        <v>54545</v>
      </c>
      <c r="B420" t="s">
        <v>14</v>
      </c>
      <c r="C420">
        <v>93</v>
      </c>
      <c r="D420">
        <v>34747.770677206616</v>
      </c>
      <c r="E420">
        <v>3.5799281959987002</v>
      </c>
      <c r="F420">
        <v>0.34665708012875562</v>
      </c>
      <c r="G420">
        <v>5.7601306765151552</v>
      </c>
      <c r="H420">
        <v>80705.89148498571</v>
      </c>
      <c r="I420">
        <v>88</v>
      </c>
      <c r="J420">
        <v>21.572118619747826</v>
      </c>
    </row>
    <row r="421" spans="1:10">
      <c r="A421" s="1">
        <v>54575</v>
      </c>
      <c r="B421" t="s">
        <v>11</v>
      </c>
      <c r="D421">
        <v>22575.510157750483</v>
      </c>
      <c r="E421">
        <v>2.9861624295370208</v>
      </c>
      <c r="F421">
        <v>3.5971527117536954</v>
      </c>
      <c r="G421">
        <v>4.1832369668405871</v>
      </c>
      <c r="H421">
        <v>132569.37109544643</v>
      </c>
      <c r="J421">
        <v>90.351444544575642</v>
      </c>
    </row>
    <row r="422" spans="1:10">
      <c r="A422" s="1">
        <v>54605</v>
      </c>
      <c r="B422" t="s">
        <v>11</v>
      </c>
      <c r="C422">
        <v>117</v>
      </c>
      <c r="D422">
        <v>17230.394325490226</v>
      </c>
      <c r="E422">
        <v>4.1328539204323507</v>
      </c>
      <c r="F422">
        <v>2.0211625439915957</v>
      </c>
      <c r="G422">
        <v>4.7933598079135651</v>
      </c>
      <c r="H422">
        <v>94312.307007869807</v>
      </c>
      <c r="I422">
        <v>74</v>
      </c>
      <c r="J422">
        <v>97.248786510470723</v>
      </c>
    </row>
    <row r="423" spans="1:10">
      <c r="A423" s="1">
        <v>54635</v>
      </c>
      <c r="B423" t="s">
        <v>12</v>
      </c>
      <c r="C423">
        <v>122</v>
      </c>
      <c r="D423">
        <v>34671.599556196365</v>
      </c>
      <c r="E423">
        <v>3.0669125758927498</v>
      </c>
      <c r="F423">
        <v>1.6372242359568794</v>
      </c>
      <c r="G423">
        <v>4.4952850827403594</v>
      </c>
      <c r="H423">
        <v>131811.641452357</v>
      </c>
      <c r="I423">
        <v>85</v>
      </c>
      <c r="J423">
        <v>473.2563096252544</v>
      </c>
    </row>
    <row r="424" spans="1:10">
      <c r="A424" s="1">
        <v>54665</v>
      </c>
      <c r="B424" t="s">
        <v>12</v>
      </c>
      <c r="C424">
        <v>90</v>
      </c>
      <c r="D424">
        <v>23165.606507922894</v>
      </c>
      <c r="E424">
        <v>3.9847286002633684</v>
      </c>
      <c r="F424">
        <v>3.1934789119139939</v>
      </c>
      <c r="G424">
        <v>4.7705496871890185</v>
      </c>
      <c r="H424">
        <v>113578.62580118557</v>
      </c>
      <c r="I424">
        <v>105</v>
      </c>
      <c r="J424">
        <v>47.080550354037825</v>
      </c>
    </row>
    <row r="425" spans="1:10">
      <c r="A425" s="1">
        <v>54695</v>
      </c>
      <c r="B425" t="s">
        <v>10</v>
      </c>
      <c r="C425">
        <v>113</v>
      </c>
      <c r="D425">
        <v>28876.172990536583</v>
      </c>
      <c r="E425">
        <v>3.7135971809358423</v>
      </c>
      <c r="F425">
        <v>2.1079873600808705</v>
      </c>
      <c r="G425">
        <v>4.853052756221226</v>
      </c>
      <c r="H425">
        <v>97260.090211150833</v>
      </c>
      <c r="I425">
        <v>75</v>
      </c>
      <c r="J425">
        <v>20.567345021949677</v>
      </c>
    </row>
    <row r="426" spans="1:10">
      <c r="A426" s="1">
        <v>54725</v>
      </c>
      <c r="B426" t="s">
        <v>12</v>
      </c>
      <c r="C426">
        <v>110</v>
      </c>
      <c r="D426">
        <v>24149.434869703204</v>
      </c>
      <c r="E426">
        <v>3.1768863450780986</v>
      </c>
      <c r="F426">
        <v>3.5599363840466216</v>
      </c>
      <c r="G426">
        <v>4.8420774460899079</v>
      </c>
      <c r="H426">
        <v>89612.072563477472</v>
      </c>
      <c r="I426">
        <v>89</v>
      </c>
      <c r="J426">
        <v>744.20055066429927</v>
      </c>
    </row>
    <row r="427" spans="1:10">
      <c r="A427" s="1">
        <v>54755</v>
      </c>
      <c r="B427" t="s">
        <v>14</v>
      </c>
      <c r="C427">
        <v>106</v>
      </c>
      <c r="D427">
        <v>20990.097812099899</v>
      </c>
      <c r="F427">
        <v>3.1170059495766975</v>
      </c>
      <c r="G427">
        <v>6.5000006941363688</v>
      </c>
      <c r="I427">
        <v>84</v>
      </c>
    </row>
    <row r="428" spans="1:10">
      <c r="A428" s="1">
        <v>54785</v>
      </c>
      <c r="B428" t="s">
        <v>11</v>
      </c>
      <c r="C428">
        <v>92</v>
      </c>
      <c r="D428">
        <v>32707.313641023939</v>
      </c>
      <c r="E428">
        <v>2.9031815841217599</v>
      </c>
      <c r="G428">
        <v>4.1741646483249761</v>
      </c>
      <c r="H428">
        <v>108566.33384750475</v>
      </c>
      <c r="I428">
        <v>91</v>
      </c>
      <c r="J428">
        <v>31.728664028800253</v>
      </c>
    </row>
    <row r="429" spans="1:10">
      <c r="A429" s="1">
        <v>54815</v>
      </c>
      <c r="B429" t="s">
        <v>11</v>
      </c>
      <c r="C429">
        <v>121</v>
      </c>
      <c r="D429">
        <v>33795.775801513235</v>
      </c>
      <c r="E429">
        <v>3.9595770868050009</v>
      </c>
      <c r="F429">
        <v>1.1340442887994657</v>
      </c>
      <c r="I429">
        <v>101</v>
      </c>
      <c r="J429">
        <v>32.773307949372061</v>
      </c>
    </row>
    <row r="430" spans="1:10">
      <c r="A430" s="1">
        <v>54845</v>
      </c>
      <c r="B430" t="s">
        <v>10</v>
      </c>
      <c r="C430">
        <v>89</v>
      </c>
      <c r="D430">
        <v>27117.447996366402</v>
      </c>
      <c r="E430">
        <v>4.0002911590214891</v>
      </c>
      <c r="F430">
        <v>3.7119439853864007</v>
      </c>
      <c r="G430">
        <v>6.9615509827666697</v>
      </c>
      <c r="H430">
        <v>88123.771838625893</v>
      </c>
      <c r="I430">
        <v>93</v>
      </c>
      <c r="J430">
        <v>83.206659997715022</v>
      </c>
    </row>
    <row r="431" spans="1:10">
      <c r="A431" s="1">
        <v>54875</v>
      </c>
      <c r="B431" t="s">
        <v>11</v>
      </c>
      <c r="C431">
        <v>117</v>
      </c>
      <c r="D431">
        <v>17044.788539275451</v>
      </c>
      <c r="E431">
        <v>3.1646898954616773</v>
      </c>
      <c r="F431">
        <v>2.761250531233856</v>
      </c>
      <c r="G431">
        <v>4.8841643625839248</v>
      </c>
      <c r="H431">
        <v>966873.71793647355</v>
      </c>
      <c r="I431">
        <v>91</v>
      </c>
      <c r="J431">
        <v>69.303259868331565</v>
      </c>
    </row>
    <row r="432" spans="1:10">
      <c r="A432" s="1">
        <v>54905</v>
      </c>
      <c r="B432" t="s">
        <v>11</v>
      </c>
      <c r="C432">
        <v>106</v>
      </c>
      <c r="D432">
        <v>27268.777758737586</v>
      </c>
      <c r="F432">
        <v>2.1307228607537967</v>
      </c>
      <c r="H432">
        <v>101571.540594383</v>
      </c>
      <c r="I432">
        <v>93</v>
      </c>
      <c r="J432">
        <v>23.588844610217361</v>
      </c>
    </row>
    <row r="433" spans="1:10">
      <c r="A433" s="1">
        <v>54935</v>
      </c>
      <c r="B433" t="s">
        <v>13</v>
      </c>
      <c r="C433">
        <v>121</v>
      </c>
      <c r="D433">
        <v>31959.020027012732</v>
      </c>
      <c r="E433">
        <v>3.3749767427005235</v>
      </c>
      <c r="F433">
        <v>2.643388467342251</v>
      </c>
      <c r="G433">
        <v>5.2233704497836992</v>
      </c>
      <c r="H433">
        <v>57425.31811170376</v>
      </c>
      <c r="I433">
        <v>98</v>
      </c>
      <c r="J433">
        <v>69.803759236982529</v>
      </c>
    </row>
    <row r="434" spans="1:10">
      <c r="A434" s="1">
        <v>54965</v>
      </c>
      <c r="B434" t="s">
        <v>14</v>
      </c>
      <c r="C434">
        <v>95</v>
      </c>
      <c r="D434">
        <v>22605.442156129357</v>
      </c>
      <c r="E434">
        <v>3.6443468146399285</v>
      </c>
      <c r="F434">
        <v>0.72376476710168003</v>
      </c>
      <c r="G434">
        <v>6.9156702500328517</v>
      </c>
      <c r="H434">
        <v>109163.36229577397</v>
      </c>
      <c r="I434">
        <v>87</v>
      </c>
      <c r="J434">
        <v>44.713417827501289</v>
      </c>
    </row>
    <row r="435" spans="1:10">
      <c r="A435" s="1">
        <v>54995</v>
      </c>
      <c r="B435" t="s">
        <v>13</v>
      </c>
      <c r="C435">
        <v>91</v>
      </c>
      <c r="D435">
        <v>30916.799598895777</v>
      </c>
      <c r="E435">
        <v>3.6301609193856104</v>
      </c>
      <c r="F435">
        <v>2.9086528114806707</v>
      </c>
      <c r="G435">
        <v>5.7329291571440288</v>
      </c>
      <c r="H435">
        <v>80405.575505663859</v>
      </c>
      <c r="I435">
        <v>88</v>
      </c>
      <c r="J435">
        <v>49.498012437667676</v>
      </c>
    </row>
    <row r="436" spans="1:10">
      <c r="A436" s="1">
        <v>55025</v>
      </c>
      <c r="B436" t="s">
        <v>11</v>
      </c>
      <c r="C436">
        <v>82</v>
      </c>
      <c r="D436">
        <v>299234.50754135021</v>
      </c>
      <c r="E436">
        <v>3.432845629264726</v>
      </c>
      <c r="F436">
        <v>1.4706284918179284</v>
      </c>
      <c r="G436">
        <v>4.8625428464708822</v>
      </c>
      <c r="H436">
        <v>76933.351935885104</v>
      </c>
      <c r="I436">
        <v>89</v>
      </c>
      <c r="J436">
        <v>815.78513463750414</v>
      </c>
    </row>
    <row r="437" spans="1:10">
      <c r="A437" s="1">
        <v>55055</v>
      </c>
      <c r="B437" t="s">
        <v>10</v>
      </c>
      <c r="C437">
        <v>950</v>
      </c>
      <c r="D437">
        <v>32896.457498005439</v>
      </c>
      <c r="E437">
        <v>3.9054041365798913</v>
      </c>
      <c r="F437">
        <v>1.1473297141564656</v>
      </c>
      <c r="G437">
        <v>6.0806519814256479</v>
      </c>
      <c r="H437">
        <v>66253.113057785784</v>
      </c>
      <c r="I437">
        <v>92</v>
      </c>
    </row>
    <row r="438" spans="1:10">
      <c r="A438" s="1">
        <v>55085</v>
      </c>
      <c r="B438" t="s">
        <v>10</v>
      </c>
      <c r="C438">
        <v>81</v>
      </c>
      <c r="D438">
        <v>30597.901842070765</v>
      </c>
      <c r="E438">
        <v>3.8967443602761067</v>
      </c>
      <c r="F438">
        <v>9.7764081378210896</v>
      </c>
      <c r="G438">
        <v>4.1772494201962918</v>
      </c>
      <c r="H438">
        <v>64122.150042642192</v>
      </c>
      <c r="I438">
        <v>99</v>
      </c>
      <c r="J438">
        <v>52.028530147186451</v>
      </c>
    </row>
    <row r="439" spans="1:10">
      <c r="A439" s="1">
        <v>55115</v>
      </c>
      <c r="B439" t="s">
        <v>11</v>
      </c>
      <c r="C439">
        <v>101</v>
      </c>
      <c r="D439">
        <v>25134.655295592223</v>
      </c>
      <c r="E439">
        <v>2.6257340133809097</v>
      </c>
      <c r="F439">
        <v>3.6126883749899252</v>
      </c>
      <c r="G439">
        <v>6.3176314125315374</v>
      </c>
      <c r="H439">
        <v>72891.049937754215</v>
      </c>
      <c r="I439">
        <v>82</v>
      </c>
      <c r="J439">
        <v>95.772234880508378</v>
      </c>
    </row>
    <row r="440" spans="1:10">
      <c r="A440" s="1">
        <v>55145</v>
      </c>
      <c r="B440" t="s">
        <v>12</v>
      </c>
      <c r="C440">
        <v>95</v>
      </c>
      <c r="D440">
        <v>35982.857508322457</v>
      </c>
      <c r="E440">
        <v>4.1521701214390765</v>
      </c>
      <c r="F440">
        <v>18.707366063072111</v>
      </c>
      <c r="G440">
        <v>5.9903287692421214</v>
      </c>
      <c r="H440">
        <v>85819.580847390185</v>
      </c>
      <c r="I440">
        <v>83</v>
      </c>
      <c r="J440">
        <v>52.51701743616578</v>
      </c>
    </row>
    <row r="441" spans="1:10">
      <c r="A441" s="1">
        <v>55175</v>
      </c>
      <c r="B441" t="s">
        <v>13</v>
      </c>
      <c r="C441">
        <v>114</v>
      </c>
      <c r="D441">
        <v>29207.352134865148</v>
      </c>
      <c r="E441">
        <v>2.6687540059821631</v>
      </c>
      <c r="F441">
        <v>4.0337277099164996</v>
      </c>
      <c r="G441">
        <v>5.1306298346333392</v>
      </c>
      <c r="H441">
        <v>139065.18275053136</v>
      </c>
      <c r="I441">
        <v>94</v>
      </c>
      <c r="J441">
        <v>81.746882818408793</v>
      </c>
    </row>
    <row r="442" spans="1:10">
      <c r="A442" s="1">
        <v>55205</v>
      </c>
      <c r="B442" t="s">
        <v>11</v>
      </c>
      <c r="C442">
        <v>92</v>
      </c>
      <c r="E442">
        <v>4.0162731021708282</v>
      </c>
      <c r="F442">
        <v>1.9641985369477022</v>
      </c>
      <c r="G442">
        <v>4.4936970418633226</v>
      </c>
      <c r="H442">
        <v>89482.406482095917</v>
      </c>
      <c r="I442">
        <v>88</v>
      </c>
      <c r="J442">
        <v>58.710181165140725</v>
      </c>
    </row>
    <row r="443" spans="1:10">
      <c r="A443" s="1">
        <v>55235</v>
      </c>
      <c r="B443" t="s">
        <v>10</v>
      </c>
      <c r="C443">
        <v>113</v>
      </c>
      <c r="D443">
        <v>25333.660204634019</v>
      </c>
      <c r="F443">
        <v>0.79264204240705327</v>
      </c>
      <c r="G443">
        <v>4.4359828932598511</v>
      </c>
      <c r="H443">
        <v>103555.00212536062</v>
      </c>
      <c r="I443">
        <v>92</v>
      </c>
      <c r="J443">
        <v>91.802586121766723</v>
      </c>
    </row>
    <row r="444" spans="1:10">
      <c r="A444" s="1">
        <v>55265</v>
      </c>
      <c r="B444" t="s">
        <v>10</v>
      </c>
      <c r="C444">
        <v>113</v>
      </c>
      <c r="D444">
        <v>27783.588744042449</v>
      </c>
      <c r="E444">
        <v>2.9545167848924008</v>
      </c>
      <c r="F444">
        <v>1.3834755600513409</v>
      </c>
      <c r="G444">
        <v>6.1417808036150925</v>
      </c>
      <c r="H444">
        <v>108009.62773012658</v>
      </c>
      <c r="I444">
        <v>78</v>
      </c>
      <c r="J444">
        <v>92.620899492014289</v>
      </c>
    </row>
    <row r="445" spans="1:10">
      <c r="A445" s="1">
        <v>55295</v>
      </c>
      <c r="B445" t="s">
        <v>13</v>
      </c>
      <c r="C445">
        <v>120</v>
      </c>
      <c r="D445">
        <v>25575.986429865494</v>
      </c>
      <c r="E445">
        <v>3.2945928560227076</v>
      </c>
      <c r="F445">
        <v>3.7358116200069387</v>
      </c>
      <c r="G445">
        <v>6.9747766029868741</v>
      </c>
      <c r="I445">
        <v>102</v>
      </c>
      <c r="J445">
        <v>26.99334462968671</v>
      </c>
    </row>
    <row r="446" spans="1:10">
      <c r="A446" s="1">
        <v>55325</v>
      </c>
      <c r="B446" t="s">
        <v>14</v>
      </c>
      <c r="C446">
        <v>108</v>
      </c>
      <c r="D446">
        <v>29135.269700382883</v>
      </c>
      <c r="E446">
        <v>2.9471476657570319</v>
      </c>
      <c r="F446">
        <v>2.3441018220633323</v>
      </c>
      <c r="G446">
        <v>4.7352307035654464</v>
      </c>
      <c r="H446">
        <v>98451.130785480127</v>
      </c>
      <c r="I446">
        <v>96</v>
      </c>
      <c r="J446">
        <v>94.919466504818061</v>
      </c>
    </row>
    <row r="447" spans="1:10">
      <c r="A447" s="1">
        <v>55355</v>
      </c>
      <c r="B447" t="s">
        <v>11</v>
      </c>
      <c r="C447">
        <v>99</v>
      </c>
      <c r="D447">
        <v>38558.542400711718</v>
      </c>
      <c r="E447">
        <v>3.3925394848556323</v>
      </c>
      <c r="F447">
        <v>1.9517127035093991</v>
      </c>
      <c r="G447">
        <v>6.0500640442617808</v>
      </c>
      <c r="H447">
        <v>76094.1247280151</v>
      </c>
      <c r="I447">
        <v>75</v>
      </c>
      <c r="J447">
        <v>86.042787321633256</v>
      </c>
    </row>
    <row r="448" spans="1:10">
      <c r="A448" s="1">
        <v>55385</v>
      </c>
      <c r="B448" t="s">
        <v>11</v>
      </c>
      <c r="C448">
        <v>108</v>
      </c>
      <c r="D448">
        <v>23140.494285343219</v>
      </c>
      <c r="E448">
        <v>3.3459828579071296</v>
      </c>
      <c r="F448">
        <v>2.6600182258527876</v>
      </c>
      <c r="G448">
        <v>2.9955675776775177</v>
      </c>
      <c r="H448">
        <v>129018.55096558423</v>
      </c>
      <c r="I448">
        <v>87</v>
      </c>
      <c r="J448">
        <v>83.304857145013358</v>
      </c>
    </row>
    <row r="449" spans="1:10">
      <c r="A449" s="1">
        <v>55415</v>
      </c>
      <c r="B449" t="s">
        <v>14</v>
      </c>
      <c r="C449">
        <v>98</v>
      </c>
      <c r="D449">
        <v>21932.193010616294</v>
      </c>
      <c r="E449">
        <v>3.8898302661346698</v>
      </c>
      <c r="F449">
        <v>3.0017827361675451</v>
      </c>
      <c r="G449">
        <v>4.7984587232113602</v>
      </c>
      <c r="H449">
        <v>136143.93287275769</v>
      </c>
      <c r="I449">
        <v>114</v>
      </c>
      <c r="J449">
        <v>36.072907174841795</v>
      </c>
    </row>
    <row r="450" spans="1:10">
      <c r="A450" s="1">
        <v>55445</v>
      </c>
      <c r="B450" t="s">
        <v>13</v>
      </c>
      <c r="C450">
        <v>92</v>
      </c>
      <c r="D450">
        <v>37355.85163746804</v>
      </c>
      <c r="E450">
        <v>4.155154373059804</v>
      </c>
      <c r="F450">
        <v>3.6173988159024608</v>
      </c>
      <c r="G450">
        <v>5.4627292805549175</v>
      </c>
      <c r="H450">
        <v>66346.826117546283</v>
      </c>
      <c r="I450">
        <v>86</v>
      </c>
      <c r="J450">
        <v>84.409536700373195</v>
      </c>
    </row>
    <row r="451" spans="1:10">
      <c r="A451" s="1">
        <v>55475</v>
      </c>
      <c r="B451" t="s">
        <v>13</v>
      </c>
      <c r="C451">
        <v>96</v>
      </c>
      <c r="D451">
        <v>28953.381614240669</v>
      </c>
      <c r="E451">
        <v>4.197841905394978</v>
      </c>
      <c r="F451">
        <v>3.948499229892926</v>
      </c>
      <c r="G451">
        <v>4.4083798996217993</v>
      </c>
      <c r="H451">
        <v>79519.428182272415</v>
      </c>
      <c r="I451">
        <v>85</v>
      </c>
      <c r="J451">
        <v>88.01061877480295</v>
      </c>
    </row>
    <row r="452" spans="1:10">
      <c r="A452" s="1">
        <v>55505</v>
      </c>
      <c r="B452" t="s">
        <v>10</v>
      </c>
      <c r="C452">
        <v>94</v>
      </c>
      <c r="D452">
        <v>26654.636306700417</v>
      </c>
      <c r="E452">
        <v>3.218915986710849</v>
      </c>
      <c r="F452">
        <v>21.402313542109145</v>
      </c>
      <c r="G452">
        <v>4.3761923502524844</v>
      </c>
      <c r="I452">
        <v>95</v>
      </c>
      <c r="J452">
        <v>43.132026756332074</v>
      </c>
    </row>
    <row r="453" spans="1:10">
      <c r="A453" s="1">
        <v>55535</v>
      </c>
      <c r="B453" t="s">
        <v>14</v>
      </c>
      <c r="C453">
        <v>75</v>
      </c>
      <c r="D453">
        <v>35199.52343698038</v>
      </c>
      <c r="E453">
        <v>3.3953890631277361</v>
      </c>
      <c r="F453">
        <v>1.1739523139179617</v>
      </c>
      <c r="G453">
        <v>4.6986645322373368</v>
      </c>
      <c r="H453">
        <v>80709.244101796168</v>
      </c>
      <c r="I453">
        <v>97</v>
      </c>
      <c r="J453">
        <v>96.180806268985904</v>
      </c>
    </row>
    <row r="454" spans="1:10">
      <c r="A454" s="1">
        <v>55565</v>
      </c>
      <c r="B454" t="s">
        <v>13</v>
      </c>
      <c r="C454">
        <v>97</v>
      </c>
      <c r="D454">
        <v>26971.922301315681</v>
      </c>
      <c r="E454">
        <v>2.658280903889525</v>
      </c>
      <c r="F454">
        <v>2.086534838876724</v>
      </c>
      <c r="G454">
        <v>5.850631273991648</v>
      </c>
      <c r="H454">
        <v>110119.31106911731</v>
      </c>
      <c r="I454">
        <v>68</v>
      </c>
      <c r="J454">
        <v>23.988811711933138</v>
      </c>
    </row>
    <row r="455" spans="1:10">
      <c r="A455" s="1">
        <v>55595</v>
      </c>
      <c r="B455" t="s">
        <v>12</v>
      </c>
      <c r="C455">
        <v>1090</v>
      </c>
      <c r="E455">
        <v>3.0970649667519057</v>
      </c>
      <c r="F455">
        <v>2.7602805065828862</v>
      </c>
      <c r="G455">
        <v>5.2752051779123503</v>
      </c>
      <c r="H455">
        <v>85434.555951867733</v>
      </c>
      <c r="I455">
        <v>86</v>
      </c>
      <c r="J455">
        <v>31.992740259771175</v>
      </c>
    </row>
    <row r="456" spans="1:10">
      <c r="A456" s="1">
        <v>55625</v>
      </c>
      <c r="B456" t="s">
        <v>11</v>
      </c>
      <c r="C456">
        <v>98</v>
      </c>
      <c r="D456">
        <v>33389.629356696343</v>
      </c>
      <c r="E456">
        <v>3.9824258165487287</v>
      </c>
      <c r="F456">
        <v>1.5362410737893892</v>
      </c>
      <c r="G456">
        <v>2.8141225200100335</v>
      </c>
      <c r="H456">
        <v>143301.12135613203</v>
      </c>
      <c r="I456">
        <v>90</v>
      </c>
      <c r="J456">
        <v>63.006491044121148</v>
      </c>
    </row>
    <row r="457" spans="1:10">
      <c r="A457" s="1">
        <v>55655</v>
      </c>
      <c r="B457" t="s">
        <v>10</v>
      </c>
      <c r="C457">
        <v>121</v>
      </c>
      <c r="D457">
        <v>27560.442959271488</v>
      </c>
      <c r="E457">
        <v>4.3077914117741161</v>
      </c>
      <c r="F457">
        <v>1.5428490851049572</v>
      </c>
      <c r="G457">
        <v>2.9551598168379205</v>
      </c>
      <c r="H457">
        <v>123810.97188687192</v>
      </c>
      <c r="I457">
        <v>80</v>
      </c>
      <c r="J457">
        <v>66.063397689784779</v>
      </c>
    </row>
    <row r="458" spans="1:10">
      <c r="A458" s="1">
        <v>55685</v>
      </c>
      <c r="B458" t="s">
        <v>14</v>
      </c>
      <c r="C458">
        <v>103</v>
      </c>
      <c r="D458">
        <v>40786.541066327518</v>
      </c>
      <c r="F458">
        <v>28.437878815498856</v>
      </c>
      <c r="G458">
        <v>4.7717617865713891</v>
      </c>
      <c r="H458">
        <v>104251.4806126443</v>
      </c>
      <c r="I458">
        <v>88</v>
      </c>
      <c r="J458">
        <v>716.12006664072271</v>
      </c>
    </row>
    <row r="459" spans="1:10">
      <c r="A459" s="1">
        <v>55715</v>
      </c>
      <c r="B459" t="s">
        <v>10</v>
      </c>
      <c r="C459">
        <v>121</v>
      </c>
      <c r="E459">
        <v>32.037678704235532</v>
      </c>
      <c r="F459">
        <v>2.4513476484295489</v>
      </c>
      <c r="G459">
        <v>6.0492239032642621</v>
      </c>
      <c r="H459">
        <v>120539.72526639464</v>
      </c>
      <c r="I459">
        <v>95</v>
      </c>
      <c r="J459">
        <v>21.357530345237315</v>
      </c>
    </row>
    <row r="460" spans="1:10">
      <c r="A460" s="1">
        <v>55745</v>
      </c>
      <c r="B460" t="s">
        <v>13</v>
      </c>
      <c r="C460">
        <v>103</v>
      </c>
      <c r="D460">
        <v>33710.476860046532</v>
      </c>
      <c r="E460">
        <v>3.4867971215205364</v>
      </c>
      <c r="F460">
        <v>2.5327969954115863</v>
      </c>
      <c r="G460">
        <v>2.2029941887297184</v>
      </c>
      <c r="H460">
        <v>122118.00848714617</v>
      </c>
      <c r="I460">
        <v>93</v>
      </c>
      <c r="J460">
        <v>96.829341969770425</v>
      </c>
    </row>
    <row r="461" spans="1:10">
      <c r="A461" s="1">
        <v>55775</v>
      </c>
      <c r="B461" t="s">
        <v>13</v>
      </c>
      <c r="C461">
        <v>91</v>
      </c>
      <c r="D461">
        <v>31496.462902032461</v>
      </c>
      <c r="F461">
        <v>1.7415046652999306</v>
      </c>
      <c r="H461">
        <v>88721.050238835131</v>
      </c>
      <c r="I461">
        <v>95</v>
      </c>
      <c r="J461">
        <v>23.567047418731519</v>
      </c>
    </row>
    <row r="462" spans="1:10">
      <c r="A462" s="1">
        <v>55805</v>
      </c>
      <c r="B462" t="s">
        <v>12</v>
      </c>
      <c r="C462">
        <v>91</v>
      </c>
      <c r="D462">
        <v>36508.706446993994</v>
      </c>
      <c r="E462">
        <v>3.0951982400391769</v>
      </c>
      <c r="F462">
        <v>2.2695992857942326</v>
      </c>
      <c r="G462">
        <v>4.8685025721790947</v>
      </c>
      <c r="H462">
        <v>83675.655109160711</v>
      </c>
      <c r="I462">
        <v>93</v>
      </c>
      <c r="J462">
        <v>31.444956217872189</v>
      </c>
    </row>
    <row r="463" spans="1:10">
      <c r="A463" s="1">
        <v>55835</v>
      </c>
      <c r="B463" t="s">
        <v>11</v>
      </c>
      <c r="D463">
        <v>37807.555983634265</v>
      </c>
      <c r="E463">
        <v>3.7120305222320447</v>
      </c>
      <c r="F463">
        <v>1.5757668557316955</v>
      </c>
      <c r="G463">
        <v>7.166005333850137</v>
      </c>
      <c r="H463">
        <v>101562.86125939294</v>
      </c>
      <c r="I463">
        <v>81</v>
      </c>
      <c r="J463">
        <v>21.12116140208456</v>
      </c>
    </row>
    <row r="464" spans="1:10">
      <c r="A464" s="1">
        <v>55865</v>
      </c>
      <c r="B464" t="s">
        <v>14</v>
      </c>
      <c r="C464">
        <v>97</v>
      </c>
      <c r="D464">
        <v>30160.020745328835</v>
      </c>
      <c r="E464">
        <v>3.263080326464542</v>
      </c>
      <c r="F464">
        <v>3.3901984111247869</v>
      </c>
      <c r="G464">
        <v>5.0379738259445634</v>
      </c>
      <c r="H464">
        <v>117232.72248995888</v>
      </c>
      <c r="I464">
        <v>89</v>
      </c>
      <c r="J464">
        <v>65.348674663527575</v>
      </c>
    </row>
    <row r="465" spans="1:10">
      <c r="A465" s="1">
        <v>55895</v>
      </c>
      <c r="B465" t="s">
        <v>10</v>
      </c>
      <c r="C465">
        <v>106</v>
      </c>
      <c r="D465">
        <v>26232.910648269084</v>
      </c>
      <c r="E465">
        <v>3.4927738645608604</v>
      </c>
      <c r="G465">
        <v>5.9595867816891142</v>
      </c>
      <c r="H465">
        <v>102781.20797306835</v>
      </c>
      <c r="I465">
        <v>73</v>
      </c>
      <c r="J465">
        <v>94.581350713677779</v>
      </c>
    </row>
    <row r="466" spans="1:10">
      <c r="A466" s="1">
        <v>55925</v>
      </c>
      <c r="B466" t="s">
        <v>11</v>
      </c>
      <c r="C466">
        <v>110</v>
      </c>
      <c r="D466">
        <v>32299.860714695584</v>
      </c>
      <c r="F466">
        <v>0.65381213776190616</v>
      </c>
      <c r="G466">
        <v>56.695085681049555</v>
      </c>
      <c r="H466">
        <v>68460.070356180047</v>
      </c>
      <c r="I466">
        <v>860</v>
      </c>
      <c r="J466">
        <v>73.275773286437129</v>
      </c>
    </row>
    <row r="467" spans="1:10">
      <c r="A467" s="1">
        <v>55955</v>
      </c>
      <c r="B467" t="s">
        <v>13</v>
      </c>
      <c r="C467">
        <v>91</v>
      </c>
      <c r="D467">
        <v>26611.423151239469</v>
      </c>
      <c r="E467">
        <v>3.5032111349054689</v>
      </c>
      <c r="F467">
        <v>1.57048913980759</v>
      </c>
      <c r="G467">
        <v>2.9433202242313592</v>
      </c>
      <c r="H467">
        <v>83943.511120983152</v>
      </c>
      <c r="I467">
        <v>91</v>
      </c>
      <c r="J467">
        <v>85.812597478434185</v>
      </c>
    </row>
    <row r="468" spans="1:10">
      <c r="A468" s="1">
        <v>55985</v>
      </c>
      <c r="B468" t="s">
        <v>11</v>
      </c>
      <c r="C468">
        <v>103</v>
      </c>
      <c r="D468">
        <v>40066.936237633112</v>
      </c>
      <c r="E468">
        <v>3.2818070547367157</v>
      </c>
      <c r="F468">
        <v>1.0034707449099209</v>
      </c>
      <c r="G468">
        <v>6.4218486599580844</v>
      </c>
      <c r="H468">
        <v>98520.542728112443</v>
      </c>
      <c r="I468">
        <v>84</v>
      </c>
      <c r="J468">
        <v>21.062496276686407</v>
      </c>
    </row>
    <row r="469" spans="1:10">
      <c r="A469" s="1">
        <v>56015</v>
      </c>
      <c r="B469" t="s">
        <v>10</v>
      </c>
      <c r="C469">
        <v>84</v>
      </c>
      <c r="D469">
        <v>30682.676655413688</v>
      </c>
      <c r="E469">
        <v>3.4451950980370847</v>
      </c>
      <c r="F469">
        <v>1.8499760655931019</v>
      </c>
      <c r="G469">
        <v>5.7584758065475459</v>
      </c>
      <c r="H469">
        <v>98486.687913483402</v>
      </c>
      <c r="I469">
        <v>81</v>
      </c>
      <c r="J469">
        <v>63.361223878378084</v>
      </c>
    </row>
    <row r="470" spans="1:10">
      <c r="A470" s="1">
        <v>56045</v>
      </c>
      <c r="B470" t="s">
        <v>11</v>
      </c>
      <c r="C470">
        <v>93</v>
      </c>
      <c r="D470">
        <v>28173.392243439455</v>
      </c>
      <c r="E470">
        <v>3.4558185203973322</v>
      </c>
      <c r="F470">
        <v>2.4165620302096391</v>
      </c>
      <c r="G470">
        <v>6.1099223676095074</v>
      </c>
      <c r="H470">
        <v>139450.84353579616</v>
      </c>
      <c r="I470">
        <v>96</v>
      </c>
      <c r="J470">
        <v>56.765038200441751</v>
      </c>
    </row>
    <row r="471" spans="1:10">
      <c r="A471" s="1">
        <v>56075</v>
      </c>
      <c r="B471" t="s">
        <v>13</v>
      </c>
      <c r="C471">
        <v>113</v>
      </c>
      <c r="D471">
        <v>309234.01529324544</v>
      </c>
      <c r="E471">
        <v>3.3149944850589361</v>
      </c>
      <c r="F471">
        <v>1.0503547803014699</v>
      </c>
      <c r="G471">
        <v>10.211485247723591</v>
      </c>
      <c r="H471">
        <v>72280.24115202004</v>
      </c>
      <c r="I471">
        <v>86</v>
      </c>
      <c r="J471">
        <v>59.917435537663444</v>
      </c>
    </row>
    <row r="472" spans="1:10">
      <c r="A472" s="1">
        <v>56105</v>
      </c>
      <c r="B472" t="s">
        <v>11</v>
      </c>
      <c r="C472">
        <v>105</v>
      </c>
      <c r="D472">
        <v>23264.368552351516</v>
      </c>
      <c r="E472">
        <v>3.370601968666449</v>
      </c>
      <c r="F472">
        <v>1.5781401868746867</v>
      </c>
      <c r="G472">
        <v>29.990644726016939</v>
      </c>
      <c r="H472">
        <v>110111.78483671749</v>
      </c>
      <c r="I472">
        <v>99</v>
      </c>
      <c r="J472">
        <v>25.777054826815036</v>
      </c>
    </row>
    <row r="473" spans="1:10">
      <c r="A473" s="1">
        <v>56135</v>
      </c>
      <c r="B473" t="s">
        <v>14</v>
      </c>
      <c r="C473">
        <v>83</v>
      </c>
      <c r="D473">
        <v>25141.929807446744</v>
      </c>
      <c r="E473">
        <v>4.2993235852523588</v>
      </c>
      <c r="F473">
        <v>1.4960426279185015</v>
      </c>
      <c r="G473">
        <v>7.5696359797133299</v>
      </c>
      <c r="H473">
        <v>129782.26216656579</v>
      </c>
      <c r="I473">
        <v>72</v>
      </c>
      <c r="J473">
        <v>74.754828885544597</v>
      </c>
    </row>
    <row r="474" spans="1:10">
      <c r="A474" s="1">
        <v>56165</v>
      </c>
      <c r="B474" t="s">
        <v>11</v>
      </c>
      <c r="C474">
        <v>96</v>
      </c>
      <c r="D474">
        <v>36002.069539722128</v>
      </c>
      <c r="E474">
        <v>3.7804597239706195</v>
      </c>
      <c r="F474">
        <v>2.707267329398944</v>
      </c>
      <c r="G474">
        <v>5.1550629767195737</v>
      </c>
      <c r="H474">
        <v>145428.99490845593</v>
      </c>
      <c r="I474">
        <v>83</v>
      </c>
      <c r="J474">
        <v>60.257633188690754</v>
      </c>
    </row>
    <row r="475" spans="1:10">
      <c r="A475" s="1">
        <v>56195</v>
      </c>
      <c r="B475" t="s">
        <v>14</v>
      </c>
      <c r="C475">
        <v>107</v>
      </c>
      <c r="D475">
        <v>26715.528605143023</v>
      </c>
      <c r="E475">
        <v>3.3522598409854196</v>
      </c>
      <c r="F475">
        <v>2.5693443370362505</v>
      </c>
      <c r="G475">
        <v>5.8447946852836115</v>
      </c>
      <c r="H475">
        <v>91912.051536320767</v>
      </c>
      <c r="I475">
        <v>98</v>
      </c>
      <c r="J475">
        <v>81.211907988901118</v>
      </c>
    </row>
    <row r="476" spans="1:10">
      <c r="A476" s="1">
        <v>56225</v>
      </c>
      <c r="B476" t="s">
        <v>11</v>
      </c>
      <c r="C476">
        <v>83</v>
      </c>
      <c r="D476">
        <v>24765.445086590302</v>
      </c>
      <c r="E476">
        <v>3.8484772022553679</v>
      </c>
      <c r="F476">
        <v>1.7782624466627466</v>
      </c>
      <c r="G476">
        <v>5.4453853056385091</v>
      </c>
      <c r="H476">
        <v>109828.589054404</v>
      </c>
      <c r="I476">
        <v>101</v>
      </c>
      <c r="J476">
        <v>58.823250724937225</v>
      </c>
    </row>
    <row r="477" spans="1:10">
      <c r="A477" s="1">
        <v>56255</v>
      </c>
      <c r="B477" t="s">
        <v>13</v>
      </c>
      <c r="C477">
        <v>105</v>
      </c>
      <c r="D477">
        <v>32683.26376263643</v>
      </c>
      <c r="E477">
        <v>3.333090255121995</v>
      </c>
      <c r="F477">
        <v>2.6768208721393978</v>
      </c>
      <c r="G477">
        <v>4.990916399922348</v>
      </c>
      <c r="H477">
        <v>111395.20714397293</v>
      </c>
      <c r="I477">
        <v>950</v>
      </c>
      <c r="J477">
        <v>31.950530898114565</v>
      </c>
    </row>
    <row r="478" spans="1:10">
      <c r="A478" s="1">
        <v>56285</v>
      </c>
      <c r="B478" t="s">
        <v>12</v>
      </c>
      <c r="C478">
        <v>112</v>
      </c>
      <c r="D478">
        <v>35928.520773314987</v>
      </c>
      <c r="E478">
        <v>4.0865623187933204</v>
      </c>
      <c r="F478">
        <v>1.9533199154127345</v>
      </c>
      <c r="G478">
        <v>4.8162004861134893</v>
      </c>
      <c r="H478">
        <v>103909.63463106581</v>
      </c>
      <c r="I478">
        <v>71</v>
      </c>
      <c r="J478">
        <v>71.860556326225762</v>
      </c>
    </row>
    <row r="479" spans="1:10">
      <c r="A479" s="1">
        <v>56315</v>
      </c>
      <c r="B479" t="s">
        <v>12</v>
      </c>
      <c r="C479">
        <v>99</v>
      </c>
      <c r="D479">
        <v>33594.766553325331</v>
      </c>
      <c r="E479">
        <v>3.6848210960990468</v>
      </c>
      <c r="F479">
        <v>2.2283448896739468</v>
      </c>
      <c r="G479">
        <v>5.8954104826876108</v>
      </c>
      <c r="H479">
        <v>98023.095975213873</v>
      </c>
      <c r="I479">
        <v>85</v>
      </c>
      <c r="J479">
        <v>33.790908968413298</v>
      </c>
    </row>
    <row r="480" spans="1:10">
      <c r="A480" s="1">
        <v>56345</v>
      </c>
      <c r="B480" t="s">
        <v>14</v>
      </c>
      <c r="C480">
        <v>111</v>
      </c>
      <c r="D480">
        <v>34980.238429029079</v>
      </c>
      <c r="E480">
        <v>3.4463489279978856</v>
      </c>
      <c r="F480">
        <v>4.1734520902985368</v>
      </c>
      <c r="G480">
        <v>3.6793915639939851</v>
      </c>
      <c r="H480">
        <v>108719.50779000092</v>
      </c>
      <c r="I480">
        <v>98</v>
      </c>
      <c r="J480">
        <v>89.791565068385196</v>
      </c>
    </row>
    <row r="481" spans="1:10">
      <c r="A481" s="1">
        <v>56375</v>
      </c>
      <c r="B481" t="s">
        <v>14</v>
      </c>
      <c r="C481">
        <v>105</v>
      </c>
      <c r="D481">
        <v>26216.024557152698</v>
      </c>
      <c r="E481">
        <v>3.723858462905139</v>
      </c>
      <c r="F481">
        <v>3.8404610517903479</v>
      </c>
      <c r="G481">
        <v>6.4006950010261185</v>
      </c>
      <c r="H481">
        <v>49355.07829560629</v>
      </c>
      <c r="I481">
        <v>100</v>
      </c>
      <c r="J481">
        <v>69.049299125539321</v>
      </c>
    </row>
    <row r="482" spans="1:10">
      <c r="A482" s="1">
        <v>56405</v>
      </c>
      <c r="B482" t="s">
        <v>12</v>
      </c>
      <c r="C482">
        <v>93</v>
      </c>
      <c r="D482">
        <v>22890.94666629078</v>
      </c>
      <c r="E482">
        <v>2.7145619239657504</v>
      </c>
      <c r="F482">
        <v>1.2004187630724024</v>
      </c>
      <c r="G482">
        <v>5.0005667141376957</v>
      </c>
      <c r="H482">
        <v>113641.38980125263</v>
      </c>
      <c r="I482">
        <v>88</v>
      </c>
      <c r="J482">
        <v>32.57631068455634</v>
      </c>
    </row>
    <row r="483" spans="1:10">
      <c r="A483" s="1">
        <v>56435</v>
      </c>
      <c r="B483" t="s">
        <v>13</v>
      </c>
      <c r="C483">
        <v>109</v>
      </c>
      <c r="D483">
        <v>37506.668259777434</v>
      </c>
      <c r="E483">
        <v>2.9366162655450974</v>
      </c>
      <c r="F483">
        <v>3.3297324178791747</v>
      </c>
      <c r="G483">
        <v>4.143916793151571</v>
      </c>
      <c r="H483">
        <v>102523.55807323934</v>
      </c>
      <c r="I483">
        <v>82</v>
      </c>
      <c r="J483">
        <v>96.987044598496539</v>
      </c>
    </row>
    <row r="484" spans="1:10">
      <c r="A484" s="1">
        <v>56465</v>
      </c>
      <c r="B484" t="s">
        <v>13</v>
      </c>
      <c r="C484">
        <v>106</v>
      </c>
      <c r="D484">
        <v>28386.60080578932</v>
      </c>
      <c r="E484">
        <v>2.9030374968004722</v>
      </c>
      <c r="F484">
        <v>33.113965544915921</v>
      </c>
      <c r="G484">
        <v>4.9599845704050232</v>
      </c>
      <c r="H484">
        <v>95550.502064434695</v>
      </c>
      <c r="I484">
        <v>930</v>
      </c>
      <c r="J484">
        <v>61.469237066825649</v>
      </c>
    </row>
    <row r="485" spans="1:10">
      <c r="A485" s="1">
        <v>56495</v>
      </c>
      <c r="B485" t="s">
        <v>11</v>
      </c>
      <c r="C485">
        <v>106</v>
      </c>
      <c r="D485">
        <v>28745.834917724762</v>
      </c>
      <c r="E485">
        <v>3.5714715473818535</v>
      </c>
      <c r="F485">
        <v>1.3517367112473817</v>
      </c>
      <c r="G485">
        <v>7.0085790602350873</v>
      </c>
      <c r="H485">
        <v>140937.24391439115</v>
      </c>
      <c r="I485">
        <v>79</v>
      </c>
      <c r="J485">
        <v>25.831876149732402</v>
      </c>
    </row>
    <row r="486" spans="1:10">
      <c r="A486" s="1">
        <v>56525</v>
      </c>
      <c r="B486" t="s">
        <v>14</v>
      </c>
      <c r="C486">
        <v>103</v>
      </c>
      <c r="D486">
        <v>36640.970709245288</v>
      </c>
      <c r="E486">
        <v>4.3662574997425461</v>
      </c>
      <c r="G486">
        <v>4.8575978955805326</v>
      </c>
      <c r="H486">
        <v>86501.319624188953</v>
      </c>
      <c r="I486">
        <v>92</v>
      </c>
      <c r="J486">
        <v>70.146632353205376</v>
      </c>
    </row>
    <row r="487" spans="1:10">
      <c r="A487" s="1">
        <v>56555</v>
      </c>
      <c r="B487" t="s">
        <v>13</v>
      </c>
      <c r="C487">
        <v>113</v>
      </c>
      <c r="D487">
        <v>32781.150047003299</v>
      </c>
      <c r="E487">
        <v>4.6156500730963161</v>
      </c>
      <c r="F487">
        <v>4.0379319184125526</v>
      </c>
      <c r="G487">
        <v>5.9301443418515447</v>
      </c>
      <c r="H487">
        <v>91938.480218699391</v>
      </c>
      <c r="J487">
        <v>40.255912561024815</v>
      </c>
    </row>
    <row r="488" spans="1:10">
      <c r="A488" s="1">
        <v>56585</v>
      </c>
      <c r="B488" t="s">
        <v>10</v>
      </c>
      <c r="C488">
        <v>111</v>
      </c>
      <c r="D488">
        <v>322794.38860408036</v>
      </c>
      <c r="E488">
        <v>3.8190255507203785</v>
      </c>
      <c r="F488">
        <v>1.3774551937555861</v>
      </c>
      <c r="G488">
        <v>4.6228524691414323</v>
      </c>
      <c r="H488">
        <v>1398310.6604409469</v>
      </c>
      <c r="I488">
        <v>92</v>
      </c>
      <c r="J488">
        <v>84.2954761501842</v>
      </c>
    </row>
    <row r="489" spans="1:10">
      <c r="A489" s="1">
        <v>56615</v>
      </c>
      <c r="B489" t="s">
        <v>11</v>
      </c>
      <c r="D489">
        <v>40825.011724505421</v>
      </c>
      <c r="E489">
        <v>3.7504222374722285</v>
      </c>
      <c r="F489">
        <v>1.5824971789857365</v>
      </c>
      <c r="G489">
        <v>6.4095062199083435</v>
      </c>
      <c r="I489">
        <v>92</v>
      </c>
      <c r="J489">
        <v>85.425765885295249</v>
      </c>
    </row>
    <row r="490" spans="1:10">
      <c r="A490" s="1">
        <v>56645</v>
      </c>
      <c r="B490" t="s">
        <v>11</v>
      </c>
      <c r="C490">
        <v>89</v>
      </c>
      <c r="D490">
        <v>26782.408848099287</v>
      </c>
      <c r="E490">
        <v>2.5994711329236306</v>
      </c>
      <c r="F490">
        <v>3.5176614668435024</v>
      </c>
      <c r="H490">
        <v>88997.69434126922</v>
      </c>
      <c r="I490">
        <v>90</v>
      </c>
      <c r="J490">
        <v>98.315788468372943</v>
      </c>
    </row>
    <row r="491" spans="1:10">
      <c r="A491" s="1">
        <v>56675</v>
      </c>
      <c r="B491" t="s">
        <v>12</v>
      </c>
      <c r="C491">
        <v>111</v>
      </c>
      <c r="D491">
        <v>34639.200640406183</v>
      </c>
      <c r="E491">
        <v>3.2286631001329891</v>
      </c>
      <c r="F491">
        <v>2.7714953108256482</v>
      </c>
      <c r="G491">
        <v>7.7183305999556939</v>
      </c>
      <c r="H491">
        <v>97059.491531382999</v>
      </c>
      <c r="I491">
        <v>82</v>
      </c>
      <c r="J491">
        <v>60.149562481960295</v>
      </c>
    </row>
    <row r="492" spans="1:10">
      <c r="A492" s="1">
        <v>56705</v>
      </c>
      <c r="B492" t="s">
        <v>14</v>
      </c>
      <c r="C492">
        <v>104</v>
      </c>
      <c r="E492">
        <v>3.1061081240458805</v>
      </c>
      <c r="F492">
        <v>3.0514762752395233</v>
      </c>
      <c r="G492">
        <v>5.2893232654009417</v>
      </c>
      <c r="H492">
        <v>1168146.8964259098</v>
      </c>
      <c r="I492">
        <v>850</v>
      </c>
      <c r="J492">
        <v>56.396550378218969</v>
      </c>
    </row>
    <row r="493" spans="1:10">
      <c r="A493" s="1">
        <v>56735</v>
      </c>
      <c r="B493" t="s">
        <v>13</v>
      </c>
      <c r="D493">
        <v>31342.961394316284</v>
      </c>
      <c r="E493">
        <v>3.1895762008744422</v>
      </c>
      <c r="F493">
        <v>2.8405892164004967</v>
      </c>
      <c r="G493">
        <v>6.3023857657094879</v>
      </c>
      <c r="H493">
        <v>104156.05014706627</v>
      </c>
      <c r="I493">
        <v>90</v>
      </c>
      <c r="J493">
        <v>802.78048435718449</v>
      </c>
    </row>
    <row r="494" spans="1:10">
      <c r="A494" s="1">
        <v>56765</v>
      </c>
      <c r="B494" t="s">
        <v>13</v>
      </c>
      <c r="C494">
        <v>109</v>
      </c>
      <c r="D494">
        <v>37642.342132062658</v>
      </c>
      <c r="E494">
        <v>3.4159280907076051</v>
      </c>
      <c r="F494">
        <v>2.890695920928144</v>
      </c>
      <c r="G494">
        <v>5.6176810474467338</v>
      </c>
      <c r="H494">
        <v>74147.493056954743</v>
      </c>
      <c r="I494">
        <v>83</v>
      </c>
      <c r="J494">
        <v>30.597652507354127</v>
      </c>
    </row>
    <row r="495" spans="1:10">
      <c r="A495" s="1">
        <v>56795</v>
      </c>
      <c r="B495" t="s">
        <v>11</v>
      </c>
      <c r="C495">
        <v>108</v>
      </c>
      <c r="D495">
        <v>32539.178781448118</v>
      </c>
      <c r="E495">
        <v>3.2639547111514364</v>
      </c>
      <c r="F495">
        <v>1.173527871688917</v>
      </c>
      <c r="G495">
        <v>7.0550461382356175</v>
      </c>
      <c r="H495">
        <v>89356.628737456209</v>
      </c>
      <c r="J495">
        <v>63.753241103449938</v>
      </c>
    </row>
    <row r="496" spans="1:10">
      <c r="A496" s="1">
        <v>56825</v>
      </c>
      <c r="B496" t="s">
        <v>14</v>
      </c>
      <c r="C496">
        <v>127</v>
      </c>
      <c r="D496">
        <v>32691.480395248163</v>
      </c>
      <c r="E496">
        <v>2.510350094812106</v>
      </c>
      <c r="F496">
        <v>3.5473177066214481</v>
      </c>
      <c r="G496">
        <v>4.6374011348695232</v>
      </c>
      <c r="H496">
        <v>87852.91133575578</v>
      </c>
      <c r="I496">
        <v>102</v>
      </c>
      <c r="J496">
        <v>63.699808010468075</v>
      </c>
    </row>
    <row r="497" spans="1:10">
      <c r="A497" s="1">
        <v>56855</v>
      </c>
      <c r="B497" t="s">
        <v>14</v>
      </c>
      <c r="C497">
        <v>104</v>
      </c>
      <c r="D497">
        <v>35362.536686549014</v>
      </c>
      <c r="E497">
        <v>3.8739551280587667</v>
      </c>
      <c r="F497">
        <v>3.6695899924277735</v>
      </c>
      <c r="G497">
        <v>6.3940063754527374</v>
      </c>
      <c r="H497">
        <v>98455.579095539084</v>
      </c>
      <c r="I497">
        <v>76</v>
      </c>
      <c r="J497">
        <v>27.157849824830976</v>
      </c>
    </row>
    <row r="498" spans="1:10">
      <c r="A498" s="1">
        <v>56885</v>
      </c>
      <c r="B498" t="s">
        <v>14</v>
      </c>
      <c r="C498">
        <v>106</v>
      </c>
      <c r="D498">
        <v>28175.236352285574</v>
      </c>
      <c r="E498">
        <v>2.9636284871300966</v>
      </c>
      <c r="F498">
        <v>2.2706092559319724</v>
      </c>
      <c r="G498">
        <v>5.2663632446599822</v>
      </c>
      <c r="H498">
        <v>108516.87317259658</v>
      </c>
      <c r="I498">
        <v>99</v>
      </c>
      <c r="J498">
        <v>53.438726840553088</v>
      </c>
    </row>
    <row r="499" spans="1:10">
      <c r="A499" s="1">
        <v>56915</v>
      </c>
      <c r="B499" t="s">
        <v>12</v>
      </c>
      <c r="C499">
        <v>94</v>
      </c>
      <c r="D499">
        <v>25803.951663304968</v>
      </c>
      <c r="E499">
        <v>3.6196234320555747</v>
      </c>
      <c r="F499">
        <v>2.4565230501861377</v>
      </c>
      <c r="G499">
        <v>5.4229741874698023</v>
      </c>
      <c r="H499">
        <v>108364.11511775944</v>
      </c>
      <c r="I499">
        <v>77</v>
      </c>
      <c r="J499">
        <v>88.262783885376152</v>
      </c>
    </row>
    <row r="500" spans="1:10">
      <c r="A500" s="1">
        <v>56945</v>
      </c>
      <c r="B500" t="s">
        <v>13</v>
      </c>
      <c r="C500">
        <v>81</v>
      </c>
      <c r="D500">
        <v>24775.954029894834</v>
      </c>
      <c r="E500">
        <v>4.5370413348749867</v>
      </c>
      <c r="F500">
        <v>0.96889249744427786</v>
      </c>
      <c r="G500">
        <v>5.6101029813380476</v>
      </c>
      <c r="H500">
        <v>64479.764919031957</v>
      </c>
      <c r="I500">
        <v>101</v>
      </c>
      <c r="J500">
        <v>88.492289759572827</v>
      </c>
    </row>
    <row r="501" spans="1:10">
      <c r="A501" s="1">
        <v>56975</v>
      </c>
      <c r="B501" t="s">
        <v>14</v>
      </c>
      <c r="C501">
        <v>95</v>
      </c>
      <c r="D501">
        <v>20168.217053119992</v>
      </c>
      <c r="E501">
        <v>3.0403077042067883</v>
      </c>
      <c r="F501">
        <v>3.0142547560178348</v>
      </c>
      <c r="G501">
        <v>5.8026884757120127</v>
      </c>
      <c r="H501">
        <v>121278.81975121712</v>
      </c>
      <c r="I501">
        <v>94</v>
      </c>
      <c r="J501">
        <v>27.939013193574482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0BD74-8098-4551-8539-61D392761142}">
  <sheetPr codeName="Sheet2"/>
  <dimension ref="A1:P501"/>
  <sheetViews>
    <sheetView workbookViewId="0">
      <selection activeCell="K19" sqref="K19"/>
    </sheetView>
  </sheetViews>
  <sheetFormatPr defaultRowHeight="14.4"/>
  <cols>
    <col min="1" max="1" width="10.33203125" bestFit="1" customWidth="1"/>
    <col min="2" max="2" width="14.44140625" bestFit="1" customWidth="1"/>
    <col min="3" max="3" width="12.21875" bestFit="1" customWidth="1"/>
    <col min="4" max="4" width="15.33203125" bestFit="1" customWidth="1"/>
    <col min="5" max="5" width="12" bestFit="1" customWidth="1"/>
    <col min="6" max="6" width="18.88671875" bestFit="1" customWidth="1"/>
    <col min="7" max="7" width="21.44140625" bestFit="1" customWidth="1"/>
    <col min="8" max="8" width="18.33203125" bestFit="1" customWidth="1"/>
    <col min="9" max="9" width="18.109375" bestFit="1" customWidth="1"/>
    <col min="10" max="10" width="22" bestFit="1" customWidth="1"/>
  </cols>
  <sheetData>
    <row r="1" spans="1:16">
      <c r="A1" t="s">
        <v>0</v>
      </c>
      <c r="B1" t="s">
        <v>1</v>
      </c>
      <c r="C1" t="s">
        <v>2</v>
      </c>
      <c r="D1" t="s">
        <v>3</v>
      </c>
      <c r="E1" t="s">
        <v>4</v>
      </c>
      <c r="F1" t="s">
        <v>5</v>
      </c>
      <c r="G1" t="s">
        <v>6</v>
      </c>
      <c r="H1" t="s">
        <v>7</v>
      </c>
      <c r="I1" t="s">
        <v>8</v>
      </c>
      <c r="J1" t="s">
        <v>9</v>
      </c>
    </row>
    <row r="2" spans="1:16">
      <c r="A2" s="1">
        <v>42005</v>
      </c>
      <c r="B2" t="s">
        <v>10</v>
      </c>
      <c r="C2">
        <v>96</v>
      </c>
      <c r="D2">
        <v>27205.390763642059</v>
      </c>
      <c r="E2">
        <v>4.5281035649701611</v>
      </c>
      <c r="F2">
        <v>-3.0287522746329731E-2</v>
      </c>
      <c r="G2">
        <v>6.1864689300569733</v>
      </c>
      <c r="H2">
        <v>97675.419137560835</v>
      </c>
      <c r="I2">
        <v>99</v>
      </c>
      <c r="J2">
        <v>62.296585590724206</v>
      </c>
    </row>
    <row r="3" spans="1:16">
      <c r="A3" s="1">
        <v>42035</v>
      </c>
      <c r="B3" t="s">
        <v>10</v>
      </c>
      <c r="C3">
        <v>107</v>
      </c>
      <c r="D3">
        <v>31886.059375322606</v>
      </c>
      <c r="E3">
        <v>2.9483958171391587</v>
      </c>
      <c r="F3">
        <v>2.2139957781198891</v>
      </c>
      <c r="G3">
        <v>5.4253707796008266</v>
      </c>
      <c r="H3">
        <v>104294.26366341053</v>
      </c>
      <c r="I3">
        <v>100</v>
      </c>
      <c r="J3">
        <v>22.750148668138017</v>
      </c>
    </row>
    <row r="4" spans="1:16">
      <c r="A4" s="1">
        <v>42065</v>
      </c>
      <c r="B4" t="s">
        <v>11</v>
      </c>
      <c r="C4">
        <v>88</v>
      </c>
      <c r="E4">
        <v>3.3893731882071139</v>
      </c>
      <c r="F4">
        <v>3.6009596349985711</v>
      </c>
      <c r="G4">
        <v>6.8492240318446029</v>
      </c>
      <c r="H4">
        <v>131562.36115124368</v>
      </c>
      <c r="I4">
        <v>98</v>
      </c>
      <c r="J4">
        <v>71.117041757862765</v>
      </c>
    </row>
    <row r="5" spans="1:16">
      <c r="A5" s="1">
        <v>42095</v>
      </c>
      <c r="B5" t="s">
        <v>12</v>
      </c>
      <c r="C5">
        <v>103</v>
      </c>
      <c r="D5">
        <v>29671.248694635062</v>
      </c>
      <c r="E5">
        <v>3.3615933500555397</v>
      </c>
      <c r="F5">
        <v>44.583474542205934</v>
      </c>
      <c r="G5">
        <v>5.0991073228240715</v>
      </c>
      <c r="H5">
        <v>119708.99371230436</v>
      </c>
      <c r="I5">
        <v>88</v>
      </c>
      <c r="J5">
        <v>26.515777031292735</v>
      </c>
    </row>
    <row r="6" spans="1:16">
      <c r="A6" s="1">
        <v>42125</v>
      </c>
      <c r="B6" t="s">
        <v>12</v>
      </c>
      <c r="C6">
        <v>111</v>
      </c>
      <c r="D6">
        <v>27224.002366534009</v>
      </c>
      <c r="E6">
        <v>3.6537033489045503</v>
      </c>
      <c r="F6">
        <v>1.2704504055475832</v>
      </c>
      <c r="G6">
        <v>6.1775271110723207</v>
      </c>
      <c r="H6">
        <v>117383.09184993793</v>
      </c>
      <c r="I6">
        <v>91</v>
      </c>
      <c r="J6">
        <v>54.801167547217872</v>
      </c>
    </row>
    <row r="7" spans="1:16">
      <c r="A7" s="1">
        <v>42155</v>
      </c>
      <c r="B7" t="s">
        <v>12</v>
      </c>
      <c r="C7">
        <v>90</v>
      </c>
      <c r="D7">
        <v>39405.785347202953</v>
      </c>
      <c r="E7">
        <v>3.9078686062696484</v>
      </c>
      <c r="F7">
        <v>2.9966992232365217</v>
      </c>
      <c r="G7">
        <v>4.2764027935694617</v>
      </c>
      <c r="H7">
        <v>90889.209479522586</v>
      </c>
      <c r="I7">
        <v>82</v>
      </c>
      <c r="J7">
        <v>43.412407813392626</v>
      </c>
    </row>
    <row r="8" spans="1:16">
      <c r="A8" s="1">
        <v>42185</v>
      </c>
      <c r="B8" t="s">
        <v>10</v>
      </c>
      <c r="C8">
        <v>94</v>
      </c>
      <c r="D8">
        <v>22759.93049791878</v>
      </c>
      <c r="E8">
        <v>3.9302367441798727</v>
      </c>
      <c r="F8">
        <v>2.0346895432199466</v>
      </c>
      <c r="G8">
        <v>5.471737418950914</v>
      </c>
      <c r="H8">
        <v>82215.183435433515</v>
      </c>
      <c r="I8">
        <v>92</v>
      </c>
      <c r="J8">
        <v>636.34236016937041</v>
      </c>
      <c r="L8" s="31" t="s">
        <v>96</v>
      </c>
      <c r="M8" s="31"/>
      <c r="N8" s="31"/>
      <c r="O8" s="31"/>
      <c r="P8" s="31"/>
    </row>
    <row r="9" spans="1:16">
      <c r="A9" s="1">
        <v>42215</v>
      </c>
      <c r="B9" t="s">
        <v>13</v>
      </c>
      <c r="C9">
        <v>98</v>
      </c>
      <c r="D9">
        <v>19005.97021689959</v>
      </c>
      <c r="E9">
        <v>3.2084612807155306</v>
      </c>
      <c r="F9">
        <v>2.3940516456958645</v>
      </c>
      <c r="G9">
        <v>5.2907748905165972</v>
      </c>
      <c r="H9">
        <v>119106.01116475507</v>
      </c>
      <c r="I9">
        <v>71</v>
      </c>
      <c r="J9">
        <v>30.673306841856565</v>
      </c>
    </row>
    <row r="10" spans="1:16">
      <c r="A10" s="1">
        <v>42245</v>
      </c>
      <c r="B10" t="s">
        <v>10</v>
      </c>
      <c r="C10">
        <v>103</v>
      </c>
      <c r="D10">
        <v>32200.072250266661</v>
      </c>
      <c r="E10">
        <v>3.4164391431067944</v>
      </c>
      <c r="F10">
        <v>5.1443433470170348</v>
      </c>
      <c r="G10">
        <v>5.7703695064491303</v>
      </c>
      <c r="H10">
        <v>117520.93585059588</v>
      </c>
      <c r="I10">
        <v>98</v>
      </c>
      <c r="J10">
        <v>75.331472157865448</v>
      </c>
    </row>
    <row r="11" spans="1:16">
      <c r="A11" s="1">
        <v>42275</v>
      </c>
      <c r="B11" t="s">
        <v>13</v>
      </c>
      <c r="C11">
        <v>94</v>
      </c>
      <c r="D11">
        <v>27489.728878236943</v>
      </c>
      <c r="E11">
        <v>3.6412899752441499</v>
      </c>
      <c r="F11">
        <v>0.99702967160484679</v>
      </c>
      <c r="G11">
        <v>5.0565676853999699</v>
      </c>
      <c r="I11">
        <v>82</v>
      </c>
      <c r="J11">
        <v>83.600922954277621</v>
      </c>
    </row>
    <row r="12" spans="1:16">
      <c r="A12" s="1">
        <v>42305</v>
      </c>
      <c r="B12" t="s">
        <v>14</v>
      </c>
      <c r="C12">
        <v>99</v>
      </c>
      <c r="D12">
        <v>24893.835914346433</v>
      </c>
      <c r="E12">
        <v>3.3756544369082264</v>
      </c>
      <c r="F12">
        <v>27.537396614945735</v>
      </c>
      <c r="G12">
        <v>5.3422328851939991</v>
      </c>
      <c r="H12">
        <v>87920.387480615405</v>
      </c>
      <c r="J12">
        <v>33.068355979452519</v>
      </c>
    </row>
    <row r="13" spans="1:16">
      <c r="A13" s="1">
        <v>42335</v>
      </c>
      <c r="B13" t="s">
        <v>10</v>
      </c>
      <c r="C13">
        <v>90</v>
      </c>
      <c r="D13">
        <v>33541.782236496765</v>
      </c>
      <c r="E13">
        <v>4.3036727880099965</v>
      </c>
      <c r="F13">
        <v>2.9676931717654331</v>
      </c>
      <c r="G13">
        <v>6.4912566057298076</v>
      </c>
      <c r="H13">
        <v>95409.026892793059</v>
      </c>
      <c r="I13">
        <v>79</v>
      </c>
      <c r="J13">
        <v>28.345046988150571</v>
      </c>
    </row>
    <row r="14" spans="1:16">
      <c r="A14" s="1">
        <v>42365</v>
      </c>
      <c r="B14" t="s">
        <v>10</v>
      </c>
      <c r="C14">
        <v>1030</v>
      </c>
      <c r="D14">
        <v>31219.003568855995</v>
      </c>
      <c r="E14">
        <v>3.7454874758191257</v>
      </c>
      <c r="F14">
        <v>3.5857863249393471</v>
      </c>
      <c r="G14">
        <v>4.9758829153141395</v>
      </c>
      <c r="H14">
        <v>67210.316749491321</v>
      </c>
      <c r="I14">
        <v>81</v>
      </c>
      <c r="J14">
        <v>31.64123862298873</v>
      </c>
    </row>
    <row r="15" spans="1:16">
      <c r="A15" s="1">
        <v>42395</v>
      </c>
      <c r="B15" t="s">
        <v>10</v>
      </c>
      <c r="C15">
        <v>103</v>
      </c>
      <c r="D15">
        <v>27179.606846316357</v>
      </c>
      <c r="E15">
        <v>3.8674388930249086</v>
      </c>
      <c r="F15">
        <v>2.5979831534708953</v>
      </c>
      <c r="G15">
        <v>35.721074791135848</v>
      </c>
      <c r="H15">
        <v>92150.57787878254</v>
      </c>
      <c r="I15">
        <v>690</v>
      </c>
      <c r="J15">
        <v>90.170204951880137</v>
      </c>
    </row>
    <row r="16" spans="1:16">
      <c r="A16" s="1">
        <v>42425</v>
      </c>
      <c r="B16" t="s">
        <v>12</v>
      </c>
      <c r="C16">
        <v>94</v>
      </c>
      <c r="D16">
        <v>23598.478006645528</v>
      </c>
      <c r="E16">
        <v>3.8314406343337062</v>
      </c>
      <c r="F16">
        <v>2.8080505395041024</v>
      </c>
      <c r="H16">
        <v>119931.41021158894</v>
      </c>
      <c r="I16">
        <v>90</v>
      </c>
      <c r="J16">
        <v>62.255140940508497</v>
      </c>
    </row>
    <row r="17" spans="1:10">
      <c r="A17" s="1">
        <v>42455</v>
      </c>
      <c r="B17" t="s">
        <v>12</v>
      </c>
      <c r="C17">
        <v>105</v>
      </c>
      <c r="D17">
        <v>34362.286641400722</v>
      </c>
      <c r="E17">
        <v>4.0867369287426625</v>
      </c>
      <c r="F17">
        <v>2.1083514325782087</v>
      </c>
      <c r="G17">
        <v>7.1577448944285837</v>
      </c>
      <c r="H17">
        <v>906700.92415436043</v>
      </c>
      <c r="I17">
        <v>87</v>
      </c>
      <c r="J17">
        <v>57.380879680600209</v>
      </c>
    </row>
    <row r="18" spans="1:10">
      <c r="A18" s="1">
        <v>42485</v>
      </c>
      <c r="B18" t="s">
        <v>13</v>
      </c>
      <c r="C18">
        <v>86</v>
      </c>
      <c r="D18">
        <v>33251.005889793305</v>
      </c>
      <c r="E18">
        <v>3.5905107793518534</v>
      </c>
      <c r="F18">
        <v>2.7691269412451072</v>
      </c>
      <c r="G18">
        <v>3.9492847658732577</v>
      </c>
      <c r="H18">
        <v>112809.59590401647</v>
      </c>
      <c r="I18">
        <v>78</v>
      </c>
      <c r="J18">
        <v>28.53694552818834</v>
      </c>
    </row>
    <row r="19" spans="1:10">
      <c r="A19" s="1">
        <v>42515</v>
      </c>
      <c r="B19" t="s">
        <v>13</v>
      </c>
      <c r="C19">
        <v>92</v>
      </c>
      <c r="D19">
        <v>29504.120681103086</v>
      </c>
      <c r="E19">
        <v>2.8515840260220768</v>
      </c>
      <c r="F19">
        <v>2.1568077245025896</v>
      </c>
      <c r="G19">
        <v>6.3276493662942332</v>
      </c>
      <c r="H19">
        <v>96189.93788004377</v>
      </c>
      <c r="I19">
        <v>71</v>
      </c>
      <c r="J19">
        <v>71.964480540556934</v>
      </c>
    </row>
    <row r="20" spans="1:10">
      <c r="A20" s="1">
        <v>42545</v>
      </c>
      <c r="B20" t="s">
        <v>10</v>
      </c>
      <c r="C20">
        <v>94</v>
      </c>
      <c r="D20">
        <v>39233.184980238329</v>
      </c>
      <c r="E20">
        <v>3.6998439758763206</v>
      </c>
      <c r="F20">
        <v>3.1215718898560509</v>
      </c>
      <c r="G20">
        <v>4.8964302753383881</v>
      </c>
      <c r="H20">
        <v>106481.14056443122</v>
      </c>
      <c r="I20">
        <v>92</v>
      </c>
      <c r="J20">
        <v>89.439967351607194</v>
      </c>
    </row>
    <row r="21" spans="1:10">
      <c r="A21" s="1">
        <v>42575</v>
      </c>
      <c r="B21" t="s">
        <v>13</v>
      </c>
      <c r="C21">
        <v>101</v>
      </c>
      <c r="D21">
        <v>24649.576168369236</v>
      </c>
      <c r="E21">
        <v>3.1743215531040856</v>
      </c>
      <c r="F21">
        <v>2.130389663956366</v>
      </c>
      <c r="G21">
        <v>5.8161846583972716</v>
      </c>
      <c r="H21">
        <v>77046.172203686656</v>
      </c>
      <c r="I21">
        <v>103</v>
      </c>
      <c r="J21">
        <v>86.254869545876232</v>
      </c>
    </row>
    <row r="22" spans="1:10">
      <c r="A22" s="1">
        <v>42605</v>
      </c>
      <c r="B22" t="s">
        <v>12</v>
      </c>
      <c r="C22">
        <v>103</v>
      </c>
      <c r="D22">
        <v>22372.374145376307</v>
      </c>
      <c r="E22">
        <v>3.2356916591251217</v>
      </c>
      <c r="F22">
        <v>2.8771003939021864</v>
      </c>
      <c r="G22">
        <v>5.8530689548161927</v>
      </c>
      <c r="H22">
        <v>1017041.8899267802</v>
      </c>
      <c r="I22">
        <v>114</v>
      </c>
      <c r="J22">
        <v>70.0843767184641</v>
      </c>
    </row>
    <row r="23" spans="1:10">
      <c r="A23" s="1">
        <v>42635</v>
      </c>
      <c r="B23" t="s">
        <v>13</v>
      </c>
      <c r="C23">
        <v>84</v>
      </c>
      <c r="D23">
        <v>26540.459650593777</v>
      </c>
      <c r="E23">
        <v>3.7931820093775466</v>
      </c>
      <c r="F23">
        <v>2.4707371863150218</v>
      </c>
      <c r="G23">
        <v>5.2187106396204133</v>
      </c>
      <c r="H23">
        <v>40177.280581985535</v>
      </c>
      <c r="I23">
        <v>75</v>
      </c>
    </row>
    <row r="24" spans="1:10">
      <c r="A24" s="1">
        <v>42665</v>
      </c>
      <c r="B24" t="s">
        <v>14</v>
      </c>
      <c r="C24">
        <v>76</v>
      </c>
      <c r="D24">
        <v>29772.069918222511</v>
      </c>
      <c r="E24">
        <v>4.1191415357168175</v>
      </c>
      <c r="F24">
        <v>3.6260502507721681</v>
      </c>
      <c r="G24">
        <v>4.5594812012963244</v>
      </c>
      <c r="H24">
        <v>96262.076836760301</v>
      </c>
      <c r="I24">
        <v>80</v>
      </c>
      <c r="J24">
        <v>28.991762174081039</v>
      </c>
    </row>
    <row r="25" spans="1:10">
      <c r="A25" s="1">
        <v>42695</v>
      </c>
      <c r="B25" t="s">
        <v>12</v>
      </c>
      <c r="C25">
        <v>970</v>
      </c>
      <c r="D25">
        <v>31216.697246613458</v>
      </c>
      <c r="E25">
        <v>3.510635788368031</v>
      </c>
      <c r="F25">
        <v>2.448606276411514</v>
      </c>
      <c r="G25">
        <v>4.6713507372204885</v>
      </c>
      <c r="H25">
        <v>67390.535125697206</v>
      </c>
      <c r="I25">
        <v>94</v>
      </c>
      <c r="J25">
        <v>23.944718968785974</v>
      </c>
    </row>
    <row r="26" spans="1:10">
      <c r="A26" s="1">
        <v>42725</v>
      </c>
      <c r="B26" t="s">
        <v>14</v>
      </c>
      <c r="C26">
        <v>111</v>
      </c>
      <c r="D26">
        <v>28793.819710718351</v>
      </c>
      <c r="E26">
        <v>3.6544165062994818</v>
      </c>
      <c r="F26">
        <v>0.72696753179311857</v>
      </c>
      <c r="G26">
        <v>4.4005697014225094</v>
      </c>
      <c r="H26">
        <v>124119.89033093632</v>
      </c>
      <c r="I26">
        <v>110</v>
      </c>
      <c r="J26">
        <v>40.598337319397544</v>
      </c>
    </row>
    <row r="27" spans="1:10">
      <c r="A27" s="1">
        <v>42755</v>
      </c>
      <c r="B27" t="s">
        <v>13</v>
      </c>
      <c r="C27">
        <v>93</v>
      </c>
      <c r="E27">
        <v>4.3511074723176186</v>
      </c>
      <c r="F27">
        <v>3.7619215007139917</v>
      </c>
      <c r="G27">
        <v>4.5018133501234665</v>
      </c>
      <c r="I27">
        <v>84</v>
      </c>
      <c r="J27">
        <v>30.85291737283022</v>
      </c>
    </row>
    <row r="28" spans="1:10">
      <c r="A28" s="1">
        <v>42785</v>
      </c>
      <c r="B28" t="s">
        <v>11</v>
      </c>
      <c r="C28">
        <v>87</v>
      </c>
      <c r="D28">
        <v>23742.30287904778</v>
      </c>
      <c r="E28">
        <v>3.6203765897442843</v>
      </c>
      <c r="F28">
        <v>1.5942676991373812</v>
      </c>
      <c r="G28">
        <v>5.4193860519407737</v>
      </c>
      <c r="I28">
        <v>80</v>
      </c>
      <c r="J28">
        <v>40.803843220194707</v>
      </c>
    </row>
    <row r="29" spans="1:10">
      <c r="A29" s="1">
        <v>42815</v>
      </c>
      <c r="B29" t="s">
        <v>10</v>
      </c>
      <c r="C29">
        <v>108</v>
      </c>
      <c r="D29">
        <v>37218.823020366297</v>
      </c>
      <c r="E29">
        <v>4.8008415570901972</v>
      </c>
      <c r="F29">
        <v>1.8462336613511803</v>
      </c>
      <c r="G29">
        <v>4.6410880130670975</v>
      </c>
      <c r="H29">
        <v>130420.1245431876</v>
      </c>
      <c r="I29">
        <v>77</v>
      </c>
      <c r="J29">
        <v>50.804644457516936</v>
      </c>
    </row>
    <row r="30" spans="1:10">
      <c r="A30" s="1">
        <v>42845</v>
      </c>
      <c r="B30" t="s">
        <v>12</v>
      </c>
      <c r="C30">
        <v>106</v>
      </c>
      <c r="D30">
        <v>29589.244108037157</v>
      </c>
      <c r="E30">
        <v>3.7827548228157721</v>
      </c>
      <c r="F30">
        <v>1.904338705956508</v>
      </c>
      <c r="G30">
        <v>6.3184624788551442</v>
      </c>
      <c r="H30">
        <v>81021.669583503259</v>
      </c>
      <c r="I30">
        <v>82</v>
      </c>
      <c r="J30">
        <v>95.438622725690848</v>
      </c>
    </row>
    <row r="31" spans="1:10">
      <c r="A31" s="1">
        <v>42875</v>
      </c>
      <c r="B31" t="s">
        <v>14</v>
      </c>
      <c r="C31">
        <v>108</v>
      </c>
      <c r="D31">
        <v>35586.479157940637</v>
      </c>
      <c r="E31">
        <v>2.619618620422091</v>
      </c>
      <c r="F31">
        <v>3.8744380931708173</v>
      </c>
      <c r="G31">
        <v>7.2846953864031132</v>
      </c>
      <c r="H31">
        <v>134947.26395831117</v>
      </c>
      <c r="I31">
        <v>111</v>
      </c>
      <c r="J31">
        <v>68.830084782535366</v>
      </c>
    </row>
    <row r="32" spans="1:10">
      <c r="A32" s="1">
        <v>42905</v>
      </c>
      <c r="B32" t="s">
        <v>11</v>
      </c>
      <c r="C32">
        <v>96</v>
      </c>
      <c r="D32">
        <v>31713.626731888522</v>
      </c>
      <c r="E32">
        <v>3.876670810552266</v>
      </c>
      <c r="F32">
        <v>0.3643257860213045</v>
      </c>
      <c r="G32">
        <v>4.8039361103559486</v>
      </c>
      <c r="H32">
        <v>118643.83128520769</v>
      </c>
      <c r="I32">
        <v>87</v>
      </c>
      <c r="J32">
        <v>86.797902854636988</v>
      </c>
    </row>
    <row r="33" spans="1:10">
      <c r="A33" s="1">
        <v>42935</v>
      </c>
      <c r="B33" t="s">
        <v>11</v>
      </c>
      <c r="C33">
        <v>113</v>
      </c>
      <c r="D33">
        <v>32283.766095768919</v>
      </c>
      <c r="E33">
        <v>3.6905791924413887</v>
      </c>
      <c r="G33">
        <v>5.7872854006424523</v>
      </c>
      <c r="H33">
        <v>95268.894255621082</v>
      </c>
      <c r="I33">
        <v>73</v>
      </c>
      <c r="J33">
        <v>76.828120056986577</v>
      </c>
    </row>
    <row r="34" spans="1:10">
      <c r="A34" s="1">
        <v>42965</v>
      </c>
      <c r="B34" t="s">
        <v>12</v>
      </c>
      <c r="C34">
        <v>95</v>
      </c>
      <c r="D34">
        <v>32848.836401161017</v>
      </c>
      <c r="E34">
        <v>4.1448763770413724</v>
      </c>
      <c r="G34">
        <v>6.0996221323635202</v>
      </c>
      <c r="H34">
        <v>122712.40294365888</v>
      </c>
      <c r="I34">
        <v>95</v>
      </c>
      <c r="J34">
        <v>29.00025044213054</v>
      </c>
    </row>
    <row r="35" spans="1:10">
      <c r="A35" s="1">
        <v>42995</v>
      </c>
      <c r="B35" t="s">
        <v>12</v>
      </c>
      <c r="C35">
        <v>94</v>
      </c>
      <c r="D35">
        <v>32238.542800086576</v>
      </c>
      <c r="E35">
        <v>3.8365906756349792</v>
      </c>
      <c r="F35">
        <v>2.7232389141291597</v>
      </c>
      <c r="G35">
        <v>6.0664027251031296</v>
      </c>
      <c r="H35">
        <v>77874.129751767323</v>
      </c>
      <c r="I35">
        <v>87</v>
      </c>
      <c r="J35">
        <v>78.873632509915907</v>
      </c>
    </row>
    <row r="36" spans="1:10">
      <c r="A36" s="1">
        <v>43025</v>
      </c>
      <c r="B36" t="s">
        <v>11</v>
      </c>
      <c r="C36">
        <v>107</v>
      </c>
      <c r="D36">
        <v>33213.61379933772</v>
      </c>
      <c r="E36">
        <v>3.430772008008113</v>
      </c>
      <c r="F36">
        <v>2.4451059993837134</v>
      </c>
      <c r="G36">
        <v>5.5911463214993047</v>
      </c>
      <c r="H36">
        <v>83509.716769446532</v>
      </c>
      <c r="I36">
        <v>88</v>
      </c>
      <c r="J36">
        <v>42.007910524729951</v>
      </c>
    </row>
    <row r="37" spans="1:10">
      <c r="A37" s="1">
        <v>43055</v>
      </c>
      <c r="B37" t="s">
        <v>10</v>
      </c>
      <c r="C37">
        <v>114</v>
      </c>
      <c r="D37">
        <v>36645.76265066216</v>
      </c>
      <c r="E37">
        <v>2.887850881855317</v>
      </c>
      <c r="F37">
        <v>2.7855540748576568</v>
      </c>
      <c r="G37">
        <v>6.3912189020316665</v>
      </c>
      <c r="H37">
        <v>878282.05535206001</v>
      </c>
      <c r="I37">
        <v>85</v>
      </c>
    </row>
    <row r="38" spans="1:10">
      <c r="A38" s="1">
        <v>43085</v>
      </c>
      <c r="B38" t="s">
        <v>10</v>
      </c>
      <c r="C38">
        <v>86</v>
      </c>
      <c r="D38">
        <v>30982.605848507352</v>
      </c>
      <c r="E38">
        <v>3.3954883713569872</v>
      </c>
      <c r="F38">
        <v>3.0211224283793383</v>
      </c>
      <c r="G38">
        <v>6.0786987432167887</v>
      </c>
      <c r="H38">
        <v>89420.445838719694</v>
      </c>
      <c r="I38">
        <v>93</v>
      </c>
      <c r="J38">
        <v>47.276957891439082</v>
      </c>
    </row>
    <row r="39" spans="1:10">
      <c r="A39" s="1">
        <v>43115</v>
      </c>
      <c r="B39" t="s">
        <v>14</v>
      </c>
      <c r="C39">
        <v>1080</v>
      </c>
      <c r="D39">
        <v>33545.018787942565</v>
      </c>
      <c r="E39">
        <v>3.0747397728953501</v>
      </c>
      <c r="F39">
        <v>3.1452155859500568</v>
      </c>
      <c r="G39">
        <v>4.0148050932072428</v>
      </c>
      <c r="H39">
        <v>78868.847144794941</v>
      </c>
      <c r="I39">
        <v>85</v>
      </c>
      <c r="J39">
        <v>99.813781061172733</v>
      </c>
    </row>
    <row r="40" spans="1:10">
      <c r="A40" s="1">
        <v>43145</v>
      </c>
      <c r="B40" t="s">
        <v>10</v>
      </c>
      <c r="C40">
        <v>108</v>
      </c>
      <c r="D40">
        <v>29551.321528563865</v>
      </c>
      <c r="E40">
        <v>3.2097382750976386</v>
      </c>
      <c r="F40">
        <v>3.0556044660034485</v>
      </c>
      <c r="G40">
        <v>6.5429872772671276</v>
      </c>
      <c r="H40">
        <v>124461.6613419065</v>
      </c>
      <c r="I40">
        <v>820</v>
      </c>
      <c r="J40">
        <v>41.084118359742227</v>
      </c>
    </row>
    <row r="41" spans="1:10">
      <c r="A41" s="1">
        <v>43175</v>
      </c>
      <c r="B41" t="s">
        <v>11</v>
      </c>
      <c r="C41">
        <v>101</v>
      </c>
      <c r="D41">
        <v>37200.586077247368</v>
      </c>
      <c r="E41">
        <v>37.942892022103052</v>
      </c>
      <c r="F41">
        <v>2.5895806812552489</v>
      </c>
      <c r="G41">
        <v>6.56474900472009</v>
      </c>
      <c r="H41">
        <v>94822.91199260336</v>
      </c>
      <c r="I41">
        <v>80</v>
      </c>
      <c r="J41">
        <v>42.330437661941573</v>
      </c>
    </row>
    <row r="42" spans="1:10">
      <c r="A42" s="1">
        <v>43205</v>
      </c>
      <c r="B42" t="s">
        <v>11</v>
      </c>
      <c r="C42">
        <v>94</v>
      </c>
      <c r="D42">
        <v>26618.038489703653</v>
      </c>
      <c r="E42">
        <v>4.3349522521757029</v>
      </c>
      <c r="F42">
        <v>2.3026615796926739</v>
      </c>
      <c r="G42">
        <v>4.5840566749857024</v>
      </c>
      <c r="H42">
        <v>107050.09936713759</v>
      </c>
      <c r="I42">
        <v>95</v>
      </c>
      <c r="J42">
        <v>94.453780444991864</v>
      </c>
    </row>
    <row r="43" spans="1:10">
      <c r="A43" s="1">
        <v>43235</v>
      </c>
      <c r="B43" t="s">
        <v>13</v>
      </c>
      <c r="C43">
        <v>116</v>
      </c>
      <c r="D43">
        <v>39004.702164554081</v>
      </c>
      <c r="E43">
        <v>3.6973357649114904</v>
      </c>
      <c r="G43">
        <v>5.5455254025371223</v>
      </c>
      <c r="I43">
        <v>89</v>
      </c>
      <c r="J43">
        <v>21.971552370905812</v>
      </c>
    </row>
    <row r="44" spans="1:10">
      <c r="A44" s="1">
        <v>43265</v>
      </c>
      <c r="B44" t="s">
        <v>11</v>
      </c>
      <c r="C44">
        <v>97</v>
      </c>
      <c r="D44">
        <v>29799.210246778282</v>
      </c>
      <c r="E44">
        <v>2.9020584689824078</v>
      </c>
      <c r="F44">
        <v>2.3050917196473191</v>
      </c>
      <c r="G44">
        <v>63.199947913732828</v>
      </c>
      <c r="H44">
        <v>63587.933989029654</v>
      </c>
      <c r="I44">
        <v>73</v>
      </c>
      <c r="J44">
        <v>75.735119029855753</v>
      </c>
    </row>
    <row r="45" spans="1:10">
      <c r="A45" s="1">
        <v>43295</v>
      </c>
      <c r="B45" t="s">
        <v>10</v>
      </c>
      <c r="D45">
        <v>22846.124489409758</v>
      </c>
      <c r="E45">
        <v>3.7223013341100701</v>
      </c>
      <c r="F45">
        <v>3.6337700968670648</v>
      </c>
      <c r="G45">
        <v>5.2488234165047665</v>
      </c>
      <c r="H45">
        <v>105401.14716782844</v>
      </c>
      <c r="I45">
        <v>86</v>
      </c>
      <c r="J45">
        <v>78.026111258870259</v>
      </c>
    </row>
    <row r="46" spans="1:10">
      <c r="A46" s="1">
        <v>43325</v>
      </c>
      <c r="B46" t="s">
        <v>14</v>
      </c>
      <c r="C46">
        <v>94</v>
      </c>
      <c r="D46">
        <v>30640.522074553948</v>
      </c>
      <c r="E46">
        <v>4.0983157433228259</v>
      </c>
      <c r="F46">
        <v>3.0935567222808618</v>
      </c>
      <c r="G46">
        <v>6.7875736573192142</v>
      </c>
      <c r="H46">
        <v>61754.900491604465</v>
      </c>
      <c r="I46">
        <v>82</v>
      </c>
      <c r="J46">
        <v>86.910286192831947</v>
      </c>
    </row>
    <row r="47" spans="1:10">
      <c r="A47" s="1">
        <v>43355</v>
      </c>
      <c r="B47" t="s">
        <v>13</v>
      </c>
      <c r="C47">
        <v>118</v>
      </c>
      <c r="D47">
        <v>26594.741712625597</v>
      </c>
      <c r="E47">
        <v>3.195108547840309</v>
      </c>
      <c r="F47">
        <v>-0.44038863466428024</v>
      </c>
      <c r="G47">
        <v>8.3366469935432335</v>
      </c>
      <c r="H47">
        <v>98627.319078290631</v>
      </c>
      <c r="I47">
        <v>80</v>
      </c>
      <c r="J47">
        <v>97.955144851078032</v>
      </c>
    </row>
    <row r="48" spans="1:10">
      <c r="A48" s="1">
        <v>43385</v>
      </c>
      <c r="B48" t="s">
        <v>10</v>
      </c>
      <c r="C48">
        <v>104</v>
      </c>
      <c r="D48">
        <v>34203.21774494362</v>
      </c>
      <c r="E48">
        <v>3.4329914166635414</v>
      </c>
      <c r="F48">
        <v>3.1559007765297609</v>
      </c>
      <c r="G48">
        <v>4.5568167608380215</v>
      </c>
      <c r="H48">
        <v>72633.699223343792</v>
      </c>
      <c r="I48">
        <v>85</v>
      </c>
      <c r="J48">
        <v>98.048153532532197</v>
      </c>
    </row>
    <row r="49" spans="1:10">
      <c r="A49" s="1">
        <v>43415</v>
      </c>
      <c r="B49" t="s">
        <v>14</v>
      </c>
      <c r="D49">
        <v>26736.880103488045</v>
      </c>
      <c r="E49">
        <v>3.5073440973645984</v>
      </c>
      <c r="F49">
        <v>2.6947361947187747</v>
      </c>
      <c r="G49">
        <v>3.8427464762154702</v>
      </c>
      <c r="H49">
        <v>139745.51998461617</v>
      </c>
      <c r="I49">
        <v>88</v>
      </c>
      <c r="J49">
        <v>25.222140605317112</v>
      </c>
    </row>
    <row r="50" spans="1:10">
      <c r="A50" s="1">
        <v>43445</v>
      </c>
      <c r="B50" t="s">
        <v>10</v>
      </c>
      <c r="C50">
        <v>115</v>
      </c>
      <c r="D50">
        <v>27769.082833926102</v>
      </c>
      <c r="E50">
        <v>3.1075508434588799</v>
      </c>
      <c r="F50">
        <v>2.4812912435541028</v>
      </c>
      <c r="G50">
        <v>5.8645823147258511</v>
      </c>
      <c r="H50">
        <v>118227.25444349443</v>
      </c>
      <c r="I50">
        <v>100</v>
      </c>
      <c r="J50">
        <v>85.747145820232205</v>
      </c>
    </row>
    <row r="51" spans="1:10">
      <c r="A51" s="1">
        <v>43475</v>
      </c>
      <c r="B51" t="s">
        <v>13</v>
      </c>
      <c r="C51">
        <v>94</v>
      </c>
      <c r="D51">
        <v>20552.296345272345</v>
      </c>
      <c r="E51">
        <v>3.8241402169219296</v>
      </c>
      <c r="F51">
        <v>2.1114815469111141</v>
      </c>
      <c r="G51">
        <v>6.3658750061513718</v>
      </c>
      <c r="H51">
        <v>102115.07582542961</v>
      </c>
      <c r="I51">
        <v>102</v>
      </c>
      <c r="J51">
        <v>71.704794692590497</v>
      </c>
    </row>
    <row r="52" spans="1:10">
      <c r="A52" s="1">
        <v>43505</v>
      </c>
      <c r="B52" t="s">
        <v>11</v>
      </c>
      <c r="C52">
        <v>91</v>
      </c>
      <c r="D52">
        <v>27738.468403754618</v>
      </c>
      <c r="E52">
        <v>3.4395259256961093</v>
      </c>
      <c r="F52">
        <v>3.6241127199860133</v>
      </c>
      <c r="G52">
        <v>5.222960351386277</v>
      </c>
      <c r="H52">
        <v>125274.13355309337</v>
      </c>
      <c r="I52">
        <v>95</v>
      </c>
      <c r="J52">
        <v>71.787370749847298</v>
      </c>
    </row>
    <row r="53" spans="1:10">
      <c r="A53" s="1">
        <v>43535</v>
      </c>
      <c r="B53" t="s">
        <v>13</v>
      </c>
      <c r="C53">
        <v>110</v>
      </c>
      <c r="D53">
        <v>17880.603366855219</v>
      </c>
      <c r="E53">
        <v>3.7097662219535139</v>
      </c>
      <c r="F53">
        <v>3.4475264621228581</v>
      </c>
      <c r="G53">
        <v>7.2439127959852412</v>
      </c>
      <c r="H53">
        <v>83073.680450685279</v>
      </c>
      <c r="I53">
        <v>88</v>
      </c>
      <c r="J53">
        <v>30.267994129175584</v>
      </c>
    </row>
    <row r="54" spans="1:10">
      <c r="A54" s="1">
        <v>43565</v>
      </c>
      <c r="B54" t="s">
        <v>11</v>
      </c>
      <c r="C54">
        <v>98</v>
      </c>
      <c r="D54">
        <v>22080.485882571382</v>
      </c>
      <c r="E54">
        <v>3.0562539110989499</v>
      </c>
      <c r="F54">
        <v>1.7271223321763909</v>
      </c>
      <c r="G54">
        <v>3.8936730403321018</v>
      </c>
      <c r="H54">
        <v>110869.58757340186</v>
      </c>
      <c r="I54">
        <v>87</v>
      </c>
    </row>
    <row r="55" spans="1:10">
      <c r="A55" s="1">
        <v>43595</v>
      </c>
      <c r="B55" t="s">
        <v>13</v>
      </c>
      <c r="C55">
        <v>86</v>
      </c>
      <c r="D55">
        <v>33802.073280721488</v>
      </c>
      <c r="E55">
        <v>3.281270849838295</v>
      </c>
      <c r="F55">
        <v>2.907052287124535</v>
      </c>
      <c r="G55">
        <v>6.3315023476379331</v>
      </c>
      <c r="H55">
        <v>103996.20867437427</v>
      </c>
      <c r="I55">
        <v>95</v>
      </c>
      <c r="J55">
        <v>98.598606448099829</v>
      </c>
    </row>
    <row r="56" spans="1:10">
      <c r="A56" s="1">
        <v>43625</v>
      </c>
      <c r="B56" t="s">
        <v>12</v>
      </c>
      <c r="C56">
        <v>121</v>
      </c>
      <c r="E56">
        <v>3.8611906789138857</v>
      </c>
      <c r="F56">
        <v>1.5283432654587141</v>
      </c>
      <c r="G56">
        <v>4.7729670150893284</v>
      </c>
      <c r="H56">
        <v>105280.4016266734</v>
      </c>
      <c r="I56">
        <v>78</v>
      </c>
      <c r="J56">
        <v>929.45485563155762</v>
      </c>
    </row>
    <row r="57" spans="1:10">
      <c r="A57" s="1">
        <v>43655</v>
      </c>
      <c r="B57" t="s">
        <v>10</v>
      </c>
      <c r="C57">
        <v>100</v>
      </c>
      <c r="D57">
        <v>32127.287808924822</v>
      </c>
      <c r="E57">
        <v>3.3135834239541166</v>
      </c>
      <c r="F57">
        <v>1.1203818352110695</v>
      </c>
      <c r="G57">
        <v>7.5632534874487565</v>
      </c>
      <c r="H57">
        <v>125447.07000213536</v>
      </c>
      <c r="I57">
        <v>810</v>
      </c>
      <c r="J57">
        <v>55.13045286438804</v>
      </c>
    </row>
    <row r="58" spans="1:10">
      <c r="A58" s="1">
        <v>43685</v>
      </c>
      <c r="B58" t="s">
        <v>10</v>
      </c>
      <c r="C58">
        <v>96</v>
      </c>
      <c r="D58">
        <v>25165.119284353936</v>
      </c>
      <c r="E58">
        <v>4.3634819256167026</v>
      </c>
      <c r="F58">
        <v>1.873282775410035</v>
      </c>
      <c r="G58">
        <v>7.891018423801742</v>
      </c>
      <c r="H58">
        <v>114649.84205559605</v>
      </c>
      <c r="I58">
        <v>95</v>
      </c>
      <c r="J58">
        <v>23.195837862887547</v>
      </c>
    </row>
    <row r="59" spans="1:10">
      <c r="A59" s="1">
        <v>43715</v>
      </c>
      <c r="B59" t="s">
        <v>12</v>
      </c>
      <c r="C59">
        <v>127</v>
      </c>
      <c r="D59">
        <v>29761.4432192901</v>
      </c>
      <c r="E59">
        <v>3.300181907192699</v>
      </c>
      <c r="F59">
        <v>3.3623934723827587</v>
      </c>
      <c r="G59">
        <v>4.5800120946599829</v>
      </c>
      <c r="H59">
        <v>105774.47325650047</v>
      </c>
      <c r="I59">
        <v>88</v>
      </c>
      <c r="J59">
        <v>48.98347920001639</v>
      </c>
    </row>
    <row r="60" spans="1:10">
      <c r="A60" s="1">
        <v>43745</v>
      </c>
      <c r="B60" t="s">
        <v>11</v>
      </c>
      <c r="C60">
        <v>100</v>
      </c>
      <c r="D60">
        <v>29981.987304547158</v>
      </c>
      <c r="E60">
        <v>3.612342362875943</v>
      </c>
      <c r="F60">
        <v>3.4531250453760869</v>
      </c>
      <c r="G60">
        <v>4.8405314369097034</v>
      </c>
      <c r="H60">
        <v>66902.251275434071</v>
      </c>
      <c r="J60">
        <v>86.111224928044422</v>
      </c>
    </row>
    <row r="61" spans="1:10">
      <c r="A61" s="1">
        <v>43775</v>
      </c>
      <c r="B61" t="s">
        <v>10</v>
      </c>
      <c r="C61">
        <v>93</v>
      </c>
      <c r="D61">
        <v>24208.176554037287</v>
      </c>
      <c r="E61">
        <v>3.9662954159365449</v>
      </c>
      <c r="F61">
        <v>3.0130854200972932</v>
      </c>
      <c r="G61">
        <v>6.531505464375762</v>
      </c>
      <c r="H61">
        <v>80799.074094410724</v>
      </c>
      <c r="I61">
        <v>79</v>
      </c>
      <c r="J61">
        <v>76.119928117213277</v>
      </c>
    </row>
    <row r="62" spans="1:10">
      <c r="A62" s="1">
        <v>43805</v>
      </c>
      <c r="B62" t="s">
        <v>12</v>
      </c>
      <c r="C62">
        <v>103</v>
      </c>
      <c r="D62">
        <v>37516.991508835752</v>
      </c>
      <c r="E62">
        <v>2.7908171335334844</v>
      </c>
      <c r="F62">
        <v>3.225095786847997</v>
      </c>
      <c r="G62">
        <v>5.0354432202525823</v>
      </c>
      <c r="H62">
        <v>97545.821328085513</v>
      </c>
      <c r="I62">
        <v>91</v>
      </c>
      <c r="J62">
        <v>56.747492447516514</v>
      </c>
    </row>
    <row r="63" spans="1:10">
      <c r="A63" s="1">
        <v>43835</v>
      </c>
      <c r="B63" t="s">
        <v>10</v>
      </c>
      <c r="C63">
        <v>78</v>
      </c>
      <c r="D63">
        <v>34386.811452878355</v>
      </c>
      <c r="E63">
        <v>2.6195955940096121</v>
      </c>
      <c r="F63">
        <v>3.0161782871149585</v>
      </c>
      <c r="G63">
        <v>5.4455065384813137</v>
      </c>
      <c r="H63">
        <v>101867.44748553302</v>
      </c>
      <c r="I63">
        <v>81</v>
      </c>
    </row>
    <row r="64" spans="1:10">
      <c r="A64" s="1">
        <v>43865</v>
      </c>
      <c r="B64" t="s">
        <v>14</v>
      </c>
      <c r="C64">
        <v>116</v>
      </c>
      <c r="D64">
        <v>288951.79130851681</v>
      </c>
      <c r="E64">
        <v>2.7371718427149525</v>
      </c>
      <c r="F64">
        <v>1.8585184047770478</v>
      </c>
      <c r="G64">
        <v>5.5304661046508921</v>
      </c>
      <c r="H64">
        <v>77395.925506521526</v>
      </c>
      <c r="I64">
        <v>98</v>
      </c>
      <c r="J64">
        <v>54.151578225864213</v>
      </c>
    </row>
    <row r="65" spans="1:10">
      <c r="A65" s="1">
        <v>43895</v>
      </c>
      <c r="B65" t="s">
        <v>11</v>
      </c>
      <c r="C65">
        <v>88</v>
      </c>
      <c r="D65">
        <v>30134.429194972654</v>
      </c>
      <c r="E65">
        <v>4.1312920517135909</v>
      </c>
      <c r="F65">
        <v>2.9319225446739408</v>
      </c>
      <c r="G65">
        <v>3.1963922125628126</v>
      </c>
      <c r="H65">
        <v>148233.53351156841</v>
      </c>
      <c r="I65">
        <v>83</v>
      </c>
      <c r="J65">
        <v>57.521995177430682</v>
      </c>
    </row>
    <row r="66" spans="1:10">
      <c r="A66" s="1">
        <v>43925</v>
      </c>
      <c r="B66" t="s">
        <v>14</v>
      </c>
      <c r="C66">
        <v>105</v>
      </c>
      <c r="D66">
        <v>31041.914039737763</v>
      </c>
      <c r="E66">
        <v>3.2240709270537766</v>
      </c>
      <c r="F66">
        <v>3.3004095252276824</v>
      </c>
      <c r="G66">
        <v>5.4833947046869156</v>
      </c>
      <c r="H66">
        <v>130327.88110507146</v>
      </c>
      <c r="J66">
        <v>94.284442631530879</v>
      </c>
    </row>
    <row r="67" spans="1:10">
      <c r="A67" s="1">
        <v>43955</v>
      </c>
      <c r="B67" t="s">
        <v>11</v>
      </c>
      <c r="C67">
        <v>92</v>
      </c>
      <c r="D67">
        <v>19791.325657878548</v>
      </c>
      <c r="E67">
        <v>4.7790996428341259</v>
      </c>
      <c r="F67">
        <v>3.2542913298135741</v>
      </c>
      <c r="G67">
        <v>46.723266711229918</v>
      </c>
      <c r="H67">
        <v>112042.36640784967</v>
      </c>
      <c r="I67">
        <v>97</v>
      </c>
      <c r="J67">
        <v>71.286888286572747</v>
      </c>
    </row>
    <row r="68" spans="1:10">
      <c r="A68" s="1">
        <v>43985</v>
      </c>
      <c r="B68" t="s">
        <v>12</v>
      </c>
      <c r="C68">
        <v>96</v>
      </c>
      <c r="D68">
        <v>28764.113087397014</v>
      </c>
      <c r="E68">
        <v>3.2178762006713058</v>
      </c>
      <c r="F68">
        <v>3.6889133714746429</v>
      </c>
      <c r="G68">
        <v>4.9082526131202737</v>
      </c>
      <c r="H68">
        <v>101440.73722567489</v>
      </c>
      <c r="I68">
        <v>90</v>
      </c>
      <c r="J68">
        <v>44.932233332371908</v>
      </c>
    </row>
    <row r="69" spans="1:10">
      <c r="A69" s="1">
        <v>44015</v>
      </c>
      <c r="B69" t="s">
        <v>11</v>
      </c>
      <c r="C69">
        <v>104</v>
      </c>
      <c r="D69">
        <v>26590.078760011005</v>
      </c>
      <c r="E69">
        <v>3.5922756515985186</v>
      </c>
      <c r="F69">
        <v>3.2083038472010639</v>
      </c>
      <c r="G69">
        <v>7.2323584041625768</v>
      </c>
      <c r="H69">
        <v>95755.820601976971</v>
      </c>
      <c r="I69">
        <v>83</v>
      </c>
      <c r="J69">
        <v>62.025461156057709</v>
      </c>
    </row>
    <row r="70" spans="1:10">
      <c r="A70" s="1">
        <v>44045</v>
      </c>
      <c r="B70" t="s">
        <v>11</v>
      </c>
      <c r="C70">
        <v>84</v>
      </c>
      <c r="D70">
        <v>249918.99950525421</v>
      </c>
      <c r="E70">
        <v>4.2710549762839376</v>
      </c>
      <c r="F70">
        <v>2.851448207541583</v>
      </c>
      <c r="G70">
        <v>3.9921917268648928</v>
      </c>
      <c r="H70">
        <v>80961.630799555292</v>
      </c>
      <c r="I70">
        <v>93</v>
      </c>
      <c r="J70">
        <v>25.284424625772807</v>
      </c>
    </row>
    <row r="71" spans="1:10">
      <c r="A71" s="1">
        <v>44075</v>
      </c>
      <c r="B71" t="s">
        <v>12</v>
      </c>
      <c r="C71">
        <v>95</v>
      </c>
      <c r="D71">
        <v>28594.498535570227</v>
      </c>
      <c r="E71">
        <v>4.5030464440795619</v>
      </c>
      <c r="F71">
        <v>3.5701502383164274</v>
      </c>
      <c r="G71">
        <v>64.758462240975732</v>
      </c>
      <c r="H71">
        <v>101549.61037037725</v>
      </c>
      <c r="I71">
        <v>84</v>
      </c>
      <c r="J71">
        <v>97.805458851978941</v>
      </c>
    </row>
    <row r="72" spans="1:10">
      <c r="A72" s="1">
        <v>44105</v>
      </c>
      <c r="B72" t="s">
        <v>11</v>
      </c>
      <c r="C72">
        <v>105</v>
      </c>
      <c r="D72">
        <v>38988.432634247612</v>
      </c>
      <c r="E72">
        <v>4.5307517883181987</v>
      </c>
      <c r="G72">
        <v>5.1652444836018301</v>
      </c>
      <c r="H72">
        <v>105155.05080285501</v>
      </c>
      <c r="I72">
        <v>90</v>
      </c>
      <c r="J72">
        <v>48.804792154458084</v>
      </c>
    </row>
    <row r="73" spans="1:10">
      <c r="A73" s="1">
        <v>44135</v>
      </c>
      <c r="B73" t="s">
        <v>10</v>
      </c>
      <c r="C73">
        <v>100</v>
      </c>
      <c r="D73">
        <v>33204.214306335052</v>
      </c>
      <c r="E73">
        <v>4.1041831152965713</v>
      </c>
      <c r="F73">
        <v>1.6181253487722822</v>
      </c>
      <c r="G73">
        <v>5.1642877978049988</v>
      </c>
      <c r="H73">
        <v>75164.788490367515</v>
      </c>
      <c r="I73">
        <v>97</v>
      </c>
      <c r="J73">
        <v>58.229388393050868</v>
      </c>
    </row>
    <row r="74" spans="1:10">
      <c r="A74" s="1">
        <v>44165</v>
      </c>
      <c r="B74" t="s">
        <v>13</v>
      </c>
      <c r="C74">
        <v>104</v>
      </c>
      <c r="D74">
        <v>27144.105051086015</v>
      </c>
      <c r="E74">
        <v>4.0120312629057313</v>
      </c>
      <c r="F74">
        <v>2.3369330360562359</v>
      </c>
      <c r="G74">
        <v>6.4484462752620537</v>
      </c>
      <c r="H74">
        <v>106683.52834489795</v>
      </c>
      <c r="I74">
        <v>92</v>
      </c>
      <c r="J74">
        <v>48.422717938953809</v>
      </c>
    </row>
    <row r="75" spans="1:10">
      <c r="A75" s="1">
        <v>44195</v>
      </c>
      <c r="B75" t="s">
        <v>12</v>
      </c>
      <c r="C75">
        <v>106</v>
      </c>
      <c r="D75">
        <v>32862.913906780792</v>
      </c>
      <c r="E75">
        <v>3.7962634746005914</v>
      </c>
      <c r="F75">
        <v>1.7550973551935509</v>
      </c>
      <c r="G75">
        <v>5.9080615534826686</v>
      </c>
      <c r="H75">
        <v>96894.819023505028</v>
      </c>
      <c r="I75">
        <v>80</v>
      </c>
      <c r="J75">
        <v>74.60093840929602</v>
      </c>
    </row>
    <row r="76" spans="1:10">
      <c r="A76" s="1">
        <v>44225</v>
      </c>
      <c r="B76" t="s">
        <v>13</v>
      </c>
      <c r="C76">
        <v>120</v>
      </c>
      <c r="D76">
        <v>36996.777182930011</v>
      </c>
      <c r="E76">
        <v>3.8891805380833189</v>
      </c>
      <c r="F76">
        <v>1.8248217250256185</v>
      </c>
      <c r="G76">
        <v>6.1847355966634368</v>
      </c>
      <c r="H76">
        <v>61843.848842452178</v>
      </c>
      <c r="I76">
        <v>75</v>
      </c>
      <c r="J76">
        <v>72.978572666367441</v>
      </c>
    </row>
    <row r="77" spans="1:10">
      <c r="A77" s="1">
        <v>44255</v>
      </c>
      <c r="B77" t="s">
        <v>12</v>
      </c>
      <c r="E77">
        <v>3.2244071418357332</v>
      </c>
      <c r="F77">
        <v>2.3554813292844821</v>
      </c>
      <c r="G77">
        <v>6.6618215926394333</v>
      </c>
      <c r="H77">
        <v>82792.299784409959</v>
      </c>
      <c r="I77">
        <v>91</v>
      </c>
      <c r="J77">
        <v>77.225784842330853</v>
      </c>
    </row>
    <row r="78" spans="1:10">
      <c r="A78" s="1">
        <v>44285</v>
      </c>
      <c r="B78" t="s">
        <v>12</v>
      </c>
      <c r="C78">
        <v>118</v>
      </c>
      <c r="D78">
        <v>30298.151849600872</v>
      </c>
      <c r="E78">
        <v>3.0909005582888462</v>
      </c>
      <c r="F78">
        <v>1.7075800790000386</v>
      </c>
      <c r="G78">
        <v>5.1024299401800128</v>
      </c>
      <c r="H78">
        <v>91727.889331567116</v>
      </c>
      <c r="I78">
        <v>91</v>
      </c>
      <c r="J78">
        <v>41.451458368953666</v>
      </c>
    </row>
    <row r="79" spans="1:10">
      <c r="A79" s="1">
        <v>44315</v>
      </c>
      <c r="B79" t="s">
        <v>14</v>
      </c>
      <c r="C79">
        <v>92</v>
      </c>
      <c r="D79">
        <v>26765.31611147213</v>
      </c>
      <c r="E79">
        <v>3.4983127712945241</v>
      </c>
      <c r="G79">
        <v>4.7653159185906997</v>
      </c>
      <c r="H79">
        <v>137753.75314680382</v>
      </c>
      <c r="I79">
        <v>81</v>
      </c>
      <c r="J79">
        <v>45.253478493125279</v>
      </c>
    </row>
    <row r="80" spans="1:10">
      <c r="A80" s="1">
        <v>44345</v>
      </c>
      <c r="B80" t="s">
        <v>14</v>
      </c>
      <c r="C80">
        <v>110</v>
      </c>
      <c r="D80">
        <v>33491.116568067948</v>
      </c>
      <c r="E80">
        <v>3.4149076887375358</v>
      </c>
      <c r="G80">
        <v>4.1978193681306424</v>
      </c>
      <c r="H80">
        <v>111131.06249067516</v>
      </c>
      <c r="J80">
        <v>30.020098487696636</v>
      </c>
    </row>
    <row r="81" spans="1:10">
      <c r="A81" s="1">
        <v>44375</v>
      </c>
      <c r="B81" t="s">
        <v>11</v>
      </c>
      <c r="C81">
        <v>101</v>
      </c>
      <c r="D81">
        <v>31967.426927108747</v>
      </c>
      <c r="E81">
        <v>3.2733859753363626</v>
      </c>
      <c r="F81">
        <v>2.7132937073729386</v>
      </c>
      <c r="G81">
        <v>4.5095073640252537</v>
      </c>
      <c r="H81">
        <v>73290.368618002176</v>
      </c>
      <c r="I81">
        <v>104</v>
      </c>
      <c r="J81">
        <v>72.440797747689004</v>
      </c>
    </row>
    <row r="82" spans="1:10">
      <c r="A82" s="1">
        <v>44405</v>
      </c>
      <c r="B82" t="s">
        <v>13</v>
      </c>
      <c r="C82">
        <v>84</v>
      </c>
      <c r="D82">
        <v>34475.966100138663</v>
      </c>
      <c r="E82">
        <v>3.8481937237283574</v>
      </c>
      <c r="F82">
        <v>2.5012054753622244</v>
      </c>
      <c r="G82">
        <v>9.0389133103704697</v>
      </c>
      <c r="H82">
        <v>109720.72578835273</v>
      </c>
      <c r="I82">
        <v>99</v>
      </c>
      <c r="J82">
        <v>23.183770186852204</v>
      </c>
    </row>
    <row r="83" spans="1:10">
      <c r="A83" s="1">
        <v>44435</v>
      </c>
      <c r="B83" t="s">
        <v>12</v>
      </c>
      <c r="C83">
        <v>115</v>
      </c>
      <c r="D83">
        <v>33175.859008409847</v>
      </c>
      <c r="F83">
        <v>1.6829113689318094</v>
      </c>
      <c r="G83">
        <v>6.9936154968841437</v>
      </c>
      <c r="H83">
        <v>69053.920221232693</v>
      </c>
      <c r="I83">
        <v>92</v>
      </c>
      <c r="J83">
        <v>67.814586841876718</v>
      </c>
    </row>
    <row r="84" spans="1:10">
      <c r="A84" s="1">
        <v>44465</v>
      </c>
      <c r="B84" t="s">
        <v>11</v>
      </c>
      <c r="C84">
        <v>95</v>
      </c>
      <c r="D84">
        <v>35247.763576596677</v>
      </c>
      <c r="E84">
        <v>3.5442034431459235</v>
      </c>
      <c r="F84">
        <v>3.1592456684324048</v>
      </c>
      <c r="G84">
        <v>3.8787107605503746</v>
      </c>
      <c r="H84">
        <v>121653.82107774146</v>
      </c>
      <c r="I84">
        <v>83</v>
      </c>
      <c r="J84">
        <v>89.575670788130708</v>
      </c>
    </row>
    <row r="85" spans="1:10">
      <c r="A85" s="1">
        <v>44495</v>
      </c>
      <c r="B85" t="s">
        <v>10</v>
      </c>
      <c r="C85">
        <v>114</v>
      </c>
      <c r="D85">
        <v>27323.823942197159</v>
      </c>
      <c r="E85">
        <v>4.2387650405276309</v>
      </c>
      <c r="F85">
        <v>3.4375701376265582</v>
      </c>
      <c r="G85">
        <v>3.9130504519077158</v>
      </c>
      <c r="H85">
        <v>90577.50696364243</v>
      </c>
      <c r="J85">
        <v>91.266571863170682</v>
      </c>
    </row>
    <row r="86" spans="1:10">
      <c r="A86" s="1">
        <v>44525</v>
      </c>
      <c r="B86" t="s">
        <v>12</v>
      </c>
      <c r="C86">
        <v>104</v>
      </c>
      <c r="D86">
        <v>36586.970328171628</v>
      </c>
      <c r="E86">
        <v>2.9291554429332476</v>
      </c>
      <c r="F86">
        <v>0.89244013563102587</v>
      </c>
      <c r="H86">
        <v>98127.276225216585</v>
      </c>
      <c r="I86">
        <v>91</v>
      </c>
      <c r="J86">
        <v>55.923020829596936</v>
      </c>
    </row>
    <row r="87" spans="1:10">
      <c r="A87" s="1">
        <v>44555</v>
      </c>
      <c r="B87" t="s">
        <v>10</v>
      </c>
      <c r="C87">
        <v>89</v>
      </c>
      <c r="D87">
        <v>30987.998023461998</v>
      </c>
      <c r="E87">
        <v>3.4031702703601407</v>
      </c>
      <c r="F87">
        <v>1.7372752214337859</v>
      </c>
      <c r="G87">
        <v>6.1567177568535607</v>
      </c>
      <c r="H87">
        <v>126515.93295084379</v>
      </c>
      <c r="J87">
        <v>56.744295057045903</v>
      </c>
    </row>
    <row r="88" spans="1:10">
      <c r="A88" s="1">
        <v>44585</v>
      </c>
      <c r="B88" t="s">
        <v>11</v>
      </c>
      <c r="D88">
        <v>40376.304363126328</v>
      </c>
      <c r="E88">
        <v>3.1415888396985974</v>
      </c>
      <c r="F88">
        <v>1.7308576502127018</v>
      </c>
      <c r="G88">
        <v>6.158660602380837</v>
      </c>
      <c r="H88">
        <v>74256.728628315002</v>
      </c>
      <c r="I88">
        <v>74</v>
      </c>
      <c r="J88">
        <v>26.157534640641387</v>
      </c>
    </row>
    <row r="89" spans="1:10">
      <c r="A89" s="1">
        <v>44615</v>
      </c>
      <c r="B89" t="s">
        <v>14</v>
      </c>
      <c r="C89">
        <v>85</v>
      </c>
      <c r="D89">
        <v>26554.060909552161</v>
      </c>
      <c r="E89">
        <v>2.5667316914634699</v>
      </c>
      <c r="F89">
        <v>1.5600968988911355</v>
      </c>
      <c r="G89">
        <v>5.1940530477355624</v>
      </c>
      <c r="H89">
        <v>72057.636297740173</v>
      </c>
      <c r="I89">
        <v>80</v>
      </c>
      <c r="J89">
        <v>73.661202035442855</v>
      </c>
    </row>
    <row r="90" spans="1:10">
      <c r="A90" s="1">
        <v>44645</v>
      </c>
      <c r="B90" t="s">
        <v>11</v>
      </c>
      <c r="C90">
        <v>101</v>
      </c>
      <c r="D90">
        <v>38679.819015826244</v>
      </c>
      <c r="E90">
        <v>3.4586596570786505</v>
      </c>
      <c r="F90">
        <v>3.3294748419317486</v>
      </c>
      <c r="G90">
        <v>5.3494548879965196</v>
      </c>
      <c r="H90">
        <v>88328.013473079904</v>
      </c>
      <c r="I90">
        <v>81</v>
      </c>
      <c r="J90">
        <v>85.700753629827645</v>
      </c>
    </row>
    <row r="91" spans="1:10">
      <c r="A91" s="1">
        <v>44675</v>
      </c>
      <c r="B91" t="s">
        <v>10</v>
      </c>
      <c r="C91">
        <v>104</v>
      </c>
      <c r="D91">
        <v>30989.553917313238</v>
      </c>
      <c r="E91">
        <v>3.439126245808358</v>
      </c>
      <c r="F91">
        <v>2.3061738612271965</v>
      </c>
      <c r="G91">
        <v>5.8934554289912287</v>
      </c>
      <c r="H91">
        <v>120767.57702038634</v>
      </c>
      <c r="I91">
        <v>87</v>
      </c>
      <c r="J91">
        <v>39.572404368377043</v>
      </c>
    </row>
    <row r="92" spans="1:10">
      <c r="A92" s="1">
        <v>44705</v>
      </c>
      <c r="B92" t="s">
        <v>12</v>
      </c>
      <c r="C92">
        <v>106</v>
      </c>
      <c r="E92">
        <v>4.2567248716210653</v>
      </c>
      <c r="F92">
        <v>2.2354851586893894</v>
      </c>
      <c r="G92">
        <v>5.6030716075519962</v>
      </c>
      <c r="H92">
        <v>69613.078490463144</v>
      </c>
      <c r="I92">
        <v>95</v>
      </c>
      <c r="J92">
        <v>53.704070530669171</v>
      </c>
    </row>
    <row r="93" spans="1:10">
      <c r="A93" s="1">
        <v>44735</v>
      </c>
      <c r="B93" t="s">
        <v>13</v>
      </c>
      <c r="C93">
        <v>95</v>
      </c>
      <c r="D93">
        <v>27580.570829728393</v>
      </c>
      <c r="E93">
        <v>3.8154058422773889</v>
      </c>
      <c r="F93">
        <v>0.49613763559324653</v>
      </c>
      <c r="G93">
        <v>2.836839552702958</v>
      </c>
      <c r="H93">
        <v>43356.888037788623</v>
      </c>
      <c r="I93">
        <v>108</v>
      </c>
      <c r="J93">
        <v>87.107146941221629</v>
      </c>
    </row>
    <row r="94" spans="1:10">
      <c r="A94" s="1">
        <v>44765</v>
      </c>
      <c r="B94" t="s">
        <v>11</v>
      </c>
      <c r="C94">
        <v>104</v>
      </c>
      <c r="D94">
        <v>28398.2634590284</v>
      </c>
      <c r="E94">
        <v>2.9879065878353974</v>
      </c>
      <c r="F94">
        <v>3.1354180302092263</v>
      </c>
      <c r="G94">
        <v>5.2242404433097676</v>
      </c>
      <c r="H94">
        <v>90976.822831820027</v>
      </c>
      <c r="I94">
        <v>79</v>
      </c>
      <c r="J94">
        <v>90.169637412983036</v>
      </c>
    </row>
    <row r="95" spans="1:10">
      <c r="A95" s="1">
        <v>44795</v>
      </c>
      <c r="B95" t="s">
        <v>12</v>
      </c>
      <c r="C95">
        <v>105</v>
      </c>
      <c r="D95">
        <v>32120.829732009581</v>
      </c>
      <c r="E95">
        <v>4.427046283167094</v>
      </c>
      <c r="F95">
        <v>1.2607416051465274</v>
      </c>
      <c r="G95">
        <v>4.478312278887624</v>
      </c>
      <c r="I95">
        <v>89</v>
      </c>
      <c r="J95">
        <v>39.454398421138073</v>
      </c>
    </row>
    <row r="96" spans="1:10">
      <c r="A96" s="1">
        <v>44825</v>
      </c>
      <c r="B96" t="s">
        <v>14</v>
      </c>
      <c r="C96">
        <v>84</v>
      </c>
      <c r="D96">
        <v>32614.177440177496</v>
      </c>
      <c r="E96">
        <v>4.1105168477626766</v>
      </c>
      <c r="F96">
        <v>2.5599326302663283</v>
      </c>
      <c r="G96">
        <v>5.7102537026902143</v>
      </c>
      <c r="H96">
        <v>124005.23499477659</v>
      </c>
      <c r="I96">
        <v>95</v>
      </c>
      <c r="J96">
        <v>64.045650763309141</v>
      </c>
    </row>
    <row r="97" spans="1:10">
      <c r="A97" s="1">
        <v>44855</v>
      </c>
      <c r="B97" t="s">
        <v>14</v>
      </c>
      <c r="C97">
        <v>93</v>
      </c>
      <c r="D97">
        <v>27131.499980307104</v>
      </c>
      <c r="E97">
        <v>3.7910488517343079</v>
      </c>
      <c r="F97">
        <v>2.7773769379581918</v>
      </c>
      <c r="G97">
        <v>9.0823108031240913</v>
      </c>
      <c r="H97">
        <v>90736.77275829202</v>
      </c>
      <c r="I97">
        <v>96</v>
      </c>
      <c r="J97">
        <v>35.399452050866167</v>
      </c>
    </row>
    <row r="98" spans="1:10">
      <c r="A98" s="1">
        <v>44885</v>
      </c>
      <c r="B98" t="s">
        <v>14</v>
      </c>
      <c r="C98">
        <v>115</v>
      </c>
      <c r="D98">
        <v>29878.227038695084</v>
      </c>
      <c r="E98">
        <v>3.3867579505750842</v>
      </c>
      <c r="F98">
        <v>3.8606585958386512</v>
      </c>
      <c r="G98">
        <v>5.9409779985691653</v>
      </c>
      <c r="H98">
        <v>91771.467857679949</v>
      </c>
      <c r="I98">
        <v>103</v>
      </c>
      <c r="J98">
        <v>28.150301131164525</v>
      </c>
    </row>
    <row r="99" spans="1:10">
      <c r="A99" s="1">
        <v>44915</v>
      </c>
      <c r="B99" t="s">
        <v>12</v>
      </c>
      <c r="C99">
        <v>109</v>
      </c>
      <c r="D99">
        <v>40711.351793059323</v>
      </c>
      <c r="E99">
        <v>3.0202803816382602</v>
      </c>
      <c r="F99">
        <v>1.1911796008808879</v>
      </c>
      <c r="G99">
        <v>5.1237643765931224</v>
      </c>
      <c r="H99">
        <v>123078.01468511495</v>
      </c>
      <c r="I99">
        <v>82</v>
      </c>
      <c r="J99">
        <v>92.889640111356599</v>
      </c>
    </row>
    <row r="100" spans="1:10">
      <c r="A100" s="1">
        <v>44945</v>
      </c>
      <c r="B100" t="s">
        <v>11</v>
      </c>
      <c r="C100">
        <v>102</v>
      </c>
      <c r="D100">
        <v>38637.715850503555</v>
      </c>
      <c r="E100">
        <v>3.3138966119644735</v>
      </c>
      <c r="F100">
        <v>-0.51951215582082533</v>
      </c>
      <c r="G100">
        <v>6.6061618023727027</v>
      </c>
      <c r="H100">
        <v>62605.166006091589</v>
      </c>
      <c r="I100">
        <v>83</v>
      </c>
      <c r="J100">
        <v>85.640600338568731</v>
      </c>
    </row>
    <row r="101" spans="1:10">
      <c r="A101" s="1">
        <v>44975</v>
      </c>
      <c r="B101" t="s">
        <v>12</v>
      </c>
      <c r="C101">
        <v>900</v>
      </c>
      <c r="D101">
        <v>32181.618348370161</v>
      </c>
      <c r="E101">
        <v>4.0443743098520928</v>
      </c>
      <c r="F101">
        <v>2.683849544753695</v>
      </c>
      <c r="G101">
        <v>6.0792254646510555</v>
      </c>
      <c r="H101">
        <v>92229.584496339812</v>
      </c>
      <c r="I101">
        <v>78</v>
      </c>
      <c r="J101">
        <v>80.802792144253914</v>
      </c>
    </row>
    <row r="102" spans="1:10">
      <c r="A102" s="1">
        <v>45005</v>
      </c>
      <c r="B102" t="s">
        <v>12</v>
      </c>
      <c r="C102">
        <v>93</v>
      </c>
      <c r="D102">
        <v>30190.017390841</v>
      </c>
      <c r="E102">
        <v>4.4422931529673049</v>
      </c>
      <c r="F102">
        <v>4.3005111815108537</v>
      </c>
      <c r="G102">
        <v>6.0041133885422093</v>
      </c>
      <c r="H102">
        <v>103808.47779850116</v>
      </c>
      <c r="I102">
        <v>90</v>
      </c>
      <c r="J102">
        <v>23.901305505051234</v>
      </c>
    </row>
    <row r="103" spans="1:10">
      <c r="A103" s="1">
        <v>45035</v>
      </c>
      <c r="B103" t="s">
        <v>13</v>
      </c>
      <c r="D103">
        <v>30600.156633591305</v>
      </c>
      <c r="E103">
        <v>4.2716217641360945</v>
      </c>
      <c r="F103">
        <v>3.7389463529394371</v>
      </c>
      <c r="G103">
        <v>6.2282207118588051</v>
      </c>
      <c r="H103">
        <v>108984.37442570069</v>
      </c>
      <c r="I103">
        <v>820</v>
      </c>
      <c r="J103">
        <v>87.49830341682059</v>
      </c>
    </row>
    <row r="104" spans="1:10">
      <c r="A104" s="1">
        <v>45065</v>
      </c>
      <c r="B104" t="s">
        <v>13</v>
      </c>
      <c r="C104">
        <v>117</v>
      </c>
      <c r="D104">
        <v>33067.589863652087</v>
      </c>
      <c r="E104">
        <v>3.2555752891068628</v>
      </c>
      <c r="F104">
        <v>2.7096594152746256</v>
      </c>
      <c r="G104">
        <v>7.9678522777954495</v>
      </c>
      <c r="H104">
        <v>898038.66136182344</v>
      </c>
      <c r="I104">
        <v>98</v>
      </c>
      <c r="J104">
        <v>55.043526072430701</v>
      </c>
    </row>
    <row r="105" spans="1:10">
      <c r="A105" s="1">
        <v>45095</v>
      </c>
      <c r="B105" t="s">
        <v>11</v>
      </c>
      <c r="C105">
        <v>98</v>
      </c>
      <c r="D105">
        <v>24886.037174007972</v>
      </c>
      <c r="E105">
        <v>2.9401912833554942</v>
      </c>
      <c r="F105">
        <v>2.0083638143679527</v>
      </c>
      <c r="G105">
        <v>4.1429338776089013</v>
      </c>
      <c r="H105">
        <v>100688.82023411682</v>
      </c>
      <c r="I105">
        <v>87</v>
      </c>
      <c r="J105">
        <v>47.391609863668769</v>
      </c>
    </row>
    <row r="106" spans="1:10">
      <c r="A106" s="1">
        <v>45125</v>
      </c>
      <c r="B106" t="s">
        <v>13</v>
      </c>
      <c r="C106">
        <v>94</v>
      </c>
      <c r="D106">
        <v>28713.117312883274</v>
      </c>
      <c r="E106">
        <v>3.5704431234556018</v>
      </c>
      <c r="F106">
        <v>3.3071225966373103</v>
      </c>
      <c r="G106">
        <v>6.0683584921737452</v>
      </c>
      <c r="H106">
        <v>50233.452931740212</v>
      </c>
      <c r="I106">
        <v>108</v>
      </c>
      <c r="J106">
        <v>63.718108882030116</v>
      </c>
    </row>
    <row r="107" spans="1:10">
      <c r="A107" s="1">
        <v>45155</v>
      </c>
      <c r="B107" t="s">
        <v>14</v>
      </c>
      <c r="C107">
        <v>112</v>
      </c>
      <c r="D107">
        <v>21657.079630612054</v>
      </c>
      <c r="E107">
        <v>2.6157803172185741</v>
      </c>
      <c r="G107">
        <v>4.3883426440221545</v>
      </c>
      <c r="H107">
        <v>86835.031753323041</v>
      </c>
      <c r="I107">
        <v>98</v>
      </c>
      <c r="J107">
        <v>27.308259417884464</v>
      </c>
    </row>
    <row r="108" spans="1:10">
      <c r="A108" s="1">
        <v>45185</v>
      </c>
      <c r="B108" t="s">
        <v>13</v>
      </c>
      <c r="C108">
        <v>89</v>
      </c>
      <c r="D108">
        <v>31996.115613026395</v>
      </c>
      <c r="E108">
        <v>3.6615838570923906</v>
      </c>
      <c r="F108">
        <v>2.9763577693562193</v>
      </c>
      <c r="G108">
        <v>6.1666151756106977</v>
      </c>
      <c r="H108">
        <v>109070.17425108935</v>
      </c>
      <c r="I108">
        <v>87</v>
      </c>
      <c r="J108">
        <v>80.53172394819191</v>
      </c>
    </row>
    <row r="109" spans="1:10">
      <c r="A109" s="1">
        <v>45215</v>
      </c>
      <c r="B109" t="s">
        <v>14</v>
      </c>
      <c r="C109">
        <v>119</v>
      </c>
      <c r="D109">
        <v>33235.979698513707</v>
      </c>
      <c r="E109">
        <v>3.4261987068506659</v>
      </c>
      <c r="F109">
        <v>3.0054701591666269</v>
      </c>
      <c r="G109">
        <v>4.3975761862166873</v>
      </c>
      <c r="H109">
        <v>80354.119314906406</v>
      </c>
      <c r="I109">
        <v>95</v>
      </c>
      <c r="J109">
        <v>66.594806151063665</v>
      </c>
    </row>
    <row r="110" spans="1:10">
      <c r="A110" s="1">
        <v>45245</v>
      </c>
      <c r="B110" t="s">
        <v>11</v>
      </c>
      <c r="C110">
        <v>102</v>
      </c>
      <c r="D110">
        <v>27584.067688503128</v>
      </c>
      <c r="E110">
        <v>3.266981749065879</v>
      </c>
      <c r="F110">
        <v>3.56020990749888</v>
      </c>
      <c r="G110">
        <v>4.9991598236738986</v>
      </c>
      <c r="I110">
        <v>92</v>
      </c>
      <c r="J110">
        <v>34.927207749853402</v>
      </c>
    </row>
    <row r="111" spans="1:10">
      <c r="A111" s="1">
        <v>45275</v>
      </c>
      <c r="B111" t="s">
        <v>12</v>
      </c>
      <c r="C111">
        <v>87</v>
      </c>
      <c r="D111">
        <v>37869.933816450168</v>
      </c>
      <c r="E111">
        <v>2.7026484663666022</v>
      </c>
      <c r="G111">
        <v>5.1458921029145124</v>
      </c>
      <c r="H111">
        <v>108937.45001605396</v>
      </c>
      <c r="I111">
        <v>90</v>
      </c>
      <c r="J111">
        <v>35.058575981523646</v>
      </c>
    </row>
    <row r="112" spans="1:10">
      <c r="A112" s="1">
        <v>45305</v>
      </c>
      <c r="B112" t="s">
        <v>12</v>
      </c>
      <c r="C112">
        <v>113</v>
      </c>
      <c r="D112">
        <v>23871.171684988294</v>
      </c>
      <c r="E112">
        <v>3.7568000532848584</v>
      </c>
      <c r="F112">
        <v>2.892415967178767</v>
      </c>
      <c r="G112">
        <v>6.6709800632136513</v>
      </c>
      <c r="H112">
        <v>93149.015982844707</v>
      </c>
      <c r="I112">
        <v>88</v>
      </c>
      <c r="J112">
        <v>34.739892125813938</v>
      </c>
    </row>
    <row r="113" spans="1:10">
      <c r="A113" s="1">
        <v>45335</v>
      </c>
      <c r="B113" t="s">
        <v>13</v>
      </c>
      <c r="C113">
        <v>106</v>
      </c>
      <c r="D113">
        <v>22678.125598950901</v>
      </c>
      <c r="E113">
        <v>3.2336495801690441</v>
      </c>
      <c r="F113">
        <v>1.9910363742925012</v>
      </c>
      <c r="G113">
        <v>6.6021453327308963</v>
      </c>
      <c r="H113">
        <v>103409.27541993142</v>
      </c>
      <c r="J113">
        <v>24.560191004154717</v>
      </c>
    </row>
    <row r="114" spans="1:10">
      <c r="A114" s="1">
        <v>45365</v>
      </c>
      <c r="B114" t="s">
        <v>14</v>
      </c>
      <c r="C114">
        <v>96</v>
      </c>
      <c r="E114">
        <v>2.9150415821448559</v>
      </c>
      <c r="F114">
        <v>2.4744256878080058</v>
      </c>
      <c r="H114">
        <v>80745.348694307759</v>
      </c>
      <c r="I114">
        <v>87</v>
      </c>
      <c r="J114">
        <v>67.023875949734787</v>
      </c>
    </row>
    <row r="115" spans="1:10">
      <c r="A115" s="1">
        <v>45395</v>
      </c>
      <c r="B115" t="s">
        <v>10</v>
      </c>
      <c r="C115">
        <v>110</v>
      </c>
      <c r="D115">
        <v>35235.49151306077</v>
      </c>
      <c r="E115">
        <v>2.0638688933591753</v>
      </c>
      <c r="F115">
        <v>0.73092409511088174</v>
      </c>
      <c r="G115">
        <v>5.5659209331998181</v>
      </c>
      <c r="H115">
        <v>95867.774406079072</v>
      </c>
      <c r="I115">
        <v>81</v>
      </c>
      <c r="J115">
        <v>87.227854207080654</v>
      </c>
    </row>
    <row r="116" spans="1:10">
      <c r="A116" s="1">
        <v>45425</v>
      </c>
      <c r="B116" t="s">
        <v>10</v>
      </c>
      <c r="C116">
        <v>100</v>
      </c>
      <c r="D116">
        <v>38419.638457289344</v>
      </c>
      <c r="E116">
        <v>3.4862425474746819</v>
      </c>
      <c r="F116">
        <v>1.8052868689109418</v>
      </c>
      <c r="G116">
        <v>4.6485041743009932</v>
      </c>
      <c r="H116">
        <v>1122043.2339178445</v>
      </c>
      <c r="I116">
        <v>105</v>
      </c>
      <c r="J116">
        <v>21.399857118991086</v>
      </c>
    </row>
    <row r="117" spans="1:10">
      <c r="A117" s="1">
        <v>45455</v>
      </c>
      <c r="B117" t="s">
        <v>10</v>
      </c>
      <c r="D117">
        <v>27705.578685655299</v>
      </c>
      <c r="E117">
        <v>4.3861257983348718</v>
      </c>
      <c r="F117">
        <v>2.0907175618868958</v>
      </c>
      <c r="G117">
        <v>3.9897941071895984</v>
      </c>
      <c r="H117">
        <v>103139.45921936868</v>
      </c>
      <c r="I117">
        <v>101</v>
      </c>
      <c r="J117">
        <v>23.920371597701884</v>
      </c>
    </row>
    <row r="118" spans="1:10">
      <c r="A118" s="1">
        <v>45485</v>
      </c>
      <c r="B118" t="s">
        <v>12</v>
      </c>
      <c r="C118">
        <v>106</v>
      </c>
      <c r="D118">
        <v>35393.404167156477</v>
      </c>
      <c r="E118">
        <v>4.3306296072739352</v>
      </c>
      <c r="F118">
        <v>1.9759116020654075</v>
      </c>
      <c r="G118">
        <v>5.2395795394907552</v>
      </c>
      <c r="H118">
        <v>88269.374608721293</v>
      </c>
      <c r="I118">
        <v>113</v>
      </c>
      <c r="J118">
        <v>65.82162213495566</v>
      </c>
    </row>
    <row r="119" spans="1:10">
      <c r="A119" s="1">
        <v>45515</v>
      </c>
      <c r="B119" t="s">
        <v>12</v>
      </c>
      <c r="C119">
        <v>114</v>
      </c>
      <c r="D119">
        <v>29807.457652496465</v>
      </c>
      <c r="E119">
        <v>3.2714518717068639</v>
      </c>
      <c r="F119">
        <v>2.652354872033722</v>
      </c>
      <c r="G119">
        <v>5.1298206538530167</v>
      </c>
      <c r="H119">
        <v>104484.32808581585</v>
      </c>
      <c r="I119">
        <v>85</v>
      </c>
      <c r="J119">
        <v>85.559654830884185</v>
      </c>
    </row>
    <row r="120" spans="1:10">
      <c r="A120" s="1">
        <v>45545</v>
      </c>
      <c r="B120" t="s">
        <v>14</v>
      </c>
      <c r="C120">
        <v>96</v>
      </c>
      <c r="D120">
        <v>29136.863500295902</v>
      </c>
      <c r="E120">
        <v>3.1988939698191099</v>
      </c>
      <c r="G120">
        <v>8.4120597836146267</v>
      </c>
      <c r="H120">
        <v>114292.19581273236</v>
      </c>
      <c r="I120">
        <v>90</v>
      </c>
      <c r="J120">
        <v>46.139111245490689</v>
      </c>
    </row>
    <row r="121" spans="1:10">
      <c r="A121" s="1">
        <v>45575</v>
      </c>
      <c r="B121" t="s">
        <v>13</v>
      </c>
      <c r="C121">
        <v>102</v>
      </c>
      <c r="D121">
        <v>34418.299687433362</v>
      </c>
      <c r="E121">
        <v>3.734387128037512</v>
      </c>
      <c r="F121">
        <v>3.6210306673244714</v>
      </c>
      <c r="G121">
        <v>6.0195517904328355</v>
      </c>
      <c r="H121">
        <v>59001.174428450438</v>
      </c>
      <c r="I121">
        <v>83</v>
      </c>
      <c r="J121">
        <v>47.969151904617775</v>
      </c>
    </row>
    <row r="122" spans="1:10">
      <c r="A122" s="1">
        <v>45605</v>
      </c>
      <c r="B122" t="s">
        <v>10</v>
      </c>
      <c r="D122">
        <v>33261.614392067095</v>
      </c>
      <c r="E122">
        <v>30.008072804058543</v>
      </c>
      <c r="F122">
        <v>2.5002070649181971</v>
      </c>
      <c r="G122">
        <v>3.8468589990949154</v>
      </c>
      <c r="H122">
        <v>123181.48129911795</v>
      </c>
      <c r="I122">
        <v>99</v>
      </c>
      <c r="J122">
        <v>67.70771979974208</v>
      </c>
    </row>
    <row r="123" spans="1:10">
      <c r="A123" s="1">
        <v>45635</v>
      </c>
      <c r="B123" t="s">
        <v>14</v>
      </c>
      <c r="C123">
        <v>93</v>
      </c>
      <c r="D123">
        <v>22118.039215078752</v>
      </c>
      <c r="E123">
        <v>3.6508959499097329</v>
      </c>
      <c r="F123">
        <v>2.4906996788613855</v>
      </c>
      <c r="G123">
        <v>4.8222711949948689</v>
      </c>
      <c r="H123">
        <v>93274.905226378556</v>
      </c>
      <c r="I123">
        <v>84</v>
      </c>
      <c r="J123">
        <v>41.937031129931761</v>
      </c>
    </row>
    <row r="124" spans="1:10">
      <c r="A124" s="1">
        <v>45665</v>
      </c>
      <c r="B124" t="s">
        <v>14</v>
      </c>
      <c r="C124">
        <v>69</v>
      </c>
      <c r="D124">
        <v>37382.701748629479</v>
      </c>
      <c r="E124">
        <v>38.830401391923452</v>
      </c>
      <c r="F124">
        <v>2.172105283487082</v>
      </c>
      <c r="G124">
        <v>6.7256599545152778</v>
      </c>
      <c r="H124">
        <v>108509.79866480461</v>
      </c>
      <c r="J124">
        <v>22.128669286214731</v>
      </c>
    </row>
    <row r="125" spans="1:10">
      <c r="A125" s="1">
        <v>45695</v>
      </c>
      <c r="B125" t="s">
        <v>13</v>
      </c>
      <c r="C125">
        <v>111</v>
      </c>
      <c r="D125">
        <v>36900.456770737255</v>
      </c>
      <c r="E125">
        <v>4.1134666119421537</v>
      </c>
      <c r="F125">
        <v>2.6551906838589789</v>
      </c>
      <c r="G125">
        <v>8.0061313274439101</v>
      </c>
      <c r="H125">
        <v>123944.93847290456</v>
      </c>
      <c r="I125">
        <v>78</v>
      </c>
      <c r="J125">
        <v>78.818281448127692</v>
      </c>
    </row>
    <row r="126" spans="1:10">
      <c r="A126" s="1">
        <v>45725</v>
      </c>
      <c r="B126" t="s">
        <v>14</v>
      </c>
      <c r="C126">
        <v>87</v>
      </c>
      <c r="E126">
        <v>3.4499229617600236</v>
      </c>
      <c r="F126">
        <v>3.3250982646676346</v>
      </c>
      <c r="G126">
        <v>3.5968200253144502</v>
      </c>
      <c r="H126">
        <v>72566.526055390685</v>
      </c>
      <c r="I126">
        <v>110</v>
      </c>
    </row>
    <row r="127" spans="1:10">
      <c r="A127" s="1">
        <v>45755</v>
      </c>
      <c r="B127" t="s">
        <v>13</v>
      </c>
      <c r="C127">
        <v>1080</v>
      </c>
      <c r="D127">
        <v>31979.017667187047</v>
      </c>
      <c r="E127">
        <v>3.398163124911517</v>
      </c>
      <c r="F127">
        <v>1.6328697842890998</v>
      </c>
      <c r="G127">
        <v>3.2440907378331461</v>
      </c>
      <c r="H127">
        <v>85811.17995144907</v>
      </c>
      <c r="I127">
        <v>85</v>
      </c>
      <c r="J127">
        <v>66.460479924452727</v>
      </c>
    </row>
    <row r="128" spans="1:10">
      <c r="A128" s="1">
        <v>45785</v>
      </c>
      <c r="B128" t="s">
        <v>11</v>
      </c>
      <c r="C128">
        <v>104</v>
      </c>
      <c r="D128">
        <v>32470.150931413693</v>
      </c>
      <c r="F128">
        <v>1.8418835109247433</v>
      </c>
      <c r="G128">
        <v>7.7451582104461387</v>
      </c>
      <c r="H128">
        <v>942290.26082485903</v>
      </c>
      <c r="I128">
        <v>94</v>
      </c>
      <c r="J128">
        <v>79.334730319345852</v>
      </c>
    </row>
    <row r="129" spans="1:10">
      <c r="A129" s="1">
        <v>45815</v>
      </c>
      <c r="B129" t="s">
        <v>13</v>
      </c>
      <c r="C129">
        <v>78</v>
      </c>
      <c r="D129">
        <v>313033.68829119537</v>
      </c>
      <c r="E129">
        <v>3.0865598229800701</v>
      </c>
      <c r="F129">
        <v>2.1962739712233352</v>
      </c>
      <c r="G129">
        <v>5.9675370128450851</v>
      </c>
      <c r="H129">
        <v>84324.92957751143</v>
      </c>
      <c r="I129">
        <v>77</v>
      </c>
      <c r="J129">
        <v>74.018467004963</v>
      </c>
    </row>
    <row r="130" spans="1:10">
      <c r="A130" s="1">
        <v>45845</v>
      </c>
      <c r="B130" t="s">
        <v>10</v>
      </c>
      <c r="C130">
        <v>101</v>
      </c>
      <c r="D130">
        <v>27248.474230772899</v>
      </c>
      <c r="E130">
        <v>3.3867605540492365</v>
      </c>
      <c r="F130">
        <v>1.1541290765267851</v>
      </c>
      <c r="G130">
        <v>4.4580487217483604</v>
      </c>
      <c r="H130">
        <v>134698.73151673615</v>
      </c>
      <c r="I130">
        <v>99</v>
      </c>
      <c r="J130">
        <v>36.470559054265692</v>
      </c>
    </row>
    <row r="131" spans="1:10">
      <c r="A131" s="1">
        <v>45875</v>
      </c>
      <c r="B131" t="s">
        <v>10</v>
      </c>
      <c r="C131">
        <v>100</v>
      </c>
      <c r="D131">
        <v>26641.883160309742</v>
      </c>
      <c r="E131">
        <v>3.6836827534080889</v>
      </c>
      <c r="F131">
        <v>1.6807421402785021</v>
      </c>
      <c r="G131">
        <v>6.1415549033469219</v>
      </c>
      <c r="I131">
        <v>85</v>
      </c>
      <c r="J131">
        <v>48.198483755468089</v>
      </c>
    </row>
    <row r="132" spans="1:10">
      <c r="A132" s="1">
        <v>45905</v>
      </c>
      <c r="B132" t="s">
        <v>13</v>
      </c>
      <c r="C132">
        <v>109</v>
      </c>
      <c r="D132">
        <v>29872.229645042775</v>
      </c>
      <c r="E132">
        <v>3.9567923131166247</v>
      </c>
      <c r="F132">
        <v>2.0237791264553411</v>
      </c>
      <c r="G132">
        <v>2.3371027131797466</v>
      </c>
      <c r="H132">
        <v>88889.064410262668</v>
      </c>
      <c r="I132">
        <v>97</v>
      </c>
      <c r="J132">
        <v>30.08881133429</v>
      </c>
    </row>
    <row r="133" spans="1:10">
      <c r="A133" s="1">
        <v>45935</v>
      </c>
      <c r="B133" t="s">
        <v>11</v>
      </c>
      <c r="C133">
        <v>98</v>
      </c>
      <c r="D133">
        <v>35863.645096296823</v>
      </c>
      <c r="E133">
        <v>3.0984105246598275</v>
      </c>
      <c r="F133">
        <v>3.3743891807127273</v>
      </c>
      <c r="G133">
        <v>5.504050607916593</v>
      </c>
      <c r="H133">
        <v>104087.78063205954</v>
      </c>
      <c r="J133">
        <v>30.388561073430481</v>
      </c>
    </row>
    <row r="134" spans="1:10">
      <c r="A134" s="1">
        <v>45965</v>
      </c>
      <c r="B134" t="s">
        <v>11</v>
      </c>
      <c r="C134">
        <v>111</v>
      </c>
      <c r="D134">
        <v>32718.000772972162</v>
      </c>
      <c r="F134">
        <v>2.7625613290019251</v>
      </c>
      <c r="G134">
        <v>5.893385407411702</v>
      </c>
      <c r="H134">
        <v>75957.009478478227</v>
      </c>
      <c r="I134">
        <v>102</v>
      </c>
      <c r="J134">
        <v>74.095659708523129</v>
      </c>
    </row>
    <row r="135" spans="1:10">
      <c r="A135" s="1">
        <v>45995</v>
      </c>
      <c r="B135" t="s">
        <v>10</v>
      </c>
      <c r="C135">
        <v>97</v>
      </c>
      <c r="D135">
        <v>28146.928339569469</v>
      </c>
      <c r="E135">
        <v>3.3644381994787156</v>
      </c>
      <c r="F135">
        <v>2.6935899113675443</v>
      </c>
      <c r="G135">
        <v>6.6091241674453958</v>
      </c>
      <c r="I135">
        <v>96</v>
      </c>
      <c r="J135">
        <v>88.688008558599861</v>
      </c>
    </row>
    <row r="136" spans="1:10">
      <c r="A136" s="1">
        <v>46025</v>
      </c>
      <c r="B136" t="s">
        <v>11</v>
      </c>
      <c r="C136">
        <v>88</v>
      </c>
      <c r="D136">
        <v>33858.493553241722</v>
      </c>
      <c r="E136">
        <v>3.489316352825782</v>
      </c>
      <c r="F136">
        <v>3.3508979621679722</v>
      </c>
      <c r="G136">
        <v>4.2833248572489548</v>
      </c>
      <c r="H136">
        <v>106349.06522500351</v>
      </c>
      <c r="I136">
        <v>95</v>
      </c>
      <c r="J136">
        <v>97.018606708891127</v>
      </c>
    </row>
    <row r="137" spans="1:10">
      <c r="A137" s="1">
        <v>46055</v>
      </c>
      <c r="B137" t="s">
        <v>14</v>
      </c>
      <c r="C137">
        <v>101</v>
      </c>
      <c r="D137">
        <v>15757.286896849622</v>
      </c>
      <c r="E137">
        <v>3.1263941604260883</v>
      </c>
      <c r="F137">
        <v>2.3626282116006032</v>
      </c>
      <c r="G137">
        <v>5.6028245936840309</v>
      </c>
      <c r="H137">
        <v>93342.79191234977</v>
      </c>
      <c r="I137">
        <v>103</v>
      </c>
      <c r="J137">
        <v>70.267769403955555</v>
      </c>
    </row>
    <row r="138" spans="1:10">
      <c r="A138" s="1">
        <v>46085</v>
      </c>
      <c r="B138" t="s">
        <v>12</v>
      </c>
      <c r="C138">
        <v>105</v>
      </c>
      <c r="D138">
        <v>35743.828501860517</v>
      </c>
      <c r="E138">
        <v>2.287879869863529</v>
      </c>
      <c r="F138">
        <v>2.8904648499288896</v>
      </c>
      <c r="G138">
        <v>4.3894904487284956</v>
      </c>
      <c r="H138">
        <v>98132.262822001037</v>
      </c>
      <c r="I138">
        <v>89</v>
      </c>
      <c r="J138">
        <v>34.728105868876554</v>
      </c>
    </row>
    <row r="139" spans="1:10">
      <c r="A139" s="1">
        <v>46115</v>
      </c>
      <c r="B139" t="s">
        <v>14</v>
      </c>
      <c r="C139">
        <v>102</v>
      </c>
      <c r="D139">
        <v>21301.4311061095</v>
      </c>
      <c r="E139">
        <v>3.9420226981805246</v>
      </c>
      <c r="F139">
        <v>2.3967782470675036</v>
      </c>
      <c r="G139">
        <v>5.8064605068091808</v>
      </c>
      <c r="H139">
        <v>89413.357751032585</v>
      </c>
      <c r="I139">
        <v>87</v>
      </c>
      <c r="J139">
        <v>28.452027635914455</v>
      </c>
    </row>
    <row r="140" spans="1:10">
      <c r="A140" s="1">
        <v>46145</v>
      </c>
      <c r="B140" t="s">
        <v>10</v>
      </c>
      <c r="C140">
        <v>98</v>
      </c>
      <c r="D140">
        <v>28187.795292984338</v>
      </c>
      <c r="E140">
        <v>3.8684219485462168</v>
      </c>
      <c r="F140">
        <v>2.7653623493996284</v>
      </c>
      <c r="G140">
        <v>4.4255844131643709</v>
      </c>
      <c r="H140">
        <v>69710.593816384659</v>
      </c>
      <c r="I140">
        <v>101</v>
      </c>
      <c r="J140">
        <v>85.028077722940623</v>
      </c>
    </row>
    <row r="141" spans="1:10">
      <c r="A141" s="1">
        <v>46175</v>
      </c>
      <c r="B141" t="s">
        <v>11</v>
      </c>
      <c r="C141">
        <v>96</v>
      </c>
      <c r="D141">
        <v>24401.650526869282</v>
      </c>
      <c r="E141">
        <v>33.593362214408934</v>
      </c>
      <c r="F141">
        <v>1.9172413423884178</v>
      </c>
      <c r="H141">
        <v>106431.86422678478</v>
      </c>
      <c r="I141">
        <v>80</v>
      </c>
      <c r="J141">
        <v>66.300518108799935</v>
      </c>
    </row>
    <row r="142" spans="1:10">
      <c r="A142" s="1">
        <v>46205</v>
      </c>
      <c r="B142" t="s">
        <v>13</v>
      </c>
      <c r="C142">
        <v>76</v>
      </c>
      <c r="D142">
        <v>23526.59262139547</v>
      </c>
      <c r="E142">
        <v>35.334953586124357</v>
      </c>
      <c r="F142">
        <v>6.1182841723570913E-2</v>
      </c>
      <c r="G142">
        <v>4.3050215262517249</v>
      </c>
      <c r="H142">
        <v>135098.66143294482</v>
      </c>
      <c r="I142">
        <v>90</v>
      </c>
      <c r="J142">
        <v>69.462801681097588</v>
      </c>
    </row>
    <row r="143" spans="1:10">
      <c r="A143" s="1">
        <v>46235</v>
      </c>
      <c r="B143" t="s">
        <v>12</v>
      </c>
      <c r="C143">
        <v>112</v>
      </c>
      <c r="D143">
        <v>35804.133936892598</v>
      </c>
      <c r="F143">
        <v>2.3657208378136958</v>
      </c>
      <c r="G143">
        <v>6.2813634901883884</v>
      </c>
      <c r="H143">
        <v>100368.03261566877</v>
      </c>
      <c r="I143">
        <v>89</v>
      </c>
      <c r="J143">
        <v>82.516967100376746</v>
      </c>
    </row>
    <row r="144" spans="1:10">
      <c r="A144" s="1">
        <v>46265</v>
      </c>
      <c r="B144" t="s">
        <v>13</v>
      </c>
      <c r="C144">
        <v>99</v>
      </c>
      <c r="D144">
        <v>27661.493993440545</v>
      </c>
      <c r="E144">
        <v>2.7187270715567289</v>
      </c>
      <c r="F144">
        <v>3.9227481360999401</v>
      </c>
      <c r="G144">
        <v>6.5301413399879982</v>
      </c>
      <c r="I144">
        <v>100</v>
      </c>
      <c r="J144">
        <v>76.262178218596119</v>
      </c>
    </row>
    <row r="145" spans="1:10">
      <c r="A145" s="1">
        <v>46295</v>
      </c>
      <c r="B145" t="s">
        <v>10</v>
      </c>
      <c r="C145">
        <v>100</v>
      </c>
      <c r="D145">
        <v>31732.519408653578</v>
      </c>
      <c r="E145">
        <v>3.2354736613268527</v>
      </c>
      <c r="F145">
        <v>3.4262154022415925</v>
      </c>
      <c r="G145">
        <v>5.2184553160511031</v>
      </c>
      <c r="H145">
        <v>113854.45510233719</v>
      </c>
      <c r="I145">
        <v>76</v>
      </c>
      <c r="J145">
        <v>86.756660228487732</v>
      </c>
    </row>
    <row r="146" spans="1:10">
      <c r="A146" s="1">
        <v>46325</v>
      </c>
      <c r="B146" t="s">
        <v>11</v>
      </c>
      <c r="C146">
        <v>89</v>
      </c>
      <c r="D146">
        <v>29765.397105604079</v>
      </c>
      <c r="E146">
        <v>3.8971323398109137</v>
      </c>
      <c r="F146">
        <v>3.4653974845911706</v>
      </c>
      <c r="G146">
        <v>5.5458855939520344</v>
      </c>
      <c r="H146">
        <v>74613.390069066023</v>
      </c>
      <c r="I146">
        <v>95</v>
      </c>
      <c r="J146">
        <v>24.497112436790278</v>
      </c>
    </row>
    <row r="147" spans="1:10">
      <c r="A147" s="1">
        <v>46355</v>
      </c>
      <c r="B147" t="s">
        <v>13</v>
      </c>
      <c r="D147">
        <v>32385.204136115608</v>
      </c>
      <c r="E147">
        <v>2.8728552884153755</v>
      </c>
      <c r="F147">
        <v>3.7361307218062176</v>
      </c>
      <c r="G147">
        <v>3.7616903024397468</v>
      </c>
      <c r="H147">
        <v>134050.2931625921</v>
      </c>
      <c r="I147">
        <v>86</v>
      </c>
      <c r="J147">
        <v>79.801650939720389</v>
      </c>
    </row>
    <row r="148" spans="1:10">
      <c r="A148" s="1">
        <v>46385</v>
      </c>
      <c r="B148" t="s">
        <v>13</v>
      </c>
      <c r="C148">
        <v>104</v>
      </c>
      <c r="D148">
        <v>30384.109455301277</v>
      </c>
      <c r="E148">
        <v>36.467789660833148</v>
      </c>
      <c r="F148">
        <v>2.5886575909614375</v>
      </c>
      <c r="G148">
        <v>5.1403880223918552</v>
      </c>
      <c r="H148">
        <v>104046.57592845603</v>
      </c>
      <c r="I148">
        <v>96</v>
      </c>
      <c r="J148">
        <v>88.068220585767634</v>
      </c>
    </row>
    <row r="149" spans="1:10">
      <c r="A149" s="1">
        <v>46415</v>
      </c>
      <c r="B149" t="s">
        <v>12</v>
      </c>
      <c r="C149">
        <v>96</v>
      </c>
      <c r="D149">
        <v>23585.038879057152</v>
      </c>
      <c r="E149">
        <v>2.8217090976882977</v>
      </c>
      <c r="F149">
        <v>2.6973157074055956</v>
      </c>
      <c r="G149">
        <v>5.4397544595499063</v>
      </c>
      <c r="H149">
        <v>132637.13798178217</v>
      </c>
      <c r="I149">
        <v>87</v>
      </c>
      <c r="J149">
        <v>42.890803396665149</v>
      </c>
    </row>
    <row r="150" spans="1:10">
      <c r="A150" s="1">
        <v>46445</v>
      </c>
      <c r="B150" t="s">
        <v>12</v>
      </c>
      <c r="C150">
        <v>100</v>
      </c>
      <c r="D150">
        <v>34981.334097235696</v>
      </c>
      <c r="E150">
        <v>3.7332149912167631</v>
      </c>
      <c r="F150">
        <v>1.8823481045656498</v>
      </c>
      <c r="G150">
        <v>8.6449517092359702</v>
      </c>
      <c r="H150">
        <v>85339.340089520207</v>
      </c>
      <c r="I150">
        <v>95</v>
      </c>
      <c r="J150">
        <v>71.235781919460237</v>
      </c>
    </row>
    <row r="151" spans="1:10">
      <c r="A151" s="1">
        <v>46475</v>
      </c>
      <c r="B151" t="s">
        <v>11</v>
      </c>
      <c r="C151">
        <v>105</v>
      </c>
      <c r="D151">
        <v>27531.217084193438</v>
      </c>
      <c r="E151">
        <v>3.4821792588512581</v>
      </c>
      <c r="F151">
        <v>2.1839271439729502</v>
      </c>
      <c r="G151">
        <v>4.1656395690710042</v>
      </c>
      <c r="H151">
        <v>136361.2384511565</v>
      </c>
      <c r="I151">
        <v>83</v>
      </c>
      <c r="J151">
        <v>45.132965106957769</v>
      </c>
    </row>
    <row r="152" spans="1:10">
      <c r="A152" s="1">
        <v>46505</v>
      </c>
      <c r="B152" t="s">
        <v>12</v>
      </c>
      <c r="C152">
        <v>81</v>
      </c>
      <c r="D152">
        <v>22217.090506701243</v>
      </c>
      <c r="E152">
        <v>2.6924340920472454</v>
      </c>
      <c r="F152">
        <v>3.1157711497711418</v>
      </c>
      <c r="G152">
        <v>7.2570126865029252</v>
      </c>
      <c r="H152">
        <v>115503.10988069566</v>
      </c>
      <c r="I152">
        <v>109</v>
      </c>
      <c r="J152">
        <v>96.637685318596326</v>
      </c>
    </row>
    <row r="153" spans="1:10">
      <c r="A153" s="1">
        <v>46535</v>
      </c>
      <c r="B153" t="s">
        <v>13</v>
      </c>
      <c r="C153">
        <v>120</v>
      </c>
      <c r="D153">
        <v>27859.424195170439</v>
      </c>
      <c r="E153">
        <v>4.082369677228586</v>
      </c>
      <c r="F153">
        <v>3.7038844371688162</v>
      </c>
      <c r="G153">
        <v>6.6962305281589698</v>
      </c>
      <c r="H153">
        <v>111060.80171704717</v>
      </c>
      <c r="I153">
        <v>98</v>
      </c>
      <c r="J153">
        <v>22.673885794840302</v>
      </c>
    </row>
    <row r="154" spans="1:10">
      <c r="A154" s="1">
        <v>46565</v>
      </c>
      <c r="B154" t="s">
        <v>13</v>
      </c>
      <c r="C154">
        <v>97</v>
      </c>
      <c r="D154">
        <v>37503.798953171558</v>
      </c>
      <c r="E154">
        <v>3.1327042116009753</v>
      </c>
      <c r="F154">
        <v>23.605537243190007</v>
      </c>
      <c r="G154">
        <v>5.8367636853881635</v>
      </c>
      <c r="H154">
        <v>104680.48908706296</v>
      </c>
      <c r="I154">
        <v>78</v>
      </c>
      <c r="J154">
        <v>66.383427506636394</v>
      </c>
    </row>
    <row r="155" spans="1:10">
      <c r="A155" s="1">
        <v>46595</v>
      </c>
      <c r="B155" t="s">
        <v>10</v>
      </c>
      <c r="C155">
        <v>99</v>
      </c>
      <c r="D155">
        <v>34251.108710567467</v>
      </c>
      <c r="E155">
        <v>3.0948737814928093</v>
      </c>
      <c r="F155">
        <v>2.0498107351485886</v>
      </c>
      <c r="G155">
        <v>7.6103445810341599</v>
      </c>
      <c r="H155">
        <v>95029.427638511013</v>
      </c>
      <c r="I155">
        <v>91</v>
      </c>
      <c r="J155">
        <v>33.320283763961207</v>
      </c>
    </row>
    <row r="156" spans="1:10">
      <c r="A156" s="1">
        <v>46625</v>
      </c>
      <c r="B156" t="s">
        <v>13</v>
      </c>
      <c r="C156">
        <v>120</v>
      </c>
      <c r="D156">
        <v>28256.739327960706</v>
      </c>
      <c r="E156">
        <v>3.6002845986154712</v>
      </c>
      <c r="F156">
        <v>2.5005279588565972</v>
      </c>
      <c r="G156">
        <v>5.9465265671282355</v>
      </c>
      <c r="H156">
        <v>124010.63316947746</v>
      </c>
      <c r="I156">
        <v>86</v>
      </c>
    </row>
    <row r="157" spans="1:10">
      <c r="A157" s="1">
        <v>46655</v>
      </c>
      <c r="B157" t="s">
        <v>11</v>
      </c>
      <c r="C157">
        <v>90</v>
      </c>
      <c r="D157">
        <v>28253.711478407855</v>
      </c>
      <c r="E157">
        <v>4.0743186747143572</v>
      </c>
      <c r="F157">
        <v>3.1012067489291146</v>
      </c>
      <c r="G157">
        <v>5.9669910348015147</v>
      </c>
      <c r="H157">
        <v>102807.19739696094</v>
      </c>
      <c r="I157">
        <v>86</v>
      </c>
      <c r="J157">
        <v>34.071222673492969</v>
      </c>
    </row>
    <row r="158" spans="1:10">
      <c r="A158" s="1">
        <v>46685</v>
      </c>
      <c r="B158" t="s">
        <v>14</v>
      </c>
      <c r="C158">
        <v>85</v>
      </c>
      <c r="D158">
        <v>28391.824743913086</v>
      </c>
      <c r="E158">
        <v>2.9920890905108015</v>
      </c>
      <c r="F158">
        <v>1.0561451838664582</v>
      </c>
      <c r="G158">
        <v>5.4362552163789459</v>
      </c>
      <c r="H158">
        <v>60658.605928256955</v>
      </c>
      <c r="I158">
        <v>88</v>
      </c>
      <c r="J158">
        <v>38.830660951868609</v>
      </c>
    </row>
    <row r="159" spans="1:10">
      <c r="A159" s="1">
        <v>46715</v>
      </c>
      <c r="B159" t="s">
        <v>10</v>
      </c>
      <c r="C159">
        <v>84</v>
      </c>
      <c r="D159">
        <v>40383.739917804203</v>
      </c>
      <c r="E159">
        <v>3.5308399249239857</v>
      </c>
      <c r="F159">
        <v>0.20381904686276187</v>
      </c>
      <c r="G159">
        <v>6.9682826589023534</v>
      </c>
      <c r="H159">
        <v>77656.270765859954</v>
      </c>
      <c r="I159">
        <v>90</v>
      </c>
      <c r="J159">
        <v>59.549664883660647</v>
      </c>
    </row>
    <row r="160" spans="1:10">
      <c r="A160" s="1">
        <v>46745</v>
      </c>
      <c r="B160" t="s">
        <v>10</v>
      </c>
      <c r="D160">
        <v>31909.677261157765</v>
      </c>
      <c r="E160">
        <v>3.7144082501652864</v>
      </c>
      <c r="F160">
        <v>1.9494631505084166</v>
      </c>
      <c r="G160">
        <v>6.8157630805730607</v>
      </c>
      <c r="H160">
        <v>96283.08495614506</v>
      </c>
      <c r="I160">
        <v>83</v>
      </c>
      <c r="J160">
        <v>93.186795999750245</v>
      </c>
    </row>
    <row r="161" spans="1:10">
      <c r="A161" s="1">
        <v>46775</v>
      </c>
      <c r="B161" t="s">
        <v>11</v>
      </c>
      <c r="C161">
        <v>112</v>
      </c>
      <c r="D161">
        <v>32150.20823595535</v>
      </c>
      <c r="E161">
        <v>3.8465528036315719</v>
      </c>
      <c r="F161">
        <v>1.2792875740858414</v>
      </c>
      <c r="G161">
        <v>4.7491872550045446</v>
      </c>
      <c r="H161">
        <v>106199.9796633111</v>
      </c>
      <c r="J161">
        <v>36.937149771837667</v>
      </c>
    </row>
    <row r="162" spans="1:10">
      <c r="A162" s="1">
        <v>46805</v>
      </c>
      <c r="B162" t="s">
        <v>11</v>
      </c>
      <c r="C162">
        <v>110</v>
      </c>
      <c r="D162">
        <v>35151.417270159211</v>
      </c>
      <c r="E162">
        <v>3.5882207776386128</v>
      </c>
      <c r="F162">
        <v>1.991859802352689</v>
      </c>
      <c r="G162">
        <v>3.9169033664814794</v>
      </c>
      <c r="H162">
        <v>98868.230222002079</v>
      </c>
      <c r="I162">
        <v>88</v>
      </c>
      <c r="J162">
        <v>31.539201689448284</v>
      </c>
    </row>
    <row r="163" spans="1:10">
      <c r="A163" s="1">
        <v>46835</v>
      </c>
      <c r="B163" t="s">
        <v>12</v>
      </c>
      <c r="C163">
        <v>86</v>
      </c>
      <c r="D163">
        <v>31193.945795132568</v>
      </c>
      <c r="E163">
        <v>3.3164860804583389</v>
      </c>
      <c r="F163">
        <v>2.3522196811825284</v>
      </c>
      <c r="G163">
        <v>5.2564232351252116</v>
      </c>
      <c r="H163">
        <v>124379.41579587327</v>
      </c>
      <c r="I163">
        <v>99</v>
      </c>
      <c r="J163">
        <v>80.718146548322451</v>
      </c>
    </row>
    <row r="164" spans="1:10">
      <c r="A164" s="1">
        <v>46865</v>
      </c>
      <c r="B164" t="s">
        <v>10</v>
      </c>
      <c r="C164">
        <v>104</v>
      </c>
      <c r="D164">
        <v>287047.89270896482</v>
      </c>
      <c r="E164">
        <v>3.0862048896756402</v>
      </c>
      <c r="F164">
        <v>2.0467515909769864</v>
      </c>
      <c r="G164">
        <v>4.5399537227228244</v>
      </c>
      <c r="H164">
        <v>60977.9627192275</v>
      </c>
      <c r="I164">
        <v>100</v>
      </c>
      <c r="J164">
        <v>60.04956258671448</v>
      </c>
    </row>
    <row r="165" spans="1:10">
      <c r="A165" s="1">
        <v>46895</v>
      </c>
      <c r="B165" t="s">
        <v>12</v>
      </c>
      <c r="C165">
        <v>107</v>
      </c>
      <c r="D165">
        <v>29018.250754575107</v>
      </c>
      <c r="E165">
        <v>35.43071941523187</v>
      </c>
      <c r="F165">
        <v>3.9524675344707454</v>
      </c>
      <c r="G165">
        <v>5.4237705104615737</v>
      </c>
      <c r="H165">
        <v>102871.7587301032</v>
      </c>
      <c r="I165">
        <v>88</v>
      </c>
      <c r="J165">
        <v>92.942808990541707</v>
      </c>
    </row>
    <row r="166" spans="1:10">
      <c r="A166" s="1">
        <v>46925</v>
      </c>
      <c r="B166" t="s">
        <v>13</v>
      </c>
      <c r="C166">
        <v>93</v>
      </c>
      <c r="D166">
        <v>29641.993702929682</v>
      </c>
      <c r="E166">
        <v>2.9639304940071964</v>
      </c>
      <c r="F166">
        <v>2.8267447646023198</v>
      </c>
      <c r="G166">
        <v>6.9849257616209668</v>
      </c>
      <c r="H166">
        <v>63640.415492256907</v>
      </c>
      <c r="I166">
        <v>83</v>
      </c>
      <c r="J166">
        <v>31.729164572787383</v>
      </c>
    </row>
    <row r="167" spans="1:10">
      <c r="A167" s="1">
        <v>46955</v>
      </c>
      <c r="B167" t="s">
        <v>10</v>
      </c>
      <c r="C167">
        <v>108</v>
      </c>
      <c r="D167">
        <v>29813.888817450792</v>
      </c>
      <c r="E167">
        <v>2.0393247582526963</v>
      </c>
      <c r="F167">
        <v>2.8004743596108286</v>
      </c>
      <c r="G167">
        <v>4.9512380138958516</v>
      </c>
      <c r="H167">
        <v>115194.24590968336</v>
      </c>
      <c r="I167">
        <v>90</v>
      </c>
      <c r="J167">
        <v>71.674231441843148</v>
      </c>
    </row>
    <row r="168" spans="1:10">
      <c r="A168" s="1">
        <v>46985</v>
      </c>
      <c r="B168" t="s">
        <v>10</v>
      </c>
      <c r="C168">
        <v>96</v>
      </c>
      <c r="D168">
        <v>33638.147718184897</v>
      </c>
      <c r="E168">
        <v>3.7182799020788337</v>
      </c>
      <c r="F168">
        <v>3.122207144043402</v>
      </c>
      <c r="G168">
        <v>5.4486119424261101</v>
      </c>
      <c r="H168">
        <v>98110.825711159938</v>
      </c>
      <c r="I168">
        <v>88</v>
      </c>
      <c r="J168">
        <v>38.630331692145205</v>
      </c>
    </row>
    <row r="169" spans="1:10">
      <c r="A169" s="1">
        <v>47015</v>
      </c>
      <c r="B169" t="s">
        <v>14</v>
      </c>
      <c r="C169">
        <v>95</v>
      </c>
      <c r="D169">
        <v>30259.729429036499</v>
      </c>
      <c r="E169">
        <v>3.9519674205430975</v>
      </c>
      <c r="F169">
        <v>1.3611668822192309</v>
      </c>
      <c r="G169">
        <v>5.5696272817700745</v>
      </c>
      <c r="I169">
        <v>86</v>
      </c>
      <c r="J169">
        <v>32.540834292131144</v>
      </c>
    </row>
    <row r="170" spans="1:10">
      <c r="A170" s="1">
        <v>47045</v>
      </c>
      <c r="B170" t="s">
        <v>10</v>
      </c>
      <c r="C170">
        <v>112</v>
      </c>
      <c r="D170">
        <v>33663.200386077893</v>
      </c>
      <c r="E170">
        <v>2.318533782229081</v>
      </c>
      <c r="F170">
        <v>3.5391117874202687</v>
      </c>
      <c r="G170">
        <v>6.5181170586463413</v>
      </c>
      <c r="H170">
        <v>82722.340788204674</v>
      </c>
      <c r="I170">
        <v>81</v>
      </c>
      <c r="J170">
        <v>74.67435321258165</v>
      </c>
    </row>
    <row r="171" spans="1:10">
      <c r="A171" s="1">
        <v>47075</v>
      </c>
      <c r="B171" t="s">
        <v>13</v>
      </c>
      <c r="C171">
        <v>108</v>
      </c>
      <c r="D171">
        <v>29596.417099457089</v>
      </c>
      <c r="E171">
        <v>2.9951346476450311</v>
      </c>
      <c r="G171">
        <v>2.8037327992184737</v>
      </c>
      <c r="H171">
        <v>125589.29863315502</v>
      </c>
      <c r="I171">
        <v>82</v>
      </c>
      <c r="J171">
        <v>67.49476959269866</v>
      </c>
    </row>
    <row r="172" spans="1:10">
      <c r="A172" s="1">
        <v>47105</v>
      </c>
      <c r="B172" t="s">
        <v>12</v>
      </c>
      <c r="C172">
        <v>85</v>
      </c>
      <c r="D172">
        <v>30393.175951580452</v>
      </c>
      <c r="E172">
        <v>3.8095771305025989</v>
      </c>
      <c r="F172">
        <v>3.1704806172412123</v>
      </c>
      <c r="G172">
        <v>4.771959646281644</v>
      </c>
      <c r="H172">
        <v>120834.49328117703</v>
      </c>
      <c r="I172">
        <v>106</v>
      </c>
      <c r="J172">
        <v>80.3861966689865</v>
      </c>
    </row>
    <row r="173" spans="1:10">
      <c r="A173" s="1">
        <v>47135</v>
      </c>
      <c r="B173" t="s">
        <v>12</v>
      </c>
      <c r="D173">
        <v>20008.996577339462</v>
      </c>
      <c r="E173">
        <v>45.28747734855849</v>
      </c>
      <c r="F173">
        <v>1.4281427669598445</v>
      </c>
      <c r="G173">
        <v>5.7535404307353675</v>
      </c>
      <c r="H173">
        <v>111670.88606023775</v>
      </c>
      <c r="I173">
        <v>97</v>
      </c>
      <c r="J173">
        <v>44.757006115694587</v>
      </c>
    </row>
    <row r="174" spans="1:10">
      <c r="A174" s="1">
        <v>47165</v>
      </c>
      <c r="B174" t="s">
        <v>14</v>
      </c>
      <c r="C174">
        <v>95</v>
      </c>
      <c r="D174">
        <v>34581.638373512411</v>
      </c>
      <c r="E174">
        <v>3.5103968538377042</v>
      </c>
      <c r="F174">
        <v>0.94624123398393567</v>
      </c>
      <c r="I174">
        <v>77</v>
      </c>
      <c r="J174">
        <v>55.837732510575194</v>
      </c>
    </row>
    <row r="175" spans="1:10">
      <c r="A175" s="1">
        <v>47195</v>
      </c>
      <c r="B175" t="s">
        <v>13</v>
      </c>
      <c r="C175">
        <v>97</v>
      </c>
      <c r="D175">
        <v>31732.442379489963</v>
      </c>
      <c r="E175">
        <v>3.1359985293854327</v>
      </c>
      <c r="F175">
        <v>3.3178896580250288</v>
      </c>
      <c r="G175">
        <v>4.9097170629925539</v>
      </c>
      <c r="H175">
        <v>111597.14570590264</v>
      </c>
      <c r="I175">
        <v>88</v>
      </c>
      <c r="J175">
        <v>52.437734106433481</v>
      </c>
    </row>
    <row r="176" spans="1:10">
      <c r="A176" s="1">
        <v>47225</v>
      </c>
      <c r="B176" t="s">
        <v>12</v>
      </c>
      <c r="C176">
        <v>116</v>
      </c>
      <c r="D176">
        <v>34990.050549298263</v>
      </c>
      <c r="E176">
        <v>3.4085517794475799</v>
      </c>
      <c r="F176">
        <v>2.8764095260975164</v>
      </c>
      <c r="G176">
        <v>3.2481367527497511</v>
      </c>
      <c r="H176">
        <v>85862.148640253028</v>
      </c>
      <c r="I176">
        <v>90</v>
      </c>
      <c r="J176">
        <v>987.27157117321144</v>
      </c>
    </row>
    <row r="177" spans="1:10">
      <c r="A177" s="1">
        <v>47255</v>
      </c>
      <c r="B177" t="s">
        <v>11</v>
      </c>
      <c r="C177">
        <v>95</v>
      </c>
      <c r="D177">
        <v>15518.723109031554</v>
      </c>
      <c r="E177">
        <v>4.1874382095740925</v>
      </c>
      <c r="F177">
        <v>1.5979484456424897</v>
      </c>
      <c r="G177">
        <v>6.2436537351593637</v>
      </c>
      <c r="H177">
        <v>117111.11318041425</v>
      </c>
      <c r="I177">
        <v>86</v>
      </c>
      <c r="J177">
        <v>43.379916539151033</v>
      </c>
    </row>
    <row r="178" spans="1:10">
      <c r="A178" s="1">
        <v>47285</v>
      </c>
      <c r="B178" t="s">
        <v>13</v>
      </c>
      <c r="C178">
        <v>123</v>
      </c>
      <c r="D178">
        <v>40441.87352390364</v>
      </c>
      <c r="E178">
        <v>3.1770179104377325</v>
      </c>
      <c r="F178">
        <v>1.6303369187253056</v>
      </c>
      <c r="G178">
        <v>4.7375651334092446</v>
      </c>
      <c r="H178">
        <v>132989.61788647843</v>
      </c>
      <c r="I178">
        <v>96</v>
      </c>
      <c r="J178">
        <v>43.58537906774135</v>
      </c>
    </row>
    <row r="179" spans="1:10">
      <c r="A179" s="1">
        <v>47315</v>
      </c>
      <c r="B179" t="s">
        <v>13</v>
      </c>
      <c r="C179">
        <v>104</v>
      </c>
      <c r="D179">
        <v>29302.051859224131</v>
      </c>
      <c r="E179">
        <v>3.1004039966748733</v>
      </c>
      <c r="F179">
        <v>3.6254347844147694</v>
      </c>
      <c r="G179">
        <v>4.0724000090915666</v>
      </c>
      <c r="H179">
        <v>121412.21119958372</v>
      </c>
      <c r="I179">
        <v>82</v>
      </c>
    </row>
    <row r="180" spans="1:10">
      <c r="A180" s="1">
        <v>47345</v>
      </c>
      <c r="B180" t="s">
        <v>14</v>
      </c>
      <c r="C180">
        <v>94</v>
      </c>
      <c r="D180">
        <v>35540.914083687581</v>
      </c>
      <c r="E180">
        <v>3.258628238908984</v>
      </c>
      <c r="F180">
        <v>1.3105881071326722</v>
      </c>
      <c r="G180">
        <v>4.750785532344131</v>
      </c>
      <c r="H180">
        <v>85407.950603851816</v>
      </c>
      <c r="I180">
        <v>80</v>
      </c>
      <c r="J180">
        <v>65.16752650322573</v>
      </c>
    </row>
    <row r="181" spans="1:10">
      <c r="A181" s="1">
        <v>47375</v>
      </c>
      <c r="B181" t="s">
        <v>12</v>
      </c>
      <c r="C181">
        <v>105</v>
      </c>
      <c r="D181">
        <v>24800.470364372348</v>
      </c>
      <c r="E181">
        <v>3.0233356958706437</v>
      </c>
      <c r="F181">
        <v>4.1426729532559632</v>
      </c>
      <c r="G181">
        <v>5.2785695708129809</v>
      </c>
      <c r="H181">
        <v>1072283.4634546204</v>
      </c>
      <c r="I181">
        <v>87</v>
      </c>
      <c r="J181">
        <v>40.185819541099619</v>
      </c>
    </row>
    <row r="182" spans="1:10">
      <c r="A182" s="1">
        <v>47405</v>
      </c>
      <c r="B182" t="s">
        <v>13</v>
      </c>
      <c r="C182">
        <v>109</v>
      </c>
      <c r="D182">
        <v>33063.869525312846</v>
      </c>
      <c r="E182">
        <v>3.561335157997398</v>
      </c>
      <c r="F182">
        <v>15.993792653521313</v>
      </c>
      <c r="G182">
        <v>4.7743064025541448</v>
      </c>
      <c r="H182">
        <v>74137.169124827051</v>
      </c>
      <c r="I182">
        <v>85</v>
      </c>
      <c r="J182">
        <v>93.223195230341915</v>
      </c>
    </row>
    <row r="183" spans="1:10">
      <c r="A183" s="1">
        <v>47435</v>
      </c>
      <c r="B183" t="s">
        <v>12</v>
      </c>
      <c r="C183">
        <v>84</v>
      </c>
      <c r="D183">
        <v>24732.922184131719</v>
      </c>
      <c r="E183">
        <v>4.3123392292347802</v>
      </c>
      <c r="F183">
        <v>3.1383919256083832</v>
      </c>
      <c r="G183">
        <v>2.8533207314811171</v>
      </c>
      <c r="H183">
        <v>111447.80622351351</v>
      </c>
      <c r="I183">
        <v>95</v>
      </c>
      <c r="J183">
        <v>41.254845189301079</v>
      </c>
    </row>
    <row r="184" spans="1:10">
      <c r="A184" s="1">
        <v>47465</v>
      </c>
      <c r="B184" t="s">
        <v>11</v>
      </c>
      <c r="C184">
        <v>79</v>
      </c>
      <c r="D184">
        <v>26881.155196520973</v>
      </c>
      <c r="E184">
        <v>3.6615396365580146</v>
      </c>
      <c r="F184">
        <v>2.1713815242510153</v>
      </c>
      <c r="G184">
        <v>6.5764794362645587</v>
      </c>
      <c r="H184">
        <v>109012.06825725078</v>
      </c>
      <c r="I184">
        <v>97</v>
      </c>
      <c r="J184">
        <v>91.66525852481557</v>
      </c>
    </row>
    <row r="185" spans="1:10">
      <c r="A185" s="1">
        <v>47495</v>
      </c>
      <c r="B185" t="s">
        <v>14</v>
      </c>
      <c r="C185">
        <v>98</v>
      </c>
      <c r="D185">
        <v>39570.156769333931</v>
      </c>
      <c r="E185">
        <v>3.3738232489368563</v>
      </c>
      <c r="F185">
        <v>3.1031874310823433</v>
      </c>
      <c r="G185">
        <v>7.0298500495344669</v>
      </c>
      <c r="H185">
        <v>62603.673209356719</v>
      </c>
      <c r="I185">
        <v>102</v>
      </c>
      <c r="J185">
        <v>28.278005091726772</v>
      </c>
    </row>
    <row r="186" spans="1:10">
      <c r="A186" s="1">
        <v>47525</v>
      </c>
      <c r="B186" t="s">
        <v>11</v>
      </c>
      <c r="C186">
        <v>96</v>
      </c>
      <c r="D186">
        <v>29046.587996183269</v>
      </c>
      <c r="E186">
        <v>3.354094365542228</v>
      </c>
      <c r="F186">
        <v>1.9558859978858074</v>
      </c>
      <c r="G186">
        <v>6.2818263896074065</v>
      </c>
      <c r="H186">
        <v>76764.323121752721</v>
      </c>
      <c r="I186">
        <v>96</v>
      </c>
      <c r="J186">
        <v>72.525016191972185</v>
      </c>
    </row>
    <row r="187" spans="1:10">
      <c r="A187" s="1">
        <v>47555</v>
      </c>
      <c r="B187" t="s">
        <v>14</v>
      </c>
      <c r="C187">
        <v>88</v>
      </c>
      <c r="D187">
        <v>31087.164365898614</v>
      </c>
      <c r="E187">
        <v>2.7184045956516716</v>
      </c>
      <c r="F187">
        <v>2.3372070939277059</v>
      </c>
      <c r="G187">
        <v>4.1347771954902202</v>
      </c>
      <c r="H187">
        <v>94337.222065124661</v>
      </c>
      <c r="I187">
        <v>82</v>
      </c>
      <c r="J187">
        <v>925.58841475059489</v>
      </c>
    </row>
    <row r="188" spans="1:10">
      <c r="A188" s="1">
        <v>47585</v>
      </c>
      <c r="B188" t="s">
        <v>13</v>
      </c>
      <c r="C188">
        <v>103</v>
      </c>
      <c r="D188">
        <v>34350.338653443774</v>
      </c>
      <c r="E188">
        <v>3.9415548885735796</v>
      </c>
      <c r="F188">
        <v>2.5409191753957212</v>
      </c>
      <c r="G188">
        <v>5.2582101592629789</v>
      </c>
      <c r="H188">
        <v>93982.805057183476</v>
      </c>
      <c r="I188">
        <v>85</v>
      </c>
      <c r="J188">
        <v>33.499955071858366</v>
      </c>
    </row>
    <row r="189" spans="1:10">
      <c r="A189" s="1">
        <v>47615</v>
      </c>
      <c r="B189" t="s">
        <v>14</v>
      </c>
      <c r="C189">
        <v>83</v>
      </c>
      <c r="D189">
        <v>32478.409439863022</v>
      </c>
      <c r="E189">
        <v>3.4610814014935989</v>
      </c>
      <c r="F189">
        <v>1.4978125442185273</v>
      </c>
      <c r="G189">
        <v>5.4921744217246502</v>
      </c>
      <c r="H189">
        <v>75810.461291623898</v>
      </c>
      <c r="I189">
        <v>82</v>
      </c>
      <c r="J189">
        <v>97.466156807940393</v>
      </c>
    </row>
    <row r="190" spans="1:10">
      <c r="A190" s="1">
        <v>47645</v>
      </c>
      <c r="B190" t="s">
        <v>10</v>
      </c>
      <c r="C190">
        <v>82</v>
      </c>
      <c r="D190">
        <v>30752.094525717883</v>
      </c>
      <c r="E190">
        <v>3.4097600432046873</v>
      </c>
      <c r="F190">
        <v>3.2408243454201258</v>
      </c>
      <c r="G190">
        <v>6.2185532674742925</v>
      </c>
      <c r="H190">
        <v>107779.57458704368</v>
      </c>
      <c r="J190">
        <v>56.230668833240934</v>
      </c>
    </row>
    <row r="191" spans="1:10">
      <c r="A191" s="1">
        <v>47675</v>
      </c>
      <c r="B191" t="s">
        <v>12</v>
      </c>
      <c r="C191">
        <v>106</v>
      </c>
      <c r="D191">
        <v>31824.805012331126</v>
      </c>
      <c r="E191">
        <v>5.0965537839224302</v>
      </c>
      <c r="F191">
        <v>1.9867864335284149</v>
      </c>
      <c r="G191">
        <v>6.3020085864616968</v>
      </c>
      <c r="H191">
        <v>105029.47217881025</v>
      </c>
      <c r="I191">
        <v>91</v>
      </c>
    </row>
    <row r="192" spans="1:10">
      <c r="A192" s="1">
        <v>47705</v>
      </c>
      <c r="B192" t="s">
        <v>12</v>
      </c>
      <c r="C192">
        <v>96</v>
      </c>
      <c r="D192">
        <v>42017.077926191378</v>
      </c>
      <c r="E192">
        <v>3.6493764541828431</v>
      </c>
      <c r="F192">
        <v>2.2714000846599816</v>
      </c>
      <c r="G192">
        <v>4.6189914414658055</v>
      </c>
      <c r="H192">
        <v>96114.61736042962</v>
      </c>
      <c r="I192">
        <v>88</v>
      </c>
      <c r="J192">
        <v>74.145603490403758</v>
      </c>
    </row>
    <row r="193" spans="1:10">
      <c r="A193" s="1">
        <v>47735</v>
      </c>
      <c r="B193" t="s">
        <v>10</v>
      </c>
      <c r="C193">
        <v>96</v>
      </c>
      <c r="D193">
        <v>29711.906014832071</v>
      </c>
      <c r="E193">
        <v>3.1241044749524081</v>
      </c>
      <c r="F193">
        <v>1.5056506253914876</v>
      </c>
      <c r="G193">
        <v>5.5983946676962724</v>
      </c>
      <c r="H193">
        <v>84884.169996832745</v>
      </c>
      <c r="I193">
        <v>90</v>
      </c>
      <c r="J193">
        <v>44.12694958988412</v>
      </c>
    </row>
    <row r="194" spans="1:10">
      <c r="A194" s="1">
        <v>47765</v>
      </c>
      <c r="B194" t="s">
        <v>11</v>
      </c>
      <c r="C194">
        <v>109</v>
      </c>
      <c r="D194">
        <v>31005.495233574838</v>
      </c>
      <c r="E194">
        <v>3.2868212018972285</v>
      </c>
      <c r="F194">
        <v>-6.2333658795310498E-2</v>
      </c>
      <c r="G194">
        <v>6.0487364855382895</v>
      </c>
      <c r="H194">
        <v>120974.14252833127</v>
      </c>
      <c r="I194">
        <v>710</v>
      </c>
      <c r="J194">
        <v>35.064201993368513</v>
      </c>
    </row>
    <row r="195" spans="1:10">
      <c r="A195" s="1">
        <v>47795</v>
      </c>
      <c r="B195" t="s">
        <v>10</v>
      </c>
      <c r="C195">
        <v>98</v>
      </c>
      <c r="D195">
        <v>35253.271980038058</v>
      </c>
      <c r="E195">
        <v>4.0742228545983776</v>
      </c>
      <c r="F195">
        <v>2.3089722373998312</v>
      </c>
      <c r="G195">
        <v>7.2469867865761195</v>
      </c>
      <c r="H195">
        <v>133108.1422617659</v>
      </c>
      <c r="I195">
        <v>84</v>
      </c>
      <c r="J195">
        <v>44.298803698007951</v>
      </c>
    </row>
    <row r="196" spans="1:10">
      <c r="A196" s="1">
        <v>47825</v>
      </c>
      <c r="B196" t="s">
        <v>13</v>
      </c>
      <c r="C196">
        <v>86</v>
      </c>
      <c r="D196">
        <v>35527.629664789922</v>
      </c>
      <c r="E196">
        <v>3.5566352052688823</v>
      </c>
      <c r="F196">
        <v>49.126154216129159</v>
      </c>
      <c r="G196">
        <v>6.3454078477896676</v>
      </c>
      <c r="I196">
        <v>79</v>
      </c>
      <c r="J196">
        <v>27.441392741013999</v>
      </c>
    </row>
    <row r="197" spans="1:10">
      <c r="A197" s="1">
        <v>47855</v>
      </c>
      <c r="B197" t="s">
        <v>13</v>
      </c>
      <c r="C197">
        <v>79</v>
      </c>
      <c r="D197">
        <v>35935.1515278019</v>
      </c>
      <c r="E197">
        <v>2.7808610108413165</v>
      </c>
      <c r="F197">
        <v>3.2846042878980239</v>
      </c>
      <c r="G197">
        <v>6.4468680248506232</v>
      </c>
      <c r="H197">
        <v>87756.661656903583</v>
      </c>
      <c r="I197">
        <v>77</v>
      </c>
      <c r="J197">
        <v>31.509437307466381</v>
      </c>
    </row>
    <row r="198" spans="1:10">
      <c r="A198" s="1">
        <v>47885</v>
      </c>
      <c r="B198" t="s">
        <v>12</v>
      </c>
      <c r="C198">
        <v>86</v>
      </c>
      <c r="E198">
        <v>3.9596144672876017</v>
      </c>
      <c r="G198">
        <v>5.6005919535152335</v>
      </c>
      <c r="H198">
        <v>109824.15330823993</v>
      </c>
      <c r="I198">
        <v>77</v>
      </c>
      <c r="J198">
        <v>28.37283522771849</v>
      </c>
    </row>
    <row r="199" spans="1:10">
      <c r="A199" s="1">
        <v>47915</v>
      </c>
      <c r="B199" t="s">
        <v>13</v>
      </c>
      <c r="C199">
        <v>108</v>
      </c>
      <c r="D199">
        <v>24284.97543634758</v>
      </c>
      <c r="E199">
        <v>3.1659279572305028</v>
      </c>
      <c r="F199">
        <v>2.2371091707917321</v>
      </c>
      <c r="G199">
        <v>7.1925509742442042</v>
      </c>
      <c r="H199">
        <v>92839.41240506027</v>
      </c>
      <c r="I199">
        <v>105</v>
      </c>
      <c r="J199">
        <v>53.835483499324617</v>
      </c>
    </row>
    <row r="200" spans="1:10">
      <c r="A200" s="1">
        <v>47945</v>
      </c>
      <c r="B200" t="s">
        <v>12</v>
      </c>
      <c r="C200">
        <v>127</v>
      </c>
      <c r="D200">
        <v>38167.15766150548</v>
      </c>
      <c r="E200">
        <v>4.4366488881087731</v>
      </c>
      <c r="F200">
        <v>2.5224658928120465</v>
      </c>
      <c r="G200">
        <v>5.9917153551513973</v>
      </c>
      <c r="H200">
        <v>97212.055986735315</v>
      </c>
      <c r="I200">
        <v>100</v>
      </c>
      <c r="J200">
        <v>83.646270100606912</v>
      </c>
    </row>
    <row r="201" spans="1:10">
      <c r="A201" s="1">
        <v>47975</v>
      </c>
      <c r="B201" t="s">
        <v>10</v>
      </c>
      <c r="C201">
        <v>93</v>
      </c>
      <c r="D201">
        <v>24268.27303490656</v>
      </c>
      <c r="E201">
        <v>4.0400240328573247</v>
      </c>
      <c r="H201">
        <v>114793.06303449343</v>
      </c>
      <c r="I201">
        <v>82</v>
      </c>
      <c r="J201">
        <v>31.310684337307215</v>
      </c>
    </row>
    <row r="202" spans="1:10">
      <c r="A202" s="1">
        <v>48005</v>
      </c>
      <c r="B202" t="s">
        <v>10</v>
      </c>
      <c r="C202">
        <v>82</v>
      </c>
      <c r="D202">
        <v>31513.177326195168</v>
      </c>
      <c r="E202">
        <v>3.2763390521706244</v>
      </c>
      <c r="F202">
        <v>1.3191871846911551</v>
      </c>
      <c r="G202">
        <v>7.1840439641502289</v>
      </c>
      <c r="H202">
        <v>61812.87824985414</v>
      </c>
      <c r="I202">
        <v>105</v>
      </c>
      <c r="J202">
        <v>30.425634653786872</v>
      </c>
    </row>
    <row r="203" spans="1:10">
      <c r="A203" s="1">
        <v>48035</v>
      </c>
      <c r="B203" t="s">
        <v>10</v>
      </c>
      <c r="C203">
        <v>104</v>
      </c>
      <c r="D203">
        <v>26228.62074990321</v>
      </c>
      <c r="E203">
        <v>4.1405081808675561</v>
      </c>
      <c r="F203">
        <v>3.6143216946688721</v>
      </c>
      <c r="G203">
        <v>63.374839270468328</v>
      </c>
      <c r="H203">
        <v>126366.04649705338</v>
      </c>
      <c r="I203">
        <v>103</v>
      </c>
      <c r="J203">
        <v>71.474315961386452</v>
      </c>
    </row>
    <row r="204" spans="1:10">
      <c r="A204" s="1">
        <v>48065</v>
      </c>
      <c r="B204" t="s">
        <v>12</v>
      </c>
      <c r="C204">
        <v>99</v>
      </c>
      <c r="D204">
        <v>29679.308267035038</v>
      </c>
      <c r="E204">
        <v>3.5339277552637016</v>
      </c>
      <c r="F204">
        <v>3.2153813154412441</v>
      </c>
      <c r="G204">
        <v>4.968347174645821</v>
      </c>
      <c r="H204">
        <v>101453.61048658683</v>
      </c>
      <c r="I204">
        <v>84</v>
      </c>
      <c r="J204">
        <v>35.7746385574453</v>
      </c>
    </row>
    <row r="205" spans="1:10">
      <c r="A205" s="1">
        <v>48095</v>
      </c>
      <c r="B205" t="s">
        <v>10</v>
      </c>
      <c r="C205">
        <v>102</v>
      </c>
      <c r="D205">
        <v>31643.812051517401</v>
      </c>
      <c r="E205">
        <v>3.9263868375611097</v>
      </c>
      <c r="F205">
        <v>3.2181857257079347</v>
      </c>
      <c r="G205">
        <v>4.9246084391209077</v>
      </c>
      <c r="H205">
        <v>91770.137108756389</v>
      </c>
      <c r="I205">
        <v>860</v>
      </c>
      <c r="J205">
        <v>27.808803048719327</v>
      </c>
    </row>
    <row r="206" spans="1:10">
      <c r="A206" s="1">
        <v>48125</v>
      </c>
      <c r="B206" t="s">
        <v>10</v>
      </c>
      <c r="C206">
        <v>76</v>
      </c>
      <c r="E206">
        <v>3.7423664086472375</v>
      </c>
      <c r="F206">
        <v>2.9384757388097271</v>
      </c>
      <c r="G206">
        <v>5.8558906541689142</v>
      </c>
      <c r="H206">
        <v>98215.31691557102</v>
      </c>
      <c r="I206">
        <v>91</v>
      </c>
      <c r="J206">
        <v>33.347886256446209</v>
      </c>
    </row>
    <row r="207" spans="1:10">
      <c r="A207" s="1">
        <v>48155</v>
      </c>
      <c r="B207" t="s">
        <v>11</v>
      </c>
      <c r="C207">
        <v>99</v>
      </c>
      <c r="D207">
        <v>32109.603771176422</v>
      </c>
      <c r="E207">
        <v>3.0768216725045634</v>
      </c>
      <c r="F207">
        <v>2.51961665769399</v>
      </c>
      <c r="G207">
        <v>6.0558217543211015</v>
      </c>
      <c r="H207">
        <v>99248.587100410368</v>
      </c>
      <c r="I207">
        <v>95</v>
      </c>
      <c r="J207">
        <v>93.898511670142085</v>
      </c>
    </row>
    <row r="208" spans="1:10">
      <c r="A208" s="1">
        <v>48185</v>
      </c>
      <c r="B208" t="s">
        <v>10</v>
      </c>
      <c r="C208">
        <v>93</v>
      </c>
      <c r="D208">
        <v>38068.556345293233</v>
      </c>
      <c r="E208">
        <v>3.1782250838412689</v>
      </c>
      <c r="F208">
        <v>3.17286123596682</v>
      </c>
      <c r="G208">
        <v>5.736750718757448</v>
      </c>
      <c r="H208">
        <v>65375.973931101493</v>
      </c>
      <c r="I208">
        <v>85</v>
      </c>
      <c r="J208">
        <v>85.71770022209526</v>
      </c>
    </row>
    <row r="209" spans="1:10">
      <c r="A209" s="1">
        <v>48215</v>
      </c>
      <c r="B209" t="s">
        <v>13</v>
      </c>
      <c r="C209">
        <v>99</v>
      </c>
      <c r="D209">
        <v>32267.671507569899</v>
      </c>
      <c r="E209">
        <v>4.0149804087905805</v>
      </c>
      <c r="F209">
        <v>3.0918141337413783</v>
      </c>
      <c r="H209">
        <v>129898.76454906471</v>
      </c>
      <c r="I209">
        <v>99</v>
      </c>
      <c r="J209">
        <v>48.325164988407529</v>
      </c>
    </row>
    <row r="210" spans="1:10">
      <c r="A210" s="1">
        <v>48245</v>
      </c>
      <c r="B210" t="s">
        <v>12</v>
      </c>
      <c r="C210">
        <v>102</v>
      </c>
      <c r="D210">
        <v>28779.216823546758</v>
      </c>
      <c r="E210">
        <v>3.3326123339467295</v>
      </c>
      <c r="G210">
        <v>7.5399488494916564</v>
      </c>
      <c r="H210">
        <v>100826.51264541237</v>
      </c>
      <c r="I210">
        <v>94</v>
      </c>
      <c r="J210">
        <v>72.465661386191428</v>
      </c>
    </row>
    <row r="211" spans="1:10">
      <c r="A211" s="1">
        <v>48275</v>
      </c>
      <c r="B211" t="s">
        <v>11</v>
      </c>
      <c r="C211">
        <v>106</v>
      </c>
      <c r="D211">
        <v>34820.435841441787</v>
      </c>
      <c r="E211">
        <v>3.2981757683790018</v>
      </c>
      <c r="F211">
        <v>1.926398227103099</v>
      </c>
      <c r="G211">
        <v>6.7858517826818625</v>
      </c>
      <c r="H211">
        <v>108860.04260894751</v>
      </c>
      <c r="I211">
        <v>91</v>
      </c>
      <c r="J211">
        <v>62.982053893443045</v>
      </c>
    </row>
    <row r="212" spans="1:10">
      <c r="A212" s="1">
        <v>48305</v>
      </c>
      <c r="B212" t="s">
        <v>14</v>
      </c>
      <c r="C212">
        <v>94</v>
      </c>
      <c r="D212">
        <v>35947.352444623204</v>
      </c>
      <c r="E212">
        <v>3.0224387103253236</v>
      </c>
      <c r="F212">
        <v>2.6018562952619866</v>
      </c>
      <c r="G212">
        <v>5.7287627095180289</v>
      </c>
      <c r="H212">
        <v>119030.99541148086</v>
      </c>
      <c r="I212">
        <v>87</v>
      </c>
      <c r="J212">
        <v>74.16994107860512</v>
      </c>
    </row>
    <row r="213" spans="1:10">
      <c r="A213" s="1">
        <v>48335</v>
      </c>
      <c r="B213" t="s">
        <v>12</v>
      </c>
      <c r="C213">
        <v>105</v>
      </c>
      <c r="D213">
        <v>23861.960924315037</v>
      </c>
      <c r="E213">
        <v>3.7117995327967304</v>
      </c>
      <c r="F213">
        <v>4.0490201514951876</v>
      </c>
      <c r="G213">
        <v>6.6295726969209801</v>
      </c>
      <c r="H213">
        <v>79576.750848793992</v>
      </c>
      <c r="I213">
        <v>66</v>
      </c>
      <c r="J213">
        <v>74.613692197020754</v>
      </c>
    </row>
    <row r="214" spans="1:10">
      <c r="A214" s="1">
        <v>48365</v>
      </c>
      <c r="B214" t="s">
        <v>13</v>
      </c>
      <c r="C214">
        <v>1160</v>
      </c>
      <c r="D214">
        <v>32987.000349249291</v>
      </c>
      <c r="E214">
        <v>4.5312624596215727</v>
      </c>
      <c r="G214">
        <v>4.2609713157669526</v>
      </c>
      <c r="H214">
        <v>109469.43798070456</v>
      </c>
      <c r="I214">
        <v>86</v>
      </c>
      <c r="J214">
        <v>70.298721204799435</v>
      </c>
    </row>
    <row r="215" spans="1:10">
      <c r="A215" s="1">
        <v>48395</v>
      </c>
      <c r="B215" t="s">
        <v>12</v>
      </c>
      <c r="C215">
        <v>122</v>
      </c>
      <c r="D215">
        <v>33505.863711554492</v>
      </c>
      <c r="E215">
        <v>2.9662335428728634</v>
      </c>
      <c r="F215">
        <v>1.03247473424756</v>
      </c>
      <c r="G215">
        <v>5.9775124599361709</v>
      </c>
      <c r="H215">
        <v>94647.17818202413</v>
      </c>
      <c r="I215">
        <v>80</v>
      </c>
      <c r="J215">
        <v>41.288109482984687</v>
      </c>
    </row>
    <row r="216" spans="1:10">
      <c r="A216" s="1">
        <v>48425</v>
      </c>
      <c r="B216" t="s">
        <v>13</v>
      </c>
      <c r="C216">
        <v>103</v>
      </c>
      <c r="D216">
        <v>28512.182483200042</v>
      </c>
      <c r="E216">
        <v>3.5121097283363789</v>
      </c>
      <c r="F216">
        <v>2.6647608412365167</v>
      </c>
      <c r="H216">
        <v>116935.41550432987</v>
      </c>
      <c r="I216">
        <v>111</v>
      </c>
      <c r="J216">
        <v>23.120513661025448</v>
      </c>
    </row>
    <row r="217" spans="1:10">
      <c r="A217" s="1">
        <v>48455</v>
      </c>
      <c r="B217" t="s">
        <v>13</v>
      </c>
      <c r="C217">
        <v>119</v>
      </c>
      <c r="D217">
        <v>36878.534066558095</v>
      </c>
      <c r="E217">
        <v>4.2061102777077144</v>
      </c>
      <c r="G217">
        <v>5.2383449255291517</v>
      </c>
      <c r="I217">
        <v>98</v>
      </c>
      <c r="J217">
        <v>564.453425592087</v>
      </c>
    </row>
    <row r="218" spans="1:10">
      <c r="A218" s="1">
        <v>48485</v>
      </c>
      <c r="B218" t="s">
        <v>14</v>
      </c>
      <c r="C218">
        <v>76</v>
      </c>
      <c r="D218">
        <v>29249.722064837366</v>
      </c>
      <c r="E218">
        <v>3.4601793043771423</v>
      </c>
      <c r="F218">
        <v>2.6733416643704082</v>
      </c>
      <c r="G218">
        <v>4.4828392856570982</v>
      </c>
      <c r="H218">
        <v>98018.113995174615</v>
      </c>
      <c r="I218">
        <v>98</v>
      </c>
      <c r="J218">
        <v>91.277910775256302</v>
      </c>
    </row>
    <row r="219" spans="1:10">
      <c r="A219" s="1">
        <v>48515</v>
      </c>
      <c r="B219" t="s">
        <v>12</v>
      </c>
      <c r="C219">
        <v>96</v>
      </c>
      <c r="E219">
        <v>3.726185898124867</v>
      </c>
      <c r="F219">
        <v>2.7439531979085001</v>
      </c>
      <c r="G219">
        <v>4.7174933336883269</v>
      </c>
      <c r="H219">
        <v>87943.586884320772</v>
      </c>
      <c r="I219">
        <v>93</v>
      </c>
      <c r="J219">
        <v>65.559780681486075</v>
      </c>
    </row>
    <row r="220" spans="1:10">
      <c r="A220" s="1">
        <v>48545</v>
      </c>
      <c r="B220" t="s">
        <v>14</v>
      </c>
      <c r="C220">
        <v>103</v>
      </c>
      <c r="D220">
        <v>29134.640878580652</v>
      </c>
      <c r="F220">
        <v>2.2767977453651951</v>
      </c>
      <c r="G220">
        <v>4.1924403551891345</v>
      </c>
      <c r="H220">
        <v>108645.25901268311</v>
      </c>
      <c r="I220">
        <v>106</v>
      </c>
      <c r="J220">
        <v>86.591283336152628</v>
      </c>
    </row>
    <row r="221" spans="1:10">
      <c r="A221" s="1">
        <v>48575</v>
      </c>
      <c r="B221" t="s">
        <v>14</v>
      </c>
      <c r="C221">
        <v>111</v>
      </c>
      <c r="D221">
        <v>30077.895237907338</v>
      </c>
      <c r="E221">
        <v>3.7141535486038242</v>
      </c>
      <c r="F221">
        <v>3.9898634386020824</v>
      </c>
      <c r="G221">
        <v>45.582857102467564</v>
      </c>
      <c r="H221">
        <v>109400.88374736405</v>
      </c>
      <c r="I221">
        <v>93</v>
      </c>
    </row>
    <row r="222" spans="1:10">
      <c r="A222" s="1">
        <v>48605</v>
      </c>
      <c r="B222" t="s">
        <v>12</v>
      </c>
      <c r="C222">
        <v>97</v>
      </c>
      <c r="D222">
        <v>24518.624565523991</v>
      </c>
      <c r="E222">
        <v>3.4064278674977255</v>
      </c>
      <c r="F222">
        <v>0.89909602152348445</v>
      </c>
      <c r="G222">
        <v>5.0553902816919649</v>
      </c>
      <c r="H222">
        <v>85847.48210355948</v>
      </c>
      <c r="I222">
        <v>72</v>
      </c>
      <c r="J222">
        <v>33.089296331062101</v>
      </c>
    </row>
    <row r="223" spans="1:10">
      <c r="A223" s="1">
        <v>48635</v>
      </c>
      <c r="B223" t="s">
        <v>10</v>
      </c>
      <c r="C223">
        <v>112</v>
      </c>
      <c r="D223">
        <v>22799.745587028527</v>
      </c>
      <c r="E223">
        <v>3.9928649978399315</v>
      </c>
      <c r="F223">
        <v>1.6715029752197541</v>
      </c>
      <c r="G223">
        <v>3.8133195769856298</v>
      </c>
      <c r="H223">
        <v>85756.522716479129</v>
      </c>
      <c r="I223">
        <v>85</v>
      </c>
      <c r="J223">
        <v>753.42211131358579</v>
      </c>
    </row>
    <row r="224" spans="1:10">
      <c r="A224" s="1">
        <v>48665</v>
      </c>
      <c r="B224" t="s">
        <v>10</v>
      </c>
      <c r="C224">
        <v>99</v>
      </c>
      <c r="D224">
        <v>37972.525316124862</v>
      </c>
      <c r="E224">
        <v>4.0936930257823754</v>
      </c>
      <c r="F224">
        <v>2.3967452398509526</v>
      </c>
      <c r="G224">
        <v>5.5187420007395236</v>
      </c>
      <c r="H224">
        <v>97786.692628853416</v>
      </c>
      <c r="I224">
        <v>86</v>
      </c>
      <c r="J224">
        <v>73.943485896001974</v>
      </c>
    </row>
    <row r="225" spans="1:10">
      <c r="A225" s="1">
        <v>48695</v>
      </c>
      <c r="B225" t="s">
        <v>14</v>
      </c>
      <c r="C225">
        <v>124</v>
      </c>
      <c r="D225">
        <v>25765.193258408362</v>
      </c>
      <c r="E225">
        <v>4.7947818210093072</v>
      </c>
      <c r="F225">
        <v>0.85681118884583274</v>
      </c>
      <c r="H225">
        <v>82067.155453695828</v>
      </c>
      <c r="I225">
        <v>93</v>
      </c>
      <c r="J225">
        <v>98.396435788662274</v>
      </c>
    </row>
    <row r="226" spans="1:10">
      <c r="A226" s="1">
        <v>48725</v>
      </c>
      <c r="B226" t="s">
        <v>11</v>
      </c>
      <c r="C226">
        <v>91</v>
      </c>
      <c r="D226">
        <v>25043.038252718463</v>
      </c>
      <c r="E226">
        <v>3.7898165866067877</v>
      </c>
      <c r="F226">
        <v>2.3241455955679289</v>
      </c>
      <c r="G226">
        <v>4.4106925838236961</v>
      </c>
      <c r="H226">
        <v>116839.67390904254</v>
      </c>
      <c r="I226">
        <v>87</v>
      </c>
      <c r="J226">
        <v>98.848058716224031</v>
      </c>
    </row>
    <row r="227" spans="1:10">
      <c r="A227" s="1">
        <v>48755</v>
      </c>
      <c r="B227" t="s">
        <v>14</v>
      </c>
      <c r="C227">
        <v>103</v>
      </c>
      <c r="D227">
        <v>19233.049431981424</v>
      </c>
      <c r="E227">
        <v>36.628981582910832</v>
      </c>
      <c r="F227">
        <v>4.1614701657280184</v>
      </c>
      <c r="G227">
        <v>7.3231407083701221</v>
      </c>
      <c r="H227">
        <v>92615.855991051081</v>
      </c>
      <c r="I227">
        <v>81</v>
      </c>
      <c r="J227">
        <v>74.934288937930361</v>
      </c>
    </row>
    <row r="228" spans="1:10">
      <c r="A228" s="1">
        <v>48785</v>
      </c>
      <c r="B228" t="s">
        <v>14</v>
      </c>
      <c r="C228">
        <v>86</v>
      </c>
      <c r="D228">
        <v>26805.191261552489</v>
      </c>
      <c r="F228">
        <v>2.5208864882959618</v>
      </c>
      <c r="G228">
        <v>6.1129505062331138</v>
      </c>
      <c r="H228">
        <v>41860.235613567173</v>
      </c>
      <c r="I228">
        <v>84</v>
      </c>
      <c r="J228">
        <v>39.489183358575545</v>
      </c>
    </row>
    <row r="229" spans="1:10">
      <c r="A229" s="1">
        <v>48815</v>
      </c>
      <c r="B229" t="s">
        <v>14</v>
      </c>
      <c r="C229">
        <v>101</v>
      </c>
      <c r="D229">
        <v>23384.55103296251</v>
      </c>
      <c r="E229">
        <v>3.3234168535946558</v>
      </c>
      <c r="F229">
        <v>2.7307009057186833</v>
      </c>
      <c r="G229">
        <v>6.7366967027488691</v>
      </c>
      <c r="H229">
        <v>92503.558867563872</v>
      </c>
      <c r="I229">
        <v>93</v>
      </c>
      <c r="J229">
        <v>83.884467050447924</v>
      </c>
    </row>
    <row r="230" spans="1:10">
      <c r="A230" s="1">
        <v>48845</v>
      </c>
      <c r="B230" t="s">
        <v>10</v>
      </c>
      <c r="C230">
        <v>101</v>
      </c>
      <c r="D230">
        <v>38210.075800681843</v>
      </c>
      <c r="F230">
        <v>1.2398352348274198</v>
      </c>
      <c r="G230">
        <v>4.7105985353774358</v>
      </c>
      <c r="H230">
        <v>79229.123583120556</v>
      </c>
      <c r="I230">
        <v>86</v>
      </c>
      <c r="J230">
        <v>28.562330736883048</v>
      </c>
    </row>
    <row r="231" spans="1:10">
      <c r="A231" s="1">
        <v>48875</v>
      </c>
      <c r="B231" t="s">
        <v>10</v>
      </c>
      <c r="C231">
        <v>101</v>
      </c>
      <c r="D231">
        <v>35049.085446713172</v>
      </c>
      <c r="E231">
        <v>3.3522992949304853</v>
      </c>
      <c r="F231">
        <v>1.8836385919605225</v>
      </c>
      <c r="G231">
        <v>6.5254302724799391</v>
      </c>
      <c r="H231">
        <v>67374.483690781082</v>
      </c>
      <c r="I231">
        <v>81</v>
      </c>
      <c r="J231">
        <v>82.455944333730287</v>
      </c>
    </row>
    <row r="232" spans="1:10">
      <c r="A232" s="1">
        <v>48905</v>
      </c>
      <c r="B232" t="s">
        <v>10</v>
      </c>
      <c r="C232">
        <v>113</v>
      </c>
      <c r="D232">
        <v>26559.248274111382</v>
      </c>
      <c r="F232">
        <v>2.1248036196760629</v>
      </c>
      <c r="G232">
        <v>4.1896793195256254</v>
      </c>
      <c r="H232">
        <v>75251.467235548553</v>
      </c>
      <c r="I232">
        <v>99</v>
      </c>
      <c r="J232">
        <v>92.815689931575719</v>
      </c>
    </row>
    <row r="233" spans="1:10">
      <c r="A233" s="1">
        <v>48935</v>
      </c>
      <c r="B233" t="s">
        <v>14</v>
      </c>
      <c r="C233">
        <v>87</v>
      </c>
      <c r="D233">
        <v>41262.17902672154</v>
      </c>
      <c r="E233">
        <v>4.1587987678039795</v>
      </c>
      <c r="F233">
        <v>2.1822849032437661</v>
      </c>
      <c r="G233">
        <v>6.5682970010038106</v>
      </c>
      <c r="H233">
        <v>102188.1694366594</v>
      </c>
      <c r="I233">
        <v>86</v>
      </c>
      <c r="J233">
        <v>50.626671581474824</v>
      </c>
    </row>
    <row r="234" spans="1:10">
      <c r="A234" s="1">
        <v>48965</v>
      </c>
      <c r="B234" t="s">
        <v>11</v>
      </c>
      <c r="C234">
        <v>108</v>
      </c>
      <c r="D234">
        <v>34908.827434957973</v>
      </c>
      <c r="E234">
        <v>2.9967287173601793</v>
      </c>
      <c r="F234">
        <v>3.7816437950037685</v>
      </c>
      <c r="G234">
        <v>5.7062072077522377</v>
      </c>
      <c r="I234">
        <v>85</v>
      </c>
      <c r="J234">
        <v>70.450823598646437</v>
      </c>
    </row>
    <row r="235" spans="1:10">
      <c r="A235" s="1">
        <v>48995</v>
      </c>
      <c r="B235" t="s">
        <v>10</v>
      </c>
      <c r="C235">
        <v>1060</v>
      </c>
      <c r="D235">
        <v>283758.43082456884</v>
      </c>
      <c r="E235">
        <v>4.0699392805645225</v>
      </c>
      <c r="F235">
        <v>3.0576910607251246</v>
      </c>
      <c r="G235">
        <v>6.1639014639817402</v>
      </c>
      <c r="H235">
        <v>106263.6894772996</v>
      </c>
      <c r="I235">
        <v>93</v>
      </c>
      <c r="J235">
        <v>54.411418567746104</v>
      </c>
    </row>
    <row r="236" spans="1:10">
      <c r="A236" s="1">
        <v>49025</v>
      </c>
      <c r="B236" t="s">
        <v>12</v>
      </c>
      <c r="C236">
        <v>87</v>
      </c>
      <c r="D236">
        <v>17502.971425632135</v>
      </c>
      <c r="E236">
        <v>4.1585575336699323</v>
      </c>
      <c r="F236">
        <v>1.388542043062968</v>
      </c>
      <c r="G236">
        <v>4.0892864732501781</v>
      </c>
      <c r="H236">
        <v>87869.932235685206</v>
      </c>
      <c r="I236">
        <v>87</v>
      </c>
      <c r="J236">
        <v>55.021204399050276</v>
      </c>
    </row>
    <row r="237" spans="1:10">
      <c r="A237" s="1">
        <v>49055</v>
      </c>
      <c r="B237" t="s">
        <v>12</v>
      </c>
      <c r="C237">
        <v>96</v>
      </c>
      <c r="D237">
        <v>41454.712862953711</v>
      </c>
      <c r="E237">
        <v>3.4409657365044608</v>
      </c>
      <c r="F237">
        <v>2.7465047784320049</v>
      </c>
      <c r="G237">
        <v>4.4259161892680741</v>
      </c>
      <c r="H237">
        <v>109118.08390341405</v>
      </c>
      <c r="I237">
        <v>78</v>
      </c>
      <c r="J237">
        <v>448.29671128649608</v>
      </c>
    </row>
    <row r="238" spans="1:10">
      <c r="A238" s="1">
        <v>49085</v>
      </c>
      <c r="B238" t="s">
        <v>12</v>
      </c>
      <c r="C238">
        <v>97</v>
      </c>
      <c r="D238">
        <v>23052.137666182018</v>
      </c>
      <c r="E238">
        <v>2.4390725504957027</v>
      </c>
      <c r="F238">
        <v>2.998221748496785</v>
      </c>
      <c r="G238">
        <v>6.216673861904062</v>
      </c>
      <c r="I238">
        <v>75</v>
      </c>
      <c r="J238">
        <v>80.970369636025964</v>
      </c>
    </row>
    <row r="239" spans="1:10">
      <c r="A239" s="1">
        <v>49115</v>
      </c>
      <c r="B239" t="s">
        <v>13</v>
      </c>
      <c r="C239">
        <v>116</v>
      </c>
      <c r="E239">
        <v>3.1960890064527838</v>
      </c>
      <c r="F239">
        <v>3.6401490385212663</v>
      </c>
      <c r="G239">
        <v>4.3619823949309593</v>
      </c>
      <c r="H239">
        <v>86107.992616737116</v>
      </c>
      <c r="I239">
        <v>77</v>
      </c>
      <c r="J239">
        <v>94.894125133320415</v>
      </c>
    </row>
    <row r="240" spans="1:10">
      <c r="A240" s="1">
        <v>49145</v>
      </c>
      <c r="B240" t="s">
        <v>14</v>
      </c>
      <c r="C240">
        <v>100</v>
      </c>
      <c r="D240">
        <v>35112.852160048198</v>
      </c>
      <c r="E240">
        <v>4.1484972732805545</v>
      </c>
      <c r="G240">
        <v>6.0558475505189477</v>
      </c>
      <c r="H240">
        <v>76912.746635340314</v>
      </c>
      <c r="J240">
        <v>95.260068738756885</v>
      </c>
    </row>
    <row r="241" spans="1:10">
      <c r="A241" s="1">
        <v>49175</v>
      </c>
      <c r="B241" t="s">
        <v>12</v>
      </c>
      <c r="C241">
        <v>97</v>
      </c>
      <c r="D241">
        <v>42198.762031696366</v>
      </c>
      <c r="E241">
        <v>3.4885659688505588</v>
      </c>
      <c r="F241">
        <v>1.4849058081721314</v>
      </c>
      <c r="G241">
        <v>38.594346322477051</v>
      </c>
      <c r="H241">
        <v>64963.423864965618</v>
      </c>
      <c r="I241">
        <v>117</v>
      </c>
      <c r="J241">
        <v>33.982502789994705</v>
      </c>
    </row>
    <row r="242" spans="1:10">
      <c r="A242" s="1">
        <v>49205</v>
      </c>
      <c r="B242" t="s">
        <v>14</v>
      </c>
      <c r="C242">
        <v>100</v>
      </c>
      <c r="D242">
        <v>36921.364092552591</v>
      </c>
      <c r="E242">
        <v>3.0003488838525447</v>
      </c>
      <c r="F242">
        <v>1.6891424887896618</v>
      </c>
      <c r="G242">
        <v>6.5178090552000016</v>
      </c>
      <c r="I242">
        <v>97</v>
      </c>
      <c r="J242">
        <v>89.979491972525281</v>
      </c>
    </row>
    <row r="243" spans="1:10">
      <c r="A243" s="1">
        <v>49235</v>
      </c>
      <c r="B243" t="s">
        <v>12</v>
      </c>
      <c r="C243">
        <v>99</v>
      </c>
      <c r="D243">
        <v>32819.545600261801</v>
      </c>
      <c r="E243">
        <v>3.2476125393858912</v>
      </c>
      <c r="F243">
        <v>1.2424221410853837</v>
      </c>
      <c r="G243">
        <v>4.0209720222777889</v>
      </c>
      <c r="H243">
        <v>103161.06979840263</v>
      </c>
      <c r="I243">
        <v>103</v>
      </c>
      <c r="J243">
        <v>78.994515314169774</v>
      </c>
    </row>
    <row r="244" spans="1:10">
      <c r="A244" s="1">
        <v>49265</v>
      </c>
      <c r="B244" t="s">
        <v>11</v>
      </c>
      <c r="C244">
        <v>100</v>
      </c>
      <c r="D244">
        <v>32973.771708326429</v>
      </c>
      <c r="E244">
        <v>3.9203100132522763</v>
      </c>
      <c r="F244">
        <v>2.2659801408930185</v>
      </c>
      <c r="G244">
        <v>6.1627599252154281</v>
      </c>
      <c r="H244">
        <v>98067.526599702207</v>
      </c>
      <c r="J244">
        <v>40.226992055223143</v>
      </c>
    </row>
    <row r="245" spans="1:10">
      <c r="A245" s="1">
        <v>49295</v>
      </c>
      <c r="B245" t="s">
        <v>14</v>
      </c>
      <c r="C245">
        <v>1040</v>
      </c>
      <c r="D245">
        <v>34267.077793901539</v>
      </c>
      <c r="F245">
        <v>2.9663583744463344</v>
      </c>
      <c r="G245">
        <v>6.2507571203752015</v>
      </c>
      <c r="H245">
        <v>91680.661441052827</v>
      </c>
      <c r="I245">
        <v>85</v>
      </c>
      <c r="J245">
        <v>25.382769033721164</v>
      </c>
    </row>
    <row r="246" spans="1:10">
      <c r="A246" s="1">
        <v>49325</v>
      </c>
      <c r="B246" t="s">
        <v>12</v>
      </c>
      <c r="C246">
        <v>82</v>
      </c>
      <c r="D246">
        <v>33794.642948933826</v>
      </c>
      <c r="E246">
        <v>3.380533950415153</v>
      </c>
      <c r="F246">
        <v>34.873345165891017</v>
      </c>
      <c r="G246">
        <v>4.6638738178845101</v>
      </c>
      <c r="H246">
        <v>81085.078786064376</v>
      </c>
      <c r="I246">
        <v>98</v>
      </c>
      <c r="J246">
        <v>41.439781350750238</v>
      </c>
    </row>
    <row r="247" spans="1:10">
      <c r="A247" s="1">
        <v>49355</v>
      </c>
      <c r="B247" t="s">
        <v>10</v>
      </c>
      <c r="C247">
        <v>87</v>
      </c>
      <c r="D247">
        <v>31405.95711984688</v>
      </c>
      <c r="E247">
        <v>3.3165877940926562</v>
      </c>
      <c r="F247">
        <v>2.4240489763574771</v>
      </c>
      <c r="G247">
        <v>6.1984318805016727</v>
      </c>
      <c r="H247">
        <v>112164.92383369937</v>
      </c>
      <c r="I247">
        <v>93</v>
      </c>
      <c r="J247">
        <v>92.97665894252205</v>
      </c>
    </row>
    <row r="248" spans="1:10">
      <c r="A248" s="1">
        <v>49385</v>
      </c>
      <c r="B248" t="s">
        <v>14</v>
      </c>
      <c r="C248">
        <v>87</v>
      </c>
      <c r="D248">
        <v>30521.005519759379</v>
      </c>
      <c r="E248">
        <v>3.304120925478089</v>
      </c>
      <c r="F248">
        <v>2.1801524767451559</v>
      </c>
      <c r="G248">
        <v>5.8125307160002668</v>
      </c>
      <c r="H248">
        <v>73657.361601068304</v>
      </c>
      <c r="I248">
        <v>69</v>
      </c>
      <c r="J248">
        <v>70.654293991661774</v>
      </c>
    </row>
    <row r="249" spans="1:10">
      <c r="A249" s="1">
        <v>49415</v>
      </c>
      <c r="B249" t="s">
        <v>13</v>
      </c>
      <c r="C249">
        <v>90</v>
      </c>
      <c r="D249">
        <v>29687.034360502388</v>
      </c>
      <c r="E249">
        <v>3.0387949077507486</v>
      </c>
      <c r="F249">
        <v>2.6517579922487404</v>
      </c>
      <c r="G249">
        <v>4.8533897725687138</v>
      </c>
      <c r="H249">
        <v>115520.5582768695</v>
      </c>
      <c r="I249">
        <v>89</v>
      </c>
      <c r="J249">
        <v>77.684372871829751</v>
      </c>
    </row>
    <row r="250" spans="1:10">
      <c r="A250" s="1">
        <v>49445</v>
      </c>
      <c r="B250" t="s">
        <v>10</v>
      </c>
      <c r="C250">
        <v>115</v>
      </c>
      <c r="D250">
        <v>26230.17705566662</v>
      </c>
      <c r="E250">
        <v>43.076878447347212</v>
      </c>
      <c r="F250">
        <v>1.6648570983699771</v>
      </c>
      <c r="H250">
        <v>79955.6596214655</v>
      </c>
      <c r="I250">
        <v>88</v>
      </c>
      <c r="J250">
        <v>40.572188088727671</v>
      </c>
    </row>
    <row r="251" spans="1:10">
      <c r="A251" s="1">
        <v>49475</v>
      </c>
      <c r="B251" t="s">
        <v>10</v>
      </c>
      <c r="C251">
        <v>105</v>
      </c>
      <c r="D251">
        <v>28596.624615666129</v>
      </c>
      <c r="E251">
        <v>3.3388397653943303</v>
      </c>
      <c r="F251">
        <v>4.5895387216947734</v>
      </c>
      <c r="H251">
        <v>84951.295252939308</v>
      </c>
      <c r="I251">
        <v>115</v>
      </c>
      <c r="J251">
        <v>77.551052445985619</v>
      </c>
    </row>
    <row r="252" spans="1:10">
      <c r="A252" s="1">
        <v>49505</v>
      </c>
      <c r="B252" t="s">
        <v>13</v>
      </c>
      <c r="C252">
        <v>90</v>
      </c>
      <c r="D252">
        <v>21535.21592902307</v>
      </c>
      <c r="E252">
        <v>4.108579260412748</v>
      </c>
      <c r="F252">
        <v>0.89233897288194131</v>
      </c>
      <c r="G252">
        <v>5.9195800567596324</v>
      </c>
      <c r="H252">
        <v>70664.296187686457</v>
      </c>
      <c r="I252">
        <v>90</v>
      </c>
      <c r="J252">
        <v>222.49720502233899</v>
      </c>
    </row>
    <row r="253" spans="1:10">
      <c r="A253" s="1">
        <v>49535</v>
      </c>
      <c r="B253" t="s">
        <v>10</v>
      </c>
      <c r="C253">
        <v>89</v>
      </c>
      <c r="D253">
        <v>29508.30186602625</v>
      </c>
      <c r="E253">
        <v>4.2606580259612254</v>
      </c>
      <c r="F253">
        <v>2.6847405788957244</v>
      </c>
      <c r="G253">
        <v>3.6222366743655341</v>
      </c>
      <c r="H253">
        <v>89971.957062287271</v>
      </c>
      <c r="I253">
        <v>105</v>
      </c>
      <c r="J253">
        <v>50.025707661841103</v>
      </c>
    </row>
    <row r="254" spans="1:10">
      <c r="A254" s="1">
        <v>49565</v>
      </c>
      <c r="B254" t="s">
        <v>10</v>
      </c>
      <c r="C254">
        <v>89</v>
      </c>
      <c r="D254">
        <v>25057.044464245413</v>
      </c>
      <c r="E254">
        <v>3.9991554490739802</v>
      </c>
      <c r="F254">
        <v>4.5236062192296398</v>
      </c>
      <c r="G254">
        <v>5.6144130393295697</v>
      </c>
      <c r="H254">
        <v>119506.24916955958</v>
      </c>
      <c r="I254">
        <v>98</v>
      </c>
      <c r="J254">
        <v>70.1402678833865</v>
      </c>
    </row>
    <row r="255" spans="1:10">
      <c r="A255" s="1">
        <v>49595</v>
      </c>
      <c r="B255" t="s">
        <v>12</v>
      </c>
      <c r="C255">
        <v>86</v>
      </c>
      <c r="E255">
        <v>3.2841898436409758</v>
      </c>
      <c r="F255">
        <v>2.5067998445599979</v>
      </c>
      <c r="G255">
        <v>5.1838621407013008</v>
      </c>
      <c r="H255">
        <v>110312.56176887912</v>
      </c>
      <c r="I255">
        <v>85</v>
      </c>
      <c r="J255">
        <v>31.687725243305618</v>
      </c>
    </row>
    <row r="256" spans="1:10">
      <c r="A256" s="1">
        <v>49625</v>
      </c>
      <c r="B256" t="s">
        <v>12</v>
      </c>
      <c r="C256">
        <v>91</v>
      </c>
      <c r="D256">
        <v>30899.470755767394</v>
      </c>
      <c r="E256">
        <v>3.7018650451683048</v>
      </c>
      <c r="F256">
        <v>2.3099609649985053</v>
      </c>
      <c r="G256">
        <v>6.3149713305258341</v>
      </c>
      <c r="H256">
        <v>119568.4422405607</v>
      </c>
      <c r="I256">
        <v>101</v>
      </c>
      <c r="J256">
        <v>85.84028595575478</v>
      </c>
    </row>
    <row r="257" spans="1:10">
      <c r="A257" s="1">
        <v>49655</v>
      </c>
      <c r="B257" t="s">
        <v>14</v>
      </c>
      <c r="C257">
        <v>100</v>
      </c>
      <c r="D257">
        <v>36960.011431722996</v>
      </c>
      <c r="E257">
        <v>3.4879021968045421</v>
      </c>
      <c r="F257">
        <v>2.1425545771895727</v>
      </c>
      <c r="G257">
        <v>5.1375454006121632</v>
      </c>
      <c r="H257">
        <v>110442.85091867871</v>
      </c>
      <c r="I257">
        <v>93</v>
      </c>
      <c r="J257">
        <v>38.80250390495349</v>
      </c>
    </row>
    <row r="258" spans="1:10">
      <c r="A258" s="1">
        <v>49685</v>
      </c>
      <c r="B258" t="s">
        <v>14</v>
      </c>
      <c r="C258">
        <v>104</v>
      </c>
      <c r="D258">
        <v>34591.583030011563</v>
      </c>
      <c r="E258">
        <v>3.048149069634936</v>
      </c>
      <c r="F258">
        <v>2.3196083182375924</v>
      </c>
      <c r="G258">
        <v>5.10466265638349</v>
      </c>
      <c r="H258">
        <v>77926.60342939262</v>
      </c>
      <c r="I258">
        <v>99</v>
      </c>
      <c r="J258">
        <v>72.182489025475704</v>
      </c>
    </row>
    <row r="259" spans="1:10">
      <c r="A259" s="1">
        <v>49715</v>
      </c>
      <c r="B259" t="s">
        <v>14</v>
      </c>
      <c r="C259">
        <v>80</v>
      </c>
      <c r="D259">
        <v>22147.496981884113</v>
      </c>
      <c r="E259">
        <v>3.6621796408608014</v>
      </c>
      <c r="F259">
        <v>3.8728484746765304</v>
      </c>
      <c r="G259">
        <v>6.3782448451459546</v>
      </c>
      <c r="H259">
        <v>93384.215513448857</v>
      </c>
      <c r="I259">
        <v>87</v>
      </c>
      <c r="J259">
        <v>52.415771406026373</v>
      </c>
    </row>
    <row r="260" spans="1:10">
      <c r="A260" s="1">
        <v>49745</v>
      </c>
      <c r="B260" t="s">
        <v>12</v>
      </c>
      <c r="C260">
        <v>110</v>
      </c>
      <c r="D260">
        <v>25051.859317148312</v>
      </c>
      <c r="F260">
        <v>0.28813808867049318</v>
      </c>
      <c r="G260">
        <v>5.9020696349009407</v>
      </c>
      <c r="H260">
        <v>84396.017417650743</v>
      </c>
      <c r="I260">
        <v>87</v>
      </c>
      <c r="J260">
        <v>67.683487638211773</v>
      </c>
    </row>
    <row r="261" spans="1:10">
      <c r="A261" s="1">
        <v>49775</v>
      </c>
      <c r="B261" t="s">
        <v>14</v>
      </c>
      <c r="C261">
        <v>90</v>
      </c>
      <c r="D261">
        <v>34703.855939941081</v>
      </c>
      <c r="E261">
        <v>4.0938396942307822</v>
      </c>
      <c r="F261">
        <v>4.0334337012963255</v>
      </c>
      <c r="G261">
        <v>5.8793871486193341</v>
      </c>
      <c r="H261">
        <v>126611.4980807808</v>
      </c>
      <c r="I261">
        <v>89</v>
      </c>
    </row>
    <row r="262" spans="1:10">
      <c r="A262" s="1">
        <v>49805</v>
      </c>
      <c r="B262" t="s">
        <v>10</v>
      </c>
      <c r="C262">
        <v>96</v>
      </c>
      <c r="D262">
        <v>25087.563032308452</v>
      </c>
      <c r="E262">
        <v>3.2676913513508037</v>
      </c>
      <c r="F262">
        <v>1.0760428475498549</v>
      </c>
      <c r="G262">
        <v>6.0631211077702316</v>
      </c>
      <c r="H262">
        <v>76064.227071473768</v>
      </c>
      <c r="I262">
        <v>86</v>
      </c>
      <c r="J262">
        <v>21.353023993728584</v>
      </c>
    </row>
    <row r="263" spans="1:10">
      <c r="A263" s="1">
        <v>49835</v>
      </c>
      <c r="B263" t="s">
        <v>12</v>
      </c>
      <c r="C263">
        <v>103</v>
      </c>
      <c r="D263">
        <v>28876.834250014876</v>
      </c>
      <c r="E263">
        <v>3.6005798279364196</v>
      </c>
      <c r="F263">
        <v>2.233347670765585</v>
      </c>
      <c r="G263">
        <v>3.657313452151473</v>
      </c>
      <c r="H263">
        <v>117873.95378778221</v>
      </c>
      <c r="I263">
        <v>80</v>
      </c>
      <c r="J263">
        <v>92.765154190424099</v>
      </c>
    </row>
    <row r="264" spans="1:10">
      <c r="A264" s="1">
        <v>49865</v>
      </c>
      <c r="B264" t="s">
        <v>14</v>
      </c>
      <c r="C264">
        <v>99</v>
      </c>
      <c r="D264">
        <v>32750.260495122759</v>
      </c>
      <c r="E264">
        <v>3.6416439357730712</v>
      </c>
      <c r="F264">
        <v>2.0707555797013382</v>
      </c>
      <c r="G264">
        <v>6.408146415984378</v>
      </c>
      <c r="H264">
        <v>117859.07740217539</v>
      </c>
      <c r="I264">
        <v>91</v>
      </c>
      <c r="J264">
        <v>41.570400701374624</v>
      </c>
    </row>
    <row r="265" spans="1:10">
      <c r="A265" s="1">
        <v>49895</v>
      </c>
      <c r="B265" t="s">
        <v>10</v>
      </c>
      <c r="D265">
        <v>25158.277725681823</v>
      </c>
      <c r="E265">
        <v>3.3705475131479612</v>
      </c>
      <c r="F265">
        <v>3.0885532697707196</v>
      </c>
      <c r="G265">
        <v>6.2349625528163228</v>
      </c>
      <c r="H265">
        <v>136592.40403432175</v>
      </c>
      <c r="I265">
        <v>84</v>
      </c>
      <c r="J265">
        <v>85.574160222436731</v>
      </c>
    </row>
    <row r="266" spans="1:10">
      <c r="A266" s="1">
        <v>49925</v>
      </c>
      <c r="B266" t="s">
        <v>14</v>
      </c>
      <c r="C266">
        <v>106</v>
      </c>
      <c r="D266">
        <v>30526.877530729798</v>
      </c>
      <c r="E266">
        <v>3.7933469007376375</v>
      </c>
      <c r="F266">
        <v>0.90187564811625243</v>
      </c>
      <c r="G266">
        <v>4.2799802457082032</v>
      </c>
      <c r="H266">
        <v>91806.268147410054</v>
      </c>
      <c r="I266">
        <v>89</v>
      </c>
      <c r="J266">
        <v>99.948024037776008</v>
      </c>
    </row>
    <row r="267" spans="1:10">
      <c r="A267" s="1">
        <v>49955</v>
      </c>
      <c r="B267" t="s">
        <v>11</v>
      </c>
      <c r="C267">
        <v>100</v>
      </c>
      <c r="E267">
        <v>3.2625481716887377</v>
      </c>
      <c r="F267">
        <v>2.9621726660819427</v>
      </c>
      <c r="G267">
        <v>5.2071034315909586</v>
      </c>
      <c r="H267">
        <v>114246.44319160325</v>
      </c>
      <c r="I267">
        <v>113</v>
      </c>
      <c r="J267">
        <v>36.914500639912895</v>
      </c>
    </row>
    <row r="268" spans="1:10">
      <c r="A268" s="1">
        <v>49985</v>
      </c>
      <c r="B268" t="s">
        <v>14</v>
      </c>
      <c r="C268">
        <v>85</v>
      </c>
      <c r="D268">
        <v>26993.161780243932</v>
      </c>
      <c r="E268">
        <v>39.356486487286219</v>
      </c>
      <c r="F268">
        <v>4.524309623286852</v>
      </c>
      <c r="G268">
        <v>5.4528312548468429</v>
      </c>
      <c r="H268">
        <v>145633.03673077686</v>
      </c>
      <c r="I268">
        <v>89</v>
      </c>
      <c r="J268">
        <v>41.213659294668446</v>
      </c>
    </row>
    <row r="269" spans="1:10">
      <c r="A269" s="1">
        <v>50015</v>
      </c>
      <c r="B269" t="s">
        <v>11</v>
      </c>
      <c r="C269">
        <v>101</v>
      </c>
      <c r="D269">
        <v>31598.909670712685</v>
      </c>
      <c r="E269">
        <v>2.8270101598766257</v>
      </c>
      <c r="F269">
        <v>1.1368259954071895</v>
      </c>
      <c r="G269">
        <v>5.3386038587179208</v>
      </c>
      <c r="H269">
        <v>87647.166461326065</v>
      </c>
      <c r="I269">
        <v>91</v>
      </c>
      <c r="J269">
        <v>73.028783010773253</v>
      </c>
    </row>
    <row r="270" spans="1:10">
      <c r="A270" s="1">
        <v>50045</v>
      </c>
      <c r="B270" t="s">
        <v>14</v>
      </c>
      <c r="C270">
        <v>93</v>
      </c>
      <c r="D270">
        <v>22035.031332341656</v>
      </c>
      <c r="E270">
        <v>3.5631897897732059</v>
      </c>
      <c r="F270">
        <v>2.6897061676103955</v>
      </c>
      <c r="G270">
        <v>5.9006319598822419</v>
      </c>
      <c r="H270">
        <v>69299.195049352798</v>
      </c>
      <c r="I270">
        <v>83</v>
      </c>
      <c r="J270">
        <v>97.2358907680497</v>
      </c>
    </row>
    <row r="271" spans="1:10">
      <c r="A271" s="1">
        <v>50075</v>
      </c>
      <c r="B271" t="s">
        <v>13</v>
      </c>
      <c r="C271">
        <v>91</v>
      </c>
      <c r="D271">
        <v>32202.373689801996</v>
      </c>
      <c r="E271">
        <v>4.4694644995291419</v>
      </c>
      <c r="F271">
        <v>1.8380178222033909</v>
      </c>
      <c r="G271">
        <v>7.21764013819742</v>
      </c>
      <c r="H271">
        <v>62399.79932184473</v>
      </c>
      <c r="I271">
        <v>77</v>
      </c>
      <c r="J271">
        <v>93.265147855259514</v>
      </c>
    </row>
    <row r="272" spans="1:10">
      <c r="A272" s="1">
        <v>50105</v>
      </c>
      <c r="B272" t="s">
        <v>14</v>
      </c>
      <c r="C272">
        <v>103</v>
      </c>
      <c r="D272">
        <v>29901.811005366595</v>
      </c>
      <c r="E272">
        <v>2.9998343376972127</v>
      </c>
      <c r="F272">
        <v>2.9258872061930359</v>
      </c>
      <c r="G272">
        <v>6.7981200732073948</v>
      </c>
      <c r="H272">
        <v>114254.24057722662</v>
      </c>
      <c r="I272">
        <v>95</v>
      </c>
      <c r="J272">
        <v>60.23004160524679</v>
      </c>
    </row>
    <row r="273" spans="1:10">
      <c r="A273" s="1">
        <v>50135</v>
      </c>
      <c r="B273" t="s">
        <v>12</v>
      </c>
      <c r="C273">
        <v>109</v>
      </c>
      <c r="D273">
        <v>327624.49772085738</v>
      </c>
      <c r="E273">
        <v>3.1611275147375744</v>
      </c>
      <c r="F273">
        <v>2.519147777415752</v>
      </c>
      <c r="G273">
        <v>3.9253369678823127</v>
      </c>
      <c r="H273">
        <v>62336.995838828327</v>
      </c>
      <c r="I273">
        <v>91</v>
      </c>
      <c r="J273">
        <v>83.608822602137977</v>
      </c>
    </row>
    <row r="274" spans="1:10">
      <c r="A274" s="1">
        <v>50165</v>
      </c>
      <c r="B274" t="s">
        <v>12</v>
      </c>
      <c r="C274">
        <v>83</v>
      </c>
      <c r="D274">
        <v>31119.570670323308</v>
      </c>
      <c r="E274">
        <v>3.7569539248294577</v>
      </c>
      <c r="F274">
        <v>1.8585130909556904</v>
      </c>
      <c r="G274">
        <v>6.2464839883672587</v>
      </c>
      <c r="H274">
        <v>92553.618941241541</v>
      </c>
      <c r="I274">
        <v>97</v>
      </c>
    </row>
    <row r="275" spans="1:10">
      <c r="A275" s="1">
        <v>50195</v>
      </c>
      <c r="B275" t="s">
        <v>11</v>
      </c>
      <c r="C275">
        <v>102</v>
      </c>
      <c r="D275">
        <v>36820.702149869219</v>
      </c>
      <c r="E275">
        <v>3.5897908909697991</v>
      </c>
      <c r="F275">
        <v>2.9878722848710741</v>
      </c>
      <c r="G275">
        <v>70.947199834424907</v>
      </c>
      <c r="H275">
        <v>108746.26374077922</v>
      </c>
      <c r="I275">
        <v>97</v>
      </c>
      <c r="J275">
        <v>98.195054736320984</v>
      </c>
    </row>
    <row r="276" spans="1:10">
      <c r="A276" s="1">
        <v>50225</v>
      </c>
      <c r="B276" t="s">
        <v>12</v>
      </c>
      <c r="C276">
        <v>98</v>
      </c>
      <c r="D276">
        <v>30626.122513239538</v>
      </c>
      <c r="E276">
        <v>3.6753150496367795</v>
      </c>
      <c r="F276">
        <v>4.3043481097867433</v>
      </c>
      <c r="G276">
        <v>5.9641702248270434</v>
      </c>
      <c r="H276">
        <v>103703.51073659828</v>
      </c>
      <c r="I276">
        <v>85</v>
      </c>
      <c r="J276">
        <v>97.148258722878921</v>
      </c>
    </row>
    <row r="277" spans="1:10">
      <c r="A277" s="1">
        <v>50255</v>
      </c>
      <c r="B277" t="s">
        <v>10</v>
      </c>
      <c r="C277">
        <v>93</v>
      </c>
      <c r="D277">
        <v>27852.972294373736</v>
      </c>
      <c r="E277">
        <v>3.7445935650738318</v>
      </c>
      <c r="F277">
        <v>2.3090962082727011</v>
      </c>
      <c r="H277">
        <v>108508.89728368344</v>
      </c>
      <c r="I277">
        <v>77</v>
      </c>
      <c r="J277">
        <v>33.098316630333677</v>
      </c>
    </row>
    <row r="278" spans="1:10">
      <c r="A278" s="1">
        <v>50285</v>
      </c>
      <c r="B278" t="s">
        <v>13</v>
      </c>
      <c r="C278">
        <v>104</v>
      </c>
      <c r="D278">
        <v>30611.487515161418</v>
      </c>
      <c r="E278">
        <v>38.17360734280885</v>
      </c>
      <c r="F278">
        <v>3.2197579421481821</v>
      </c>
      <c r="G278">
        <v>7.9147245348409179</v>
      </c>
      <c r="I278">
        <v>100</v>
      </c>
      <c r="J278">
        <v>43.953849984248528</v>
      </c>
    </row>
    <row r="279" spans="1:10">
      <c r="A279" s="1">
        <v>50315</v>
      </c>
      <c r="B279" t="s">
        <v>13</v>
      </c>
      <c r="C279">
        <v>96</v>
      </c>
      <c r="D279">
        <v>32716.490145181939</v>
      </c>
      <c r="E279">
        <v>4.0548499209781115</v>
      </c>
      <c r="G279">
        <v>6.7284514553283774</v>
      </c>
      <c r="H279">
        <v>125577.31626626787</v>
      </c>
      <c r="I279">
        <v>87</v>
      </c>
      <c r="J279">
        <v>28.012399800541353</v>
      </c>
    </row>
    <row r="280" spans="1:10">
      <c r="A280" s="1">
        <v>50345</v>
      </c>
      <c r="B280" t="s">
        <v>10</v>
      </c>
      <c r="C280">
        <v>103</v>
      </c>
      <c r="D280">
        <v>30244.300351628521</v>
      </c>
      <c r="E280">
        <v>3.7049093284642565</v>
      </c>
      <c r="F280">
        <v>1.5435636231819911</v>
      </c>
      <c r="G280">
        <v>5.7991703147700751</v>
      </c>
      <c r="H280">
        <v>80953.672385224054</v>
      </c>
      <c r="I280">
        <v>102</v>
      </c>
      <c r="J280">
        <v>41.737407911854376</v>
      </c>
    </row>
    <row r="281" spans="1:10">
      <c r="A281" s="1">
        <v>50375</v>
      </c>
      <c r="B281" t="s">
        <v>11</v>
      </c>
      <c r="C281">
        <v>85</v>
      </c>
      <c r="D281">
        <v>30202.958456019413</v>
      </c>
      <c r="E281">
        <v>3.3793711726907287</v>
      </c>
      <c r="F281">
        <v>2.9724062778803773</v>
      </c>
      <c r="H281">
        <v>86460.097230829371</v>
      </c>
      <c r="I281">
        <v>102</v>
      </c>
      <c r="J281">
        <v>85.276463153216525</v>
      </c>
    </row>
    <row r="282" spans="1:10">
      <c r="A282" s="1">
        <v>50405</v>
      </c>
      <c r="B282" t="s">
        <v>10</v>
      </c>
      <c r="C282">
        <v>92</v>
      </c>
      <c r="D282">
        <v>26490.041560966223</v>
      </c>
      <c r="F282">
        <v>3.9841160285359649</v>
      </c>
      <c r="G282">
        <v>5.6738653997162691</v>
      </c>
      <c r="H282">
        <v>84546.811094583521</v>
      </c>
      <c r="I282">
        <v>98</v>
      </c>
      <c r="J282">
        <v>50.265248573220759</v>
      </c>
    </row>
    <row r="283" spans="1:10">
      <c r="A283" s="1">
        <v>50435</v>
      </c>
      <c r="B283" t="s">
        <v>10</v>
      </c>
      <c r="C283">
        <v>90</v>
      </c>
      <c r="D283">
        <v>26685.495412245258</v>
      </c>
      <c r="E283">
        <v>4.449940967447608</v>
      </c>
      <c r="F283">
        <v>2.8556133487856599</v>
      </c>
      <c r="G283">
        <v>5.5286836519419467</v>
      </c>
      <c r="H283">
        <v>116603.8362372522</v>
      </c>
      <c r="I283">
        <v>80</v>
      </c>
      <c r="J283">
        <v>27.07175737174067</v>
      </c>
    </row>
    <row r="284" spans="1:10">
      <c r="A284" s="1">
        <v>50465</v>
      </c>
      <c r="B284" t="s">
        <v>13</v>
      </c>
      <c r="C284">
        <v>83</v>
      </c>
      <c r="D284">
        <v>22986.973641001532</v>
      </c>
      <c r="E284">
        <v>3.4336831268087131</v>
      </c>
      <c r="F284">
        <v>2.1869419694768455</v>
      </c>
      <c r="G284">
        <v>5.078302917143521</v>
      </c>
      <c r="H284">
        <v>118007.97176790127</v>
      </c>
      <c r="I284">
        <v>79</v>
      </c>
      <c r="J284">
        <v>47.378041982312368</v>
      </c>
    </row>
    <row r="285" spans="1:10">
      <c r="A285" s="1">
        <v>50495</v>
      </c>
      <c r="B285" t="s">
        <v>14</v>
      </c>
      <c r="C285">
        <v>86</v>
      </c>
      <c r="D285">
        <v>38747.883715934695</v>
      </c>
      <c r="E285">
        <v>3.0127353476646794</v>
      </c>
      <c r="F285">
        <v>2.4992914054233539</v>
      </c>
      <c r="G285">
        <v>7.3760960305985295</v>
      </c>
      <c r="H285">
        <v>109024.50638637017</v>
      </c>
      <c r="I285">
        <v>91</v>
      </c>
      <c r="J285">
        <v>98.510666739302408</v>
      </c>
    </row>
    <row r="286" spans="1:10">
      <c r="A286" s="1">
        <v>50525</v>
      </c>
      <c r="B286" t="s">
        <v>13</v>
      </c>
      <c r="C286">
        <v>110</v>
      </c>
      <c r="D286">
        <v>23780.683823043575</v>
      </c>
      <c r="E286">
        <v>4.0535403346434862</v>
      </c>
      <c r="F286">
        <v>1.2495922660302825</v>
      </c>
      <c r="G286">
        <v>4.5178856008695982</v>
      </c>
      <c r="H286">
        <v>123669.87333779855</v>
      </c>
      <c r="I286">
        <v>81</v>
      </c>
      <c r="J286">
        <v>70.374687620736239</v>
      </c>
    </row>
    <row r="287" spans="1:10">
      <c r="A287" s="1">
        <v>50555</v>
      </c>
      <c r="B287" t="s">
        <v>13</v>
      </c>
      <c r="C287">
        <v>89</v>
      </c>
      <c r="E287">
        <v>3.4398094180232008</v>
      </c>
      <c r="F287">
        <v>3.1045153263553669</v>
      </c>
      <c r="G287">
        <v>7.3388412696137388</v>
      </c>
      <c r="H287">
        <v>76439.182652472387</v>
      </c>
      <c r="I287">
        <v>66</v>
      </c>
      <c r="J287">
        <v>53.292875712492616</v>
      </c>
    </row>
    <row r="288" spans="1:10">
      <c r="A288" s="1">
        <v>50585</v>
      </c>
      <c r="B288" t="s">
        <v>12</v>
      </c>
      <c r="C288">
        <v>118</v>
      </c>
      <c r="D288">
        <v>264079.63672154013</v>
      </c>
      <c r="E288">
        <v>2.4136652269929817</v>
      </c>
      <c r="F288">
        <v>3.3823330623234091</v>
      </c>
      <c r="G288">
        <v>6.0998369484884458</v>
      </c>
      <c r="H288">
        <v>133344.48223102273</v>
      </c>
      <c r="I288">
        <v>92</v>
      </c>
      <c r="J288">
        <v>33.323081079781602</v>
      </c>
    </row>
    <row r="289" spans="1:10">
      <c r="A289" s="1">
        <v>50615</v>
      </c>
      <c r="B289" t="s">
        <v>10</v>
      </c>
      <c r="C289">
        <v>102</v>
      </c>
      <c r="D289">
        <v>34474.621884722204</v>
      </c>
      <c r="E289">
        <v>3.9237108385752109</v>
      </c>
      <c r="F289">
        <v>2.0479096671669197</v>
      </c>
      <c r="G289">
        <v>3.8208325902376705</v>
      </c>
      <c r="H289">
        <v>130464.77243424517</v>
      </c>
      <c r="I289">
        <v>95</v>
      </c>
      <c r="J289">
        <v>98.894143782695579</v>
      </c>
    </row>
    <row r="290" spans="1:10">
      <c r="A290" s="1">
        <v>50645</v>
      </c>
      <c r="B290" t="s">
        <v>13</v>
      </c>
      <c r="C290">
        <v>108</v>
      </c>
      <c r="D290">
        <v>28525.25160853986</v>
      </c>
      <c r="E290">
        <v>3.2323359070230389</v>
      </c>
      <c r="F290">
        <v>2.0299578522404986</v>
      </c>
      <c r="G290">
        <v>59.411791515897065</v>
      </c>
      <c r="H290">
        <v>114712.43994491494</v>
      </c>
      <c r="J290">
        <v>85.667920741050295</v>
      </c>
    </row>
    <row r="291" spans="1:10">
      <c r="A291" s="1">
        <v>50675</v>
      </c>
      <c r="B291" t="s">
        <v>10</v>
      </c>
      <c r="C291">
        <v>95</v>
      </c>
      <c r="D291">
        <v>36238.710363368671</v>
      </c>
      <c r="E291">
        <v>3.4547333588479194</v>
      </c>
      <c r="F291">
        <v>2.7658782296520483</v>
      </c>
      <c r="G291">
        <v>2.9799681908180511</v>
      </c>
      <c r="H291">
        <v>135635.97817542119</v>
      </c>
      <c r="I291">
        <v>108</v>
      </c>
    </row>
    <row r="292" spans="1:10">
      <c r="A292" s="1">
        <v>50705</v>
      </c>
      <c r="B292" t="s">
        <v>12</v>
      </c>
      <c r="C292">
        <v>100</v>
      </c>
      <c r="D292">
        <v>26632.546878780657</v>
      </c>
      <c r="E292">
        <v>3.6659901652845073</v>
      </c>
      <c r="F292">
        <v>2.0632802639594043</v>
      </c>
      <c r="G292">
        <v>6.2506096201972428</v>
      </c>
      <c r="H292">
        <v>66867.535846444516</v>
      </c>
      <c r="I292">
        <v>83</v>
      </c>
      <c r="J292">
        <v>25.605495657695158</v>
      </c>
    </row>
    <row r="293" spans="1:10">
      <c r="A293" s="1">
        <v>50735</v>
      </c>
      <c r="B293" t="s">
        <v>10</v>
      </c>
      <c r="C293">
        <v>86</v>
      </c>
      <c r="D293">
        <v>31394.970811119008</v>
      </c>
      <c r="E293">
        <v>3.5952498398895334</v>
      </c>
      <c r="F293">
        <v>2.4338673853741777</v>
      </c>
      <c r="G293">
        <v>6.5622777795867897</v>
      </c>
      <c r="H293">
        <v>89511.037274746966</v>
      </c>
      <c r="I293">
        <v>96</v>
      </c>
      <c r="J293">
        <v>24.530044590204643</v>
      </c>
    </row>
    <row r="294" spans="1:10">
      <c r="A294" s="1">
        <v>50765</v>
      </c>
      <c r="B294" t="s">
        <v>13</v>
      </c>
      <c r="C294">
        <v>94</v>
      </c>
      <c r="D294">
        <v>25823.264733701213</v>
      </c>
      <c r="E294">
        <v>3.8547259085695198</v>
      </c>
      <c r="F294">
        <v>4.5997217891665159</v>
      </c>
      <c r="G294">
        <v>4.7891728532175355</v>
      </c>
      <c r="H294">
        <v>85293.930786360957</v>
      </c>
      <c r="I294">
        <v>84</v>
      </c>
      <c r="J294">
        <v>29.630251960442706</v>
      </c>
    </row>
    <row r="295" spans="1:10">
      <c r="A295" s="1">
        <v>50795</v>
      </c>
      <c r="B295" t="s">
        <v>10</v>
      </c>
      <c r="C295">
        <v>88</v>
      </c>
      <c r="D295">
        <v>40725.745638866938</v>
      </c>
      <c r="E295">
        <v>3.2822568147150784</v>
      </c>
      <c r="F295">
        <v>2.2529742992540034</v>
      </c>
      <c r="G295">
        <v>5.6482572351466986</v>
      </c>
      <c r="H295">
        <v>114429.58647514686</v>
      </c>
      <c r="I295">
        <v>92</v>
      </c>
      <c r="J295">
        <v>66.46148668915373</v>
      </c>
    </row>
    <row r="296" spans="1:10">
      <c r="A296" s="1">
        <v>50825</v>
      </c>
      <c r="B296" t="s">
        <v>12</v>
      </c>
      <c r="C296">
        <v>1010</v>
      </c>
      <c r="D296">
        <v>24062.007904852435</v>
      </c>
      <c r="E296">
        <v>3.7565528990880415</v>
      </c>
      <c r="F296">
        <v>21.416598479787776</v>
      </c>
      <c r="G296">
        <v>7.8449889205003434</v>
      </c>
      <c r="H296">
        <v>78997.185207957082</v>
      </c>
      <c r="I296">
        <v>790</v>
      </c>
      <c r="J296">
        <v>94.301073696439389</v>
      </c>
    </row>
    <row r="297" spans="1:10">
      <c r="A297" s="1">
        <v>50855</v>
      </c>
      <c r="B297" t="s">
        <v>14</v>
      </c>
      <c r="C297">
        <v>95</v>
      </c>
      <c r="D297">
        <v>31549.103551135137</v>
      </c>
      <c r="E297">
        <v>3.3702266612080414</v>
      </c>
      <c r="F297">
        <v>1.8524581943648408</v>
      </c>
      <c r="G297">
        <v>4.8931039548856763</v>
      </c>
      <c r="H297">
        <v>115149.90298674972</v>
      </c>
      <c r="I297">
        <v>98</v>
      </c>
      <c r="J297">
        <v>59.739474240478756</v>
      </c>
    </row>
    <row r="298" spans="1:10">
      <c r="A298" s="1">
        <v>50885</v>
      </c>
      <c r="B298" t="s">
        <v>10</v>
      </c>
      <c r="C298">
        <v>95</v>
      </c>
      <c r="D298">
        <v>33168.884404660494</v>
      </c>
      <c r="E298">
        <v>3.8694052404437516</v>
      </c>
      <c r="F298">
        <v>3.2441919714999368</v>
      </c>
      <c r="G298">
        <v>4.2293108955320795</v>
      </c>
      <c r="H298">
        <v>127410.72287993427</v>
      </c>
      <c r="I298">
        <v>800</v>
      </c>
      <c r="J298">
        <v>87.435638596495778</v>
      </c>
    </row>
    <row r="299" spans="1:10">
      <c r="A299" s="1">
        <v>50915</v>
      </c>
      <c r="B299" t="s">
        <v>13</v>
      </c>
      <c r="C299">
        <v>92</v>
      </c>
      <c r="D299">
        <v>32068.995487257493</v>
      </c>
      <c r="E299">
        <v>3.8076837420065268</v>
      </c>
      <c r="F299">
        <v>2.3187758267818972</v>
      </c>
      <c r="G299">
        <v>7.2779960829551182</v>
      </c>
      <c r="H299">
        <v>113904.05800167998</v>
      </c>
      <c r="I299">
        <v>93</v>
      </c>
      <c r="J299">
        <v>55.670929588784624</v>
      </c>
    </row>
    <row r="300" spans="1:10">
      <c r="A300" s="1">
        <v>50945</v>
      </c>
      <c r="B300" t="s">
        <v>12</v>
      </c>
      <c r="C300">
        <v>108</v>
      </c>
      <c r="D300">
        <v>29073.561705611457</v>
      </c>
      <c r="E300">
        <v>3.0322806489777023</v>
      </c>
      <c r="F300">
        <v>1.850626961678574</v>
      </c>
      <c r="G300">
        <v>7.855104628636953</v>
      </c>
      <c r="H300">
        <v>105675.02047323002</v>
      </c>
      <c r="I300">
        <v>90</v>
      </c>
      <c r="J300">
        <v>76.686683661426017</v>
      </c>
    </row>
    <row r="301" spans="1:10">
      <c r="A301" s="1">
        <v>50975</v>
      </c>
      <c r="B301" t="s">
        <v>13</v>
      </c>
      <c r="C301">
        <v>99</v>
      </c>
      <c r="D301">
        <v>29350.896501332871</v>
      </c>
      <c r="E301">
        <v>4.0429910580875159</v>
      </c>
      <c r="G301">
        <v>5.5044348062174171</v>
      </c>
      <c r="H301">
        <v>80242.533181985025</v>
      </c>
      <c r="I301">
        <v>85</v>
      </c>
      <c r="J301">
        <v>78.549818982920073</v>
      </c>
    </row>
    <row r="302" spans="1:10">
      <c r="A302" s="1">
        <v>51005</v>
      </c>
      <c r="B302" t="s">
        <v>13</v>
      </c>
      <c r="C302">
        <v>95</v>
      </c>
      <c r="D302">
        <v>30219.057359895549</v>
      </c>
      <c r="E302">
        <v>3.2320182774429762</v>
      </c>
      <c r="F302">
        <v>3.919603004513637</v>
      </c>
      <c r="G302">
        <v>6.7137556424900273</v>
      </c>
      <c r="H302">
        <v>83062.980677492713</v>
      </c>
      <c r="I302">
        <v>81</v>
      </c>
      <c r="J302">
        <v>33.91709647226709</v>
      </c>
    </row>
    <row r="303" spans="1:10">
      <c r="A303" s="1">
        <v>51035</v>
      </c>
      <c r="B303" t="s">
        <v>10</v>
      </c>
      <c r="C303">
        <v>86</v>
      </c>
      <c r="D303">
        <v>29264.989991857557</v>
      </c>
      <c r="E303">
        <v>3.9040288991405725</v>
      </c>
      <c r="F303">
        <v>1.8995764342612949</v>
      </c>
      <c r="G303">
        <v>7.109771098637057</v>
      </c>
      <c r="H303">
        <v>124992.37810593334</v>
      </c>
      <c r="I303">
        <v>80</v>
      </c>
      <c r="J303">
        <v>48.897284718064938</v>
      </c>
    </row>
    <row r="304" spans="1:10">
      <c r="A304" s="1">
        <v>51065</v>
      </c>
      <c r="B304" t="s">
        <v>13</v>
      </c>
      <c r="C304">
        <v>120</v>
      </c>
      <c r="D304">
        <v>34819.395583974547</v>
      </c>
      <c r="E304">
        <v>3.6836436567006703</v>
      </c>
      <c r="F304">
        <v>0.63346004863938377</v>
      </c>
      <c r="G304">
        <v>4.6090189209539396</v>
      </c>
      <c r="H304">
        <v>115586.98007810664</v>
      </c>
      <c r="I304">
        <v>88</v>
      </c>
      <c r="J304">
        <v>70.984172523041906</v>
      </c>
    </row>
    <row r="305" spans="1:10">
      <c r="A305" s="1">
        <v>51095</v>
      </c>
      <c r="B305" t="s">
        <v>10</v>
      </c>
      <c r="C305">
        <v>81</v>
      </c>
      <c r="D305">
        <v>41052.61500795676</v>
      </c>
      <c r="E305">
        <v>4.419091838397561</v>
      </c>
      <c r="F305">
        <v>3.5075136898369221</v>
      </c>
      <c r="G305">
        <v>49.176329975585574</v>
      </c>
      <c r="H305">
        <v>99219.609612449116</v>
      </c>
      <c r="I305">
        <v>88</v>
      </c>
    </row>
    <row r="306" spans="1:10">
      <c r="A306" s="1">
        <v>51125</v>
      </c>
      <c r="B306" t="s">
        <v>14</v>
      </c>
      <c r="C306">
        <v>102</v>
      </c>
      <c r="D306">
        <v>272125.4107496083</v>
      </c>
      <c r="E306">
        <v>3.3882670088140738</v>
      </c>
      <c r="F306">
        <v>1.8153701742399959</v>
      </c>
      <c r="G306">
        <v>6.9770494157856824</v>
      </c>
      <c r="H306">
        <v>91641.809084682187</v>
      </c>
      <c r="I306">
        <v>92</v>
      </c>
      <c r="J306">
        <v>48.923215021036526</v>
      </c>
    </row>
    <row r="307" spans="1:10">
      <c r="A307" s="1">
        <v>51155</v>
      </c>
      <c r="B307" t="s">
        <v>13</v>
      </c>
      <c r="C307">
        <v>87</v>
      </c>
      <c r="D307">
        <v>23150.985102104612</v>
      </c>
      <c r="E307">
        <v>3.3253416019409014</v>
      </c>
      <c r="F307">
        <v>3.2906255991627686</v>
      </c>
      <c r="G307">
        <v>7.5220171344502109</v>
      </c>
      <c r="H307">
        <v>59483.842537772463</v>
      </c>
      <c r="I307">
        <v>90</v>
      </c>
      <c r="J307">
        <v>62.783957302495395</v>
      </c>
    </row>
    <row r="308" spans="1:10">
      <c r="A308" s="1">
        <v>51185</v>
      </c>
      <c r="B308" t="s">
        <v>13</v>
      </c>
      <c r="C308">
        <v>90</v>
      </c>
      <c r="D308">
        <v>29558.589758243725</v>
      </c>
      <c r="E308">
        <v>3.4902901970561335</v>
      </c>
      <c r="F308">
        <v>0.52989618228816449</v>
      </c>
      <c r="G308">
        <v>6.1754570322092253</v>
      </c>
      <c r="H308">
        <v>78582.951626311231</v>
      </c>
      <c r="I308">
        <v>97</v>
      </c>
      <c r="J308">
        <v>99.697959443571094</v>
      </c>
    </row>
    <row r="309" spans="1:10">
      <c r="A309" s="1">
        <v>51215</v>
      </c>
      <c r="B309" t="s">
        <v>13</v>
      </c>
      <c r="C309">
        <v>89</v>
      </c>
      <c r="D309">
        <v>42898.546688271592</v>
      </c>
      <c r="E309">
        <v>3.3484101085828621</v>
      </c>
      <c r="F309">
        <v>3.3925973382993093</v>
      </c>
      <c r="G309">
        <v>4.4442227757975346</v>
      </c>
      <c r="H309">
        <v>138228.38174279447</v>
      </c>
      <c r="I309">
        <v>89</v>
      </c>
    </row>
    <row r="310" spans="1:10">
      <c r="A310" s="1">
        <v>51245</v>
      </c>
      <c r="B310" t="s">
        <v>11</v>
      </c>
      <c r="C310">
        <v>105</v>
      </c>
      <c r="D310">
        <v>25981.627160151347</v>
      </c>
      <c r="E310">
        <v>3.8999709509710252</v>
      </c>
      <c r="F310">
        <v>1.2888280707192188</v>
      </c>
      <c r="H310">
        <v>74390.888579950668</v>
      </c>
      <c r="I310">
        <v>106</v>
      </c>
      <c r="J310">
        <v>85.284540569145889</v>
      </c>
    </row>
    <row r="311" spans="1:10">
      <c r="A311" s="1">
        <v>51275</v>
      </c>
      <c r="B311" t="s">
        <v>11</v>
      </c>
      <c r="C311">
        <v>96</v>
      </c>
      <c r="D311">
        <v>38195.584027220335</v>
      </c>
      <c r="E311">
        <v>2.6918446957817062</v>
      </c>
      <c r="F311">
        <v>3.2307641190665244</v>
      </c>
      <c r="G311">
        <v>4.8628349226256429</v>
      </c>
      <c r="H311">
        <v>103789.59642442162</v>
      </c>
      <c r="I311">
        <v>91</v>
      </c>
      <c r="J311">
        <v>54.565382805329421</v>
      </c>
    </row>
    <row r="312" spans="1:10">
      <c r="A312" s="1">
        <v>51305</v>
      </c>
      <c r="B312" t="s">
        <v>12</v>
      </c>
      <c r="C312">
        <v>97</v>
      </c>
      <c r="D312">
        <v>38388.504070382201</v>
      </c>
      <c r="E312">
        <v>2.9731587904268229</v>
      </c>
      <c r="F312">
        <v>2.514273067836434</v>
      </c>
      <c r="G312">
        <v>5.0978346625942574</v>
      </c>
      <c r="H312">
        <v>120148.87946390397</v>
      </c>
      <c r="J312">
        <v>83.711257809576708</v>
      </c>
    </row>
    <row r="313" spans="1:10">
      <c r="A313" s="1">
        <v>51335</v>
      </c>
      <c r="B313" t="s">
        <v>11</v>
      </c>
      <c r="C313">
        <v>98</v>
      </c>
      <c r="D313">
        <v>27232.058791460026</v>
      </c>
      <c r="E313">
        <v>2.9660985392104036</v>
      </c>
      <c r="F313">
        <v>1.5460605806033552</v>
      </c>
      <c r="G313">
        <v>5.9108054013875453</v>
      </c>
      <c r="H313">
        <v>74901.546639954147</v>
      </c>
      <c r="I313">
        <v>93</v>
      </c>
      <c r="J313">
        <v>67.633184129608679</v>
      </c>
    </row>
    <row r="314" spans="1:10">
      <c r="A314" s="1">
        <v>51365</v>
      </c>
      <c r="B314" t="s">
        <v>12</v>
      </c>
      <c r="C314">
        <v>990</v>
      </c>
      <c r="D314">
        <v>32844.915395926379</v>
      </c>
      <c r="E314">
        <v>3.9751537959867878</v>
      </c>
      <c r="F314">
        <v>2.0929636870732193</v>
      </c>
      <c r="G314">
        <v>7.3649925048577289</v>
      </c>
      <c r="H314">
        <v>103694.20949562166</v>
      </c>
      <c r="I314">
        <v>89</v>
      </c>
      <c r="J314">
        <v>90.927635320191868</v>
      </c>
    </row>
    <row r="315" spans="1:10">
      <c r="A315" s="1">
        <v>51395</v>
      </c>
      <c r="B315" t="s">
        <v>11</v>
      </c>
      <c r="C315">
        <v>108</v>
      </c>
      <c r="D315">
        <v>38141.983115642688</v>
      </c>
      <c r="F315">
        <v>3.1863184569567009</v>
      </c>
      <c r="G315">
        <v>6.5247711718626684</v>
      </c>
      <c r="H315">
        <v>118758.3107502131</v>
      </c>
      <c r="I315">
        <v>73</v>
      </c>
      <c r="J315">
        <v>52.875404188008794</v>
      </c>
    </row>
    <row r="316" spans="1:10">
      <c r="A316" s="1">
        <v>51425</v>
      </c>
      <c r="B316" t="s">
        <v>14</v>
      </c>
      <c r="C316">
        <v>92</v>
      </c>
      <c r="D316">
        <v>28104.361295062565</v>
      </c>
      <c r="E316">
        <v>3.4477753907312643</v>
      </c>
      <c r="F316">
        <v>2.6058944531152344</v>
      </c>
      <c r="G316">
        <v>5.9978386004342923</v>
      </c>
      <c r="H316">
        <v>100249.986438145</v>
      </c>
      <c r="I316">
        <v>101</v>
      </c>
      <c r="J316">
        <v>68.344353585718309</v>
      </c>
    </row>
    <row r="317" spans="1:10">
      <c r="A317" s="1">
        <v>51455</v>
      </c>
      <c r="B317" t="s">
        <v>12</v>
      </c>
      <c r="C317">
        <v>97</v>
      </c>
      <c r="D317">
        <v>28982.098199488191</v>
      </c>
      <c r="E317">
        <v>3.4155891384049948</v>
      </c>
      <c r="F317">
        <v>3.084412980472484</v>
      </c>
      <c r="G317">
        <v>6.0559462361417271</v>
      </c>
      <c r="H317">
        <v>157368.06111333537</v>
      </c>
      <c r="I317">
        <v>81</v>
      </c>
      <c r="J317">
        <v>70.401494449506188</v>
      </c>
    </row>
    <row r="318" spans="1:10">
      <c r="A318" s="1">
        <v>51485</v>
      </c>
      <c r="B318" t="s">
        <v>11</v>
      </c>
      <c r="C318">
        <v>116</v>
      </c>
      <c r="D318">
        <v>27091.595430256781</v>
      </c>
      <c r="E318">
        <v>3.5350260815565906</v>
      </c>
      <c r="F318">
        <v>4.4764405845154851</v>
      </c>
      <c r="G318">
        <v>5.552217602372159</v>
      </c>
      <c r="H318">
        <v>66628.014822436089</v>
      </c>
      <c r="I318">
        <v>98</v>
      </c>
      <c r="J318">
        <v>53.390635344037861</v>
      </c>
    </row>
    <row r="319" spans="1:10">
      <c r="A319" s="1">
        <v>51515</v>
      </c>
      <c r="B319" t="s">
        <v>14</v>
      </c>
      <c r="D319">
        <v>24926.216346535664</v>
      </c>
      <c r="E319">
        <v>4.0809391513040953</v>
      </c>
      <c r="F319">
        <v>0.93575838828894864</v>
      </c>
      <c r="G319">
        <v>6.1697674174222072</v>
      </c>
      <c r="H319">
        <v>121174.57059767758</v>
      </c>
      <c r="I319">
        <v>92</v>
      </c>
      <c r="J319">
        <v>31.54496349499852</v>
      </c>
    </row>
    <row r="320" spans="1:10">
      <c r="A320" s="1">
        <v>51545</v>
      </c>
      <c r="B320" t="s">
        <v>11</v>
      </c>
      <c r="C320">
        <v>87</v>
      </c>
      <c r="D320">
        <v>26753.612274669966</v>
      </c>
      <c r="E320">
        <v>3.0363234329047128</v>
      </c>
      <c r="F320">
        <v>4.1172125749686241</v>
      </c>
      <c r="G320">
        <v>24.645279067668366</v>
      </c>
      <c r="H320">
        <v>96543.965252070717</v>
      </c>
      <c r="J320">
        <v>27.484752552986844</v>
      </c>
    </row>
    <row r="321" spans="1:10">
      <c r="A321" s="1">
        <v>51575</v>
      </c>
      <c r="B321" t="s">
        <v>10</v>
      </c>
      <c r="C321">
        <v>103</v>
      </c>
      <c r="D321">
        <v>23880.298666188719</v>
      </c>
      <c r="E321">
        <v>3.6191844913673927</v>
      </c>
      <c r="F321">
        <v>2.6043559375232128</v>
      </c>
      <c r="G321">
        <v>5.144071049116242</v>
      </c>
      <c r="H321">
        <v>115438.4030967335</v>
      </c>
      <c r="I321">
        <v>101</v>
      </c>
      <c r="J321">
        <v>21.333724047970648</v>
      </c>
    </row>
    <row r="322" spans="1:10">
      <c r="A322" s="1">
        <v>51605</v>
      </c>
      <c r="B322" t="s">
        <v>10</v>
      </c>
      <c r="C322">
        <v>115</v>
      </c>
      <c r="D322">
        <v>30170.417341296132</v>
      </c>
      <c r="E322">
        <v>39.87598814891215</v>
      </c>
      <c r="F322">
        <v>1.6012159516768718</v>
      </c>
      <c r="G322">
        <v>5.7895863219001376</v>
      </c>
      <c r="H322">
        <v>108826.14303398492</v>
      </c>
      <c r="I322">
        <v>67</v>
      </c>
      <c r="J322">
        <v>89.882741139617167</v>
      </c>
    </row>
    <row r="323" spans="1:10">
      <c r="A323" s="1">
        <v>51635</v>
      </c>
      <c r="B323" t="s">
        <v>14</v>
      </c>
      <c r="C323">
        <v>88</v>
      </c>
      <c r="D323">
        <v>26150.13384470679</v>
      </c>
      <c r="E323">
        <v>3.7505470849699227</v>
      </c>
      <c r="F323">
        <v>1.1696863742610102</v>
      </c>
      <c r="G323">
        <v>4.1187830996565911</v>
      </c>
      <c r="H323">
        <v>85336.876057800066</v>
      </c>
      <c r="I323">
        <v>101</v>
      </c>
    </row>
    <row r="324" spans="1:10">
      <c r="A324" s="1">
        <v>51665</v>
      </c>
      <c r="B324" t="s">
        <v>13</v>
      </c>
      <c r="C324">
        <v>920</v>
      </c>
      <c r="D324">
        <v>31168.92955895374</v>
      </c>
      <c r="E324">
        <v>3.5947908082993716</v>
      </c>
      <c r="F324">
        <v>2.3108796092229666</v>
      </c>
      <c r="G324">
        <v>5.9635879813738724</v>
      </c>
      <c r="H324">
        <v>104579.9278491868</v>
      </c>
      <c r="I324">
        <v>88</v>
      </c>
      <c r="J324">
        <v>36.920539942541446</v>
      </c>
    </row>
    <row r="325" spans="1:10">
      <c r="A325" s="1">
        <v>51695</v>
      </c>
      <c r="B325" t="s">
        <v>13</v>
      </c>
      <c r="C325">
        <v>108</v>
      </c>
      <c r="D325">
        <v>22220.521768981864</v>
      </c>
      <c r="E325">
        <v>4.0005230462835701</v>
      </c>
      <c r="F325">
        <v>3.4216501119244596</v>
      </c>
      <c r="G325">
        <v>5.2546345348166543</v>
      </c>
      <c r="H325">
        <v>62841.970972034258</v>
      </c>
      <c r="I325">
        <v>89</v>
      </c>
      <c r="J325">
        <v>78.88283203408524</v>
      </c>
    </row>
    <row r="326" spans="1:10">
      <c r="A326" s="1">
        <v>51725</v>
      </c>
      <c r="B326" t="s">
        <v>10</v>
      </c>
      <c r="D326">
        <v>31654.401161072285</v>
      </c>
      <c r="E326">
        <v>2.1483838535003814</v>
      </c>
      <c r="F326">
        <v>2.3724508796224657</v>
      </c>
      <c r="G326">
        <v>7.6065708379785875</v>
      </c>
      <c r="H326">
        <v>112064.95001142788</v>
      </c>
      <c r="I326">
        <v>92</v>
      </c>
      <c r="J326">
        <v>45.60128904699134</v>
      </c>
    </row>
    <row r="327" spans="1:10">
      <c r="A327" s="1">
        <v>51755</v>
      </c>
      <c r="B327" t="s">
        <v>10</v>
      </c>
      <c r="C327">
        <v>86</v>
      </c>
      <c r="D327">
        <v>34167.644808044621</v>
      </c>
      <c r="E327">
        <v>3.8389376597654539</v>
      </c>
      <c r="F327">
        <v>4.011154930247347</v>
      </c>
      <c r="G327">
        <v>7.3876236702578275</v>
      </c>
      <c r="H327">
        <v>105963.16931981052</v>
      </c>
      <c r="I327">
        <v>85</v>
      </c>
      <c r="J327">
        <v>604.83575392946921</v>
      </c>
    </row>
    <row r="328" spans="1:10">
      <c r="A328" s="1">
        <v>51785</v>
      </c>
      <c r="B328" t="s">
        <v>13</v>
      </c>
      <c r="C328">
        <v>87</v>
      </c>
      <c r="D328">
        <v>20031.321787142722</v>
      </c>
      <c r="F328">
        <v>1.0488243099484411</v>
      </c>
      <c r="G328">
        <v>4.9410333170582046</v>
      </c>
      <c r="H328">
        <v>112773.20337286204</v>
      </c>
      <c r="I328">
        <v>86</v>
      </c>
      <c r="J328">
        <v>33.000885223796502</v>
      </c>
    </row>
    <row r="329" spans="1:10">
      <c r="A329" s="1">
        <v>51815</v>
      </c>
      <c r="B329" t="s">
        <v>12</v>
      </c>
      <c r="C329">
        <v>109</v>
      </c>
      <c r="D329">
        <v>31870.282849237861</v>
      </c>
      <c r="E329">
        <v>2.5846835515717714</v>
      </c>
      <c r="F329">
        <v>2.4879110521539456</v>
      </c>
      <c r="G329">
        <v>5.3189947461199658</v>
      </c>
      <c r="H329">
        <v>121162.366501743</v>
      </c>
      <c r="I329">
        <v>93</v>
      </c>
      <c r="J329">
        <v>96.779657716957544</v>
      </c>
    </row>
    <row r="330" spans="1:10">
      <c r="A330" s="1">
        <v>51845</v>
      </c>
      <c r="B330" t="s">
        <v>13</v>
      </c>
      <c r="C330">
        <v>91</v>
      </c>
      <c r="D330">
        <v>36138.344962366464</v>
      </c>
      <c r="E330">
        <v>3.7556012997624904</v>
      </c>
      <c r="F330">
        <v>1.2476065555868809</v>
      </c>
      <c r="G330">
        <v>5.4112629212699286</v>
      </c>
      <c r="H330">
        <v>107352.39680419421</v>
      </c>
      <c r="I330">
        <v>84</v>
      </c>
      <c r="J330">
        <v>88.126512001378984</v>
      </c>
    </row>
    <row r="331" spans="1:10">
      <c r="A331" s="1">
        <v>51875</v>
      </c>
      <c r="B331" t="s">
        <v>11</v>
      </c>
      <c r="C331">
        <v>107</v>
      </c>
      <c r="D331">
        <v>23951.794906543972</v>
      </c>
      <c r="E331">
        <v>4.1868292725814786</v>
      </c>
      <c r="F331">
        <v>2.863631882624968</v>
      </c>
      <c r="G331">
        <v>49.58008628608453</v>
      </c>
      <c r="H331">
        <v>102961.78839596553</v>
      </c>
      <c r="I331">
        <v>89</v>
      </c>
      <c r="J331">
        <v>89.103169837200255</v>
      </c>
    </row>
    <row r="332" spans="1:10">
      <c r="A332" s="1">
        <v>51905</v>
      </c>
      <c r="B332" t="s">
        <v>12</v>
      </c>
      <c r="C332">
        <v>106</v>
      </c>
      <c r="D332">
        <v>38362.861934188521</v>
      </c>
      <c r="E332">
        <v>3.4312757426861542</v>
      </c>
      <c r="F332">
        <v>3.3868873900973004</v>
      </c>
      <c r="G332">
        <v>5.7340299808337525</v>
      </c>
      <c r="H332">
        <v>82378.633266774152</v>
      </c>
      <c r="I332">
        <v>98</v>
      </c>
      <c r="J332">
        <v>52.541899885760415</v>
      </c>
    </row>
    <row r="333" spans="1:10">
      <c r="A333" s="1">
        <v>51935</v>
      </c>
      <c r="B333" t="s">
        <v>11</v>
      </c>
      <c r="C333">
        <v>92</v>
      </c>
      <c r="D333">
        <v>32095.095046830225</v>
      </c>
      <c r="E333">
        <v>3.9764372736014693</v>
      </c>
      <c r="F333">
        <v>2.079238206318947</v>
      </c>
      <c r="G333">
        <v>4.5900615173348918</v>
      </c>
      <c r="H333">
        <v>85755.584727018984</v>
      </c>
      <c r="I333">
        <v>85</v>
      </c>
      <c r="J333">
        <v>809.88897096573828</v>
      </c>
    </row>
    <row r="334" spans="1:10">
      <c r="A334" s="1">
        <v>51965</v>
      </c>
      <c r="B334" t="s">
        <v>10</v>
      </c>
      <c r="C334">
        <v>90</v>
      </c>
      <c r="D334">
        <v>26474.940721207957</v>
      </c>
      <c r="E334">
        <v>4.3061391289943227</v>
      </c>
      <c r="F334">
        <v>-0.10421385662713423</v>
      </c>
      <c r="G334">
        <v>4.1432615980749681</v>
      </c>
      <c r="H334">
        <v>1237346.9240354663</v>
      </c>
      <c r="I334">
        <v>70</v>
      </c>
      <c r="J334">
        <v>31.510092431182414</v>
      </c>
    </row>
    <row r="335" spans="1:10">
      <c r="A335" s="1">
        <v>51995</v>
      </c>
      <c r="B335" t="s">
        <v>12</v>
      </c>
      <c r="C335">
        <v>102</v>
      </c>
      <c r="D335">
        <v>29721.15461171147</v>
      </c>
      <c r="E335">
        <v>4.1574572267920233</v>
      </c>
      <c r="F335">
        <v>2.6989481467964946</v>
      </c>
      <c r="G335">
        <v>6.2472534686803218</v>
      </c>
      <c r="H335">
        <v>1287267.0811411957</v>
      </c>
      <c r="I335">
        <v>106</v>
      </c>
      <c r="J335">
        <v>20.689520207342422</v>
      </c>
    </row>
    <row r="336" spans="1:10">
      <c r="A336" s="1">
        <v>52025</v>
      </c>
      <c r="B336" t="s">
        <v>11</v>
      </c>
      <c r="C336">
        <v>99</v>
      </c>
      <c r="D336">
        <v>32791.634562608611</v>
      </c>
      <c r="E336">
        <v>4.3199822646856969</v>
      </c>
      <c r="F336">
        <v>2.9367385517335096</v>
      </c>
      <c r="G336">
        <v>6.2554355010661729</v>
      </c>
      <c r="H336">
        <v>95237.791273758921</v>
      </c>
      <c r="I336">
        <v>91</v>
      </c>
      <c r="J336">
        <v>21.597834606242252</v>
      </c>
    </row>
    <row r="337" spans="1:10">
      <c r="A337" s="1">
        <v>52055</v>
      </c>
      <c r="B337" t="s">
        <v>11</v>
      </c>
      <c r="C337">
        <v>88</v>
      </c>
      <c r="E337">
        <v>3.8710637455359462</v>
      </c>
      <c r="F337">
        <v>2.9042947549616978</v>
      </c>
      <c r="G337">
        <v>4.5348210884080089</v>
      </c>
      <c r="H337">
        <v>100920.05494506548</v>
      </c>
      <c r="I337">
        <v>86</v>
      </c>
      <c r="J337">
        <v>66.928138992364836</v>
      </c>
    </row>
    <row r="338" spans="1:10">
      <c r="A338" s="1">
        <v>52085</v>
      </c>
      <c r="B338" t="s">
        <v>12</v>
      </c>
      <c r="C338">
        <v>100</v>
      </c>
      <c r="D338">
        <v>32693.779962231845</v>
      </c>
      <c r="E338">
        <v>3.5377168194507962</v>
      </c>
      <c r="F338">
        <v>3.7357821918221541</v>
      </c>
      <c r="G338">
        <v>6.5744265169151195</v>
      </c>
      <c r="H338">
        <v>81907.712500124675</v>
      </c>
      <c r="I338">
        <v>92</v>
      </c>
      <c r="J338">
        <v>56.431592419835262</v>
      </c>
    </row>
    <row r="339" spans="1:10">
      <c r="A339" s="1">
        <v>52115</v>
      </c>
      <c r="B339" t="s">
        <v>14</v>
      </c>
      <c r="D339">
        <v>25396.632034603168</v>
      </c>
      <c r="E339">
        <v>2.699017094051416</v>
      </c>
      <c r="F339">
        <v>1.4289463203509511</v>
      </c>
      <c r="G339">
        <v>4.7421067250016025</v>
      </c>
      <c r="H339">
        <v>123455.13690534889</v>
      </c>
      <c r="I339">
        <v>75</v>
      </c>
      <c r="J339">
        <v>61.441227912681583</v>
      </c>
    </row>
    <row r="340" spans="1:10">
      <c r="A340" s="1">
        <v>52145</v>
      </c>
      <c r="B340" t="s">
        <v>13</v>
      </c>
      <c r="C340">
        <v>106</v>
      </c>
      <c r="D340">
        <v>30846.80412018039</v>
      </c>
      <c r="E340">
        <v>3.3769687559350259</v>
      </c>
      <c r="F340">
        <v>3.1802161054504494</v>
      </c>
      <c r="G340">
        <v>5.803798285645577</v>
      </c>
      <c r="H340">
        <v>113308.33647383557</v>
      </c>
      <c r="I340">
        <v>116</v>
      </c>
    </row>
    <row r="341" spans="1:10">
      <c r="A341" s="1">
        <v>52175</v>
      </c>
      <c r="B341" t="s">
        <v>11</v>
      </c>
      <c r="D341">
        <v>22931.427515475101</v>
      </c>
      <c r="E341">
        <v>3.0783767023419042</v>
      </c>
      <c r="F341">
        <v>3.6925075124779747</v>
      </c>
      <c r="G341">
        <v>64.844128151349466</v>
      </c>
      <c r="H341">
        <v>138824.34872927499</v>
      </c>
      <c r="I341">
        <v>93</v>
      </c>
      <c r="J341">
        <v>53.814929572594053</v>
      </c>
    </row>
    <row r="342" spans="1:10">
      <c r="A342" s="1">
        <v>52205</v>
      </c>
      <c r="B342" t="s">
        <v>13</v>
      </c>
      <c r="C342">
        <v>98</v>
      </c>
      <c r="D342">
        <v>29443.8696932565</v>
      </c>
      <c r="E342">
        <v>4.5854713587489071</v>
      </c>
      <c r="F342">
        <v>0.72141241599348316</v>
      </c>
      <c r="G342">
        <v>5.459664922355544</v>
      </c>
      <c r="H342">
        <v>82433.538456405222</v>
      </c>
      <c r="I342">
        <v>92</v>
      </c>
      <c r="J342">
        <v>77.445452896068872</v>
      </c>
    </row>
    <row r="343" spans="1:10">
      <c r="A343" s="1">
        <v>52235</v>
      </c>
      <c r="B343" t="s">
        <v>13</v>
      </c>
      <c r="C343">
        <v>119</v>
      </c>
      <c r="D343">
        <v>254804.61792676052</v>
      </c>
      <c r="E343">
        <v>3.4120570937838317</v>
      </c>
      <c r="F343">
        <v>2.8196518259189771</v>
      </c>
      <c r="G343">
        <v>6.0456890945693615</v>
      </c>
      <c r="H343">
        <v>92439.84201963566</v>
      </c>
      <c r="I343">
        <v>92</v>
      </c>
      <c r="J343">
        <v>55.41549615739487</v>
      </c>
    </row>
    <row r="344" spans="1:10">
      <c r="A344" s="1">
        <v>52265</v>
      </c>
      <c r="B344" t="s">
        <v>10</v>
      </c>
      <c r="C344">
        <v>99</v>
      </c>
      <c r="D344">
        <v>26322.350287051166</v>
      </c>
      <c r="E344">
        <v>3.5616024033922429</v>
      </c>
      <c r="F344">
        <v>1.9958201689923285</v>
      </c>
      <c r="H344">
        <v>104628.91845051144</v>
      </c>
      <c r="J344">
        <v>78.577536504977786</v>
      </c>
    </row>
    <row r="345" spans="1:10">
      <c r="A345" s="1">
        <v>52295</v>
      </c>
      <c r="B345" t="s">
        <v>13</v>
      </c>
      <c r="C345">
        <v>87</v>
      </c>
      <c r="D345">
        <v>36180.465876052185</v>
      </c>
      <c r="E345">
        <v>3.7757426880202338</v>
      </c>
      <c r="F345">
        <v>2.4184773268983539</v>
      </c>
      <c r="G345">
        <v>5.2642400998862833</v>
      </c>
      <c r="H345">
        <v>112929.79075451542</v>
      </c>
      <c r="I345">
        <v>94</v>
      </c>
      <c r="J345">
        <v>38.641517151746783</v>
      </c>
    </row>
    <row r="346" spans="1:10">
      <c r="A346" s="1">
        <v>52325</v>
      </c>
      <c r="B346" t="s">
        <v>11</v>
      </c>
      <c r="D346">
        <v>35456.550602971343</v>
      </c>
      <c r="E346">
        <v>3.5218012231862268</v>
      </c>
      <c r="F346">
        <v>2.8476764835383364</v>
      </c>
      <c r="G346">
        <v>5.2529686829435915</v>
      </c>
      <c r="H346">
        <v>95686.647249047353</v>
      </c>
      <c r="I346">
        <v>93</v>
      </c>
      <c r="J346">
        <v>85.051360358538034</v>
      </c>
    </row>
    <row r="347" spans="1:10">
      <c r="A347" s="1">
        <v>52355</v>
      </c>
      <c r="B347" t="s">
        <v>10</v>
      </c>
      <c r="C347">
        <v>103</v>
      </c>
      <c r="D347">
        <v>33045.690604535885</v>
      </c>
      <c r="E347">
        <v>4.3475255202153766</v>
      </c>
      <c r="F347">
        <v>2.0127714358864477</v>
      </c>
      <c r="G347">
        <v>4.6041059841517136</v>
      </c>
      <c r="H347">
        <v>82540.778190925994</v>
      </c>
      <c r="I347">
        <v>84</v>
      </c>
      <c r="J347">
        <v>67.074499236276182</v>
      </c>
    </row>
    <row r="348" spans="1:10">
      <c r="A348" s="1">
        <v>52385</v>
      </c>
      <c r="B348" t="s">
        <v>12</v>
      </c>
      <c r="C348">
        <v>79</v>
      </c>
      <c r="D348">
        <v>24538.436176637104</v>
      </c>
      <c r="E348">
        <v>3.1886753191327739</v>
      </c>
      <c r="F348">
        <v>1.8242919208383883</v>
      </c>
      <c r="G348">
        <v>5.2878710042610617</v>
      </c>
      <c r="H348">
        <v>117628.15057847142</v>
      </c>
      <c r="I348">
        <v>1050</v>
      </c>
      <c r="J348">
        <v>36.861047954392497</v>
      </c>
    </row>
    <row r="349" spans="1:10">
      <c r="A349" s="1">
        <v>52415</v>
      </c>
      <c r="B349" t="s">
        <v>11</v>
      </c>
      <c r="C349">
        <v>110</v>
      </c>
      <c r="D349">
        <v>28417.957751525992</v>
      </c>
      <c r="E349">
        <v>3.5973037276186215</v>
      </c>
      <c r="F349">
        <v>2.5341524174880248</v>
      </c>
      <c r="H349">
        <v>114422.70725091163</v>
      </c>
      <c r="I349">
        <v>95</v>
      </c>
      <c r="J349">
        <v>38.937638068306633</v>
      </c>
    </row>
    <row r="350" spans="1:10">
      <c r="A350" s="1">
        <v>52445</v>
      </c>
      <c r="B350" t="s">
        <v>10</v>
      </c>
      <c r="C350">
        <v>95</v>
      </c>
      <c r="D350">
        <v>36065.488499895917</v>
      </c>
      <c r="E350">
        <v>3.1287647071509759</v>
      </c>
      <c r="F350">
        <v>1.4127540611371974</v>
      </c>
      <c r="G350">
        <v>4.9106155034294741</v>
      </c>
      <c r="H350">
        <v>81674.517988725507</v>
      </c>
      <c r="I350">
        <v>80</v>
      </c>
      <c r="J350">
        <v>70.242437165562961</v>
      </c>
    </row>
    <row r="351" spans="1:10">
      <c r="A351" s="1">
        <v>52475</v>
      </c>
      <c r="B351" t="s">
        <v>10</v>
      </c>
      <c r="C351">
        <v>101</v>
      </c>
      <c r="D351">
        <v>30708.584568199523</v>
      </c>
      <c r="E351">
        <v>2.8399887443896472</v>
      </c>
      <c r="F351">
        <v>1.4141748711148145</v>
      </c>
      <c r="G351">
        <v>5.1581494079563948</v>
      </c>
      <c r="H351">
        <v>127108.85602210992</v>
      </c>
      <c r="I351">
        <v>89</v>
      </c>
      <c r="J351">
        <v>86.395167456995466</v>
      </c>
    </row>
    <row r="352" spans="1:10">
      <c r="A352" s="1">
        <v>52505</v>
      </c>
      <c r="B352" t="s">
        <v>13</v>
      </c>
      <c r="C352">
        <v>95</v>
      </c>
      <c r="D352">
        <v>41596.64769990847</v>
      </c>
      <c r="E352">
        <v>3.1941154545473571</v>
      </c>
      <c r="F352">
        <v>3.1793732829565036</v>
      </c>
      <c r="G352">
        <v>5.1925842970055438</v>
      </c>
      <c r="H352">
        <v>123403.97418393208</v>
      </c>
      <c r="I352">
        <v>93</v>
      </c>
    </row>
    <row r="353" spans="1:10">
      <c r="A353" s="1">
        <v>52535</v>
      </c>
      <c r="B353" t="s">
        <v>12</v>
      </c>
      <c r="C353">
        <v>107</v>
      </c>
      <c r="D353">
        <v>31966.589196971858</v>
      </c>
      <c r="E353">
        <v>3.4814816014757941</v>
      </c>
      <c r="F353">
        <v>1.3512059648413439</v>
      </c>
      <c r="G353">
        <v>5.2102030649550652</v>
      </c>
      <c r="H353">
        <v>102685.92994495586</v>
      </c>
      <c r="I353">
        <v>85</v>
      </c>
      <c r="J353">
        <v>40.664034330207379</v>
      </c>
    </row>
    <row r="354" spans="1:10">
      <c r="A354" s="1">
        <v>52565</v>
      </c>
      <c r="B354" t="s">
        <v>11</v>
      </c>
      <c r="C354">
        <v>91</v>
      </c>
      <c r="E354">
        <v>3.2853488877413701</v>
      </c>
      <c r="F354">
        <v>3.1663125009092119</v>
      </c>
      <c r="G354">
        <v>5.4258829601678453</v>
      </c>
      <c r="H354">
        <v>101591.95724752072</v>
      </c>
      <c r="I354">
        <v>81</v>
      </c>
      <c r="J354">
        <v>89.360928552848037</v>
      </c>
    </row>
    <row r="355" spans="1:10">
      <c r="A355" s="1">
        <v>52595</v>
      </c>
      <c r="B355" t="s">
        <v>11</v>
      </c>
      <c r="C355">
        <v>87</v>
      </c>
      <c r="D355">
        <v>28454.417678987495</v>
      </c>
      <c r="E355">
        <v>3.153789510063072</v>
      </c>
      <c r="F355">
        <v>2.9625912928539511</v>
      </c>
      <c r="G355">
        <v>6.075329821703277</v>
      </c>
      <c r="H355">
        <v>111081.15542231814</v>
      </c>
      <c r="I355">
        <v>81</v>
      </c>
    </row>
    <row r="356" spans="1:10">
      <c r="A356" s="1">
        <v>52625</v>
      </c>
      <c r="B356" t="s">
        <v>13</v>
      </c>
      <c r="C356">
        <v>100</v>
      </c>
      <c r="D356">
        <v>30667.704523911412</v>
      </c>
      <c r="E356">
        <v>2.7968412681640831</v>
      </c>
      <c r="F356">
        <v>0.77419327120940329</v>
      </c>
      <c r="G356">
        <v>6.5494204889590275</v>
      </c>
      <c r="H356">
        <v>82765.938594874839</v>
      </c>
      <c r="I356">
        <v>88</v>
      </c>
      <c r="J356">
        <v>55.846838982646119</v>
      </c>
    </row>
    <row r="357" spans="1:10">
      <c r="A357" s="1">
        <v>52655</v>
      </c>
      <c r="B357" t="s">
        <v>12</v>
      </c>
      <c r="C357">
        <v>117</v>
      </c>
      <c r="D357">
        <v>29237.650818097281</v>
      </c>
      <c r="E357">
        <v>3.4584472136856528</v>
      </c>
      <c r="G357">
        <v>4.7202817277820799</v>
      </c>
      <c r="H357">
        <v>100600.62958328164</v>
      </c>
      <c r="I357">
        <v>88</v>
      </c>
      <c r="J357">
        <v>59.032015622344147</v>
      </c>
    </row>
    <row r="358" spans="1:10">
      <c r="A358" s="1">
        <v>52685</v>
      </c>
      <c r="B358" t="s">
        <v>11</v>
      </c>
      <c r="C358">
        <v>102</v>
      </c>
      <c r="E358">
        <v>2.7476398129844988</v>
      </c>
      <c r="G358">
        <v>4.0561589735330266</v>
      </c>
      <c r="H358">
        <v>56952.329107816389</v>
      </c>
      <c r="I358">
        <v>103</v>
      </c>
    </row>
    <row r="359" spans="1:10">
      <c r="A359" s="1">
        <v>52715</v>
      </c>
      <c r="B359" t="s">
        <v>12</v>
      </c>
      <c r="C359">
        <v>88</v>
      </c>
      <c r="D359">
        <v>34783.511583972919</v>
      </c>
      <c r="E359">
        <v>3.8800279818448011</v>
      </c>
      <c r="F359">
        <v>1.5188344688603184</v>
      </c>
      <c r="G359">
        <v>4.2495467053082763</v>
      </c>
      <c r="H359">
        <v>117529.11291005871</v>
      </c>
      <c r="I359">
        <v>91</v>
      </c>
      <c r="J359">
        <v>70.144210405187522</v>
      </c>
    </row>
    <row r="360" spans="1:10">
      <c r="A360" s="1">
        <v>52745</v>
      </c>
      <c r="B360" t="s">
        <v>11</v>
      </c>
      <c r="C360">
        <v>100</v>
      </c>
      <c r="D360">
        <v>26070.052697460254</v>
      </c>
      <c r="E360">
        <v>3.5412198764672516</v>
      </c>
      <c r="F360">
        <v>2.0355957376906124</v>
      </c>
      <c r="G360">
        <v>4.9153564945660877</v>
      </c>
      <c r="H360">
        <v>68770.135551162821</v>
      </c>
      <c r="J360">
        <v>48.699400843431093</v>
      </c>
    </row>
    <row r="361" spans="1:10">
      <c r="A361" s="1">
        <v>52775</v>
      </c>
      <c r="B361" t="s">
        <v>13</v>
      </c>
      <c r="C361">
        <v>81</v>
      </c>
      <c r="D361">
        <v>23343.83523221111</v>
      </c>
      <c r="E361">
        <v>2.7712242502675348</v>
      </c>
      <c r="F361">
        <v>2.9620608932518966</v>
      </c>
      <c r="G361">
        <v>5.0776944186201893</v>
      </c>
      <c r="H361">
        <v>130068.39656857998</v>
      </c>
      <c r="I361">
        <v>95</v>
      </c>
      <c r="J361">
        <v>99.651614133947945</v>
      </c>
    </row>
    <row r="362" spans="1:10">
      <c r="A362" s="1">
        <v>52805</v>
      </c>
      <c r="B362" t="s">
        <v>14</v>
      </c>
      <c r="C362">
        <v>91</v>
      </c>
      <c r="D362">
        <v>20818.973134483516</v>
      </c>
      <c r="E362">
        <v>3.3453954614750683</v>
      </c>
      <c r="F362">
        <v>3.2833905092825955</v>
      </c>
      <c r="G362">
        <v>4.5760047205630512</v>
      </c>
      <c r="H362">
        <v>93397.598120670998</v>
      </c>
      <c r="I362">
        <v>109</v>
      </c>
      <c r="J362">
        <v>58.414681220951024</v>
      </c>
    </row>
    <row r="363" spans="1:10">
      <c r="A363" s="1">
        <v>52835</v>
      </c>
      <c r="B363" t="s">
        <v>11</v>
      </c>
      <c r="C363">
        <v>90</v>
      </c>
      <c r="D363">
        <v>32539.956634562717</v>
      </c>
      <c r="E363">
        <v>3.1239217972047086</v>
      </c>
      <c r="G363">
        <v>3.9446600029001266</v>
      </c>
      <c r="H363">
        <v>95766.66036137646</v>
      </c>
      <c r="I363">
        <v>85</v>
      </c>
      <c r="J363">
        <v>58.870848495169056</v>
      </c>
    </row>
    <row r="364" spans="1:10">
      <c r="A364" s="1">
        <v>52865</v>
      </c>
      <c r="B364" t="s">
        <v>10</v>
      </c>
      <c r="C364">
        <v>102</v>
      </c>
      <c r="D364">
        <v>24483.166969130631</v>
      </c>
      <c r="E364">
        <v>3.6595872552095901</v>
      </c>
      <c r="F364">
        <v>1.9024898053083583</v>
      </c>
      <c r="G364">
        <v>4.9526550070309741</v>
      </c>
      <c r="H364">
        <v>87445.321878309886</v>
      </c>
      <c r="I364">
        <v>81</v>
      </c>
      <c r="J364">
        <v>65.268142992853754</v>
      </c>
    </row>
    <row r="365" spans="1:10">
      <c r="A365" s="1">
        <v>52895</v>
      </c>
      <c r="B365" t="s">
        <v>10</v>
      </c>
      <c r="C365">
        <v>109</v>
      </c>
      <c r="D365">
        <v>19235.547035237585</v>
      </c>
      <c r="E365">
        <v>4.1702252230115722</v>
      </c>
      <c r="F365">
        <v>3.9223698616985079</v>
      </c>
      <c r="G365">
        <v>5.7177119441367656</v>
      </c>
      <c r="H365">
        <v>94239.222521558477</v>
      </c>
      <c r="I365">
        <v>97</v>
      </c>
      <c r="J365">
        <v>93.340480249499734</v>
      </c>
    </row>
    <row r="366" spans="1:10">
      <c r="A366" s="1">
        <v>52925</v>
      </c>
      <c r="B366" t="s">
        <v>14</v>
      </c>
      <c r="C366">
        <v>101</v>
      </c>
      <c r="D366">
        <v>31942.893022654822</v>
      </c>
      <c r="E366">
        <v>2.5624137651771277</v>
      </c>
      <c r="F366">
        <v>4.2388996637975787</v>
      </c>
      <c r="G366">
        <v>6.2140353590026773</v>
      </c>
      <c r="H366">
        <v>128370.62690296074</v>
      </c>
      <c r="I366">
        <v>87</v>
      </c>
      <c r="J366">
        <v>84.065447988780022</v>
      </c>
    </row>
    <row r="367" spans="1:10">
      <c r="A367" s="1">
        <v>52955</v>
      </c>
      <c r="B367" t="s">
        <v>11</v>
      </c>
      <c r="C367">
        <v>97</v>
      </c>
      <c r="D367">
        <v>42464.997587163954</v>
      </c>
      <c r="E367">
        <v>35.575130395737084</v>
      </c>
      <c r="F367">
        <v>3.4788580507817954</v>
      </c>
      <c r="G367">
        <v>4.8310923362700144</v>
      </c>
      <c r="H367">
        <v>50243.826869298413</v>
      </c>
      <c r="I367">
        <v>94</v>
      </c>
      <c r="J367">
        <v>56.090405583827312</v>
      </c>
    </row>
    <row r="368" spans="1:10">
      <c r="A368" s="1">
        <v>52985</v>
      </c>
      <c r="B368" t="s">
        <v>10</v>
      </c>
      <c r="C368">
        <v>88</v>
      </c>
      <c r="D368">
        <v>29969.645442300534</v>
      </c>
      <c r="E368">
        <v>3.41993360221668</v>
      </c>
      <c r="F368">
        <v>2.5853181425650242</v>
      </c>
      <c r="G368">
        <v>5.004402613427879</v>
      </c>
      <c r="H368">
        <v>125539.30772176376</v>
      </c>
      <c r="I368">
        <v>990</v>
      </c>
      <c r="J368">
        <v>77.495941277823675</v>
      </c>
    </row>
    <row r="369" spans="1:10">
      <c r="A369" s="1">
        <v>53015</v>
      </c>
      <c r="B369" t="s">
        <v>10</v>
      </c>
      <c r="C369">
        <v>960</v>
      </c>
      <c r="D369">
        <v>34192.453872258207</v>
      </c>
      <c r="E369">
        <v>3.8356700382252327</v>
      </c>
      <c r="F369">
        <v>1.6917342783590736</v>
      </c>
      <c r="G369">
        <v>4.3879620293832273</v>
      </c>
      <c r="H369">
        <v>106760.46962203416</v>
      </c>
      <c r="J369">
        <v>66.898839902460935</v>
      </c>
    </row>
    <row r="370" spans="1:10">
      <c r="A370" s="1">
        <v>53045</v>
      </c>
      <c r="B370" t="s">
        <v>11</v>
      </c>
      <c r="C370">
        <v>104</v>
      </c>
      <c r="D370">
        <v>30409.146792737825</v>
      </c>
      <c r="F370">
        <v>1.6695555934434347</v>
      </c>
      <c r="G370">
        <v>5.4622729955502685</v>
      </c>
      <c r="H370">
        <v>75859.567042855691</v>
      </c>
      <c r="I370">
        <v>111</v>
      </c>
      <c r="J370">
        <v>59.389363896099916</v>
      </c>
    </row>
    <row r="371" spans="1:10">
      <c r="A371" s="1">
        <v>53075</v>
      </c>
      <c r="B371" t="s">
        <v>12</v>
      </c>
      <c r="C371">
        <v>106</v>
      </c>
      <c r="D371">
        <v>29505.551734044286</v>
      </c>
      <c r="E371">
        <v>3.1240153341305903</v>
      </c>
      <c r="F371">
        <v>3.0225141052657576</v>
      </c>
      <c r="G371">
        <v>4.481885638971022</v>
      </c>
      <c r="H371">
        <v>78493.75213901524</v>
      </c>
      <c r="I371">
        <v>85</v>
      </c>
      <c r="J371">
        <v>35.385261822748042</v>
      </c>
    </row>
    <row r="372" spans="1:10">
      <c r="A372" s="1">
        <v>53105</v>
      </c>
      <c r="B372" t="s">
        <v>11</v>
      </c>
      <c r="C372">
        <v>91</v>
      </c>
      <c r="D372">
        <v>34595.382414938846</v>
      </c>
      <c r="E372">
        <v>3.3404730321666909</v>
      </c>
      <c r="F372">
        <v>2.9183982208886836</v>
      </c>
      <c r="H372">
        <v>133527.86054416405</v>
      </c>
      <c r="I372">
        <v>87</v>
      </c>
      <c r="J372">
        <v>57.114901076391277</v>
      </c>
    </row>
    <row r="373" spans="1:10">
      <c r="A373" s="1">
        <v>53135</v>
      </c>
      <c r="B373" t="s">
        <v>12</v>
      </c>
      <c r="C373">
        <v>110</v>
      </c>
      <c r="D373">
        <v>28548.627279056742</v>
      </c>
      <c r="E373">
        <v>3.1019870715982556</v>
      </c>
      <c r="F373">
        <v>3.9015985929464296</v>
      </c>
      <c r="G373">
        <v>3.3569602096790665</v>
      </c>
      <c r="H373">
        <v>81089.862401145379</v>
      </c>
      <c r="I373">
        <v>88</v>
      </c>
      <c r="J373">
        <v>39.665486961805968</v>
      </c>
    </row>
    <row r="374" spans="1:10">
      <c r="A374" s="1">
        <v>53165</v>
      </c>
      <c r="B374" t="s">
        <v>14</v>
      </c>
      <c r="C374">
        <v>104</v>
      </c>
      <c r="D374">
        <v>31336.961570359515</v>
      </c>
      <c r="E374">
        <v>4.038003569299299</v>
      </c>
      <c r="F374">
        <v>3.1504500925361389</v>
      </c>
      <c r="G374">
        <v>5.0684443930570451</v>
      </c>
      <c r="H374">
        <v>76932.989788080813</v>
      </c>
      <c r="I374">
        <v>82</v>
      </c>
      <c r="J374">
        <v>93.187371988132369</v>
      </c>
    </row>
    <row r="375" spans="1:10">
      <c r="A375" s="1">
        <v>53195</v>
      </c>
      <c r="B375" t="s">
        <v>13</v>
      </c>
      <c r="C375">
        <v>85</v>
      </c>
      <c r="D375">
        <v>31608.489030980068</v>
      </c>
      <c r="E375">
        <v>3.5106558243359709</v>
      </c>
      <c r="F375">
        <v>0.99691969824018201</v>
      </c>
      <c r="G375">
        <v>5.8613288070300902</v>
      </c>
      <c r="H375">
        <v>122746.29084729459</v>
      </c>
      <c r="I375">
        <v>84</v>
      </c>
      <c r="J375">
        <v>46.832545079707756</v>
      </c>
    </row>
    <row r="376" spans="1:10">
      <c r="A376" s="1">
        <v>53225</v>
      </c>
      <c r="B376" t="s">
        <v>14</v>
      </c>
      <c r="C376">
        <v>107</v>
      </c>
      <c r="D376">
        <v>26659.547731784754</v>
      </c>
      <c r="E376">
        <v>4.4505953428765039</v>
      </c>
      <c r="F376">
        <v>3.5519476177229183</v>
      </c>
      <c r="G376">
        <v>5.7206014195870054</v>
      </c>
      <c r="H376">
        <v>106771.05752571828</v>
      </c>
      <c r="I376">
        <v>79</v>
      </c>
      <c r="J376">
        <v>96.181121162669783</v>
      </c>
    </row>
    <row r="377" spans="1:10">
      <c r="A377" s="1">
        <v>53255</v>
      </c>
      <c r="B377" t="s">
        <v>13</v>
      </c>
      <c r="C377">
        <v>111</v>
      </c>
      <c r="D377">
        <v>34960.211747682617</v>
      </c>
      <c r="E377">
        <v>3.4696695930926897</v>
      </c>
      <c r="F377">
        <v>1.501939372685587</v>
      </c>
      <c r="G377">
        <v>8.7316403967765961</v>
      </c>
      <c r="H377">
        <v>81241.488469272022</v>
      </c>
      <c r="I377">
        <v>87</v>
      </c>
      <c r="J377">
        <v>62.644423207576892</v>
      </c>
    </row>
    <row r="378" spans="1:10">
      <c r="A378" s="1">
        <v>53285</v>
      </c>
      <c r="B378" t="s">
        <v>10</v>
      </c>
      <c r="D378">
        <v>29125.201216522957</v>
      </c>
      <c r="E378">
        <v>3.1457966165447688</v>
      </c>
      <c r="F378">
        <v>2.1160287280476484</v>
      </c>
      <c r="H378">
        <v>104332.49950809238</v>
      </c>
      <c r="I378">
        <v>92</v>
      </c>
      <c r="J378">
        <v>70.523550294092828</v>
      </c>
    </row>
    <row r="379" spans="1:10">
      <c r="A379" s="1">
        <v>53315</v>
      </c>
      <c r="B379" t="s">
        <v>10</v>
      </c>
      <c r="C379">
        <v>94</v>
      </c>
      <c r="D379">
        <v>26221.274202535777</v>
      </c>
      <c r="E379">
        <v>2.7431428036935865</v>
      </c>
      <c r="F379">
        <v>2.7502002062516944</v>
      </c>
      <c r="G379">
        <v>4.295134483789588</v>
      </c>
      <c r="H379">
        <v>79484.946327194455</v>
      </c>
      <c r="I379">
        <v>79</v>
      </c>
      <c r="J379">
        <v>63.435235559146221</v>
      </c>
    </row>
    <row r="380" spans="1:10">
      <c r="A380" s="1">
        <v>53345</v>
      </c>
      <c r="B380" t="s">
        <v>10</v>
      </c>
      <c r="C380">
        <v>91</v>
      </c>
      <c r="D380">
        <v>32682.549217852018</v>
      </c>
      <c r="E380">
        <v>2.5984301618720274</v>
      </c>
      <c r="F380">
        <v>4.4956674897839646</v>
      </c>
      <c r="G380">
        <v>5.3854429034931126</v>
      </c>
      <c r="H380">
        <v>122016.4279684521</v>
      </c>
      <c r="I380">
        <v>95</v>
      </c>
      <c r="J380">
        <v>30.350449357336071</v>
      </c>
    </row>
    <row r="381" spans="1:10">
      <c r="A381" s="1">
        <v>53375</v>
      </c>
      <c r="B381" t="s">
        <v>12</v>
      </c>
      <c r="C381">
        <v>89</v>
      </c>
      <c r="D381">
        <v>25507.660091044814</v>
      </c>
      <c r="E381">
        <v>2.7079320284972552</v>
      </c>
      <c r="F381">
        <v>5.6099185560053613</v>
      </c>
      <c r="G381">
        <v>3.368504399840258</v>
      </c>
      <c r="H381">
        <v>121227.41929746268</v>
      </c>
      <c r="I381">
        <v>96</v>
      </c>
      <c r="J381">
        <v>50.065697520635275</v>
      </c>
    </row>
    <row r="382" spans="1:10">
      <c r="A382" s="1">
        <v>53405</v>
      </c>
      <c r="B382" t="s">
        <v>13</v>
      </c>
      <c r="C382">
        <v>98</v>
      </c>
      <c r="D382">
        <v>30140.90578684564</v>
      </c>
      <c r="F382">
        <v>3.1067230591361827</v>
      </c>
      <c r="G382">
        <v>5.4032803008438872</v>
      </c>
      <c r="H382">
        <v>110640.12397643886</v>
      </c>
      <c r="I382">
        <v>90</v>
      </c>
      <c r="J382">
        <v>27.931688982209913</v>
      </c>
    </row>
    <row r="383" spans="1:10">
      <c r="A383" s="1">
        <v>53435</v>
      </c>
      <c r="B383" t="s">
        <v>10</v>
      </c>
      <c r="C383">
        <v>110</v>
      </c>
      <c r="D383">
        <v>29954.405016778983</v>
      </c>
      <c r="E383">
        <v>3.7543625116149668</v>
      </c>
      <c r="F383">
        <v>2.3168033812796121</v>
      </c>
      <c r="G383">
        <v>4.50033273159909</v>
      </c>
      <c r="H383">
        <v>107233.22122494034</v>
      </c>
      <c r="I383">
        <v>95</v>
      </c>
      <c r="J383">
        <v>69.836323534670541</v>
      </c>
    </row>
    <row r="384" spans="1:10">
      <c r="A384" s="1">
        <v>53465</v>
      </c>
      <c r="B384" t="s">
        <v>11</v>
      </c>
      <c r="C384">
        <v>93</v>
      </c>
      <c r="D384">
        <v>35429.477829157891</v>
      </c>
      <c r="E384">
        <v>2.7094046489839334</v>
      </c>
      <c r="F384">
        <v>3.0345056484805504</v>
      </c>
      <c r="H384">
        <v>135223.76249734749</v>
      </c>
      <c r="J384">
        <v>55.749935616035117</v>
      </c>
    </row>
    <row r="385" spans="1:10">
      <c r="A385" s="1">
        <v>53495</v>
      </c>
      <c r="B385" t="s">
        <v>13</v>
      </c>
      <c r="C385">
        <v>103</v>
      </c>
      <c r="D385">
        <v>32373.491164399762</v>
      </c>
      <c r="E385">
        <v>3.9475191570380579</v>
      </c>
      <c r="F385">
        <v>3.3876554258738363</v>
      </c>
      <c r="G385">
        <v>4.8405516704853584</v>
      </c>
      <c r="I385">
        <v>96</v>
      </c>
      <c r="J385">
        <v>82.238797725674942</v>
      </c>
    </row>
    <row r="386" spans="1:10">
      <c r="A386" s="1">
        <v>53525</v>
      </c>
      <c r="B386" t="s">
        <v>13</v>
      </c>
      <c r="F386">
        <v>2.1793323744428084</v>
      </c>
      <c r="G386">
        <v>5.3598809010457042</v>
      </c>
      <c r="H386">
        <v>76362.517491583974</v>
      </c>
      <c r="I386">
        <v>89</v>
      </c>
      <c r="J386">
        <v>37.637638479949587</v>
      </c>
    </row>
    <row r="387" spans="1:10">
      <c r="A387" s="1">
        <v>53555</v>
      </c>
      <c r="B387" t="s">
        <v>12</v>
      </c>
      <c r="C387">
        <v>101</v>
      </c>
      <c r="D387">
        <v>34088.831496001432</v>
      </c>
      <c r="E387">
        <v>3.5733965059927746</v>
      </c>
      <c r="F387">
        <v>42.952113559123219</v>
      </c>
      <c r="G387">
        <v>4.7373305903147163</v>
      </c>
      <c r="I387">
        <v>87</v>
      </c>
      <c r="J387">
        <v>33.165284674346793</v>
      </c>
    </row>
    <row r="388" spans="1:10">
      <c r="A388" s="1">
        <v>53585</v>
      </c>
      <c r="B388" t="s">
        <v>14</v>
      </c>
      <c r="C388">
        <v>94</v>
      </c>
      <c r="D388">
        <v>369510.37745086564</v>
      </c>
      <c r="E388">
        <v>4.3061103141277126</v>
      </c>
      <c r="F388">
        <v>2.7300707591914022</v>
      </c>
      <c r="G388">
        <v>7.5866216222239977</v>
      </c>
      <c r="H388">
        <v>1417209.4099074227</v>
      </c>
      <c r="I388">
        <v>96</v>
      </c>
      <c r="J388">
        <v>52.506578477101428</v>
      </c>
    </row>
    <row r="389" spans="1:10">
      <c r="A389" s="1">
        <v>53615</v>
      </c>
      <c r="B389" t="s">
        <v>12</v>
      </c>
      <c r="C389">
        <v>108</v>
      </c>
      <c r="D389">
        <v>32789.051531759309</v>
      </c>
      <c r="E389">
        <v>3.9484196579327659</v>
      </c>
      <c r="F389">
        <v>2.9977430890913941</v>
      </c>
      <c r="G389">
        <v>5.1145086806585063</v>
      </c>
      <c r="H389">
        <v>79704.810136282962</v>
      </c>
      <c r="I389">
        <v>102</v>
      </c>
      <c r="J389">
        <v>94.126830657470492</v>
      </c>
    </row>
    <row r="390" spans="1:10">
      <c r="A390" s="1">
        <v>53645</v>
      </c>
      <c r="B390" t="s">
        <v>10</v>
      </c>
      <c r="C390">
        <v>113</v>
      </c>
      <c r="D390">
        <v>30051.763099216903</v>
      </c>
      <c r="E390">
        <v>3.3657346760470839</v>
      </c>
      <c r="F390">
        <v>3.1659242520544613</v>
      </c>
      <c r="G390">
        <v>7.6990684521750419</v>
      </c>
      <c r="H390">
        <v>92770.744666120285</v>
      </c>
      <c r="I390">
        <v>72</v>
      </c>
      <c r="J390">
        <v>76.833745200992936</v>
      </c>
    </row>
    <row r="391" spans="1:10">
      <c r="A391" s="1">
        <v>53675</v>
      </c>
      <c r="B391" t="s">
        <v>11</v>
      </c>
      <c r="C391">
        <v>115</v>
      </c>
      <c r="D391">
        <v>23440.818838249201</v>
      </c>
      <c r="E391">
        <v>3.0544038872923562</v>
      </c>
      <c r="F391">
        <v>2.9215866106144555</v>
      </c>
      <c r="G391">
        <v>6.4769821145419195</v>
      </c>
      <c r="I391">
        <v>88</v>
      </c>
      <c r="J391">
        <v>53.513889983433494</v>
      </c>
    </row>
    <row r="392" spans="1:10">
      <c r="A392" s="1">
        <v>53705</v>
      </c>
      <c r="B392" t="s">
        <v>11</v>
      </c>
      <c r="C392">
        <v>98</v>
      </c>
      <c r="D392">
        <v>24674.431684623138</v>
      </c>
      <c r="E392">
        <v>2.4240922993353475</v>
      </c>
      <c r="F392">
        <v>3.3389405004696124</v>
      </c>
      <c r="G392">
        <v>6.0784800728024635</v>
      </c>
      <c r="H392">
        <v>98921.903019885212</v>
      </c>
      <c r="I392">
        <v>81</v>
      </c>
      <c r="J392">
        <v>61.381773580344841</v>
      </c>
    </row>
    <row r="393" spans="1:10">
      <c r="A393" s="1">
        <v>53735</v>
      </c>
      <c r="B393" t="s">
        <v>10</v>
      </c>
      <c r="C393">
        <v>93</v>
      </c>
      <c r="D393">
        <v>28473.876478226663</v>
      </c>
      <c r="E393">
        <v>3.1404233403787898</v>
      </c>
      <c r="F393">
        <v>18.827468134530768</v>
      </c>
      <c r="G393">
        <v>5.942479776781024</v>
      </c>
      <c r="H393">
        <v>80353.928392453701</v>
      </c>
      <c r="I393">
        <v>92</v>
      </c>
      <c r="J393">
        <v>26.737040894167869</v>
      </c>
    </row>
    <row r="394" spans="1:10">
      <c r="A394" s="1">
        <v>53765</v>
      </c>
      <c r="B394" t="s">
        <v>11</v>
      </c>
      <c r="C394">
        <v>104</v>
      </c>
      <c r="D394">
        <v>26952.438989203583</v>
      </c>
      <c r="F394">
        <v>1.9416982460539693</v>
      </c>
      <c r="G394">
        <v>5.9725567578595022</v>
      </c>
      <c r="H394">
        <v>122437.15712460942</v>
      </c>
      <c r="J394">
        <v>98.766071710089051</v>
      </c>
    </row>
    <row r="395" spans="1:10">
      <c r="A395" s="1">
        <v>53795</v>
      </c>
      <c r="B395" t="s">
        <v>12</v>
      </c>
      <c r="C395">
        <v>870</v>
      </c>
      <c r="D395">
        <v>29065.143485072771</v>
      </c>
      <c r="E395">
        <v>3.0064102364244079</v>
      </c>
      <c r="F395">
        <v>1.3998457670283051</v>
      </c>
      <c r="G395">
        <v>3.1867929047852681</v>
      </c>
      <c r="H395">
        <v>146400.81444034519</v>
      </c>
      <c r="I395">
        <v>102</v>
      </c>
      <c r="J395">
        <v>73.312584375593516</v>
      </c>
    </row>
    <row r="396" spans="1:10">
      <c r="A396" s="1">
        <v>53825</v>
      </c>
      <c r="B396" t="s">
        <v>12</v>
      </c>
      <c r="C396">
        <v>89</v>
      </c>
      <c r="E396">
        <v>3.4343715164538478</v>
      </c>
      <c r="G396">
        <v>5.1653399270190921</v>
      </c>
      <c r="H396">
        <v>103922.62918047815</v>
      </c>
      <c r="I396">
        <v>80</v>
      </c>
      <c r="J396">
        <v>42.832325477073795</v>
      </c>
    </row>
    <row r="397" spans="1:10">
      <c r="A397" s="1">
        <v>53855</v>
      </c>
      <c r="B397" t="s">
        <v>10</v>
      </c>
      <c r="C397">
        <v>86</v>
      </c>
      <c r="D397">
        <v>32648.463771783652</v>
      </c>
      <c r="E397">
        <v>3.5384259414793839</v>
      </c>
      <c r="F397">
        <v>3.2789365035121141</v>
      </c>
      <c r="G397">
        <v>6.5141895654211854</v>
      </c>
      <c r="H397">
        <v>81918.634205279988</v>
      </c>
      <c r="I397">
        <v>84</v>
      </c>
    </row>
    <row r="398" spans="1:10">
      <c r="A398" s="1">
        <v>53885</v>
      </c>
      <c r="B398" t="s">
        <v>11</v>
      </c>
      <c r="C398">
        <v>93</v>
      </c>
      <c r="D398">
        <v>29647.506109704544</v>
      </c>
      <c r="E398">
        <v>3.3875720090959609</v>
      </c>
      <c r="F398">
        <v>2.9577728661518856</v>
      </c>
      <c r="G398">
        <v>5.4413233798310729</v>
      </c>
      <c r="H398">
        <v>69020.789498930506</v>
      </c>
      <c r="I398">
        <v>89</v>
      </c>
      <c r="J398">
        <v>28.75858928551952</v>
      </c>
    </row>
    <row r="399" spans="1:10">
      <c r="A399" s="1">
        <v>53915</v>
      </c>
      <c r="B399" t="s">
        <v>13</v>
      </c>
      <c r="C399">
        <v>104</v>
      </c>
      <c r="D399">
        <v>32432.50821913101</v>
      </c>
      <c r="E399">
        <v>3.1749987095882704</v>
      </c>
      <c r="F399">
        <v>4.1744924333475373</v>
      </c>
      <c r="G399">
        <v>3.8137721838357099</v>
      </c>
      <c r="H399">
        <v>105159.51962442361</v>
      </c>
      <c r="I399">
        <v>79</v>
      </c>
      <c r="J399">
        <v>97.266933504606683</v>
      </c>
    </row>
    <row r="400" spans="1:10">
      <c r="A400" s="1">
        <v>53945</v>
      </c>
      <c r="B400" t="s">
        <v>14</v>
      </c>
      <c r="C400">
        <v>91</v>
      </c>
      <c r="F400">
        <v>2.4944039811709535</v>
      </c>
      <c r="G400">
        <v>5.4371146593070367</v>
      </c>
      <c r="H400">
        <v>122077.54686632515</v>
      </c>
      <c r="J400">
        <v>33.982799030669277</v>
      </c>
    </row>
    <row r="401" spans="1:10">
      <c r="A401" s="1">
        <v>53975</v>
      </c>
      <c r="B401" t="s">
        <v>13</v>
      </c>
      <c r="C401">
        <v>113</v>
      </c>
      <c r="D401">
        <v>20122.667168230644</v>
      </c>
      <c r="E401">
        <v>3.7209703247847044</v>
      </c>
      <c r="F401">
        <v>3.1687416555925125</v>
      </c>
      <c r="G401">
        <v>7.5449266195065894</v>
      </c>
      <c r="H401">
        <v>1095033.5492990762</v>
      </c>
      <c r="I401">
        <v>80</v>
      </c>
      <c r="J401">
        <v>71.842425444417131</v>
      </c>
    </row>
    <row r="402" spans="1:10">
      <c r="A402" s="1">
        <v>54005</v>
      </c>
      <c r="B402" t="s">
        <v>12</v>
      </c>
      <c r="C402">
        <v>103</v>
      </c>
      <c r="D402">
        <v>25303.323030906227</v>
      </c>
      <c r="E402">
        <v>2.9548004612785768</v>
      </c>
      <c r="F402">
        <v>1.4082991238606857</v>
      </c>
      <c r="G402">
        <v>6.9962700586416631</v>
      </c>
      <c r="H402">
        <v>99951.923181622929</v>
      </c>
      <c r="I402">
        <v>89</v>
      </c>
    </row>
    <row r="403" spans="1:10">
      <c r="A403" s="1">
        <v>54035</v>
      </c>
      <c r="B403" t="s">
        <v>12</v>
      </c>
      <c r="C403">
        <v>98</v>
      </c>
      <c r="D403">
        <v>29279.562221391923</v>
      </c>
      <c r="E403">
        <v>4.2054661898731354</v>
      </c>
      <c r="F403">
        <v>2.112900297525599</v>
      </c>
      <c r="G403">
        <v>5.4255951887607621</v>
      </c>
      <c r="H403">
        <v>88214.566964213882</v>
      </c>
      <c r="I403">
        <v>75</v>
      </c>
      <c r="J403">
        <v>77.404910611882855</v>
      </c>
    </row>
    <row r="404" spans="1:10">
      <c r="A404" s="1">
        <v>54065</v>
      </c>
      <c r="B404" t="s">
        <v>12</v>
      </c>
      <c r="C404">
        <v>100</v>
      </c>
      <c r="D404">
        <v>23951.526285794462</v>
      </c>
      <c r="E404">
        <v>3.4507059338578689</v>
      </c>
      <c r="F404">
        <v>3.1955377575657775</v>
      </c>
      <c r="G404">
        <v>6.6417391324697039</v>
      </c>
      <c r="H404">
        <v>78156.72734563821</v>
      </c>
      <c r="I404">
        <v>84</v>
      </c>
      <c r="J404">
        <v>82.145709379222481</v>
      </c>
    </row>
    <row r="405" spans="1:10">
      <c r="A405" s="1">
        <v>54095</v>
      </c>
      <c r="B405" t="s">
        <v>12</v>
      </c>
      <c r="C405">
        <v>89</v>
      </c>
      <c r="D405">
        <v>32999.643649981022</v>
      </c>
      <c r="E405">
        <v>3.509424811472424</v>
      </c>
      <c r="F405">
        <v>3.3491021107431438</v>
      </c>
      <c r="G405">
        <v>5.0601915755583375</v>
      </c>
      <c r="H405">
        <v>116695.02652649765</v>
      </c>
      <c r="I405">
        <v>65</v>
      </c>
      <c r="J405">
        <v>73.873578312914617</v>
      </c>
    </row>
    <row r="406" spans="1:10">
      <c r="A406" s="1">
        <v>54125</v>
      </c>
      <c r="B406" t="s">
        <v>14</v>
      </c>
      <c r="C406">
        <v>83</v>
      </c>
      <c r="D406">
        <v>37653.754161718491</v>
      </c>
      <c r="E406">
        <v>3.8541072116282784</v>
      </c>
      <c r="F406">
        <v>2.2060330523358176</v>
      </c>
      <c r="G406">
        <v>3.4553540958079374</v>
      </c>
      <c r="H406">
        <v>118275.43242771171</v>
      </c>
      <c r="I406">
        <v>98</v>
      </c>
      <c r="J406">
        <v>69.159956820415402</v>
      </c>
    </row>
    <row r="407" spans="1:10">
      <c r="A407" s="1">
        <v>54155</v>
      </c>
      <c r="B407" t="s">
        <v>10</v>
      </c>
      <c r="C407">
        <v>92</v>
      </c>
      <c r="D407">
        <v>36093.809258486581</v>
      </c>
      <c r="E407">
        <v>3.616608065631751</v>
      </c>
      <c r="F407">
        <v>2.4284007481419332</v>
      </c>
      <c r="G407">
        <v>4.3906408142445343</v>
      </c>
      <c r="H407">
        <v>69085.404266185331</v>
      </c>
      <c r="I407">
        <v>89</v>
      </c>
      <c r="J407">
        <v>91.397527516160935</v>
      </c>
    </row>
    <row r="408" spans="1:10">
      <c r="A408" s="1">
        <v>54185</v>
      </c>
      <c r="B408" t="s">
        <v>12</v>
      </c>
      <c r="D408">
        <v>28932.785645348958</v>
      </c>
      <c r="E408">
        <v>3.9765683169566226</v>
      </c>
      <c r="F408">
        <v>0.98212625331919057</v>
      </c>
      <c r="G408">
        <v>7.3754665222098374</v>
      </c>
      <c r="H408">
        <v>131796.77956361367</v>
      </c>
      <c r="I408">
        <v>88</v>
      </c>
      <c r="J408">
        <v>26.290136879180643</v>
      </c>
    </row>
    <row r="409" spans="1:10">
      <c r="A409" s="1">
        <v>54215</v>
      </c>
      <c r="B409" t="s">
        <v>11</v>
      </c>
      <c r="D409">
        <v>37453.630684249758</v>
      </c>
      <c r="E409">
        <v>3.6435620826009121</v>
      </c>
      <c r="F409">
        <v>2.1429707991933906</v>
      </c>
      <c r="G409">
        <v>5.1712083018048354</v>
      </c>
      <c r="H409">
        <v>111481.42441788003</v>
      </c>
      <c r="I409">
        <v>98</v>
      </c>
    </row>
    <row r="410" spans="1:10">
      <c r="A410" s="1">
        <v>54245</v>
      </c>
      <c r="B410" t="s">
        <v>14</v>
      </c>
      <c r="C410">
        <v>102</v>
      </c>
      <c r="D410">
        <v>30743.337286010559</v>
      </c>
      <c r="E410">
        <v>3.1937813126797812</v>
      </c>
      <c r="F410">
        <v>3.3903831635197861</v>
      </c>
      <c r="H410">
        <v>127991.89290291586</v>
      </c>
      <c r="I410">
        <v>88</v>
      </c>
      <c r="J410">
        <v>39.862998370467679</v>
      </c>
    </row>
    <row r="411" spans="1:10">
      <c r="A411" s="1">
        <v>54275</v>
      </c>
      <c r="B411" t="s">
        <v>12</v>
      </c>
      <c r="C411">
        <v>107</v>
      </c>
      <c r="D411">
        <v>28314.570144409805</v>
      </c>
      <c r="E411">
        <v>3.6807517626030508</v>
      </c>
      <c r="F411">
        <v>3.0752050161065663</v>
      </c>
      <c r="H411">
        <v>73157.445030297706</v>
      </c>
      <c r="I411">
        <v>89</v>
      </c>
      <c r="J411">
        <v>99.041116965233726</v>
      </c>
    </row>
    <row r="412" spans="1:10">
      <c r="A412" s="1">
        <v>54305</v>
      </c>
      <c r="B412" t="s">
        <v>11</v>
      </c>
      <c r="C412">
        <v>103</v>
      </c>
      <c r="D412">
        <v>269329.86682295299</v>
      </c>
      <c r="E412">
        <v>2.928136896339669</v>
      </c>
      <c r="F412">
        <v>3.0006657213812096</v>
      </c>
      <c r="G412">
        <v>7.784963907487608</v>
      </c>
      <c r="H412">
        <v>72683.516891691223</v>
      </c>
      <c r="I412">
        <v>103</v>
      </c>
      <c r="J412">
        <v>51.151182373349883</v>
      </c>
    </row>
    <row r="413" spans="1:10">
      <c r="A413" s="1">
        <v>54335</v>
      </c>
      <c r="B413" t="s">
        <v>12</v>
      </c>
      <c r="C413">
        <v>100</v>
      </c>
      <c r="E413">
        <v>3.5542798528882615</v>
      </c>
      <c r="F413">
        <v>2.5497736871809602</v>
      </c>
      <c r="G413">
        <v>7.4511506984344757</v>
      </c>
      <c r="H413">
        <v>97020.613804654058</v>
      </c>
      <c r="I413">
        <v>85</v>
      </c>
      <c r="J413">
        <v>78.609015939231895</v>
      </c>
    </row>
    <row r="414" spans="1:10">
      <c r="A414" s="1">
        <v>54365</v>
      </c>
      <c r="B414" t="s">
        <v>10</v>
      </c>
      <c r="D414">
        <v>28059.115907293857</v>
      </c>
      <c r="E414">
        <v>3.4833850046777695</v>
      </c>
      <c r="F414">
        <v>2.5070631586281764</v>
      </c>
      <c r="G414">
        <v>8.1625362801377612</v>
      </c>
      <c r="H414">
        <v>110055.68853790389</v>
      </c>
      <c r="I414">
        <v>90</v>
      </c>
    </row>
    <row r="415" spans="1:10">
      <c r="A415" s="1">
        <v>54395</v>
      </c>
      <c r="B415" t="s">
        <v>14</v>
      </c>
      <c r="C415">
        <v>85</v>
      </c>
      <c r="D415">
        <v>30852.08111187744</v>
      </c>
      <c r="E415">
        <v>3.3959415713637302</v>
      </c>
      <c r="F415">
        <v>1.8396788605265528</v>
      </c>
      <c r="G415">
        <v>5.3091457475199384</v>
      </c>
      <c r="H415">
        <v>135927.21645853927</v>
      </c>
      <c r="I415">
        <v>84</v>
      </c>
      <c r="J415">
        <v>36.966498998190218</v>
      </c>
    </row>
    <row r="416" spans="1:10">
      <c r="A416" s="1">
        <v>54425</v>
      </c>
      <c r="B416" t="s">
        <v>10</v>
      </c>
      <c r="C416">
        <v>107</v>
      </c>
      <c r="D416">
        <v>30802.869905249325</v>
      </c>
      <c r="E416">
        <v>3.4357312442805346</v>
      </c>
      <c r="F416">
        <v>3.1988284202025348</v>
      </c>
      <c r="G416">
        <v>5.8547493864965139</v>
      </c>
      <c r="H416">
        <v>114121.57827630264</v>
      </c>
      <c r="I416">
        <v>78</v>
      </c>
      <c r="J416">
        <v>39.119814416924108</v>
      </c>
    </row>
    <row r="417" spans="1:10">
      <c r="A417" s="1">
        <v>54455</v>
      </c>
      <c r="B417" t="s">
        <v>14</v>
      </c>
      <c r="C417">
        <v>106</v>
      </c>
      <c r="D417">
        <v>30015.230100767072</v>
      </c>
      <c r="E417">
        <v>2.5590754772511803</v>
      </c>
      <c r="F417">
        <v>2.9209729443893897</v>
      </c>
      <c r="G417">
        <v>3.6800289406950508</v>
      </c>
      <c r="H417">
        <v>95146.374463759334</v>
      </c>
      <c r="I417">
        <v>84</v>
      </c>
      <c r="J417">
        <v>42.502765084242725</v>
      </c>
    </row>
    <row r="418" spans="1:10">
      <c r="A418" s="1">
        <v>54485</v>
      </c>
      <c r="B418" t="s">
        <v>12</v>
      </c>
      <c r="C418">
        <v>92</v>
      </c>
      <c r="D418">
        <v>32184.690848731749</v>
      </c>
      <c r="E418">
        <v>3.2256375461295193</v>
      </c>
      <c r="F418">
        <v>2.9920188479927994</v>
      </c>
      <c r="G418">
        <v>7.2723213113419289</v>
      </c>
      <c r="H418">
        <v>79472.615846682165</v>
      </c>
      <c r="I418">
        <v>70</v>
      </c>
      <c r="J418">
        <v>52.890182260750336</v>
      </c>
    </row>
    <row r="419" spans="1:10">
      <c r="A419" s="1">
        <v>54515</v>
      </c>
      <c r="B419" t="s">
        <v>12</v>
      </c>
      <c r="C419">
        <v>110</v>
      </c>
      <c r="D419">
        <v>35953.231373931703</v>
      </c>
      <c r="F419">
        <v>1.9739651573324197</v>
      </c>
      <c r="G419">
        <v>4.0986645384784781</v>
      </c>
      <c r="H419">
        <v>124600.011454383</v>
      </c>
      <c r="I419">
        <v>74</v>
      </c>
      <c r="J419">
        <v>38.746005252042146</v>
      </c>
    </row>
    <row r="420" spans="1:10">
      <c r="A420" s="1">
        <v>54545</v>
      </c>
      <c r="B420" t="s">
        <v>14</v>
      </c>
      <c r="C420">
        <v>93</v>
      </c>
      <c r="D420">
        <v>34747.770677206616</v>
      </c>
      <c r="E420">
        <v>3.5799281959987002</v>
      </c>
      <c r="F420">
        <v>0.34665708012875562</v>
      </c>
      <c r="G420">
        <v>5.7601306765151552</v>
      </c>
      <c r="H420">
        <v>80705.89148498571</v>
      </c>
      <c r="I420">
        <v>88</v>
      </c>
      <c r="J420">
        <v>21.572118619747826</v>
      </c>
    </row>
    <row r="421" spans="1:10">
      <c r="A421" s="1">
        <v>54575</v>
      </c>
      <c r="B421" t="s">
        <v>11</v>
      </c>
      <c r="D421">
        <v>22575.510157750483</v>
      </c>
      <c r="E421">
        <v>2.9861624295370208</v>
      </c>
      <c r="F421">
        <v>3.5971527117536954</v>
      </c>
      <c r="G421">
        <v>4.1832369668405871</v>
      </c>
      <c r="H421">
        <v>132569.37109544643</v>
      </c>
      <c r="J421">
        <v>90.351444544575642</v>
      </c>
    </row>
    <row r="422" spans="1:10">
      <c r="A422" s="1">
        <v>54605</v>
      </c>
      <c r="B422" t="s">
        <v>11</v>
      </c>
      <c r="C422">
        <v>117</v>
      </c>
      <c r="D422">
        <v>17230.394325490226</v>
      </c>
      <c r="E422">
        <v>4.1328539204323507</v>
      </c>
      <c r="F422">
        <v>2.0211625439915957</v>
      </c>
      <c r="G422">
        <v>4.7933598079135651</v>
      </c>
      <c r="H422">
        <v>94312.307007869807</v>
      </c>
      <c r="I422">
        <v>74</v>
      </c>
      <c r="J422">
        <v>97.248786510470723</v>
      </c>
    </row>
    <row r="423" spans="1:10">
      <c r="A423" s="1">
        <v>54635</v>
      </c>
      <c r="B423" t="s">
        <v>12</v>
      </c>
      <c r="C423">
        <v>122</v>
      </c>
      <c r="D423">
        <v>34671.599556196365</v>
      </c>
      <c r="E423">
        <v>3.0669125758927498</v>
      </c>
      <c r="F423">
        <v>1.6372242359568794</v>
      </c>
      <c r="G423">
        <v>4.4952850827403594</v>
      </c>
      <c r="H423">
        <v>131811.641452357</v>
      </c>
      <c r="I423">
        <v>85</v>
      </c>
      <c r="J423">
        <v>473.2563096252544</v>
      </c>
    </row>
    <row r="424" spans="1:10">
      <c r="A424" s="1">
        <v>54665</v>
      </c>
      <c r="B424" t="s">
        <v>12</v>
      </c>
      <c r="C424">
        <v>90</v>
      </c>
      <c r="D424">
        <v>23165.606507922894</v>
      </c>
      <c r="E424">
        <v>3.9847286002633684</v>
      </c>
      <c r="F424">
        <v>3.1934789119139939</v>
      </c>
      <c r="G424">
        <v>4.7705496871890185</v>
      </c>
      <c r="H424">
        <v>113578.62580118557</v>
      </c>
      <c r="I424">
        <v>105</v>
      </c>
      <c r="J424">
        <v>47.080550354037825</v>
      </c>
    </row>
    <row r="425" spans="1:10">
      <c r="A425" s="1">
        <v>54695</v>
      </c>
      <c r="B425" t="s">
        <v>10</v>
      </c>
      <c r="C425">
        <v>113</v>
      </c>
      <c r="D425">
        <v>28876.172990536583</v>
      </c>
      <c r="E425">
        <v>3.7135971809358423</v>
      </c>
      <c r="F425">
        <v>2.1079873600808705</v>
      </c>
      <c r="G425">
        <v>4.853052756221226</v>
      </c>
      <c r="H425">
        <v>97260.090211150833</v>
      </c>
      <c r="I425">
        <v>75</v>
      </c>
      <c r="J425">
        <v>20.567345021949677</v>
      </c>
    </row>
    <row r="426" spans="1:10">
      <c r="A426" s="1">
        <v>54725</v>
      </c>
      <c r="B426" t="s">
        <v>12</v>
      </c>
      <c r="C426">
        <v>110</v>
      </c>
      <c r="D426">
        <v>24149.434869703204</v>
      </c>
      <c r="E426">
        <v>3.1768863450780986</v>
      </c>
      <c r="F426">
        <v>3.5599363840466216</v>
      </c>
      <c r="G426">
        <v>4.8420774460899079</v>
      </c>
      <c r="H426">
        <v>89612.072563477472</v>
      </c>
      <c r="I426">
        <v>89</v>
      </c>
      <c r="J426">
        <v>744.20055066429927</v>
      </c>
    </row>
    <row r="427" spans="1:10">
      <c r="A427" s="1">
        <v>54755</v>
      </c>
      <c r="B427" t="s">
        <v>14</v>
      </c>
      <c r="C427">
        <v>106</v>
      </c>
      <c r="D427">
        <v>20990.097812099899</v>
      </c>
      <c r="F427">
        <v>3.1170059495766975</v>
      </c>
      <c r="G427">
        <v>6.5000006941363688</v>
      </c>
      <c r="I427">
        <v>84</v>
      </c>
    </row>
    <row r="428" spans="1:10">
      <c r="A428" s="1">
        <v>54785</v>
      </c>
      <c r="B428" t="s">
        <v>11</v>
      </c>
      <c r="C428">
        <v>92</v>
      </c>
      <c r="D428">
        <v>32707.313641023939</v>
      </c>
      <c r="E428">
        <v>2.9031815841217599</v>
      </c>
      <c r="G428">
        <v>4.1741646483249761</v>
      </c>
      <c r="H428">
        <v>108566.33384750475</v>
      </c>
      <c r="I428">
        <v>91</v>
      </c>
      <c r="J428">
        <v>31.728664028800253</v>
      </c>
    </row>
    <row r="429" spans="1:10">
      <c r="A429" s="1">
        <v>54815</v>
      </c>
      <c r="B429" t="s">
        <v>11</v>
      </c>
      <c r="C429">
        <v>121</v>
      </c>
      <c r="D429">
        <v>33795.775801513235</v>
      </c>
      <c r="E429">
        <v>3.9595770868050009</v>
      </c>
      <c r="F429">
        <v>1.1340442887994657</v>
      </c>
      <c r="I429">
        <v>101</v>
      </c>
      <c r="J429">
        <v>32.773307949372061</v>
      </c>
    </row>
    <row r="430" spans="1:10">
      <c r="A430" s="1">
        <v>54845</v>
      </c>
      <c r="B430" t="s">
        <v>10</v>
      </c>
      <c r="C430">
        <v>89</v>
      </c>
      <c r="D430">
        <v>27117.447996366402</v>
      </c>
      <c r="E430">
        <v>4.0002911590214891</v>
      </c>
      <c r="F430">
        <v>3.7119439853864007</v>
      </c>
      <c r="G430">
        <v>6.9615509827666697</v>
      </c>
      <c r="H430">
        <v>88123.771838625893</v>
      </c>
      <c r="I430">
        <v>93</v>
      </c>
      <c r="J430">
        <v>83.206659997715022</v>
      </c>
    </row>
    <row r="431" spans="1:10">
      <c r="A431" s="1">
        <v>54875</v>
      </c>
      <c r="B431" t="s">
        <v>11</v>
      </c>
      <c r="C431">
        <v>117</v>
      </c>
      <c r="D431">
        <v>17044.788539275451</v>
      </c>
      <c r="E431">
        <v>3.1646898954616773</v>
      </c>
      <c r="F431">
        <v>2.761250531233856</v>
      </c>
      <c r="G431">
        <v>4.8841643625839248</v>
      </c>
      <c r="H431">
        <v>966873.71793647355</v>
      </c>
      <c r="I431">
        <v>91</v>
      </c>
      <c r="J431">
        <v>69.303259868331565</v>
      </c>
    </row>
    <row r="432" spans="1:10">
      <c r="A432" s="1">
        <v>54905</v>
      </c>
      <c r="B432" t="s">
        <v>11</v>
      </c>
      <c r="C432">
        <v>106</v>
      </c>
      <c r="D432">
        <v>27268.777758737586</v>
      </c>
      <c r="F432">
        <v>2.1307228607537967</v>
      </c>
      <c r="H432">
        <v>101571.540594383</v>
      </c>
      <c r="I432">
        <v>93</v>
      </c>
      <c r="J432">
        <v>23.588844610217361</v>
      </c>
    </row>
    <row r="433" spans="1:10">
      <c r="A433" s="1">
        <v>54935</v>
      </c>
      <c r="B433" t="s">
        <v>13</v>
      </c>
      <c r="C433">
        <v>121</v>
      </c>
      <c r="D433">
        <v>31959.020027012732</v>
      </c>
      <c r="E433">
        <v>3.3749767427005235</v>
      </c>
      <c r="F433">
        <v>2.643388467342251</v>
      </c>
      <c r="G433">
        <v>5.2233704497836992</v>
      </c>
      <c r="H433">
        <v>57425.31811170376</v>
      </c>
      <c r="I433">
        <v>98</v>
      </c>
      <c r="J433">
        <v>69.803759236982529</v>
      </c>
    </row>
    <row r="434" spans="1:10">
      <c r="A434" s="1">
        <v>54965</v>
      </c>
      <c r="B434" t="s">
        <v>14</v>
      </c>
      <c r="C434">
        <v>95</v>
      </c>
      <c r="D434">
        <v>22605.442156129357</v>
      </c>
      <c r="E434">
        <v>3.6443468146399285</v>
      </c>
      <c r="F434">
        <v>0.72376476710168003</v>
      </c>
      <c r="G434">
        <v>6.9156702500328517</v>
      </c>
      <c r="H434">
        <v>109163.36229577397</v>
      </c>
      <c r="I434">
        <v>87</v>
      </c>
      <c r="J434">
        <v>44.713417827501289</v>
      </c>
    </row>
    <row r="435" spans="1:10">
      <c r="A435" s="1">
        <v>54995</v>
      </c>
      <c r="B435" t="s">
        <v>13</v>
      </c>
      <c r="C435">
        <v>91</v>
      </c>
      <c r="D435">
        <v>30916.799598895777</v>
      </c>
      <c r="E435">
        <v>3.6301609193856104</v>
      </c>
      <c r="F435">
        <v>2.9086528114806707</v>
      </c>
      <c r="G435">
        <v>5.7329291571440288</v>
      </c>
      <c r="H435">
        <v>80405.575505663859</v>
      </c>
      <c r="I435">
        <v>88</v>
      </c>
      <c r="J435">
        <v>49.498012437667676</v>
      </c>
    </row>
    <row r="436" spans="1:10">
      <c r="A436" s="1">
        <v>55025</v>
      </c>
      <c r="B436" t="s">
        <v>11</v>
      </c>
      <c r="C436">
        <v>82</v>
      </c>
      <c r="D436">
        <v>299234.50754135021</v>
      </c>
      <c r="E436">
        <v>3.432845629264726</v>
      </c>
      <c r="F436">
        <v>1.4706284918179284</v>
      </c>
      <c r="G436">
        <v>4.8625428464708822</v>
      </c>
      <c r="H436">
        <v>76933.351935885104</v>
      </c>
      <c r="I436">
        <v>89</v>
      </c>
      <c r="J436">
        <v>815.78513463750414</v>
      </c>
    </row>
    <row r="437" spans="1:10">
      <c r="A437" s="1">
        <v>55055</v>
      </c>
      <c r="B437" t="s">
        <v>10</v>
      </c>
      <c r="C437">
        <v>950</v>
      </c>
      <c r="D437">
        <v>32896.457498005439</v>
      </c>
      <c r="E437">
        <v>3.9054041365798913</v>
      </c>
      <c r="F437">
        <v>1.1473297141564656</v>
      </c>
      <c r="G437">
        <v>6.0806519814256479</v>
      </c>
      <c r="H437">
        <v>66253.113057785784</v>
      </c>
      <c r="I437">
        <v>92</v>
      </c>
    </row>
    <row r="438" spans="1:10">
      <c r="A438" s="1">
        <v>55085</v>
      </c>
      <c r="B438" t="s">
        <v>10</v>
      </c>
      <c r="C438">
        <v>81</v>
      </c>
      <c r="D438">
        <v>30597.901842070765</v>
      </c>
      <c r="E438">
        <v>3.8967443602761067</v>
      </c>
      <c r="F438">
        <v>9.7764081378210896</v>
      </c>
      <c r="G438">
        <v>4.1772494201962918</v>
      </c>
      <c r="H438">
        <v>64122.150042642192</v>
      </c>
      <c r="I438">
        <v>99</v>
      </c>
      <c r="J438">
        <v>52.028530147186451</v>
      </c>
    </row>
    <row r="439" spans="1:10">
      <c r="A439" s="1">
        <v>55115</v>
      </c>
      <c r="B439" t="s">
        <v>11</v>
      </c>
      <c r="C439">
        <v>101</v>
      </c>
      <c r="D439">
        <v>25134.655295592223</v>
      </c>
      <c r="E439">
        <v>2.6257340133809097</v>
      </c>
      <c r="F439">
        <v>3.6126883749899252</v>
      </c>
      <c r="G439">
        <v>6.3176314125315374</v>
      </c>
      <c r="H439">
        <v>72891.049937754215</v>
      </c>
      <c r="I439">
        <v>82</v>
      </c>
      <c r="J439">
        <v>95.772234880508378</v>
      </c>
    </row>
    <row r="440" spans="1:10">
      <c r="A440" s="1">
        <v>55145</v>
      </c>
      <c r="B440" t="s">
        <v>12</v>
      </c>
      <c r="C440">
        <v>95</v>
      </c>
      <c r="D440">
        <v>35982.857508322457</v>
      </c>
      <c r="E440">
        <v>4.1521701214390765</v>
      </c>
      <c r="F440">
        <v>18.707366063072111</v>
      </c>
      <c r="G440">
        <v>5.9903287692421214</v>
      </c>
      <c r="H440">
        <v>85819.580847390185</v>
      </c>
      <c r="I440">
        <v>83</v>
      </c>
      <c r="J440">
        <v>52.51701743616578</v>
      </c>
    </row>
    <row r="441" spans="1:10">
      <c r="A441" s="1">
        <v>55175</v>
      </c>
      <c r="B441" t="s">
        <v>13</v>
      </c>
      <c r="C441">
        <v>114</v>
      </c>
      <c r="D441">
        <v>29207.352134865148</v>
      </c>
      <c r="E441">
        <v>2.6687540059821631</v>
      </c>
      <c r="F441">
        <v>4.0337277099164996</v>
      </c>
      <c r="G441">
        <v>5.1306298346333392</v>
      </c>
      <c r="H441">
        <v>139065.18275053136</v>
      </c>
      <c r="I441">
        <v>94</v>
      </c>
      <c r="J441">
        <v>81.746882818408793</v>
      </c>
    </row>
    <row r="442" spans="1:10">
      <c r="A442" s="1">
        <v>55205</v>
      </c>
      <c r="B442" t="s">
        <v>11</v>
      </c>
      <c r="C442">
        <v>92</v>
      </c>
      <c r="E442">
        <v>4.0162731021708282</v>
      </c>
      <c r="F442">
        <v>1.9641985369477022</v>
      </c>
      <c r="G442">
        <v>4.4936970418633226</v>
      </c>
      <c r="H442">
        <v>89482.406482095917</v>
      </c>
      <c r="I442">
        <v>88</v>
      </c>
      <c r="J442">
        <v>58.710181165140725</v>
      </c>
    </row>
    <row r="443" spans="1:10">
      <c r="A443" s="1">
        <v>55235</v>
      </c>
      <c r="B443" t="s">
        <v>10</v>
      </c>
      <c r="C443">
        <v>113</v>
      </c>
      <c r="D443">
        <v>25333.660204634019</v>
      </c>
      <c r="F443">
        <v>0.79264204240705327</v>
      </c>
      <c r="G443">
        <v>4.4359828932598511</v>
      </c>
      <c r="H443">
        <v>103555.00212536062</v>
      </c>
      <c r="I443">
        <v>92</v>
      </c>
      <c r="J443">
        <v>91.802586121766723</v>
      </c>
    </row>
    <row r="444" spans="1:10">
      <c r="A444" s="1">
        <v>55265</v>
      </c>
      <c r="B444" t="s">
        <v>10</v>
      </c>
      <c r="C444">
        <v>113</v>
      </c>
      <c r="D444">
        <v>27783.588744042449</v>
      </c>
      <c r="E444">
        <v>2.9545167848924008</v>
      </c>
      <c r="F444">
        <v>1.3834755600513409</v>
      </c>
      <c r="G444">
        <v>6.1417808036150925</v>
      </c>
      <c r="H444">
        <v>108009.62773012658</v>
      </c>
      <c r="I444">
        <v>78</v>
      </c>
      <c r="J444">
        <v>92.620899492014289</v>
      </c>
    </row>
    <row r="445" spans="1:10">
      <c r="A445" s="1">
        <v>55295</v>
      </c>
      <c r="B445" t="s">
        <v>13</v>
      </c>
      <c r="C445">
        <v>120</v>
      </c>
      <c r="D445">
        <v>25575.986429865494</v>
      </c>
      <c r="E445">
        <v>3.2945928560227076</v>
      </c>
      <c r="F445">
        <v>3.7358116200069387</v>
      </c>
      <c r="G445">
        <v>6.9747766029868741</v>
      </c>
      <c r="I445">
        <v>102</v>
      </c>
      <c r="J445">
        <v>26.99334462968671</v>
      </c>
    </row>
    <row r="446" spans="1:10">
      <c r="A446" s="1">
        <v>55325</v>
      </c>
      <c r="B446" t="s">
        <v>14</v>
      </c>
      <c r="C446">
        <v>108</v>
      </c>
      <c r="D446">
        <v>29135.269700382883</v>
      </c>
      <c r="E446">
        <v>2.9471476657570319</v>
      </c>
      <c r="F446">
        <v>2.3441018220633323</v>
      </c>
      <c r="G446">
        <v>4.7352307035654464</v>
      </c>
      <c r="H446">
        <v>98451.130785480127</v>
      </c>
      <c r="I446">
        <v>96</v>
      </c>
      <c r="J446">
        <v>94.919466504818061</v>
      </c>
    </row>
    <row r="447" spans="1:10">
      <c r="A447" s="1">
        <v>55355</v>
      </c>
      <c r="B447" t="s">
        <v>11</v>
      </c>
      <c r="C447">
        <v>99</v>
      </c>
      <c r="D447">
        <v>38558.542400711718</v>
      </c>
      <c r="E447">
        <v>3.3925394848556323</v>
      </c>
      <c r="F447">
        <v>1.9517127035093991</v>
      </c>
      <c r="G447">
        <v>6.0500640442617808</v>
      </c>
      <c r="H447">
        <v>76094.1247280151</v>
      </c>
      <c r="I447">
        <v>75</v>
      </c>
      <c r="J447">
        <v>86.042787321633256</v>
      </c>
    </row>
    <row r="448" spans="1:10">
      <c r="A448" s="1">
        <v>55385</v>
      </c>
      <c r="B448" t="s">
        <v>11</v>
      </c>
      <c r="C448">
        <v>108</v>
      </c>
      <c r="D448">
        <v>23140.494285343219</v>
      </c>
      <c r="E448">
        <v>3.3459828579071296</v>
      </c>
      <c r="F448">
        <v>2.6600182258527876</v>
      </c>
      <c r="G448">
        <v>2.9955675776775177</v>
      </c>
      <c r="H448">
        <v>129018.55096558423</v>
      </c>
      <c r="I448">
        <v>87</v>
      </c>
      <c r="J448">
        <v>83.304857145013358</v>
      </c>
    </row>
    <row r="449" spans="1:10">
      <c r="A449" s="1">
        <v>55415</v>
      </c>
      <c r="B449" t="s">
        <v>14</v>
      </c>
      <c r="C449">
        <v>98</v>
      </c>
      <c r="D449">
        <v>21932.193010616294</v>
      </c>
      <c r="E449">
        <v>3.8898302661346698</v>
      </c>
      <c r="F449">
        <v>3.0017827361675451</v>
      </c>
      <c r="G449">
        <v>4.7984587232113602</v>
      </c>
      <c r="H449">
        <v>136143.93287275769</v>
      </c>
      <c r="I449">
        <v>114</v>
      </c>
      <c r="J449">
        <v>36.072907174841795</v>
      </c>
    </row>
    <row r="450" spans="1:10">
      <c r="A450" s="1">
        <v>55445</v>
      </c>
      <c r="B450" t="s">
        <v>13</v>
      </c>
      <c r="C450">
        <v>92</v>
      </c>
      <c r="D450">
        <v>37355.85163746804</v>
      </c>
      <c r="E450">
        <v>4.155154373059804</v>
      </c>
      <c r="F450">
        <v>3.6173988159024608</v>
      </c>
      <c r="G450">
        <v>5.4627292805549175</v>
      </c>
      <c r="H450">
        <v>66346.826117546283</v>
      </c>
      <c r="I450">
        <v>86</v>
      </c>
      <c r="J450">
        <v>84.409536700373195</v>
      </c>
    </row>
    <row r="451" spans="1:10">
      <c r="A451" s="1">
        <v>55475</v>
      </c>
      <c r="B451" t="s">
        <v>13</v>
      </c>
      <c r="C451">
        <v>96</v>
      </c>
      <c r="D451">
        <v>28953.381614240669</v>
      </c>
      <c r="E451">
        <v>4.197841905394978</v>
      </c>
      <c r="F451">
        <v>3.948499229892926</v>
      </c>
      <c r="G451">
        <v>4.4083798996217993</v>
      </c>
      <c r="H451">
        <v>79519.428182272415</v>
      </c>
      <c r="I451">
        <v>85</v>
      </c>
      <c r="J451">
        <v>88.01061877480295</v>
      </c>
    </row>
    <row r="452" spans="1:10">
      <c r="A452" s="1">
        <v>55505</v>
      </c>
      <c r="B452" t="s">
        <v>10</v>
      </c>
      <c r="C452">
        <v>94</v>
      </c>
      <c r="D452">
        <v>26654.636306700417</v>
      </c>
      <c r="E452">
        <v>3.218915986710849</v>
      </c>
      <c r="F452">
        <v>21.402313542109145</v>
      </c>
      <c r="G452">
        <v>4.3761923502524844</v>
      </c>
      <c r="I452">
        <v>95</v>
      </c>
      <c r="J452">
        <v>43.132026756332074</v>
      </c>
    </row>
    <row r="453" spans="1:10">
      <c r="A453" s="1">
        <v>55535</v>
      </c>
      <c r="B453" t="s">
        <v>14</v>
      </c>
      <c r="C453">
        <v>75</v>
      </c>
      <c r="D453">
        <v>35199.52343698038</v>
      </c>
      <c r="E453">
        <v>3.3953890631277361</v>
      </c>
      <c r="F453">
        <v>1.1739523139179617</v>
      </c>
      <c r="G453">
        <v>4.6986645322373368</v>
      </c>
      <c r="H453">
        <v>80709.244101796168</v>
      </c>
      <c r="I453">
        <v>97</v>
      </c>
      <c r="J453">
        <v>96.180806268985904</v>
      </c>
    </row>
    <row r="454" spans="1:10">
      <c r="A454" s="1">
        <v>55565</v>
      </c>
      <c r="B454" t="s">
        <v>13</v>
      </c>
      <c r="C454">
        <v>97</v>
      </c>
      <c r="D454">
        <v>26971.922301315681</v>
      </c>
      <c r="E454">
        <v>2.658280903889525</v>
      </c>
      <c r="F454">
        <v>2.086534838876724</v>
      </c>
      <c r="G454">
        <v>5.850631273991648</v>
      </c>
      <c r="H454">
        <v>110119.31106911731</v>
      </c>
      <c r="I454">
        <v>68</v>
      </c>
      <c r="J454">
        <v>23.988811711933138</v>
      </c>
    </row>
    <row r="455" spans="1:10">
      <c r="A455" s="1">
        <v>55595</v>
      </c>
      <c r="B455" t="s">
        <v>12</v>
      </c>
      <c r="C455">
        <v>1090</v>
      </c>
      <c r="E455">
        <v>3.0970649667519057</v>
      </c>
      <c r="F455">
        <v>2.7602805065828862</v>
      </c>
      <c r="G455">
        <v>5.2752051779123503</v>
      </c>
      <c r="H455">
        <v>85434.555951867733</v>
      </c>
      <c r="I455">
        <v>86</v>
      </c>
      <c r="J455">
        <v>31.992740259771175</v>
      </c>
    </row>
    <row r="456" spans="1:10">
      <c r="A456" s="1">
        <v>55625</v>
      </c>
      <c r="B456" t="s">
        <v>11</v>
      </c>
      <c r="C456">
        <v>98</v>
      </c>
      <c r="D456">
        <v>33389.629356696343</v>
      </c>
      <c r="E456">
        <v>3.9824258165487287</v>
      </c>
      <c r="F456">
        <v>1.5362410737893892</v>
      </c>
      <c r="G456">
        <v>2.8141225200100335</v>
      </c>
      <c r="H456">
        <v>143301.12135613203</v>
      </c>
      <c r="I456">
        <v>90</v>
      </c>
      <c r="J456">
        <v>63.006491044121148</v>
      </c>
    </row>
    <row r="457" spans="1:10">
      <c r="A457" s="1">
        <v>55655</v>
      </c>
      <c r="B457" t="s">
        <v>10</v>
      </c>
      <c r="C457">
        <v>121</v>
      </c>
      <c r="D457">
        <v>27560.442959271488</v>
      </c>
      <c r="E457">
        <v>4.3077914117741161</v>
      </c>
      <c r="F457">
        <v>1.5428490851049572</v>
      </c>
      <c r="G457">
        <v>2.9551598168379205</v>
      </c>
      <c r="H457">
        <v>123810.97188687192</v>
      </c>
      <c r="I457">
        <v>80</v>
      </c>
      <c r="J457">
        <v>66.063397689784779</v>
      </c>
    </row>
    <row r="458" spans="1:10">
      <c r="A458" s="1">
        <v>55685</v>
      </c>
      <c r="B458" t="s">
        <v>14</v>
      </c>
      <c r="C458">
        <v>103</v>
      </c>
      <c r="D458">
        <v>40786.541066327518</v>
      </c>
      <c r="F458">
        <v>28.437878815498856</v>
      </c>
      <c r="G458">
        <v>4.7717617865713891</v>
      </c>
      <c r="H458">
        <v>104251.4806126443</v>
      </c>
      <c r="I458">
        <v>88</v>
      </c>
      <c r="J458">
        <v>716.12006664072271</v>
      </c>
    </row>
    <row r="459" spans="1:10">
      <c r="A459" s="1">
        <v>55715</v>
      </c>
      <c r="B459" t="s">
        <v>10</v>
      </c>
      <c r="C459">
        <v>121</v>
      </c>
      <c r="E459">
        <v>32.037678704235532</v>
      </c>
      <c r="F459">
        <v>2.4513476484295489</v>
      </c>
      <c r="G459">
        <v>6.0492239032642621</v>
      </c>
      <c r="H459">
        <v>120539.72526639464</v>
      </c>
      <c r="I459">
        <v>95</v>
      </c>
      <c r="J459">
        <v>21.357530345237315</v>
      </c>
    </row>
    <row r="460" spans="1:10">
      <c r="A460" s="1">
        <v>55745</v>
      </c>
      <c r="B460" t="s">
        <v>13</v>
      </c>
      <c r="C460">
        <v>103</v>
      </c>
      <c r="D460">
        <v>33710.476860046532</v>
      </c>
      <c r="E460">
        <v>3.4867971215205364</v>
      </c>
      <c r="F460">
        <v>2.5327969954115863</v>
      </c>
      <c r="G460">
        <v>2.2029941887297184</v>
      </c>
      <c r="H460">
        <v>122118.00848714617</v>
      </c>
      <c r="I460">
        <v>93</v>
      </c>
      <c r="J460">
        <v>96.829341969770425</v>
      </c>
    </row>
    <row r="461" spans="1:10">
      <c r="A461" s="1">
        <v>55775</v>
      </c>
      <c r="B461" t="s">
        <v>13</v>
      </c>
      <c r="C461">
        <v>91</v>
      </c>
      <c r="D461">
        <v>31496.462902032461</v>
      </c>
      <c r="F461">
        <v>1.7415046652999306</v>
      </c>
      <c r="H461">
        <v>88721.050238835131</v>
      </c>
      <c r="I461">
        <v>95</v>
      </c>
      <c r="J461">
        <v>23.567047418731519</v>
      </c>
    </row>
    <row r="462" spans="1:10">
      <c r="A462" s="1">
        <v>55805</v>
      </c>
      <c r="B462" t="s">
        <v>12</v>
      </c>
      <c r="C462">
        <v>91</v>
      </c>
      <c r="D462">
        <v>36508.706446993994</v>
      </c>
      <c r="E462">
        <v>3.0951982400391769</v>
      </c>
      <c r="F462">
        <v>2.2695992857942326</v>
      </c>
      <c r="G462">
        <v>4.8685025721790947</v>
      </c>
      <c r="H462">
        <v>83675.655109160711</v>
      </c>
      <c r="I462">
        <v>93</v>
      </c>
      <c r="J462">
        <v>31.444956217872189</v>
      </c>
    </row>
    <row r="463" spans="1:10">
      <c r="A463" s="1">
        <v>55835</v>
      </c>
      <c r="B463" t="s">
        <v>11</v>
      </c>
      <c r="D463">
        <v>37807.555983634265</v>
      </c>
      <c r="E463">
        <v>3.7120305222320447</v>
      </c>
      <c r="F463">
        <v>1.5757668557316955</v>
      </c>
      <c r="G463">
        <v>7.166005333850137</v>
      </c>
      <c r="H463">
        <v>101562.86125939294</v>
      </c>
      <c r="I463">
        <v>81</v>
      </c>
      <c r="J463">
        <v>21.12116140208456</v>
      </c>
    </row>
    <row r="464" spans="1:10">
      <c r="A464" s="1">
        <v>55865</v>
      </c>
      <c r="B464" t="s">
        <v>14</v>
      </c>
      <c r="C464">
        <v>97</v>
      </c>
      <c r="D464">
        <v>30160.020745328835</v>
      </c>
      <c r="E464">
        <v>3.263080326464542</v>
      </c>
      <c r="F464">
        <v>3.3901984111247869</v>
      </c>
      <c r="G464">
        <v>5.0379738259445634</v>
      </c>
      <c r="H464">
        <v>117232.72248995888</v>
      </c>
      <c r="I464">
        <v>89</v>
      </c>
      <c r="J464">
        <v>65.348674663527575</v>
      </c>
    </row>
    <row r="465" spans="1:10">
      <c r="A465" s="1">
        <v>55895</v>
      </c>
      <c r="B465" t="s">
        <v>10</v>
      </c>
      <c r="C465">
        <v>106</v>
      </c>
      <c r="D465">
        <v>26232.910648269084</v>
      </c>
      <c r="E465">
        <v>3.4927738645608604</v>
      </c>
      <c r="G465">
        <v>5.9595867816891142</v>
      </c>
      <c r="H465">
        <v>102781.20797306835</v>
      </c>
      <c r="I465">
        <v>73</v>
      </c>
      <c r="J465">
        <v>94.581350713677779</v>
      </c>
    </row>
    <row r="466" spans="1:10">
      <c r="A466" s="1">
        <v>55925</v>
      </c>
      <c r="B466" t="s">
        <v>11</v>
      </c>
      <c r="C466">
        <v>110</v>
      </c>
      <c r="D466">
        <v>32299.860714695584</v>
      </c>
      <c r="F466">
        <v>0.65381213776190616</v>
      </c>
      <c r="G466">
        <v>56.695085681049555</v>
      </c>
      <c r="H466">
        <v>68460.070356180047</v>
      </c>
      <c r="I466">
        <v>860</v>
      </c>
      <c r="J466">
        <v>73.275773286437129</v>
      </c>
    </row>
    <row r="467" spans="1:10">
      <c r="A467" s="1">
        <v>55955</v>
      </c>
      <c r="B467" t="s">
        <v>13</v>
      </c>
      <c r="C467">
        <v>91</v>
      </c>
      <c r="D467">
        <v>26611.423151239469</v>
      </c>
      <c r="E467">
        <v>3.5032111349054689</v>
      </c>
      <c r="F467">
        <v>1.57048913980759</v>
      </c>
      <c r="G467">
        <v>2.9433202242313592</v>
      </c>
      <c r="H467">
        <v>83943.511120983152</v>
      </c>
      <c r="I467">
        <v>91</v>
      </c>
      <c r="J467">
        <v>85.812597478434185</v>
      </c>
    </row>
    <row r="468" spans="1:10">
      <c r="A468" s="1">
        <v>55985</v>
      </c>
      <c r="B468" t="s">
        <v>11</v>
      </c>
      <c r="C468">
        <v>103</v>
      </c>
      <c r="D468">
        <v>40066.936237633112</v>
      </c>
      <c r="E468">
        <v>3.2818070547367157</v>
      </c>
      <c r="F468">
        <v>1.0034707449099209</v>
      </c>
      <c r="G468">
        <v>6.4218486599580844</v>
      </c>
      <c r="H468">
        <v>98520.542728112443</v>
      </c>
      <c r="I468">
        <v>84</v>
      </c>
      <c r="J468">
        <v>21.062496276686407</v>
      </c>
    </row>
    <row r="469" spans="1:10">
      <c r="A469" s="1">
        <v>56015</v>
      </c>
      <c r="B469" t="s">
        <v>10</v>
      </c>
      <c r="C469">
        <v>84</v>
      </c>
      <c r="D469">
        <v>30682.676655413688</v>
      </c>
      <c r="E469">
        <v>3.4451950980370847</v>
      </c>
      <c r="F469">
        <v>1.8499760655931019</v>
      </c>
      <c r="G469">
        <v>5.7584758065475459</v>
      </c>
      <c r="H469">
        <v>98486.687913483402</v>
      </c>
      <c r="I469">
        <v>81</v>
      </c>
      <c r="J469">
        <v>63.361223878378084</v>
      </c>
    </row>
    <row r="470" spans="1:10">
      <c r="A470" s="1">
        <v>56045</v>
      </c>
      <c r="B470" t="s">
        <v>11</v>
      </c>
      <c r="C470">
        <v>93</v>
      </c>
      <c r="D470">
        <v>28173.392243439455</v>
      </c>
      <c r="E470">
        <v>3.4558185203973322</v>
      </c>
      <c r="F470">
        <v>2.4165620302096391</v>
      </c>
      <c r="G470">
        <v>6.1099223676095074</v>
      </c>
      <c r="H470">
        <v>139450.84353579616</v>
      </c>
      <c r="I470">
        <v>96</v>
      </c>
      <c r="J470">
        <v>56.765038200441751</v>
      </c>
    </row>
    <row r="471" spans="1:10">
      <c r="A471" s="1">
        <v>56075</v>
      </c>
      <c r="B471" t="s">
        <v>13</v>
      </c>
      <c r="C471">
        <v>113</v>
      </c>
      <c r="D471">
        <v>309234.01529324544</v>
      </c>
      <c r="E471">
        <v>3.3149944850589361</v>
      </c>
      <c r="F471">
        <v>1.0503547803014699</v>
      </c>
      <c r="G471">
        <v>10.211485247723591</v>
      </c>
      <c r="H471">
        <v>72280.24115202004</v>
      </c>
      <c r="I471">
        <v>86</v>
      </c>
      <c r="J471">
        <v>59.917435537663444</v>
      </c>
    </row>
    <row r="472" spans="1:10">
      <c r="A472" s="1">
        <v>56105</v>
      </c>
      <c r="B472" t="s">
        <v>11</v>
      </c>
      <c r="C472">
        <v>105</v>
      </c>
      <c r="D472">
        <v>23264.368552351516</v>
      </c>
      <c r="E472">
        <v>3.370601968666449</v>
      </c>
      <c r="F472">
        <v>1.5781401868746867</v>
      </c>
      <c r="G472">
        <v>29.990644726016939</v>
      </c>
      <c r="H472">
        <v>110111.78483671749</v>
      </c>
      <c r="I472">
        <v>99</v>
      </c>
      <c r="J472">
        <v>25.777054826815036</v>
      </c>
    </row>
    <row r="473" spans="1:10">
      <c r="A473" s="1">
        <v>56135</v>
      </c>
      <c r="B473" t="s">
        <v>14</v>
      </c>
      <c r="C473">
        <v>83</v>
      </c>
      <c r="D473">
        <v>25141.929807446744</v>
      </c>
      <c r="E473">
        <v>4.2993235852523588</v>
      </c>
      <c r="F473">
        <v>1.4960426279185015</v>
      </c>
      <c r="G473">
        <v>7.5696359797133299</v>
      </c>
      <c r="H473">
        <v>129782.26216656579</v>
      </c>
      <c r="I473">
        <v>72</v>
      </c>
      <c r="J473">
        <v>74.754828885544597</v>
      </c>
    </row>
    <row r="474" spans="1:10">
      <c r="A474" s="1">
        <v>56165</v>
      </c>
      <c r="B474" t="s">
        <v>11</v>
      </c>
      <c r="C474">
        <v>96</v>
      </c>
      <c r="D474">
        <v>36002.069539722128</v>
      </c>
      <c r="E474">
        <v>3.7804597239706195</v>
      </c>
      <c r="F474">
        <v>2.707267329398944</v>
      </c>
      <c r="G474">
        <v>5.1550629767195737</v>
      </c>
      <c r="H474">
        <v>145428.99490845593</v>
      </c>
      <c r="I474">
        <v>83</v>
      </c>
      <c r="J474">
        <v>60.257633188690754</v>
      </c>
    </row>
    <row r="475" spans="1:10">
      <c r="A475" s="1">
        <v>56195</v>
      </c>
      <c r="B475" t="s">
        <v>14</v>
      </c>
      <c r="C475">
        <v>107</v>
      </c>
      <c r="D475">
        <v>26715.528605143023</v>
      </c>
      <c r="E475">
        <v>3.3522598409854196</v>
      </c>
      <c r="F475">
        <v>2.5693443370362505</v>
      </c>
      <c r="G475">
        <v>5.8447946852836115</v>
      </c>
      <c r="H475">
        <v>91912.051536320767</v>
      </c>
      <c r="I475">
        <v>98</v>
      </c>
      <c r="J475">
        <v>81.211907988901118</v>
      </c>
    </row>
    <row r="476" spans="1:10">
      <c r="A476" s="1">
        <v>56225</v>
      </c>
      <c r="B476" t="s">
        <v>11</v>
      </c>
      <c r="C476">
        <v>83</v>
      </c>
      <c r="D476">
        <v>24765.445086590302</v>
      </c>
      <c r="E476">
        <v>3.8484772022553679</v>
      </c>
      <c r="F476">
        <v>1.7782624466627466</v>
      </c>
      <c r="G476">
        <v>5.4453853056385091</v>
      </c>
      <c r="H476">
        <v>109828.589054404</v>
      </c>
      <c r="I476">
        <v>101</v>
      </c>
      <c r="J476">
        <v>58.823250724937225</v>
      </c>
    </row>
    <row r="477" spans="1:10">
      <c r="A477" s="1">
        <v>56255</v>
      </c>
      <c r="B477" t="s">
        <v>13</v>
      </c>
      <c r="C477">
        <v>105</v>
      </c>
      <c r="D477">
        <v>32683.26376263643</v>
      </c>
      <c r="E477">
        <v>3.333090255121995</v>
      </c>
      <c r="F477">
        <v>2.6768208721393978</v>
      </c>
      <c r="G477">
        <v>4.990916399922348</v>
      </c>
      <c r="H477">
        <v>111395.20714397293</v>
      </c>
      <c r="I477">
        <v>950</v>
      </c>
      <c r="J477">
        <v>31.950530898114565</v>
      </c>
    </row>
    <row r="478" spans="1:10">
      <c r="A478" s="1">
        <v>56285</v>
      </c>
      <c r="B478" t="s">
        <v>12</v>
      </c>
      <c r="C478">
        <v>112</v>
      </c>
      <c r="D478">
        <v>35928.520773314987</v>
      </c>
      <c r="E478">
        <v>4.0865623187933204</v>
      </c>
      <c r="F478">
        <v>1.9533199154127345</v>
      </c>
      <c r="G478">
        <v>4.8162004861134893</v>
      </c>
      <c r="H478">
        <v>103909.63463106581</v>
      </c>
      <c r="I478">
        <v>71</v>
      </c>
      <c r="J478">
        <v>71.860556326225762</v>
      </c>
    </row>
    <row r="479" spans="1:10">
      <c r="A479" s="1">
        <v>56315</v>
      </c>
      <c r="B479" t="s">
        <v>12</v>
      </c>
      <c r="C479">
        <v>99</v>
      </c>
      <c r="D479">
        <v>33594.766553325331</v>
      </c>
      <c r="E479">
        <v>3.6848210960990468</v>
      </c>
      <c r="F479">
        <v>2.2283448896739468</v>
      </c>
      <c r="G479">
        <v>5.8954104826876108</v>
      </c>
      <c r="H479">
        <v>98023.095975213873</v>
      </c>
      <c r="I479">
        <v>85</v>
      </c>
      <c r="J479">
        <v>33.790908968413298</v>
      </c>
    </row>
    <row r="480" spans="1:10">
      <c r="A480" s="1">
        <v>56345</v>
      </c>
      <c r="B480" t="s">
        <v>14</v>
      </c>
      <c r="C480">
        <v>111</v>
      </c>
      <c r="D480">
        <v>34980.238429029079</v>
      </c>
      <c r="E480">
        <v>3.4463489279978856</v>
      </c>
      <c r="F480">
        <v>4.1734520902985368</v>
      </c>
      <c r="G480">
        <v>3.6793915639939851</v>
      </c>
      <c r="H480">
        <v>108719.50779000092</v>
      </c>
      <c r="I480">
        <v>98</v>
      </c>
      <c r="J480">
        <v>89.791565068385196</v>
      </c>
    </row>
    <row r="481" spans="1:10">
      <c r="A481" s="1">
        <v>56375</v>
      </c>
      <c r="B481" t="s">
        <v>14</v>
      </c>
      <c r="C481">
        <v>105</v>
      </c>
      <c r="D481">
        <v>26216.024557152698</v>
      </c>
      <c r="E481">
        <v>3.723858462905139</v>
      </c>
      <c r="F481">
        <v>3.8404610517903479</v>
      </c>
      <c r="G481">
        <v>6.4006950010261185</v>
      </c>
      <c r="H481">
        <v>49355.07829560629</v>
      </c>
      <c r="I481">
        <v>100</v>
      </c>
      <c r="J481">
        <v>69.049299125539321</v>
      </c>
    </row>
    <row r="482" spans="1:10">
      <c r="A482" s="1">
        <v>56405</v>
      </c>
      <c r="B482" t="s">
        <v>12</v>
      </c>
      <c r="C482">
        <v>93</v>
      </c>
      <c r="D482">
        <v>22890.94666629078</v>
      </c>
      <c r="E482">
        <v>2.7145619239657504</v>
      </c>
      <c r="F482">
        <v>1.2004187630724024</v>
      </c>
      <c r="G482">
        <v>5.0005667141376957</v>
      </c>
      <c r="H482">
        <v>113641.38980125263</v>
      </c>
      <c r="I482">
        <v>88</v>
      </c>
      <c r="J482">
        <v>32.57631068455634</v>
      </c>
    </row>
    <row r="483" spans="1:10">
      <c r="A483" s="1">
        <v>56435</v>
      </c>
      <c r="B483" t="s">
        <v>13</v>
      </c>
      <c r="C483">
        <v>109</v>
      </c>
      <c r="D483">
        <v>37506.668259777434</v>
      </c>
      <c r="E483">
        <v>2.9366162655450974</v>
      </c>
      <c r="F483">
        <v>3.3297324178791747</v>
      </c>
      <c r="G483">
        <v>4.143916793151571</v>
      </c>
      <c r="H483">
        <v>102523.55807323934</v>
      </c>
      <c r="I483">
        <v>82</v>
      </c>
      <c r="J483">
        <v>96.987044598496539</v>
      </c>
    </row>
    <row r="484" spans="1:10">
      <c r="A484" s="1">
        <v>56465</v>
      </c>
      <c r="B484" t="s">
        <v>13</v>
      </c>
      <c r="C484">
        <v>106</v>
      </c>
      <c r="D484">
        <v>28386.60080578932</v>
      </c>
      <c r="E484">
        <v>2.9030374968004722</v>
      </c>
      <c r="F484">
        <v>33.113965544915921</v>
      </c>
      <c r="G484">
        <v>4.9599845704050232</v>
      </c>
      <c r="H484">
        <v>95550.502064434695</v>
      </c>
      <c r="I484">
        <v>930</v>
      </c>
      <c r="J484">
        <v>61.469237066825649</v>
      </c>
    </row>
    <row r="485" spans="1:10">
      <c r="A485" s="1">
        <v>56495</v>
      </c>
      <c r="B485" t="s">
        <v>11</v>
      </c>
      <c r="C485">
        <v>106</v>
      </c>
      <c r="D485">
        <v>28745.834917724762</v>
      </c>
      <c r="E485">
        <v>3.5714715473818535</v>
      </c>
      <c r="F485">
        <v>1.3517367112473817</v>
      </c>
      <c r="G485">
        <v>7.0085790602350873</v>
      </c>
      <c r="H485">
        <v>140937.24391439115</v>
      </c>
      <c r="I485">
        <v>79</v>
      </c>
      <c r="J485">
        <v>25.831876149732402</v>
      </c>
    </row>
    <row r="486" spans="1:10">
      <c r="A486" s="1">
        <v>56525</v>
      </c>
      <c r="B486" t="s">
        <v>14</v>
      </c>
      <c r="C486">
        <v>103</v>
      </c>
      <c r="D486">
        <v>36640.970709245288</v>
      </c>
      <c r="E486">
        <v>4.3662574997425461</v>
      </c>
      <c r="G486">
        <v>4.8575978955805326</v>
      </c>
      <c r="H486">
        <v>86501.319624188953</v>
      </c>
      <c r="I486">
        <v>92</v>
      </c>
      <c r="J486">
        <v>70.146632353205376</v>
      </c>
    </row>
    <row r="487" spans="1:10">
      <c r="A487" s="1">
        <v>56555</v>
      </c>
      <c r="B487" t="s">
        <v>13</v>
      </c>
      <c r="C487">
        <v>113</v>
      </c>
      <c r="D487">
        <v>32781.150047003299</v>
      </c>
      <c r="E487">
        <v>4.6156500730963161</v>
      </c>
      <c r="F487">
        <v>4.0379319184125526</v>
      </c>
      <c r="G487">
        <v>5.9301443418515447</v>
      </c>
      <c r="H487">
        <v>91938.480218699391</v>
      </c>
      <c r="J487">
        <v>40.255912561024815</v>
      </c>
    </row>
    <row r="488" spans="1:10">
      <c r="A488" s="1">
        <v>56585</v>
      </c>
      <c r="B488" t="s">
        <v>10</v>
      </c>
      <c r="C488">
        <v>111</v>
      </c>
      <c r="D488">
        <v>322794.38860408036</v>
      </c>
      <c r="E488">
        <v>3.8190255507203785</v>
      </c>
      <c r="F488">
        <v>1.3774551937555861</v>
      </c>
      <c r="G488">
        <v>4.6228524691414323</v>
      </c>
      <c r="H488">
        <v>1398310.6604409469</v>
      </c>
      <c r="I488">
        <v>92</v>
      </c>
      <c r="J488">
        <v>84.2954761501842</v>
      </c>
    </row>
    <row r="489" spans="1:10">
      <c r="A489" s="1">
        <v>56615</v>
      </c>
      <c r="B489" t="s">
        <v>11</v>
      </c>
      <c r="D489">
        <v>40825.011724505421</v>
      </c>
      <c r="E489">
        <v>3.7504222374722285</v>
      </c>
      <c r="F489">
        <v>1.5824971789857365</v>
      </c>
      <c r="G489">
        <v>6.4095062199083435</v>
      </c>
      <c r="I489">
        <v>92</v>
      </c>
      <c r="J489">
        <v>85.425765885295249</v>
      </c>
    </row>
    <row r="490" spans="1:10">
      <c r="A490" s="1">
        <v>56645</v>
      </c>
      <c r="B490" t="s">
        <v>11</v>
      </c>
      <c r="C490">
        <v>89</v>
      </c>
      <c r="D490">
        <v>26782.408848099287</v>
      </c>
      <c r="E490">
        <v>2.5994711329236306</v>
      </c>
      <c r="F490">
        <v>3.5176614668435024</v>
      </c>
      <c r="H490">
        <v>88997.69434126922</v>
      </c>
      <c r="I490">
        <v>90</v>
      </c>
      <c r="J490">
        <v>98.315788468372943</v>
      </c>
    </row>
    <row r="491" spans="1:10">
      <c r="A491" s="1">
        <v>56675</v>
      </c>
      <c r="B491" t="s">
        <v>12</v>
      </c>
      <c r="C491">
        <v>111</v>
      </c>
      <c r="D491">
        <v>34639.200640406183</v>
      </c>
      <c r="E491">
        <v>3.2286631001329891</v>
      </c>
      <c r="F491">
        <v>2.7714953108256482</v>
      </c>
      <c r="G491">
        <v>7.7183305999556939</v>
      </c>
      <c r="H491">
        <v>97059.491531382999</v>
      </c>
      <c r="I491">
        <v>82</v>
      </c>
      <c r="J491">
        <v>60.149562481960295</v>
      </c>
    </row>
    <row r="492" spans="1:10">
      <c r="A492" s="1">
        <v>56705</v>
      </c>
      <c r="B492" t="s">
        <v>14</v>
      </c>
      <c r="C492">
        <v>104</v>
      </c>
      <c r="E492">
        <v>3.1061081240458805</v>
      </c>
      <c r="F492">
        <v>3.0514762752395233</v>
      </c>
      <c r="G492">
        <v>5.2893232654009417</v>
      </c>
      <c r="H492">
        <v>1168146.8964259098</v>
      </c>
      <c r="I492">
        <v>850</v>
      </c>
      <c r="J492">
        <v>56.396550378218969</v>
      </c>
    </row>
    <row r="493" spans="1:10">
      <c r="A493" s="1">
        <v>56735</v>
      </c>
      <c r="B493" t="s">
        <v>13</v>
      </c>
      <c r="D493">
        <v>31342.961394316284</v>
      </c>
      <c r="E493">
        <v>3.1895762008744422</v>
      </c>
      <c r="F493">
        <v>2.8405892164004967</v>
      </c>
      <c r="G493">
        <v>6.3023857657094879</v>
      </c>
      <c r="H493">
        <v>104156.05014706627</v>
      </c>
      <c r="I493">
        <v>90</v>
      </c>
      <c r="J493">
        <v>802.78048435718449</v>
      </c>
    </row>
    <row r="494" spans="1:10">
      <c r="A494" s="1">
        <v>56765</v>
      </c>
      <c r="B494" t="s">
        <v>13</v>
      </c>
      <c r="C494">
        <v>109</v>
      </c>
      <c r="D494">
        <v>37642.342132062658</v>
      </c>
      <c r="E494">
        <v>3.4159280907076051</v>
      </c>
      <c r="F494">
        <v>2.890695920928144</v>
      </c>
      <c r="G494">
        <v>5.6176810474467338</v>
      </c>
      <c r="H494">
        <v>74147.493056954743</v>
      </c>
      <c r="I494">
        <v>83</v>
      </c>
      <c r="J494">
        <v>30.597652507354127</v>
      </c>
    </row>
    <row r="495" spans="1:10">
      <c r="A495" s="1">
        <v>56795</v>
      </c>
      <c r="B495" t="s">
        <v>11</v>
      </c>
      <c r="C495">
        <v>108</v>
      </c>
      <c r="D495">
        <v>32539.178781448118</v>
      </c>
      <c r="E495">
        <v>3.2639547111514364</v>
      </c>
      <c r="F495">
        <v>1.173527871688917</v>
      </c>
      <c r="G495">
        <v>7.0550461382356175</v>
      </c>
      <c r="H495">
        <v>89356.628737456209</v>
      </c>
      <c r="J495">
        <v>63.753241103449938</v>
      </c>
    </row>
    <row r="496" spans="1:10">
      <c r="A496" s="1">
        <v>56825</v>
      </c>
      <c r="B496" t="s">
        <v>14</v>
      </c>
      <c r="C496">
        <v>127</v>
      </c>
      <c r="D496">
        <v>32691.480395248163</v>
      </c>
      <c r="E496">
        <v>2.510350094812106</v>
      </c>
      <c r="F496">
        <v>3.5473177066214481</v>
      </c>
      <c r="G496">
        <v>4.6374011348695232</v>
      </c>
      <c r="H496">
        <v>87852.91133575578</v>
      </c>
      <c r="I496">
        <v>102</v>
      </c>
      <c r="J496">
        <v>63.699808010468075</v>
      </c>
    </row>
    <row r="497" spans="1:10">
      <c r="A497" s="1">
        <v>56855</v>
      </c>
      <c r="B497" t="s">
        <v>14</v>
      </c>
      <c r="C497">
        <v>104</v>
      </c>
      <c r="D497">
        <v>35362.536686549014</v>
      </c>
      <c r="E497">
        <v>3.8739551280587667</v>
      </c>
      <c r="F497">
        <v>3.6695899924277735</v>
      </c>
      <c r="G497">
        <v>6.3940063754527374</v>
      </c>
      <c r="H497">
        <v>98455.579095539084</v>
      </c>
      <c r="I497">
        <v>76</v>
      </c>
      <c r="J497">
        <v>27.157849824830976</v>
      </c>
    </row>
    <row r="498" spans="1:10">
      <c r="A498" s="1">
        <v>56885</v>
      </c>
      <c r="B498" t="s">
        <v>14</v>
      </c>
      <c r="C498">
        <v>106</v>
      </c>
      <c r="D498">
        <v>28175.236352285574</v>
      </c>
      <c r="E498">
        <v>2.9636284871300966</v>
      </c>
      <c r="F498">
        <v>2.2706092559319724</v>
      </c>
      <c r="G498">
        <v>5.2663632446599822</v>
      </c>
      <c r="H498">
        <v>108516.87317259658</v>
      </c>
      <c r="I498">
        <v>99</v>
      </c>
      <c r="J498">
        <v>53.438726840553088</v>
      </c>
    </row>
    <row r="499" spans="1:10">
      <c r="A499" s="1">
        <v>56915</v>
      </c>
      <c r="B499" t="s">
        <v>12</v>
      </c>
      <c r="C499">
        <v>94</v>
      </c>
      <c r="D499">
        <v>25803.951663304968</v>
      </c>
      <c r="E499">
        <v>3.6196234320555747</v>
      </c>
      <c r="F499">
        <v>2.4565230501861377</v>
      </c>
      <c r="G499">
        <v>5.4229741874698023</v>
      </c>
      <c r="H499">
        <v>108364.11511775944</v>
      </c>
      <c r="I499">
        <v>77</v>
      </c>
      <c r="J499">
        <v>88.262783885376152</v>
      </c>
    </row>
    <row r="500" spans="1:10">
      <c r="A500" s="1">
        <v>56945</v>
      </c>
      <c r="B500" t="s">
        <v>13</v>
      </c>
      <c r="C500">
        <v>81</v>
      </c>
      <c r="D500">
        <v>24775.954029894834</v>
      </c>
      <c r="E500">
        <v>4.5370413348749867</v>
      </c>
      <c r="F500">
        <v>0.96889249744427786</v>
      </c>
      <c r="G500">
        <v>5.6101029813380476</v>
      </c>
      <c r="H500">
        <v>64479.764919031957</v>
      </c>
      <c r="I500">
        <v>101</v>
      </c>
      <c r="J500">
        <v>88.492289759572827</v>
      </c>
    </row>
    <row r="501" spans="1:10">
      <c r="A501" s="1">
        <v>56975</v>
      </c>
      <c r="B501" t="s">
        <v>14</v>
      </c>
      <c r="C501">
        <v>95</v>
      </c>
      <c r="D501">
        <v>20168.217053119992</v>
      </c>
      <c r="E501">
        <v>3.0403077042067883</v>
      </c>
      <c r="F501">
        <v>3.0142547560178348</v>
      </c>
      <c r="G501">
        <v>5.8026884757120127</v>
      </c>
      <c r="H501">
        <v>121278.81975121712</v>
      </c>
      <c r="I501">
        <v>94</v>
      </c>
      <c r="J501">
        <v>27.939013193574482</v>
      </c>
    </row>
  </sheetData>
  <conditionalFormatting sqref="A1:J501">
    <cfRule type="containsBlanks" dxfId="210" priority="1">
      <formula>LEN(TRIM(A1))=0</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88D88-14EA-49F8-89F5-9A0122F69AED}">
  <sheetPr codeName="Sheet3"/>
  <dimension ref="A1:R501"/>
  <sheetViews>
    <sheetView topLeftCell="A11" workbookViewId="0">
      <selection activeCell="J24" sqref="J24"/>
    </sheetView>
  </sheetViews>
  <sheetFormatPr defaultRowHeight="14.4"/>
  <cols>
    <col min="1" max="1" width="10.33203125" bestFit="1" customWidth="1"/>
    <col min="2" max="2" width="14.44140625" bestFit="1" customWidth="1"/>
    <col min="3" max="3" width="12.21875" bestFit="1" customWidth="1"/>
    <col min="4" max="4" width="15.33203125" bestFit="1" customWidth="1"/>
    <col min="5" max="5" width="12" bestFit="1" customWidth="1"/>
    <col min="6" max="6" width="18.88671875" bestFit="1" customWidth="1"/>
    <col min="7" max="7" width="21.44140625" bestFit="1" customWidth="1"/>
    <col min="8" max="8" width="18.33203125" bestFit="1" customWidth="1"/>
    <col min="9" max="9" width="18.109375" bestFit="1" customWidth="1"/>
    <col min="10" max="10" width="22" bestFit="1" customWidth="1"/>
    <col min="11" max="11" width="13.88671875" bestFit="1" customWidth="1"/>
    <col min="13" max="13" width="20.44140625" bestFit="1" customWidth="1"/>
  </cols>
  <sheetData>
    <row r="1" spans="1:18">
      <c r="A1" t="s">
        <v>0</v>
      </c>
      <c r="B1" t="s">
        <v>1</v>
      </c>
      <c r="C1" t="s">
        <v>2</v>
      </c>
      <c r="D1" t="s">
        <v>3</v>
      </c>
      <c r="E1" t="s">
        <v>4</v>
      </c>
      <c r="F1" t="s">
        <v>5</v>
      </c>
      <c r="G1" t="s">
        <v>6</v>
      </c>
      <c r="H1" t="s">
        <v>7</v>
      </c>
      <c r="I1" t="s">
        <v>8</v>
      </c>
      <c r="J1" t="s">
        <v>9</v>
      </c>
      <c r="K1" t="s">
        <v>15</v>
      </c>
      <c r="L1" t="s">
        <v>303</v>
      </c>
    </row>
    <row r="2" spans="1:18">
      <c r="A2" s="1">
        <v>42005</v>
      </c>
      <c r="B2" t="s">
        <v>10</v>
      </c>
      <c r="C2">
        <v>96</v>
      </c>
      <c r="D2">
        <v>27205.390763642059</v>
      </c>
      <c r="E2">
        <v>4.5281035649701611</v>
      </c>
      <c r="F2">
        <v>-3.02875227463297E-2</v>
      </c>
      <c r="G2">
        <v>6.1864689300569733</v>
      </c>
      <c r="H2">
        <v>97675.419137560835</v>
      </c>
      <c r="I2">
        <v>99</v>
      </c>
      <c r="J2">
        <v>62.296585590724206</v>
      </c>
      <c r="K2" t="str">
        <f t="shared" ref="K2:K65" si="0">IF(COUNTA(A2:J2)&lt;COLUMNS(A2:J2), "Missing Data", "OK")</f>
        <v>OK</v>
      </c>
      <c r="M2" s="32" t="s">
        <v>23</v>
      </c>
      <c r="N2" s="32"/>
      <c r="O2" s="32"/>
    </row>
    <row r="3" spans="1:18">
      <c r="A3" s="1">
        <v>42035</v>
      </c>
      <c r="B3" t="s">
        <v>10</v>
      </c>
      <c r="C3">
        <v>107</v>
      </c>
      <c r="D3">
        <v>31886.059375322606</v>
      </c>
      <c r="E3">
        <v>2.9483958171391587</v>
      </c>
      <c r="F3">
        <v>2.2139957781198891</v>
      </c>
      <c r="G3">
        <v>5.4253707796008266</v>
      </c>
      <c r="H3">
        <v>104294.26366341053</v>
      </c>
      <c r="I3">
        <v>100</v>
      </c>
      <c r="J3">
        <v>22.750148668138017</v>
      </c>
      <c r="K3" t="str">
        <f t="shared" si="0"/>
        <v>OK</v>
      </c>
      <c r="M3" s="32">
        <f>AVERAGE(automotive_demand_forecasting_dataset[Units_Sold])</f>
        <v>128.02105263000001</v>
      </c>
      <c r="N3" s="32"/>
      <c r="O3" s="32"/>
      <c r="Q3" s="13" t="s">
        <v>119</v>
      </c>
      <c r="R3" s="13"/>
    </row>
    <row r="4" spans="1:18">
      <c r="A4" s="1">
        <v>42065</v>
      </c>
      <c r="B4" t="s">
        <v>11</v>
      </c>
      <c r="C4">
        <v>88</v>
      </c>
      <c r="D4">
        <v>38106.295579999998</v>
      </c>
      <c r="E4">
        <v>3.3893731882071139</v>
      </c>
      <c r="F4">
        <v>3.6009596349985711</v>
      </c>
      <c r="G4">
        <v>6.8492240318446029</v>
      </c>
      <c r="H4">
        <v>131562.36115124368</v>
      </c>
      <c r="I4">
        <v>98</v>
      </c>
      <c r="J4">
        <v>71.117041757862765</v>
      </c>
      <c r="K4" t="str">
        <f t="shared" si="0"/>
        <v>OK</v>
      </c>
      <c r="M4" s="32" t="s">
        <v>22</v>
      </c>
      <c r="N4" s="32"/>
      <c r="O4" s="32"/>
    </row>
    <row r="5" spans="1:18">
      <c r="A5" s="1">
        <v>42095</v>
      </c>
      <c r="B5" t="s">
        <v>12</v>
      </c>
      <c r="C5">
        <v>103</v>
      </c>
      <c r="D5">
        <v>29671.248694635062</v>
      </c>
      <c r="E5">
        <v>3.3615933500555397</v>
      </c>
      <c r="F5">
        <v>44.583474542205934</v>
      </c>
      <c r="G5">
        <v>5.0991073228240715</v>
      </c>
      <c r="H5">
        <v>119708.99371230436</v>
      </c>
      <c r="I5">
        <v>88</v>
      </c>
      <c r="J5">
        <v>26.515777031292735</v>
      </c>
      <c r="K5" t="str">
        <f t="shared" si="0"/>
        <v>OK</v>
      </c>
      <c r="M5" s="32">
        <f>AVERAGE(automotive_demand_forecasting_dataset[Average_Price])</f>
        <v>38106.295580756414</v>
      </c>
      <c r="N5" s="32"/>
      <c r="O5" s="32"/>
    </row>
    <row r="6" spans="1:18">
      <c r="A6" s="1">
        <v>42125</v>
      </c>
      <c r="B6" t="s">
        <v>12</v>
      </c>
      <c r="C6">
        <v>111</v>
      </c>
      <c r="D6">
        <v>27224.002366534009</v>
      </c>
      <c r="E6">
        <v>3.6537033489045503</v>
      </c>
      <c r="F6">
        <v>1.2704504055475832</v>
      </c>
      <c r="G6">
        <v>6.1775271110723207</v>
      </c>
      <c r="H6">
        <v>117383.09184993793</v>
      </c>
      <c r="I6">
        <v>91</v>
      </c>
      <c r="J6">
        <v>54.801167547217872</v>
      </c>
      <c r="K6" t="str">
        <f t="shared" si="0"/>
        <v>OK</v>
      </c>
      <c r="M6" s="32" t="s">
        <v>21</v>
      </c>
      <c r="N6" s="32"/>
      <c r="O6" s="32"/>
    </row>
    <row r="7" spans="1:18">
      <c r="A7" s="1">
        <v>42155</v>
      </c>
      <c r="B7" t="s">
        <v>12</v>
      </c>
      <c r="C7">
        <v>90</v>
      </c>
      <c r="D7">
        <v>39405.785347202953</v>
      </c>
      <c r="E7">
        <v>3.9078686062696484</v>
      </c>
      <c r="F7">
        <v>2.9966992232365217</v>
      </c>
      <c r="G7">
        <v>4.2764027935694617</v>
      </c>
      <c r="H7">
        <v>90889.209479522586</v>
      </c>
      <c r="I7">
        <v>82</v>
      </c>
      <c r="J7">
        <v>43.412407813392626</v>
      </c>
      <c r="K7" t="str">
        <f t="shared" si="0"/>
        <v>OK</v>
      </c>
      <c r="M7" s="32">
        <f>AVERAGE(automotive_demand_forecasting_dataset[Fuel_Price])</f>
        <v>4.5778345191199978</v>
      </c>
      <c r="N7" s="32"/>
      <c r="O7" s="32"/>
    </row>
    <row r="8" spans="1:18">
      <c r="A8" s="1">
        <v>42185</v>
      </c>
      <c r="B8" t="s">
        <v>10</v>
      </c>
      <c r="C8">
        <v>94</v>
      </c>
      <c r="D8">
        <v>22759.93049791878</v>
      </c>
      <c r="E8">
        <v>3.9302367441798727</v>
      </c>
      <c r="F8">
        <v>2.0346895432199466</v>
      </c>
      <c r="G8">
        <v>5.471737418950914</v>
      </c>
      <c r="H8">
        <v>82215.183435433515</v>
      </c>
      <c r="I8">
        <v>92</v>
      </c>
      <c r="J8">
        <v>636.34236016937041</v>
      </c>
      <c r="K8" t="str">
        <f t="shared" si="0"/>
        <v>OK</v>
      </c>
      <c r="M8" s="32" t="s">
        <v>20</v>
      </c>
      <c r="N8" s="32"/>
      <c r="O8" s="32"/>
    </row>
    <row r="9" spans="1:18">
      <c r="A9" s="1">
        <v>42215</v>
      </c>
      <c r="B9" t="s">
        <v>13</v>
      </c>
      <c r="C9">
        <v>98</v>
      </c>
      <c r="D9">
        <v>19005.97021689959</v>
      </c>
      <c r="E9">
        <v>3.2084612807155306</v>
      </c>
      <c r="F9">
        <v>2.3940516456958645</v>
      </c>
      <c r="G9">
        <v>5.2907748905165972</v>
      </c>
      <c r="H9">
        <v>119106.01116475507</v>
      </c>
      <c r="I9">
        <v>71</v>
      </c>
      <c r="J9">
        <v>30.673306841856565</v>
      </c>
      <c r="K9" t="str">
        <f t="shared" si="0"/>
        <v>OK</v>
      </c>
      <c r="M9" s="32">
        <f>AVERAGE(automotive_demand_forecasting_dataset[GDP_Growth_Rate])</f>
        <v>3.2241083728188129</v>
      </c>
      <c r="N9" s="32"/>
      <c r="O9" s="32"/>
    </row>
    <row r="10" spans="1:18">
      <c r="A10" s="1">
        <v>42245</v>
      </c>
      <c r="B10" t="s">
        <v>10</v>
      </c>
      <c r="C10">
        <v>103</v>
      </c>
      <c r="D10">
        <v>32200.072250266661</v>
      </c>
      <c r="E10">
        <v>3.4164391431067944</v>
      </c>
      <c r="F10">
        <v>5.1443433470170348</v>
      </c>
      <c r="G10">
        <v>5.7703695064491303</v>
      </c>
      <c r="H10">
        <v>117520.93585059588</v>
      </c>
      <c r="I10">
        <v>98</v>
      </c>
      <c r="J10">
        <v>75.331472157865448</v>
      </c>
      <c r="K10" t="str">
        <f t="shared" si="0"/>
        <v>OK</v>
      </c>
      <c r="M10" s="32" t="s">
        <v>19</v>
      </c>
      <c r="N10" s="32"/>
      <c r="O10" s="32"/>
    </row>
    <row r="11" spans="1:18">
      <c r="A11" s="1">
        <v>42275</v>
      </c>
      <c r="B11" t="s">
        <v>13</v>
      </c>
      <c r="C11">
        <v>94</v>
      </c>
      <c r="D11">
        <v>27489.728878236943</v>
      </c>
      <c r="E11">
        <v>3.6412899752441499</v>
      </c>
      <c r="F11">
        <v>0.99702967160484679</v>
      </c>
      <c r="G11">
        <v>5.0565676853999699</v>
      </c>
      <c r="H11">
        <f>128897.2893</f>
        <v>128897.2893</v>
      </c>
      <c r="I11">
        <v>82</v>
      </c>
      <c r="J11">
        <v>83.600922954277621</v>
      </c>
      <c r="K11" t="str">
        <f t="shared" si="0"/>
        <v>OK</v>
      </c>
      <c r="M11" s="32">
        <f>AVERAGE(automotive_demand_forecasting_dataset[Unemployment_Rate])</f>
        <v>6.9738867297604941</v>
      </c>
      <c r="N11" s="32"/>
      <c r="O11" s="32"/>
    </row>
    <row r="12" spans="1:18">
      <c r="A12" s="1">
        <v>42305</v>
      </c>
      <c r="B12" t="s">
        <v>14</v>
      </c>
      <c r="C12">
        <v>99</v>
      </c>
      <c r="D12">
        <v>24893.835914346433</v>
      </c>
      <c r="E12">
        <v>3.3756544369082264</v>
      </c>
      <c r="F12">
        <v>27.537396614945735</v>
      </c>
      <c r="G12">
        <v>5.3422328851939991</v>
      </c>
      <c r="H12">
        <v>87920.387480615405</v>
      </c>
      <c r="I12">
        <f>111.9136842</f>
        <v>111.91368420000001</v>
      </c>
      <c r="J12">
        <v>33.068355979452519</v>
      </c>
      <c r="K12" t="str">
        <f t="shared" si="0"/>
        <v>OK</v>
      </c>
      <c r="M12" s="32" t="s">
        <v>18</v>
      </c>
      <c r="N12" s="32"/>
      <c r="O12" s="32"/>
    </row>
    <row r="13" spans="1:18">
      <c r="A13" s="1">
        <v>42335</v>
      </c>
      <c r="B13" t="s">
        <v>10</v>
      </c>
      <c r="C13">
        <v>90</v>
      </c>
      <c r="D13">
        <v>33541.782236496765</v>
      </c>
      <c r="E13">
        <v>4.3036727880099965</v>
      </c>
      <c r="F13">
        <v>2.9676931717654331</v>
      </c>
      <c r="G13">
        <v>6.4912566057298076</v>
      </c>
      <c r="H13">
        <v>95409.026892793059</v>
      </c>
      <c r="I13">
        <v>79</v>
      </c>
      <c r="J13">
        <v>28.345046988150571</v>
      </c>
      <c r="K13" t="str">
        <f t="shared" si="0"/>
        <v>OK</v>
      </c>
      <c r="M13" s="32">
        <f>AVERAGE(automotive_demand_forecasting_dataset[Marketing_Spend])</f>
        <v>128897.28932868117</v>
      </c>
      <c r="N13" s="32"/>
      <c r="O13" s="32"/>
    </row>
    <row r="14" spans="1:18">
      <c r="A14" s="1">
        <v>42365</v>
      </c>
      <c r="B14" t="s">
        <v>10</v>
      </c>
      <c r="C14">
        <v>1030</v>
      </c>
      <c r="D14">
        <v>31219.003568855995</v>
      </c>
      <c r="E14">
        <v>3.7454874758191257</v>
      </c>
      <c r="F14">
        <v>3.5857863249393471</v>
      </c>
      <c r="G14">
        <v>4.9758829153141395</v>
      </c>
      <c r="H14">
        <v>67210.316749491321</v>
      </c>
      <c r="I14">
        <v>81</v>
      </c>
      <c r="J14">
        <v>31.64123862298873</v>
      </c>
      <c r="K14" t="str">
        <f t="shared" si="0"/>
        <v>OK</v>
      </c>
      <c r="M14" s="32" t="s">
        <v>17</v>
      </c>
      <c r="N14" s="32"/>
      <c r="O14" s="32"/>
    </row>
    <row r="15" spans="1:18">
      <c r="A15" s="1">
        <v>42395</v>
      </c>
      <c r="B15" t="s">
        <v>10</v>
      </c>
      <c r="C15">
        <v>103</v>
      </c>
      <c r="D15">
        <v>27179.606846316357</v>
      </c>
      <c r="E15">
        <v>3.8674388930249086</v>
      </c>
      <c r="F15">
        <v>2.5979831534708953</v>
      </c>
      <c r="G15">
        <v>35.721074791135848</v>
      </c>
      <c r="H15">
        <v>92150.57787878254</v>
      </c>
      <c r="I15">
        <v>690</v>
      </c>
      <c r="J15">
        <v>90.170204951880137</v>
      </c>
      <c r="K15" t="str">
        <f t="shared" si="0"/>
        <v>OK</v>
      </c>
      <c r="M15" s="32">
        <f>AVERAGE(automotive_demand_forecasting_dataset[Competitor_Sales])</f>
        <v>111.91368421000004</v>
      </c>
      <c r="N15" s="32"/>
      <c r="O15" s="32"/>
    </row>
    <row r="16" spans="1:18">
      <c r="A16" s="1">
        <v>42425</v>
      </c>
      <c r="B16" t="s">
        <v>12</v>
      </c>
      <c r="C16">
        <v>94</v>
      </c>
      <c r="D16">
        <v>23598.478006645528</v>
      </c>
      <c r="E16">
        <v>3.8314406343337062</v>
      </c>
      <c r="F16">
        <v>2.8080505395041024</v>
      </c>
      <c r="G16">
        <f>6.97388673</f>
        <v>6.9738867300000003</v>
      </c>
      <c r="H16">
        <v>119931.41021158894</v>
      </c>
      <c r="I16">
        <v>90</v>
      </c>
      <c r="J16">
        <v>62.255140940508497</v>
      </c>
      <c r="K16" t="str">
        <f t="shared" si="0"/>
        <v>OK</v>
      </c>
      <c r="M16" s="32" t="s">
        <v>16</v>
      </c>
      <c r="N16" s="32"/>
      <c r="O16" s="32"/>
    </row>
    <row r="17" spans="1:15">
      <c r="A17" s="1">
        <v>42455</v>
      </c>
      <c r="B17" t="s">
        <v>12</v>
      </c>
      <c r="C17">
        <v>105</v>
      </c>
      <c r="D17">
        <v>34362.286641400722</v>
      </c>
      <c r="E17">
        <v>4.0867369287426625</v>
      </c>
      <c r="F17">
        <v>2.1083514325782087</v>
      </c>
      <c r="G17">
        <v>7.1577448944285837</v>
      </c>
      <c r="H17">
        <v>906700.92415436043</v>
      </c>
      <c r="I17">
        <v>87</v>
      </c>
      <c r="J17">
        <v>57.380879680600209</v>
      </c>
      <c r="K17" t="str">
        <f t="shared" si="0"/>
        <v>OK</v>
      </c>
      <c r="M17" s="32">
        <f>AVERAGE(automotive_demand_forecasting_dataset[Online_Interest_Index])</f>
        <v>80.317830101293907</v>
      </c>
      <c r="N17" s="32"/>
      <c r="O17" s="32"/>
    </row>
    <row r="18" spans="1:15">
      <c r="A18" s="1">
        <v>42485</v>
      </c>
      <c r="B18" t="s">
        <v>13</v>
      </c>
      <c r="C18">
        <v>86</v>
      </c>
      <c r="D18">
        <v>33251.005889793305</v>
      </c>
      <c r="E18">
        <v>3.5905107793518534</v>
      </c>
      <c r="F18">
        <v>2.7691269412451072</v>
      </c>
      <c r="G18">
        <v>3.9492847658732577</v>
      </c>
      <c r="H18">
        <v>112809.59590401647</v>
      </c>
      <c r="I18">
        <v>78</v>
      </c>
      <c r="J18">
        <v>28.53694552818834</v>
      </c>
      <c r="K18" t="str">
        <f t="shared" si="0"/>
        <v>OK</v>
      </c>
      <c r="M18" s="32"/>
      <c r="N18" s="32"/>
      <c r="O18" s="32"/>
    </row>
    <row r="19" spans="1:15">
      <c r="A19" s="1">
        <v>42515</v>
      </c>
      <c r="B19" t="s">
        <v>13</v>
      </c>
      <c r="C19">
        <v>92</v>
      </c>
      <c r="D19">
        <v>29504.120681103086</v>
      </c>
      <c r="E19">
        <v>2.8515840260220768</v>
      </c>
      <c r="F19">
        <v>2.1568077245025896</v>
      </c>
      <c r="G19">
        <v>6.3276493662942332</v>
      </c>
      <c r="H19">
        <v>96189.93788004377</v>
      </c>
      <c r="I19">
        <v>71</v>
      </c>
      <c r="J19">
        <v>71.964480540556934</v>
      </c>
      <c r="K19" t="str">
        <f t="shared" si="0"/>
        <v>OK</v>
      </c>
      <c r="M19" s="33" t="s">
        <v>97</v>
      </c>
      <c r="N19" s="32"/>
      <c r="O19" s="32"/>
    </row>
    <row r="20" spans="1:15">
      <c r="A20" s="1">
        <v>42545</v>
      </c>
      <c r="B20" t="s">
        <v>10</v>
      </c>
      <c r="C20">
        <v>94</v>
      </c>
      <c r="D20">
        <v>39233.184980238329</v>
      </c>
      <c r="E20">
        <v>3.6998439758763206</v>
      </c>
      <c r="F20">
        <v>3.1215718898560509</v>
      </c>
      <c r="G20">
        <v>4.8964302753383881</v>
      </c>
      <c r="H20">
        <v>106481.14056443122</v>
      </c>
      <c r="I20">
        <v>92</v>
      </c>
      <c r="J20">
        <v>89.439967351607194</v>
      </c>
      <c r="K20" t="str">
        <f t="shared" si="0"/>
        <v>OK</v>
      </c>
    </row>
    <row r="21" spans="1:15">
      <c r="A21" s="1">
        <v>42575</v>
      </c>
      <c r="B21" t="s">
        <v>13</v>
      </c>
      <c r="C21">
        <v>101</v>
      </c>
      <c r="D21">
        <v>24649.576168369236</v>
      </c>
      <c r="E21">
        <v>3.1743215531040856</v>
      </c>
      <c r="F21">
        <v>2.130389663956366</v>
      </c>
      <c r="G21">
        <v>5.8161846583972716</v>
      </c>
      <c r="H21">
        <v>77046.172203686656</v>
      </c>
      <c r="I21">
        <v>103</v>
      </c>
      <c r="J21">
        <v>86.254869545876232</v>
      </c>
      <c r="K21" t="str">
        <f t="shared" si="0"/>
        <v>OK</v>
      </c>
    </row>
    <row r="22" spans="1:15">
      <c r="A22" s="1">
        <v>42605</v>
      </c>
      <c r="B22" t="s">
        <v>12</v>
      </c>
      <c r="C22">
        <v>103</v>
      </c>
      <c r="D22">
        <v>22372.374145376307</v>
      </c>
      <c r="E22">
        <v>3.2356916591251217</v>
      </c>
      <c r="F22">
        <v>2.8771003939021864</v>
      </c>
      <c r="G22">
        <v>5.8530689548161927</v>
      </c>
      <c r="H22">
        <v>1017041.8899267802</v>
      </c>
      <c r="I22">
        <v>114</v>
      </c>
      <c r="J22">
        <v>70.0843767184641</v>
      </c>
      <c r="K22" t="str">
        <f t="shared" si="0"/>
        <v>OK</v>
      </c>
    </row>
    <row r="23" spans="1:15">
      <c r="A23" s="1">
        <v>42635</v>
      </c>
      <c r="B23" t="s">
        <v>13</v>
      </c>
      <c r="C23">
        <v>84</v>
      </c>
      <c r="D23">
        <v>26540.459650593777</v>
      </c>
      <c r="E23">
        <v>3.7931820093775466</v>
      </c>
      <c r="F23">
        <v>2.4707371863150218</v>
      </c>
      <c r="G23">
        <v>5.2187106396204133</v>
      </c>
      <c r="H23">
        <v>40177.280581985535</v>
      </c>
      <c r="I23">
        <v>75</v>
      </c>
      <c r="J23">
        <f>80.21517797</f>
        <v>80.215177969999999</v>
      </c>
      <c r="K23" t="str">
        <f t="shared" si="0"/>
        <v>OK</v>
      </c>
    </row>
    <row r="24" spans="1:15">
      <c r="A24" s="1">
        <v>42665</v>
      </c>
      <c r="B24" t="s">
        <v>14</v>
      </c>
      <c r="C24">
        <v>76</v>
      </c>
      <c r="D24">
        <v>29772.069918222511</v>
      </c>
      <c r="E24">
        <v>4.1191415357168175</v>
      </c>
      <c r="F24">
        <v>3.6260502507721681</v>
      </c>
      <c r="G24">
        <v>4.5594812012963244</v>
      </c>
      <c r="H24">
        <v>96262.076836760301</v>
      </c>
      <c r="I24">
        <v>80</v>
      </c>
      <c r="J24" t="s">
        <v>471</v>
      </c>
      <c r="K24" t="str">
        <f t="shared" si="0"/>
        <v>OK</v>
      </c>
    </row>
    <row r="25" spans="1:15">
      <c r="A25" s="1">
        <v>42695</v>
      </c>
      <c r="B25" t="s">
        <v>12</v>
      </c>
      <c r="C25">
        <v>970</v>
      </c>
      <c r="D25">
        <v>31216.697246613458</v>
      </c>
      <c r="E25">
        <v>3.510635788368031</v>
      </c>
      <c r="F25">
        <v>2.448606276411514</v>
      </c>
      <c r="G25">
        <v>4.6713507372204885</v>
      </c>
      <c r="H25">
        <v>67390.535125697206</v>
      </c>
      <c r="I25">
        <v>94</v>
      </c>
      <c r="J25">
        <v>23.944718968785974</v>
      </c>
      <c r="K25" t="str">
        <f t="shared" si="0"/>
        <v>OK</v>
      </c>
    </row>
    <row r="26" spans="1:15">
      <c r="A26" s="1">
        <v>42725</v>
      </c>
      <c r="B26" t="s">
        <v>14</v>
      </c>
      <c r="C26">
        <v>111</v>
      </c>
      <c r="D26">
        <v>28793.819710718351</v>
      </c>
      <c r="E26">
        <v>3.6544165062994818</v>
      </c>
      <c r="F26">
        <v>0.72696753179311857</v>
      </c>
      <c r="G26">
        <v>4.4005697014225094</v>
      </c>
      <c r="H26">
        <v>124119.89033093632</v>
      </c>
      <c r="I26">
        <v>110</v>
      </c>
      <c r="J26">
        <v>40.598337319397544</v>
      </c>
      <c r="K26" t="str">
        <f t="shared" si="0"/>
        <v>OK</v>
      </c>
    </row>
    <row r="27" spans="1:15">
      <c r="A27" s="1">
        <v>42755</v>
      </c>
      <c r="B27" t="s">
        <v>13</v>
      </c>
      <c r="C27">
        <v>93</v>
      </c>
      <c r="D27">
        <v>38106.295579999998</v>
      </c>
      <c r="E27">
        <v>4.3511074723176186</v>
      </c>
      <c r="F27">
        <v>3.7619215007139917</v>
      </c>
      <c r="G27">
        <v>4.5018133501234665</v>
      </c>
      <c r="H27">
        <f t="shared" ref="H27:H28" si="1">128897.2893</f>
        <v>128897.2893</v>
      </c>
      <c r="I27">
        <v>84</v>
      </c>
      <c r="J27">
        <v>30.85291737283022</v>
      </c>
      <c r="K27" t="str">
        <f t="shared" si="0"/>
        <v>OK</v>
      </c>
    </row>
    <row r="28" spans="1:15">
      <c r="A28" s="1">
        <v>42785</v>
      </c>
      <c r="B28" t="s">
        <v>11</v>
      </c>
      <c r="C28">
        <v>87</v>
      </c>
      <c r="D28">
        <v>23742.30287904778</v>
      </c>
      <c r="E28">
        <v>3.6203765897442843</v>
      </c>
      <c r="F28">
        <v>1.5942676991373812</v>
      </c>
      <c r="G28">
        <v>5.4193860519407737</v>
      </c>
      <c r="H28">
        <f t="shared" si="1"/>
        <v>128897.2893</v>
      </c>
      <c r="I28">
        <v>80</v>
      </c>
      <c r="J28">
        <v>40.803843220194707</v>
      </c>
      <c r="K28" t="str">
        <f t="shared" si="0"/>
        <v>OK</v>
      </c>
    </row>
    <row r="29" spans="1:15">
      <c r="A29" s="1">
        <v>42815</v>
      </c>
      <c r="B29" t="s">
        <v>10</v>
      </c>
      <c r="C29">
        <v>108</v>
      </c>
      <c r="D29">
        <v>37218.823020366297</v>
      </c>
      <c r="E29">
        <v>4.8008415570901972</v>
      </c>
      <c r="F29">
        <v>1.8462336613511803</v>
      </c>
      <c r="G29">
        <v>4.6410880130670975</v>
      </c>
      <c r="H29">
        <v>130420.1245431876</v>
      </c>
      <c r="I29">
        <v>77</v>
      </c>
      <c r="J29">
        <v>50.804644457516936</v>
      </c>
      <c r="K29" t="str">
        <f t="shared" si="0"/>
        <v>OK</v>
      </c>
      <c r="N29">
        <v>4.5778345189999996</v>
      </c>
    </row>
    <row r="30" spans="1:15">
      <c r="A30" s="1">
        <v>42845</v>
      </c>
      <c r="B30" t="s">
        <v>12</v>
      </c>
      <c r="C30">
        <v>106</v>
      </c>
      <c r="D30">
        <v>29589.244108037157</v>
      </c>
      <c r="E30">
        <v>3.7827548228157721</v>
      </c>
      <c r="F30">
        <v>1.904338705956508</v>
      </c>
      <c r="G30">
        <v>6.3184624788551442</v>
      </c>
      <c r="H30">
        <v>81021.669583503259</v>
      </c>
      <c r="I30">
        <v>82</v>
      </c>
      <c r="J30">
        <v>95.438622725690848</v>
      </c>
      <c r="K30" t="str">
        <f t="shared" si="0"/>
        <v>OK</v>
      </c>
    </row>
    <row r="31" spans="1:15">
      <c r="A31" s="1">
        <v>42875</v>
      </c>
      <c r="B31" t="s">
        <v>14</v>
      </c>
      <c r="C31">
        <v>108</v>
      </c>
      <c r="D31">
        <v>35586.479157940637</v>
      </c>
      <c r="E31">
        <v>2.619618620422091</v>
      </c>
      <c r="F31">
        <v>3.8744380931708173</v>
      </c>
      <c r="G31">
        <v>7.2846953864031132</v>
      </c>
      <c r="H31">
        <v>134947.26395831117</v>
      </c>
      <c r="I31">
        <v>111</v>
      </c>
      <c r="J31">
        <v>68.830084782535366</v>
      </c>
      <c r="K31" t="str">
        <f t="shared" si="0"/>
        <v>OK</v>
      </c>
    </row>
    <row r="32" spans="1:15">
      <c r="A32" s="1">
        <v>42905</v>
      </c>
      <c r="B32" t="s">
        <v>11</v>
      </c>
      <c r="C32">
        <v>96</v>
      </c>
      <c r="D32">
        <v>31713.626731888522</v>
      </c>
      <c r="E32">
        <v>3.876670810552266</v>
      </c>
      <c r="F32">
        <v>0.3643257860213045</v>
      </c>
      <c r="G32">
        <v>4.8039361103559486</v>
      </c>
      <c r="H32">
        <v>118643.83128520769</v>
      </c>
      <c r="I32">
        <v>87</v>
      </c>
      <c r="J32">
        <v>86.797902854636988</v>
      </c>
      <c r="K32" t="str">
        <f t="shared" si="0"/>
        <v>OK</v>
      </c>
    </row>
    <row r="33" spans="1:11">
      <c r="A33" s="1">
        <v>42935</v>
      </c>
      <c r="B33" t="s">
        <v>11</v>
      </c>
      <c r="C33">
        <v>113</v>
      </c>
      <c r="D33">
        <v>32283.766095768919</v>
      </c>
      <c r="E33">
        <v>3.6905791924413887</v>
      </c>
      <c r="F33">
        <v>3.224108373</v>
      </c>
      <c r="G33">
        <v>5.7872854006424523</v>
      </c>
      <c r="H33">
        <v>95268.894255621082</v>
      </c>
      <c r="I33">
        <v>73</v>
      </c>
      <c r="J33">
        <v>76.828120056986577</v>
      </c>
      <c r="K33" t="str">
        <f t="shared" si="0"/>
        <v>OK</v>
      </c>
    </row>
    <row r="34" spans="1:11">
      <c r="A34" s="1">
        <v>42965</v>
      </c>
      <c r="B34" t="s">
        <v>12</v>
      </c>
      <c r="C34">
        <v>95</v>
      </c>
      <c r="D34">
        <v>32848.836401161017</v>
      </c>
      <c r="E34">
        <v>4.1448763770413724</v>
      </c>
      <c r="F34">
        <v>3.224108373</v>
      </c>
      <c r="G34">
        <v>6.0996221323635202</v>
      </c>
      <c r="H34">
        <v>122712.40294365888</v>
      </c>
      <c r="I34">
        <v>95</v>
      </c>
      <c r="J34">
        <v>29.00025044213054</v>
      </c>
      <c r="K34" t="str">
        <f t="shared" si="0"/>
        <v>OK</v>
      </c>
    </row>
    <row r="35" spans="1:11">
      <c r="A35" s="1">
        <v>42995</v>
      </c>
      <c r="B35" t="s">
        <v>12</v>
      </c>
      <c r="C35">
        <v>94</v>
      </c>
      <c r="D35">
        <v>32238.542800086576</v>
      </c>
      <c r="E35">
        <v>3.8365906756349792</v>
      </c>
      <c r="F35">
        <v>2.7232389141291597</v>
      </c>
      <c r="G35">
        <v>6.0664027251031296</v>
      </c>
      <c r="H35">
        <v>77874.129751767323</v>
      </c>
      <c r="I35">
        <v>87</v>
      </c>
      <c r="J35">
        <v>78.873632509915907</v>
      </c>
      <c r="K35" t="str">
        <f t="shared" si="0"/>
        <v>OK</v>
      </c>
    </row>
    <row r="36" spans="1:11">
      <c r="A36" s="1">
        <v>43025</v>
      </c>
      <c r="B36" t="s">
        <v>11</v>
      </c>
      <c r="C36">
        <v>107</v>
      </c>
      <c r="D36">
        <v>33213.61379933772</v>
      </c>
      <c r="E36">
        <v>3.430772008008113</v>
      </c>
      <c r="F36">
        <v>2.4451059993837134</v>
      </c>
      <c r="G36">
        <v>5.5911463214993047</v>
      </c>
      <c r="H36">
        <v>83509.716769446532</v>
      </c>
      <c r="I36">
        <v>88</v>
      </c>
      <c r="J36">
        <v>42.007910524729951</v>
      </c>
      <c r="K36" t="str">
        <f t="shared" si="0"/>
        <v>OK</v>
      </c>
    </row>
    <row r="37" spans="1:11">
      <c r="A37" s="1">
        <v>43055</v>
      </c>
      <c r="B37" t="s">
        <v>10</v>
      </c>
      <c r="C37">
        <v>114</v>
      </c>
      <c r="D37">
        <v>36645.76265066216</v>
      </c>
      <c r="E37">
        <v>2.887850881855317</v>
      </c>
      <c r="F37">
        <v>2.7855540748576568</v>
      </c>
      <c r="G37">
        <v>6.3912189020316665</v>
      </c>
      <c r="H37">
        <v>878282.05535206001</v>
      </c>
      <c r="I37">
        <v>85</v>
      </c>
      <c r="J37">
        <f>80.21517797</f>
        <v>80.215177969999999</v>
      </c>
      <c r="K37" t="str">
        <f t="shared" si="0"/>
        <v>OK</v>
      </c>
    </row>
    <row r="38" spans="1:11">
      <c r="A38" s="1">
        <v>43085</v>
      </c>
      <c r="B38" t="s">
        <v>10</v>
      </c>
      <c r="C38">
        <v>86</v>
      </c>
      <c r="D38">
        <v>30982.605848507352</v>
      </c>
      <c r="E38">
        <v>3.3954883713569872</v>
      </c>
      <c r="F38">
        <v>3.0211224283793383</v>
      </c>
      <c r="G38">
        <v>6.0786987432167887</v>
      </c>
      <c r="H38">
        <v>89420.445838719694</v>
      </c>
      <c r="I38">
        <v>93</v>
      </c>
      <c r="J38">
        <v>47.276957891439082</v>
      </c>
      <c r="K38" t="str">
        <f t="shared" si="0"/>
        <v>OK</v>
      </c>
    </row>
    <row r="39" spans="1:11">
      <c r="A39" s="1">
        <v>43115</v>
      </c>
      <c r="B39" t="s">
        <v>14</v>
      </c>
      <c r="C39">
        <v>1080</v>
      </c>
      <c r="D39">
        <v>33545.018787942565</v>
      </c>
      <c r="E39">
        <v>3.0747397728953501</v>
      </c>
      <c r="F39">
        <v>3.1452155859500568</v>
      </c>
      <c r="G39">
        <v>4.0148050932072428</v>
      </c>
      <c r="H39">
        <v>78868.847144794941</v>
      </c>
      <c r="I39">
        <v>85</v>
      </c>
      <c r="J39">
        <v>99.813781061172733</v>
      </c>
      <c r="K39" t="str">
        <f t="shared" si="0"/>
        <v>OK</v>
      </c>
    </row>
    <row r="40" spans="1:11">
      <c r="A40" s="1">
        <v>43145</v>
      </c>
      <c r="B40" t="s">
        <v>10</v>
      </c>
      <c r="C40">
        <v>108</v>
      </c>
      <c r="D40">
        <v>29551.321528563865</v>
      </c>
      <c r="E40">
        <v>3.2097382750976386</v>
      </c>
      <c r="F40">
        <v>3.0556044660034485</v>
      </c>
      <c r="G40">
        <v>6.5429872772671276</v>
      </c>
      <c r="H40">
        <v>124461.6613419065</v>
      </c>
      <c r="I40">
        <v>820</v>
      </c>
      <c r="J40">
        <v>41.084118359742227</v>
      </c>
      <c r="K40" t="str">
        <f t="shared" si="0"/>
        <v>OK</v>
      </c>
    </row>
    <row r="41" spans="1:11">
      <c r="A41" s="1">
        <v>43175</v>
      </c>
      <c r="B41" t="s">
        <v>11</v>
      </c>
      <c r="C41">
        <v>101</v>
      </c>
      <c r="D41">
        <v>37200.586077247368</v>
      </c>
      <c r="E41">
        <v>37.942892022103052</v>
      </c>
      <c r="F41">
        <v>2.5895806812552489</v>
      </c>
      <c r="G41">
        <v>6.56474900472009</v>
      </c>
      <c r="H41">
        <v>94822.91199260336</v>
      </c>
      <c r="I41">
        <v>80</v>
      </c>
      <c r="J41">
        <v>42.330437661941573</v>
      </c>
      <c r="K41" t="str">
        <f t="shared" si="0"/>
        <v>OK</v>
      </c>
    </row>
    <row r="42" spans="1:11">
      <c r="A42" s="1">
        <v>43205</v>
      </c>
      <c r="B42" t="s">
        <v>11</v>
      </c>
      <c r="C42">
        <v>94</v>
      </c>
      <c r="D42">
        <v>26618.038489703653</v>
      </c>
      <c r="E42">
        <v>4.3349522521757029</v>
      </c>
      <c r="F42">
        <v>2.3026615796926739</v>
      </c>
      <c r="G42">
        <v>4.5840566749857024</v>
      </c>
      <c r="H42">
        <v>107050.09936713759</v>
      </c>
      <c r="I42">
        <v>95</v>
      </c>
      <c r="J42">
        <v>94.453780444991864</v>
      </c>
      <c r="K42" t="str">
        <f t="shared" si="0"/>
        <v>OK</v>
      </c>
    </row>
    <row r="43" spans="1:11">
      <c r="A43" s="1">
        <v>43235</v>
      </c>
      <c r="B43" t="s">
        <v>13</v>
      </c>
      <c r="C43">
        <v>116</v>
      </c>
      <c r="D43">
        <v>39004.702164554081</v>
      </c>
      <c r="E43">
        <v>3.6973357649114904</v>
      </c>
      <c r="F43">
        <v>3.224108373</v>
      </c>
      <c r="G43">
        <v>5.5455254025371223</v>
      </c>
      <c r="H43">
        <f>128897.2893</f>
        <v>128897.2893</v>
      </c>
      <c r="I43">
        <v>89</v>
      </c>
      <c r="J43">
        <v>21.971552370905812</v>
      </c>
      <c r="K43" t="str">
        <f t="shared" si="0"/>
        <v>OK</v>
      </c>
    </row>
    <row r="44" spans="1:11">
      <c r="A44" s="1">
        <v>43265</v>
      </c>
      <c r="B44" t="s">
        <v>11</v>
      </c>
      <c r="C44">
        <v>97</v>
      </c>
      <c r="D44">
        <v>29799.210246778282</v>
      </c>
      <c r="E44">
        <v>2.9020584689824078</v>
      </c>
      <c r="F44">
        <v>2.3050917196473191</v>
      </c>
      <c r="G44">
        <v>63.199947913732828</v>
      </c>
      <c r="H44">
        <v>63587.933989029654</v>
      </c>
      <c r="I44">
        <v>73</v>
      </c>
      <c r="J44">
        <v>75.735119029855753</v>
      </c>
      <c r="K44" t="str">
        <f t="shared" si="0"/>
        <v>OK</v>
      </c>
    </row>
    <row r="45" spans="1:11">
      <c r="A45" s="1">
        <v>43295</v>
      </c>
      <c r="B45" t="s">
        <v>10</v>
      </c>
      <c r="C45">
        <v>128.02105259999999</v>
      </c>
      <c r="D45">
        <v>22846.124489409758</v>
      </c>
      <c r="E45">
        <v>3.7223013341100701</v>
      </c>
      <c r="F45">
        <v>3.6337700968670648</v>
      </c>
      <c r="G45">
        <v>5.2488234165047665</v>
      </c>
      <c r="H45">
        <v>105401.14716782844</v>
      </c>
      <c r="I45">
        <v>86</v>
      </c>
      <c r="J45">
        <v>78.026111258870259</v>
      </c>
      <c r="K45" t="str">
        <f t="shared" si="0"/>
        <v>OK</v>
      </c>
    </row>
    <row r="46" spans="1:11">
      <c r="A46" s="1">
        <v>43325</v>
      </c>
      <c r="B46" t="s">
        <v>14</v>
      </c>
      <c r="C46">
        <v>94</v>
      </c>
      <c r="D46">
        <v>30640.522074553948</v>
      </c>
      <c r="E46">
        <v>4.0983157433228259</v>
      </c>
      <c r="F46">
        <v>3.0935567222808618</v>
      </c>
      <c r="G46">
        <v>6.7875736573192142</v>
      </c>
      <c r="H46">
        <v>61754.900491604465</v>
      </c>
      <c r="I46">
        <v>82</v>
      </c>
      <c r="J46">
        <v>86.910286192831947</v>
      </c>
      <c r="K46" t="str">
        <f t="shared" si="0"/>
        <v>OK</v>
      </c>
    </row>
    <row r="47" spans="1:11">
      <c r="A47" s="1">
        <v>43355</v>
      </c>
      <c r="B47" t="s">
        <v>13</v>
      </c>
      <c r="C47">
        <v>118</v>
      </c>
      <c r="D47">
        <v>26594.741712625597</v>
      </c>
      <c r="E47">
        <v>3.195108547840309</v>
      </c>
      <c r="F47">
        <v>-0.44038863466428024</v>
      </c>
      <c r="G47">
        <v>8.3366469935432335</v>
      </c>
      <c r="H47">
        <v>98627.319078290631</v>
      </c>
      <c r="I47">
        <v>80</v>
      </c>
      <c r="J47">
        <v>97.955144851078032</v>
      </c>
      <c r="K47" t="str">
        <f t="shared" si="0"/>
        <v>OK</v>
      </c>
    </row>
    <row r="48" spans="1:11">
      <c r="A48" s="1">
        <v>43385</v>
      </c>
      <c r="B48" t="s">
        <v>10</v>
      </c>
      <c r="C48">
        <v>104</v>
      </c>
      <c r="D48">
        <v>34203.21774494362</v>
      </c>
      <c r="E48">
        <v>3.4329914166635414</v>
      </c>
      <c r="F48">
        <v>3.1559007765297609</v>
      </c>
      <c r="G48">
        <v>4.5568167608380215</v>
      </c>
      <c r="H48">
        <v>72633.699223343792</v>
      </c>
      <c r="I48">
        <v>85</v>
      </c>
      <c r="J48">
        <v>98.048153532532197</v>
      </c>
      <c r="K48" t="str">
        <f t="shared" si="0"/>
        <v>OK</v>
      </c>
    </row>
    <row r="49" spans="1:11">
      <c r="A49" s="1">
        <v>43415</v>
      </c>
      <c r="B49" t="s">
        <v>14</v>
      </c>
      <c r="C49">
        <v>128.02105259999999</v>
      </c>
      <c r="D49">
        <v>26736.880103488045</v>
      </c>
      <c r="E49">
        <v>3.5073440973645984</v>
      </c>
      <c r="F49">
        <v>2.6947361947187747</v>
      </c>
      <c r="G49">
        <v>3.8427464762154702</v>
      </c>
      <c r="H49">
        <v>139745.51998461617</v>
      </c>
      <c r="I49">
        <v>88</v>
      </c>
      <c r="J49">
        <v>25.222140605317112</v>
      </c>
      <c r="K49" t="str">
        <f t="shared" si="0"/>
        <v>OK</v>
      </c>
    </row>
    <row r="50" spans="1:11">
      <c r="A50" s="1">
        <v>43445</v>
      </c>
      <c r="B50" t="s">
        <v>10</v>
      </c>
      <c r="C50">
        <v>115</v>
      </c>
      <c r="D50">
        <v>27769.082833926102</v>
      </c>
      <c r="E50">
        <v>3.1075508434588799</v>
      </c>
      <c r="F50">
        <v>2.4812912435541028</v>
      </c>
      <c r="G50">
        <v>5.8645823147258511</v>
      </c>
      <c r="H50">
        <v>118227.25444349443</v>
      </c>
      <c r="I50">
        <v>100</v>
      </c>
      <c r="J50">
        <v>85.747145820232205</v>
      </c>
      <c r="K50" t="str">
        <f t="shared" si="0"/>
        <v>OK</v>
      </c>
    </row>
    <row r="51" spans="1:11">
      <c r="A51" s="1">
        <v>43475</v>
      </c>
      <c r="B51" t="s">
        <v>13</v>
      </c>
      <c r="C51">
        <v>94</v>
      </c>
      <c r="D51">
        <v>20552.296345272345</v>
      </c>
      <c r="E51">
        <v>3.8241402169219296</v>
      </c>
      <c r="F51">
        <v>2.1114815469111141</v>
      </c>
      <c r="G51">
        <v>6.3658750061513718</v>
      </c>
      <c r="H51">
        <v>102115.07582542961</v>
      </c>
      <c r="I51">
        <v>102</v>
      </c>
      <c r="J51">
        <v>71.704794692590497</v>
      </c>
      <c r="K51" t="str">
        <f t="shared" si="0"/>
        <v>OK</v>
      </c>
    </row>
    <row r="52" spans="1:11">
      <c r="A52" s="1">
        <v>43505</v>
      </c>
      <c r="B52" t="s">
        <v>11</v>
      </c>
      <c r="C52">
        <v>91</v>
      </c>
      <c r="D52">
        <v>27738.468403754618</v>
      </c>
      <c r="E52">
        <v>3.4395259256961093</v>
      </c>
      <c r="F52">
        <v>3.6241127199860133</v>
      </c>
      <c r="G52">
        <v>5.222960351386277</v>
      </c>
      <c r="H52">
        <v>125274.13355309337</v>
      </c>
      <c r="I52">
        <v>95</v>
      </c>
      <c r="J52">
        <v>71.787370749847298</v>
      </c>
      <c r="K52" t="str">
        <f t="shared" si="0"/>
        <v>OK</v>
      </c>
    </row>
    <row r="53" spans="1:11">
      <c r="A53" s="1">
        <v>43535</v>
      </c>
      <c r="B53" t="s">
        <v>13</v>
      </c>
      <c r="C53">
        <v>110</v>
      </c>
      <c r="D53">
        <v>17880.603366855219</v>
      </c>
      <c r="E53">
        <v>3.7097662219535139</v>
      </c>
      <c r="F53">
        <v>3.4475264621228581</v>
      </c>
      <c r="G53">
        <v>7.2439127959852412</v>
      </c>
      <c r="H53">
        <v>83073.680450685279</v>
      </c>
      <c r="I53">
        <v>88</v>
      </c>
      <c r="J53">
        <v>30.267994129175584</v>
      </c>
      <c r="K53" t="str">
        <f t="shared" si="0"/>
        <v>OK</v>
      </c>
    </row>
    <row r="54" spans="1:11">
      <c r="A54" s="1">
        <v>43565</v>
      </c>
      <c r="B54" t="s">
        <v>11</v>
      </c>
      <c r="C54">
        <v>98</v>
      </c>
      <c r="D54">
        <v>22080.485882571382</v>
      </c>
      <c r="E54">
        <v>3.0562539110989499</v>
      </c>
      <c r="F54">
        <v>1.7271223321763909</v>
      </c>
      <c r="G54">
        <v>3.8936730403321018</v>
      </c>
      <c r="H54">
        <v>110869.58757340186</v>
      </c>
      <c r="I54">
        <v>87</v>
      </c>
      <c r="J54">
        <f>80.21517797</f>
        <v>80.215177969999999</v>
      </c>
      <c r="K54" t="str">
        <f t="shared" si="0"/>
        <v>OK</v>
      </c>
    </row>
    <row r="55" spans="1:11">
      <c r="A55" s="1">
        <v>43595</v>
      </c>
      <c r="B55" t="s">
        <v>13</v>
      </c>
      <c r="C55">
        <v>86</v>
      </c>
      <c r="D55">
        <v>33802.073280721488</v>
      </c>
      <c r="E55">
        <v>3.281270849838295</v>
      </c>
      <c r="F55">
        <v>2.907052287124535</v>
      </c>
      <c r="G55">
        <v>6.3315023476379331</v>
      </c>
      <c r="H55">
        <v>103996.20867437427</v>
      </c>
      <c r="I55">
        <v>95</v>
      </c>
      <c r="J55">
        <v>98.598606448099829</v>
      </c>
      <c r="K55" t="str">
        <f t="shared" si="0"/>
        <v>OK</v>
      </c>
    </row>
    <row r="56" spans="1:11">
      <c r="A56" s="1">
        <v>43625</v>
      </c>
      <c r="B56" t="s">
        <v>12</v>
      </c>
      <c r="C56">
        <v>121</v>
      </c>
      <c r="D56">
        <v>38106.295579999998</v>
      </c>
      <c r="E56">
        <v>3.8611906789138857</v>
      </c>
      <c r="F56">
        <v>1.5283432654587141</v>
      </c>
      <c r="G56">
        <v>4.7729670150893284</v>
      </c>
      <c r="H56">
        <v>105280.4016266734</v>
      </c>
      <c r="I56">
        <v>78</v>
      </c>
      <c r="J56">
        <v>929.45485563155762</v>
      </c>
      <c r="K56" t="str">
        <f t="shared" si="0"/>
        <v>OK</v>
      </c>
    </row>
    <row r="57" spans="1:11">
      <c r="A57" s="1">
        <v>43655</v>
      </c>
      <c r="B57" t="s">
        <v>10</v>
      </c>
      <c r="C57">
        <v>100</v>
      </c>
      <c r="D57">
        <v>32127.287808924822</v>
      </c>
      <c r="E57">
        <v>3.3135834239541166</v>
      </c>
      <c r="F57">
        <v>1.1203818352110695</v>
      </c>
      <c r="G57">
        <v>7.5632534874487565</v>
      </c>
      <c r="H57">
        <v>125447.07000213536</v>
      </c>
      <c r="I57">
        <v>810</v>
      </c>
      <c r="J57">
        <v>55.13045286438804</v>
      </c>
      <c r="K57" t="str">
        <f t="shared" si="0"/>
        <v>OK</v>
      </c>
    </row>
    <row r="58" spans="1:11">
      <c r="A58" s="1">
        <v>43685</v>
      </c>
      <c r="B58" t="s">
        <v>10</v>
      </c>
      <c r="C58">
        <v>96</v>
      </c>
      <c r="D58">
        <v>25165.119284353936</v>
      </c>
      <c r="E58">
        <v>4.3634819256167026</v>
      </c>
      <c r="F58">
        <v>1.873282775410035</v>
      </c>
      <c r="G58">
        <v>7.891018423801742</v>
      </c>
      <c r="H58">
        <v>114649.84205559605</v>
      </c>
      <c r="I58">
        <v>95</v>
      </c>
      <c r="J58">
        <v>23.195837862887547</v>
      </c>
      <c r="K58" t="str">
        <f t="shared" si="0"/>
        <v>OK</v>
      </c>
    </row>
    <row r="59" spans="1:11">
      <c r="A59" s="1">
        <v>43715</v>
      </c>
      <c r="B59" t="s">
        <v>12</v>
      </c>
      <c r="C59">
        <v>127</v>
      </c>
      <c r="D59">
        <v>29761.4432192901</v>
      </c>
      <c r="E59">
        <v>3.300181907192699</v>
      </c>
      <c r="F59">
        <v>3.3623934723827587</v>
      </c>
      <c r="G59">
        <v>4.5800120946599829</v>
      </c>
      <c r="H59">
        <v>105774.47325650047</v>
      </c>
      <c r="I59">
        <v>88</v>
      </c>
      <c r="J59">
        <v>48.98347920001639</v>
      </c>
      <c r="K59" t="str">
        <f t="shared" si="0"/>
        <v>OK</v>
      </c>
    </row>
    <row r="60" spans="1:11">
      <c r="A60" s="1">
        <v>43745</v>
      </c>
      <c r="B60" t="s">
        <v>11</v>
      </c>
      <c r="C60">
        <v>100</v>
      </c>
      <c r="D60">
        <v>29981.987304547158</v>
      </c>
      <c r="E60">
        <v>3.612342362875943</v>
      </c>
      <c r="F60">
        <v>3.4531250453760869</v>
      </c>
      <c r="G60">
        <v>4.8405314369097034</v>
      </c>
      <c r="H60">
        <v>66902.251275434071</v>
      </c>
      <c r="I60">
        <f>111.9136842</f>
        <v>111.91368420000001</v>
      </c>
      <c r="J60">
        <v>86.111224928044422</v>
      </c>
      <c r="K60" t="str">
        <f t="shared" si="0"/>
        <v>OK</v>
      </c>
    </row>
    <row r="61" spans="1:11">
      <c r="A61" s="1">
        <v>43775</v>
      </c>
      <c r="B61" t="s">
        <v>10</v>
      </c>
      <c r="C61">
        <v>93</v>
      </c>
      <c r="D61">
        <v>24208.176554037287</v>
      </c>
      <c r="E61">
        <v>3.9662954159365449</v>
      </c>
      <c r="F61">
        <v>3.0130854200972932</v>
      </c>
      <c r="G61">
        <v>6.531505464375762</v>
      </c>
      <c r="H61">
        <v>80799.074094410724</v>
      </c>
      <c r="I61">
        <v>79</v>
      </c>
      <c r="J61">
        <v>76.119928117213277</v>
      </c>
      <c r="K61" t="str">
        <f t="shared" si="0"/>
        <v>OK</v>
      </c>
    </row>
    <row r="62" spans="1:11">
      <c r="A62" s="1">
        <v>43805</v>
      </c>
      <c r="B62" t="s">
        <v>12</v>
      </c>
      <c r="C62">
        <v>103</v>
      </c>
      <c r="D62">
        <v>37516.991508835752</v>
      </c>
      <c r="E62">
        <v>2.7908171335334844</v>
      </c>
      <c r="F62">
        <v>3.225095786847997</v>
      </c>
      <c r="G62">
        <v>5.0354432202525823</v>
      </c>
      <c r="H62">
        <v>97545.821328085513</v>
      </c>
      <c r="I62">
        <v>91</v>
      </c>
      <c r="J62">
        <v>56.747492447516514</v>
      </c>
      <c r="K62" t="str">
        <f t="shared" si="0"/>
        <v>OK</v>
      </c>
    </row>
    <row r="63" spans="1:11">
      <c r="A63" s="1">
        <v>43835</v>
      </c>
      <c r="B63" t="s">
        <v>10</v>
      </c>
      <c r="C63">
        <v>78</v>
      </c>
      <c r="D63">
        <v>34386.811452878355</v>
      </c>
      <c r="E63">
        <v>2.6195955940096121</v>
      </c>
      <c r="F63">
        <v>3.0161782871149585</v>
      </c>
      <c r="G63">
        <v>5.4455065384813137</v>
      </c>
      <c r="H63">
        <v>101867.44748553302</v>
      </c>
      <c r="I63">
        <v>81</v>
      </c>
      <c r="J63">
        <f>80.21517797</f>
        <v>80.215177969999999</v>
      </c>
      <c r="K63" t="str">
        <f t="shared" si="0"/>
        <v>OK</v>
      </c>
    </row>
    <row r="64" spans="1:11">
      <c r="A64" s="1">
        <v>43865</v>
      </c>
      <c r="B64" t="s">
        <v>14</v>
      </c>
      <c r="C64">
        <v>116</v>
      </c>
      <c r="D64">
        <v>288951.79130851681</v>
      </c>
      <c r="E64">
        <v>2.7371718427149525</v>
      </c>
      <c r="F64">
        <v>1.8585184047770478</v>
      </c>
      <c r="G64">
        <v>5.5304661046508921</v>
      </c>
      <c r="H64">
        <v>77395.925506521526</v>
      </c>
      <c r="I64">
        <v>98</v>
      </c>
      <c r="J64">
        <v>54.151578225864213</v>
      </c>
      <c r="K64" t="str">
        <f t="shared" si="0"/>
        <v>OK</v>
      </c>
    </row>
    <row r="65" spans="1:11">
      <c r="A65" s="1">
        <v>43895</v>
      </c>
      <c r="B65" t="s">
        <v>11</v>
      </c>
      <c r="C65">
        <v>88</v>
      </c>
      <c r="D65">
        <v>30134.429194972654</v>
      </c>
      <c r="E65">
        <v>4.1312920517135909</v>
      </c>
      <c r="F65">
        <v>2.9319225446739408</v>
      </c>
      <c r="G65">
        <v>3.1963922125628126</v>
      </c>
      <c r="H65">
        <v>148233.53351156841</v>
      </c>
      <c r="I65">
        <v>83</v>
      </c>
      <c r="J65">
        <v>57.521995177430682</v>
      </c>
      <c r="K65" t="str">
        <f t="shared" si="0"/>
        <v>OK</v>
      </c>
    </row>
    <row r="66" spans="1:11">
      <c r="A66" s="1">
        <v>43925</v>
      </c>
      <c r="B66" t="s">
        <v>14</v>
      </c>
      <c r="C66">
        <v>105</v>
      </c>
      <c r="D66">
        <v>31041.914039737763</v>
      </c>
      <c r="E66">
        <v>3.2240709270537766</v>
      </c>
      <c r="F66">
        <v>3.3004095252276824</v>
      </c>
      <c r="G66">
        <v>5.4833947046869156</v>
      </c>
      <c r="H66">
        <v>130327.88110507146</v>
      </c>
      <c r="I66">
        <f>111.9136842</f>
        <v>111.91368420000001</v>
      </c>
      <c r="J66">
        <v>94.284442631530879</v>
      </c>
      <c r="K66" t="str">
        <f t="shared" ref="K66:K129" si="2">IF(COUNTA(A66:J66)&lt;COLUMNS(A66:J66), "Missing Data", "OK")</f>
        <v>OK</v>
      </c>
    </row>
    <row r="67" spans="1:11">
      <c r="A67" s="1">
        <v>43955</v>
      </c>
      <c r="B67" t="s">
        <v>11</v>
      </c>
      <c r="C67">
        <v>92</v>
      </c>
      <c r="D67">
        <v>19791.325657878548</v>
      </c>
      <c r="E67">
        <v>4.7790996428341259</v>
      </c>
      <c r="F67">
        <v>3.2542913298135741</v>
      </c>
      <c r="G67">
        <v>46.723266711229918</v>
      </c>
      <c r="H67">
        <v>112042.36640784967</v>
      </c>
      <c r="I67">
        <v>97</v>
      </c>
      <c r="J67">
        <v>71.286888286572747</v>
      </c>
      <c r="K67" t="str">
        <f t="shared" si="2"/>
        <v>OK</v>
      </c>
    </row>
    <row r="68" spans="1:11">
      <c r="A68" s="1">
        <v>43985</v>
      </c>
      <c r="B68" t="s">
        <v>12</v>
      </c>
      <c r="C68">
        <v>96</v>
      </c>
      <c r="D68">
        <v>28764.113087397014</v>
      </c>
      <c r="E68">
        <v>3.2178762006713058</v>
      </c>
      <c r="F68">
        <v>3.6889133714746429</v>
      </c>
      <c r="G68">
        <v>4.9082526131202737</v>
      </c>
      <c r="H68">
        <v>101440.73722567489</v>
      </c>
      <c r="I68">
        <v>90</v>
      </c>
      <c r="J68">
        <v>44.932233332371908</v>
      </c>
      <c r="K68" t="str">
        <f t="shared" si="2"/>
        <v>OK</v>
      </c>
    </row>
    <row r="69" spans="1:11">
      <c r="A69" s="1">
        <v>44015</v>
      </c>
      <c r="B69" t="s">
        <v>11</v>
      </c>
      <c r="C69">
        <v>104</v>
      </c>
      <c r="D69">
        <v>26590.078760011005</v>
      </c>
      <c r="E69">
        <v>3.5922756515985186</v>
      </c>
      <c r="F69">
        <v>3.2083038472010639</v>
      </c>
      <c r="G69">
        <v>7.2323584041625768</v>
      </c>
      <c r="H69">
        <v>95755.820601976971</v>
      </c>
      <c r="I69">
        <v>83</v>
      </c>
      <c r="J69">
        <v>62.025461156057709</v>
      </c>
      <c r="K69" t="str">
        <f t="shared" si="2"/>
        <v>OK</v>
      </c>
    </row>
    <row r="70" spans="1:11">
      <c r="A70" s="1">
        <v>44045</v>
      </c>
      <c r="B70" t="s">
        <v>11</v>
      </c>
      <c r="C70">
        <v>84</v>
      </c>
      <c r="D70">
        <v>249918.99950525421</v>
      </c>
      <c r="E70">
        <v>4.2710549762839376</v>
      </c>
      <c r="F70">
        <v>2.851448207541583</v>
      </c>
      <c r="G70">
        <v>3.9921917268648928</v>
      </c>
      <c r="H70">
        <v>80961.630799555292</v>
      </c>
      <c r="I70">
        <v>93</v>
      </c>
      <c r="J70">
        <v>25.284424625772807</v>
      </c>
      <c r="K70" t="str">
        <f t="shared" si="2"/>
        <v>OK</v>
      </c>
    </row>
    <row r="71" spans="1:11">
      <c r="A71" s="1">
        <v>44075</v>
      </c>
      <c r="B71" t="s">
        <v>12</v>
      </c>
      <c r="C71">
        <v>95</v>
      </c>
      <c r="D71">
        <v>28594.498535570227</v>
      </c>
      <c r="E71">
        <v>4.5030464440795619</v>
      </c>
      <c r="F71">
        <v>3.5701502383164274</v>
      </c>
      <c r="G71">
        <v>64.758462240975732</v>
      </c>
      <c r="H71">
        <v>101549.61037037725</v>
      </c>
      <c r="I71">
        <v>84</v>
      </c>
      <c r="J71">
        <v>97.805458851978941</v>
      </c>
      <c r="K71" t="str">
        <f t="shared" si="2"/>
        <v>OK</v>
      </c>
    </row>
    <row r="72" spans="1:11">
      <c r="A72" s="1">
        <v>44105</v>
      </c>
      <c r="B72" t="s">
        <v>11</v>
      </c>
      <c r="C72">
        <v>105</v>
      </c>
      <c r="D72">
        <v>38988.432634247612</v>
      </c>
      <c r="E72">
        <v>4.5307517883181987</v>
      </c>
      <c r="F72">
        <v>3.224108373</v>
      </c>
      <c r="G72">
        <v>5.1652444836018301</v>
      </c>
      <c r="H72">
        <v>105155.05080285501</v>
      </c>
      <c r="I72">
        <v>90</v>
      </c>
      <c r="J72">
        <v>48.804792154458084</v>
      </c>
      <c r="K72" t="str">
        <f t="shared" si="2"/>
        <v>OK</v>
      </c>
    </row>
    <row r="73" spans="1:11">
      <c r="A73" s="1">
        <v>44135</v>
      </c>
      <c r="B73" t="s">
        <v>10</v>
      </c>
      <c r="C73">
        <v>100</v>
      </c>
      <c r="D73">
        <v>33204.214306335052</v>
      </c>
      <c r="E73">
        <v>4.1041831152965713</v>
      </c>
      <c r="F73">
        <v>1.6181253487722822</v>
      </c>
      <c r="G73">
        <v>5.1642877978049988</v>
      </c>
      <c r="H73">
        <v>75164.788490367515</v>
      </c>
      <c r="I73">
        <v>97</v>
      </c>
      <c r="J73">
        <v>58.229388393050868</v>
      </c>
      <c r="K73" t="str">
        <f t="shared" si="2"/>
        <v>OK</v>
      </c>
    </row>
    <row r="74" spans="1:11">
      <c r="A74" s="1">
        <v>44165</v>
      </c>
      <c r="B74" t="s">
        <v>13</v>
      </c>
      <c r="C74">
        <v>104</v>
      </c>
      <c r="D74">
        <v>27144.105051086015</v>
      </c>
      <c r="E74">
        <v>4.0120312629057313</v>
      </c>
      <c r="F74">
        <v>2.3369330360562359</v>
      </c>
      <c r="G74">
        <v>6.4484462752620537</v>
      </c>
      <c r="H74">
        <v>106683.52834489795</v>
      </c>
      <c r="I74">
        <v>92</v>
      </c>
      <c r="J74">
        <v>48.422717938953809</v>
      </c>
      <c r="K74" t="str">
        <f t="shared" si="2"/>
        <v>OK</v>
      </c>
    </row>
    <row r="75" spans="1:11">
      <c r="A75" s="1">
        <v>44195</v>
      </c>
      <c r="B75" t="s">
        <v>12</v>
      </c>
      <c r="C75">
        <v>106</v>
      </c>
      <c r="D75">
        <v>32862.913906780792</v>
      </c>
      <c r="E75">
        <v>3.7962634746005914</v>
      </c>
      <c r="F75">
        <v>1.7550973551935509</v>
      </c>
      <c r="G75">
        <v>5.9080615534826686</v>
      </c>
      <c r="H75">
        <v>96894.819023505028</v>
      </c>
      <c r="I75">
        <v>80</v>
      </c>
      <c r="J75">
        <v>74.60093840929602</v>
      </c>
      <c r="K75" t="str">
        <f t="shared" si="2"/>
        <v>OK</v>
      </c>
    </row>
    <row r="76" spans="1:11">
      <c r="A76" s="1">
        <v>44225</v>
      </c>
      <c r="B76" t="s">
        <v>13</v>
      </c>
      <c r="C76">
        <v>120</v>
      </c>
      <c r="D76">
        <v>36996.777182930011</v>
      </c>
      <c r="E76">
        <v>3.8891805380833189</v>
      </c>
      <c r="F76">
        <v>1.8248217250256185</v>
      </c>
      <c r="G76">
        <v>6.1847355966634368</v>
      </c>
      <c r="H76">
        <v>61843.848842452178</v>
      </c>
      <c r="I76">
        <v>75</v>
      </c>
      <c r="J76">
        <v>72.978572666367441</v>
      </c>
      <c r="K76" t="str">
        <f t="shared" si="2"/>
        <v>OK</v>
      </c>
    </row>
    <row r="77" spans="1:11">
      <c r="A77" s="1">
        <v>44255</v>
      </c>
      <c r="B77" t="s">
        <v>12</v>
      </c>
      <c r="C77">
        <v>128.02105259999999</v>
      </c>
      <c r="D77">
        <v>38106.295579999998</v>
      </c>
      <c r="E77">
        <v>3.2244071418357332</v>
      </c>
      <c r="F77">
        <v>2.3554813292844821</v>
      </c>
      <c r="G77">
        <v>6.6618215926394333</v>
      </c>
      <c r="H77">
        <v>82792.299784409959</v>
      </c>
      <c r="I77">
        <v>91</v>
      </c>
      <c r="J77">
        <v>77.225784842330853</v>
      </c>
      <c r="K77" t="str">
        <f t="shared" si="2"/>
        <v>OK</v>
      </c>
    </row>
    <row r="78" spans="1:11">
      <c r="A78" s="1">
        <v>44285</v>
      </c>
      <c r="B78" t="s">
        <v>12</v>
      </c>
      <c r="C78">
        <v>118</v>
      </c>
      <c r="D78">
        <v>30298.151849600872</v>
      </c>
      <c r="E78">
        <v>3.0909005582888462</v>
      </c>
      <c r="F78">
        <v>1.7075800790000386</v>
      </c>
      <c r="G78">
        <v>5.1024299401800128</v>
      </c>
      <c r="H78">
        <v>91727.889331567116</v>
      </c>
      <c r="I78">
        <v>91</v>
      </c>
      <c r="J78">
        <v>41.451458368953666</v>
      </c>
      <c r="K78" t="str">
        <f t="shared" si="2"/>
        <v>OK</v>
      </c>
    </row>
    <row r="79" spans="1:11">
      <c r="A79" s="1">
        <v>44315</v>
      </c>
      <c r="B79" t="s">
        <v>14</v>
      </c>
      <c r="C79">
        <v>92</v>
      </c>
      <c r="D79">
        <v>26765.31611147213</v>
      </c>
      <c r="E79">
        <v>3.4983127712945241</v>
      </c>
      <c r="F79">
        <v>3.224108373</v>
      </c>
      <c r="G79">
        <v>4.7653159185906997</v>
      </c>
      <c r="H79">
        <v>137753.75314680382</v>
      </c>
      <c r="I79">
        <v>81</v>
      </c>
      <c r="J79">
        <v>45.253478493125279</v>
      </c>
      <c r="K79" t="str">
        <f t="shared" si="2"/>
        <v>OK</v>
      </c>
    </row>
    <row r="80" spans="1:11">
      <c r="A80" s="1">
        <v>44345</v>
      </c>
      <c r="B80" t="s">
        <v>14</v>
      </c>
      <c r="C80">
        <v>110</v>
      </c>
      <c r="D80">
        <v>33491.116568067948</v>
      </c>
      <c r="E80">
        <v>3.4149076887375358</v>
      </c>
      <c r="F80">
        <v>3.224108373</v>
      </c>
      <c r="G80">
        <v>4.1978193681306424</v>
      </c>
      <c r="H80">
        <v>111131.06249067516</v>
      </c>
      <c r="I80">
        <f>111.9136842</f>
        <v>111.91368420000001</v>
      </c>
      <c r="J80">
        <v>30.020098487696636</v>
      </c>
      <c r="K80" t="str">
        <f t="shared" si="2"/>
        <v>OK</v>
      </c>
    </row>
    <row r="81" spans="1:11">
      <c r="A81" s="1">
        <v>44375</v>
      </c>
      <c r="B81" t="s">
        <v>11</v>
      </c>
      <c r="C81">
        <v>101</v>
      </c>
      <c r="D81">
        <v>31967.426927108747</v>
      </c>
      <c r="E81">
        <v>3.2733859753363626</v>
      </c>
      <c r="F81">
        <v>2.7132937073729386</v>
      </c>
      <c r="G81">
        <v>4.5095073640252537</v>
      </c>
      <c r="H81">
        <v>73290.368618002176</v>
      </c>
      <c r="I81">
        <v>104</v>
      </c>
      <c r="J81">
        <v>72.440797747689004</v>
      </c>
      <c r="K81" t="str">
        <f t="shared" si="2"/>
        <v>OK</v>
      </c>
    </row>
    <row r="82" spans="1:11">
      <c r="A82" s="1">
        <v>44405</v>
      </c>
      <c r="B82" t="s">
        <v>13</v>
      </c>
      <c r="C82">
        <v>84</v>
      </c>
      <c r="D82">
        <v>34475.966100138663</v>
      </c>
      <c r="E82">
        <v>3.8481937237283574</v>
      </c>
      <c r="F82">
        <v>2.5012054753622244</v>
      </c>
      <c r="G82">
        <v>9.0389133103704697</v>
      </c>
      <c r="H82">
        <v>109720.72578835273</v>
      </c>
      <c r="I82">
        <v>99</v>
      </c>
      <c r="J82">
        <v>23.183770186852204</v>
      </c>
      <c r="K82" t="str">
        <f t="shared" si="2"/>
        <v>OK</v>
      </c>
    </row>
    <row r="83" spans="1:11">
      <c r="A83" s="1">
        <v>44435</v>
      </c>
      <c r="B83" t="s">
        <v>12</v>
      </c>
      <c r="C83">
        <v>115</v>
      </c>
      <c r="D83">
        <v>33175.859008409847</v>
      </c>
      <c r="E83">
        <v>4.5778345189999996</v>
      </c>
      <c r="F83">
        <v>1.6829113689318094</v>
      </c>
      <c r="G83">
        <v>6.9936154968841437</v>
      </c>
      <c r="H83">
        <v>69053.920221232693</v>
      </c>
      <c r="I83">
        <v>92</v>
      </c>
      <c r="J83">
        <v>67.814586841876718</v>
      </c>
      <c r="K83" t="str">
        <f t="shared" si="2"/>
        <v>OK</v>
      </c>
    </row>
    <row r="84" spans="1:11">
      <c r="A84" s="1">
        <v>44465</v>
      </c>
      <c r="B84" t="s">
        <v>11</v>
      </c>
      <c r="C84">
        <v>95</v>
      </c>
      <c r="D84">
        <v>35247.763576596677</v>
      </c>
      <c r="E84">
        <v>3.5442034431459235</v>
      </c>
      <c r="F84">
        <v>3.1592456684324048</v>
      </c>
      <c r="G84">
        <v>3.8787107605503746</v>
      </c>
      <c r="H84">
        <v>121653.82107774146</v>
      </c>
      <c r="I84">
        <v>83</v>
      </c>
      <c r="J84">
        <v>89.575670788130708</v>
      </c>
      <c r="K84" t="str">
        <f t="shared" si="2"/>
        <v>OK</v>
      </c>
    </row>
    <row r="85" spans="1:11">
      <c r="A85" s="1">
        <v>44495</v>
      </c>
      <c r="B85" t="s">
        <v>10</v>
      </c>
      <c r="C85">
        <v>114</v>
      </c>
      <c r="D85">
        <v>27323.823942197159</v>
      </c>
      <c r="E85">
        <v>4.2387650405276309</v>
      </c>
      <c r="F85">
        <v>3.4375701376265582</v>
      </c>
      <c r="G85">
        <v>3.9130504519077158</v>
      </c>
      <c r="H85">
        <v>90577.50696364243</v>
      </c>
      <c r="I85">
        <f>111.9136842</f>
        <v>111.91368420000001</v>
      </c>
      <c r="J85">
        <v>91.266571863170682</v>
      </c>
      <c r="K85" t="str">
        <f t="shared" si="2"/>
        <v>OK</v>
      </c>
    </row>
    <row r="86" spans="1:11">
      <c r="A86" s="1">
        <v>44525</v>
      </c>
      <c r="B86" t="s">
        <v>12</v>
      </c>
      <c r="C86">
        <v>104</v>
      </c>
      <c r="D86">
        <v>36586.970328171628</v>
      </c>
      <c r="E86">
        <v>2.9291554429332476</v>
      </c>
      <c r="F86">
        <v>0.89244013563102587</v>
      </c>
      <c r="G86">
        <f>6.97388673</f>
        <v>6.9738867300000003</v>
      </c>
      <c r="H86">
        <v>98127.276225216585</v>
      </c>
      <c r="I86">
        <v>91</v>
      </c>
      <c r="J86">
        <v>55.923020829596936</v>
      </c>
      <c r="K86" t="str">
        <f t="shared" si="2"/>
        <v>OK</v>
      </c>
    </row>
    <row r="87" spans="1:11">
      <c r="A87" s="1">
        <v>44555</v>
      </c>
      <c r="B87" t="s">
        <v>10</v>
      </c>
      <c r="C87">
        <v>89</v>
      </c>
      <c r="D87">
        <v>30987.998023461998</v>
      </c>
      <c r="E87">
        <v>3.4031702703601407</v>
      </c>
      <c r="F87">
        <v>1.7372752214337859</v>
      </c>
      <c r="G87">
        <v>6.1567177568535607</v>
      </c>
      <c r="H87">
        <v>126515.93295084379</v>
      </c>
      <c r="I87">
        <f>111.9136842</f>
        <v>111.91368420000001</v>
      </c>
      <c r="J87">
        <v>56.744295057045903</v>
      </c>
      <c r="K87" t="str">
        <f t="shared" si="2"/>
        <v>OK</v>
      </c>
    </row>
    <row r="88" spans="1:11">
      <c r="A88" s="1">
        <v>44585</v>
      </c>
      <c r="B88" t="s">
        <v>11</v>
      </c>
      <c r="C88">
        <v>128.02105259999999</v>
      </c>
      <c r="D88">
        <v>40376.304363126328</v>
      </c>
      <c r="E88">
        <v>3.1415888396985974</v>
      </c>
      <c r="F88">
        <v>1.7308576502127018</v>
      </c>
      <c r="G88">
        <v>6.158660602380837</v>
      </c>
      <c r="H88">
        <v>74256.728628315002</v>
      </c>
      <c r="I88">
        <v>74</v>
      </c>
      <c r="J88">
        <v>26.157534640641387</v>
      </c>
      <c r="K88" t="str">
        <f t="shared" si="2"/>
        <v>OK</v>
      </c>
    </row>
    <row r="89" spans="1:11">
      <c r="A89" s="1">
        <v>44615</v>
      </c>
      <c r="B89" t="s">
        <v>14</v>
      </c>
      <c r="C89">
        <v>85</v>
      </c>
      <c r="D89">
        <v>26554.060909552161</v>
      </c>
      <c r="E89">
        <v>2.5667316914634699</v>
      </c>
      <c r="F89">
        <v>1.5600968988911355</v>
      </c>
      <c r="G89">
        <v>5.1940530477355624</v>
      </c>
      <c r="H89">
        <v>72057.636297740173</v>
      </c>
      <c r="I89">
        <v>80</v>
      </c>
      <c r="J89">
        <v>73.661202035442855</v>
      </c>
      <c r="K89" t="str">
        <f t="shared" si="2"/>
        <v>OK</v>
      </c>
    </row>
    <row r="90" spans="1:11">
      <c r="A90" s="1">
        <v>44645</v>
      </c>
      <c r="B90" t="s">
        <v>11</v>
      </c>
      <c r="C90">
        <v>101</v>
      </c>
      <c r="D90">
        <v>38679.819015826244</v>
      </c>
      <c r="E90">
        <v>3.4586596570786505</v>
      </c>
      <c r="F90">
        <v>3.3294748419317486</v>
      </c>
      <c r="G90">
        <v>5.3494548879965196</v>
      </c>
      <c r="H90">
        <v>88328.013473079904</v>
      </c>
      <c r="I90">
        <v>81</v>
      </c>
      <c r="J90">
        <v>85.700753629827645</v>
      </c>
      <c r="K90" t="str">
        <f t="shared" si="2"/>
        <v>OK</v>
      </c>
    </row>
    <row r="91" spans="1:11">
      <c r="A91" s="1">
        <v>44675</v>
      </c>
      <c r="B91" t="s">
        <v>10</v>
      </c>
      <c r="C91">
        <v>104</v>
      </c>
      <c r="D91">
        <v>30989.553917313238</v>
      </c>
      <c r="E91">
        <v>3.439126245808358</v>
      </c>
      <c r="F91">
        <v>2.3061738612271965</v>
      </c>
      <c r="G91">
        <v>5.8934554289912287</v>
      </c>
      <c r="H91">
        <v>120767.57702038634</v>
      </c>
      <c r="I91">
        <v>87</v>
      </c>
      <c r="J91">
        <v>39.572404368377043</v>
      </c>
      <c r="K91" t="str">
        <f t="shared" si="2"/>
        <v>OK</v>
      </c>
    </row>
    <row r="92" spans="1:11">
      <c r="A92" s="1">
        <v>44705</v>
      </c>
      <c r="B92" t="s">
        <v>12</v>
      </c>
      <c r="C92">
        <v>106</v>
      </c>
      <c r="D92">
        <v>38106.295579999998</v>
      </c>
      <c r="E92">
        <v>4.2567248716210653</v>
      </c>
      <c r="F92">
        <v>2.2354851586893894</v>
      </c>
      <c r="G92">
        <v>5.6030716075519962</v>
      </c>
      <c r="H92">
        <v>69613.078490463144</v>
      </c>
      <c r="I92">
        <v>95</v>
      </c>
      <c r="J92">
        <v>53.704070530669171</v>
      </c>
      <c r="K92" t="str">
        <f t="shared" si="2"/>
        <v>OK</v>
      </c>
    </row>
    <row r="93" spans="1:11">
      <c r="A93" s="1">
        <v>44735</v>
      </c>
      <c r="B93" t="s">
        <v>13</v>
      </c>
      <c r="C93">
        <v>95</v>
      </c>
      <c r="D93">
        <v>27580.570829728393</v>
      </c>
      <c r="E93">
        <v>3.8154058422773889</v>
      </c>
      <c r="F93">
        <v>0.49613763559324653</v>
      </c>
      <c r="G93">
        <v>2.836839552702958</v>
      </c>
      <c r="H93">
        <v>43356.888037788623</v>
      </c>
      <c r="I93">
        <v>108</v>
      </c>
      <c r="J93">
        <v>87.107146941221629</v>
      </c>
      <c r="K93" t="str">
        <f t="shared" si="2"/>
        <v>OK</v>
      </c>
    </row>
    <row r="94" spans="1:11">
      <c r="A94" s="1">
        <v>44765</v>
      </c>
      <c r="B94" t="s">
        <v>11</v>
      </c>
      <c r="C94">
        <v>104</v>
      </c>
      <c r="D94">
        <v>28398.2634590284</v>
      </c>
      <c r="E94">
        <v>2.9879065878353974</v>
      </c>
      <c r="F94">
        <v>3.1354180302092263</v>
      </c>
      <c r="G94">
        <v>5.2242404433097676</v>
      </c>
      <c r="H94">
        <v>90976.822831820027</v>
      </c>
      <c r="I94">
        <v>79</v>
      </c>
      <c r="J94">
        <v>90.169637412983036</v>
      </c>
      <c r="K94" t="str">
        <f t="shared" si="2"/>
        <v>OK</v>
      </c>
    </row>
    <row r="95" spans="1:11">
      <c r="A95" s="1">
        <v>44795</v>
      </c>
      <c r="B95" t="s">
        <v>12</v>
      </c>
      <c r="C95">
        <v>105</v>
      </c>
      <c r="D95">
        <v>32120.829732009581</v>
      </c>
      <c r="E95">
        <v>4.427046283167094</v>
      </c>
      <c r="F95">
        <v>1.2607416051465274</v>
      </c>
      <c r="G95">
        <v>4.478312278887624</v>
      </c>
      <c r="H95">
        <f>128897.2893</f>
        <v>128897.2893</v>
      </c>
      <c r="I95">
        <v>89</v>
      </c>
      <c r="J95">
        <v>39.454398421138073</v>
      </c>
      <c r="K95" t="str">
        <f t="shared" si="2"/>
        <v>OK</v>
      </c>
    </row>
    <row r="96" spans="1:11">
      <c r="A96" s="1">
        <v>44825</v>
      </c>
      <c r="B96" t="s">
        <v>14</v>
      </c>
      <c r="C96">
        <v>84</v>
      </c>
      <c r="D96">
        <v>32614.177440177496</v>
      </c>
      <c r="E96">
        <v>4.1105168477626766</v>
      </c>
      <c r="F96">
        <v>2.5599326302663283</v>
      </c>
      <c r="G96">
        <v>5.7102537026902143</v>
      </c>
      <c r="H96">
        <v>124005.23499477659</v>
      </c>
      <c r="I96">
        <v>95</v>
      </c>
      <c r="J96">
        <v>64.045650763309141</v>
      </c>
      <c r="K96" t="str">
        <f t="shared" si="2"/>
        <v>OK</v>
      </c>
    </row>
    <row r="97" spans="1:11">
      <c r="A97" s="1">
        <v>44855</v>
      </c>
      <c r="B97" t="s">
        <v>14</v>
      </c>
      <c r="C97">
        <v>93</v>
      </c>
      <c r="D97">
        <v>27131.499980307104</v>
      </c>
      <c r="E97">
        <v>3.7910488517343079</v>
      </c>
      <c r="F97">
        <v>2.7773769379581918</v>
      </c>
      <c r="G97">
        <v>9.0823108031240913</v>
      </c>
      <c r="H97">
        <v>90736.77275829202</v>
      </c>
      <c r="I97">
        <v>96</v>
      </c>
      <c r="J97">
        <v>35.399452050866167</v>
      </c>
      <c r="K97" t="str">
        <f t="shared" si="2"/>
        <v>OK</v>
      </c>
    </row>
    <row r="98" spans="1:11">
      <c r="A98" s="1">
        <v>44885</v>
      </c>
      <c r="B98" t="s">
        <v>14</v>
      </c>
      <c r="C98">
        <v>115</v>
      </c>
      <c r="D98">
        <v>29878.227038695084</v>
      </c>
      <c r="E98">
        <v>3.3867579505750842</v>
      </c>
      <c r="F98">
        <v>3.8606585958386512</v>
      </c>
      <c r="G98">
        <v>5.9409779985691653</v>
      </c>
      <c r="H98">
        <v>91771.467857679949</v>
      </c>
      <c r="I98">
        <v>103</v>
      </c>
      <c r="J98">
        <v>28.150301131164525</v>
      </c>
      <c r="K98" t="str">
        <f t="shared" si="2"/>
        <v>OK</v>
      </c>
    </row>
    <row r="99" spans="1:11">
      <c r="A99" s="1">
        <v>44915</v>
      </c>
      <c r="B99" t="s">
        <v>12</v>
      </c>
      <c r="C99">
        <v>109</v>
      </c>
      <c r="D99">
        <v>40711.351793059323</v>
      </c>
      <c r="E99">
        <v>3.0202803816382602</v>
      </c>
      <c r="F99">
        <v>1.1911796008808879</v>
      </c>
      <c r="G99">
        <v>5.1237643765931224</v>
      </c>
      <c r="H99">
        <v>123078.01468511495</v>
      </c>
      <c r="I99">
        <v>82</v>
      </c>
      <c r="J99">
        <v>92.889640111356599</v>
      </c>
      <c r="K99" t="str">
        <f t="shared" si="2"/>
        <v>OK</v>
      </c>
    </row>
    <row r="100" spans="1:11">
      <c r="A100" s="1">
        <v>44945</v>
      </c>
      <c r="B100" t="s">
        <v>11</v>
      </c>
      <c r="C100">
        <v>102</v>
      </c>
      <c r="D100">
        <v>38637.715850503555</v>
      </c>
      <c r="E100">
        <v>3.3138966119644735</v>
      </c>
      <c r="F100">
        <v>-0.51951215582082533</v>
      </c>
      <c r="G100">
        <v>6.6061618023727027</v>
      </c>
      <c r="H100">
        <v>62605.166006091589</v>
      </c>
      <c r="I100">
        <v>83</v>
      </c>
      <c r="J100">
        <v>85.640600338568731</v>
      </c>
      <c r="K100" t="str">
        <f t="shared" si="2"/>
        <v>OK</v>
      </c>
    </row>
    <row r="101" spans="1:11">
      <c r="A101" s="1">
        <v>44975</v>
      </c>
      <c r="B101" t="s">
        <v>12</v>
      </c>
      <c r="C101">
        <v>900</v>
      </c>
      <c r="D101">
        <v>32181.618348370161</v>
      </c>
      <c r="E101">
        <v>4.0443743098520928</v>
      </c>
      <c r="F101">
        <v>2.683849544753695</v>
      </c>
      <c r="G101">
        <v>6.0792254646510555</v>
      </c>
      <c r="H101">
        <v>92229.584496339812</v>
      </c>
      <c r="I101">
        <v>78</v>
      </c>
      <c r="J101">
        <v>80.802792144253914</v>
      </c>
      <c r="K101" t="str">
        <f t="shared" si="2"/>
        <v>OK</v>
      </c>
    </row>
    <row r="102" spans="1:11">
      <c r="A102" s="1">
        <v>45005</v>
      </c>
      <c r="B102" t="s">
        <v>12</v>
      </c>
      <c r="C102">
        <v>93</v>
      </c>
      <c r="D102">
        <v>30190.017390841</v>
      </c>
      <c r="E102">
        <v>4.4422931529673049</v>
      </c>
      <c r="F102">
        <v>4.3005111815108537</v>
      </c>
      <c r="G102">
        <v>6.0041133885422093</v>
      </c>
      <c r="H102">
        <v>103808.47779850116</v>
      </c>
      <c r="I102">
        <v>90</v>
      </c>
      <c r="J102">
        <v>23.901305505051234</v>
      </c>
      <c r="K102" t="str">
        <f t="shared" si="2"/>
        <v>OK</v>
      </c>
    </row>
    <row r="103" spans="1:11">
      <c r="A103" s="1">
        <v>45035</v>
      </c>
      <c r="B103" t="s">
        <v>13</v>
      </c>
      <c r="C103">
        <v>128.02105259999999</v>
      </c>
      <c r="D103">
        <v>30600.156633591305</v>
      </c>
      <c r="E103">
        <v>4.2716217641360945</v>
      </c>
      <c r="F103">
        <v>3.7389463529394371</v>
      </c>
      <c r="G103">
        <v>6.2282207118588051</v>
      </c>
      <c r="H103">
        <v>108984.37442570069</v>
      </c>
      <c r="I103">
        <v>820</v>
      </c>
      <c r="J103">
        <v>87.49830341682059</v>
      </c>
      <c r="K103" t="str">
        <f t="shared" si="2"/>
        <v>OK</v>
      </c>
    </row>
    <row r="104" spans="1:11">
      <c r="A104" s="1">
        <v>45065</v>
      </c>
      <c r="B104" t="s">
        <v>13</v>
      </c>
      <c r="C104">
        <v>117</v>
      </c>
      <c r="D104">
        <v>33067.589863652087</v>
      </c>
      <c r="E104">
        <v>3.2555752891068628</v>
      </c>
      <c r="F104">
        <v>2.7096594152746256</v>
      </c>
      <c r="G104">
        <v>7.9678522777954495</v>
      </c>
      <c r="H104">
        <v>898038.66136182344</v>
      </c>
      <c r="I104">
        <v>98</v>
      </c>
      <c r="J104">
        <v>55.043526072430701</v>
      </c>
      <c r="K104" t="str">
        <f t="shared" si="2"/>
        <v>OK</v>
      </c>
    </row>
    <row r="105" spans="1:11">
      <c r="A105" s="1">
        <v>45095</v>
      </c>
      <c r="B105" t="s">
        <v>11</v>
      </c>
      <c r="C105">
        <v>98</v>
      </c>
      <c r="D105">
        <v>24886.037174007972</v>
      </c>
      <c r="E105">
        <v>2.9401912833554942</v>
      </c>
      <c r="F105">
        <v>2.0083638143679527</v>
      </c>
      <c r="G105">
        <v>4.1429338776089013</v>
      </c>
      <c r="H105">
        <v>100688.82023411682</v>
      </c>
      <c r="I105">
        <v>87</v>
      </c>
      <c r="J105">
        <v>47.391609863668769</v>
      </c>
      <c r="K105" t="str">
        <f t="shared" si="2"/>
        <v>OK</v>
      </c>
    </row>
    <row r="106" spans="1:11">
      <c r="A106" s="1">
        <v>45125</v>
      </c>
      <c r="B106" t="s">
        <v>13</v>
      </c>
      <c r="C106">
        <v>94</v>
      </c>
      <c r="D106">
        <v>28713.117312883274</v>
      </c>
      <c r="E106">
        <v>3.5704431234556018</v>
      </c>
      <c r="F106">
        <v>3.3071225966373103</v>
      </c>
      <c r="G106">
        <v>6.0683584921737452</v>
      </c>
      <c r="H106">
        <v>50233.452931740212</v>
      </c>
      <c r="I106">
        <v>108</v>
      </c>
      <c r="J106">
        <v>63.718108882030116</v>
      </c>
      <c r="K106" t="str">
        <f t="shared" si="2"/>
        <v>OK</v>
      </c>
    </row>
    <row r="107" spans="1:11">
      <c r="A107" s="1">
        <v>45155</v>
      </c>
      <c r="B107" t="s">
        <v>14</v>
      </c>
      <c r="C107">
        <v>112</v>
      </c>
      <c r="D107">
        <v>21657.079630612054</v>
      </c>
      <c r="E107">
        <v>2.6157803172185741</v>
      </c>
      <c r="F107">
        <v>3.224108373</v>
      </c>
      <c r="G107">
        <v>4.3883426440221545</v>
      </c>
      <c r="H107">
        <v>86835.031753323041</v>
      </c>
      <c r="I107">
        <v>98</v>
      </c>
      <c r="J107">
        <v>27.308259417884464</v>
      </c>
      <c r="K107" t="str">
        <f t="shared" si="2"/>
        <v>OK</v>
      </c>
    </row>
    <row r="108" spans="1:11">
      <c r="A108" s="1">
        <v>45185</v>
      </c>
      <c r="B108" t="s">
        <v>13</v>
      </c>
      <c r="C108">
        <v>89</v>
      </c>
      <c r="D108">
        <v>31996.115613026395</v>
      </c>
      <c r="E108">
        <v>3.6615838570923906</v>
      </c>
      <c r="F108">
        <v>2.9763577693562193</v>
      </c>
      <c r="G108">
        <v>6.1666151756106977</v>
      </c>
      <c r="H108">
        <v>109070.17425108935</v>
      </c>
      <c r="I108">
        <v>87</v>
      </c>
      <c r="J108">
        <v>80.53172394819191</v>
      </c>
      <c r="K108" t="str">
        <f t="shared" si="2"/>
        <v>OK</v>
      </c>
    </row>
    <row r="109" spans="1:11">
      <c r="A109" s="1">
        <v>45215</v>
      </c>
      <c r="B109" t="s">
        <v>14</v>
      </c>
      <c r="C109">
        <v>119</v>
      </c>
      <c r="D109">
        <v>33235.979698513707</v>
      </c>
      <c r="E109">
        <v>3.4261987068506659</v>
      </c>
      <c r="F109">
        <v>3.0054701591666269</v>
      </c>
      <c r="G109">
        <v>4.3975761862166873</v>
      </c>
      <c r="H109">
        <v>80354.119314906406</v>
      </c>
      <c r="I109">
        <v>95</v>
      </c>
      <c r="J109">
        <v>66.594806151063665</v>
      </c>
      <c r="K109" t="str">
        <f t="shared" si="2"/>
        <v>OK</v>
      </c>
    </row>
    <row r="110" spans="1:11">
      <c r="A110" s="1">
        <v>45245</v>
      </c>
      <c r="B110" t="s">
        <v>11</v>
      </c>
      <c r="C110">
        <v>102</v>
      </c>
      <c r="D110">
        <v>27584.067688503128</v>
      </c>
      <c r="E110">
        <v>3.266981749065879</v>
      </c>
      <c r="F110">
        <v>3.56020990749888</v>
      </c>
      <c r="G110">
        <v>4.9991598236738986</v>
      </c>
      <c r="H110">
        <f>128897.2893</f>
        <v>128897.2893</v>
      </c>
      <c r="I110">
        <v>92</v>
      </c>
      <c r="J110">
        <v>34.927207749853402</v>
      </c>
      <c r="K110" t="str">
        <f t="shared" si="2"/>
        <v>OK</v>
      </c>
    </row>
    <row r="111" spans="1:11">
      <c r="A111" s="1">
        <v>45275</v>
      </c>
      <c r="B111" t="s">
        <v>12</v>
      </c>
      <c r="C111">
        <v>87</v>
      </c>
      <c r="D111">
        <v>37869.933816450168</v>
      </c>
      <c r="E111">
        <v>2.7026484663666022</v>
      </c>
      <c r="F111">
        <v>3.224108373</v>
      </c>
      <c r="G111">
        <v>5.1458921029145124</v>
      </c>
      <c r="H111">
        <v>108937.45001605396</v>
      </c>
      <c r="I111">
        <v>90</v>
      </c>
      <c r="J111">
        <v>35.058575981523646</v>
      </c>
      <c r="K111" t="str">
        <f t="shared" si="2"/>
        <v>OK</v>
      </c>
    </row>
    <row r="112" spans="1:11">
      <c r="A112" s="1">
        <v>45305</v>
      </c>
      <c r="B112" t="s">
        <v>12</v>
      </c>
      <c r="C112">
        <v>113</v>
      </c>
      <c r="D112">
        <v>23871.171684988294</v>
      </c>
      <c r="E112">
        <v>3.7568000532848584</v>
      </c>
      <c r="F112">
        <v>2.892415967178767</v>
      </c>
      <c r="G112">
        <v>6.6709800632136513</v>
      </c>
      <c r="H112">
        <v>93149.015982844707</v>
      </c>
      <c r="I112">
        <v>88</v>
      </c>
      <c r="J112">
        <v>34.739892125813938</v>
      </c>
      <c r="K112" t="str">
        <f t="shared" si="2"/>
        <v>OK</v>
      </c>
    </row>
    <row r="113" spans="1:11">
      <c r="A113" s="1">
        <v>45335</v>
      </c>
      <c r="B113" t="s">
        <v>13</v>
      </c>
      <c r="C113">
        <v>106</v>
      </c>
      <c r="D113">
        <v>22678.125598950901</v>
      </c>
      <c r="E113">
        <v>3.2336495801690441</v>
      </c>
      <c r="F113">
        <v>1.9910363742925012</v>
      </c>
      <c r="G113">
        <v>6.6021453327308963</v>
      </c>
      <c r="H113">
        <v>103409.27541993142</v>
      </c>
      <c r="I113">
        <f>111.9136842</f>
        <v>111.91368420000001</v>
      </c>
      <c r="J113">
        <v>24.560191004154717</v>
      </c>
      <c r="K113" t="str">
        <f t="shared" si="2"/>
        <v>OK</v>
      </c>
    </row>
    <row r="114" spans="1:11">
      <c r="A114" s="1">
        <v>45365</v>
      </c>
      <c r="B114" t="s">
        <v>14</v>
      </c>
      <c r="C114">
        <v>96</v>
      </c>
      <c r="D114">
        <v>38106.295579999998</v>
      </c>
      <c r="E114">
        <v>2.9150415821448559</v>
      </c>
      <c r="F114">
        <v>2.4744256878080058</v>
      </c>
      <c r="G114">
        <f>6.97388673</f>
        <v>6.9738867300000003</v>
      </c>
      <c r="H114">
        <v>80745.348694307759</v>
      </c>
      <c r="I114">
        <v>87</v>
      </c>
      <c r="J114">
        <v>67.023875949734787</v>
      </c>
      <c r="K114" t="str">
        <f t="shared" si="2"/>
        <v>OK</v>
      </c>
    </row>
    <row r="115" spans="1:11">
      <c r="A115" s="1">
        <v>45395</v>
      </c>
      <c r="B115" t="s">
        <v>10</v>
      </c>
      <c r="C115">
        <v>110</v>
      </c>
      <c r="D115">
        <v>35235.49151306077</v>
      </c>
      <c r="E115">
        <v>2.0638688933591753</v>
      </c>
      <c r="F115">
        <v>0.73092409511088174</v>
      </c>
      <c r="G115">
        <v>5.5659209331998181</v>
      </c>
      <c r="H115">
        <v>95867.774406079072</v>
      </c>
      <c r="I115">
        <v>81</v>
      </c>
      <c r="J115">
        <v>87.227854207080654</v>
      </c>
      <c r="K115" t="str">
        <f t="shared" si="2"/>
        <v>OK</v>
      </c>
    </row>
    <row r="116" spans="1:11">
      <c r="A116" s="1">
        <v>45425</v>
      </c>
      <c r="B116" t="s">
        <v>10</v>
      </c>
      <c r="C116">
        <v>100</v>
      </c>
      <c r="D116">
        <v>38419.638457289344</v>
      </c>
      <c r="E116">
        <v>3.4862425474746819</v>
      </c>
      <c r="F116">
        <v>1.8052868689109418</v>
      </c>
      <c r="G116">
        <v>4.6485041743009932</v>
      </c>
      <c r="H116">
        <v>1122043.2339178445</v>
      </c>
      <c r="I116">
        <v>105</v>
      </c>
      <c r="J116">
        <v>21.399857118991086</v>
      </c>
      <c r="K116" t="str">
        <f t="shared" si="2"/>
        <v>OK</v>
      </c>
    </row>
    <row r="117" spans="1:11">
      <c r="A117" s="1">
        <v>45455</v>
      </c>
      <c r="B117" t="s">
        <v>10</v>
      </c>
      <c r="C117">
        <v>128.02105259999999</v>
      </c>
      <c r="D117">
        <v>27705.578685655299</v>
      </c>
      <c r="E117">
        <v>4.3861257983348718</v>
      </c>
      <c r="F117">
        <v>2.0907175618868958</v>
      </c>
      <c r="G117">
        <v>3.9897941071895984</v>
      </c>
      <c r="H117">
        <v>103139.45921936868</v>
      </c>
      <c r="I117">
        <v>101</v>
      </c>
      <c r="J117">
        <v>23.920371597701884</v>
      </c>
      <c r="K117" t="str">
        <f t="shared" si="2"/>
        <v>OK</v>
      </c>
    </row>
    <row r="118" spans="1:11">
      <c r="A118" s="1">
        <v>45485</v>
      </c>
      <c r="B118" t="s">
        <v>12</v>
      </c>
      <c r="C118">
        <v>106</v>
      </c>
      <c r="D118">
        <v>35393.404167156477</v>
      </c>
      <c r="E118">
        <v>4.3306296072739352</v>
      </c>
      <c r="F118">
        <v>1.9759116020654075</v>
      </c>
      <c r="G118">
        <v>5.2395795394907552</v>
      </c>
      <c r="H118">
        <v>88269.374608721293</v>
      </c>
      <c r="I118">
        <v>113</v>
      </c>
      <c r="J118">
        <v>65.82162213495566</v>
      </c>
      <c r="K118" t="str">
        <f t="shared" si="2"/>
        <v>OK</v>
      </c>
    </row>
    <row r="119" spans="1:11">
      <c r="A119" s="1">
        <v>45515</v>
      </c>
      <c r="B119" t="s">
        <v>12</v>
      </c>
      <c r="C119">
        <v>114</v>
      </c>
      <c r="D119">
        <v>29807.457652496465</v>
      </c>
      <c r="E119">
        <v>3.2714518717068639</v>
      </c>
      <c r="F119">
        <v>2.652354872033722</v>
      </c>
      <c r="G119">
        <v>5.1298206538530167</v>
      </c>
      <c r="H119">
        <v>104484.32808581585</v>
      </c>
      <c r="I119">
        <v>85</v>
      </c>
      <c r="J119">
        <v>85.559654830884185</v>
      </c>
      <c r="K119" t="str">
        <f t="shared" si="2"/>
        <v>OK</v>
      </c>
    </row>
    <row r="120" spans="1:11">
      <c r="A120" s="1">
        <v>45545</v>
      </c>
      <c r="B120" t="s">
        <v>14</v>
      </c>
      <c r="C120">
        <v>96</v>
      </c>
      <c r="D120">
        <v>29136.863500295902</v>
      </c>
      <c r="E120">
        <v>3.1988939698191099</v>
      </c>
      <c r="F120">
        <v>3.224108373</v>
      </c>
      <c r="G120">
        <v>8.4120597836146267</v>
      </c>
      <c r="H120">
        <v>114292.19581273236</v>
      </c>
      <c r="I120">
        <v>90</v>
      </c>
      <c r="J120">
        <v>46.139111245490689</v>
      </c>
      <c r="K120" t="str">
        <f t="shared" si="2"/>
        <v>OK</v>
      </c>
    </row>
    <row r="121" spans="1:11">
      <c r="A121" s="1">
        <v>45575</v>
      </c>
      <c r="B121" t="s">
        <v>13</v>
      </c>
      <c r="C121">
        <v>102</v>
      </c>
      <c r="D121">
        <v>34418.299687433362</v>
      </c>
      <c r="E121">
        <v>3.734387128037512</v>
      </c>
      <c r="F121">
        <v>3.6210306673244714</v>
      </c>
      <c r="G121">
        <v>6.0195517904328355</v>
      </c>
      <c r="H121">
        <v>59001.174428450438</v>
      </c>
      <c r="I121">
        <v>83</v>
      </c>
      <c r="J121">
        <v>47.969151904617775</v>
      </c>
      <c r="K121" t="str">
        <f t="shared" si="2"/>
        <v>OK</v>
      </c>
    </row>
    <row r="122" spans="1:11">
      <c r="A122" s="1">
        <v>45605</v>
      </c>
      <c r="B122" t="s">
        <v>10</v>
      </c>
      <c r="C122">
        <v>128.02105259999999</v>
      </c>
      <c r="D122">
        <v>33261.614392067095</v>
      </c>
      <c r="E122">
        <v>30.008072804058543</v>
      </c>
      <c r="F122">
        <v>2.5002070649181971</v>
      </c>
      <c r="G122">
        <v>3.8468589990949154</v>
      </c>
      <c r="H122">
        <v>123181.48129911795</v>
      </c>
      <c r="I122">
        <v>99</v>
      </c>
      <c r="J122">
        <v>67.70771979974208</v>
      </c>
      <c r="K122" t="str">
        <f t="shared" si="2"/>
        <v>OK</v>
      </c>
    </row>
    <row r="123" spans="1:11">
      <c r="A123" s="1">
        <v>45635</v>
      </c>
      <c r="B123" t="s">
        <v>14</v>
      </c>
      <c r="C123">
        <v>93</v>
      </c>
      <c r="D123">
        <v>22118.039215078752</v>
      </c>
      <c r="E123">
        <v>3.6508959499097329</v>
      </c>
      <c r="F123">
        <v>2.4906996788613855</v>
      </c>
      <c r="G123">
        <v>4.8222711949948689</v>
      </c>
      <c r="H123">
        <v>93274.905226378556</v>
      </c>
      <c r="I123">
        <v>84</v>
      </c>
      <c r="J123">
        <v>41.937031129931761</v>
      </c>
      <c r="K123" t="str">
        <f t="shared" si="2"/>
        <v>OK</v>
      </c>
    </row>
    <row r="124" spans="1:11">
      <c r="A124" s="1">
        <v>45665</v>
      </c>
      <c r="B124" t="s">
        <v>14</v>
      </c>
      <c r="C124">
        <v>69</v>
      </c>
      <c r="D124">
        <v>37382.701748629479</v>
      </c>
      <c r="E124">
        <v>38.830401391923452</v>
      </c>
      <c r="F124">
        <v>2.172105283487082</v>
      </c>
      <c r="G124">
        <v>6.7256599545152778</v>
      </c>
      <c r="H124">
        <v>108509.79866480461</v>
      </c>
      <c r="I124">
        <f>111.9136842</f>
        <v>111.91368420000001</v>
      </c>
      <c r="J124">
        <v>22.128669286214731</v>
      </c>
      <c r="K124" t="str">
        <f t="shared" si="2"/>
        <v>OK</v>
      </c>
    </row>
    <row r="125" spans="1:11">
      <c r="A125" s="1">
        <v>45695</v>
      </c>
      <c r="B125" t="s">
        <v>13</v>
      </c>
      <c r="C125">
        <v>111</v>
      </c>
      <c r="D125">
        <v>36900.456770737255</v>
      </c>
      <c r="E125">
        <v>4.1134666119421537</v>
      </c>
      <c r="F125">
        <v>2.6551906838589789</v>
      </c>
      <c r="G125">
        <v>8.0061313274439101</v>
      </c>
      <c r="H125">
        <v>123944.93847290456</v>
      </c>
      <c r="I125">
        <v>78</v>
      </c>
      <c r="J125">
        <v>78.818281448127692</v>
      </c>
      <c r="K125" t="str">
        <f t="shared" si="2"/>
        <v>OK</v>
      </c>
    </row>
    <row r="126" spans="1:11">
      <c r="A126" s="1">
        <v>45725</v>
      </c>
      <c r="B126" t="s">
        <v>14</v>
      </c>
      <c r="C126">
        <v>87</v>
      </c>
      <c r="D126">
        <v>38106.295579999998</v>
      </c>
      <c r="E126">
        <v>3.4499229617600236</v>
      </c>
      <c r="F126">
        <v>3.3250982646676346</v>
      </c>
      <c r="G126">
        <v>3.5968200253144502</v>
      </c>
      <c r="H126">
        <v>72566.526055390685</v>
      </c>
      <c r="I126">
        <v>110</v>
      </c>
      <c r="J126">
        <f>80.21517797</f>
        <v>80.215177969999999</v>
      </c>
      <c r="K126" t="str">
        <f t="shared" si="2"/>
        <v>OK</v>
      </c>
    </row>
    <row r="127" spans="1:11">
      <c r="A127" s="1">
        <v>45755</v>
      </c>
      <c r="B127" t="s">
        <v>13</v>
      </c>
      <c r="C127">
        <v>1080</v>
      </c>
      <c r="D127">
        <v>31979.017667187047</v>
      </c>
      <c r="E127">
        <v>3.398163124911517</v>
      </c>
      <c r="F127">
        <v>1.6328697842890998</v>
      </c>
      <c r="G127">
        <v>3.2440907378331461</v>
      </c>
      <c r="H127">
        <v>85811.17995144907</v>
      </c>
      <c r="I127">
        <v>85</v>
      </c>
      <c r="J127">
        <v>66.460479924452727</v>
      </c>
      <c r="K127" t="str">
        <f t="shared" si="2"/>
        <v>OK</v>
      </c>
    </row>
    <row r="128" spans="1:11">
      <c r="A128" s="1">
        <v>45785</v>
      </c>
      <c r="B128" t="s">
        <v>11</v>
      </c>
      <c r="C128">
        <v>104</v>
      </c>
      <c r="D128">
        <v>32470.150931413693</v>
      </c>
      <c r="E128">
        <v>4.5778345189999996</v>
      </c>
      <c r="F128">
        <v>1.8418835109247433</v>
      </c>
      <c r="G128">
        <v>7.7451582104461387</v>
      </c>
      <c r="H128">
        <v>942290.26082485903</v>
      </c>
      <c r="I128">
        <v>94</v>
      </c>
      <c r="J128">
        <v>79.334730319345852</v>
      </c>
      <c r="K128" t="str">
        <f t="shared" si="2"/>
        <v>OK</v>
      </c>
    </row>
    <row r="129" spans="1:11">
      <c r="A129" s="1">
        <v>45815</v>
      </c>
      <c r="B129" t="s">
        <v>13</v>
      </c>
      <c r="C129">
        <v>78</v>
      </c>
      <c r="D129">
        <v>313033.68829119537</v>
      </c>
      <c r="E129">
        <v>3.0865598229800701</v>
      </c>
      <c r="F129">
        <v>2.1962739712233352</v>
      </c>
      <c r="G129">
        <v>5.9675370128450851</v>
      </c>
      <c r="H129">
        <v>84324.92957751143</v>
      </c>
      <c r="I129">
        <v>77</v>
      </c>
      <c r="J129">
        <v>74.018467004963</v>
      </c>
      <c r="K129" t="str">
        <f t="shared" si="2"/>
        <v>OK</v>
      </c>
    </row>
    <row r="130" spans="1:11">
      <c r="A130" s="1">
        <v>45845</v>
      </c>
      <c r="B130" t="s">
        <v>10</v>
      </c>
      <c r="C130">
        <v>101</v>
      </c>
      <c r="D130">
        <v>27248.474230772899</v>
      </c>
      <c r="E130">
        <v>3.3867605540492365</v>
      </c>
      <c r="F130">
        <v>1.1541290765267851</v>
      </c>
      <c r="G130">
        <v>4.4580487217483604</v>
      </c>
      <c r="H130">
        <v>134698.73151673615</v>
      </c>
      <c r="I130">
        <v>99</v>
      </c>
      <c r="J130">
        <v>36.470559054265692</v>
      </c>
      <c r="K130" t="str">
        <f t="shared" ref="K130:K193" si="3">IF(COUNTA(A130:J130)&lt;COLUMNS(A130:J130), "Missing Data", "OK")</f>
        <v>OK</v>
      </c>
    </row>
    <row r="131" spans="1:11">
      <c r="A131" s="1">
        <v>45875</v>
      </c>
      <c r="B131" t="s">
        <v>10</v>
      </c>
      <c r="C131">
        <v>100</v>
      </c>
      <c r="D131">
        <v>26641.883160309742</v>
      </c>
      <c r="E131">
        <v>3.6836827534080889</v>
      </c>
      <c r="F131">
        <v>1.6807421402785021</v>
      </c>
      <c r="G131">
        <v>6.1415549033469219</v>
      </c>
      <c r="H131">
        <f>128897.2893</f>
        <v>128897.2893</v>
      </c>
      <c r="I131">
        <v>85</v>
      </c>
      <c r="J131">
        <v>48.198483755468089</v>
      </c>
      <c r="K131" t="str">
        <f t="shared" si="3"/>
        <v>OK</v>
      </c>
    </row>
    <row r="132" spans="1:11">
      <c r="A132" s="1">
        <v>45905</v>
      </c>
      <c r="B132" t="s">
        <v>13</v>
      </c>
      <c r="C132">
        <v>109</v>
      </c>
      <c r="D132">
        <v>29872.229645042775</v>
      </c>
      <c r="E132">
        <v>3.9567923131166247</v>
      </c>
      <c r="F132">
        <v>2.0237791264553411</v>
      </c>
      <c r="G132">
        <v>2.3371027131797466</v>
      </c>
      <c r="H132">
        <v>88889.064410262668</v>
      </c>
      <c r="I132">
        <v>97</v>
      </c>
      <c r="J132">
        <v>30.08881133429</v>
      </c>
      <c r="K132" t="str">
        <f t="shared" si="3"/>
        <v>OK</v>
      </c>
    </row>
    <row r="133" spans="1:11">
      <c r="A133" s="1">
        <v>45935</v>
      </c>
      <c r="B133" t="s">
        <v>11</v>
      </c>
      <c r="C133">
        <v>98</v>
      </c>
      <c r="D133">
        <v>35863.645096296823</v>
      </c>
      <c r="E133">
        <v>3.0984105246598275</v>
      </c>
      <c r="F133">
        <v>3.3743891807127273</v>
      </c>
      <c r="G133">
        <v>5.504050607916593</v>
      </c>
      <c r="H133">
        <v>104087.78063205954</v>
      </c>
      <c r="I133">
        <f>111.9136842</f>
        <v>111.91368420000001</v>
      </c>
      <c r="J133">
        <v>30.388561073430481</v>
      </c>
      <c r="K133" t="str">
        <f t="shared" si="3"/>
        <v>OK</v>
      </c>
    </row>
    <row r="134" spans="1:11">
      <c r="A134" s="1">
        <v>45965</v>
      </c>
      <c r="B134" t="s">
        <v>11</v>
      </c>
      <c r="C134">
        <v>111</v>
      </c>
      <c r="D134">
        <v>32718.000772972162</v>
      </c>
      <c r="E134">
        <v>4.5778345189999996</v>
      </c>
      <c r="F134">
        <v>2.7625613290019251</v>
      </c>
      <c r="G134">
        <v>5.893385407411702</v>
      </c>
      <c r="H134">
        <v>75957.009478478227</v>
      </c>
      <c r="I134">
        <v>102</v>
      </c>
      <c r="J134">
        <v>74.095659708523129</v>
      </c>
      <c r="K134" t="str">
        <f t="shared" si="3"/>
        <v>OK</v>
      </c>
    </row>
    <row r="135" spans="1:11">
      <c r="A135" s="1">
        <v>45995</v>
      </c>
      <c r="B135" t="s">
        <v>10</v>
      </c>
      <c r="C135">
        <v>97</v>
      </c>
      <c r="D135">
        <v>28146.928339569469</v>
      </c>
      <c r="E135">
        <v>3.3644381994787156</v>
      </c>
      <c r="F135">
        <v>2.6935899113675443</v>
      </c>
      <c r="G135">
        <v>6.6091241674453958</v>
      </c>
      <c r="H135">
        <f>128897.2893</f>
        <v>128897.2893</v>
      </c>
      <c r="I135">
        <v>96</v>
      </c>
      <c r="J135">
        <v>88.688008558599861</v>
      </c>
      <c r="K135" t="str">
        <f t="shared" si="3"/>
        <v>OK</v>
      </c>
    </row>
    <row r="136" spans="1:11">
      <c r="A136" s="1">
        <v>46025</v>
      </c>
      <c r="B136" t="s">
        <v>11</v>
      </c>
      <c r="C136">
        <v>88</v>
      </c>
      <c r="D136">
        <v>33858.493553241722</v>
      </c>
      <c r="E136">
        <v>3.489316352825782</v>
      </c>
      <c r="F136">
        <v>3.3508979621679722</v>
      </c>
      <c r="G136">
        <v>4.2833248572489548</v>
      </c>
      <c r="H136">
        <v>106349.06522500351</v>
      </c>
      <c r="I136">
        <v>95</v>
      </c>
      <c r="J136">
        <v>97.018606708891127</v>
      </c>
      <c r="K136" t="str">
        <f t="shared" si="3"/>
        <v>OK</v>
      </c>
    </row>
    <row r="137" spans="1:11">
      <c r="A137" s="1">
        <v>46055</v>
      </c>
      <c r="B137" t="s">
        <v>14</v>
      </c>
      <c r="C137">
        <v>101</v>
      </c>
      <c r="D137">
        <v>15757.286896849622</v>
      </c>
      <c r="E137">
        <v>3.1263941604260883</v>
      </c>
      <c r="F137">
        <v>2.3626282116006032</v>
      </c>
      <c r="G137">
        <v>5.6028245936840309</v>
      </c>
      <c r="H137">
        <v>93342.79191234977</v>
      </c>
      <c r="I137">
        <v>103</v>
      </c>
      <c r="J137">
        <v>70.267769403955555</v>
      </c>
      <c r="K137" t="str">
        <f t="shared" si="3"/>
        <v>OK</v>
      </c>
    </row>
    <row r="138" spans="1:11">
      <c r="A138" s="1">
        <v>46085</v>
      </c>
      <c r="B138" t="s">
        <v>12</v>
      </c>
      <c r="C138">
        <v>105</v>
      </c>
      <c r="D138">
        <v>35743.828501860517</v>
      </c>
      <c r="E138">
        <v>2.287879869863529</v>
      </c>
      <c r="F138">
        <v>2.8904648499288896</v>
      </c>
      <c r="G138">
        <v>4.3894904487284956</v>
      </c>
      <c r="H138">
        <v>98132.262822001037</v>
      </c>
      <c r="I138">
        <v>89</v>
      </c>
      <c r="J138">
        <v>34.728105868876554</v>
      </c>
      <c r="K138" t="str">
        <f t="shared" si="3"/>
        <v>OK</v>
      </c>
    </row>
    <row r="139" spans="1:11">
      <c r="A139" s="1">
        <v>46115</v>
      </c>
      <c r="B139" t="s">
        <v>14</v>
      </c>
      <c r="C139">
        <v>102</v>
      </c>
      <c r="D139">
        <v>21301.4311061095</v>
      </c>
      <c r="E139">
        <v>3.9420226981805246</v>
      </c>
      <c r="F139">
        <v>2.3967782470675036</v>
      </c>
      <c r="G139">
        <v>5.8064605068091808</v>
      </c>
      <c r="H139">
        <v>89413.357751032585</v>
      </c>
      <c r="I139">
        <v>87</v>
      </c>
      <c r="J139">
        <v>28.452027635914455</v>
      </c>
      <c r="K139" t="str">
        <f t="shared" si="3"/>
        <v>OK</v>
      </c>
    </row>
    <row r="140" spans="1:11">
      <c r="A140" s="1">
        <v>46145</v>
      </c>
      <c r="B140" t="s">
        <v>10</v>
      </c>
      <c r="C140">
        <v>98</v>
      </c>
      <c r="D140">
        <v>28187.795292984338</v>
      </c>
      <c r="E140">
        <v>3.8684219485462168</v>
      </c>
      <c r="F140">
        <v>2.7653623493996284</v>
      </c>
      <c r="G140">
        <v>4.4255844131643709</v>
      </c>
      <c r="H140">
        <v>69710.593816384659</v>
      </c>
      <c r="I140">
        <v>101</v>
      </c>
      <c r="J140">
        <v>85.028077722940623</v>
      </c>
      <c r="K140" t="str">
        <f t="shared" si="3"/>
        <v>OK</v>
      </c>
    </row>
    <row r="141" spans="1:11">
      <c r="A141" s="1">
        <v>46175</v>
      </c>
      <c r="B141" t="s">
        <v>11</v>
      </c>
      <c r="C141">
        <v>96</v>
      </c>
      <c r="D141">
        <v>24401.650526869282</v>
      </c>
      <c r="E141">
        <v>33.593362214408934</v>
      </c>
      <c r="F141">
        <v>1.9172413423884178</v>
      </c>
      <c r="G141">
        <f>6.97388673</f>
        <v>6.9738867300000003</v>
      </c>
      <c r="H141">
        <v>106431.86422678478</v>
      </c>
      <c r="I141">
        <v>80</v>
      </c>
      <c r="J141">
        <v>66.300518108799935</v>
      </c>
      <c r="K141" t="str">
        <f t="shared" si="3"/>
        <v>OK</v>
      </c>
    </row>
    <row r="142" spans="1:11">
      <c r="A142" s="1">
        <v>46205</v>
      </c>
      <c r="B142" t="s">
        <v>13</v>
      </c>
      <c r="C142">
        <v>76</v>
      </c>
      <c r="D142">
        <v>23526.59262139547</v>
      </c>
      <c r="E142">
        <v>35.334953586124357</v>
      </c>
      <c r="F142">
        <v>6.1182841723570913E-2</v>
      </c>
      <c r="G142">
        <v>4.3050215262517249</v>
      </c>
      <c r="H142">
        <v>135098.66143294482</v>
      </c>
      <c r="I142">
        <v>90</v>
      </c>
      <c r="J142">
        <v>69.462801681097588</v>
      </c>
      <c r="K142" t="str">
        <f t="shared" si="3"/>
        <v>OK</v>
      </c>
    </row>
    <row r="143" spans="1:11">
      <c r="A143" s="1">
        <v>46235</v>
      </c>
      <c r="B143" t="s">
        <v>12</v>
      </c>
      <c r="C143">
        <v>112</v>
      </c>
      <c r="D143">
        <v>35804.133936892598</v>
      </c>
      <c r="E143">
        <v>4.5778345189999996</v>
      </c>
      <c r="F143">
        <v>2.3657208378136958</v>
      </c>
      <c r="G143">
        <v>6.2813634901883884</v>
      </c>
      <c r="H143">
        <v>100368.03261566877</v>
      </c>
      <c r="I143">
        <v>89</v>
      </c>
      <c r="J143">
        <v>82.516967100376746</v>
      </c>
      <c r="K143" t="str">
        <f t="shared" si="3"/>
        <v>OK</v>
      </c>
    </row>
    <row r="144" spans="1:11">
      <c r="A144" s="1">
        <v>46265</v>
      </c>
      <c r="B144" t="s">
        <v>13</v>
      </c>
      <c r="C144">
        <v>99</v>
      </c>
      <c r="D144">
        <v>27661.493993440545</v>
      </c>
      <c r="E144">
        <v>2.7187270715567289</v>
      </c>
      <c r="F144">
        <v>3.9227481360999401</v>
      </c>
      <c r="G144">
        <v>6.5301413399879982</v>
      </c>
      <c r="H144">
        <f>128897.2893</f>
        <v>128897.2893</v>
      </c>
      <c r="I144">
        <v>100</v>
      </c>
      <c r="J144">
        <v>76.262178218596119</v>
      </c>
      <c r="K144" t="str">
        <f t="shared" si="3"/>
        <v>OK</v>
      </c>
    </row>
    <row r="145" spans="1:11">
      <c r="A145" s="1">
        <v>46295</v>
      </c>
      <c r="B145" t="s">
        <v>10</v>
      </c>
      <c r="C145">
        <v>100</v>
      </c>
      <c r="D145">
        <v>31732.519408653578</v>
      </c>
      <c r="E145">
        <v>3.2354736613268527</v>
      </c>
      <c r="F145">
        <v>3.4262154022415925</v>
      </c>
      <c r="G145">
        <v>5.2184553160511031</v>
      </c>
      <c r="H145">
        <v>113854.45510233719</v>
      </c>
      <c r="I145">
        <v>76</v>
      </c>
      <c r="J145">
        <v>86.756660228487732</v>
      </c>
      <c r="K145" t="str">
        <f t="shared" si="3"/>
        <v>OK</v>
      </c>
    </row>
    <row r="146" spans="1:11">
      <c r="A146" s="1">
        <v>46325</v>
      </c>
      <c r="B146" t="s">
        <v>11</v>
      </c>
      <c r="C146">
        <v>89</v>
      </c>
      <c r="D146">
        <v>29765.397105604079</v>
      </c>
      <c r="E146">
        <v>3.8971323398109137</v>
      </c>
      <c r="F146">
        <v>3.4653974845911706</v>
      </c>
      <c r="G146">
        <v>5.5458855939520344</v>
      </c>
      <c r="H146">
        <v>74613.390069066023</v>
      </c>
      <c r="I146">
        <v>95</v>
      </c>
      <c r="J146">
        <v>24.497112436790278</v>
      </c>
      <c r="K146" t="str">
        <f t="shared" si="3"/>
        <v>OK</v>
      </c>
    </row>
    <row r="147" spans="1:11">
      <c r="A147" s="1">
        <v>46355</v>
      </c>
      <c r="B147" t="s">
        <v>13</v>
      </c>
      <c r="C147">
        <v>128.02105259999999</v>
      </c>
      <c r="D147">
        <v>32385.204136115608</v>
      </c>
      <c r="E147">
        <v>2.8728552884153755</v>
      </c>
      <c r="F147">
        <v>3.7361307218062176</v>
      </c>
      <c r="G147">
        <v>3.7616903024397468</v>
      </c>
      <c r="H147">
        <v>134050.2931625921</v>
      </c>
      <c r="I147">
        <v>86</v>
      </c>
      <c r="J147">
        <v>79.801650939720389</v>
      </c>
      <c r="K147" t="str">
        <f t="shared" si="3"/>
        <v>OK</v>
      </c>
    </row>
    <row r="148" spans="1:11">
      <c r="A148" s="1">
        <v>46385</v>
      </c>
      <c r="B148" t="s">
        <v>13</v>
      </c>
      <c r="C148">
        <v>104</v>
      </c>
      <c r="D148">
        <v>30384.109455301277</v>
      </c>
      <c r="E148">
        <v>36.467789660833148</v>
      </c>
      <c r="F148">
        <v>2.5886575909614375</v>
      </c>
      <c r="G148">
        <v>5.1403880223918552</v>
      </c>
      <c r="H148">
        <v>104046.57592845603</v>
      </c>
      <c r="I148">
        <v>96</v>
      </c>
      <c r="J148">
        <v>88.068220585767634</v>
      </c>
      <c r="K148" t="str">
        <f t="shared" si="3"/>
        <v>OK</v>
      </c>
    </row>
    <row r="149" spans="1:11">
      <c r="A149" s="1">
        <v>46415</v>
      </c>
      <c r="B149" t="s">
        <v>12</v>
      </c>
      <c r="C149">
        <v>96</v>
      </c>
      <c r="D149">
        <v>23585.038879057152</v>
      </c>
      <c r="E149">
        <v>2.8217090976882977</v>
      </c>
      <c r="F149">
        <v>2.6973157074055956</v>
      </c>
      <c r="G149">
        <v>5.4397544595499063</v>
      </c>
      <c r="H149">
        <v>132637.13798178217</v>
      </c>
      <c r="I149">
        <v>87</v>
      </c>
      <c r="J149">
        <v>42.890803396665149</v>
      </c>
      <c r="K149" t="str">
        <f t="shared" si="3"/>
        <v>OK</v>
      </c>
    </row>
    <row r="150" spans="1:11">
      <c r="A150" s="1">
        <v>46445</v>
      </c>
      <c r="B150" t="s">
        <v>12</v>
      </c>
      <c r="C150">
        <v>100</v>
      </c>
      <c r="D150">
        <v>34981.334097235696</v>
      </c>
      <c r="E150">
        <v>3.7332149912167631</v>
      </c>
      <c r="F150">
        <v>1.8823481045656498</v>
      </c>
      <c r="G150">
        <v>8.6449517092359702</v>
      </c>
      <c r="H150">
        <v>85339.340089520207</v>
      </c>
      <c r="I150">
        <v>95</v>
      </c>
      <c r="J150">
        <v>71.235781919460237</v>
      </c>
      <c r="K150" t="str">
        <f t="shared" si="3"/>
        <v>OK</v>
      </c>
    </row>
    <row r="151" spans="1:11">
      <c r="A151" s="1">
        <v>46475</v>
      </c>
      <c r="B151" t="s">
        <v>11</v>
      </c>
      <c r="C151">
        <v>105</v>
      </c>
      <c r="D151">
        <v>27531.217084193438</v>
      </c>
      <c r="E151">
        <v>3.4821792588512581</v>
      </c>
      <c r="F151">
        <v>2.1839271439729502</v>
      </c>
      <c r="G151">
        <v>4.1656395690710042</v>
      </c>
      <c r="H151">
        <v>136361.2384511565</v>
      </c>
      <c r="I151">
        <v>83</v>
      </c>
      <c r="J151">
        <v>45.132965106957769</v>
      </c>
      <c r="K151" t="str">
        <f t="shared" si="3"/>
        <v>OK</v>
      </c>
    </row>
    <row r="152" spans="1:11">
      <c r="A152" s="1">
        <v>46505</v>
      </c>
      <c r="B152" t="s">
        <v>12</v>
      </c>
      <c r="C152">
        <v>81</v>
      </c>
      <c r="D152">
        <v>22217.090506701243</v>
      </c>
      <c r="E152">
        <v>2.6924340920472454</v>
      </c>
      <c r="F152">
        <v>3.1157711497711418</v>
      </c>
      <c r="G152">
        <v>7.2570126865029252</v>
      </c>
      <c r="H152">
        <v>115503.10988069566</v>
      </c>
      <c r="I152">
        <v>109</v>
      </c>
      <c r="J152">
        <v>96.637685318596326</v>
      </c>
      <c r="K152" t="str">
        <f t="shared" si="3"/>
        <v>OK</v>
      </c>
    </row>
    <row r="153" spans="1:11">
      <c r="A153" s="1">
        <v>46535</v>
      </c>
      <c r="B153" t="s">
        <v>13</v>
      </c>
      <c r="C153">
        <v>120</v>
      </c>
      <c r="D153">
        <v>27859.424195170439</v>
      </c>
      <c r="E153">
        <v>4.082369677228586</v>
      </c>
      <c r="F153">
        <v>3.7038844371688162</v>
      </c>
      <c r="G153">
        <v>6.6962305281589698</v>
      </c>
      <c r="H153">
        <v>111060.80171704717</v>
      </c>
      <c r="I153">
        <v>98</v>
      </c>
      <c r="J153">
        <v>22.673885794840302</v>
      </c>
      <c r="K153" t="str">
        <f t="shared" si="3"/>
        <v>OK</v>
      </c>
    </row>
    <row r="154" spans="1:11">
      <c r="A154" s="1">
        <v>46565</v>
      </c>
      <c r="B154" t="s">
        <v>13</v>
      </c>
      <c r="C154">
        <v>97</v>
      </c>
      <c r="D154">
        <v>37503.798953171558</v>
      </c>
      <c r="E154">
        <v>3.1327042116009753</v>
      </c>
      <c r="F154">
        <v>23.605537243190007</v>
      </c>
      <c r="G154">
        <v>5.8367636853881635</v>
      </c>
      <c r="H154">
        <v>104680.48908706296</v>
      </c>
      <c r="I154">
        <v>78</v>
      </c>
      <c r="J154">
        <v>66.383427506636394</v>
      </c>
      <c r="K154" t="str">
        <f t="shared" si="3"/>
        <v>OK</v>
      </c>
    </row>
    <row r="155" spans="1:11">
      <c r="A155" s="1">
        <v>46595</v>
      </c>
      <c r="B155" t="s">
        <v>10</v>
      </c>
      <c r="C155">
        <v>99</v>
      </c>
      <c r="D155">
        <v>34251.108710567467</v>
      </c>
      <c r="E155">
        <v>3.0948737814928093</v>
      </c>
      <c r="F155">
        <v>2.0498107351485886</v>
      </c>
      <c r="G155">
        <v>7.6103445810341599</v>
      </c>
      <c r="H155">
        <v>95029.427638511013</v>
      </c>
      <c r="I155">
        <v>91</v>
      </c>
      <c r="J155">
        <v>33.320283763961207</v>
      </c>
      <c r="K155" t="str">
        <f t="shared" si="3"/>
        <v>OK</v>
      </c>
    </row>
    <row r="156" spans="1:11">
      <c r="A156" s="1">
        <v>46625</v>
      </c>
      <c r="B156" t="s">
        <v>13</v>
      </c>
      <c r="C156">
        <v>120</v>
      </c>
      <c r="D156">
        <v>28256.739327960706</v>
      </c>
      <c r="E156">
        <v>3.6002845986154712</v>
      </c>
      <c r="F156">
        <v>2.5005279588565972</v>
      </c>
      <c r="G156">
        <v>5.9465265671282355</v>
      </c>
      <c r="H156">
        <v>124010.63316947746</v>
      </c>
      <c r="I156">
        <v>86</v>
      </c>
      <c r="J156">
        <f>80.21517797</f>
        <v>80.215177969999999</v>
      </c>
      <c r="K156" t="str">
        <f t="shared" si="3"/>
        <v>OK</v>
      </c>
    </row>
    <row r="157" spans="1:11">
      <c r="A157" s="1">
        <v>46655</v>
      </c>
      <c r="B157" t="s">
        <v>11</v>
      </c>
      <c r="C157">
        <v>90</v>
      </c>
      <c r="D157">
        <v>28253.711478407855</v>
      </c>
      <c r="E157">
        <v>4.0743186747143572</v>
      </c>
      <c r="F157">
        <v>3.1012067489291146</v>
      </c>
      <c r="G157">
        <v>5.9669910348015147</v>
      </c>
      <c r="H157">
        <v>102807.19739696094</v>
      </c>
      <c r="I157">
        <v>86</v>
      </c>
      <c r="J157">
        <v>34.071222673492969</v>
      </c>
      <c r="K157" t="str">
        <f t="shared" si="3"/>
        <v>OK</v>
      </c>
    </row>
    <row r="158" spans="1:11">
      <c r="A158" s="1">
        <v>46685</v>
      </c>
      <c r="B158" t="s">
        <v>14</v>
      </c>
      <c r="C158">
        <v>85</v>
      </c>
      <c r="D158">
        <v>28391.824743913086</v>
      </c>
      <c r="E158">
        <v>2.9920890905108015</v>
      </c>
      <c r="F158">
        <v>1.0561451838664582</v>
      </c>
      <c r="G158">
        <v>5.4362552163789459</v>
      </c>
      <c r="H158">
        <v>60658.605928256955</v>
      </c>
      <c r="I158">
        <v>88</v>
      </c>
      <c r="J158">
        <v>38.830660951868609</v>
      </c>
      <c r="K158" t="str">
        <f t="shared" si="3"/>
        <v>OK</v>
      </c>
    </row>
    <row r="159" spans="1:11">
      <c r="A159" s="1">
        <v>46715</v>
      </c>
      <c r="B159" t="s">
        <v>10</v>
      </c>
      <c r="C159">
        <v>84</v>
      </c>
      <c r="D159">
        <v>40383.739917804203</v>
      </c>
      <c r="E159">
        <v>3.5308399249239857</v>
      </c>
      <c r="F159">
        <v>0.20381904686276187</v>
      </c>
      <c r="G159">
        <v>6.9682826589023534</v>
      </c>
      <c r="H159">
        <v>77656.270765859954</v>
      </c>
      <c r="I159">
        <v>90</v>
      </c>
      <c r="J159">
        <v>59.549664883660647</v>
      </c>
      <c r="K159" t="str">
        <f t="shared" si="3"/>
        <v>OK</v>
      </c>
    </row>
    <row r="160" spans="1:11">
      <c r="A160" s="1">
        <v>46745</v>
      </c>
      <c r="B160" t="s">
        <v>10</v>
      </c>
      <c r="C160">
        <v>128.02105259999999</v>
      </c>
      <c r="D160">
        <v>31909.677261157765</v>
      </c>
      <c r="E160">
        <v>3.7144082501652864</v>
      </c>
      <c r="F160">
        <v>1.9494631505084166</v>
      </c>
      <c r="G160">
        <v>6.8157630805730607</v>
      </c>
      <c r="H160">
        <v>96283.08495614506</v>
      </c>
      <c r="I160">
        <v>83</v>
      </c>
      <c r="J160">
        <v>93.186795999750245</v>
      </c>
      <c r="K160" t="str">
        <f t="shared" si="3"/>
        <v>OK</v>
      </c>
    </row>
    <row r="161" spans="1:11">
      <c r="A161" s="1">
        <v>46775</v>
      </c>
      <c r="B161" t="s">
        <v>11</v>
      </c>
      <c r="C161">
        <v>112</v>
      </c>
      <c r="D161">
        <v>32150.20823595535</v>
      </c>
      <c r="E161">
        <v>3.8465528036315719</v>
      </c>
      <c r="F161">
        <v>1.2792875740858414</v>
      </c>
      <c r="G161">
        <v>4.7491872550045446</v>
      </c>
      <c r="H161">
        <v>106199.9796633111</v>
      </c>
      <c r="I161">
        <f>111.9136842</f>
        <v>111.91368420000001</v>
      </c>
      <c r="J161">
        <v>36.937149771837667</v>
      </c>
      <c r="K161" t="str">
        <f t="shared" si="3"/>
        <v>OK</v>
      </c>
    </row>
    <row r="162" spans="1:11">
      <c r="A162" s="1">
        <v>46805</v>
      </c>
      <c r="B162" t="s">
        <v>11</v>
      </c>
      <c r="C162">
        <v>110</v>
      </c>
      <c r="D162">
        <v>35151.417270159211</v>
      </c>
      <c r="E162">
        <v>3.5882207776386128</v>
      </c>
      <c r="F162">
        <v>1.991859802352689</v>
      </c>
      <c r="G162">
        <v>3.9169033664814794</v>
      </c>
      <c r="H162">
        <v>98868.230222002079</v>
      </c>
      <c r="I162">
        <v>88</v>
      </c>
      <c r="J162">
        <v>31.539201689448284</v>
      </c>
      <c r="K162" t="str">
        <f t="shared" si="3"/>
        <v>OK</v>
      </c>
    </row>
    <row r="163" spans="1:11">
      <c r="A163" s="1">
        <v>46835</v>
      </c>
      <c r="B163" t="s">
        <v>12</v>
      </c>
      <c r="C163">
        <v>86</v>
      </c>
      <c r="D163">
        <v>31193.945795132568</v>
      </c>
      <c r="E163">
        <v>3.3164860804583389</v>
      </c>
      <c r="F163">
        <v>2.3522196811825284</v>
      </c>
      <c r="G163">
        <v>5.2564232351252116</v>
      </c>
      <c r="H163">
        <v>124379.41579587327</v>
      </c>
      <c r="I163">
        <v>99</v>
      </c>
      <c r="J163">
        <v>80.718146548322451</v>
      </c>
      <c r="K163" t="str">
        <f t="shared" si="3"/>
        <v>OK</v>
      </c>
    </row>
    <row r="164" spans="1:11">
      <c r="A164" s="1">
        <v>46865</v>
      </c>
      <c r="B164" t="s">
        <v>10</v>
      </c>
      <c r="C164">
        <v>104</v>
      </c>
      <c r="D164">
        <v>287047.89270896482</v>
      </c>
      <c r="E164">
        <v>3.0862048896756402</v>
      </c>
      <c r="F164">
        <v>2.0467515909769864</v>
      </c>
      <c r="G164">
        <v>4.5399537227228244</v>
      </c>
      <c r="H164">
        <v>60977.9627192275</v>
      </c>
      <c r="I164">
        <v>100</v>
      </c>
      <c r="J164">
        <v>60.04956258671448</v>
      </c>
      <c r="K164" t="str">
        <f t="shared" si="3"/>
        <v>OK</v>
      </c>
    </row>
    <row r="165" spans="1:11">
      <c r="A165" s="1">
        <v>46895</v>
      </c>
      <c r="B165" t="s">
        <v>12</v>
      </c>
      <c r="C165">
        <v>107</v>
      </c>
      <c r="D165">
        <v>29018.250754575107</v>
      </c>
      <c r="E165">
        <v>35.43071941523187</v>
      </c>
      <c r="F165">
        <v>3.9524675344707454</v>
      </c>
      <c r="G165">
        <v>5.4237705104615737</v>
      </c>
      <c r="H165">
        <v>102871.7587301032</v>
      </c>
      <c r="I165">
        <v>88</v>
      </c>
      <c r="J165">
        <v>92.942808990541707</v>
      </c>
      <c r="K165" t="str">
        <f t="shared" si="3"/>
        <v>OK</v>
      </c>
    </row>
    <row r="166" spans="1:11">
      <c r="A166" s="1">
        <v>46925</v>
      </c>
      <c r="B166" t="s">
        <v>13</v>
      </c>
      <c r="C166">
        <v>93</v>
      </c>
      <c r="D166">
        <v>29641.993702929682</v>
      </c>
      <c r="E166">
        <v>2.9639304940071964</v>
      </c>
      <c r="F166">
        <v>2.8267447646023198</v>
      </c>
      <c r="G166">
        <v>6.9849257616209668</v>
      </c>
      <c r="H166">
        <v>63640.415492256907</v>
      </c>
      <c r="I166">
        <v>83</v>
      </c>
      <c r="J166">
        <v>31.729164572787383</v>
      </c>
      <c r="K166" t="str">
        <f t="shared" si="3"/>
        <v>OK</v>
      </c>
    </row>
    <row r="167" spans="1:11">
      <c r="A167" s="1">
        <v>46955</v>
      </c>
      <c r="B167" t="s">
        <v>10</v>
      </c>
      <c r="C167">
        <v>108</v>
      </c>
      <c r="D167">
        <v>29813.888817450792</v>
      </c>
      <c r="E167">
        <v>2.0393247582526963</v>
      </c>
      <c r="F167">
        <v>2.8004743596108286</v>
      </c>
      <c r="G167">
        <v>4.9512380138958516</v>
      </c>
      <c r="H167">
        <v>115194.24590968336</v>
      </c>
      <c r="I167">
        <v>90</v>
      </c>
      <c r="J167">
        <v>71.674231441843148</v>
      </c>
      <c r="K167" t="str">
        <f t="shared" si="3"/>
        <v>OK</v>
      </c>
    </row>
    <row r="168" spans="1:11">
      <c r="A168" s="1">
        <v>46985</v>
      </c>
      <c r="B168" t="s">
        <v>10</v>
      </c>
      <c r="C168">
        <v>96</v>
      </c>
      <c r="D168">
        <v>33638.147718184897</v>
      </c>
      <c r="E168">
        <v>3.7182799020788337</v>
      </c>
      <c r="F168">
        <v>3.122207144043402</v>
      </c>
      <c r="G168">
        <v>5.4486119424261101</v>
      </c>
      <c r="H168">
        <v>98110.825711159938</v>
      </c>
      <c r="I168">
        <v>88</v>
      </c>
      <c r="J168">
        <v>38.630331692145205</v>
      </c>
      <c r="K168" t="str">
        <f t="shared" si="3"/>
        <v>OK</v>
      </c>
    </row>
    <row r="169" spans="1:11">
      <c r="A169" s="1">
        <v>47015</v>
      </c>
      <c r="B169" t="s">
        <v>14</v>
      </c>
      <c r="C169">
        <v>95</v>
      </c>
      <c r="D169">
        <v>30259.729429036499</v>
      </c>
      <c r="E169">
        <v>3.9519674205430975</v>
      </c>
      <c r="F169">
        <v>1.3611668822192309</v>
      </c>
      <c r="G169">
        <v>5.5696272817700745</v>
      </c>
      <c r="H169">
        <f>128897.2893</f>
        <v>128897.2893</v>
      </c>
      <c r="I169">
        <v>86</v>
      </c>
      <c r="J169">
        <v>32.540834292131144</v>
      </c>
      <c r="K169" t="str">
        <f t="shared" si="3"/>
        <v>OK</v>
      </c>
    </row>
    <row r="170" spans="1:11">
      <c r="A170" s="1">
        <v>47045</v>
      </c>
      <c r="B170" t="s">
        <v>10</v>
      </c>
      <c r="C170">
        <v>112</v>
      </c>
      <c r="D170">
        <v>33663.200386077893</v>
      </c>
      <c r="E170">
        <v>2.318533782229081</v>
      </c>
      <c r="F170">
        <v>3.5391117874202687</v>
      </c>
      <c r="G170">
        <v>6.5181170586463413</v>
      </c>
      <c r="H170">
        <v>82722.340788204674</v>
      </c>
      <c r="I170">
        <v>81</v>
      </c>
      <c r="J170">
        <v>74.67435321258165</v>
      </c>
      <c r="K170" t="str">
        <f t="shared" si="3"/>
        <v>OK</v>
      </c>
    </row>
    <row r="171" spans="1:11">
      <c r="A171" s="1">
        <v>47075</v>
      </c>
      <c r="B171" t="s">
        <v>13</v>
      </c>
      <c r="C171">
        <v>108</v>
      </c>
      <c r="D171">
        <v>29596.417099457089</v>
      </c>
      <c r="E171">
        <v>2.9951346476450311</v>
      </c>
      <c r="F171">
        <v>3.224108373</v>
      </c>
      <c r="G171">
        <v>2.8037327992184737</v>
      </c>
      <c r="H171">
        <v>125589.29863315502</v>
      </c>
      <c r="I171">
        <v>82</v>
      </c>
      <c r="J171">
        <v>67.49476959269866</v>
      </c>
      <c r="K171" t="str">
        <f t="shared" si="3"/>
        <v>OK</v>
      </c>
    </row>
    <row r="172" spans="1:11">
      <c r="A172" s="1">
        <v>47105</v>
      </c>
      <c r="B172" t="s">
        <v>12</v>
      </c>
      <c r="C172">
        <v>85</v>
      </c>
      <c r="D172">
        <v>30393.175951580452</v>
      </c>
      <c r="E172">
        <v>3.8095771305025989</v>
      </c>
      <c r="F172">
        <v>3.1704806172412123</v>
      </c>
      <c r="G172">
        <v>4.771959646281644</v>
      </c>
      <c r="H172">
        <v>120834.49328117703</v>
      </c>
      <c r="I172">
        <v>106</v>
      </c>
      <c r="J172">
        <v>80.3861966689865</v>
      </c>
      <c r="K172" t="str">
        <f t="shared" si="3"/>
        <v>OK</v>
      </c>
    </row>
    <row r="173" spans="1:11">
      <c r="A173" s="1">
        <v>47135</v>
      </c>
      <c r="B173" t="s">
        <v>12</v>
      </c>
      <c r="C173">
        <v>128.02105259999999</v>
      </c>
      <c r="D173">
        <v>20008.996577339462</v>
      </c>
      <c r="E173">
        <v>45.28747734855849</v>
      </c>
      <c r="F173">
        <v>1.4281427669598445</v>
      </c>
      <c r="G173">
        <v>5.7535404307353675</v>
      </c>
      <c r="H173">
        <v>111670.88606023775</v>
      </c>
      <c r="I173">
        <v>97</v>
      </c>
      <c r="J173">
        <v>44.757006115694587</v>
      </c>
      <c r="K173" t="str">
        <f t="shared" si="3"/>
        <v>OK</v>
      </c>
    </row>
    <row r="174" spans="1:11">
      <c r="A174" s="1">
        <v>47165</v>
      </c>
      <c r="B174" t="s">
        <v>14</v>
      </c>
      <c r="C174">
        <v>95</v>
      </c>
      <c r="D174">
        <v>34581.638373512411</v>
      </c>
      <c r="E174">
        <v>3.5103968538377042</v>
      </c>
      <c r="F174">
        <v>0.94624123398393567</v>
      </c>
      <c r="G174">
        <f>6.97388673</f>
        <v>6.9738867300000003</v>
      </c>
      <c r="H174">
        <f>128897.2893</f>
        <v>128897.2893</v>
      </c>
      <c r="I174">
        <v>77</v>
      </c>
      <c r="J174">
        <v>55.837732510575194</v>
      </c>
      <c r="K174" t="str">
        <f t="shared" si="3"/>
        <v>OK</v>
      </c>
    </row>
    <row r="175" spans="1:11">
      <c r="A175" s="1">
        <v>47195</v>
      </c>
      <c r="B175" t="s">
        <v>13</v>
      </c>
      <c r="C175">
        <v>97</v>
      </c>
      <c r="D175">
        <v>31732.442379489963</v>
      </c>
      <c r="E175">
        <v>3.1359985293854327</v>
      </c>
      <c r="F175">
        <v>3.3178896580250288</v>
      </c>
      <c r="G175">
        <v>4.9097170629925539</v>
      </c>
      <c r="H175">
        <v>111597.14570590264</v>
      </c>
      <c r="I175">
        <v>88</v>
      </c>
      <c r="J175">
        <v>52.437734106433481</v>
      </c>
      <c r="K175" t="str">
        <f t="shared" si="3"/>
        <v>OK</v>
      </c>
    </row>
    <row r="176" spans="1:11">
      <c r="A176" s="1">
        <v>47225</v>
      </c>
      <c r="B176" t="s">
        <v>12</v>
      </c>
      <c r="C176">
        <v>116</v>
      </c>
      <c r="D176">
        <v>34990.050549298263</v>
      </c>
      <c r="E176">
        <v>3.4085517794475799</v>
      </c>
      <c r="F176">
        <v>2.8764095260975164</v>
      </c>
      <c r="G176">
        <v>3.2481367527497511</v>
      </c>
      <c r="H176">
        <v>85862.148640253028</v>
      </c>
      <c r="I176">
        <v>90</v>
      </c>
      <c r="J176">
        <v>987.27157117321144</v>
      </c>
      <c r="K176" t="str">
        <f t="shared" si="3"/>
        <v>OK</v>
      </c>
    </row>
    <row r="177" spans="1:11">
      <c r="A177" s="1">
        <v>47255</v>
      </c>
      <c r="B177" t="s">
        <v>11</v>
      </c>
      <c r="C177">
        <v>95</v>
      </c>
      <c r="D177">
        <v>15518.723109031554</v>
      </c>
      <c r="E177">
        <v>4.1874382095740925</v>
      </c>
      <c r="F177">
        <v>1.5979484456424897</v>
      </c>
      <c r="G177">
        <v>6.2436537351593637</v>
      </c>
      <c r="H177">
        <v>117111.11318041425</v>
      </c>
      <c r="I177">
        <v>86</v>
      </c>
      <c r="J177">
        <v>43.379916539151033</v>
      </c>
      <c r="K177" t="str">
        <f t="shared" si="3"/>
        <v>OK</v>
      </c>
    </row>
    <row r="178" spans="1:11">
      <c r="A178" s="1">
        <v>47285</v>
      </c>
      <c r="B178" t="s">
        <v>13</v>
      </c>
      <c r="C178">
        <v>123</v>
      </c>
      <c r="D178">
        <v>40441.87352390364</v>
      </c>
      <c r="E178">
        <v>3.1770179104377325</v>
      </c>
      <c r="F178">
        <v>1.6303369187253056</v>
      </c>
      <c r="G178">
        <v>4.7375651334092446</v>
      </c>
      <c r="H178">
        <v>132989.61788647843</v>
      </c>
      <c r="I178">
        <v>96</v>
      </c>
      <c r="J178">
        <v>43.58537906774135</v>
      </c>
      <c r="K178" t="str">
        <f t="shared" si="3"/>
        <v>OK</v>
      </c>
    </row>
    <row r="179" spans="1:11">
      <c r="A179" s="1">
        <v>47315</v>
      </c>
      <c r="B179" t="s">
        <v>13</v>
      </c>
      <c r="C179">
        <v>104</v>
      </c>
      <c r="D179">
        <v>29302.051859224131</v>
      </c>
      <c r="E179">
        <v>3.1004039966748733</v>
      </c>
      <c r="F179">
        <v>3.6254347844147694</v>
      </c>
      <c r="G179">
        <v>4.0724000090915666</v>
      </c>
      <c r="H179">
        <v>121412.21119958372</v>
      </c>
      <c r="I179">
        <v>82</v>
      </c>
      <c r="J179">
        <f>80.21517797</f>
        <v>80.215177969999999</v>
      </c>
      <c r="K179" t="str">
        <f t="shared" si="3"/>
        <v>OK</v>
      </c>
    </row>
    <row r="180" spans="1:11">
      <c r="A180" s="1">
        <v>47345</v>
      </c>
      <c r="B180" t="s">
        <v>14</v>
      </c>
      <c r="C180">
        <v>94</v>
      </c>
      <c r="D180">
        <v>35540.914083687581</v>
      </c>
      <c r="E180">
        <v>3.258628238908984</v>
      </c>
      <c r="F180">
        <v>1.3105881071326722</v>
      </c>
      <c r="G180">
        <v>4.750785532344131</v>
      </c>
      <c r="H180">
        <v>85407.950603851816</v>
      </c>
      <c r="I180">
        <v>80</v>
      </c>
      <c r="J180">
        <v>65.16752650322573</v>
      </c>
      <c r="K180" t="str">
        <f t="shared" si="3"/>
        <v>OK</v>
      </c>
    </row>
    <row r="181" spans="1:11">
      <c r="A181" s="1">
        <v>47375</v>
      </c>
      <c r="B181" t="s">
        <v>12</v>
      </c>
      <c r="C181">
        <v>105</v>
      </c>
      <c r="D181">
        <v>24800.470364372348</v>
      </c>
      <c r="E181">
        <v>3.0233356958706437</v>
      </c>
      <c r="F181">
        <v>4.1426729532559632</v>
      </c>
      <c r="G181">
        <v>5.2785695708129809</v>
      </c>
      <c r="H181">
        <v>1072283.4634546204</v>
      </c>
      <c r="I181">
        <v>87</v>
      </c>
      <c r="J181">
        <v>40.185819541099619</v>
      </c>
      <c r="K181" t="str">
        <f t="shared" si="3"/>
        <v>OK</v>
      </c>
    </row>
    <row r="182" spans="1:11">
      <c r="A182" s="1">
        <v>47405</v>
      </c>
      <c r="B182" t="s">
        <v>13</v>
      </c>
      <c r="C182">
        <v>109</v>
      </c>
      <c r="D182">
        <v>33063.869525312846</v>
      </c>
      <c r="E182">
        <v>3.561335157997398</v>
      </c>
      <c r="F182">
        <v>15.993792653521313</v>
      </c>
      <c r="G182">
        <v>4.7743064025541448</v>
      </c>
      <c r="H182">
        <v>74137.169124827051</v>
      </c>
      <c r="I182">
        <v>85</v>
      </c>
      <c r="J182">
        <v>93.223195230341915</v>
      </c>
      <c r="K182" t="str">
        <f t="shared" si="3"/>
        <v>OK</v>
      </c>
    </row>
    <row r="183" spans="1:11">
      <c r="A183" s="1">
        <v>47435</v>
      </c>
      <c r="B183" t="s">
        <v>12</v>
      </c>
      <c r="C183">
        <v>84</v>
      </c>
      <c r="D183">
        <v>24732.922184131719</v>
      </c>
      <c r="E183">
        <v>4.3123392292347802</v>
      </c>
      <c r="F183">
        <v>3.1383919256083832</v>
      </c>
      <c r="G183">
        <v>2.8533207314811171</v>
      </c>
      <c r="H183">
        <v>111447.80622351351</v>
      </c>
      <c r="I183">
        <v>95</v>
      </c>
      <c r="J183">
        <v>41.254845189301079</v>
      </c>
      <c r="K183" t="str">
        <f t="shared" si="3"/>
        <v>OK</v>
      </c>
    </row>
    <row r="184" spans="1:11">
      <c r="A184" s="1">
        <v>47465</v>
      </c>
      <c r="B184" t="s">
        <v>11</v>
      </c>
      <c r="C184">
        <v>79</v>
      </c>
      <c r="D184">
        <v>26881.155196520973</v>
      </c>
      <c r="E184">
        <v>3.6615396365580146</v>
      </c>
      <c r="F184">
        <v>2.1713815242510153</v>
      </c>
      <c r="G184">
        <v>6.5764794362645587</v>
      </c>
      <c r="H184">
        <v>109012.06825725078</v>
      </c>
      <c r="I184">
        <v>97</v>
      </c>
      <c r="J184">
        <v>91.66525852481557</v>
      </c>
      <c r="K184" t="str">
        <f t="shared" si="3"/>
        <v>OK</v>
      </c>
    </row>
    <row r="185" spans="1:11">
      <c r="A185" s="1">
        <v>47495</v>
      </c>
      <c r="B185" t="s">
        <v>14</v>
      </c>
      <c r="C185">
        <v>98</v>
      </c>
      <c r="D185">
        <v>39570.156769333931</v>
      </c>
      <c r="E185">
        <v>3.3738232489368563</v>
      </c>
      <c r="F185">
        <v>3.1031874310823433</v>
      </c>
      <c r="G185">
        <v>7.0298500495344669</v>
      </c>
      <c r="H185">
        <v>62603.673209356719</v>
      </c>
      <c r="I185">
        <v>102</v>
      </c>
      <c r="J185">
        <v>28.278005091726772</v>
      </c>
      <c r="K185" t="str">
        <f t="shared" si="3"/>
        <v>OK</v>
      </c>
    </row>
    <row r="186" spans="1:11">
      <c r="A186" s="1">
        <v>47525</v>
      </c>
      <c r="B186" t="s">
        <v>11</v>
      </c>
      <c r="C186">
        <v>96</v>
      </c>
      <c r="D186">
        <v>29046.587996183269</v>
      </c>
      <c r="E186">
        <v>3.354094365542228</v>
      </c>
      <c r="F186">
        <v>1.9558859978858074</v>
      </c>
      <c r="G186">
        <v>6.2818263896074065</v>
      </c>
      <c r="H186">
        <v>76764.323121752721</v>
      </c>
      <c r="I186">
        <v>96</v>
      </c>
      <c r="J186">
        <v>72.525016191972185</v>
      </c>
      <c r="K186" t="str">
        <f t="shared" si="3"/>
        <v>OK</v>
      </c>
    </row>
    <row r="187" spans="1:11">
      <c r="A187" s="1">
        <v>47555</v>
      </c>
      <c r="B187" t="s">
        <v>14</v>
      </c>
      <c r="C187">
        <v>88</v>
      </c>
      <c r="D187">
        <v>31087.164365898614</v>
      </c>
      <c r="E187">
        <v>2.7184045956516716</v>
      </c>
      <c r="F187">
        <v>2.3372070939277059</v>
      </c>
      <c r="G187">
        <v>4.1347771954902202</v>
      </c>
      <c r="H187">
        <v>94337.222065124661</v>
      </c>
      <c r="I187">
        <v>82</v>
      </c>
      <c r="J187">
        <v>925.58841475059489</v>
      </c>
      <c r="K187" t="str">
        <f t="shared" si="3"/>
        <v>OK</v>
      </c>
    </row>
    <row r="188" spans="1:11">
      <c r="A188" s="1">
        <v>47585</v>
      </c>
      <c r="B188" t="s">
        <v>13</v>
      </c>
      <c r="C188">
        <v>103</v>
      </c>
      <c r="D188">
        <v>34350.338653443774</v>
      </c>
      <c r="E188">
        <v>3.9415548885735796</v>
      </c>
      <c r="F188">
        <v>2.5409191753957212</v>
      </c>
      <c r="G188">
        <v>5.2582101592629789</v>
      </c>
      <c r="H188">
        <v>93982.805057183476</v>
      </c>
      <c r="I188">
        <v>85</v>
      </c>
      <c r="J188">
        <v>33.499955071858366</v>
      </c>
      <c r="K188" t="str">
        <f t="shared" si="3"/>
        <v>OK</v>
      </c>
    </row>
    <row r="189" spans="1:11">
      <c r="A189" s="1">
        <v>47615</v>
      </c>
      <c r="B189" t="s">
        <v>14</v>
      </c>
      <c r="C189">
        <v>83</v>
      </c>
      <c r="D189">
        <v>32478.409439863022</v>
      </c>
      <c r="E189">
        <v>3.4610814014935989</v>
      </c>
      <c r="F189">
        <v>1.4978125442185273</v>
      </c>
      <c r="G189">
        <v>5.4921744217246502</v>
      </c>
      <c r="H189">
        <v>75810.461291623898</v>
      </c>
      <c r="I189">
        <v>82</v>
      </c>
      <c r="J189">
        <v>97.466156807940393</v>
      </c>
      <c r="K189" t="str">
        <f t="shared" si="3"/>
        <v>OK</v>
      </c>
    </row>
    <row r="190" spans="1:11">
      <c r="A190" s="1">
        <v>47645</v>
      </c>
      <c r="B190" t="s">
        <v>10</v>
      </c>
      <c r="C190">
        <v>82</v>
      </c>
      <c r="D190">
        <v>30752.094525717883</v>
      </c>
      <c r="E190">
        <v>3.4097600432046873</v>
      </c>
      <c r="F190">
        <v>3.2408243454201258</v>
      </c>
      <c r="G190">
        <v>6.2185532674742925</v>
      </c>
      <c r="H190">
        <v>107779.57458704368</v>
      </c>
      <c r="I190">
        <f>111.9136842</f>
        <v>111.91368420000001</v>
      </c>
      <c r="J190">
        <v>56.230668833240934</v>
      </c>
      <c r="K190" t="str">
        <f t="shared" si="3"/>
        <v>OK</v>
      </c>
    </row>
    <row r="191" spans="1:11">
      <c r="A191" s="1">
        <v>47675</v>
      </c>
      <c r="B191" t="s">
        <v>12</v>
      </c>
      <c r="C191">
        <v>106</v>
      </c>
      <c r="D191">
        <v>31824.805012331126</v>
      </c>
      <c r="E191">
        <v>5.0965537839224302</v>
      </c>
      <c r="F191">
        <v>1.9867864335284149</v>
      </c>
      <c r="G191">
        <v>6.3020085864616968</v>
      </c>
      <c r="H191">
        <v>105029.47217881025</v>
      </c>
      <c r="I191">
        <v>91</v>
      </c>
      <c r="J191">
        <f>80.21517797</f>
        <v>80.215177969999999</v>
      </c>
      <c r="K191" t="str">
        <f t="shared" si="3"/>
        <v>OK</v>
      </c>
    </row>
    <row r="192" spans="1:11">
      <c r="A192" s="1">
        <v>47705</v>
      </c>
      <c r="B192" t="s">
        <v>12</v>
      </c>
      <c r="C192">
        <v>96</v>
      </c>
      <c r="D192">
        <v>42017.077926191378</v>
      </c>
      <c r="E192">
        <v>3.6493764541828431</v>
      </c>
      <c r="F192">
        <v>2.2714000846599816</v>
      </c>
      <c r="G192">
        <v>4.6189914414658055</v>
      </c>
      <c r="H192">
        <v>96114.61736042962</v>
      </c>
      <c r="I192">
        <v>88</v>
      </c>
      <c r="J192">
        <v>74.145603490403758</v>
      </c>
      <c r="K192" t="str">
        <f t="shared" si="3"/>
        <v>OK</v>
      </c>
    </row>
    <row r="193" spans="1:11">
      <c r="A193" s="1">
        <v>47735</v>
      </c>
      <c r="B193" t="s">
        <v>10</v>
      </c>
      <c r="C193">
        <v>96</v>
      </c>
      <c r="D193">
        <v>29711.906014832071</v>
      </c>
      <c r="E193">
        <v>3.1241044749524081</v>
      </c>
      <c r="F193">
        <v>1.5056506253914876</v>
      </c>
      <c r="G193">
        <v>5.5983946676962724</v>
      </c>
      <c r="H193">
        <v>84884.169996832745</v>
      </c>
      <c r="I193">
        <v>90</v>
      </c>
      <c r="J193">
        <v>44.12694958988412</v>
      </c>
      <c r="K193" t="str">
        <f t="shared" si="3"/>
        <v>OK</v>
      </c>
    </row>
    <row r="194" spans="1:11">
      <c r="A194" s="1">
        <v>47765</v>
      </c>
      <c r="B194" t="s">
        <v>11</v>
      </c>
      <c r="C194">
        <v>109</v>
      </c>
      <c r="D194">
        <v>31005.495233574838</v>
      </c>
      <c r="E194">
        <v>3.2868212018972285</v>
      </c>
      <c r="F194">
        <v>-6.2333658795310498E-2</v>
      </c>
      <c r="G194">
        <v>6.0487364855382895</v>
      </c>
      <c r="H194">
        <v>120974.14252833127</v>
      </c>
      <c r="I194">
        <v>710</v>
      </c>
      <c r="J194">
        <v>35.064201993368513</v>
      </c>
      <c r="K194" t="str">
        <f t="shared" ref="K194:K257" si="4">IF(COUNTA(A194:J194)&lt;COLUMNS(A194:J194), "Missing Data", "OK")</f>
        <v>OK</v>
      </c>
    </row>
    <row r="195" spans="1:11">
      <c r="A195" s="1">
        <v>47795</v>
      </c>
      <c r="B195" t="s">
        <v>10</v>
      </c>
      <c r="C195">
        <v>98</v>
      </c>
      <c r="D195">
        <v>35253.271980038058</v>
      </c>
      <c r="E195">
        <v>4.0742228545983776</v>
      </c>
      <c r="F195">
        <v>2.3089722373998312</v>
      </c>
      <c r="G195">
        <v>7.2469867865761195</v>
      </c>
      <c r="H195">
        <v>133108.1422617659</v>
      </c>
      <c r="I195">
        <v>84</v>
      </c>
      <c r="J195">
        <v>44.298803698007951</v>
      </c>
      <c r="K195" t="str">
        <f t="shared" si="4"/>
        <v>OK</v>
      </c>
    </row>
    <row r="196" spans="1:11">
      <c r="A196" s="1">
        <v>47825</v>
      </c>
      <c r="B196" t="s">
        <v>13</v>
      </c>
      <c r="C196">
        <v>86</v>
      </c>
      <c r="D196">
        <v>35527.629664789922</v>
      </c>
      <c r="E196">
        <v>3.5566352052688823</v>
      </c>
      <c r="F196">
        <v>49.126154216129159</v>
      </c>
      <c r="G196">
        <v>6.3454078477896676</v>
      </c>
      <c r="H196">
        <f>128897.2893</f>
        <v>128897.2893</v>
      </c>
      <c r="I196">
        <v>79</v>
      </c>
      <c r="J196">
        <v>27.441392741013999</v>
      </c>
      <c r="K196" t="str">
        <f t="shared" si="4"/>
        <v>OK</v>
      </c>
    </row>
    <row r="197" spans="1:11">
      <c r="A197" s="1">
        <v>47855</v>
      </c>
      <c r="B197" t="s">
        <v>13</v>
      </c>
      <c r="C197">
        <v>79</v>
      </c>
      <c r="D197">
        <v>35935.1515278019</v>
      </c>
      <c r="E197">
        <v>2.7808610108413165</v>
      </c>
      <c r="F197">
        <v>3.2846042878980239</v>
      </c>
      <c r="G197">
        <v>6.4468680248506232</v>
      </c>
      <c r="H197">
        <v>87756.661656903583</v>
      </c>
      <c r="I197">
        <v>77</v>
      </c>
      <c r="J197">
        <v>31.509437307466381</v>
      </c>
      <c r="K197" t="str">
        <f t="shared" si="4"/>
        <v>OK</v>
      </c>
    </row>
    <row r="198" spans="1:11">
      <c r="A198" s="1">
        <v>47885</v>
      </c>
      <c r="B198" t="s">
        <v>12</v>
      </c>
      <c r="C198">
        <v>86</v>
      </c>
      <c r="D198">
        <v>38106.295579999998</v>
      </c>
      <c r="E198">
        <v>3.9596144672876017</v>
      </c>
      <c r="F198">
        <v>3.224108373</v>
      </c>
      <c r="G198">
        <v>5.6005919535152335</v>
      </c>
      <c r="H198">
        <v>109824.15330823993</v>
      </c>
      <c r="I198">
        <v>77</v>
      </c>
      <c r="J198">
        <v>28.37283522771849</v>
      </c>
      <c r="K198" t="str">
        <f t="shared" si="4"/>
        <v>OK</v>
      </c>
    </row>
    <row r="199" spans="1:11">
      <c r="A199" s="1">
        <v>47915</v>
      </c>
      <c r="B199" t="s">
        <v>13</v>
      </c>
      <c r="C199">
        <v>108</v>
      </c>
      <c r="D199">
        <v>24284.97543634758</v>
      </c>
      <c r="E199">
        <v>3.1659279572305028</v>
      </c>
      <c r="F199">
        <v>2.2371091707917321</v>
      </c>
      <c r="G199">
        <v>7.1925509742442042</v>
      </c>
      <c r="H199">
        <v>92839.41240506027</v>
      </c>
      <c r="I199">
        <v>105</v>
      </c>
      <c r="J199">
        <v>53.835483499324617</v>
      </c>
      <c r="K199" t="str">
        <f t="shared" si="4"/>
        <v>OK</v>
      </c>
    </row>
    <row r="200" spans="1:11">
      <c r="A200" s="1">
        <v>47945</v>
      </c>
      <c r="B200" t="s">
        <v>12</v>
      </c>
      <c r="C200">
        <v>127</v>
      </c>
      <c r="D200">
        <v>38167.15766150548</v>
      </c>
      <c r="E200">
        <v>4.4366488881087731</v>
      </c>
      <c r="F200">
        <v>2.5224658928120465</v>
      </c>
      <c r="G200">
        <v>5.9917153551513973</v>
      </c>
      <c r="H200">
        <v>97212.055986735315</v>
      </c>
      <c r="I200">
        <v>100</v>
      </c>
      <c r="J200">
        <v>83.646270100606912</v>
      </c>
      <c r="K200" t="str">
        <f t="shared" si="4"/>
        <v>OK</v>
      </c>
    </row>
    <row r="201" spans="1:11">
      <c r="A201" s="1">
        <v>47975</v>
      </c>
      <c r="B201" t="s">
        <v>10</v>
      </c>
      <c r="C201">
        <v>93</v>
      </c>
      <c r="D201">
        <v>24268.27303490656</v>
      </c>
      <c r="E201">
        <v>4.0400240328573247</v>
      </c>
      <c r="F201">
        <v>3.224108373</v>
      </c>
      <c r="G201">
        <f>6.97388673</f>
        <v>6.9738867300000003</v>
      </c>
      <c r="H201">
        <v>114793.06303449343</v>
      </c>
      <c r="I201">
        <v>82</v>
      </c>
      <c r="J201">
        <v>31.310684337307215</v>
      </c>
      <c r="K201" t="str">
        <f t="shared" si="4"/>
        <v>OK</v>
      </c>
    </row>
    <row r="202" spans="1:11">
      <c r="A202" s="1">
        <v>48005</v>
      </c>
      <c r="B202" t="s">
        <v>10</v>
      </c>
      <c r="C202">
        <v>82</v>
      </c>
      <c r="D202">
        <v>31513.177326195168</v>
      </c>
      <c r="E202">
        <v>3.2763390521706244</v>
      </c>
      <c r="F202">
        <v>1.3191871846911551</v>
      </c>
      <c r="G202">
        <v>7.1840439641502289</v>
      </c>
      <c r="H202">
        <v>61812.87824985414</v>
      </c>
      <c r="I202">
        <v>105</v>
      </c>
      <c r="J202">
        <v>30.425634653786872</v>
      </c>
      <c r="K202" t="str">
        <f t="shared" si="4"/>
        <v>OK</v>
      </c>
    </row>
    <row r="203" spans="1:11">
      <c r="A203" s="1">
        <v>48035</v>
      </c>
      <c r="B203" t="s">
        <v>10</v>
      </c>
      <c r="C203">
        <v>104</v>
      </c>
      <c r="D203">
        <v>26228.62074990321</v>
      </c>
      <c r="E203">
        <v>4.1405081808675561</v>
      </c>
      <c r="F203">
        <v>3.6143216946688721</v>
      </c>
      <c r="G203">
        <v>63.374839270468328</v>
      </c>
      <c r="H203">
        <v>126366.04649705338</v>
      </c>
      <c r="I203">
        <v>103</v>
      </c>
      <c r="J203">
        <v>71.474315961386452</v>
      </c>
      <c r="K203" t="str">
        <f t="shared" si="4"/>
        <v>OK</v>
      </c>
    </row>
    <row r="204" spans="1:11">
      <c r="A204" s="1">
        <v>48065</v>
      </c>
      <c r="B204" t="s">
        <v>12</v>
      </c>
      <c r="C204">
        <v>99</v>
      </c>
      <c r="D204">
        <v>29679.308267035038</v>
      </c>
      <c r="E204">
        <v>3.5339277552637016</v>
      </c>
      <c r="F204">
        <v>3.2153813154412441</v>
      </c>
      <c r="G204">
        <v>4.968347174645821</v>
      </c>
      <c r="H204">
        <v>101453.61048658683</v>
      </c>
      <c r="I204">
        <v>84</v>
      </c>
      <c r="J204">
        <v>35.7746385574453</v>
      </c>
      <c r="K204" t="str">
        <f t="shared" si="4"/>
        <v>OK</v>
      </c>
    </row>
    <row r="205" spans="1:11">
      <c r="A205" s="1">
        <v>48095</v>
      </c>
      <c r="B205" t="s">
        <v>10</v>
      </c>
      <c r="C205">
        <v>102</v>
      </c>
      <c r="D205">
        <v>31643.812051517401</v>
      </c>
      <c r="E205">
        <v>3.9263868375611097</v>
      </c>
      <c r="F205">
        <v>3.2181857257079347</v>
      </c>
      <c r="G205">
        <v>4.9246084391209077</v>
      </c>
      <c r="H205">
        <v>91770.137108756389</v>
      </c>
      <c r="I205">
        <v>860</v>
      </c>
      <c r="J205">
        <v>27.808803048719327</v>
      </c>
      <c r="K205" t="str">
        <f t="shared" si="4"/>
        <v>OK</v>
      </c>
    </row>
    <row r="206" spans="1:11">
      <c r="A206" s="1">
        <v>48125</v>
      </c>
      <c r="B206" t="s">
        <v>10</v>
      </c>
      <c r="C206">
        <v>76</v>
      </c>
      <c r="D206">
        <v>38106.295579999998</v>
      </c>
      <c r="E206">
        <v>3.7423664086472375</v>
      </c>
      <c r="F206">
        <v>2.9384757388097271</v>
      </c>
      <c r="G206">
        <v>5.8558906541689142</v>
      </c>
      <c r="H206">
        <v>98215.31691557102</v>
      </c>
      <c r="I206">
        <v>91</v>
      </c>
      <c r="J206">
        <v>33.347886256446209</v>
      </c>
      <c r="K206" t="str">
        <f t="shared" si="4"/>
        <v>OK</v>
      </c>
    </row>
    <row r="207" spans="1:11">
      <c r="A207" s="1">
        <v>48155</v>
      </c>
      <c r="B207" t="s">
        <v>11</v>
      </c>
      <c r="C207">
        <v>99</v>
      </c>
      <c r="D207">
        <v>32109.603771176422</v>
      </c>
      <c r="E207">
        <v>3.0768216725045634</v>
      </c>
      <c r="F207">
        <v>2.51961665769399</v>
      </c>
      <c r="G207">
        <v>6.0558217543211015</v>
      </c>
      <c r="H207">
        <v>99248.587100410368</v>
      </c>
      <c r="I207">
        <v>95</v>
      </c>
      <c r="J207">
        <v>93.898511670142085</v>
      </c>
      <c r="K207" t="str">
        <f t="shared" si="4"/>
        <v>OK</v>
      </c>
    </row>
    <row r="208" spans="1:11">
      <c r="A208" s="1">
        <v>48185</v>
      </c>
      <c r="B208" t="s">
        <v>10</v>
      </c>
      <c r="C208">
        <v>93</v>
      </c>
      <c r="D208">
        <v>38068.556345293233</v>
      </c>
      <c r="E208">
        <v>3.1782250838412689</v>
      </c>
      <c r="F208">
        <v>3.17286123596682</v>
      </c>
      <c r="G208">
        <v>5.736750718757448</v>
      </c>
      <c r="H208">
        <v>65375.973931101493</v>
      </c>
      <c r="I208">
        <v>85</v>
      </c>
      <c r="J208">
        <v>85.71770022209526</v>
      </c>
      <c r="K208" t="str">
        <f t="shared" si="4"/>
        <v>OK</v>
      </c>
    </row>
    <row r="209" spans="1:11">
      <c r="A209" s="1">
        <v>48215</v>
      </c>
      <c r="B209" t="s">
        <v>13</v>
      </c>
      <c r="C209">
        <v>99</v>
      </c>
      <c r="D209">
        <v>32267.671507569899</v>
      </c>
      <c r="E209">
        <v>4.0149804087905805</v>
      </c>
      <c r="F209">
        <v>3.0918141337413783</v>
      </c>
      <c r="G209">
        <f>6.97388673</f>
        <v>6.9738867300000003</v>
      </c>
      <c r="H209">
        <v>129898.76454906471</v>
      </c>
      <c r="I209">
        <v>99</v>
      </c>
      <c r="J209">
        <v>48.325164988407529</v>
      </c>
      <c r="K209" t="str">
        <f t="shared" si="4"/>
        <v>OK</v>
      </c>
    </row>
    <row r="210" spans="1:11">
      <c r="A210" s="1">
        <v>48245</v>
      </c>
      <c r="B210" t="s">
        <v>12</v>
      </c>
      <c r="C210">
        <v>102</v>
      </c>
      <c r="D210">
        <v>28779.216823546758</v>
      </c>
      <c r="E210">
        <v>3.3326123339467295</v>
      </c>
      <c r="F210">
        <v>3.224108373</v>
      </c>
      <c r="G210">
        <v>7.5399488494916564</v>
      </c>
      <c r="H210">
        <v>100826.51264541237</v>
      </c>
      <c r="I210">
        <v>94</v>
      </c>
      <c r="J210">
        <v>72.465661386191428</v>
      </c>
      <c r="K210" t="str">
        <f t="shared" si="4"/>
        <v>OK</v>
      </c>
    </row>
    <row r="211" spans="1:11">
      <c r="A211" s="1">
        <v>48275</v>
      </c>
      <c r="B211" t="s">
        <v>11</v>
      </c>
      <c r="C211">
        <v>106</v>
      </c>
      <c r="D211">
        <v>34820.435841441787</v>
      </c>
      <c r="E211">
        <v>3.2981757683790018</v>
      </c>
      <c r="F211">
        <v>1.926398227103099</v>
      </c>
      <c r="G211">
        <v>6.7858517826818625</v>
      </c>
      <c r="H211">
        <v>108860.04260894751</v>
      </c>
      <c r="I211">
        <v>91</v>
      </c>
      <c r="J211">
        <v>62.982053893443045</v>
      </c>
      <c r="K211" t="str">
        <f t="shared" si="4"/>
        <v>OK</v>
      </c>
    </row>
    <row r="212" spans="1:11">
      <c r="A212" s="1">
        <v>48305</v>
      </c>
      <c r="B212" t="s">
        <v>14</v>
      </c>
      <c r="C212">
        <v>94</v>
      </c>
      <c r="D212">
        <v>35947.352444623204</v>
      </c>
      <c r="E212">
        <v>3.0224387103253236</v>
      </c>
      <c r="F212">
        <v>2.6018562952619866</v>
      </c>
      <c r="G212">
        <v>5.7287627095180289</v>
      </c>
      <c r="H212">
        <v>119030.99541148086</v>
      </c>
      <c r="I212">
        <v>87</v>
      </c>
      <c r="J212">
        <v>74.16994107860512</v>
      </c>
      <c r="K212" t="str">
        <f t="shared" si="4"/>
        <v>OK</v>
      </c>
    </row>
    <row r="213" spans="1:11">
      <c r="A213" s="1">
        <v>48335</v>
      </c>
      <c r="B213" t="s">
        <v>12</v>
      </c>
      <c r="C213">
        <v>105</v>
      </c>
      <c r="D213">
        <v>23861.960924315037</v>
      </c>
      <c r="E213">
        <v>3.7117995327967304</v>
      </c>
      <c r="F213">
        <v>4.0490201514951876</v>
      </c>
      <c r="G213">
        <v>6.6295726969209801</v>
      </c>
      <c r="H213">
        <v>79576.750848793992</v>
      </c>
      <c r="I213">
        <v>66</v>
      </c>
      <c r="J213">
        <v>74.613692197020754</v>
      </c>
      <c r="K213" t="str">
        <f t="shared" si="4"/>
        <v>OK</v>
      </c>
    </row>
    <row r="214" spans="1:11">
      <c r="A214" s="1">
        <v>48365</v>
      </c>
      <c r="B214" t="s">
        <v>13</v>
      </c>
      <c r="C214">
        <v>1160</v>
      </c>
      <c r="D214">
        <v>32987.000349249291</v>
      </c>
      <c r="E214">
        <v>4.5312624596215727</v>
      </c>
      <c r="F214">
        <v>3.224108373</v>
      </c>
      <c r="G214">
        <v>4.2609713157669526</v>
      </c>
      <c r="H214">
        <v>109469.43798070456</v>
      </c>
      <c r="I214">
        <v>86</v>
      </c>
      <c r="J214">
        <v>70.298721204799435</v>
      </c>
      <c r="K214" t="str">
        <f t="shared" si="4"/>
        <v>OK</v>
      </c>
    </row>
    <row r="215" spans="1:11">
      <c r="A215" s="1">
        <v>48395</v>
      </c>
      <c r="B215" t="s">
        <v>12</v>
      </c>
      <c r="C215">
        <v>122</v>
      </c>
      <c r="D215">
        <v>33505.863711554492</v>
      </c>
      <c r="E215">
        <v>2.9662335428728634</v>
      </c>
      <c r="F215">
        <v>1.03247473424756</v>
      </c>
      <c r="G215">
        <v>5.9775124599361709</v>
      </c>
      <c r="H215">
        <v>94647.17818202413</v>
      </c>
      <c r="I215">
        <v>80</v>
      </c>
      <c r="J215">
        <v>41.288109482984687</v>
      </c>
      <c r="K215" t="str">
        <f t="shared" si="4"/>
        <v>OK</v>
      </c>
    </row>
    <row r="216" spans="1:11">
      <c r="A216" s="1">
        <v>48425</v>
      </c>
      <c r="B216" t="s">
        <v>13</v>
      </c>
      <c r="C216">
        <v>103</v>
      </c>
      <c r="D216">
        <v>28512.182483200042</v>
      </c>
      <c r="E216">
        <v>3.5121097283363789</v>
      </c>
      <c r="F216">
        <v>2.6647608412365167</v>
      </c>
      <c r="G216">
        <f>6.97388673</f>
        <v>6.9738867300000003</v>
      </c>
      <c r="H216">
        <v>116935.41550432987</v>
      </c>
      <c r="I216">
        <v>111</v>
      </c>
      <c r="J216">
        <v>23.120513661025448</v>
      </c>
      <c r="K216" t="str">
        <f t="shared" si="4"/>
        <v>OK</v>
      </c>
    </row>
    <row r="217" spans="1:11">
      <c r="A217" s="1">
        <v>48455</v>
      </c>
      <c r="B217" t="s">
        <v>13</v>
      </c>
      <c r="C217">
        <v>119</v>
      </c>
      <c r="D217">
        <v>36878.534066558095</v>
      </c>
      <c r="E217">
        <v>4.2061102777077144</v>
      </c>
      <c r="F217">
        <v>3.224108373</v>
      </c>
      <c r="G217">
        <v>5.2383449255291517</v>
      </c>
      <c r="H217">
        <f>128897.2893</f>
        <v>128897.2893</v>
      </c>
      <c r="I217">
        <v>98</v>
      </c>
      <c r="J217">
        <v>564.453425592087</v>
      </c>
      <c r="K217" t="str">
        <f t="shared" si="4"/>
        <v>OK</v>
      </c>
    </row>
    <row r="218" spans="1:11">
      <c r="A218" s="1">
        <v>48485</v>
      </c>
      <c r="B218" t="s">
        <v>14</v>
      </c>
      <c r="C218">
        <v>76</v>
      </c>
      <c r="D218">
        <v>29249.722064837366</v>
      </c>
      <c r="E218">
        <v>3.4601793043771423</v>
      </c>
      <c r="F218">
        <v>2.6733416643704082</v>
      </c>
      <c r="G218">
        <v>4.4828392856570982</v>
      </c>
      <c r="H218">
        <v>98018.113995174615</v>
      </c>
      <c r="I218">
        <v>98</v>
      </c>
      <c r="J218">
        <v>91.277910775256302</v>
      </c>
      <c r="K218" t="str">
        <f t="shared" si="4"/>
        <v>OK</v>
      </c>
    </row>
    <row r="219" spans="1:11">
      <c r="A219" s="1">
        <v>48515</v>
      </c>
      <c r="B219" t="s">
        <v>12</v>
      </c>
      <c r="C219">
        <v>96</v>
      </c>
      <c r="D219">
        <v>38106.295579999998</v>
      </c>
      <c r="E219">
        <v>3.726185898124867</v>
      </c>
      <c r="F219">
        <v>2.7439531979085001</v>
      </c>
      <c r="G219">
        <v>4.7174933336883269</v>
      </c>
      <c r="H219">
        <v>87943.586884320772</v>
      </c>
      <c r="I219">
        <v>93</v>
      </c>
      <c r="J219">
        <v>65.559780681486075</v>
      </c>
      <c r="K219" t="str">
        <f t="shared" si="4"/>
        <v>OK</v>
      </c>
    </row>
    <row r="220" spans="1:11">
      <c r="A220" s="1">
        <v>48545</v>
      </c>
      <c r="B220" t="s">
        <v>14</v>
      </c>
      <c r="C220">
        <v>103</v>
      </c>
      <c r="D220">
        <v>29134.640878580652</v>
      </c>
      <c r="E220">
        <v>4.5778345189999996</v>
      </c>
      <c r="F220">
        <v>2.2767977453651951</v>
      </c>
      <c r="G220">
        <v>4.1924403551891345</v>
      </c>
      <c r="H220">
        <v>108645.25901268311</v>
      </c>
      <c r="I220">
        <v>106</v>
      </c>
      <c r="J220">
        <v>86.591283336152628</v>
      </c>
      <c r="K220" t="str">
        <f t="shared" si="4"/>
        <v>OK</v>
      </c>
    </row>
    <row r="221" spans="1:11">
      <c r="A221" s="1">
        <v>48575</v>
      </c>
      <c r="B221" t="s">
        <v>14</v>
      </c>
      <c r="C221">
        <v>111</v>
      </c>
      <c r="D221">
        <v>30077.895237907338</v>
      </c>
      <c r="E221">
        <v>3.7141535486038242</v>
      </c>
      <c r="F221">
        <v>3.9898634386020824</v>
      </c>
      <c r="G221">
        <v>45.582857102467564</v>
      </c>
      <c r="H221">
        <v>109400.88374736405</v>
      </c>
      <c r="I221">
        <v>93</v>
      </c>
      <c r="J221">
        <f>80.21517797</f>
        <v>80.215177969999999</v>
      </c>
      <c r="K221" t="str">
        <f t="shared" si="4"/>
        <v>OK</v>
      </c>
    </row>
    <row r="222" spans="1:11">
      <c r="A222" s="1">
        <v>48605</v>
      </c>
      <c r="B222" t="s">
        <v>12</v>
      </c>
      <c r="C222">
        <v>97</v>
      </c>
      <c r="D222">
        <v>24518.624565523991</v>
      </c>
      <c r="E222">
        <v>3.4064278674977255</v>
      </c>
      <c r="F222">
        <v>0.89909602152348445</v>
      </c>
      <c r="G222">
        <v>5.0553902816919649</v>
      </c>
      <c r="H222">
        <v>85847.48210355948</v>
      </c>
      <c r="I222">
        <v>72</v>
      </c>
      <c r="J222">
        <v>33.089296331062101</v>
      </c>
      <c r="K222" t="str">
        <f t="shared" si="4"/>
        <v>OK</v>
      </c>
    </row>
    <row r="223" spans="1:11">
      <c r="A223" s="1">
        <v>48635</v>
      </c>
      <c r="B223" t="s">
        <v>10</v>
      </c>
      <c r="C223">
        <v>112</v>
      </c>
      <c r="D223">
        <v>22799.745587028527</v>
      </c>
      <c r="E223">
        <v>3.9928649978399315</v>
      </c>
      <c r="F223">
        <v>1.6715029752197541</v>
      </c>
      <c r="G223">
        <v>3.8133195769856298</v>
      </c>
      <c r="H223">
        <v>85756.522716479129</v>
      </c>
      <c r="I223">
        <v>85</v>
      </c>
      <c r="J223">
        <v>753.42211131358579</v>
      </c>
      <c r="K223" t="str">
        <f t="shared" si="4"/>
        <v>OK</v>
      </c>
    </row>
    <row r="224" spans="1:11">
      <c r="A224" s="1">
        <v>48665</v>
      </c>
      <c r="B224" t="s">
        <v>10</v>
      </c>
      <c r="C224">
        <v>99</v>
      </c>
      <c r="D224">
        <v>37972.525316124862</v>
      </c>
      <c r="E224">
        <v>4.0936930257823754</v>
      </c>
      <c r="F224">
        <v>2.3967452398509526</v>
      </c>
      <c r="G224">
        <v>5.5187420007395236</v>
      </c>
      <c r="H224">
        <v>97786.692628853416</v>
      </c>
      <c r="I224">
        <v>86</v>
      </c>
      <c r="J224">
        <v>73.943485896001974</v>
      </c>
      <c r="K224" t="str">
        <f t="shared" si="4"/>
        <v>OK</v>
      </c>
    </row>
    <row r="225" spans="1:11">
      <c r="A225" s="1">
        <v>48695</v>
      </c>
      <c r="B225" t="s">
        <v>14</v>
      </c>
      <c r="C225">
        <v>124</v>
      </c>
      <c r="D225">
        <v>25765.193258408362</v>
      </c>
      <c r="E225">
        <v>4.7947818210093072</v>
      </c>
      <c r="F225">
        <v>0.85681118884583274</v>
      </c>
      <c r="G225">
        <f>6.97388673</f>
        <v>6.9738867300000003</v>
      </c>
      <c r="H225">
        <v>82067.155453695828</v>
      </c>
      <c r="I225">
        <v>93</v>
      </c>
      <c r="J225">
        <v>98.396435788662274</v>
      </c>
      <c r="K225" t="str">
        <f t="shared" si="4"/>
        <v>OK</v>
      </c>
    </row>
    <row r="226" spans="1:11">
      <c r="A226" s="1">
        <v>48725</v>
      </c>
      <c r="B226" t="s">
        <v>11</v>
      </c>
      <c r="C226">
        <v>91</v>
      </c>
      <c r="D226">
        <v>25043.038252718463</v>
      </c>
      <c r="E226">
        <v>3.7898165866067877</v>
      </c>
      <c r="F226">
        <v>2.3241455955679289</v>
      </c>
      <c r="G226">
        <v>4.4106925838236961</v>
      </c>
      <c r="H226">
        <v>116839.67390904254</v>
      </c>
      <c r="I226">
        <v>87</v>
      </c>
      <c r="J226">
        <v>98.848058716224031</v>
      </c>
      <c r="K226" t="str">
        <f t="shared" si="4"/>
        <v>OK</v>
      </c>
    </row>
    <row r="227" spans="1:11">
      <c r="A227" s="1">
        <v>48755</v>
      </c>
      <c r="B227" t="s">
        <v>14</v>
      </c>
      <c r="C227">
        <v>103</v>
      </c>
      <c r="D227">
        <v>19233.049431981424</v>
      </c>
      <c r="E227">
        <v>36.628981582910832</v>
      </c>
      <c r="F227">
        <v>4.1614701657280184</v>
      </c>
      <c r="G227">
        <v>7.3231407083701221</v>
      </c>
      <c r="H227">
        <v>92615.855991051081</v>
      </c>
      <c r="I227">
        <v>81</v>
      </c>
      <c r="J227">
        <v>74.934288937930361</v>
      </c>
      <c r="K227" t="str">
        <f t="shared" si="4"/>
        <v>OK</v>
      </c>
    </row>
    <row r="228" spans="1:11">
      <c r="A228" s="1">
        <v>48785</v>
      </c>
      <c r="B228" t="s">
        <v>14</v>
      </c>
      <c r="C228">
        <v>86</v>
      </c>
      <c r="D228">
        <v>26805.191261552489</v>
      </c>
      <c r="E228">
        <v>4.5778345189999996</v>
      </c>
      <c r="F228">
        <v>2.5208864882959618</v>
      </c>
      <c r="G228">
        <v>6.1129505062331138</v>
      </c>
      <c r="H228">
        <v>41860.235613567173</v>
      </c>
      <c r="I228">
        <v>84</v>
      </c>
      <c r="J228">
        <v>39.489183358575545</v>
      </c>
      <c r="K228" t="str">
        <f t="shared" si="4"/>
        <v>OK</v>
      </c>
    </row>
    <row r="229" spans="1:11">
      <c r="A229" s="1">
        <v>48815</v>
      </c>
      <c r="B229" t="s">
        <v>14</v>
      </c>
      <c r="C229">
        <v>101</v>
      </c>
      <c r="D229">
        <v>23384.55103296251</v>
      </c>
      <c r="E229">
        <v>3.3234168535946558</v>
      </c>
      <c r="F229">
        <v>2.7307009057186833</v>
      </c>
      <c r="G229">
        <v>6.7366967027488691</v>
      </c>
      <c r="H229">
        <v>92503.558867563872</v>
      </c>
      <c r="I229">
        <v>93</v>
      </c>
      <c r="J229">
        <v>83.884467050447924</v>
      </c>
      <c r="K229" t="str">
        <f t="shared" si="4"/>
        <v>OK</v>
      </c>
    </row>
    <row r="230" spans="1:11">
      <c r="A230" s="1">
        <v>48845</v>
      </c>
      <c r="B230" t="s">
        <v>10</v>
      </c>
      <c r="C230">
        <v>101</v>
      </c>
      <c r="D230">
        <v>38210.075800681843</v>
      </c>
      <c r="E230">
        <v>4.5778345189999996</v>
      </c>
      <c r="F230">
        <v>1.2398352348274198</v>
      </c>
      <c r="G230">
        <v>4.7105985353774358</v>
      </c>
      <c r="H230">
        <v>79229.123583120556</v>
      </c>
      <c r="I230">
        <v>86</v>
      </c>
      <c r="J230">
        <v>28.562330736883048</v>
      </c>
      <c r="K230" t="str">
        <f t="shared" si="4"/>
        <v>OK</v>
      </c>
    </row>
    <row r="231" spans="1:11">
      <c r="A231" s="1">
        <v>48875</v>
      </c>
      <c r="B231" t="s">
        <v>10</v>
      </c>
      <c r="C231">
        <v>101</v>
      </c>
      <c r="D231">
        <v>35049.085446713172</v>
      </c>
      <c r="E231">
        <v>3.3522992949304853</v>
      </c>
      <c r="F231">
        <v>1.8836385919605225</v>
      </c>
      <c r="G231">
        <v>6.5254302724799391</v>
      </c>
      <c r="H231">
        <v>67374.483690781082</v>
      </c>
      <c r="I231">
        <v>81</v>
      </c>
      <c r="J231">
        <v>82.455944333730287</v>
      </c>
      <c r="K231" t="str">
        <f t="shared" si="4"/>
        <v>OK</v>
      </c>
    </row>
    <row r="232" spans="1:11">
      <c r="A232" s="1">
        <v>48905</v>
      </c>
      <c r="B232" t="s">
        <v>10</v>
      </c>
      <c r="C232">
        <v>113</v>
      </c>
      <c r="D232">
        <v>26559.248274111382</v>
      </c>
      <c r="E232">
        <v>4.5778345189999996</v>
      </c>
      <c r="F232">
        <v>2.1248036196760629</v>
      </c>
      <c r="G232">
        <v>4.1896793195256254</v>
      </c>
      <c r="H232">
        <v>75251.467235548553</v>
      </c>
      <c r="I232">
        <v>99</v>
      </c>
      <c r="J232">
        <v>92.815689931575719</v>
      </c>
      <c r="K232" t="str">
        <f t="shared" si="4"/>
        <v>OK</v>
      </c>
    </row>
    <row r="233" spans="1:11">
      <c r="A233" s="1">
        <v>48935</v>
      </c>
      <c r="B233" t="s">
        <v>14</v>
      </c>
      <c r="C233">
        <v>87</v>
      </c>
      <c r="D233">
        <v>41262.17902672154</v>
      </c>
      <c r="E233">
        <v>4.1587987678039795</v>
      </c>
      <c r="F233">
        <v>2.1822849032437661</v>
      </c>
      <c r="G233">
        <v>6.5682970010038106</v>
      </c>
      <c r="H233">
        <v>102188.1694366594</v>
      </c>
      <c r="I233">
        <v>86</v>
      </c>
      <c r="J233">
        <v>50.626671581474824</v>
      </c>
      <c r="K233" t="str">
        <f t="shared" si="4"/>
        <v>OK</v>
      </c>
    </row>
    <row r="234" spans="1:11">
      <c r="A234" s="1">
        <v>48965</v>
      </c>
      <c r="B234" t="s">
        <v>11</v>
      </c>
      <c r="C234">
        <v>108</v>
      </c>
      <c r="D234">
        <v>34908.827434957973</v>
      </c>
      <c r="E234">
        <v>2.9967287173601793</v>
      </c>
      <c r="F234">
        <v>3.7816437950037685</v>
      </c>
      <c r="G234">
        <v>5.7062072077522377</v>
      </c>
      <c r="H234">
        <f>128897.2893</f>
        <v>128897.2893</v>
      </c>
      <c r="I234">
        <v>85</v>
      </c>
      <c r="J234">
        <v>70.450823598646437</v>
      </c>
      <c r="K234" t="str">
        <f t="shared" si="4"/>
        <v>OK</v>
      </c>
    </row>
    <row r="235" spans="1:11">
      <c r="A235" s="1">
        <v>48995</v>
      </c>
      <c r="B235" t="s">
        <v>10</v>
      </c>
      <c r="C235">
        <v>1060</v>
      </c>
      <c r="D235">
        <v>283758.43082456884</v>
      </c>
      <c r="E235">
        <v>4.0699392805645225</v>
      </c>
      <c r="F235">
        <v>3.0576910607251246</v>
      </c>
      <c r="G235">
        <v>6.1639014639817402</v>
      </c>
      <c r="H235">
        <v>106263.6894772996</v>
      </c>
      <c r="I235">
        <v>93</v>
      </c>
      <c r="J235">
        <v>54.411418567746104</v>
      </c>
      <c r="K235" t="str">
        <f t="shared" si="4"/>
        <v>OK</v>
      </c>
    </row>
    <row r="236" spans="1:11">
      <c r="A236" s="1">
        <v>49025</v>
      </c>
      <c r="B236" t="s">
        <v>12</v>
      </c>
      <c r="C236">
        <v>87</v>
      </c>
      <c r="D236">
        <v>17502.971425632135</v>
      </c>
      <c r="E236">
        <v>4.1585575336699323</v>
      </c>
      <c r="F236">
        <v>1.388542043062968</v>
      </c>
      <c r="G236">
        <v>4.0892864732501781</v>
      </c>
      <c r="H236">
        <v>87869.932235685206</v>
      </c>
      <c r="I236">
        <v>87</v>
      </c>
      <c r="J236">
        <v>55.021204399050276</v>
      </c>
      <c r="K236" t="str">
        <f t="shared" si="4"/>
        <v>OK</v>
      </c>
    </row>
    <row r="237" spans="1:11">
      <c r="A237" s="1">
        <v>49055</v>
      </c>
      <c r="B237" t="s">
        <v>12</v>
      </c>
      <c r="C237">
        <v>96</v>
      </c>
      <c r="D237">
        <v>41454.712862953711</v>
      </c>
      <c r="E237">
        <v>3.4409657365044608</v>
      </c>
      <c r="F237">
        <v>2.7465047784320049</v>
      </c>
      <c r="G237">
        <v>4.4259161892680741</v>
      </c>
      <c r="H237">
        <v>109118.08390341405</v>
      </c>
      <c r="I237">
        <v>78</v>
      </c>
      <c r="J237">
        <v>448.29671128649608</v>
      </c>
      <c r="K237" t="str">
        <f t="shared" si="4"/>
        <v>OK</v>
      </c>
    </row>
    <row r="238" spans="1:11">
      <c r="A238" s="1">
        <v>49085</v>
      </c>
      <c r="B238" t="s">
        <v>12</v>
      </c>
      <c r="C238">
        <v>97</v>
      </c>
      <c r="D238">
        <v>23052.137666182018</v>
      </c>
      <c r="E238">
        <v>2.4390725504957027</v>
      </c>
      <c r="F238">
        <v>2.998221748496785</v>
      </c>
      <c r="G238">
        <v>6.216673861904062</v>
      </c>
      <c r="H238">
        <f>128897.2893</f>
        <v>128897.2893</v>
      </c>
      <c r="I238">
        <v>75</v>
      </c>
      <c r="J238">
        <v>80.970369636025964</v>
      </c>
      <c r="K238" t="str">
        <f t="shared" si="4"/>
        <v>OK</v>
      </c>
    </row>
    <row r="239" spans="1:11">
      <c r="A239" s="1">
        <v>49115</v>
      </c>
      <c r="B239" t="s">
        <v>13</v>
      </c>
      <c r="C239">
        <v>116</v>
      </c>
      <c r="D239">
        <v>38106.295579999998</v>
      </c>
      <c r="E239">
        <v>3.1960890064527838</v>
      </c>
      <c r="F239">
        <v>3.6401490385212663</v>
      </c>
      <c r="G239">
        <v>4.3619823949309593</v>
      </c>
      <c r="H239">
        <v>86107.992616737116</v>
      </c>
      <c r="I239">
        <v>77</v>
      </c>
      <c r="J239">
        <v>94.894125133320415</v>
      </c>
      <c r="K239" t="str">
        <f t="shared" si="4"/>
        <v>OK</v>
      </c>
    </row>
    <row r="240" spans="1:11">
      <c r="A240" s="1">
        <v>49145</v>
      </c>
      <c r="B240" t="s">
        <v>14</v>
      </c>
      <c r="C240">
        <v>100</v>
      </c>
      <c r="D240">
        <v>35112.852160048198</v>
      </c>
      <c r="E240">
        <v>4.1484972732805545</v>
      </c>
      <c r="F240">
        <v>3.224108373</v>
      </c>
      <c r="G240">
        <v>6.0558475505189477</v>
      </c>
      <c r="H240">
        <v>76912.746635340314</v>
      </c>
      <c r="I240">
        <f>111.9136842</f>
        <v>111.91368420000001</v>
      </c>
      <c r="J240">
        <v>95.260068738756885</v>
      </c>
      <c r="K240" t="str">
        <f t="shared" si="4"/>
        <v>OK</v>
      </c>
    </row>
    <row r="241" spans="1:11">
      <c r="A241" s="1">
        <v>49175</v>
      </c>
      <c r="B241" t="s">
        <v>12</v>
      </c>
      <c r="C241">
        <v>97</v>
      </c>
      <c r="D241">
        <v>42198.762031696366</v>
      </c>
      <c r="E241">
        <v>3.4885659688505588</v>
      </c>
      <c r="F241">
        <v>1.4849058081721314</v>
      </c>
      <c r="G241">
        <v>38.594346322477051</v>
      </c>
      <c r="H241">
        <v>64963.423864965618</v>
      </c>
      <c r="I241">
        <v>117</v>
      </c>
      <c r="J241">
        <v>33.982502789994705</v>
      </c>
      <c r="K241" t="str">
        <f t="shared" si="4"/>
        <v>OK</v>
      </c>
    </row>
    <row r="242" spans="1:11">
      <c r="A242" s="1">
        <v>49205</v>
      </c>
      <c r="B242" t="s">
        <v>14</v>
      </c>
      <c r="C242">
        <v>100</v>
      </c>
      <c r="D242">
        <v>36921.364092552591</v>
      </c>
      <c r="E242">
        <v>3.0003488838525447</v>
      </c>
      <c r="F242">
        <v>1.6891424887896618</v>
      </c>
      <c r="G242">
        <v>6.5178090552000016</v>
      </c>
      <c r="H242">
        <f>128897.2893</f>
        <v>128897.2893</v>
      </c>
      <c r="I242">
        <v>97</v>
      </c>
      <c r="J242">
        <v>89.979491972525281</v>
      </c>
      <c r="K242" t="str">
        <f t="shared" si="4"/>
        <v>OK</v>
      </c>
    </row>
    <row r="243" spans="1:11">
      <c r="A243" s="1">
        <v>49235</v>
      </c>
      <c r="B243" t="s">
        <v>12</v>
      </c>
      <c r="C243">
        <v>99</v>
      </c>
      <c r="D243">
        <v>32819.545600261801</v>
      </c>
      <c r="E243">
        <v>3.2476125393858912</v>
      </c>
      <c r="F243">
        <v>1.2424221410853837</v>
      </c>
      <c r="G243">
        <v>4.0209720222777889</v>
      </c>
      <c r="H243">
        <v>103161.06979840263</v>
      </c>
      <c r="I243">
        <v>103</v>
      </c>
      <c r="J243">
        <v>78.994515314169774</v>
      </c>
      <c r="K243" t="str">
        <f t="shared" si="4"/>
        <v>OK</v>
      </c>
    </row>
    <row r="244" spans="1:11">
      <c r="A244" s="1">
        <v>49265</v>
      </c>
      <c r="B244" t="s">
        <v>11</v>
      </c>
      <c r="C244">
        <v>100</v>
      </c>
      <c r="D244">
        <v>32973.771708326429</v>
      </c>
      <c r="E244">
        <v>3.9203100132522763</v>
      </c>
      <c r="F244">
        <v>2.2659801408930185</v>
      </c>
      <c r="G244">
        <v>6.1627599252154281</v>
      </c>
      <c r="H244">
        <v>98067.526599702207</v>
      </c>
      <c r="I244">
        <f>111.9136842</f>
        <v>111.91368420000001</v>
      </c>
      <c r="J244">
        <v>40.226992055223143</v>
      </c>
      <c r="K244" t="str">
        <f t="shared" si="4"/>
        <v>OK</v>
      </c>
    </row>
    <row r="245" spans="1:11">
      <c r="A245" s="1">
        <v>49295</v>
      </c>
      <c r="B245" t="s">
        <v>14</v>
      </c>
      <c r="C245">
        <v>1040</v>
      </c>
      <c r="D245">
        <v>34267.077793901539</v>
      </c>
      <c r="E245">
        <v>4.5778345189999996</v>
      </c>
      <c r="F245">
        <v>2.9663583744463344</v>
      </c>
      <c r="G245">
        <v>6.2507571203752015</v>
      </c>
      <c r="H245">
        <v>91680.661441052827</v>
      </c>
      <c r="I245">
        <v>85</v>
      </c>
      <c r="J245">
        <v>25.382769033721164</v>
      </c>
      <c r="K245" t="str">
        <f t="shared" si="4"/>
        <v>OK</v>
      </c>
    </row>
    <row r="246" spans="1:11">
      <c r="A246" s="1">
        <v>49325</v>
      </c>
      <c r="B246" t="s">
        <v>12</v>
      </c>
      <c r="C246">
        <v>82</v>
      </c>
      <c r="D246">
        <v>33794.642948933826</v>
      </c>
      <c r="E246">
        <v>3.380533950415153</v>
      </c>
      <c r="F246">
        <v>34.873345165891017</v>
      </c>
      <c r="G246">
        <v>4.6638738178845101</v>
      </c>
      <c r="H246">
        <v>81085.078786064376</v>
      </c>
      <c r="I246">
        <v>98</v>
      </c>
      <c r="J246">
        <v>41.439781350750238</v>
      </c>
      <c r="K246" t="str">
        <f t="shared" si="4"/>
        <v>OK</v>
      </c>
    </row>
    <row r="247" spans="1:11">
      <c r="A247" s="1">
        <v>49355</v>
      </c>
      <c r="B247" t="s">
        <v>10</v>
      </c>
      <c r="C247">
        <v>87</v>
      </c>
      <c r="D247">
        <v>31405.95711984688</v>
      </c>
      <c r="E247">
        <v>3.3165877940926562</v>
      </c>
      <c r="F247">
        <v>2.4240489763574771</v>
      </c>
      <c r="G247">
        <v>6.1984318805016727</v>
      </c>
      <c r="H247">
        <v>112164.92383369937</v>
      </c>
      <c r="I247">
        <v>93</v>
      </c>
      <c r="J247">
        <v>92.97665894252205</v>
      </c>
      <c r="K247" t="str">
        <f t="shared" si="4"/>
        <v>OK</v>
      </c>
    </row>
    <row r="248" spans="1:11">
      <c r="A248" s="1">
        <v>49385</v>
      </c>
      <c r="B248" t="s">
        <v>14</v>
      </c>
      <c r="C248">
        <v>87</v>
      </c>
      <c r="D248">
        <v>30521.005519759379</v>
      </c>
      <c r="E248">
        <v>3.304120925478089</v>
      </c>
      <c r="F248">
        <v>2.1801524767451559</v>
      </c>
      <c r="G248">
        <v>5.8125307160002668</v>
      </c>
      <c r="H248">
        <v>73657.361601068304</v>
      </c>
      <c r="I248">
        <v>69</v>
      </c>
      <c r="J248">
        <v>70.654293991661774</v>
      </c>
      <c r="K248" t="str">
        <f t="shared" si="4"/>
        <v>OK</v>
      </c>
    </row>
    <row r="249" spans="1:11">
      <c r="A249" s="1">
        <v>49415</v>
      </c>
      <c r="B249" t="s">
        <v>13</v>
      </c>
      <c r="C249">
        <v>90</v>
      </c>
      <c r="D249">
        <v>29687.034360502388</v>
      </c>
      <c r="E249">
        <v>3.0387949077507486</v>
      </c>
      <c r="F249">
        <v>2.6517579922487404</v>
      </c>
      <c r="G249">
        <v>4.8533897725687138</v>
      </c>
      <c r="H249">
        <v>115520.5582768695</v>
      </c>
      <c r="I249">
        <v>89</v>
      </c>
      <c r="J249">
        <v>77.684372871829751</v>
      </c>
      <c r="K249" t="str">
        <f t="shared" si="4"/>
        <v>OK</v>
      </c>
    </row>
    <row r="250" spans="1:11">
      <c r="A250" s="1">
        <v>49445</v>
      </c>
      <c r="B250" t="s">
        <v>10</v>
      </c>
      <c r="C250">
        <v>115</v>
      </c>
      <c r="D250">
        <v>26230.17705566662</v>
      </c>
      <c r="E250">
        <v>43.076878447347212</v>
      </c>
      <c r="F250">
        <v>1.6648570983699771</v>
      </c>
      <c r="G250">
        <f t="shared" ref="G250:G251" si="5">6.97388673</f>
        <v>6.9738867300000003</v>
      </c>
      <c r="H250">
        <v>79955.6596214655</v>
      </c>
      <c r="I250">
        <v>88</v>
      </c>
      <c r="J250">
        <v>40.572188088727671</v>
      </c>
      <c r="K250" t="str">
        <f t="shared" si="4"/>
        <v>OK</v>
      </c>
    </row>
    <row r="251" spans="1:11">
      <c r="A251" s="1">
        <v>49475</v>
      </c>
      <c r="B251" t="s">
        <v>10</v>
      </c>
      <c r="C251">
        <v>105</v>
      </c>
      <c r="D251">
        <v>28596.624615666129</v>
      </c>
      <c r="E251">
        <v>3.3388397653943303</v>
      </c>
      <c r="F251">
        <v>4.5895387216947734</v>
      </c>
      <c r="G251">
        <f t="shared" si="5"/>
        <v>6.9738867300000003</v>
      </c>
      <c r="H251">
        <v>84951.295252939308</v>
      </c>
      <c r="I251">
        <v>115</v>
      </c>
      <c r="J251">
        <v>77.551052445985619</v>
      </c>
      <c r="K251" t="str">
        <f t="shared" si="4"/>
        <v>OK</v>
      </c>
    </row>
    <row r="252" spans="1:11">
      <c r="A252" s="1">
        <v>49505</v>
      </c>
      <c r="B252" t="s">
        <v>13</v>
      </c>
      <c r="C252">
        <v>90</v>
      </c>
      <c r="D252">
        <v>21535.21592902307</v>
      </c>
      <c r="E252">
        <v>4.108579260412748</v>
      </c>
      <c r="F252">
        <v>0.89233897288194131</v>
      </c>
      <c r="G252">
        <v>5.9195800567596324</v>
      </c>
      <c r="H252">
        <v>70664.296187686457</v>
      </c>
      <c r="I252">
        <v>90</v>
      </c>
      <c r="J252">
        <v>222.49720502233899</v>
      </c>
      <c r="K252" t="str">
        <f t="shared" si="4"/>
        <v>OK</v>
      </c>
    </row>
    <row r="253" spans="1:11">
      <c r="A253" s="1">
        <v>49535</v>
      </c>
      <c r="B253" t="s">
        <v>10</v>
      </c>
      <c r="C253">
        <v>89</v>
      </c>
      <c r="D253">
        <v>29508.30186602625</v>
      </c>
      <c r="E253">
        <v>4.2606580259612254</v>
      </c>
      <c r="F253">
        <v>2.6847405788957244</v>
      </c>
      <c r="G253">
        <v>3.6222366743655341</v>
      </c>
      <c r="H253">
        <v>89971.957062287271</v>
      </c>
      <c r="I253">
        <v>105</v>
      </c>
      <c r="J253">
        <v>50.025707661841103</v>
      </c>
      <c r="K253" t="str">
        <f t="shared" si="4"/>
        <v>OK</v>
      </c>
    </row>
    <row r="254" spans="1:11">
      <c r="A254" s="1">
        <v>49565</v>
      </c>
      <c r="B254" t="s">
        <v>10</v>
      </c>
      <c r="C254">
        <v>89</v>
      </c>
      <c r="D254">
        <v>25057.044464245413</v>
      </c>
      <c r="E254">
        <v>3.9991554490739802</v>
      </c>
      <c r="F254">
        <v>4.5236062192296398</v>
      </c>
      <c r="G254">
        <v>5.6144130393295697</v>
      </c>
      <c r="H254">
        <v>119506.24916955958</v>
      </c>
      <c r="I254">
        <v>98</v>
      </c>
      <c r="J254">
        <v>70.1402678833865</v>
      </c>
      <c r="K254" t="str">
        <f t="shared" si="4"/>
        <v>OK</v>
      </c>
    </row>
    <row r="255" spans="1:11">
      <c r="A255" s="1">
        <v>49595</v>
      </c>
      <c r="B255" t="s">
        <v>12</v>
      </c>
      <c r="C255">
        <v>86</v>
      </c>
      <c r="D255">
        <v>38106.295579999998</v>
      </c>
      <c r="E255">
        <v>3.2841898436409758</v>
      </c>
      <c r="F255">
        <v>2.5067998445599979</v>
      </c>
      <c r="G255">
        <v>5.1838621407013008</v>
      </c>
      <c r="H255">
        <v>110312.56176887912</v>
      </c>
      <c r="I255">
        <v>85</v>
      </c>
      <c r="J255">
        <v>31.687725243305618</v>
      </c>
      <c r="K255" t="str">
        <f t="shared" si="4"/>
        <v>OK</v>
      </c>
    </row>
    <row r="256" spans="1:11">
      <c r="A256" s="1">
        <v>49625</v>
      </c>
      <c r="B256" t="s">
        <v>12</v>
      </c>
      <c r="C256">
        <v>91</v>
      </c>
      <c r="D256">
        <v>30899.470755767394</v>
      </c>
      <c r="E256">
        <v>3.7018650451683048</v>
      </c>
      <c r="F256">
        <v>2.3099609649985053</v>
      </c>
      <c r="G256">
        <v>6.3149713305258341</v>
      </c>
      <c r="H256">
        <v>119568.4422405607</v>
      </c>
      <c r="I256">
        <v>101</v>
      </c>
      <c r="J256">
        <v>85.84028595575478</v>
      </c>
      <c r="K256" t="str">
        <f t="shared" si="4"/>
        <v>OK</v>
      </c>
    </row>
    <row r="257" spans="1:11">
      <c r="A257" s="1">
        <v>49655</v>
      </c>
      <c r="B257" t="s">
        <v>14</v>
      </c>
      <c r="C257">
        <v>100</v>
      </c>
      <c r="D257">
        <v>36960.011431722996</v>
      </c>
      <c r="E257">
        <v>3.4879021968045421</v>
      </c>
      <c r="F257">
        <v>2.1425545771895727</v>
      </c>
      <c r="G257">
        <v>5.1375454006121632</v>
      </c>
      <c r="H257">
        <v>110442.85091867871</v>
      </c>
      <c r="I257">
        <v>93</v>
      </c>
      <c r="J257">
        <v>38.80250390495349</v>
      </c>
      <c r="K257" t="str">
        <f t="shared" si="4"/>
        <v>OK</v>
      </c>
    </row>
    <row r="258" spans="1:11">
      <c r="A258" s="1">
        <v>49685</v>
      </c>
      <c r="B258" t="s">
        <v>14</v>
      </c>
      <c r="C258">
        <v>104</v>
      </c>
      <c r="D258">
        <v>34591.583030011563</v>
      </c>
      <c r="E258">
        <v>3.048149069634936</v>
      </c>
      <c r="F258">
        <v>2.3196083182375924</v>
      </c>
      <c r="G258">
        <v>5.10466265638349</v>
      </c>
      <c r="H258">
        <v>77926.60342939262</v>
      </c>
      <c r="I258">
        <v>99</v>
      </c>
      <c r="J258">
        <v>72.182489025475704</v>
      </c>
      <c r="K258" t="str">
        <f t="shared" ref="K258:K321" si="6">IF(COUNTA(A258:J258)&lt;COLUMNS(A258:J258), "Missing Data", "OK")</f>
        <v>OK</v>
      </c>
    </row>
    <row r="259" spans="1:11">
      <c r="A259" s="1">
        <v>49715</v>
      </c>
      <c r="B259" t="s">
        <v>14</v>
      </c>
      <c r="C259">
        <v>80</v>
      </c>
      <c r="D259">
        <v>22147.496981884113</v>
      </c>
      <c r="E259">
        <v>3.6621796408608014</v>
      </c>
      <c r="F259">
        <v>3.8728484746765304</v>
      </c>
      <c r="G259">
        <v>6.3782448451459546</v>
      </c>
      <c r="H259">
        <v>93384.215513448857</v>
      </c>
      <c r="I259">
        <v>87</v>
      </c>
      <c r="J259">
        <v>52.415771406026373</v>
      </c>
      <c r="K259" t="str">
        <f t="shared" si="6"/>
        <v>OK</v>
      </c>
    </row>
    <row r="260" spans="1:11">
      <c r="A260" s="1">
        <v>49745</v>
      </c>
      <c r="B260" t="s">
        <v>12</v>
      </c>
      <c r="C260">
        <v>110</v>
      </c>
      <c r="D260">
        <v>25051.859317148312</v>
      </c>
      <c r="E260">
        <v>4.5778345189999996</v>
      </c>
      <c r="F260">
        <v>0.28813808867049318</v>
      </c>
      <c r="G260">
        <v>5.9020696349009407</v>
      </c>
      <c r="H260">
        <v>84396.017417650743</v>
      </c>
      <c r="I260">
        <v>87</v>
      </c>
      <c r="J260">
        <v>67.683487638211773</v>
      </c>
      <c r="K260" t="str">
        <f t="shared" si="6"/>
        <v>OK</v>
      </c>
    </row>
    <row r="261" spans="1:11">
      <c r="A261" s="1">
        <v>49775</v>
      </c>
      <c r="B261" t="s">
        <v>14</v>
      </c>
      <c r="C261">
        <v>90</v>
      </c>
      <c r="D261">
        <v>34703.855939941081</v>
      </c>
      <c r="E261">
        <v>4.0938396942307822</v>
      </c>
      <c r="F261">
        <v>4.0334337012963255</v>
      </c>
      <c r="G261">
        <v>5.8793871486193341</v>
      </c>
      <c r="H261">
        <v>126611.4980807808</v>
      </c>
      <c r="I261">
        <v>89</v>
      </c>
      <c r="J261">
        <f>80.21517797</f>
        <v>80.215177969999999</v>
      </c>
      <c r="K261" t="str">
        <f t="shared" si="6"/>
        <v>OK</v>
      </c>
    </row>
    <row r="262" spans="1:11">
      <c r="A262" s="1">
        <v>49805</v>
      </c>
      <c r="B262" t="s">
        <v>10</v>
      </c>
      <c r="C262">
        <v>96</v>
      </c>
      <c r="D262">
        <v>25087.563032308452</v>
      </c>
      <c r="E262">
        <v>3.2676913513508037</v>
      </c>
      <c r="F262">
        <v>1.0760428475498549</v>
      </c>
      <c r="G262">
        <v>6.0631211077702316</v>
      </c>
      <c r="H262">
        <v>76064.227071473768</v>
      </c>
      <c r="I262">
        <v>86</v>
      </c>
      <c r="J262">
        <v>21.353023993728584</v>
      </c>
      <c r="K262" t="str">
        <f t="shared" si="6"/>
        <v>OK</v>
      </c>
    </row>
    <row r="263" spans="1:11">
      <c r="A263" s="1">
        <v>49835</v>
      </c>
      <c r="B263" t="s">
        <v>12</v>
      </c>
      <c r="C263">
        <v>103</v>
      </c>
      <c r="D263">
        <v>28876.834250014876</v>
      </c>
      <c r="E263">
        <v>3.6005798279364196</v>
      </c>
      <c r="F263">
        <v>2.233347670765585</v>
      </c>
      <c r="G263">
        <v>3.657313452151473</v>
      </c>
      <c r="H263">
        <v>117873.95378778221</v>
      </c>
      <c r="I263">
        <v>80</v>
      </c>
      <c r="J263">
        <v>92.765154190424099</v>
      </c>
      <c r="K263" t="str">
        <f t="shared" si="6"/>
        <v>OK</v>
      </c>
    </row>
    <row r="264" spans="1:11">
      <c r="A264" s="1">
        <v>49865</v>
      </c>
      <c r="B264" t="s">
        <v>14</v>
      </c>
      <c r="C264">
        <v>99</v>
      </c>
      <c r="D264">
        <v>32750.260495122759</v>
      </c>
      <c r="E264">
        <v>3.6416439357730712</v>
      </c>
      <c r="F264">
        <v>2.0707555797013382</v>
      </c>
      <c r="G264">
        <v>6.408146415984378</v>
      </c>
      <c r="H264">
        <v>117859.07740217539</v>
      </c>
      <c r="I264">
        <v>91</v>
      </c>
      <c r="J264">
        <v>41.570400701374624</v>
      </c>
      <c r="K264" t="str">
        <f t="shared" si="6"/>
        <v>OK</v>
      </c>
    </row>
    <row r="265" spans="1:11">
      <c r="A265" s="1">
        <v>49895</v>
      </c>
      <c r="B265" t="s">
        <v>10</v>
      </c>
      <c r="C265">
        <v>128.02105259999999</v>
      </c>
      <c r="D265">
        <v>25158.277725681823</v>
      </c>
      <c r="E265">
        <v>3.3705475131479612</v>
      </c>
      <c r="F265">
        <v>3.0885532697707196</v>
      </c>
      <c r="G265">
        <v>6.2349625528163228</v>
      </c>
      <c r="H265">
        <v>136592.40403432175</v>
      </c>
      <c r="I265">
        <v>84</v>
      </c>
      <c r="J265">
        <v>85.574160222436731</v>
      </c>
      <c r="K265" t="str">
        <f t="shared" si="6"/>
        <v>OK</v>
      </c>
    </row>
    <row r="266" spans="1:11">
      <c r="A266" s="1">
        <v>49925</v>
      </c>
      <c r="B266" t="s">
        <v>14</v>
      </c>
      <c r="C266">
        <v>106</v>
      </c>
      <c r="D266">
        <v>30526.877530729798</v>
      </c>
      <c r="E266">
        <v>3.7933469007376375</v>
      </c>
      <c r="F266">
        <v>0.90187564811625243</v>
      </c>
      <c r="G266">
        <v>4.2799802457082032</v>
      </c>
      <c r="H266">
        <v>91806.268147410054</v>
      </c>
      <c r="I266">
        <v>89</v>
      </c>
      <c r="J266">
        <v>99.948024037776008</v>
      </c>
      <c r="K266" t="str">
        <f t="shared" si="6"/>
        <v>OK</v>
      </c>
    </row>
    <row r="267" spans="1:11">
      <c r="A267" s="1">
        <v>49955</v>
      </c>
      <c r="B267" t="s">
        <v>11</v>
      </c>
      <c r="C267">
        <v>100</v>
      </c>
      <c r="D267">
        <v>38106.295579999998</v>
      </c>
      <c r="E267">
        <v>3.2625481716887377</v>
      </c>
      <c r="F267">
        <v>2.9621726660819427</v>
      </c>
      <c r="G267">
        <v>5.2071034315909586</v>
      </c>
      <c r="H267">
        <v>114246.44319160325</v>
      </c>
      <c r="I267">
        <v>113</v>
      </c>
      <c r="J267">
        <v>36.914500639912895</v>
      </c>
      <c r="K267" t="str">
        <f t="shared" si="6"/>
        <v>OK</v>
      </c>
    </row>
    <row r="268" spans="1:11">
      <c r="A268" s="1">
        <v>49985</v>
      </c>
      <c r="B268" t="s">
        <v>14</v>
      </c>
      <c r="C268">
        <v>85</v>
      </c>
      <c r="D268">
        <v>26993.161780243932</v>
      </c>
      <c r="E268">
        <v>39.356486487286219</v>
      </c>
      <c r="F268">
        <v>4.524309623286852</v>
      </c>
      <c r="G268">
        <v>5.4528312548468429</v>
      </c>
      <c r="H268">
        <v>145633.03673077686</v>
      </c>
      <c r="I268">
        <v>89</v>
      </c>
      <c r="J268">
        <v>41.213659294668446</v>
      </c>
      <c r="K268" t="str">
        <f t="shared" si="6"/>
        <v>OK</v>
      </c>
    </row>
    <row r="269" spans="1:11">
      <c r="A269" s="1">
        <v>50015</v>
      </c>
      <c r="B269" t="s">
        <v>11</v>
      </c>
      <c r="C269">
        <v>101</v>
      </c>
      <c r="D269">
        <v>31598.909670712685</v>
      </c>
      <c r="E269">
        <v>2.8270101598766257</v>
      </c>
      <c r="F269">
        <v>1.1368259954071895</v>
      </c>
      <c r="G269">
        <v>5.3386038587179208</v>
      </c>
      <c r="H269">
        <v>87647.166461326065</v>
      </c>
      <c r="I269">
        <v>91</v>
      </c>
      <c r="J269">
        <v>73.028783010773253</v>
      </c>
      <c r="K269" t="str">
        <f t="shared" si="6"/>
        <v>OK</v>
      </c>
    </row>
    <row r="270" spans="1:11">
      <c r="A270" s="1">
        <v>50045</v>
      </c>
      <c r="B270" t="s">
        <v>14</v>
      </c>
      <c r="C270">
        <v>93</v>
      </c>
      <c r="D270">
        <v>22035.031332341656</v>
      </c>
      <c r="E270">
        <v>3.5631897897732059</v>
      </c>
      <c r="F270">
        <v>2.6897061676103955</v>
      </c>
      <c r="G270">
        <v>5.9006319598822419</v>
      </c>
      <c r="H270">
        <v>69299.195049352798</v>
      </c>
      <c r="I270">
        <v>83</v>
      </c>
      <c r="J270">
        <v>97.2358907680497</v>
      </c>
      <c r="K270" t="str">
        <f t="shared" si="6"/>
        <v>OK</v>
      </c>
    </row>
    <row r="271" spans="1:11">
      <c r="A271" s="1">
        <v>50075</v>
      </c>
      <c r="B271" t="s">
        <v>13</v>
      </c>
      <c r="C271">
        <v>91</v>
      </c>
      <c r="D271">
        <v>32202.373689801996</v>
      </c>
      <c r="E271">
        <v>4.4694644995291419</v>
      </c>
      <c r="F271">
        <v>1.8380178222033909</v>
      </c>
      <c r="G271">
        <v>7.21764013819742</v>
      </c>
      <c r="H271">
        <v>62399.79932184473</v>
      </c>
      <c r="I271">
        <v>77</v>
      </c>
      <c r="J271">
        <v>93.265147855259514</v>
      </c>
      <c r="K271" t="str">
        <f t="shared" si="6"/>
        <v>OK</v>
      </c>
    </row>
    <row r="272" spans="1:11">
      <c r="A272" s="1">
        <v>50105</v>
      </c>
      <c r="B272" t="s">
        <v>14</v>
      </c>
      <c r="C272">
        <v>103</v>
      </c>
      <c r="D272">
        <v>29901.811005366595</v>
      </c>
      <c r="E272">
        <v>2.9998343376972127</v>
      </c>
      <c r="F272">
        <v>2.9258872061930359</v>
      </c>
      <c r="G272">
        <v>6.7981200732073948</v>
      </c>
      <c r="H272">
        <v>114254.24057722662</v>
      </c>
      <c r="I272">
        <v>95</v>
      </c>
      <c r="J272">
        <v>60.23004160524679</v>
      </c>
      <c r="K272" t="str">
        <f t="shared" si="6"/>
        <v>OK</v>
      </c>
    </row>
    <row r="273" spans="1:11">
      <c r="A273" s="1">
        <v>50135</v>
      </c>
      <c r="B273" t="s">
        <v>12</v>
      </c>
      <c r="C273">
        <v>109</v>
      </c>
      <c r="D273">
        <v>327624.49772085738</v>
      </c>
      <c r="E273">
        <v>3.1611275147375744</v>
      </c>
      <c r="F273">
        <v>2.519147777415752</v>
      </c>
      <c r="G273">
        <v>3.9253369678823127</v>
      </c>
      <c r="H273">
        <v>62336.995838828327</v>
      </c>
      <c r="I273">
        <v>91</v>
      </c>
      <c r="J273">
        <v>83.608822602137977</v>
      </c>
      <c r="K273" t="str">
        <f t="shared" si="6"/>
        <v>OK</v>
      </c>
    </row>
    <row r="274" spans="1:11">
      <c r="A274" s="1">
        <v>50165</v>
      </c>
      <c r="B274" t="s">
        <v>12</v>
      </c>
      <c r="C274">
        <v>83</v>
      </c>
      <c r="D274">
        <v>31119.570670323308</v>
      </c>
      <c r="E274">
        <v>3.7569539248294577</v>
      </c>
      <c r="F274">
        <v>1.8585130909556904</v>
      </c>
      <c r="G274">
        <v>6.2464839883672587</v>
      </c>
      <c r="H274">
        <v>92553.618941241541</v>
      </c>
      <c r="I274">
        <v>97</v>
      </c>
      <c r="J274">
        <f>80.21517797</f>
        <v>80.215177969999999</v>
      </c>
      <c r="K274" t="str">
        <f t="shared" si="6"/>
        <v>OK</v>
      </c>
    </row>
    <row r="275" spans="1:11">
      <c r="A275" s="1">
        <v>50195</v>
      </c>
      <c r="B275" t="s">
        <v>11</v>
      </c>
      <c r="C275">
        <v>102</v>
      </c>
      <c r="D275">
        <v>36820.702149869219</v>
      </c>
      <c r="E275">
        <v>3.5897908909697991</v>
      </c>
      <c r="F275">
        <v>2.9878722848710741</v>
      </c>
      <c r="G275">
        <v>70.947199834424907</v>
      </c>
      <c r="H275">
        <v>108746.26374077922</v>
      </c>
      <c r="I275">
        <v>97</v>
      </c>
      <c r="J275">
        <v>98.195054736320984</v>
      </c>
      <c r="K275" t="str">
        <f t="shared" si="6"/>
        <v>OK</v>
      </c>
    </row>
    <row r="276" spans="1:11">
      <c r="A276" s="1">
        <v>50225</v>
      </c>
      <c r="B276" t="s">
        <v>12</v>
      </c>
      <c r="C276">
        <v>98</v>
      </c>
      <c r="D276">
        <v>30626.122513239538</v>
      </c>
      <c r="E276">
        <v>3.6753150496367795</v>
      </c>
      <c r="F276">
        <v>4.3043481097867433</v>
      </c>
      <c r="G276">
        <v>5.9641702248270434</v>
      </c>
      <c r="H276">
        <v>103703.51073659828</v>
      </c>
      <c r="I276">
        <v>85</v>
      </c>
      <c r="J276">
        <v>97.148258722878921</v>
      </c>
      <c r="K276" t="str">
        <f t="shared" si="6"/>
        <v>OK</v>
      </c>
    </row>
    <row r="277" spans="1:11">
      <c r="A277" s="1">
        <v>50255</v>
      </c>
      <c r="B277" t="s">
        <v>10</v>
      </c>
      <c r="C277">
        <v>93</v>
      </c>
      <c r="D277">
        <v>27852.972294373736</v>
      </c>
      <c r="E277">
        <v>3.7445935650738318</v>
      </c>
      <c r="F277">
        <v>2.3090962082727011</v>
      </c>
      <c r="G277">
        <f>6.97388673</f>
        <v>6.9738867300000003</v>
      </c>
      <c r="H277">
        <v>108508.89728368344</v>
      </c>
      <c r="I277">
        <v>77</v>
      </c>
      <c r="J277">
        <v>33.098316630333677</v>
      </c>
      <c r="K277" t="str">
        <f t="shared" si="6"/>
        <v>OK</v>
      </c>
    </row>
    <row r="278" spans="1:11">
      <c r="A278" s="1">
        <v>50285</v>
      </c>
      <c r="B278" t="s">
        <v>13</v>
      </c>
      <c r="C278">
        <v>104</v>
      </c>
      <c r="D278">
        <v>30611.487515161418</v>
      </c>
      <c r="E278">
        <v>38.17360734280885</v>
      </c>
      <c r="F278">
        <v>3.2197579421481821</v>
      </c>
      <c r="G278">
        <v>7.9147245348409179</v>
      </c>
      <c r="H278">
        <f>128897.2893</f>
        <v>128897.2893</v>
      </c>
      <c r="I278">
        <v>100</v>
      </c>
      <c r="J278">
        <v>43.953849984248528</v>
      </c>
      <c r="K278" t="str">
        <f t="shared" si="6"/>
        <v>OK</v>
      </c>
    </row>
    <row r="279" spans="1:11">
      <c r="A279" s="1">
        <v>50315</v>
      </c>
      <c r="B279" t="s">
        <v>13</v>
      </c>
      <c r="C279">
        <v>96</v>
      </c>
      <c r="D279">
        <v>32716.490145181939</v>
      </c>
      <c r="E279">
        <v>4.0548499209781115</v>
      </c>
      <c r="F279">
        <v>3.224108373</v>
      </c>
      <c r="G279">
        <v>6.7284514553283774</v>
      </c>
      <c r="H279">
        <v>125577.31626626787</v>
      </c>
      <c r="I279">
        <v>87</v>
      </c>
      <c r="J279">
        <v>28.012399800541353</v>
      </c>
      <c r="K279" t="str">
        <f t="shared" si="6"/>
        <v>OK</v>
      </c>
    </row>
    <row r="280" spans="1:11">
      <c r="A280" s="1">
        <v>50345</v>
      </c>
      <c r="B280" t="s">
        <v>10</v>
      </c>
      <c r="C280">
        <v>103</v>
      </c>
      <c r="D280">
        <v>30244.300351628521</v>
      </c>
      <c r="E280">
        <v>3.7049093284642565</v>
      </c>
      <c r="F280">
        <v>1.5435636231819911</v>
      </c>
      <c r="G280">
        <v>5.7991703147700751</v>
      </c>
      <c r="H280">
        <v>80953.672385224054</v>
      </c>
      <c r="I280">
        <v>102</v>
      </c>
      <c r="J280">
        <v>41.737407911854376</v>
      </c>
      <c r="K280" t="str">
        <f t="shared" si="6"/>
        <v>OK</v>
      </c>
    </row>
    <row r="281" spans="1:11">
      <c r="A281" s="1">
        <v>50375</v>
      </c>
      <c r="B281" t="s">
        <v>11</v>
      </c>
      <c r="C281">
        <v>85</v>
      </c>
      <c r="D281">
        <v>30202.958456019413</v>
      </c>
      <c r="E281">
        <v>3.3793711726907287</v>
      </c>
      <c r="F281">
        <v>2.9724062778803773</v>
      </c>
      <c r="G281">
        <f>6.97388673</f>
        <v>6.9738867300000003</v>
      </c>
      <c r="H281">
        <v>86460.097230829371</v>
      </c>
      <c r="I281">
        <v>102</v>
      </c>
      <c r="J281">
        <v>85.276463153216525</v>
      </c>
      <c r="K281" t="str">
        <f t="shared" si="6"/>
        <v>OK</v>
      </c>
    </row>
    <row r="282" spans="1:11">
      <c r="A282" s="1">
        <v>50405</v>
      </c>
      <c r="B282" t="s">
        <v>10</v>
      </c>
      <c r="C282">
        <v>92</v>
      </c>
      <c r="D282">
        <v>26490.041560966223</v>
      </c>
      <c r="E282">
        <v>4.5778345189999996</v>
      </c>
      <c r="F282">
        <v>3.9841160285359649</v>
      </c>
      <c r="G282">
        <v>5.6738653997162691</v>
      </c>
      <c r="H282">
        <v>84546.811094583521</v>
      </c>
      <c r="I282">
        <v>98</v>
      </c>
      <c r="J282">
        <v>50.265248573220759</v>
      </c>
      <c r="K282" t="str">
        <f t="shared" si="6"/>
        <v>OK</v>
      </c>
    </row>
    <row r="283" spans="1:11">
      <c r="A283" s="1">
        <v>50435</v>
      </c>
      <c r="B283" t="s">
        <v>10</v>
      </c>
      <c r="C283">
        <v>90</v>
      </c>
      <c r="D283">
        <v>26685.495412245258</v>
      </c>
      <c r="E283">
        <v>4.449940967447608</v>
      </c>
      <c r="F283">
        <v>2.8556133487856599</v>
      </c>
      <c r="G283">
        <v>5.5286836519419467</v>
      </c>
      <c r="H283">
        <v>116603.8362372522</v>
      </c>
      <c r="I283">
        <v>80</v>
      </c>
      <c r="J283">
        <v>27.07175737174067</v>
      </c>
      <c r="K283" t="str">
        <f t="shared" si="6"/>
        <v>OK</v>
      </c>
    </row>
    <row r="284" spans="1:11">
      <c r="A284" s="1">
        <v>50465</v>
      </c>
      <c r="B284" t="s">
        <v>13</v>
      </c>
      <c r="C284">
        <v>83</v>
      </c>
      <c r="D284">
        <v>22986.973641001532</v>
      </c>
      <c r="E284">
        <v>3.4336831268087131</v>
      </c>
      <c r="F284">
        <v>2.1869419694768455</v>
      </c>
      <c r="G284">
        <v>5.078302917143521</v>
      </c>
      <c r="H284">
        <v>118007.97176790127</v>
      </c>
      <c r="I284">
        <v>79</v>
      </c>
      <c r="J284">
        <v>47.378041982312368</v>
      </c>
      <c r="K284" t="str">
        <f t="shared" si="6"/>
        <v>OK</v>
      </c>
    </row>
    <row r="285" spans="1:11">
      <c r="A285" s="1">
        <v>50495</v>
      </c>
      <c r="B285" t="s">
        <v>14</v>
      </c>
      <c r="C285">
        <v>86</v>
      </c>
      <c r="D285">
        <v>38747.883715934695</v>
      </c>
      <c r="E285">
        <v>3.0127353476646794</v>
      </c>
      <c r="F285">
        <v>2.4992914054233539</v>
      </c>
      <c r="G285">
        <v>7.3760960305985295</v>
      </c>
      <c r="H285">
        <v>109024.50638637017</v>
      </c>
      <c r="I285">
        <v>91</v>
      </c>
      <c r="J285">
        <v>98.510666739302408</v>
      </c>
      <c r="K285" t="str">
        <f t="shared" si="6"/>
        <v>OK</v>
      </c>
    </row>
    <row r="286" spans="1:11">
      <c r="A286" s="1">
        <v>50525</v>
      </c>
      <c r="B286" t="s">
        <v>13</v>
      </c>
      <c r="C286">
        <v>110</v>
      </c>
      <c r="D286">
        <v>23780.683823043575</v>
      </c>
      <c r="E286">
        <v>4.0535403346434862</v>
      </c>
      <c r="F286">
        <v>1.2495922660302825</v>
      </c>
      <c r="G286">
        <v>4.5178856008695982</v>
      </c>
      <c r="H286">
        <v>123669.87333779855</v>
      </c>
      <c r="I286">
        <v>81</v>
      </c>
      <c r="J286">
        <v>70.374687620736239</v>
      </c>
      <c r="K286" t="str">
        <f t="shared" si="6"/>
        <v>OK</v>
      </c>
    </row>
    <row r="287" spans="1:11">
      <c r="A287" s="1">
        <v>50555</v>
      </c>
      <c r="B287" t="s">
        <v>13</v>
      </c>
      <c r="C287">
        <v>89</v>
      </c>
      <c r="D287">
        <v>38106.295579999998</v>
      </c>
      <c r="E287">
        <v>3.4398094180232008</v>
      </c>
      <c r="F287">
        <v>3.1045153263553669</v>
      </c>
      <c r="G287">
        <v>7.3388412696137388</v>
      </c>
      <c r="H287">
        <v>76439.182652472387</v>
      </c>
      <c r="I287">
        <v>66</v>
      </c>
      <c r="J287">
        <v>53.292875712492616</v>
      </c>
      <c r="K287" t="str">
        <f t="shared" si="6"/>
        <v>OK</v>
      </c>
    </row>
    <row r="288" spans="1:11">
      <c r="A288" s="1">
        <v>50585</v>
      </c>
      <c r="B288" t="s">
        <v>12</v>
      </c>
      <c r="C288">
        <v>118</v>
      </c>
      <c r="D288">
        <v>264079.63672154013</v>
      </c>
      <c r="E288">
        <v>2.4136652269929817</v>
      </c>
      <c r="F288">
        <v>3.3823330623234091</v>
      </c>
      <c r="G288">
        <v>6.0998369484884458</v>
      </c>
      <c r="H288">
        <v>133344.48223102273</v>
      </c>
      <c r="I288">
        <v>92</v>
      </c>
      <c r="J288">
        <v>33.323081079781602</v>
      </c>
      <c r="K288" t="str">
        <f t="shared" si="6"/>
        <v>OK</v>
      </c>
    </row>
    <row r="289" spans="1:11">
      <c r="A289" s="1">
        <v>50615</v>
      </c>
      <c r="B289" t="s">
        <v>10</v>
      </c>
      <c r="C289">
        <v>102</v>
      </c>
      <c r="D289">
        <v>34474.621884722204</v>
      </c>
      <c r="E289">
        <v>3.9237108385752109</v>
      </c>
      <c r="F289">
        <v>2.0479096671669197</v>
      </c>
      <c r="G289">
        <v>3.8208325902376705</v>
      </c>
      <c r="H289">
        <v>130464.77243424517</v>
      </c>
      <c r="I289">
        <v>95</v>
      </c>
      <c r="J289">
        <v>98.894143782695579</v>
      </c>
      <c r="K289" t="str">
        <f t="shared" si="6"/>
        <v>OK</v>
      </c>
    </row>
    <row r="290" spans="1:11">
      <c r="A290" s="1">
        <v>50645</v>
      </c>
      <c r="B290" t="s">
        <v>13</v>
      </c>
      <c r="C290">
        <v>108</v>
      </c>
      <c r="D290">
        <v>28525.25160853986</v>
      </c>
      <c r="E290">
        <v>3.2323359070230389</v>
      </c>
      <c r="F290">
        <v>2.0299578522404986</v>
      </c>
      <c r="G290">
        <v>59.411791515897065</v>
      </c>
      <c r="H290">
        <v>114712.43994491494</v>
      </c>
      <c r="I290">
        <f>111.9136842</f>
        <v>111.91368420000001</v>
      </c>
      <c r="J290">
        <v>85.667920741050295</v>
      </c>
      <c r="K290" t="str">
        <f t="shared" si="6"/>
        <v>OK</v>
      </c>
    </row>
    <row r="291" spans="1:11">
      <c r="A291" s="1">
        <v>50675</v>
      </c>
      <c r="B291" t="s">
        <v>10</v>
      </c>
      <c r="C291">
        <v>95</v>
      </c>
      <c r="D291">
        <v>36238.710363368671</v>
      </c>
      <c r="E291">
        <v>3.4547333588479194</v>
      </c>
      <c r="F291">
        <v>2.7658782296520483</v>
      </c>
      <c r="G291">
        <v>2.9799681908180511</v>
      </c>
      <c r="H291">
        <v>135635.97817542119</v>
      </c>
      <c r="I291">
        <v>108</v>
      </c>
      <c r="J291">
        <f>80.21517797</f>
        <v>80.215177969999999</v>
      </c>
      <c r="K291" t="str">
        <f t="shared" si="6"/>
        <v>OK</v>
      </c>
    </row>
    <row r="292" spans="1:11">
      <c r="A292" s="1">
        <v>50705</v>
      </c>
      <c r="B292" t="s">
        <v>12</v>
      </c>
      <c r="C292">
        <v>100</v>
      </c>
      <c r="D292">
        <v>26632.546878780657</v>
      </c>
      <c r="E292">
        <v>3.6659901652845073</v>
      </c>
      <c r="F292">
        <v>2.0632802639594043</v>
      </c>
      <c r="G292">
        <v>6.2506096201972428</v>
      </c>
      <c r="H292">
        <v>66867.535846444516</v>
      </c>
      <c r="I292">
        <v>83</v>
      </c>
      <c r="J292">
        <v>25.605495657695158</v>
      </c>
      <c r="K292" t="str">
        <f t="shared" si="6"/>
        <v>OK</v>
      </c>
    </row>
    <row r="293" spans="1:11">
      <c r="A293" s="1">
        <v>50735</v>
      </c>
      <c r="B293" t="s">
        <v>10</v>
      </c>
      <c r="C293">
        <v>86</v>
      </c>
      <c r="D293">
        <v>31394.970811119008</v>
      </c>
      <c r="E293">
        <v>3.5952498398895334</v>
      </c>
      <c r="F293">
        <v>2.4338673853741777</v>
      </c>
      <c r="G293">
        <v>6.5622777795867897</v>
      </c>
      <c r="H293">
        <v>89511.037274746966</v>
      </c>
      <c r="I293">
        <v>96</v>
      </c>
      <c r="J293">
        <v>24.530044590204643</v>
      </c>
      <c r="K293" t="str">
        <f t="shared" si="6"/>
        <v>OK</v>
      </c>
    </row>
    <row r="294" spans="1:11">
      <c r="A294" s="1">
        <v>50765</v>
      </c>
      <c r="B294" t="s">
        <v>13</v>
      </c>
      <c r="C294">
        <v>94</v>
      </c>
      <c r="D294">
        <v>25823.264733701213</v>
      </c>
      <c r="E294">
        <v>3.8547259085695198</v>
      </c>
      <c r="F294">
        <v>4.5997217891665159</v>
      </c>
      <c r="G294">
        <v>4.7891728532175355</v>
      </c>
      <c r="H294">
        <v>85293.930786360957</v>
      </c>
      <c r="I294">
        <v>84</v>
      </c>
      <c r="J294">
        <v>29.630251960442706</v>
      </c>
      <c r="K294" t="str">
        <f t="shared" si="6"/>
        <v>OK</v>
      </c>
    </row>
    <row r="295" spans="1:11">
      <c r="A295" s="1">
        <v>50795</v>
      </c>
      <c r="B295" t="s">
        <v>10</v>
      </c>
      <c r="C295">
        <v>88</v>
      </c>
      <c r="D295">
        <v>40725.745638866938</v>
      </c>
      <c r="E295">
        <v>3.2822568147150784</v>
      </c>
      <c r="F295">
        <v>2.2529742992540034</v>
      </c>
      <c r="G295">
        <v>5.6482572351466986</v>
      </c>
      <c r="H295">
        <v>114429.58647514686</v>
      </c>
      <c r="I295">
        <v>92</v>
      </c>
      <c r="J295">
        <v>66.46148668915373</v>
      </c>
      <c r="K295" t="str">
        <f t="shared" si="6"/>
        <v>OK</v>
      </c>
    </row>
    <row r="296" spans="1:11">
      <c r="A296" s="1">
        <v>50825</v>
      </c>
      <c r="B296" t="s">
        <v>12</v>
      </c>
      <c r="C296">
        <v>1010</v>
      </c>
      <c r="D296">
        <v>24062.007904852435</v>
      </c>
      <c r="E296">
        <v>3.7565528990880415</v>
      </c>
      <c r="F296">
        <v>21.416598479787776</v>
      </c>
      <c r="G296">
        <v>7.8449889205003434</v>
      </c>
      <c r="H296">
        <v>78997.185207957082</v>
      </c>
      <c r="I296">
        <v>790</v>
      </c>
      <c r="J296">
        <v>94.301073696439389</v>
      </c>
      <c r="K296" t="str">
        <f t="shared" si="6"/>
        <v>OK</v>
      </c>
    </row>
    <row r="297" spans="1:11">
      <c r="A297" s="1">
        <v>50855</v>
      </c>
      <c r="B297" t="s">
        <v>14</v>
      </c>
      <c r="C297">
        <v>95</v>
      </c>
      <c r="D297">
        <v>31549.103551135137</v>
      </c>
      <c r="E297">
        <v>3.3702266612080414</v>
      </c>
      <c r="F297">
        <v>1.8524581943648408</v>
      </c>
      <c r="G297">
        <v>4.8931039548856763</v>
      </c>
      <c r="H297">
        <v>115149.90298674972</v>
      </c>
      <c r="I297">
        <v>98</v>
      </c>
      <c r="J297">
        <v>59.739474240478756</v>
      </c>
      <c r="K297" t="str">
        <f t="shared" si="6"/>
        <v>OK</v>
      </c>
    </row>
    <row r="298" spans="1:11">
      <c r="A298" s="1">
        <v>50885</v>
      </c>
      <c r="B298" t="s">
        <v>10</v>
      </c>
      <c r="C298">
        <v>95</v>
      </c>
      <c r="D298">
        <v>33168.884404660494</v>
      </c>
      <c r="E298">
        <v>3.8694052404437516</v>
      </c>
      <c r="F298">
        <v>3.2441919714999368</v>
      </c>
      <c r="G298">
        <v>4.2293108955320795</v>
      </c>
      <c r="H298">
        <v>127410.72287993427</v>
      </c>
      <c r="I298">
        <v>800</v>
      </c>
      <c r="J298">
        <v>87.435638596495778</v>
      </c>
      <c r="K298" t="str">
        <f t="shared" si="6"/>
        <v>OK</v>
      </c>
    </row>
    <row r="299" spans="1:11">
      <c r="A299" s="1">
        <v>50915</v>
      </c>
      <c r="B299" t="s">
        <v>13</v>
      </c>
      <c r="C299">
        <v>92</v>
      </c>
      <c r="D299">
        <v>32068.995487257493</v>
      </c>
      <c r="E299">
        <v>3.8076837420065268</v>
      </c>
      <c r="F299">
        <v>2.3187758267818972</v>
      </c>
      <c r="G299">
        <v>7.2779960829551182</v>
      </c>
      <c r="H299">
        <v>113904.05800167998</v>
      </c>
      <c r="I299">
        <v>93</v>
      </c>
      <c r="J299">
        <v>55.670929588784624</v>
      </c>
      <c r="K299" t="str">
        <f t="shared" si="6"/>
        <v>OK</v>
      </c>
    </row>
    <row r="300" spans="1:11">
      <c r="A300" s="1">
        <v>50945</v>
      </c>
      <c r="B300" t="s">
        <v>12</v>
      </c>
      <c r="C300">
        <v>108</v>
      </c>
      <c r="D300">
        <v>29073.561705611457</v>
      </c>
      <c r="E300">
        <v>3.0322806489777023</v>
      </c>
      <c r="F300">
        <v>1.850626961678574</v>
      </c>
      <c r="G300">
        <v>7.855104628636953</v>
      </c>
      <c r="H300">
        <v>105675.02047323002</v>
      </c>
      <c r="I300">
        <v>90</v>
      </c>
      <c r="J300">
        <v>76.686683661426017</v>
      </c>
      <c r="K300" t="str">
        <f t="shared" si="6"/>
        <v>OK</v>
      </c>
    </row>
    <row r="301" spans="1:11">
      <c r="A301" s="1">
        <v>50975</v>
      </c>
      <c r="B301" t="s">
        <v>13</v>
      </c>
      <c r="C301">
        <v>99</v>
      </c>
      <c r="D301">
        <v>29350.896501332871</v>
      </c>
      <c r="E301">
        <v>4.0429910580875159</v>
      </c>
      <c r="F301">
        <v>3.224108373</v>
      </c>
      <c r="G301">
        <v>5.5044348062174171</v>
      </c>
      <c r="H301">
        <v>80242.533181985025</v>
      </c>
      <c r="I301">
        <v>85</v>
      </c>
      <c r="J301">
        <v>78.549818982920073</v>
      </c>
      <c r="K301" t="str">
        <f t="shared" si="6"/>
        <v>OK</v>
      </c>
    </row>
    <row r="302" spans="1:11">
      <c r="A302" s="1">
        <v>51005</v>
      </c>
      <c r="B302" t="s">
        <v>13</v>
      </c>
      <c r="C302">
        <v>95</v>
      </c>
      <c r="D302">
        <v>30219.057359895549</v>
      </c>
      <c r="E302">
        <v>3.2320182774429762</v>
      </c>
      <c r="F302">
        <v>3.919603004513637</v>
      </c>
      <c r="G302">
        <v>6.7137556424900273</v>
      </c>
      <c r="H302">
        <v>83062.980677492713</v>
      </c>
      <c r="I302">
        <v>81</v>
      </c>
      <c r="J302">
        <v>33.91709647226709</v>
      </c>
      <c r="K302" t="str">
        <f t="shared" si="6"/>
        <v>OK</v>
      </c>
    </row>
    <row r="303" spans="1:11">
      <c r="A303" s="1">
        <v>51035</v>
      </c>
      <c r="B303" t="s">
        <v>10</v>
      </c>
      <c r="C303">
        <v>86</v>
      </c>
      <c r="D303">
        <v>29264.989991857557</v>
      </c>
      <c r="E303">
        <v>3.9040288991405725</v>
      </c>
      <c r="F303">
        <v>1.8995764342612949</v>
      </c>
      <c r="G303">
        <v>7.109771098637057</v>
      </c>
      <c r="H303">
        <v>124992.37810593334</v>
      </c>
      <c r="I303">
        <v>80</v>
      </c>
      <c r="J303">
        <v>48.897284718064938</v>
      </c>
      <c r="K303" t="str">
        <f t="shared" si="6"/>
        <v>OK</v>
      </c>
    </row>
    <row r="304" spans="1:11">
      <c r="A304" s="1">
        <v>51065</v>
      </c>
      <c r="B304" t="s">
        <v>13</v>
      </c>
      <c r="C304">
        <v>120</v>
      </c>
      <c r="D304">
        <v>34819.395583974547</v>
      </c>
      <c r="E304">
        <v>3.6836436567006703</v>
      </c>
      <c r="F304">
        <v>0.63346004863938377</v>
      </c>
      <c r="G304">
        <v>4.6090189209539396</v>
      </c>
      <c r="H304">
        <v>115586.98007810664</v>
      </c>
      <c r="I304">
        <v>88</v>
      </c>
      <c r="J304">
        <v>70.984172523041906</v>
      </c>
      <c r="K304" t="str">
        <f t="shared" si="6"/>
        <v>OK</v>
      </c>
    </row>
    <row r="305" spans="1:11">
      <c r="A305" s="1">
        <v>51095</v>
      </c>
      <c r="B305" t="s">
        <v>10</v>
      </c>
      <c r="C305">
        <v>81</v>
      </c>
      <c r="D305">
        <v>41052.61500795676</v>
      </c>
      <c r="E305">
        <v>4.419091838397561</v>
      </c>
      <c r="F305">
        <v>3.5075136898369221</v>
      </c>
      <c r="G305">
        <v>49.176329975585574</v>
      </c>
      <c r="H305">
        <v>99219.609612449116</v>
      </c>
      <c r="I305">
        <v>88</v>
      </c>
      <c r="J305">
        <f>80.21517797</f>
        <v>80.215177969999999</v>
      </c>
      <c r="K305" t="str">
        <f t="shared" si="6"/>
        <v>OK</v>
      </c>
    </row>
    <row r="306" spans="1:11">
      <c r="A306" s="1">
        <v>51125</v>
      </c>
      <c r="B306" t="s">
        <v>14</v>
      </c>
      <c r="C306">
        <v>102</v>
      </c>
      <c r="D306">
        <v>272125.4107496083</v>
      </c>
      <c r="E306">
        <v>3.3882670088140738</v>
      </c>
      <c r="F306">
        <v>1.8153701742399959</v>
      </c>
      <c r="G306">
        <v>6.9770494157856824</v>
      </c>
      <c r="H306">
        <v>91641.809084682187</v>
      </c>
      <c r="I306">
        <v>92</v>
      </c>
      <c r="J306">
        <v>48.923215021036526</v>
      </c>
      <c r="K306" t="str">
        <f t="shared" si="6"/>
        <v>OK</v>
      </c>
    </row>
    <row r="307" spans="1:11">
      <c r="A307" s="1">
        <v>51155</v>
      </c>
      <c r="B307" t="s">
        <v>13</v>
      </c>
      <c r="C307">
        <v>87</v>
      </c>
      <c r="D307">
        <v>23150.985102104612</v>
      </c>
      <c r="E307">
        <v>3.3253416019409014</v>
      </c>
      <c r="F307">
        <v>3.2906255991627686</v>
      </c>
      <c r="G307">
        <v>7.5220171344502109</v>
      </c>
      <c r="H307">
        <v>59483.842537772463</v>
      </c>
      <c r="I307">
        <v>90</v>
      </c>
      <c r="J307">
        <v>62.783957302495395</v>
      </c>
      <c r="K307" t="str">
        <f t="shared" si="6"/>
        <v>OK</v>
      </c>
    </row>
    <row r="308" spans="1:11">
      <c r="A308" s="1">
        <v>51185</v>
      </c>
      <c r="B308" t="s">
        <v>13</v>
      </c>
      <c r="C308">
        <v>90</v>
      </c>
      <c r="D308">
        <v>29558.589758243725</v>
      </c>
      <c r="E308">
        <v>3.4902901970561335</v>
      </c>
      <c r="F308">
        <v>0.52989618228816449</v>
      </c>
      <c r="G308">
        <v>6.1754570322092253</v>
      </c>
      <c r="H308">
        <v>78582.951626311231</v>
      </c>
      <c r="I308">
        <v>97</v>
      </c>
      <c r="J308">
        <v>99.697959443571094</v>
      </c>
      <c r="K308" t="str">
        <f t="shared" si="6"/>
        <v>OK</v>
      </c>
    </row>
    <row r="309" spans="1:11">
      <c r="A309" s="1">
        <v>51215</v>
      </c>
      <c r="B309" t="s">
        <v>13</v>
      </c>
      <c r="C309">
        <v>89</v>
      </c>
      <c r="D309">
        <v>42898.546688271592</v>
      </c>
      <c r="E309">
        <v>3.3484101085828621</v>
      </c>
      <c r="F309">
        <v>3.3925973382993093</v>
      </c>
      <c r="G309">
        <v>4.4442227757975346</v>
      </c>
      <c r="H309">
        <v>138228.38174279447</v>
      </c>
      <c r="I309">
        <v>89</v>
      </c>
      <c r="J309">
        <f>80.21517797</f>
        <v>80.215177969999999</v>
      </c>
      <c r="K309" t="str">
        <f t="shared" si="6"/>
        <v>OK</v>
      </c>
    </row>
    <row r="310" spans="1:11">
      <c r="A310" s="1">
        <v>51245</v>
      </c>
      <c r="B310" t="s">
        <v>11</v>
      </c>
      <c r="C310">
        <v>105</v>
      </c>
      <c r="D310">
        <v>25981.627160151347</v>
      </c>
      <c r="E310">
        <v>3.8999709509710252</v>
      </c>
      <c r="F310">
        <v>1.2888280707192188</v>
      </c>
      <c r="G310">
        <f>6.97388673</f>
        <v>6.9738867300000003</v>
      </c>
      <c r="H310">
        <v>74390.888579950668</v>
      </c>
      <c r="I310">
        <v>106</v>
      </c>
      <c r="J310">
        <v>85.284540569145889</v>
      </c>
      <c r="K310" t="str">
        <f t="shared" si="6"/>
        <v>OK</v>
      </c>
    </row>
    <row r="311" spans="1:11">
      <c r="A311" s="1">
        <v>51275</v>
      </c>
      <c r="B311" t="s">
        <v>11</v>
      </c>
      <c r="C311">
        <v>96</v>
      </c>
      <c r="D311">
        <v>38195.584027220335</v>
      </c>
      <c r="E311">
        <v>2.6918446957817062</v>
      </c>
      <c r="F311">
        <v>3.2307641190665244</v>
      </c>
      <c r="G311">
        <v>4.8628349226256429</v>
      </c>
      <c r="H311">
        <v>103789.59642442162</v>
      </c>
      <c r="I311">
        <v>91</v>
      </c>
      <c r="J311">
        <v>54.565382805329421</v>
      </c>
      <c r="K311" t="str">
        <f t="shared" si="6"/>
        <v>OK</v>
      </c>
    </row>
    <row r="312" spans="1:11">
      <c r="A312" s="1">
        <v>51305</v>
      </c>
      <c r="B312" t="s">
        <v>12</v>
      </c>
      <c r="C312">
        <v>97</v>
      </c>
      <c r="D312">
        <v>38388.504070382201</v>
      </c>
      <c r="E312">
        <v>2.9731587904268229</v>
      </c>
      <c r="F312">
        <v>2.514273067836434</v>
      </c>
      <c r="G312">
        <v>5.0978346625942574</v>
      </c>
      <c r="H312">
        <v>120148.87946390397</v>
      </c>
      <c r="I312">
        <f>111.9136842</f>
        <v>111.91368420000001</v>
      </c>
      <c r="J312">
        <v>83.711257809576708</v>
      </c>
      <c r="K312" t="str">
        <f t="shared" si="6"/>
        <v>OK</v>
      </c>
    </row>
    <row r="313" spans="1:11">
      <c r="A313" s="1">
        <v>51335</v>
      </c>
      <c r="B313" t="s">
        <v>11</v>
      </c>
      <c r="C313">
        <v>98</v>
      </c>
      <c r="D313">
        <v>27232.058791460026</v>
      </c>
      <c r="E313">
        <v>2.9660985392104036</v>
      </c>
      <c r="F313">
        <v>1.5460605806033552</v>
      </c>
      <c r="G313">
        <v>5.9108054013875453</v>
      </c>
      <c r="H313">
        <v>74901.546639954147</v>
      </c>
      <c r="I313">
        <v>93</v>
      </c>
      <c r="J313">
        <v>67.633184129608679</v>
      </c>
      <c r="K313" t="str">
        <f t="shared" si="6"/>
        <v>OK</v>
      </c>
    </row>
    <row r="314" spans="1:11">
      <c r="A314" s="1">
        <v>51365</v>
      </c>
      <c r="B314" t="s">
        <v>12</v>
      </c>
      <c r="C314">
        <v>990</v>
      </c>
      <c r="D314">
        <v>32844.915395926379</v>
      </c>
      <c r="E314">
        <v>3.9751537959867878</v>
      </c>
      <c r="F314">
        <v>2.0929636870732193</v>
      </c>
      <c r="G314">
        <v>7.3649925048577289</v>
      </c>
      <c r="H314">
        <v>103694.20949562166</v>
      </c>
      <c r="I314">
        <v>89</v>
      </c>
      <c r="J314">
        <v>90.927635320191868</v>
      </c>
      <c r="K314" t="str">
        <f t="shared" si="6"/>
        <v>OK</v>
      </c>
    </row>
    <row r="315" spans="1:11">
      <c r="A315" s="1">
        <v>51395</v>
      </c>
      <c r="B315" t="s">
        <v>11</v>
      </c>
      <c r="C315">
        <v>108</v>
      </c>
      <c r="D315">
        <v>38141.983115642688</v>
      </c>
      <c r="E315">
        <v>4.5778345189999996</v>
      </c>
      <c r="F315">
        <v>3.1863184569567009</v>
      </c>
      <c r="G315">
        <v>6.5247711718626684</v>
      </c>
      <c r="H315">
        <v>118758.3107502131</v>
      </c>
      <c r="I315">
        <v>73</v>
      </c>
      <c r="J315">
        <v>52.875404188008794</v>
      </c>
      <c r="K315" t="str">
        <f t="shared" si="6"/>
        <v>OK</v>
      </c>
    </row>
    <row r="316" spans="1:11">
      <c r="A316" s="1">
        <v>51425</v>
      </c>
      <c r="B316" t="s">
        <v>14</v>
      </c>
      <c r="C316">
        <v>92</v>
      </c>
      <c r="D316">
        <v>28104.361295062565</v>
      </c>
      <c r="E316">
        <v>3.4477753907312643</v>
      </c>
      <c r="F316">
        <v>2.6058944531152344</v>
      </c>
      <c r="G316">
        <v>5.9978386004342923</v>
      </c>
      <c r="H316">
        <v>100249.986438145</v>
      </c>
      <c r="I316">
        <v>101</v>
      </c>
      <c r="J316">
        <v>68.344353585718309</v>
      </c>
      <c r="K316" t="str">
        <f t="shared" si="6"/>
        <v>OK</v>
      </c>
    </row>
    <row r="317" spans="1:11">
      <c r="A317" s="1">
        <v>51455</v>
      </c>
      <c r="B317" t="s">
        <v>12</v>
      </c>
      <c r="C317">
        <v>97</v>
      </c>
      <c r="D317">
        <v>28982.098199488191</v>
      </c>
      <c r="E317">
        <v>3.4155891384049948</v>
      </c>
      <c r="F317">
        <v>3.084412980472484</v>
      </c>
      <c r="G317">
        <v>6.0559462361417271</v>
      </c>
      <c r="H317">
        <v>157368.06111333537</v>
      </c>
      <c r="I317">
        <v>81</v>
      </c>
      <c r="J317">
        <v>70.401494449506188</v>
      </c>
      <c r="K317" t="str">
        <f t="shared" si="6"/>
        <v>OK</v>
      </c>
    </row>
    <row r="318" spans="1:11">
      <c r="A318" s="1">
        <v>51485</v>
      </c>
      <c r="B318" t="s">
        <v>11</v>
      </c>
      <c r="C318">
        <v>116</v>
      </c>
      <c r="D318">
        <v>27091.595430256781</v>
      </c>
      <c r="E318">
        <v>3.5350260815565906</v>
      </c>
      <c r="F318">
        <v>4.4764405845154851</v>
      </c>
      <c r="G318">
        <v>5.552217602372159</v>
      </c>
      <c r="H318">
        <v>66628.014822436089</v>
      </c>
      <c r="I318">
        <v>98</v>
      </c>
      <c r="J318">
        <v>53.390635344037861</v>
      </c>
      <c r="K318" t="str">
        <f t="shared" si="6"/>
        <v>OK</v>
      </c>
    </row>
    <row r="319" spans="1:11">
      <c r="A319" s="1">
        <v>51515</v>
      </c>
      <c r="B319" t="s">
        <v>14</v>
      </c>
      <c r="C319">
        <v>128.02105259999999</v>
      </c>
      <c r="D319">
        <v>24926.216346535664</v>
      </c>
      <c r="E319">
        <v>4.0809391513040953</v>
      </c>
      <c r="F319">
        <v>0.93575838828894864</v>
      </c>
      <c r="G319">
        <v>6.1697674174222072</v>
      </c>
      <c r="H319">
        <v>121174.57059767758</v>
      </c>
      <c r="I319">
        <v>92</v>
      </c>
      <c r="J319">
        <v>31.54496349499852</v>
      </c>
      <c r="K319" t="str">
        <f t="shared" si="6"/>
        <v>OK</v>
      </c>
    </row>
    <row r="320" spans="1:11">
      <c r="A320" s="1">
        <v>51545</v>
      </c>
      <c r="B320" t="s">
        <v>11</v>
      </c>
      <c r="C320">
        <v>87</v>
      </c>
      <c r="D320">
        <v>26753.612274669966</v>
      </c>
      <c r="E320">
        <v>3.0363234329047128</v>
      </c>
      <c r="F320">
        <v>4.1172125749686241</v>
      </c>
      <c r="G320">
        <v>24.645279067668366</v>
      </c>
      <c r="H320">
        <v>96543.965252070717</v>
      </c>
      <c r="I320">
        <f>111.9136842</f>
        <v>111.91368420000001</v>
      </c>
      <c r="J320">
        <v>27.484752552986844</v>
      </c>
      <c r="K320" t="str">
        <f t="shared" si="6"/>
        <v>OK</v>
      </c>
    </row>
    <row r="321" spans="1:11">
      <c r="A321" s="1">
        <v>51575</v>
      </c>
      <c r="B321" t="s">
        <v>10</v>
      </c>
      <c r="C321">
        <v>103</v>
      </c>
      <c r="D321">
        <v>23880.298666188719</v>
      </c>
      <c r="E321">
        <v>3.6191844913673927</v>
      </c>
      <c r="F321">
        <v>2.6043559375232128</v>
      </c>
      <c r="G321">
        <v>5.144071049116242</v>
      </c>
      <c r="H321">
        <v>115438.4030967335</v>
      </c>
      <c r="I321">
        <v>101</v>
      </c>
      <c r="J321">
        <v>21.333724047970648</v>
      </c>
      <c r="K321" t="str">
        <f t="shared" si="6"/>
        <v>OK</v>
      </c>
    </row>
    <row r="322" spans="1:11">
      <c r="A322" s="1">
        <v>51605</v>
      </c>
      <c r="B322" t="s">
        <v>10</v>
      </c>
      <c r="C322">
        <v>115</v>
      </c>
      <c r="D322">
        <v>30170.417341296132</v>
      </c>
      <c r="E322">
        <v>39.87598814891215</v>
      </c>
      <c r="F322">
        <v>1.6012159516768718</v>
      </c>
      <c r="G322">
        <v>5.7895863219001376</v>
      </c>
      <c r="H322">
        <v>108826.14303398492</v>
      </c>
      <c r="I322">
        <v>67</v>
      </c>
      <c r="J322">
        <v>89.882741139617167</v>
      </c>
      <c r="K322" t="str">
        <f t="shared" ref="K322:K385" si="7">IF(COUNTA(A322:J322)&lt;COLUMNS(A322:J322), "Missing Data", "OK")</f>
        <v>OK</v>
      </c>
    </row>
    <row r="323" spans="1:11">
      <c r="A323" s="1">
        <v>51635</v>
      </c>
      <c r="B323" t="s">
        <v>14</v>
      </c>
      <c r="C323">
        <v>88</v>
      </c>
      <c r="D323">
        <v>26150.13384470679</v>
      </c>
      <c r="E323">
        <v>3.7505470849699227</v>
      </c>
      <c r="F323">
        <v>1.1696863742610102</v>
      </c>
      <c r="G323">
        <v>4.1187830996565911</v>
      </c>
      <c r="H323">
        <v>85336.876057800066</v>
      </c>
      <c r="I323">
        <v>101</v>
      </c>
      <c r="J323">
        <f>80.21517797</f>
        <v>80.215177969999999</v>
      </c>
      <c r="K323" t="str">
        <f t="shared" si="7"/>
        <v>OK</v>
      </c>
    </row>
    <row r="324" spans="1:11">
      <c r="A324" s="1">
        <v>51665</v>
      </c>
      <c r="B324" t="s">
        <v>13</v>
      </c>
      <c r="C324">
        <v>920</v>
      </c>
      <c r="D324">
        <v>31168.92955895374</v>
      </c>
      <c r="E324">
        <v>3.5947908082993716</v>
      </c>
      <c r="F324">
        <v>2.3108796092229666</v>
      </c>
      <c r="G324">
        <v>5.9635879813738724</v>
      </c>
      <c r="H324">
        <v>104579.9278491868</v>
      </c>
      <c r="I324">
        <v>88</v>
      </c>
      <c r="J324">
        <v>36.920539942541446</v>
      </c>
      <c r="K324" t="str">
        <f t="shared" si="7"/>
        <v>OK</v>
      </c>
    </row>
    <row r="325" spans="1:11">
      <c r="A325" s="1">
        <v>51695</v>
      </c>
      <c r="B325" t="s">
        <v>13</v>
      </c>
      <c r="C325">
        <v>108</v>
      </c>
      <c r="D325">
        <v>22220.521768981864</v>
      </c>
      <c r="E325">
        <v>4.0005230462835701</v>
      </c>
      <c r="F325">
        <v>3.4216501119244596</v>
      </c>
      <c r="G325">
        <v>5.2546345348166543</v>
      </c>
      <c r="H325">
        <v>62841.970972034258</v>
      </c>
      <c r="I325">
        <v>89</v>
      </c>
      <c r="J325">
        <v>78.88283203408524</v>
      </c>
      <c r="K325" t="str">
        <f t="shared" si="7"/>
        <v>OK</v>
      </c>
    </row>
    <row r="326" spans="1:11">
      <c r="A326" s="1">
        <v>51725</v>
      </c>
      <c r="B326" t="s">
        <v>10</v>
      </c>
      <c r="C326">
        <v>128.02105259999999</v>
      </c>
      <c r="D326">
        <v>31654.401161072285</v>
      </c>
      <c r="E326">
        <v>2.1483838535003814</v>
      </c>
      <c r="F326">
        <v>2.3724508796224657</v>
      </c>
      <c r="G326">
        <v>7.6065708379785875</v>
      </c>
      <c r="H326">
        <v>112064.95001142788</v>
      </c>
      <c r="I326">
        <v>92</v>
      </c>
      <c r="J326">
        <v>45.60128904699134</v>
      </c>
      <c r="K326" t="str">
        <f t="shared" si="7"/>
        <v>OK</v>
      </c>
    </row>
    <row r="327" spans="1:11">
      <c r="A327" s="1">
        <v>51755</v>
      </c>
      <c r="B327" t="s">
        <v>10</v>
      </c>
      <c r="C327">
        <v>86</v>
      </c>
      <c r="D327">
        <v>34167.644808044621</v>
      </c>
      <c r="E327">
        <v>3.8389376597654539</v>
      </c>
      <c r="F327">
        <v>4.011154930247347</v>
      </c>
      <c r="G327">
        <v>7.3876236702578275</v>
      </c>
      <c r="H327">
        <v>105963.16931981052</v>
      </c>
      <c r="I327">
        <v>85</v>
      </c>
      <c r="J327">
        <v>604.83575392946921</v>
      </c>
      <c r="K327" t="str">
        <f t="shared" si="7"/>
        <v>OK</v>
      </c>
    </row>
    <row r="328" spans="1:11">
      <c r="A328" s="1">
        <v>51785</v>
      </c>
      <c r="B328" t="s">
        <v>13</v>
      </c>
      <c r="C328">
        <v>87</v>
      </c>
      <c r="D328">
        <v>20031.321787142722</v>
      </c>
      <c r="E328">
        <v>4.5778345189999996</v>
      </c>
      <c r="F328">
        <v>1.0488243099484411</v>
      </c>
      <c r="G328">
        <v>4.9410333170582046</v>
      </c>
      <c r="H328">
        <v>112773.20337286204</v>
      </c>
      <c r="I328">
        <v>86</v>
      </c>
      <c r="J328">
        <v>33.000885223796502</v>
      </c>
      <c r="K328" t="str">
        <f t="shared" si="7"/>
        <v>OK</v>
      </c>
    </row>
    <row r="329" spans="1:11">
      <c r="A329" s="1">
        <v>51815</v>
      </c>
      <c r="B329" t="s">
        <v>12</v>
      </c>
      <c r="C329">
        <v>109</v>
      </c>
      <c r="D329">
        <v>31870.282849237861</v>
      </c>
      <c r="E329">
        <v>2.5846835515717714</v>
      </c>
      <c r="F329">
        <v>2.4879110521539456</v>
      </c>
      <c r="G329">
        <v>5.3189947461199658</v>
      </c>
      <c r="H329">
        <v>121162.366501743</v>
      </c>
      <c r="I329">
        <v>93</v>
      </c>
      <c r="J329">
        <v>96.779657716957544</v>
      </c>
      <c r="K329" t="str">
        <f t="shared" si="7"/>
        <v>OK</v>
      </c>
    </row>
    <row r="330" spans="1:11">
      <c r="A330" s="1">
        <v>51845</v>
      </c>
      <c r="B330" t="s">
        <v>13</v>
      </c>
      <c r="C330">
        <v>91</v>
      </c>
      <c r="D330">
        <v>36138.344962366464</v>
      </c>
      <c r="E330">
        <v>3.7556012997624904</v>
      </c>
      <c r="F330">
        <v>1.2476065555868809</v>
      </c>
      <c r="G330">
        <v>5.4112629212699286</v>
      </c>
      <c r="H330">
        <v>107352.39680419421</v>
      </c>
      <c r="I330">
        <v>84</v>
      </c>
      <c r="J330">
        <v>88.126512001378984</v>
      </c>
      <c r="K330" t="str">
        <f t="shared" si="7"/>
        <v>OK</v>
      </c>
    </row>
    <row r="331" spans="1:11">
      <c r="A331" s="1">
        <v>51875</v>
      </c>
      <c r="B331" t="s">
        <v>11</v>
      </c>
      <c r="C331">
        <v>107</v>
      </c>
      <c r="D331">
        <v>23951.794906543972</v>
      </c>
      <c r="E331">
        <v>4.1868292725814786</v>
      </c>
      <c r="F331">
        <v>2.863631882624968</v>
      </c>
      <c r="G331">
        <v>49.58008628608453</v>
      </c>
      <c r="H331">
        <v>102961.78839596553</v>
      </c>
      <c r="I331">
        <v>89</v>
      </c>
      <c r="J331">
        <v>89.103169837200255</v>
      </c>
      <c r="K331" t="str">
        <f t="shared" si="7"/>
        <v>OK</v>
      </c>
    </row>
    <row r="332" spans="1:11">
      <c r="A332" s="1">
        <v>51905</v>
      </c>
      <c r="B332" t="s">
        <v>12</v>
      </c>
      <c r="C332">
        <v>106</v>
      </c>
      <c r="D332">
        <v>38362.861934188521</v>
      </c>
      <c r="E332">
        <v>3.4312757426861542</v>
      </c>
      <c r="F332">
        <v>3.3868873900973004</v>
      </c>
      <c r="G332">
        <v>5.7340299808337525</v>
      </c>
      <c r="H332">
        <v>82378.633266774152</v>
      </c>
      <c r="I332">
        <v>98</v>
      </c>
      <c r="J332">
        <v>52.541899885760415</v>
      </c>
      <c r="K332" t="str">
        <f t="shared" si="7"/>
        <v>OK</v>
      </c>
    </row>
    <row r="333" spans="1:11">
      <c r="A333" s="1">
        <v>51935</v>
      </c>
      <c r="B333" t="s">
        <v>11</v>
      </c>
      <c r="C333">
        <v>92</v>
      </c>
      <c r="D333">
        <v>32095.095046830225</v>
      </c>
      <c r="E333">
        <v>3.9764372736014693</v>
      </c>
      <c r="F333">
        <v>2.079238206318947</v>
      </c>
      <c r="G333">
        <v>4.5900615173348918</v>
      </c>
      <c r="H333">
        <v>85755.584727018984</v>
      </c>
      <c r="I333">
        <v>85</v>
      </c>
      <c r="J333">
        <v>809.88897096573828</v>
      </c>
      <c r="K333" t="str">
        <f t="shared" si="7"/>
        <v>OK</v>
      </c>
    </row>
    <row r="334" spans="1:11">
      <c r="A334" s="1">
        <v>51965</v>
      </c>
      <c r="B334" t="s">
        <v>10</v>
      </c>
      <c r="C334">
        <v>90</v>
      </c>
      <c r="D334">
        <v>26474.940721207957</v>
      </c>
      <c r="E334">
        <v>4.3061391289943227</v>
      </c>
      <c r="F334">
        <v>-0.10421385662713423</v>
      </c>
      <c r="G334">
        <v>4.1432615980749681</v>
      </c>
      <c r="H334">
        <v>1237346.9240354663</v>
      </c>
      <c r="I334">
        <v>70</v>
      </c>
      <c r="J334">
        <v>31.510092431182414</v>
      </c>
      <c r="K334" t="str">
        <f t="shared" si="7"/>
        <v>OK</v>
      </c>
    </row>
    <row r="335" spans="1:11">
      <c r="A335" s="1">
        <v>51995</v>
      </c>
      <c r="B335" t="s">
        <v>12</v>
      </c>
      <c r="C335">
        <v>102</v>
      </c>
      <c r="D335">
        <v>29721.15461171147</v>
      </c>
      <c r="E335">
        <v>4.1574572267920233</v>
      </c>
      <c r="F335">
        <v>2.6989481467964946</v>
      </c>
      <c r="G335">
        <v>6.2472534686803218</v>
      </c>
      <c r="H335">
        <v>1287267.0811411957</v>
      </c>
      <c r="I335">
        <v>106</v>
      </c>
      <c r="J335">
        <v>20.689520207342422</v>
      </c>
      <c r="K335" t="str">
        <f t="shared" si="7"/>
        <v>OK</v>
      </c>
    </row>
    <row r="336" spans="1:11">
      <c r="A336" s="1">
        <v>52025</v>
      </c>
      <c r="B336" t="s">
        <v>11</v>
      </c>
      <c r="C336">
        <v>99</v>
      </c>
      <c r="D336">
        <v>32791.634562608611</v>
      </c>
      <c r="E336">
        <v>4.3199822646856969</v>
      </c>
      <c r="F336">
        <v>2.9367385517335096</v>
      </c>
      <c r="G336">
        <v>6.2554355010661729</v>
      </c>
      <c r="H336">
        <v>95237.791273758921</v>
      </c>
      <c r="I336">
        <v>91</v>
      </c>
      <c r="J336">
        <v>21.597834606242252</v>
      </c>
      <c r="K336" t="str">
        <f t="shared" si="7"/>
        <v>OK</v>
      </c>
    </row>
    <row r="337" spans="1:11">
      <c r="A337" s="1">
        <v>52055</v>
      </c>
      <c r="B337" t="s">
        <v>11</v>
      </c>
      <c r="C337">
        <v>88</v>
      </c>
      <c r="D337">
        <v>38106.295579999998</v>
      </c>
      <c r="E337">
        <v>3.8710637455359462</v>
      </c>
      <c r="F337">
        <v>2.9042947549616978</v>
      </c>
      <c r="G337">
        <v>4.5348210884080089</v>
      </c>
      <c r="H337">
        <v>100920.05494506548</v>
      </c>
      <c r="I337">
        <v>86</v>
      </c>
      <c r="J337">
        <v>66.928138992364836</v>
      </c>
      <c r="K337" t="str">
        <f t="shared" si="7"/>
        <v>OK</v>
      </c>
    </row>
    <row r="338" spans="1:11">
      <c r="A338" s="1">
        <v>52085</v>
      </c>
      <c r="B338" t="s">
        <v>12</v>
      </c>
      <c r="C338">
        <v>100</v>
      </c>
      <c r="D338">
        <v>32693.779962231845</v>
      </c>
      <c r="E338">
        <v>3.5377168194507962</v>
      </c>
      <c r="F338">
        <v>3.7357821918221541</v>
      </c>
      <c r="G338">
        <v>6.5744265169151195</v>
      </c>
      <c r="H338">
        <v>81907.712500124675</v>
      </c>
      <c r="I338">
        <v>92</v>
      </c>
      <c r="J338">
        <v>56.431592419835262</v>
      </c>
      <c r="K338" t="str">
        <f t="shared" si="7"/>
        <v>OK</v>
      </c>
    </row>
    <row r="339" spans="1:11">
      <c r="A339" s="1">
        <v>52115</v>
      </c>
      <c r="B339" t="s">
        <v>14</v>
      </c>
      <c r="C339">
        <v>128.02105259999999</v>
      </c>
      <c r="D339">
        <v>25396.632034603168</v>
      </c>
      <c r="E339">
        <v>2.699017094051416</v>
      </c>
      <c r="F339">
        <v>1.4289463203509511</v>
      </c>
      <c r="G339">
        <v>4.7421067250016025</v>
      </c>
      <c r="H339">
        <v>123455.13690534889</v>
      </c>
      <c r="I339">
        <v>75</v>
      </c>
      <c r="J339">
        <v>61.441227912681583</v>
      </c>
      <c r="K339" t="str">
        <f t="shared" si="7"/>
        <v>OK</v>
      </c>
    </row>
    <row r="340" spans="1:11">
      <c r="A340" s="1">
        <v>52145</v>
      </c>
      <c r="B340" t="s">
        <v>13</v>
      </c>
      <c r="C340">
        <v>106</v>
      </c>
      <c r="D340">
        <v>30846.80412018039</v>
      </c>
      <c r="E340">
        <v>3.3769687559350259</v>
      </c>
      <c r="F340">
        <v>3.1802161054504494</v>
      </c>
      <c r="G340">
        <v>5.803798285645577</v>
      </c>
      <c r="H340">
        <v>113308.33647383557</v>
      </c>
      <c r="I340">
        <v>116</v>
      </c>
      <c r="J340">
        <f>80.21517797</f>
        <v>80.215177969999999</v>
      </c>
      <c r="K340" t="str">
        <f t="shared" si="7"/>
        <v>OK</v>
      </c>
    </row>
    <row r="341" spans="1:11">
      <c r="A341" s="1">
        <v>52175</v>
      </c>
      <c r="B341" t="s">
        <v>11</v>
      </c>
      <c r="C341">
        <v>128.02105259999999</v>
      </c>
      <c r="D341">
        <v>22931.427515475101</v>
      </c>
      <c r="E341">
        <v>3.0783767023419042</v>
      </c>
      <c r="F341">
        <v>3.6925075124779747</v>
      </c>
      <c r="G341">
        <v>64.844128151349466</v>
      </c>
      <c r="H341">
        <v>138824.34872927499</v>
      </c>
      <c r="I341">
        <v>93</v>
      </c>
      <c r="J341">
        <v>53.814929572594053</v>
      </c>
      <c r="K341" t="str">
        <f t="shared" si="7"/>
        <v>OK</v>
      </c>
    </row>
    <row r="342" spans="1:11">
      <c r="A342" s="1">
        <v>52205</v>
      </c>
      <c r="B342" t="s">
        <v>13</v>
      </c>
      <c r="C342">
        <v>98</v>
      </c>
      <c r="D342">
        <v>29443.8696932565</v>
      </c>
      <c r="E342">
        <v>4.5854713587489071</v>
      </c>
      <c r="F342">
        <v>0.72141241599348316</v>
      </c>
      <c r="G342">
        <v>5.459664922355544</v>
      </c>
      <c r="H342">
        <v>82433.538456405222</v>
      </c>
      <c r="I342">
        <v>92</v>
      </c>
      <c r="J342">
        <v>77.445452896068872</v>
      </c>
      <c r="K342" t="str">
        <f t="shared" si="7"/>
        <v>OK</v>
      </c>
    </row>
    <row r="343" spans="1:11">
      <c r="A343" s="1">
        <v>52235</v>
      </c>
      <c r="B343" t="s">
        <v>13</v>
      </c>
      <c r="C343">
        <v>119</v>
      </c>
      <c r="D343">
        <v>254804.61792676052</v>
      </c>
      <c r="E343">
        <v>3.4120570937838317</v>
      </c>
      <c r="F343">
        <v>2.8196518259189771</v>
      </c>
      <c r="G343">
        <v>6.0456890945693615</v>
      </c>
      <c r="H343">
        <v>92439.84201963566</v>
      </c>
      <c r="I343">
        <v>92</v>
      </c>
      <c r="J343">
        <v>55.41549615739487</v>
      </c>
      <c r="K343" t="str">
        <f t="shared" si="7"/>
        <v>OK</v>
      </c>
    </row>
    <row r="344" spans="1:11">
      <c r="A344" s="1">
        <v>52265</v>
      </c>
      <c r="B344" t="s">
        <v>10</v>
      </c>
      <c r="C344">
        <v>99</v>
      </c>
      <c r="D344">
        <v>26322.350287051166</v>
      </c>
      <c r="E344">
        <v>3.5616024033922429</v>
      </c>
      <c r="F344">
        <v>1.9958201689923285</v>
      </c>
      <c r="G344">
        <f>6.97388673</f>
        <v>6.9738867300000003</v>
      </c>
      <c r="H344">
        <v>104628.91845051144</v>
      </c>
      <c r="I344">
        <f>111.9136842</f>
        <v>111.91368420000001</v>
      </c>
      <c r="J344">
        <v>78.577536504977786</v>
      </c>
      <c r="K344" t="str">
        <f t="shared" si="7"/>
        <v>OK</v>
      </c>
    </row>
    <row r="345" spans="1:11">
      <c r="A345" s="1">
        <v>52295</v>
      </c>
      <c r="B345" t="s">
        <v>13</v>
      </c>
      <c r="C345">
        <v>87</v>
      </c>
      <c r="D345">
        <v>36180.465876052185</v>
      </c>
      <c r="E345">
        <v>3.7757426880202338</v>
      </c>
      <c r="F345">
        <v>2.4184773268983539</v>
      </c>
      <c r="G345">
        <v>5.2642400998862833</v>
      </c>
      <c r="H345">
        <v>112929.79075451542</v>
      </c>
      <c r="I345">
        <v>94</v>
      </c>
      <c r="J345">
        <v>38.641517151746783</v>
      </c>
      <c r="K345" t="str">
        <f t="shared" si="7"/>
        <v>OK</v>
      </c>
    </row>
    <row r="346" spans="1:11">
      <c r="A346" s="1">
        <v>52325</v>
      </c>
      <c r="B346" t="s">
        <v>11</v>
      </c>
      <c r="C346">
        <v>128.02105259999999</v>
      </c>
      <c r="D346">
        <v>35456.550602971343</v>
      </c>
      <c r="E346">
        <v>3.5218012231862268</v>
      </c>
      <c r="F346">
        <v>2.8476764835383364</v>
      </c>
      <c r="G346">
        <v>5.2529686829435915</v>
      </c>
      <c r="H346">
        <v>95686.647249047353</v>
      </c>
      <c r="I346">
        <v>93</v>
      </c>
      <c r="J346">
        <v>85.051360358538034</v>
      </c>
      <c r="K346" t="str">
        <f t="shared" si="7"/>
        <v>OK</v>
      </c>
    </row>
    <row r="347" spans="1:11">
      <c r="A347" s="1">
        <v>52355</v>
      </c>
      <c r="B347" t="s">
        <v>10</v>
      </c>
      <c r="C347">
        <v>103</v>
      </c>
      <c r="D347">
        <v>33045.690604535885</v>
      </c>
      <c r="E347">
        <v>4.3475255202153766</v>
      </c>
      <c r="F347">
        <v>2.0127714358864477</v>
      </c>
      <c r="G347">
        <v>4.6041059841517136</v>
      </c>
      <c r="H347">
        <v>82540.778190925994</v>
      </c>
      <c r="I347">
        <v>84</v>
      </c>
      <c r="J347">
        <v>67.074499236276182</v>
      </c>
      <c r="K347" t="str">
        <f t="shared" si="7"/>
        <v>OK</v>
      </c>
    </row>
    <row r="348" spans="1:11">
      <c r="A348" s="1">
        <v>52385</v>
      </c>
      <c r="B348" t="s">
        <v>12</v>
      </c>
      <c r="C348">
        <v>79</v>
      </c>
      <c r="D348">
        <v>24538.436176637104</v>
      </c>
      <c r="E348">
        <v>3.1886753191327739</v>
      </c>
      <c r="F348">
        <v>1.8242919208383883</v>
      </c>
      <c r="G348">
        <v>5.2878710042610617</v>
      </c>
      <c r="H348">
        <v>117628.15057847142</v>
      </c>
      <c r="I348">
        <v>1050</v>
      </c>
      <c r="J348">
        <v>36.861047954392497</v>
      </c>
      <c r="K348" t="str">
        <f t="shared" si="7"/>
        <v>OK</v>
      </c>
    </row>
    <row r="349" spans="1:11">
      <c r="A349" s="1">
        <v>52415</v>
      </c>
      <c r="B349" t="s">
        <v>11</v>
      </c>
      <c r="C349">
        <v>110</v>
      </c>
      <c r="D349">
        <v>28417.957751525992</v>
      </c>
      <c r="E349">
        <v>3.5973037276186215</v>
      </c>
      <c r="F349">
        <v>2.5341524174880248</v>
      </c>
      <c r="G349">
        <f>6.97388673</f>
        <v>6.9738867300000003</v>
      </c>
      <c r="H349">
        <v>114422.70725091163</v>
      </c>
      <c r="I349">
        <v>95</v>
      </c>
      <c r="J349">
        <v>38.937638068306633</v>
      </c>
      <c r="K349" t="str">
        <f t="shared" si="7"/>
        <v>OK</v>
      </c>
    </row>
    <row r="350" spans="1:11">
      <c r="A350" s="1">
        <v>52445</v>
      </c>
      <c r="B350" t="s">
        <v>10</v>
      </c>
      <c r="C350">
        <v>95</v>
      </c>
      <c r="D350">
        <v>36065.488499895917</v>
      </c>
      <c r="E350">
        <v>3.1287647071509759</v>
      </c>
      <c r="F350">
        <v>1.4127540611371974</v>
      </c>
      <c r="G350">
        <v>4.9106155034294741</v>
      </c>
      <c r="H350">
        <v>81674.517988725507</v>
      </c>
      <c r="I350">
        <v>80</v>
      </c>
      <c r="J350">
        <v>70.242437165562961</v>
      </c>
      <c r="K350" t="str">
        <f t="shared" si="7"/>
        <v>OK</v>
      </c>
    </row>
    <row r="351" spans="1:11">
      <c r="A351" s="1">
        <v>52475</v>
      </c>
      <c r="B351" t="s">
        <v>10</v>
      </c>
      <c r="C351">
        <v>101</v>
      </c>
      <c r="D351">
        <v>30708.584568199523</v>
      </c>
      <c r="E351">
        <v>2.8399887443896472</v>
      </c>
      <c r="F351">
        <v>1.4141748711148145</v>
      </c>
      <c r="G351">
        <v>5.1581494079563948</v>
      </c>
      <c r="H351">
        <v>127108.85602210992</v>
      </c>
      <c r="I351">
        <v>89</v>
      </c>
      <c r="J351">
        <v>86.395167456995466</v>
      </c>
      <c r="K351" t="str">
        <f t="shared" si="7"/>
        <v>OK</v>
      </c>
    </row>
    <row r="352" spans="1:11">
      <c r="A352" s="1">
        <v>52505</v>
      </c>
      <c r="B352" t="s">
        <v>13</v>
      </c>
      <c r="C352">
        <v>95</v>
      </c>
      <c r="D352">
        <v>41596.64769990847</v>
      </c>
      <c r="E352">
        <v>3.1941154545473571</v>
      </c>
      <c r="F352">
        <v>3.1793732829565036</v>
      </c>
      <c r="G352">
        <v>5.1925842970055438</v>
      </c>
      <c r="H352">
        <v>123403.97418393208</v>
      </c>
      <c r="I352">
        <v>93</v>
      </c>
      <c r="J352">
        <f>80.21517797</f>
        <v>80.215177969999999</v>
      </c>
      <c r="K352" t="str">
        <f t="shared" si="7"/>
        <v>OK</v>
      </c>
    </row>
    <row r="353" spans="1:11">
      <c r="A353" s="1">
        <v>52535</v>
      </c>
      <c r="B353" t="s">
        <v>12</v>
      </c>
      <c r="C353">
        <v>107</v>
      </c>
      <c r="D353">
        <v>31966.589196971858</v>
      </c>
      <c r="E353">
        <v>3.4814816014757941</v>
      </c>
      <c r="F353">
        <v>1.3512059648413439</v>
      </c>
      <c r="G353">
        <v>5.2102030649550652</v>
      </c>
      <c r="H353">
        <v>102685.92994495586</v>
      </c>
      <c r="I353">
        <v>85</v>
      </c>
      <c r="J353">
        <v>40.664034330207379</v>
      </c>
      <c r="K353" t="str">
        <f t="shared" si="7"/>
        <v>OK</v>
      </c>
    </row>
    <row r="354" spans="1:11">
      <c r="A354" s="1">
        <v>52565</v>
      </c>
      <c r="B354" t="s">
        <v>11</v>
      </c>
      <c r="C354">
        <v>91</v>
      </c>
      <c r="D354">
        <v>38106.295579999998</v>
      </c>
      <c r="E354">
        <v>3.2853488877413701</v>
      </c>
      <c r="F354">
        <v>3.1663125009092119</v>
      </c>
      <c r="G354">
        <v>5.4258829601678453</v>
      </c>
      <c r="H354">
        <v>101591.95724752072</v>
      </c>
      <c r="I354">
        <v>81</v>
      </c>
      <c r="J354">
        <v>89.360928552848037</v>
      </c>
      <c r="K354" t="str">
        <f t="shared" si="7"/>
        <v>OK</v>
      </c>
    </row>
    <row r="355" spans="1:11">
      <c r="A355" s="1">
        <v>52595</v>
      </c>
      <c r="B355" t="s">
        <v>11</v>
      </c>
      <c r="C355">
        <v>87</v>
      </c>
      <c r="D355">
        <v>28454.417678987495</v>
      </c>
      <c r="E355">
        <v>3.153789510063072</v>
      </c>
      <c r="F355">
        <v>2.9625912928539511</v>
      </c>
      <c r="G355">
        <v>6.075329821703277</v>
      </c>
      <c r="H355">
        <v>111081.15542231814</v>
      </c>
      <c r="I355">
        <v>81</v>
      </c>
      <c r="J355">
        <f>80.21517797</f>
        <v>80.215177969999999</v>
      </c>
      <c r="K355" t="str">
        <f t="shared" si="7"/>
        <v>OK</v>
      </c>
    </row>
    <row r="356" spans="1:11">
      <c r="A356" s="1">
        <v>52625</v>
      </c>
      <c r="B356" t="s">
        <v>13</v>
      </c>
      <c r="C356">
        <v>100</v>
      </c>
      <c r="D356">
        <v>30667.704523911412</v>
      </c>
      <c r="E356">
        <v>2.7968412681640831</v>
      </c>
      <c r="F356">
        <v>0.77419327120940329</v>
      </c>
      <c r="G356">
        <v>6.5494204889590275</v>
      </c>
      <c r="H356">
        <v>82765.938594874839</v>
      </c>
      <c r="I356">
        <v>88</v>
      </c>
      <c r="J356">
        <v>55.846838982646119</v>
      </c>
      <c r="K356" t="str">
        <f t="shared" si="7"/>
        <v>OK</v>
      </c>
    </row>
    <row r="357" spans="1:11">
      <c r="A357" s="1">
        <v>52655</v>
      </c>
      <c r="B357" t="s">
        <v>12</v>
      </c>
      <c r="C357">
        <v>117</v>
      </c>
      <c r="D357">
        <v>29237.650818097281</v>
      </c>
      <c r="E357">
        <v>3.4584472136856528</v>
      </c>
      <c r="F357">
        <f t="shared" ref="F357:F358" si="8">3.224108373</f>
        <v>3.224108373</v>
      </c>
      <c r="G357">
        <v>4.7202817277820799</v>
      </c>
      <c r="H357">
        <v>100600.62958328164</v>
      </c>
      <c r="I357">
        <v>88</v>
      </c>
      <c r="J357">
        <v>59.032015622344147</v>
      </c>
      <c r="K357" t="str">
        <f t="shared" si="7"/>
        <v>OK</v>
      </c>
    </row>
    <row r="358" spans="1:11">
      <c r="A358" s="1">
        <v>52685</v>
      </c>
      <c r="B358" t="s">
        <v>11</v>
      </c>
      <c r="C358">
        <v>102</v>
      </c>
      <c r="D358">
        <v>38106.295579999998</v>
      </c>
      <c r="E358">
        <v>2.7476398129844988</v>
      </c>
      <c r="F358">
        <f t="shared" si="8"/>
        <v>3.224108373</v>
      </c>
      <c r="G358">
        <v>4.0561589735330266</v>
      </c>
      <c r="H358">
        <v>56952.329107816389</v>
      </c>
      <c r="I358">
        <v>103</v>
      </c>
      <c r="J358">
        <f>80.21517797</f>
        <v>80.215177969999999</v>
      </c>
      <c r="K358" t="str">
        <f t="shared" si="7"/>
        <v>OK</v>
      </c>
    </row>
    <row r="359" spans="1:11">
      <c r="A359" s="1">
        <v>52715</v>
      </c>
      <c r="B359" t="s">
        <v>12</v>
      </c>
      <c r="C359">
        <v>88</v>
      </c>
      <c r="D359">
        <v>34783.511583972919</v>
      </c>
      <c r="E359">
        <v>3.8800279818448011</v>
      </c>
      <c r="F359">
        <v>1.5188344688603184</v>
      </c>
      <c r="G359">
        <v>4.2495467053082763</v>
      </c>
      <c r="H359">
        <v>117529.11291005871</v>
      </c>
      <c r="I359">
        <v>91</v>
      </c>
      <c r="J359">
        <v>70.144210405187522</v>
      </c>
      <c r="K359" t="str">
        <f t="shared" si="7"/>
        <v>OK</v>
      </c>
    </row>
    <row r="360" spans="1:11">
      <c r="A360" s="1">
        <v>52745</v>
      </c>
      <c r="B360" t="s">
        <v>11</v>
      </c>
      <c r="C360">
        <v>100</v>
      </c>
      <c r="D360">
        <v>26070.052697460254</v>
      </c>
      <c r="E360">
        <v>3.5412198764672516</v>
      </c>
      <c r="F360">
        <v>2.0355957376906124</v>
      </c>
      <c r="G360">
        <v>4.9153564945660877</v>
      </c>
      <c r="H360">
        <v>68770.135551162821</v>
      </c>
      <c r="I360">
        <f>111.9136842</f>
        <v>111.91368420000001</v>
      </c>
      <c r="J360">
        <v>48.699400843431093</v>
      </c>
      <c r="K360" t="str">
        <f t="shared" si="7"/>
        <v>OK</v>
      </c>
    </row>
    <row r="361" spans="1:11">
      <c r="A361" s="1">
        <v>52775</v>
      </c>
      <c r="B361" t="s">
        <v>13</v>
      </c>
      <c r="C361">
        <v>81</v>
      </c>
      <c r="D361">
        <v>23343.83523221111</v>
      </c>
      <c r="E361">
        <v>2.7712242502675348</v>
      </c>
      <c r="F361">
        <v>2.9620608932518966</v>
      </c>
      <c r="G361">
        <v>5.0776944186201893</v>
      </c>
      <c r="H361">
        <v>130068.39656857998</v>
      </c>
      <c r="I361">
        <v>95</v>
      </c>
      <c r="J361">
        <v>99.651614133947945</v>
      </c>
      <c r="K361" t="str">
        <f t="shared" si="7"/>
        <v>OK</v>
      </c>
    </row>
    <row r="362" spans="1:11">
      <c r="A362" s="1">
        <v>52805</v>
      </c>
      <c r="B362" t="s">
        <v>14</v>
      </c>
      <c r="C362">
        <v>91</v>
      </c>
      <c r="D362">
        <v>20818.973134483516</v>
      </c>
      <c r="E362">
        <v>3.3453954614750683</v>
      </c>
      <c r="F362">
        <v>3.2833905092825955</v>
      </c>
      <c r="G362">
        <v>4.5760047205630512</v>
      </c>
      <c r="H362">
        <v>93397.598120670998</v>
      </c>
      <c r="I362">
        <v>109</v>
      </c>
      <c r="J362">
        <v>58.414681220951024</v>
      </c>
      <c r="K362" t="str">
        <f t="shared" si="7"/>
        <v>OK</v>
      </c>
    </row>
    <row r="363" spans="1:11">
      <c r="A363" s="1">
        <v>52835</v>
      </c>
      <c r="B363" t="s">
        <v>11</v>
      </c>
      <c r="C363">
        <v>90</v>
      </c>
      <c r="D363">
        <v>32539.956634562717</v>
      </c>
      <c r="E363">
        <v>3.1239217972047086</v>
      </c>
      <c r="F363">
        <f>3.224108373</f>
        <v>3.224108373</v>
      </c>
      <c r="G363">
        <v>3.9446600029001266</v>
      </c>
      <c r="H363">
        <v>95766.66036137646</v>
      </c>
      <c r="I363">
        <v>85</v>
      </c>
      <c r="J363">
        <v>58.870848495169056</v>
      </c>
      <c r="K363" t="str">
        <f t="shared" si="7"/>
        <v>OK</v>
      </c>
    </row>
    <row r="364" spans="1:11">
      <c r="A364" s="1">
        <v>52865</v>
      </c>
      <c r="B364" t="s">
        <v>10</v>
      </c>
      <c r="C364">
        <v>102</v>
      </c>
      <c r="D364">
        <v>24483.166969130631</v>
      </c>
      <c r="E364">
        <v>3.6595872552095901</v>
      </c>
      <c r="F364">
        <v>1.9024898053083583</v>
      </c>
      <c r="G364">
        <v>4.9526550070309741</v>
      </c>
      <c r="H364">
        <v>87445.321878309886</v>
      </c>
      <c r="I364">
        <v>81</v>
      </c>
      <c r="J364">
        <v>65.268142992853754</v>
      </c>
      <c r="K364" t="str">
        <f t="shared" si="7"/>
        <v>OK</v>
      </c>
    </row>
    <row r="365" spans="1:11">
      <c r="A365" s="1">
        <v>52895</v>
      </c>
      <c r="B365" t="s">
        <v>10</v>
      </c>
      <c r="C365">
        <v>109</v>
      </c>
      <c r="D365">
        <v>19235.547035237585</v>
      </c>
      <c r="E365">
        <v>4.1702252230115722</v>
      </c>
      <c r="F365">
        <v>3.9223698616985079</v>
      </c>
      <c r="G365">
        <v>5.7177119441367656</v>
      </c>
      <c r="H365">
        <v>94239.222521558477</v>
      </c>
      <c r="I365">
        <v>97</v>
      </c>
      <c r="J365">
        <v>93.340480249499734</v>
      </c>
      <c r="K365" t="str">
        <f t="shared" si="7"/>
        <v>OK</v>
      </c>
    </row>
    <row r="366" spans="1:11">
      <c r="A366" s="1">
        <v>52925</v>
      </c>
      <c r="B366" t="s">
        <v>14</v>
      </c>
      <c r="C366">
        <v>101</v>
      </c>
      <c r="D366">
        <v>31942.893022654822</v>
      </c>
      <c r="E366">
        <v>2.5624137651771277</v>
      </c>
      <c r="F366">
        <v>4.2388996637975787</v>
      </c>
      <c r="G366">
        <v>6.2140353590026773</v>
      </c>
      <c r="H366">
        <v>128370.62690296074</v>
      </c>
      <c r="I366">
        <v>87</v>
      </c>
      <c r="J366">
        <v>84.065447988780022</v>
      </c>
      <c r="K366" t="str">
        <f t="shared" si="7"/>
        <v>OK</v>
      </c>
    </row>
    <row r="367" spans="1:11">
      <c r="A367" s="1">
        <v>52955</v>
      </c>
      <c r="B367" t="s">
        <v>11</v>
      </c>
      <c r="C367">
        <v>97</v>
      </c>
      <c r="D367">
        <v>42464.997587163954</v>
      </c>
      <c r="E367">
        <v>35.575130395737084</v>
      </c>
      <c r="F367">
        <v>3.4788580507817954</v>
      </c>
      <c r="G367">
        <v>4.8310923362700144</v>
      </c>
      <c r="H367">
        <v>50243.826869298413</v>
      </c>
      <c r="I367">
        <v>94</v>
      </c>
      <c r="J367">
        <v>56.090405583827312</v>
      </c>
      <c r="K367" t="str">
        <f t="shared" si="7"/>
        <v>OK</v>
      </c>
    </row>
    <row r="368" spans="1:11">
      <c r="A368" s="1">
        <v>52985</v>
      </c>
      <c r="B368" t="s">
        <v>10</v>
      </c>
      <c r="C368">
        <v>88</v>
      </c>
      <c r="D368">
        <v>29969.645442300534</v>
      </c>
      <c r="E368">
        <v>3.41993360221668</v>
      </c>
      <c r="F368">
        <v>2.5853181425650242</v>
      </c>
      <c r="G368">
        <v>5.004402613427879</v>
      </c>
      <c r="H368">
        <v>125539.30772176376</v>
      </c>
      <c r="I368">
        <v>990</v>
      </c>
      <c r="J368">
        <v>77.495941277823675</v>
      </c>
      <c r="K368" t="str">
        <f t="shared" si="7"/>
        <v>OK</v>
      </c>
    </row>
    <row r="369" spans="1:11">
      <c r="A369" s="1">
        <v>53015</v>
      </c>
      <c r="B369" t="s">
        <v>10</v>
      </c>
      <c r="C369">
        <v>960</v>
      </c>
      <c r="D369">
        <v>34192.453872258207</v>
      </c>
      <c r="E369">
        <v>3.8356700382252327</v>
      </c>
      <c r="F369">
        <v>1.6917342783590736</v>
      </c>
      <c r="G369">
        <v>4.3879620293832273</v>
      </c>
      <c r="H369">
        <v>106760.46962203416</v>
      </c>
      <c r="I369">
        <f>111.9136842</f>
        <v>111.91368420000001</v>
      </c>
      <c r="J369">
        <v>66.898839902460935</v>
      </c>
      <c r="K369" t="str">
        <f t="shared" si="7"/>
        <v>OK</v>
      </c>
    </row>
    <row r="370" spans="1:11">
      <c r="A370" s="1">
        <v>53045</v>
      </c>
      <c r="B370" t="s">
        <v>11</v>
      </c>
      <c r="C370">
        <v>104</v>
      </c>
      <c r="D370">
        <v>30409.146792737825</v>
      </c>
      <c r="E370">
        <v>4.5778345189999996</v>
      </c>
      <c r="F370">
        <v>1.6695555934434347</v>
      </c>
      <c r="G370">
        <v>5.4622729955502685</v>
      </c>
      <c r="H370">
        <v>75859.567042855691</v>
      </c>
      <c r="I370">
        <v>111</v>
      </c>
      <c r="J370">
        <v>59.389363896099916</v>
      </c>
      <c r="K370" t="str">
        <f t="shared" si="7"/>
        <v>OK</v>
      </c>
    </row>
    <row r="371" spans="1:11">
      <c r="A371" s="1">
        <v>53075</v>
      </c>
      <c r="B371" t="s">
        <v>12</v>
      </c>
      <c r="C371">
        <v>106</v>
      </c>
      <c r="D371">
        <v>29505.551734044286</v>
      </c>
      <c r="E371">
        <v>3.1240153341305903</v>
      </c>
      <c r="F371">
        <v>3.0225141052657576</v>
      </c>
      <c r="G371">
        <v>4.481885638971022</v>
      </c>
      <c r="H371">
        <v>78493.75213901524</v>
      </c>
      <c r="I371">
        <v>85</v>
      </c>
      <c r="J371">
        <v>35.385261822748042</v>
      </c>
      <c r="K371" t="str">
        <f t="shared" si="7"/>
        <v>OK</v>
      </c>
    </row>
    <row r="372" spans="1:11">
      <c r="A372" s="1">
        <v>53105</v>
      </c>
      <c r="B372" t="s">
        <v>11</v>
      </c>
      <c r="C372">
        <v>91</v>
      </c>
      <c r="D372">
        <v>34595.382414938846</v>
      </c>
      <c r="E372">
        <v>3.3404730321666909</v>
      </c>
      <c r="F372">
        <v>2.9183982208886836</v>
      </c>
      <c r="G372">
        <f>6.97388673</f>
        <v>6.9738867300000003</v>
      </c>
      <c r="H372">
        <v>133527.86054416405</v>
      </c>
      <c r="I372">
        <v>87</v>
      </c>
      <c r="J372">
        <v>57.114901076391277</v>
      </c>
      <c r="K372" t="str">
        <f t="shared" si="7"/>
        <v>OK</v>
      </c>
    </row>
    <row r="373" spans="1:11">
      <c r="A373" s="1">
        <v>53135</v>
      </c>
      <c r="B373" t="s">
        <v>12</v>
      </c>
      <c r="C373">
        <v>110</v>
      </c>
      <c r="D373">
        <v>28548.627279056742</v>
      </c>
      <c r="E373">
        <v>3.1019870715982556</v>
      </c>
      <c r="F373">
        <v>3.9015985929464296</v>
      </c>
      <c r="G373">
        <v>3.3569602096790665</v>
      </c>
      <c r="H373">
        <v>81089.862401145379</v>
      </c>
      <c r="I373">
        <v>88</v>
      </c>
      <c r="J373">
        <v>39.665486961805968</v>
      </c>
      <c r="K373" t="str">
        <f t="shared" si="7"/>
        <v>OK</v>
      </c>
    </row>
    <row r="374" spans="1:11">
      <c r="A374" s="1">
        <v>53165</v>
      </c>
      <c r="B374" t="s">
        <v>14</v>
      </c>
      <c r="C374">
        <v>104</v>
      </c>
      <c r="D374">
        <v>31336.961570359515</v>
      </c>
      <c r="E374">
        <v>4.038003569299299</v>
      </c>
      <c r="F374">
        <v>3.1504500925361389</v>
      </c>
      <c r="G374">
        <v>5.0684443930570451</v>
      </c>
      <c r="H374">
        <v>76932.989788080813</v>
      </c>
      <c r="I374">
        <v>82</v>
      </c>
      <c r="J374">
        <v>93.187371988132369</v>
      </c>
      <c r="K374" t="str">
        <f t="shared" si="7"/>
        <v>OK</v>
      </c>
    </row>
    <row r="375" spans="1:11">
      <c r="A375" s="1">
        <v>53195</v>
      </c>
      <c r="B375" t="s">
        <v>13</v>
      </c>
      <c r="C375">
        <v>85</v>
      </c>
      <c r="D375">
        <v>31608.489030980068</v>
      </c>
      <c r="E375">
        <v>3.5106558243359709</v>
      </c>
      <c r="F375">
        <v>0.99691969824018201</v>
      </c>
      <c r="G375">
        <v>5.8613288070300902</v>
      </c>
      <c r="H375">
        <v>122746.29084729459</v>
      </c>
      <c r="I375">
        <v>84</v>
      </c>
      <c r="J375">
        <v>46.832545079707756</v>
      </c>
      <c r="K375" t="str">
        <f t="shared" si="7"/>
        <v>OK</v>
      </c>
    </row>
    <row r="376" spans="1:11">
      <c r="A376" s="1">
        <v>53225</v>
      </c>
      <c r="B376" t="s">
        <v>14</v>
      </c>
      <c r="C376">
        <v>107</v>
      </c>
      <c r="D376">
        <v>26659.547731784754</v>
      </c>
      <c r="E376">
        <v>4.4505953428765039</v>
      </c>
      <c r="F376">
        <v>3.5519476177229183</v>
      </c>
      <c r="G376">
        <v>5.7206014195870054</v>
      </c>
      <c r="H376">
        <v>106771.05752571828</v>
      </c>
      <c r="I376">
        <v>79</v>
      </c>
      <c r="J376">
        <v>96.181121162669783</v>
      </c>
      <c r="K376" t="str">
        <f t="shared" si="7"/>
        <v>OK</v>
      </c>
    </row>
    <row r="377" spans="1:11">
      <c r="A377" s="1">
        <v>53255</v>
      </c>
      <c r="B377" t="s">
        <v>13</v>
      </c>
      <c r="C377">
        <v>111</v>
      </c>
      <c r="D377">
        <v>34960.211747682617</v>
      </c>
      <c r="E377">
        <v>3.4696695930926897</v>
      </c>
      <c r="F377">
        <v>1.501939372685587</v>
      </c>
      <c r="G377">
        <v>8.7316403967765961</v>
      </c>
      <c r="H377">
        <v>81241.488469272022</v>
      </c>
      <c r="I377">
        <v>87</v>
      </c>
      <c r="J377">
        <v>62.644423207576892</v>
      </c>
      <c r="K377" t="str">
        <f t="shared" si="7"/>
        <v>OK</v>
      </c>
    </row>
    <row r="378" spans="1:11">
      <c r="A378" s="1">
        <v>53285</v>
      </c>
      <c r="B378" t="s">
        <v>10</v>
      </c>
      <c r="C378">
        <v>128.02105259999999</v>
      </c>
      <c r="D378">
        <v>29125.201216522957</v>
      </c>
      <c r="E378">
        <v>3.1457966165447688</v>
      </c>
      <c r="F378">
        <v>2.1160287280476484</v>
      </c>
      <c r="G378">
        <f>6.97388673</f>
        <v>6.9738867300000003</v>
      </c>
      <c r="H378">
        <v>104332.49950809238</v>
      </c>
      <c r="I378">
        <v>92</v>
      </c>
      <c r="J378">
        <v>70.523550294092828</v>
      </c>
      <c r="K378" t="str">
        <f t="shared" si="7"/>
        <v>OK</v>
      </c>
    </row>
    <row r="379" spans="1:11">
      <c r="A379" s="1">
        <v>53315</v>
      </c>
      <c r="B379" t="s">
        <v>10</v>
      </c>
      <c r="C379">
        <v>94</v>
      </c>
      <c r="D379">
        <v>26221.274202535777</v>
      </c>
      <c r="E379">
        <v>2.7431428036935865</v>
      </c>
      <c r="F379">
        <v>2.7502002062516944</v>
      </c>
      <c r="G379">
        <v>4.295134483789588</v>
      </c>
      <c r="H379">
        <v>79484.946327194455</v>
      </c>
      <c r="I379">
        <v>79</v>
      </c>
      <c r="J379">
        <v>63.435235559146221</v>
      </c>
      <c r="K379" t="str">
        <f t="shared" si="7"/>
        <v>OK</v>
      </c>
    </row>
    <row r="380" spans="1:11">
      <c r="A380" s="1">
        <v>53345</v>
      </c>
      <c r="B380" t="s">
        <v>10</v>
      </c>
      <c r="C380">
        <v>91</v>
      </c>
      <c r="D380">
        <v>32682.549217852018</v>
      </c>
      <c r="E380">
        <v>2.5984301618720274</v>
      </c>
      <c r="F380">
        <v>4.4956674897839646</v>
      </c>
      <c r="G380">
        <v>5.3854429034931126</v>
      </c>
      <c r="H380">
        <v>122016.4279684521</v>
      </c>
      <c r="I380">
        <v>95</v>
      </c>
      <c r="J380">
        <v>30.350449357336071</v>
      </c>
      <c r="K380" t="str">
        <f t="shared" si="7"/>
        <v>OK</v>
      </c>
    </row>
    <row r="381" spans="1:11">
      <c r="A381" s="1">
        <v>53375</v>
      </c>
      <c r="B381" t="s">
        <v>12</v>
      </c>
      <c r="C381">
        <v>89</v>
      </c>
      <c r="D381">
        <v>25507.660091044814</v>
      </c>
      <c r="E381">
        <v>2.7079320284972552</v>
      </c>
      <c r="F381">
        <v>5.6099185560053613</v>
      </c>
      <c r="G381">
        <v>3.368504399840258</v>
      </c>
      <c r="H381">
        <v>121227.41929746268</v>
      </c>
      <c r="I381">
        <v>96</v>
      </c>
      <c r="J381">
        <v>50.065697520635275</v>
      </c>
      <c r="K381" t="str">
        <f t="shared" si="7"/>
        <v>OK</v>
      </c>
    </row>
    <row r="382" spans="1:11">
      <c r="A382" s="1">
        <v>53405</v>
      </c>
      <c r="B382" t="s">
        <v>13</v>
      </c>
      <c r="C382">
        <v>98</v>
      </c>
      <c r="D382">
        <v>30140.90578684564</v>
      </c>
      <c r="E382">
        <v>4.5778345189999996</v>
      </c>
      <c r="F382">
        <v>3.1067230591361827</v>
      </c>
      <c r="G382">
        <v>5.4032803008438872</v>
      </c>
      <c r="H382">
        <v>110640.12397643886</v>
      </c>
      <c r="I382">
        <v>90</v>
      </c>
      <c r="J382">
        <v>27.931688982209913</v>
      </c>
      <c r="K382" t="str">
        <f t="shared" si="7"/>
        <v>OK</v>
      </c>
    </row>
    <row r="383" spans="1:11">
      <c r="A383" s="1">
        <v>53435</v>
      </c>
      <c r="B383" t="s">
        <v>10</v>
      </c>
      <c r="C383">
        <v>110</v>
      </c>
      <c r="D383">
        <v>29954.405016778983</v>
      </c>
      <c r="E383">
        <v>3.7543625116149668</v>
      </c>
      <c r="F383">
        <v>2.3168033812796121</v>
      </c>
      <c r="G383">
        <v>4.50033273159909</v>
      </c>
      <c r="H383">
        <v>107233.22122494034</v>
      </c>
      <c r="I383">
        <v>95</v>
      </c>
      <c r="J383">
        <v>69.836323534670541</v>
      </c>
      <c r="K383" t="str">
        <f t="shared" si="7"/>
        <v>OK</v>
      </c>
    </row>
    <row r="384" spans="1:11">
      <c r="A384" s="1">
        <v>53465</v>
      </c>
      <c r="B384" t="s">
        <v>11</v>
      </c>
      <c r="C384">
        <v>93</v>
      </c>
      <c r="D384">
        <v>35429.477829157891</v>
      </c>
      <c r="E384">
        <v>2.7094046489839334</v>
      </c>
      <c r="F384">
        <v>3.0345056484805504</v>
      </c>
      <c r="G384">
        <f>6.97388673</f>
        <v>6.9738867300000003</v>
      </c>
      <c r="H384">
        <v>135223.76249734749</v>
      </c>
      <c r="I384">
        <f>111.9136842</f>
        <v>111.91368420000001</v>
      </c>
      <c r="J384">
        <v>55.749935616035117</v>
      </c>
      <c r="K384" t="str">
        <f t="shared" si="7"/>
        <v>OK</v>
      </c>
    </row>
    <row r="385" spans="1:11">
      <c r="A385" s="1">
        <v>53495</v>
      </c>
      <c r="B385" t="s">
        <v>13</v>
      </c>
      <c r="C385">
        <v>103</v>
      </c>
      <c r="D385">
        <v>32373.491164399762</v>
      </c>
      <c r="E385">
        <v>3.9475191570380579</v>
      </c>
      <c r="F385">
        <v>3.3876554258738363</v>
      </c>
      <c r="G385">
        <v>4.8405516704853584</v>
      </c>
      <c r="H385">
        <f>128897.2893</f>
        <v>128897.2893</v>
      </c>
      <c r="I385">
        <v>96</v>
      </c>
      <c r="J385">
        <v>82.238797725674942</v>
      </c>
      <c r="K385" t="str">
        <f t="shared" si="7"/>
        <v>OK</v>
      </c>
    </row>
    <row r="386" spans="1:11">
      <c r="A386" s="1">
        <v>53525</v>
      </c>
      <c r="B386" t="s">
        <v>13</v>
      </c>
      <c r="C386">
        <v>128.02105259999999</v>
      </c>
      <c r="D386">
        <v>38106.295579999998</v>
      </c>
      <c r="E386">
        <v>4.5778345189999996</v>
      </c>
      <c r="F386">
        <v>2.1793323744428084</v>
      </c>
      <c r="G386">
        <v>5.3598809010457042</v>
      </c>
      <c r="H386">
        <v>76362.517491583974</v>
      </c>
      <c r="I386">
        <v>89</v>
      </c>
      <c r="J386">
        <v>37.637638479949587</v>
      </c>
      <c r="K386" t="str">
        <f t="shared" ref="K386:K449" si="9">IF(COUNTA(A386:J386)&lt;COLUMNS(A386:J386), "Missing Data", "OK")</f>
        <v>OK</v>
      </c>
    </row>
    <row r="387" spans="1:11">
      <c r="A387" s="1">
        <v>53555</v>
      </c>
      <c r="B387" t="s">
        <v>12</v>
      </c>
      <c r="C387">
        <v>101</v>
      </c>
      <c r="D387">
        <v>34088.831496001432</v>
      </c>
      <c r="E387">
        <v>3.5733965059927746</v>
      </c>
      <c r="F387">
        <v>42.952113559123219</v>
      </c>
      <c r="G387">
        <v>4.7373305903147163</v>
      </c>
      <c r="H387">
        <f>128897.2893</f>
        <v>128897.2893</v>
      </c>
      <c r="I387">
        <v>87</v>
      </c>
      <c r="J387">
        <v>33.165284674346793</v>
      </c>
      <c r="K387" t="str">
        <f t="shared" si="9"/>
        <v>OK</v>
      </c>
    </row>
    <row r="388" spans="1:11">
      <c r="A388" s="1">
        <v>53585</v>
      </c>
      <c r="B388" t="s">
        <v>14</v>
      </c>
      <c r="C388">
        <v>94</v>
      </c>
      <c r="D388">
        <v>369510.37745086564</v>
      </c>
      <c r="E388">
        <v>4.3061103141277126</v>
      </c>
      <c r="F388">
        <v>2.7300707591914022</v>
      </c>
      <c r="G388">
        <v>7.5866216222239977</v>
      </c>
      <c r="H388">
        <v>1417209.4099074227</v>
      </c>
      <c r="I388">
        <v>96</v>
      </c>
      <c r="J388">
        <v>52.506578477101428</v>
      </c>
      <c r="K388" t="str">
        <f t="shared" si="9"/>
        <v>OK</v>
      </c>
    </row>
    <row r="389" spans="1:11">
      <c r="A389" s="1">
        <v>53615</v>
      </c>
      <c r="B389" t="s">
        <v>12</v>
      </c>
      <c r="C389">
        <v>108</v>
      </c>
      <c r="D389">
        <v>32789.051531759309</v>
      </c>
      <c r="E389">
        <v>3.9484196579327659</v>
      </c>
      <c r="F389">
        <v>2.9977430890913941</v>
      </c>
      <c r="G389">
        <v>5.1145086806585063</v>
      </c>
      <c r="H389">
        <v>79704.810136282962</v>
      </c>
      <c r="I389">
        <v>102</v>
      </c>
      <c r="J389">
        <v>94.126830657470492</v>
      </c>
      <c r="K389" t="str">
        <f t="shared" si="9"/>
        <v>OK</v>
      </c>
    </row>
    <row r="390" spans="1:11">
      <c r="A390" s="1">
        <v>53645</v>
      </c>
      <c r="B390" t="s">
        <v>10</v>
      </c>
      <c r="C390">
        <v>113</v>
      </c>
      <c r="D390">
        <v>30051.763099216903</v>
      </c>
      <c r="E390">
        <v>3.3657346760470839</v>
      </c>
      <c r="F390">
        <v>3.1659242520544613</v>
      </c>
      <c r="G390">
        <v>7.6990684521750419</v>
      </c>
      <c r="H390">
        <v>92770.744666120285</v>
      </c>
      <c r="I390">
        <v>72</v>
      </c>
      <c r="J390">
        <v>76.833745200992936</v>
      </c>
      <c r="K390" t="str">
        <f t="shared" si="9"/>
        <v>OK</v>
      </c>
    </row>
    <row r="391" spans="1:11">
      <c r="A391" s="1">
        <v>53675</v>
      </c>
      <c r="B391" t="s">
        <v>11</v>
      </c>
      <c r="C391">
        <v>115</v>
      </c>
      <c r="D391">
        <v>23440.818838249201</v>
      </c>
      <c r="E391">
        <v>3.0544038872923562</v>
      </c>
      <c r="F391">
        <v>2.9215866106144555</v>
      </c>
      <c r="G391">
        <v>6.4769821145419195</v>
      </c>
      <c r="H391">
        <f>128897.2893</f>
        <v>128897.2893</v>
      </c>
      <c r="I391">
        <v>88</v>
      </c>
      <c r="J391">
        <v>53.513889983433494</v>
      </c>
      <c r="K391" t="str">
        <f t="shared" si="9"/>
        <v>OK</v>
      </c>
    </row>
    <row r="392" spans="1:11">
      <c r="A392" s="1">
        <v>53705</v>
      </c>
      <c r="B392" t="s">
        <v>11</v>
      </c>
      <c r="C392">
        <v>98</v>
      </c>
      <c r="D392">
        <v>24674.431684623138</v>
      </c>
      <c r="E392">
        <v>2.4240922993353475</v>
      </c>
      <c r="F392">
        <v>3.3389405004696124</v>
      </c>
      <c r="G392">
        <v>6.0784800728024635</v>
      </c>
      <c r="H392">
        <v>98921.903019885212</v>
      </c>
      <c r="I392">
        <v>81</v>
      </c>
      <c r="J392">
        <v>61.381773580344841</v>
      </c>
      <c r="K392" t="str">
        <f t="shared" si="9"/>
        <v>OK</v>
      </c>
    </row>
    <row r="393" spans="1:11">
      <c r="A393" s="1">
        <v>53735</v>
      </c>
      <c r="B393" t="s">
        <v>10</v>
      </c>
      <c r="C393">
        <v>93</v>
      </c>
      <c r="D393">
        <v>28473.876478226663</v>
      </c>
      <c r="E393">
        <v>3.1404233403787898</v>
      </c>
      <c r="F393">
        <v>18.827468134530768</v>
      </c>
      <c r="G393">
        <v>5.942479776781024</v>
      </c>
      <c r="H393">
        <v>80353.928392453701</v>
      </c>
      <c r="I393">
        <v>92</v>
      </c>
      <c r="J393">
        <v>26.737040894167869</v>
      </c>
      <c r="K393" t="str">
        <f t="shared" si="9"/>
        <v>OK</v>
      </c>
    </row>
    <row r="394" spans="1:11">
      <c r="A394" s="1">
        <v>53765</v>
      </c>
      <c r="B394" t="s">
        <v>11</v>
      </c>
      <c r="C394">
        <v>104</v>
      </c>
      <c r="D394">
        <v>26952.438989203583</v>
      </c>
      <c r="E394">
        <v>4.5778345189999996</v>
      </c>
      <c r="F394">
        <v>1.9416982460539693</v>
      </c>
      <c r="G394">
        <v>5.9725567578595022</v>
      </c>
      <c r="H394">
        <v>122437.15712460942</v>
      </c>
      <c r="I394">
        <f>111.9136842</f>
        <v>111.91368420000001</v>
      </c>
      <c r="J394">
        <v>98.766071710089051</v>
      </c>
      <c r="K394" t="str">
        <f t="shared" si="9"/>
        <v>OK</v>
      </c>
    </row>
    <row r="395" spans="1:11">
      <c r="A395" s="1">
        <v>53795</v>
      </c>
      <c r="B395" t="s">
        <v>12</v>
      </c>
      <c r="C395">
        <v>870</v>
      </c>
      <c r="D395">
        <v>29065.143485072771</v>
      </c>
      <c r="E395">
        <v>3.0064102364244079</v>
      </c>
      <c r="F395">
        <v>1.3998457670283051</v>
      </c>
      <c r="G395">
        <v>3.1867929047852681</v>
      </c>
      <c r="H395">
        <v>146400.81444034519</v>
      </c>
      <c r="I395">
        <v>102</v>
      </c>
      <c r="J395">
        <v>73.312584375593516</v>
      </c>
      <c r="K395" t="str">
        <f t="shared" si="9"/>
        <v>OK</v>
      </c>
    </row>
    <row r="396" spans="1:11">
      <c r="A396" s="1">
        <v>53825</v>
      </c>
      <c r="B396" t="s">
        <v>12</v>
      </c>
      <c r="C396">
        <v>89</v>
      </c>
      <c r="D396">
        <v>38106.295579999998</v>
      </c>
      <c r="E396">
        <v>3.4343715164538478</v>
      </c>
      <c r="F396">
        <f>3.224108373</f>
        <v>3.224108373</v>
      </c>
      <c r="G396">
        <v>5.1653399270190921</v>
      </c>
      <c r="H396">
        <v>103922.62918047815</v>
      </c>
      <c r="I396">
        <v>80</v>
      </c>
      <c r="J396">
        <v>42.832325477073795</v>
      </c>
      <c r="K396" t="str">
        <f t="shared" si="9"/>
        <v>OK</v>
      </c>
    </row>
    <row r="397" spans="1:11">
      <c r="A397" s="1">
        <v>53855</v>
      </c>
      <c r="B397" t="s">
        <v>10</v>
      </c>
      <c r="C397">
        <v>86</v>
      </c>
      <c r="D397">
        <v>32648.463771783652</v>
      </c>
      <c r="E397">
        <v>3.5384259414793839</v>
      </c>
      <c r="F397">
        <v>3.2789365035121141</v>
      </c>
      <c r="G397">
        <v>6.5141895654211854</v>
      </c>
      <c r="H397">
        <v>81918.634205279988</v>
      </c>
      <c r="I397">
        <v>84</v>
      </c>
      <c r="J397">
        <f>80.21517797</f>
        <v>80.215177969999999</v>
      </c>
      <c r="K397" t="str">
        <f t="shared" si="9"/>
        <v>OK</v>
      </c>
    </row>
    <row r="398" spans="1:11">
      <c r="A398" s="1">
        <v>53885</v>
      </c>
      <c r="B398" t="s">
        <v>11</v>
      </c>
      <c r="C398">
        <v>93</v>
      </c>
      <c r="D398">
        <v>29647.506109704544</v>
      </c>
      <c r="E398">
        <v>3.3875720090959609</v>
      </c>
      <c r="F398">
        <v>2.9577728661518856</v>
      </c>
      <c r="G398">
        <v>5.4413233798310729</v>
      </c>
      <c r="H398">
        <v>69020.789498930506</v>
      </c>
      <c r="I398">
        <v>89</v>
      </c>
      <c r="J398">
        <v>28.75858928551952</v>
      </c>
      <c r="K398" t="str">
        <f t="shared" si="9"/>
        <v>OK</v>
      </c>
    </row>
    <row r="399" spans="1:11">
      <c r="A399" s="1">
        <v>53915</v>
      </c>
      <c r="B399" t="s">
        <v>13</v>
      </c>
      <c r="C399">
        <v>104</v>
      </c>
      <c r="D399">
        <v>32432.50821913101</v>
      </c>
      <c r="E399">
        <v>3.1749987095882704</v>
      </c>
      <c r="F399">
        <v>4.1744924333475373</v>
      </c>
      <c r="G399">
        <v>3.8137721838357099</v>
      </c>
      <c r="H399">
        <v>105159.51962442361</v>
      </c>
      <c r="I399">
        <v>79</v>
      </c>
      <c r="J399">
        <v>97.266933504606683</v>
      </c>
      <c r="K399" t="str">
        <f t="shared" si="9"/>
        <v>OK</v>
      </c>
    </row>
    <row r="400" spans="1:11">
      <c r="A400" s="1">
        <v>53945</v>
      </c>
      <c r="B400" t="s">
        <v>14</v>
      </c>
      <c r="C400">
        <v>91</v>
      </c>
      <c r="D400">
        <v>38106.295579999998</v>
      </c>
      <c r="E400">
        <v>4.5778345189999996</v>
      </c>
      <c r="F400">
        <v>2.4944039811709535</v>
      </c>
      <c r="G400">
        <v>5.4371146593070367</v>
      </c>
      <c r="H400">
        <v>122077.54686632515</v>
      </c>
      <c r="I400">
        <f>111.9136842</f>
        <v>111.91368420000001</v>
      </c>
      <c r="J400">
        <v>33.982799030669277</v>
      </c>
      <c r="K400" t="str">
        <f t="shared" si="9"/>
        <v>OK</v>
      </c>
    </row>
    <row r="401" spans="1:11">
      <c r="A401" s="1">
        <v>53975</v>
      </c>
      <c r="B401" t="s">
        <v>13</v>
      </c>
      <c r="C401">
        <v>113</v>
      </c>
      <c r="D401">
        <v>20122.667168230644</v>
      </c>
      <c r="E401">
        <v>3.7209703247847044</v>
      </c>
      <c r="F401">
        <v>3.1687416555925125</v>
      </c>
      <c r="G401">
        <v>7.5449266195065894</v>
      </c>
      <c r="H401">
        <v>1095033.5492990762</v>
      </c>
      <c r="I401">
        <v>80</v>
      </c>
      <c r="J401">
        <v>71.842425444417131</v>
      </c>
      <c r="K401" t="str">
        <f t="shared" si="9"/>
        <v>OK</v>
      </c>
    </row>
    <row r="402" spans="1:11">
      <c r="A402" s="1">
        <v>54005</v>
      </c>
      <c r="B402" t="s">
        <v>12</v>
      </c>
      <c r="C402">
        <v>103</v>
      </c>
      <c r="D402">
        <v>25303.323030906227</v>
      </c>
      <c r="E402">
        <v>2.9548004612785768</v>
      </c>
      <c r="F402">
        <v>1.4082991238606857</v>
      </c>
      <c r="G402">
        <v>6.9962700586416631</v>
      </c>
      <c r="H402">
        <v>99951.923181622929</v>
      </c>
      <c r="I402">
        <v>89</v>
      </c>
      <c r="J402">
        <f>80.21517797</f>
        <v>80.215177969999999</v>
      </c>
      <c r="K402" t="str">
        <f t="shared" si="9"/>
        <v>OK</v>
      </c>
    </row>
    <row r="403" spans="1:11">
      <c r="A403" s="1">
        <v>54035</v>
      </c>
      <c r="B403" t="s">
        <v>12</v>
      </c>
      <c r="C403">
        <v>98</v>
      </c>
      <c r="D403">
        <v>29279.562221391923</v>
      </c>
      <c r="E403">
        <v>4.2054661898731354</v>
      </c>
      <c r="F403">
        <v>2.112900297525599</v>
      </c>
      <c r="G403">
        <v>5.4255951887607621</v>
      </c>
      <c r="H403">
        <v>88214.566964213882</v>
      </c>
      <c r="I403">
        <v>75</v>
      </c>
      <c r="J403">
        <v>77.404910611882855</v>
      </c>
      <c r="K403" t="str">
        <f t="shared" si="9"/>
        <v>OK</v>
      </c>
    </row>
    <row r="404" spans="1:11">
      <c r="A404" s="1">
        <v>54065</v>
      </c>
      <c r="B404" t="s">
        <v>12</v>
      </c>
      <c r="C404">
        <v>100</v>
      </c>
      <c r="D404">
        <v>23951.526285794462</v>
      </c>
      <c r="E404">
        <v>3.4507059338578689</v>
      </c>
      <c r="F404">
        <v>3.1955377575657775</v>
      </c>
      <c r="G404">
        <v>6.6417391324697039</v>
      </c>
      <c r="H404">
        <v>78156.72734563821</v>
      </c>
      <c r="I404">
        <v>84</v>
      </c>
      <c r="J404">
        <v>82.145709379222481</v>
      </c>
      <c r="K404" t="str">
        <f t="shared" si="9"/>
        <v>OK</v>
      </c>
    </row>
    <row r="405" spans="1:11">
      <c r="A405" s="1">
        <v>54095</v>
      </c>
      <c r="B405" t="s">
        <v>12</v>
      </c>
      <c r="C405">
        <v>89</v>
      </c>
      <c r="D405">
        <v>32999.643649981022</v>
      </c>
      <c r="E405">
        <v>3.509424811472424</v>
      </c>
      <c r="F405">
        <v>3.3491021107431438</v>
      </c>
      <c r="G405">
        <v>5.0601915755583375</v>
      </c>
      <c r="H405">
        <v>116695.02652649765</v>
      </c>
      <c r="I405">
        <v>65</v>
      </c>
      <c r="J405">
        <v>73.873578312914617</v>
      </c>
      <c r="K405" t="str">
        <f t="shared" si="9"/>
        <v>OK</v>
      </c>
    </row>
    <row r="406" spans="1:11">
      <c r="A406" s="1">
        <v>54125</v>
      </c>
      <c r="B406" t="s">
        <v>14</v>
      </c>
      <c r="C406">
        <v>83</v>
      </c>
      <c r="D406">
        <v>37653.754161718491</v>
      </c>
      <c r="E406">
        <v>3.8541072116282784</v>
      </c>
      <c r="F406">
        <v>2.2060330523358176</v>
      </c>
      <c r="G406">
        <v>3.4553540958079374</v>
      </c>
      <c r="H406">
        <v>118275.43242771171</v>
      </c>
      <c r="I406">
        <v>98</v>
      </c>
      <c r="J406">
        <v>69.159956820415402</v>
      </c>
      <c r="K406" t="str">
        <f t="shared" si="9"/>
        <v>OK</v>
      </c>
    </row>
    <row r="407" spans="1:11">
      <c r="A407" s="1">
        <v>54155</v>
      </c>
      <c r="B407" t="s">
        <v>10</v>
      </c>
      <c r="C407">
        <v>92</v>
      </c>
      <c r="D407">
        <v>36093.809258486581</v>
      </c>
      <c r="E407">
        <v>3.616608065631751</v>
      </c>
      <c r="F407">
        <v>2.4284007481419332</v>
      </c>
      <c r="G407">
        <v>4.3906408142445343</v>
      </c>
      <c r="H407">
        <v>69085.404266185331</v>
      </c>
      <c r="I407">
        <v>89</v>
      </c>
      <c r="J407">
        <v>91.397527516160935</v>
      </c>
      <c r="K407" t="str">
        <f t="shared" si="9"/>
        <v>OK</v>
      </c>
    </row>
    <row r="408" spans="1:11">
      <c r="A408" s="1">
        <v>54185</v>
      </c>
      <c r="B408" t="s">
        <v>12</v>
      </c>
      <c r="C408">
        <v>128.02105259999999</v>
      </c>
      <c r="D408">
        <v>28932.785645348958</v>
      </c>
      <c r="E408">
        <v>3.9765683169566226</v>
      </c>
      <c r="F408">
        <v>0.98212625331919057</v>
      </c>
      <c r="G408">
        <v>7.3754665222098374</v>
      </c>
      <c r="H408">
        <v>131796.77956361367</v>
      </c>
      <c r="I408">
        <v>88</v>
      </c>
      <c r="J408">
        <v>26.290136879180643</v>
      </c>
      <c r="K408" t="str">
        <f t="shared" si="9"/>
        <v>OK</v>
      </c>
    </row>
    <row r="409" spans="1:11">
      <c r="A409" s="1">
        <v>54215</v>
      </c>
      <c r="B409" t="s">
        <v>11</v>
      </c>
      <c r="C409">
        <v>128.02105259999999</v>
      </c>
      <c r="D409">
        <v>37453.630684249758</v>
      </c>
      <c r="E409">
        <v>3.6435620826009121</v>
      </c>
      <c r="F409">
        <v>2.1429707991933906</v>
      </c>
      <c r="G409">
        <v>5.1712083018048354</v>
      </c>
      <c r="H409">
        <v>111481.42441788003</v>
      </c>
      <c r="I409">
        <v>98</v>
      </c>
      <c r="J409">
        <f>80.21517797</f>
        <v>80.215177969999999</v>
      </c>
      <c r="K409" t="str">
        <f t="shared" si="9"/>
        <v>OK</v>
      </c>
    </row>
    <row r="410" spans="1:11">
      <c r="A410" s="1">
        <v>54245</v>
      </c>
      <c r="B410" t="s">
        <v>14</v>
      </c>
      <c r="C410">
        <v>102</v>
      </c>
      <c r="D410">
        <v>30743.337286010559</v>
      </c>
      <c r="E410">
        <v>3.1937813126797812</v>
      </c>
      <c r="F410">
        <v>3.3903831635197861</v>
      </c>
      <c r="G410">
        <f t="shared" ref="G410:G411" si="10">6.97388673</f>
        <v>6.9738867300000003</v>
      </c>
      <c r="H410">
        <v>127991.89290291586</v>
      </c>
      <c r="I410">
        <v>88</v>
      </c>
      <c r="J410">
        <v>39.862998370467679</v>
      </c>
      <c r="K410" t="str">
        <f t="shared" si="9"/>
        <v>OK</v>
      </c>
    </row>
    <row r="411" spans="1:11">
      <c r="A411" s="1">
        <v>54275</v>
      </c>
      <c r="B411" t="s">
        <v>12</v>
      </c>
      <c r="C411">
        <v>107</v>
      </c>
      <c r="D411">
        <v>28314.570144409805</v>
      </c>
      <c r="E411">
        <v>3.6807517626030508</v>
      </c>
      <c r="F411">
        <v>3.0752050161065663</v>
      </c>
      <c r="G411">
        <f t="shared" si="10"/>
        <v>6.9738867300000003</v>
      </c>
      <c r="H411">
        <v>73157.445030297706</v>
      </c>
      <c r="I411">
        <v>89</v>
      </c>
      <c r="J411">
        <v>99.041116965233726</v>
      </c>
      <c r="K411" t="str">
        <f t="shared" si="9"/>
        <v>OK</v>
      </c>
    </row>
    <row r="412" spans="1:11">
      <c r="A412" s="1">
        <v>54305</v>
      </c>
      <c r="B412" t="s">
        <v>11</v>
      </c>
      <c r="C412">
        <v>103</v>
      </c>
      <c r="D412">
        <v>269329.86682295299</v>
      </c>
      <c r="E412">
        <v>2.928136896339669</v>
      </c>
      <c r="F412">
        <v>3.0006657213812096</v>
      </c>
      <c r="G412">
        <v>7.784963907487608</v>
      </c>
      <c r="H412">
        <v>72683.516891691223</v>
      </c>
      <c r="I412">
        <v>103</v>
      </c>
      <c r="J412">
        <v>51.151182373349883</v>
      </c>
      <c r="K412" t="str">
        <f t="shared" si="9"/>
        <v>OK</v>
      </c>
    </row>
    <row r="413" spans="1:11">
      <c r="A413" s="1">
        <v>54335</v>
      </c>
      <c r="B413" t="s">
        <v>12</v>
      </c>
      <c r="C413">
        <v>100</v>
      </c>
      <c r="D413">
        <v>38106.295579999998</v>
      </c>
      <c r="E413">
        <v>3.5542798528882615</v>
      </c>
      <c r="F413">
        <v>2.5497736871809602</v>
      </c>
      <c r="G413">
        <v>7.4511506984344757</v>
      </c>
      <c r="H413">
        <v>97020.613804654058</v>
      </c>
      <c r="I413">
        <v>85</v>
      </c>
      <c r="J413">
        <v>78.609015939231895</v>
      </c>
      <c r="K413" t="str">
        <f t="shared" si="9"/>
        <v>OK</v>
      </c>
    </row>
    <row r="414" spans="1:11">
      <c r="A414" s="1">
        <v>54365</v>
      </c>
      <c r="B414" t="s">
        <v>10</v>
      </c>
      <c r="C414">
        <v>128.02105259999999</v>
      </c>
      <c r="D414">
        <v>28059.115907293857</v>
      </c>
      <c r="E414">
        <v>3.4833850046777695</v>
      </c>
      <c r="F414">
        <v>2.5070631586281764</v>
      </c>
      <c r="G414">
        <v>8.1625362801377612</v>
      </c>
      <c r="H414">
        <v>110055.68853790389</v>
      </c>
      <c r="I414">
        <v>90</v>
      </c>
      <c r="J414">
        <f>80.21517797</f>
        <v>80.215177969999999</v>
      </c>
      <c r="K414" t="str">
        <f t="shared" si="9"/>
        <v>OK</v>
      </c>
    </row>
    <row r="415" spans="1:11">
      <c r="A415" s="1">
        <v>54395</v>
      </c>
      <c r="B415" t="s">
        <v>14</v>
      </c>
      <c r="C415">
        <v>85</v>
      </c>
      <c r="D415">
        <v>30852.08111187744</v>
      </c>
      <c r="E415">
        <v>3.3959415713637302</v>
      </c>
      <c r="F415">
        <v>1.8396788605265528</v>
      </c>
      <c r="G415">
        <v>5.3091457475199384</v>
      </c>
      <c r="H415">
        <v>135927.21645853927</v>
      </c>
      <c r="I415">
        <v>84</v>
      </c>
      <c r="J415">
        <v>36.966498998190218</v>
      </c>
      <c r="K415" t="str">
        <f t="shared" si="9"/>
        <v>OK</v>
      </c>
    </row>
    <row r="416" spans="1:11">
      <c r="A416" s="1">
        <v>54425</v>
      </c>
      <c r="B416" t="s">
        <v>10</v>
      </c>
      <c r="C416">
        <v>107</v>
      </c>
      <c r="D416">
        <v>30802.869905249325</v>
      </c>
      <c r="E416">
        <v>3.4357312442805346</v>
      </c>
      <c r="F416">
        <v>3.1988284202025348</v>
      </c>
      <c r="G416">
        <v>5.8547493864965139</v>
      </c>
      <c r="H416">
        <v>114121.57827630264</v>
      </c>
      <c r="I416">
        <v>78</v>
      </c>
      <c r="J416">
        <v>39.119814416924108</v>
      </c>
      <c r="K416" t="str">
        <f t="shared" si="9"/>
        <v>OK</v>
      </c>
    </row>
    <row r="417" spans="1:11">
      <c r="A417" s="1">
        <v>54455</v>
      </c>
      <c r="B417" t="s">
        <v>14</v>
      </c>
      <c r="C417">
        <v>106</v>
      </c>
      <c r="D417">
        <v>30015.230100767072</v>
      </c>
      <c r="E417">
        <v>2.5590754772511803</v>
      </c>
      <c r="F417">
        <v>2.9209729443893897</v>
      </c>
      <c r="G417">
        <v>3.6800289406950508</v>
      </c>
      <c r="H417">
        <v>95146.374463759334</v>
      </c>
      <c r="I417">
        <v>84</v>
      </c>
      <c r="J417">
        <v>42.502765084242725</v>
      </c>
      <c r="K417" t="str">
        <f t="shared" si="9"/>
        <v>OK</v>
      </c>
    </row>
    <row r="418" spans="1:11">
      <c r="A418" s="1">
        <v>54485</v>
      </c>
      <c r="B418" t="s">
        <v>12</v>
      </c>
      <c r="C418">
        <v>92</v>
      </c>
      <c r="D418">
        <v>32184.690848731749</v>
      </c>
      <c r="E418">
        <v>3.2256375461295193</v>
      </c>
      <c r="F418">
        <v>2.9920188479927994</v>
      </c>
      <c r="G418">
        <v>7.2723213113419289</v>
      </c>
      <c r="H418">
        <v>79472.615846682165</v>
      </c>
      <c r="I418">
        <v>70</v>
      </c>
      <c r="J418">
        <v>52.890182260750336</v>
      </c>
      <c r="K418" t="str">
        <f t="shared" si="9"/>
        <v>OK</v>
      </c>
    </row>
    <row r="419" spans="1:11">
      <c r="A419" s="1">
        <v>54515</v>
      </c>
      <c r="B419" t="s">
        <v>12</v>
      </c>
      <c r="C419">
        <v>110</v>
      </c>
      <c r="D419">
        <v>35953.231373931703</v>
      </c>
      <c r="E419">
        <v>4.5778345189999996</v>
      </c>
      <c r="F419">
        <v>1.9739651573324197</v>
      </c>
      <c r="G419">
        <v>4.0986645384784781</v>
      </c>
      <c r="H419">
        <v>124600.011454383</v>
      </c>
      <c r="I419">
        <v>74</v>
      </c>
      <c r="J419">
        <v>38.746005252042146</v>
      </c>
      <c r="K419" t="str">
        <f t="shared" si="9"/>
        <v>OK</v>
      </c>
    </row>
    <row r="420" spans="1:11">
      <c r="A420" s="1">
        <v>54545</v>
      </c>
      <c r="B420" t="s">
        <v>14</v>
      </c>
      <c r="C420">
        <v>93</v>
      </c>
      <c r="D420">
        <v>34747.770677206616</v>
      </c>
      <c r="E420">
        <v>3.5799281959987002</v>
      </c>
      <c r="F420">
        <v>0.34665708012875562</v>
      </c>
      <c r="G420">
        <v>5.7601306765151552</v>
      </c>
      <c r="H420">
        <v>80705.89148498571</v>
      </c>
      <c r="I420">
        <v>88</v>
      </c>
      <c r="J420">
        <v>21.572118619747826</v>
      </c>
      <c r="K420" t="str">
        <f t="shared" si="9"/>
        <v>OK</v>
      </c>
    </row>
    <row r="421" spans="1:11">
      <c r="A421" s="1">
        <v>54575</v>
      </c>
      <c r="B421" t="s">
        <v>11</v>
      </c>
      <c r="C421">
        <v>128.02105259999999</v>
      </c>
      <c r="D421">
        <v>22575.510157750483</v>
      </c>
      <c r="E421">
        <v>2.9861624295370208</v>
      </c>
      <c r="F421">
        <v>3.5971527117536954</v>
      </c>
      <c r="G421">
        <v>4.1832369668405871</v>
      </c>
      <c r="H421">
        <v>132569.37109544643</v>
      </c>
      <c r="I421">
        <f>111.9136842</f>
        <v>111.91368420000001</v>
      </c>
      <c r="J421">
        <v>90.351444544575642</v>
      </c>
      <c r="K421" t="str">
        <f t="shared" si="9"/>
        <v>OK</v>
      </c>
    </row>
    <row r="422" spans="1:11">
      <c r="A422" s="1">
        <v>54605</v>
      </c>
      <c r="B422" t="s">
        <v>11</v>
      </c>
      <c r="C422">
        <v>117</v>
      </c>
      <c r="D422">
        <v>17230.394325490226</v>
      </c>
      <c r="E422">
        <v>4.1328539204323507</v>
      </c>
      <c r="F422">
        <v>2.0211625439915957</v>
      </c>
      <c r="G422">
        <v>4.7933598079135651</v>
      </c>
      <c r="H422">
        <v>94312.307007869807</v>
      </c>
      <c r="I422">
        <v>74</v>
      </c>
      <c r="J422">
        <v>97.248786510470723</v>
      </c>
      <c r="K422" t="str">
        <f t="shared" si="9"/>
        <v>OK</v>
      </c>
    </row>
    <row r="423" spans="1:11">
      <c r="A423" s="1">
        <v>54635</v>
      </c>
      <c r="B423" t="s">
        <v>12</v>
      </c>
      <c r="C423">
        <v>122</v>
      </c>
      <c r="D423">
        <v>34671.599556196365</v>
      </c>
      <c r="E423">
        <v>3.0669125758927498</v>
      </c>
      <c r="F423">
        <v>1.6372242359568794</v>
      </c>
      <c r="G423">
        <v>4.4952850827403594</v>
      </c>
      <c r="H423">
        <v>131811.641452357</v>
      </c>
      <c r="I423">
        <v>85</v>
      </c>
      <c r="J423">
        <v>473.2563096252544</v>
      </c>
      <c r="K423" t="str">
        <f t="shared" si="9"/>
        <v>OK</v>
      </c>
    </row>
    <row r="424" spans="1:11">
      <c r="A424" s="1">
        <v>54665</v>
      </c>
      <c r="B424" t="s">
        <v>12</v>
      </c>
      <c r="C424">
        <v>90</v>
      </c>
      <c r="D424">
        <v>23165.606507922894</v>
      </c>
      <c r="E424">
        <v>3.9847286002633684</v>
      </c>
      <c r="F424">
        <v>3.1934789119139939</v>
      </c>
      <c r="G424">
        <v>4.7705496871890185</v>
      </c>
      <c r="H424">
        <v>113578.62580118557</v>
      </c>
      <c r="I424">
        <v>105</v>
      </c>
      <c r="J424">
        <v>47.080550354037825</v>
      </c>
      <c r="K424" t="str">
        <f t="shared" si="9"/>
        <v>OK</v>
      </c>
    </row>
    <row r="425" spans="1:11">
      <c r="A425" s="1">
        <v>54695</v>
      </c>
      <c r="B425" t="s">
        <v>10</v>
      </c>
      <c r="C425">
        <v>113</v>
      </c>
      <c r="D425">
        <v>28876.172990536583</v>
      </c>
      <c r="E425">
        <v>3.7135971809358423</v>
      </c>
      <c r="F425">
        <v>2.1079873600808705</v>
      </c>
      <c r="G425">
        <v>4.853052756221226</v>
      </c>
      <c r="H425">
        <v>97260.090211150833</v>
      </c>
      <c r="I425">
        <v>75</v>
      </c>
      <c r="J425">
        <v>20.567345021949677</v>
      </c>
      <c r="K425" t="str">
        <f t="shared" si="9"/>
        <v>OK</v>
      </c>
    </row>
    <row r="426" spans="1:11">
      <c r="A426" s="1">
        <v>54725</v>
      </c>
      <c r="B426" t="s">
        <v>12</v>
      </c>
      <c r="C426">
        <v>110</v>
      </c>
      <c r="D426">
        <v>24149.434869703204</v>
      </c>
      <c r="E426">
        <v>3.1768863450780986</v>
      </c>
      <c r="F426">
        <v>3.5599363840466216</v>
      </c>
      <c r="G426">
        <v>4.8420774460899079</v>
      </c>
      <c r="H426">
        <v>89612.072563477472</v>
      </c>
      <c r="I426">
        <v>89</v>
      </c>
      <c r="J426">
        <v>744.20055066429927</v>
      </c>
      <c r="K426" t="str">
        <f t="shared" si="9"/>
        <v>OK</v>
      </c>
    </row>
    <row r="427" spans="1:11">
      <c r="A427" s="1">
        <v>54755</v>
      </c>
      <c r="B427" t="s">
        <v>14</v>
      </c>
      <c r="C427">
        <v>106</v>
      </c>
      <c r="D427">
        <v>20990.097812099899</v>
      </c>
      <c r="E427">
        <v>4.5778345189999996</v>
      </c>
      <c r="F427">
        <v>3.1170059495766975</v>
      </c>
      <c r="G427">
        <v>6.5000006941363688</v>
      </c>
      <c r="H427">
        <f>128897.2893</f>
        <v>128897.2893</v>
      </c>
      <c r="I427">
        <v>84</v>
      </c>
      <c r="J427">
        <f>80.21517797</f>
        <v>80.215177969999999</v>
      </c>
      <c r="K427" t="str">
        <f t="shared" si="9"/>
        <v>OK</v>
      </c>
    </row>
    <row r="428" spans="1:11">
      <c r="A428" s="1">
        <v>54785</v>
      </c>
      <c r="B428" t="s">
        <v>11</v>
      </c>
      <c r="C428">
        <v>92</v>
      </c>
      <c r="D428">
        <v>32707.313641023939</v>
      </c>
      <c r="E428">
        <v>2.9031815841217599</v>
      </c>
      <c r="F428">
        <f>3.224108373</f>
        <v>3.224108373</v>
      </c>
      <c r="G428">
        <v>4.1741646483249761</v>
      </c>
      <c r="H428">
        <v>108566.33384750475</v>
      </c>
      <c r="I428">
        <v>91</v>
      </c>
      <c r="J428">
        <v>31.728664028800253</v>
      </c>
      <c r="K428" t="str">
        <f t="shared" si="9"/>
        <v>OK</v>
      </c>
    </row>
    <row r="429" spans="1:11">
      <c r="A429" s="1">
        <v>54815</v>
      </c>
      <c r="B429" t="s">
        <v>11</v>
      </c>
      <c r="C429">
        <v>121</v>
      </c>
      <c r="D429">
        <v>33795.775801513235</v>
      </c>
      <c r="E429">
        <v>3.9595770868050009</v>
      </c>
      <c r="F429">
        <v>1.1340442887994657</v>
      </c>
      <c r="G429">
        <f>6.97388673</f>
        <v>6.9738867300000003</v>
      </c>
      <c r="H429">
        <f>128897.2893</f>
        <v>128897.2893</v>
      </c>
      <c r="I429">
        <v>101</v>
      </c>
      <c r="J429">
        <v>32.773307949372061</v>
      </c>
      <c r="K429" t="str">
        <f t="shared" si="9"/>
        <v>OK</v>
      </c>
    </row>
    <row r="430" spans="1:11">
      <c r="A430" s="1">
        <v>54845</v>
      </c>
      <c r="B430" t="s">
        <v>10</v>
      </c>
      <c r="C430">
        <v>89</v>
      </c>
      <c r="D430">
        <v>27117.447996366402</v>
      </c>
      <c r="E430">
        <v>4.0002911590214891</v>
      </c>
      <c r="F430">
        <v>3.7119439853864007</v>
      </c>
      <c r="G430">
        <v>6.9615509827666697</v>
      </c>
      <c r="H430">
        <v>88123.771838625893</v>
      </c>
      <c r="I430">
        <v>93</v>
      </c>
      <c r="J430">
        <v>83.206659997715022</v>
      </c>
      <c r="K430" t="str">
        <f t="shared" si="9"/>
        <v>OK</v>
      </c>
    </row>
    <row r="431" spans="1:11">
      <c r="A431" s="1">
        <v>54875</v>
      </c>
      <c r="B431" t="s">
        <v>11</v>
      </c>
      <c r="C431">
        <v>117</v>
      </c>
      <c r="D431">
        <v>17044.788539275451</v>
      </c>
      <c r="E431">
        <v>3.1646898954616773</v>
      </c>
      <c r="F431">
        <v>2.761250531233856</v>
      </c>
      <c r="G431">
        <v>4.8841643625839248</v>
      </c>
      <c r="H431">
        <v>966873.71793647355</v>
      </c>
      <c r="I431">
        <v>91</v>
      </c>
      <c r="J431">
        <v>69.303259868331565</v>
      </c>
      <c r="K431" t="str">
        <f t="shared" si="9"/>
        <v>OK</v>
      </c>
    </row>
    <row r="432" spans="1:11">
      <c r="A432" s="1">
        <v>54905</v>
      </c>
      <c r="B432" t="s">
        <v>11</v>
      </c>
      <c r="C432">
        <v>106</v>
      </c>
      <c r="D432">
        <v>27268.777758737586</v>
      </c>
      <c r="E432">
        <v>4.5778345189999996</v>
      </c>
      <c r="F432">
        <v>2.1307228607537967</v>
      </c>
      <c r="G432">
        <f>6.97388673</f>
        <v>6.9738867300000003</v>
      </c>
      <c r="H432">
        <v>101571.540594383</v>
      </c>
      <c r="I432">
        <v>93</v>
      </c>
      <c r="J432">
        <v>23.588844610217361</v>
      </c>
      <c r="K432" t="str">
        <f t="shared" si="9"/>
        <v>OK</v>
      </c>
    </row>
    <row r="433" spans="1:11">
      <c r="A433" s="1">
        <v>54935</v>
      </c>
      <c r="B433" t="s">
        <v>13</v>
      </c>
      <c r="C433">
        <v>121</v>
      </c>
      <c r="D433">
        <v>31959.020027012732</v>
      </c>
      <c r="E433">
        <v>3.3749767427005235</v>
      </c>
      <c r="F433">
        <v>2.643388467342251</v>
      </c>
      <c r="G433">
        <v>5.2233704497836992</v>
      </c>
      <c r="H433">
        <v>57425.31811170376</v>
      </c>
      <c r="I433">
        <v>98</v>
      </c>
      <c r="J433">
        <v>69.803759236982529</v>
      </c>
      <c r="K433" t="str">
        <f t="shared" si="9"/>
        <v>OK</v>
      </c>
    </row>
    <row r="434" spans="1:11">
      <c r="A434" s="1">
        <v>54965</v>
      </c>
      <c r="B434" t="s">
        <v>14</v>
      </c>
      <c r="C434">
        <v>95</v>
      </c>
      <c r="D434">
        <v>22605.442156129357</v>
      </c>
      <c r="E434">
        <v>3.6443468146399285</v>
      </c>
      <c r="F434">
        <v>0.72376476710168003</v>
      </c>
      <c r="G434">
        <v>6.9156702500328517</v>
      </c>
      <c r="H434">
        <v>109163.36229577397</v>
      </c>
      <c r="I434">
        <v>87</v>
      </c>
      <c r="J434">
        <v>44.713417827501289</v>
      </c>
      <c r="K434" t="str">
        <f t="shared" si="9"/>
        <v>OK</v>
      </c>
    </row>
    <row r="435" spans="1:11">
      <c r="A435" s="1">
        <v>54995</v>
      </c>
      <c r="B435" t="s">
        <v>13</v>
      </c>
      <c r="C435">
        <v>91</v>
      </c>
      <c r="D435">
        <v>30916.799598895777</v>
      </c>
      <c r="E435">
        <v>3.6301609193856104</v>
      </c>
      <c r="F435">
        <v>2.9086528114806707</v>
      </c>
      <c r="G435">
        <v>5.7329291571440288</v>
      </c>
      <c r="H435">
        <v>80405.575505663859</v>
      </c>
      <c r="I435">
        <v>88</v>
      </c>
      <c r="J435">
        <v>49.498012437667676</v>
      </c>
      <c r="K435" t="str">
        <f t="shared" si="9"/>
        <v>OK</v>
      </c>
    </row>
    <row r="436" spans="1:11">
      <c r="A436" s="1">
        <v>55025</v>
      </c>
      <c r="B436" t="s">
        <v>11</v>
      </c>
      <c r="C436">
        <v>82</v>
      </c>
      <c r="D436">
        <v>299234.50754135021</v>
      </c>
      <c r="E436">
        <v>3.432845629264726</v>
      </c>
      <c r="F436">
        <v>1.4706284918179284</v>
      </c>
      <c r="G436">
        <v>4.8625428464708822</v>
      </c>
      <c r="H436">
        <v>76933.351935885104</v>
      </c>
      <c r="I436">
        <v>89</v>
      </c>
      <c r="J436">
        <v>815.78513463750414</v>
      </c>
      <c r="K436" t="str">
        <f t="shared" si="9"/>
        <v>OK</v>
      </c>
    </row>
    <row r="437" spans="1:11">
      <c r="A437" s="1">
        <v>55055</v>
      </c>
      <c r="B437" t="s">
        <v>10</v>
      </c>
      <c r="C437">
        <v>950</v>
      </c>
      <c r="D437">
        <v>32896.457498005439</v>
      </c>
      <c r="E437">
        <v>3.9054041365798913</v>
      </c>
      <c r="F437">
        <v>1.1473297141564656</v>
      </c>
      <c r="G437">
        <v>6.0806519814256479</v>
      </c>
      <c r="H437">
        <v>66253.113057785784</v>
      </c>
      <c r="I437">
        <v>92</v>
      </c>
      <c r="J437">
        <f>80.21517797</f>
        <v>80.215177969999999</v>
      </c>
      <c r="K437" t="str">
        <f t="shared" si="9"/>
        <v>OK</v>
      </c>
    </row>
    <row r="438" spans="1:11">
      <c r="A438" s="1">
        <v>55085</v>
      </c>
      <c r="B438" t="s">
        <v>10</v>
      </c>
      <c r="C438">
        <v>81</v>
      </c>
      <c r="D438">
        <v>30597.901842070765</v>
      </c>
      <c r="E438">
        <v>3.8967443602761067</v>
      </c>
      <c r="F438">
        <v>9.7764081378210896</v>
      </c>
      <c r="G438">
        <v>4.1772494201962918</v>
      </c>
      <c r="H438">
        <v>64122.150042642192</v>
      </c>
      <c r="I438">
        <v>99</v>
      </c>
      <c r="J438">
        <v>52.028530147186451</v>
      </c>
      <c r="K438" t="str">
        <f t="shared" si="9"/>
        <v>OK</v>
      </c>
    </row>
    <row r="439" spans="1:11">
      <c r="A439" s="1">
        <v>55115</v>
      </c>
      <c r="B439" t="s">
        <v>11</v>
      </c>
      <c r="C439">
        <v>101</v>
      </c>
      <c r="D439">
        <v>25134.655295592223</v>
      </c>
      <c r="E439">
        <v>2.6257340133809097</v>
      </c>
      <c r="F439">
        <v>3.6126883749899252</v>
      </c>
      <c r="G439">
        <v>6.3176314125315374</v>
      </c>
      <c r="H439">
        <v>72891.049937754215</v>
      </c>
      <c r="I439">
        <v>82</v>
      </c>
      <c r="J439">
        <v>95.772234880508378</v>
      </c>
      <c r="K439" t="str">
        <f t="shared" si="9"/>
        <v>OK</v>
      </c>
    </row>
    <row r="440" spans="1:11">
      <c r="A440" s="1">
        <v>55145</v>
      </c>
      <c r="B440" t="s">
        <v>12</v>
      </c>
      <c r="C440">
        <v>95</v>
      </c>
      <c r="D440">
        <v>35982.857508322457</v>
      </c>
      <c r="E440">
        <v>4.1521701214390765</v>
      </c>
      <c r="F440">
        <v>18.707366063072111</v>
      </c>
      <c r="G440">
        <v>5.9903287692421214</v>
      </c>
      <c r="H440">
        <v>85819.580847390185</v>
      </c>
      <c r="I440">
        <v>83</v>
      </c>
      <c r="J440">
        <v>52.51701743616578</v>
      </c>
      <c r="K440" t="str">
        <f t="shared" si="9"/>
        <v>OK</v>
      </c>
    </row>
    <row r="441" spans="1:11">
      <c r="A441" s="1">
        <v>55175</v>
      </c>
      <c r="B441" t="s">
        <v>13</v>
      </c>
      <c r="C441">
        <v>114</v>
      </c>
      <c r="D441">
        <v>29207.352134865148</v>
      </c>
      <c r="E441">
        <v>2.6687540059821631</v>
      </c>
      <c r="F441">
        <v>4.0337277099164996</v>
      </c>
      <c r="G441">
        <v>5.1306298346333392</v>
      </c>
      <c r="H441">
        <v>139065.18275053136</v>
      </c>
      <c r="I441">
        <v>94</v>
      </c>
      <c r="J441">
        <v>81.746882818408793</v>
      </c>
      <c r="K441" t="str">
        <f t="shared" si="9"/>
        <v>OK</v>
      </c>
    </row>
    <row r="442" spans="1:11">
      <c r="A442" s="1">
        <v>55205</v>
      </c>
      <c r="B442" t="s">
        <v>11</v>
      </c>
      <c r="C442">
        <v>92</v>
      </c>
      <c r="D442">
        <v>38106.295579999998</v>
      </c>
      <c r="E442">
        <v>4.0162731021708282</v>
      </c>
      <c r="F442">
        <v>1.9641985369477022</v>
      </c>
      <c r="G442">
        <v>4.4936970418633226</v>
      </c>
      <c r="H442">
        <v>89482.406482095917</v>
      </c>
      <c r="I442">
        <v>88</v>
      </c>
      <c r="J442">
        <v>58.710181165140725</v>
      </c>
      <c r="K442" t="str">
        <f t="shared" si="9"/>
        <v>OK</v>
      </c>
    </row>
    <row r="443" spans="1:11">
      <c r="A443" s="1">
        <v>55235</v>
      </c>
      <c r="B443" t="s">
        <v>10</v>
      </c>
      <c r="C443">
        <v>113</v>
      </c>
      <c r="D443">
        <v>25333.660204634019</v>
      </c>
      <c r="E443">
        <v>4.5778345189999996</v>
      </c>
      <c r="F443">
        <v>0.79264204240705327</v>
      </c>
      <c r="G443">
        <v>4.4359828932598511</v>
      </c>
      <c r="H443">
        <v>103555.00212536062</v>
      </c>
      <c r="I443">
        <v>92</v>
      </c>
      <c r="J443">
        <v>91.802586121766723</v>
      </c>
      <c r="K443" t="str">
        <f t="shared" si="9"/>
        <v>OK</v>
      </c>
    </row>
    <row r="444" spans="1:11">
      <c r="A444" s="1">
        <v>55265</v>
      </c>
      <c r="B444" t="s">
        <v>10</v>
      </c>
      <c r="C444">
        <v>113</v>
      </c>
      <c r="D444">
        <v>27783.588744042449</v>
      </c>
      <c r="E444">
        <v>2.9545167848924008</v>
      </c>
      <c r="F444">
        <v>1.3834755600513409</v>
      </c>
      <c r="G444">
        <v>6.1417808036150925</v>
      </c>
      <c r="H444">
        <v>108009.62773012658</v>
      </c>
      <c r="I444">
        <v>78</v>
      </c>
      <c r="J444">
        <v>92.620899492014289</v>
      </c>
      <c r="K444" t="str">
        <f t="shared" si="9"/>
        <v>OK</v>
      </c>
    </row>
    <row r="445" spans="1:11">
      <c r="A445" s="1">
        <v>55295</v>
      </c>
      <c r="B445" t="s">
        <v>13</v>
      </c>
      <c r="C445">
        <v>120</v>
      </c>
      <c r="D445">
        <v>25575.986429865494</v>
      </c>
      <c r="E445">
        <v>3.2945928560227076</v>
      </c>
      <c r="F445">
        <v>3.7358116200069387</v>
      </c>
      <c r="G445">
        <v>6.9747766029868741</v>
      </c>
      <c r="H445">
        <f>128897.2893</f>
        <v>128897.2893</v>
      </c>
      <c r="I445">
        <v>102</v>
      </c>
      <c r="J445">
        <v>26.99334462968671</v>
      </c>
      <c r="K445" t="str">
        <f t="shared" si="9"/>
        <v>OK</v>
      </c>
    </row>
    <row r="446" spans="1:11">
      <c r="A446" s="1">
        <v>55325</v>
      </c>
      <c r="B446" t="s">
        <v>14</v>
      </c>
      <c r="C446">
        <v>108</v>
      </c>
      <c r="D446">
        <v>29135.269700382883</v>
      </c>
      <c r="E446">
        <v>2.9471476657570319</v>
      </c>
      <c r="F446">
        <v>2.3441018220633323</v>
      </c>
      <c r="G446">
        <v>4.7352307035654464</v>
      </c>
      <c r="H446">
        <v>98451.130785480127</v>
      </c>
      <c r="I446">
        <v>96</v>
      </c>
      <c r="J446">
        <v>94.919466504818061</v>
      </c>
      <c r="K446" t="str">
        <f t="shared" si="9"/>
        <v>OK</v>
      </c>
    </row>
    <row r="447" spans="1:11">
      <c r="A447" s="1">
        <v>55355</v>
      </c>
      <c r="B447" t="s">
        <v>11</v>
      </c>
      <c r="C447">
        <v>99</v>
      </c>
      <c r="D447">
        <v>38558.542400711718</v>
      </c>
      <c r="E447">
        <v>3.3925394848556323</v>
      </c>
      <c r="F447">
        <v>1.9517127035093991</v>
      </c>
      <c r="G447">
        <v>6.0500640442617808</v>
      </c>
      <c r="H447">
        <v>76094.1247280151</v>
      </c>
      <c r="I447">
        <v>75</v>
      </c>
      <c r="J447">
        <v>86.042787321633256</v>
      </c>
      <c r="K447" t="str">
        <f t="shared" si="9"/>
        <v>OK</v>
      </c>
    </row>
    <row r="448" spans="1:11">
      <c r="A448" s="1">
        <v>55385</v>
      </c>
      <c r="B448" t="s">
        <v>11</v>
      </c>
      <c r="C448">
        <v>108</v>
      </c>
      <c r="D448">
        <v>23140.494285343219</v>
      </c>
      <c r="E448">
        <v>3.3459828579071296</v>
      </c>
      <c r="F448">
        <v>2.6600182258527876</v>
      </c>
      <c r="G448">
        <v>2.9955675776775177</v>
      </c>
      <c r="H448">
        <v>129018.55096558423</v>
      </c>
      <c r="I448">
        <v>87</v>
      </c>
      <c r="J448">
        <v>83.304857145013358</v>
      </c>
      <c r="K448" t="str">
        <f t="shared" si="9"/>
        <v>OK</v>
      </c>
    </row>
    <row r="449" spans="1:11">
      <c r="A449" s="1">
        <v>55415</v>
      </c>
      <c r="B449" t="s">
        <v>14</v>
      </c>
      <c r="C449">
        <v>98</v>
      </c>
      <c r="D449">
        <v>21932.193010616294</v>
      </c>
      <c r="E449">
        <v>3.8898302661346698</v>
      </c>
      <c r="F449">
        <v>3.0017827361675451</v>
      </c>
      <c r="G449">
        <v>4.7984587232113602</v>
      </c>
      <c r="H449">
        <v>136143.93287275769</v>
      </c>
      <c r="I449">
        <v>114</v>
      </c>
      <c r="J449">
        <v>36.072907174841795</v>
      </c>
      <c r="K449" t="str">
        <f t="shared" si="9"/>
        <v>OK</v>
      </c>
    </row>
    <row r="450" spans="1:11">
      <c r="A450" s="1">
        <v>55445</v>
      </c>
      <c r="B450" t="s">
        <v>13</v>
      </c>
      <c r="C450">
        <v>92</v>
      </c>
      <c r="D450">
        <v>37355.85163746804</v>
      </c>
      <c r="E450">
        <v>4.155154373059804</v>
      </c>
      <c r="F450">
        <v>3.6173988159024608</v>
      </c>
      <c r="G450">
        <v>5.4627292805549175</v>
      </c>
      <c r="H450">
        <v>66346.826117546283</v>
      </c>
      <c r="I450">
        <v>86</v>
      </c>
      <c r="J450">
        <v>84.409536700373195</v>
      </c>
      <c r="K450" t="str">
        <f t="shared" ref="K450:K501" si="11">IF(COUNTA(A450:J450)&lt;COLUMNS(A450:J450), "Missing Data", "OK")</f>
        <v>OK</v>
      </c>
    </row>
    <row r="451" spans="1:11">
      <c r="A451" s="1">
        <v>55475</v>
      </c>
      <c r="B451" t="s">
        <v>13</v>
      </c>
      <c r="C451">
        <v>96</v>
      </c>
      <c r="D451">
        <v>28953.381614240669</v>
      </c>
      <c r="E451">
        <v>4.197841905394978</v>
      </c>
      <c r="F451">
        <v>3.948499229892926</v>
      </c>
      <c r="G451">
        <v>4.4083798996217993</v>
      </c>
      <c r="H451">
        <v>79519.428182272415</v>
      </c>
      <c r="I451">
        <v>85</v>
      </c>
      <c r="J451">
        <v>88.01061877480295</v>
      </c>
      <c r="K451" t="str">
        <f t="shared" si="11"/>
        <v>OK</v>
      </c>
    </row>
    <row r="452" spans="1:11">
      <c r="A452" s="1">
        <v>55505</v>
      </c>
      <c r="B452" t="s">
        <v>10</v>
      </c>
      <c r="C452">
        <v>94</v>
      </c>
      <c r="D452">
        <v>26654.636306700417</v>
      </c>
      <c r="E452">
        <v>3.218915986710849</v>
      </c>
      <c r="F452">
        <v>21.402313542109145</v>
      </c>
      <c r="G452">
        <v>4.3761923502524844</v>
      </c>
      <c r="H452">
        <f>128897.2893</f>
        <v>128897.2893</v>
      </c>
      <c r="I452">
        <v>95</v>
      </c>
      <c r="J452">
        <v>43.132026756332074</v>
      </c>
      <c r="K452" t="str">
        <f t="shared" si="11"/>
        <v>OK</v>
      </c>
    </row>
    <row r="453" spans="1:11">
      <c r="A453" s="1">
        <v>55535</v>
      </c>
      <c r="B453" t="s">
        <v>14</v>
      </c>
      <c r="C453">
        <v>75</v>
      </c>
      <c r="D453">
        <v>35199.52343698038</v>
      </c>
      <c r="E453">
        <v>3.3953890631277361</v>
      </c>
      <c r="F453">
        <v>1.1739523139179617</v>
      </c>
      <c r="G453">
        <v>4.6986645322373368</v>
      </c>
      <c r="H453">
        <v>80709.244101796168</v>
      </c>
      <c r="I453">
        <v>97</v>
      </c>
      <c r="J453">
        <v>96.180806268985904</v>
      </c>
      <c r="K453" t="str">
        <f t="shared" si="11"/>
        <v>OK</v>
      </c>
    </row>
    <row r="454" spans="1:11">
      <c r="A454" s="1">
        <v>55565</v>
      </c>
      <c r="B454" t="s">
        <v>13</v>
      </c>
      <c r="C454">
        <v>97</v>
      </c>
      <c r="D454">
        <v>26971.922301315681</v>
      </c>
      <c r="E454">
        <v>2.658280903889525</v>
      </c>
      <c r="F454">
        <v>2.086534838876724</v>
      </c>
      <c r="G454">
        <v>5.850631273991648</v>
      </c>
      <c r="H454">
        <v>110119.31106911731</v>
      </c>
      <c r="I454">
        <v>68</v>
      </c>
      <c r="J454">
        <v>23.988811711933138</v>
      </c>
      <c r="K454" t="str">
        <f t="shared" si="11"/>
        <v>OK</v>
      </c>
    </row>
    <row r="455" spans="1:11">
      <c r="A455" s="1">
        <v>55595</v>
      </c>
      <c r="B455" t="s">
        <v>12</v>
      </c>
      <c r="C455">
        <v>1090</v>
      </c>
      <c r="D455">
        <v>38106.295579999998</v>
      </c>
      <c r="E455">
        <v>3.0970649667519057</v>
      </c>
      <c r="F455">
        <v>2.7602805065828862</v>
      </c>
      <c r="G455">
        <v>5.2752051779123503</v>
      </c>
      <c r="H455">
        <v>85434.555951867733</v>
      </c>
      <c r="I455">
        <v>86</v>
      </c>
      <c r="J455">
        <v>31.992740259771175</v>
      </c>
      <c r="K455" t="str">
        <f t="shared" si="11"/>
        <v>OK</v>
      </c>
    </row>
    <row r="456" spans="1:11">
      <c r="A456" s="1">
        <v>55625</v>
      </c>
      <c r="B456" t="s">
        <v>11</v>
      </c>
      <c r="C456">
        <v>98</v>
      </c>
      <c r="D456">
        <v>33389.629356696343</v>
      </c>
      <c r="E456">
        <v>3.9824258165487287</v>
      </c>
      <c r="F456">
        <v>1.5362410737893892</v>
      </c>
      <c r="G456">
        <v>2.8141225200100335</v>
      </c>
      <c r="H456">
        <v>143301.12135613203</v>
      </c>
      <c r="I456">
        <v>90</v>
      </c>
      <c r="J456">
        <v>63.006491044121148</v>
      </c>
      <c r="K456" t="str">
        <f t="shared" si="11"/>
        <v>OK</v>
      </c>
    </row>
    <row r="457" spans="1:11">
      <c r="A457" s="1">
        <v>55655</v>
      </c>
      <c r="B457" t="s">
        <v>10</v>
      </c>
      <c r="C457">
        <v>121</v>
      </c>
      <c r="D457">
        <v>27560.442959271488</v>
      </c>
      <c r="E457">
        <v>4.3077914117741161</v>
      </c>
      <c r="F457">
        <v>1.5428490851049572</v>
      </c>
      <c r="G457">
        <v>2.9551598168379205</v>
      </c>
      <c r="H457">
        <v>123810.97188687192</v>
      </c>
      <c r="I457">
        <v>80</v>
      </c>
      <c r="J457">
        <v>66.063397689784779</v>
      </c>
      <c r="K457" t="str">
        <f t="shared" si="11"/>
        <v>OK</v>
      </c>
    </row>
    <row r="458" spans="1:11">
      <c r="A458" s="1">
        <v>55685</v>
      </c>
      <c r="B458" t="s">
        <v>14</v>
      </c>
      <c r="C458">
        <v>103</v>
      </c>
      <c r="D458">
        <v>40786.541066327518</v>
      </c>
      <c r="E458">
        <v>4.5778345189999996</v>
      </c>
      <c r="F458">
        <v>28.437878815498856</v>
      </c>
      <c r="G458">
        <v>4.7717617865713891</v>
      </c>
      <c r="H458">
        <v>104251.4806126443</v>
      </c>
      <c r="I458">
        <v>88</v>
      </c>
      <c r="J458">
        <v>716.12006664072271</v>
      </c>
      <c r="K458" t="str">
        <f t="shared" si="11"/>
        <v>OK</v>
      </c>
    </row>
    <row r="459" spans="1:11">
      <c r="A459" s="1">
        <v>55715</v>
      </c>
      <c r="B459" t="s">
        <v>10</v>
      </c>
      <c r="C459">
        <v>121</v>
      </c>
      <c r="D459">
        <v>38106.295579999998</v>
      </c>
      <c r="E459">
        <v>32.037678704235532</v>
      </c>
      <c r="F459">
        <v>2.4513476484295489</v>
      </c>
      <c r="G459">
        <v>6.0492239032642621</v>
      </c>
      <c r="H459">
        <v>120539.72526639464</v>
      </c>
      <c r="I459">
        <v>95</v>
      </c>
      <c r="J459">
        <v>21.357530345237315</v>
      </c>
      <c r="K459" t="str">
        <f t="shared" si="11"/>
        <v>OK</v>
      </c>
    </row>
    <row r="460" spans="1:11">
      <c r="A460" s="1">
        <v>55745</v>
      </c>
      <c r="B460" t="s">
        <v>13</v>
      </c>
      <c r="C460">
        <v>103</v>
      </c>
      <c r="D460">
        <v>33710.476860046532</v>
      </c>
      <c r="E460">
        <v>3.4867971215205364</v>
      </c>
      <c r="F460">
        <v>2.5327969954115863</v>
      </c>
      <c r="G460">
        <v>2.2029941887297184</v>
      </c>
      <c r="H460">
        <v>122118.00848714617</v>
      </c>
      <c r="I460">
        <v>93</v>
      </c>
      <c r="J460">
        <v>96.829341969770425</v>
      </c>
      <c r="K460" t="str">
        <f t="shared" si="11"/>
        <v>OK</v>
      </c>
    </row>
    <row r="461" spans="1:11">
      <c r="A461" s="1">
        <v>55775</v>
      </c>
      <c r="B461" t="s">
        <v>13</v>
      </c>
      <c r="C461">
        <v>91</v>
      </c>
      <c r="D461">
        <v>31496.462902032461</v>
      </c>
      <c r="E461">
        <v>4.5778345189999996</v>
      </c>
      <c r="F461">
        <v>1.7415046652999306</v>
      </c>
      <c r="G461">
        <f>6.97388673</f>
        <v>6.9738867300000003</v>
      </c>
      <c r="H461">
        <v>88721.050238835131</v>
      </c>
      <c r="I461">
        <v>95</v>
      </c>
      <c r="J461">
        <v>23.567047418731519</v>
      </c>
      <c r="K461" t="str">
        <f t="shared" si="11"/>
        <v>OK</v>
      </c>
    </row>
    <row r="462" spans="1:11">
      <c r="A462" s="1">
        <v>55805</v>
      </c>
      <c r="B462" t="s">
        <v>12</v>
      </c>
      <c r="C462">
        <v>91</v>
      </c>
      <c r="D462">
        <v>36508.706446993994</v>
      </c>
      <c r="E462">
        <v>3.0951982400391769</v>
      </c>
      <c r="F462">
        <v>2.2695992857942326</v>
      </c>
      <c r="G462">
        <v>4.8685025721790947</v>
      </c>
      <c r="H462">
        <v>83675.655109160711</v>
      </c>
      <c r="I462">
        <v>93</v>
      </c>
      <c r="J462">
        <v>31.444956217872189</v>
      </c>
      <c r="K462" t="str">
        <f t="shared" si="11"/>
        <v>OK</v>
      </c>
    </row>
    <row r="463" spans="1:11">
      <c r="A463" s="1">
        <v>55835</v>
      </c>
      <c r="B463" t="s">
        <v>11</v>
      </c>
      <c r="C463">
        <v>128.02105259999999</v>
      </c>
      <c r="D463">
        <v>37807.555983634265</v>
      </c>
      <c r="E463">
        <v>3.7120305222320447</v>
      </c>
      <c r="F463">
        <v>1.5757668557316955</v>
      </c>
      <c r="G463">
        <v>7.166005333850137</v>
      </c>
      <c r="H463">
        <v>101562.86125939294</v>
      </c>
      <c r="I463">
        <v>81</v>
      </c>
      <c r="J463">
        <v>21.12116140208456</v>
      </c>
      <c r="K463" t="str">
        <f t="shared" si="11"/>
        <v>OK</v>
      </c>
    </row>
    <row r="464" spans="1:11">
      <c r="A464" s="1">
        <v>55865</v>
      </c>
      <c r="B464" t="s">
        <v>14</v>
      </c>
      <c r="C464">
        <v>97</v>
      </c>
      <c r="D464">
        <v>30160.020745328835</v>
      </c>
      <c r="E464">
        <v>3.263080326464542</v>
      </c>
      <c r="F464">
        <v>3.3901984111247869</v>
      </c>
      <c r="G464">
        <v>5.0379738259445634</v>
      </c>
      <c r="H464">
        <v>117232.72248995888</v>
      </c>
      <c r="I464">
        <v>89</v>
      </c>
      <c r="J464">
        <v>65.348674663527575</v>
      </c>
      <c r="K464" t="str">
        <f t="shared" si="11"/>
        <v>OK</v>
      </c>
    </row>
    <row r="465" spans="1:11">
      <c r="A465" s="1">
        <v>55895</v>
      </c>
      <c r="B465" t="s">
        <v>10</v>
      </c>
      <c r="C465">
        <v>106</v>
      </c>
      <c r="D465">
        <v>26232.910648269084</v>
      </c>
      <c r="E465">
        <v>3.4927738645608604</v>
      </c>
      <c r="F465">
        <f>3.224108373</f>
        <v>3.224108373</v>
      </c>
      <c r="G465">
        <v>5.9595867816891142</v>
      </c>
      <c r="H465">
        <v>102781.20797306835</v>
      </c>
      <c r="I465">
        <v>73</v>
      </c>
      <c r="J465">
        <v>94.581350713677779</v>
      </c>
      <c r="K465" t="str">
        <f t="shared" si="11"/>
        <v>OK</v>
      </c>
    </row>
    <row r="466" spans="1:11">
      <c r="A466" s="1">
        <v>55925</v>
      </c>
      <c r="B466" t="s">
        <v>11</v>
      </c>
      <c r="C466">
        <v>110</v>
      </c>
      <c r="D466">
        <v>32299.860714695584</v>
      </c>
      <c r="E466">
        <v>4.5778345189999996</v>
      </c>
      <c r="F466">
        <v>0.65381213776190616</v>
      </c>
      <c r="G466">
        <v>56.695085681049555</v>
      </c>
      <c r="H466">
        <v>68460.070356180047</v>
      </c>
      <c r="I466">
        <v>860</v>
      </c>
      <c r="J466">
        <v>73.275773286437129</v>
      </c>
      <c r="K466" t="str">
        <f t="shared" si="11"/>
        <v>OK</v>
      </c>
    </row>
    <row r="467" spans="1:11">
      <c r="A467" s="1">
        <v>55955</v>
      </c>
      <c r="B467" t="s">
        <v>13</v>
      </c>
      <c r="C467">
        <v>91</v>
      </c>
      <c r="D467">
        <v>26611.423151239469</v>
      </c>
      <c r="E467">
        <v>3.5032111349054689</v>
      </c>
      <c r="F467">
        <v>1.57048913980759</v>
      </c>
      <c r="G467">
        <v>2.9433202242313592</v>
      </c>
      <c r="H467">
        <v>83943.511120983152</v>
      </c>
      <c r="I467">
        <v>91</v>
      </c>
      <c r="J467">
        <v>85.812597478434185</v>
      </c>
      <c r="K467" t="str">
        <f t="shared" si="11"/>
        <v>OK</v>
      </c>
    </row>
    <row r="468" spans="1:11">
      <c r="A468" s="1">
        <v>55985</v>
      </c>
      <c r="B468" t="s">
        <v>11</v>
      </c>
      <c r="C468">
        <v>103</v>
      </c>
      <c r="D468">
        <v>40066.936237633112</v>
      </c>
      <c r="E468">
        <v>3.2818070547367157</v>
      </c>
      <c r="F468">
        <v>1.0034707449099209</v>
      </c>
      <c r="G468">
        <v>6.4218486599580844</v>
      </c>
      <c r="H468">
        <v>98520.542728112443</v>
      </c>
      <c r="I468">
        <v>84</v>
      </c>
      <c r="J468">
        <v>21.062496276686407</v>
      </c>
      <c r="K468" t="str">
        <f t="shared" si="11"/>
        <v>OK</v>
      </c>
    </row>
    <row r="469" spans="1:11">
      <c r="A469" s="1">
        <v>56015</v>
      </c>
      <c r="B469" t="s">
        <v>10</v>
      </c>
      <c r="C469">
        <v>84</v>
      </c>
      <c r="D469">
        <v>30682.676655413688</v>
      </c>
      <c r="E469">
        <v>3.4451950980370847</v>
      </c>
      <c r="F469">
        <v>1.8499760655931019</v>
      </c>
      <c r="G469">
        <v>5.7584758065475459</v>
      </c>
      <c r="H469">
        <v>98486.687913483402</v>
      </c>
      <c r="I469">
        <v>81</v>
      </c>
      <c r="J469">
        <v>63.361223878378084</v>
      </c>
      <c r="K469" t="str">
        <f t="shared" si="11"/>
        <v>OK</v>
      </c>
    </row>
    <row r="470" spans="1:11">
      <c r="A470" s="1">
        <v>56045</v>
      </c>
      <c r="B470" t="s">
        <v>11</v>
      </c>
      <c r="C470">
        <v>93</v>
      </c>
      <c r="D470">
        <v>28173.392243439455</v>
      </c>
      <c r="E470">
        <v>3.4558185203973322</v>
      </c>
      <c r="F470">
        <v>2.4165620302096391</v>
      </c>
      <c r="G470">
        <v>6.1099223676095074</v>
      </c>
      <c r="H470">
        <v>139450.84353579616</v>
      </c>
      <c r="I470">
        <v>96</v>
      </c>
      <c r="J470">
        <v>56.765038200441751</v>
      </c>
      <c r="K470" t="str">
        <f t="shared" si="11"/>
        <v>OK</v>
      </c>
    </row>
    <row r="471" spans="1:11">
      <c r="A471" s="1">
        <v>56075</v>
      </c>
      <c r="B471" t="s">
        <v>13</v>
      </c>
      <c r="C471">
        <v>113</v>
      </c>
      <c r="D471">
        <v>309234.01529324544</v>
      </c>
      <c r="E471">
        <v>3.3149944850589361</v>
      </c>
      <c r="F471">
        <v>1.0503547803014699</v>
      </c>
      <c r="G471">
        <v>10.211485247723591</v>
      </c>
      <c r="H471">
        <v>72280.24115202004</v>
      </c>
      <c r="I471">
        <v>86</v>
      </c>
      <c r="J471">
        <v>59.917435537663444</v>
      </c>
      <c r="K471" t="str">
        <f t="shared" si="11"/>
        <v>OK</v>
      </c>
    </row>
    <row r="472" spans="1:11">
      <c r="A472" s="1">
        <v>56105</v>
      </c>
      <c r="B472" t="s">
        <v>11</v>
      </c>
      <c r="C472">
        <v>105</v>
      </c>
      <c r="D472">
        <v>23264.368552351516</v>
      </c>
      <c r="E472">
        <v>3.370601968666449</v>
      </c>
      <c r="F472">
        <v>1.5781401868746867</v>
      </c>
      <c r="G472">
        <v>29.990644726016939</v>
      </c>
      <c r="H472">
        <v>110111.78483671749</v>
      </c>
      <c r="I472">
        <v>99</v>
      </c>
      <c r="J472">
        <v>25.777054826815036</v>
      </c>
      <c r="K472" t="str">
        <f t="shared" si="11"/>
        <v>OK</v>
      </c>
    </row>
    <row r="473" spans="1:11">
      <c r="A473" s="1">
        <v>56135</v>
      </c>
      <c r="B473" t="s">
        <v>14</v>
      </c>
      <c r="C473">
        <v>83</v>
      </c>
      <c r="D473">
        <v>25141.929807446744</v>
      </c>
      <c r="E473">
        <v>4.2993235852523588</v>
      </c>
      <c r="F473">
        <v>1.4960426279185015</v>
      </c>
      <c r="G473">
        <v>7.5696359797133299</v>
      </c>
      <c r="H473">
        <v>129782.26216656579</v>
      </c>
      <c r="I473">
        <v>72</v>
      </c>
      <c r="J473">
        <v>74.754828885544597</v>
      </c>
      <c r="K473" t="str">
        <f t="shared" si="11"/>
        <v>OK</v>
      </c>
    </row>
    <row r="474" spans="1:11">
      <c r="A474" s="1">
        <v>56165</v>
      </c>
      <c r="B474" t="s">
        <v>11</v>
      </c>
      <c r="C474">
        <v>96</v>
      </c>
      <c r="D474">
        <v>36002.069539722128</v>
      </c>
      <c r="E474">
        <v>3.7804597239706195</v>
      </c>
      <c r="F474">
        <v>2.707267329398944</v>
      </c>
      <c r="G474">
        <v>5.1550629767195737</v>
      </c>
      <c r="H474">
        <v>145428.99490845593</v>
      </c>
      <c r="I474">
        <v>83</v>
      </c>
      <c r="J474">
        <v>60.257633188690754</v>
      </c>
      <c r="K474" t="str">
        <f t="shared" si="11"/>
        <v>OK</v>
      </c>
    </row>
    <row r="475" spans="1:11">
      <c r="A475" s="1">
        <v>56195</v>
      </c>
      <c r="B475" t="s">
        <v>14</v>
      </c>
      <c r="C475">
        <v>107</v>
      </c>
      <c r="D475">
        <v>26715.528605143023</v>
      </c>
      <c r="E475">
        <v>3.3522598409854196</v>
      </c>
      <c r="F475">
        <v>2.5693443370362505</v>
      </c>
      <c r="G475">
        <v>5.8447946852836115</v>
      </c>
      <c r="H475">
        <v>91912.051536320767</v>
      </c>
      <c r="I475">
        <v>98</v>
      </c>
      <c r="J475">
        <v>81.211907988901118</v>
      </c>
      <c r="K475" t="str">
        <f t="shared" si="11"/>
        <v>OK</v>
      </c>
    </row>
    <row r="476" spans="1:11">
      <c r="A476" s="1">
        <v>56225</v>
      </c>
      <c r="B476" t="s">
        <v>11</v>
      </c>
      <c r="C476">
        <v>83</v>
      </c>
      <c r="D476">
        <v>24765.445086590302</v>
      </c>
      <c r="E476">
        <v>3.8484772022553679</v>
      </c>
      <c r="F476">
        <v>1.7782624466627466</v>
      </c>
      <c r="G476">
        <v>5.4453853056385091</v>
      </c>
      <c r="H476">
        <v>109828.589054404</v>
      </c>
      <c r="I476">
        <v>101</v>
      </c>
      <c r="J476">
        <v>58.823250724937225</v>
      </c>
      <c r="K476" t="str">
        <f t="shared" si="11"/>
        <v>OK</v>
      </c>
    </row>
    <row r="477" spans="1:11">
      <c r="A477" s="1">
        <v>56255</v>
      </c>
      <c r="B477" t="s">
        <v>13</v>
      </c>
      <c r="C477">
        <v>105</v>
      </c>
      <c r="D477">
        <v>32683.26376263643</v>
      </c>
      <c r="E477">
        <v>3.333090255121995</v>
      </c>
      <c r="F477">
        <v>2.6768208721393978</v>
      </c>
      <c r="G477">
        <v>4.990916399922348</v>
      </c>
      <c r="H477">
        <v>111395.20714397293</v>
      </c>
      <c r="I477">
        <v>950</v>
      </c>
      <c r="J477">
        <v>31.950530898114565</v>
      </c>
      <c r="K477" t="str">
        <f t="shared" si="11"/>
        <v>OK</v>
      </c>
    </row>
    <row r="478" spans="1:11">
      <c r="A478" s="1">
        <v>56285</v>
      </c>
      <c r="B478" t="s">
        <v>12</v>
      </c>
      <c r="C478">
        <v>112</v>
      </c>
      <c r="D478">
        <v>35928.520773314987</v>
      </c>
      <c r="E478">
        <v>4.0865623187933204</v>
      </c>
      <c r="F478">
        <v>1.9533199154127345</v>
      </c>
      <c r="G478">
        <v>4.8162004861134893</v>
      </c>
      <c r="H478">
        <v>103909.63463106581</v>
      </c>
      <c r="I478">
        <v>71</v>
      </c>
      <c r="J478">
        <v>71.860556326225762</v>
      </c>
      <c r="K478" t="str">
        <f t="shared" si="11"/>
        <v>OK</v>
      </c>
    </row>
    <row r="479" spans="1:11">
      <c r="A479" s="1">
        <v>56315</v>
      </c>
      <c r="B479" t="s">
        <v>12</v>
      </c>
      <c r="C479">
        <v>99</v>
      </c>
      <c r="D479">
        <v>33594.766553325331</v>
      </c>
      <c r="E479">
        <v>3.6848210960990468</v>
      </c>
      <c r="F479">
        <v>2.2283448896739468</v>
      </c>
      <c r="G479">
        <v>5.8954104826876108</v>
      </c>
      <c r="H479">
        <v>98023.095975213873</v>
      </c>
      <c r="I479">
        <v>85</v>
      </c>
      <c r="J479">
        <v>33.790908968413298</v>
      </c>
      <c r="K479" t="str">
        <f t="shared" si="11"/>
        <v>OK</v>
      </c>
    </row>
    <row r="480" spans="1:11">
      <c r="A480" s="1">
        <v>56345</v>
      </c>
      <c r="B480" t="s">
        <v>14</v>
      </c>
      <c r="C480">
        <v>111</v>
      </c>
      <c r="D480">
        <v>34980.238429029079</v>
      </c>
      <c r="E480">
        <v>3.4463489279978856</v>
      </c>
      <c r="F480">
        <v>4.1734520902985368</v>
      </c>
      <c r="G480">
        <v>3.6793915639939851</v>
      </c>
      <c r="H480">
        <v>108719.50779000092</v>
      </c>
      <c r="I480">
        <v>98</v>
      </c>
      <c r="J480">
        <v>89.791565068385196</v>
      </c>
      <c r="K480" t="str">
        <f t="shared" si="11"/>
        <v>OK</v>
      </c>
    </row>
    <row r="481" spans="1:11">
      <c r="A481" s="1">
        <v>56375</v>
      </c>
      <c r="B481" t="s">
        <v>14</v>
      </c>
      <c r="C481">
        <v>105</v>
      </c>
      <c r="D481">
        <v>26216.024557152698</v>
      </c>
      <c r="E481">
        <v>3.723858462905139</v>
      </c>
      <c r="F481">
        <v>3.8404610517903479</v>
      </c>
      <c r="G481">
        <v>6.4006950010261185</v>
      </c>
      <c r="H481">
        <v>49355.07829560629</v>
      </c>
      <c r="I481">
        <v>100</v>
      </c>
      <c r="J481">
        <v>69.049299125539321</v>
      </c>
      <c r="K481" t="str">
        <f t="shared" si="11"/>
        <v>OK</v>
      </c>
    </row>
    <row r="482" spans="1:11">
      <c r="A482" s="1">
        <v>56405</v>
      </c>
      <c r="B482" t="s">
        <v>12</v>
      </c>
      <c r="C482">
        <v>93</v>
      </c>
      <c r="D482">
        <v>22890.94666629078</v>
      </c>
      <c r="E482">
        <v>2.7145619239657504</v>
      </c>
      <c r="F482">
        <v>1.2004187630724024</v>
      </c>
      <c r="G482">
        <v>5.0005667141376957</v>
      </c>
      <c r="H482">
        <v>113641.38980125263</v>
      </c>
      <c r="I482">
        <v>88</v>
      </c>
      <c r="J482">
        <v>32.57631068455634</v>
      </c>
      <c r="K482" t="str">
        <f t="shared" si="11"/>
        <v>OK</v>
      </c>
    </row>
    <row r="483" spans="1:11">
      <c r="A483" s="1">
        <v>56435</v>
      </c>
      <c r="B483" t="s">
        <v>13</v>
      </c>
      <c r="C483">
        <v>109</v>
      </c>
      <c r="D483">
        <v>37506.668259777434</v>
      </c>
      <c r="E483">
        <v>2.9366162655450974</v>
      </c>
      <c r="F483">
        <v>3.3297324178791747</v>
      </c>
      <c r="G483">
        <v>4.143916793151571</v>
      </c>
      <c r="H483">
        <v>102523.55807323934</v>
      </c>
      <c r="I483">
        <v>82</v>
      </c>
      <c r="J483">
        <v>96.987044598496539</v>
      </c>
      <c r="K483" t="str">
        <f t="shared" si="11"/>
        <v>OK</v>
      </c>
    </row>
    <row r="484" spans="1:11">
      <c r="A484" s="1">
        <v>56465</v>
      </c>
      <c r="B484" t="s">
        <v>13</v>
      </c>
      <c r="C484">
        <v>106</v>
      </c>
      <c r="D484">
        <v>28386.60080578932</v>
      </c>
      <c r="E484">
        <v>2.9030374968004722</v>
      </c>
      <c r="F484">
        <v>33.113965544915921</v>
      </c>
      <c r="G484">
        <v>4.9599845704050232</v>
      </c>
      <c r="H484">
        <v>95550.502064434695</v>
      </c>
      <c r="I484">
        <v>930</v>
      </c>
      <c r="J484">
        <v>61.469237066825649</v>
      </c>
      <c r="K484" t="str">
        <f t="shared" si="11"/>
        <v>OK</v>
      </c>
    </row>
    <row r="485" spans="1:11">
      <c r="A485" s="1">
        <v>56495</v>
      </c>
      <c r="B485" t="s">
        <v>11</v>
      </c>
      <c r="C485">
        <v>106</v>
      </c>
      <c r="D485">
        <v>28745.834917724762</v>
      </c>
      <c r="E485">
        <v>3.5714715473818535</v>
      </c>
      <c r="F485">
        <v>1.3517367112473817</v>
      </c>
      <c r="G485">
        <v>7.0085790602350873</v>
      </c>
      <c r="H485">
        <v>140937.24391439115</v>
      </c>
      <c r="I485">
        <v>79</v>
      </c>
      <c r="J485">
        <v>25.831876149732402</v>
      </c>
      <c r="K485" t="str">
        <f t="shared" si="11"/>
        <v>OK</v>
      </c>
    </row>
    <row r="486" spans="1:11">
      <c r="A486" s="1">
        <v>56525</v>
      </c>
      <c r="B486" t="s">
        <v>14</v>
      </c>
      <c r="C486">
        <v>103</v>
      </c>
      <c r="D486">
        <v>36640.970709245288</v>
      </c>
      <c r="E486">
        <v>4.3662574997425461</v>
      </c>
      <c r="F486">
        <f>3.224108373</f>
        <v>3.224108373</v>
      </c>
      <c r="G486">
        <v>4.8575978955805326</v>
      </c>
      <c r="H486">
        <v>86501.319624188953</v>
      </c>
      <c r="I486">
        <v>92</v>
      </c>
      <c r="J486">
        <v>70.146632353205376</v>
      </c>
      <c r="K486" t="str">
        <f t="shared" si="11"/>
        <v>OK</v>
      </c>
    </row>
    <row r="487" spans="1:11">
      <c r="A487" s="1">
        <v>56555</v>
      </c>
      <c r="B487" t="s">
        <v>13</v>
      </c>
      <c r="C487">
        <v>113</v>
      </c>
      <c r="D487">
        <v>32781.150047003299</v>
      </c>
      <c r="E487">
        <v>4.6156500730963161</v>
      </c>
      <c r="F487">
        <v>4.0379319184125526</v>
      </c>
      <c r="G487">
        <v>5.9301443418515447</v>
      </c>
      <c r="H487">
        <v>91938.480218699391</v>
      </c>
      <c r="I487">
        <f>111.9136842</f>
        <v>111.91368420000001</v>
      </c>
      <c r="J487">
        <v>40.255912561024815</v>
      </c>
      <c r="K487" t="str">
        <f t="shared" si="11"/>
        <v>OK</v>
      </c>
    </row>
    <row r="488" spans="1:11">
      <c r="A488" s="1">
        <v>56585</v>
      </c>
      <c r="B488" t="s">
        <v>10</v>
      </c>
      <c r="C488">
        <v>111</v>
      </c>
      <c r="D488">
        <v>322794.38860408036</v>
      </c>
      <c r="E488">
        <v>3.8190255507203785</v>
      </c>
      <c r="F488">
        <v>1.3774551937555861</v>
      </c>
      <c r="G488">
        <v>4.6228524691414323</v>
      </c>
      <c r="H488">
        <v>1398310.6604409469</v>
      </c>
      <c r="I488">
        <v>92</v>
      </c>
      <c r="J488">
        <v>84.2954761501842</v>
      </c>
      <c r="K488" t="str">
        <f t="shared" si="11"/>
        <v>OK</v>
      </c>
    </row>
    <row r="489" spans="1:11">
      <c r="A489" s="1">
        <v>56615</v>
      </c>
      <c r="B489" t="s">
        <v>11</v>
      </c>
      <c r="C489">
        <v>128.02105259999999</v>
      </c>
      <c r="D489">
        <v>40825.011724505421</v>
      </c>
      <c r="E489">
        <v>3.7504222374722285</v>
      </c>
      <c r="F489">
        <v>1.5824971789857365</v>
      </c>
      <c r="G489">
        <v>6.4095062199083435</v>
      </c>
      <c r="H489">
        <f>128897.2893</f>
        <v>128897.2893</v>
      </c>
      <c r="I489">
        <v>92</v>
      </c>
      <c r="J489">
        <v>85.425765885295249</v>
      </c>
      <c r="K489" t="str">
        <f t="shared" si="11"/>
        <v>OK</v>
      </c>
    </row>
    <row r="490" spans="1:11">
      <c r="A490" s="1">
        <v>56645</v>
      </c>
      <c r="B490" t="s">
        <v>11</v>
      </c>
      <c r="C490">
        <v>89</v>
      </c>
      <c r="D490">
        <v>26782.408848099287</v>
      </c>
      <c r="E490">
        <v>2.5994711329236306</v>
      </c>
      <c r="F490">
        <v>3.5176614668435024</v>
      </c>
      <c r="G490">
        <f>6.97388673</f>
        <v>6.9738867300000003</v>
      </c>
      <c r="H490">
        <v>88997.69434126922</v>
      </c>
      <c r="I490">
        <v>90</v>
      </c>
      <c r="J490">
        <v>98.315788468372943</v>
      </c>
      <c r="K490" t="str">
        <f t="shared" si="11"/>
        <v>OK</v>
      </c>
    </row>
    <row r="491" spans="1:11">
      <c r="A491" s="1">
        <v>56675</v>
      </c>
      <c r="B491" t="s">
        <v>12</v>
      </c>
      <c r="C491">
        <v>111</v>
      </c>
      <c r="D491">
        <v>34639.200640406183</v>
      </c>
      <c r="E491">
        <v>3.2286631001329891</v>
      </c>
      <c r="F491">
        <v>2.7714953108256482</v>
      </c>
      <c r="G491">
        <v>7.7183305999556939</v>
      </c>
      <c r="H491">
        <v>97059.491531382999</v>
      </c>
      <c r="I491">
        <v>82</v>
      </c>
      <c r="J491">
        <v>60.149562481960295</v>
      </c>
      <c r="K491" t="str">
        <f t="shared" si="11"/>
        <v>OK</v>
      </c>
    </row>
    <row r="492" spans="1:11">
      <c r="A492" s="1">
        <v>56705</v>
      </c>
      <c r="B492" t="s">
        <v>14</v>
      </c>
      <c r="C492">
        <v>104</v>
      </c>
      <c r="D492">
        <v>38106.295579999998</v>
      </c>
      <c r="E492">
        <v>3.1061081240458805</v>
      </c>
      <c r="F492">
        <v>3.0514762752395233</v>
      </c>
      <c r="G492">
        <v>5.2893232654009417</v>
      </c>
      <c r="H492">
        <v>1168146.8964259098</v>
      </c>
      <c r="I492">
        <v>850</v>
      </c>
      <c r="J492">
        <v>56.396550378218969</v>
      </c>
      <c r="K492" t="str">
        <f t="shared" si="11"/>
        <v>OK</v>
      </c>
    </row>
    <row r="493" spans="1:11">
      <c r="A493" s="1">
        <v>56735</v>
      </c>
      <c r="B493" t="s">
        <v>13</v>
      </c>
      <c r="C493">
        <v>128.02105259999999</v>
      </c>
      <c r="D493">
        <v>31342.961394316284</v>
      </c>
      <c r="E493">
        <v>3.1895762008744422</v>
      </c>
      <c r="F493">
        <v>2.8405892164004967</v>
      </c>
      <c r="G493">
        <v>6.3023857657094879</v>
      </c>
      <c r="H493">
        <v>104156.05014706627</v>
      </c>
      <c r="I493">
        <v>90</v>
      </c>
      <c r="J493">
        <v>802.78048435718449</v>
      </c>
      <c r="K493" t="str">
        <f t="shared" si="11"/>
        <v>OK</v>
      </c>
    </row>
    <row r="494" spans="1:11">
      <c r="A494" s="1">
        <v>56765</v>
      </c>
      <c r="B494" t="s">
        <v>13</v>
      </c>
      <c r="C494">
        <v>109</v>
      </c>
      <c r="D494">
        <v>37642.342132062658</v>
      </c>
      <c r="E494">
        <v>3.4159280907076051</v>
      </c>
      <c r="F494">
        <v>2.890695920928144</v>
      </c>
      <c r="G494">
        <v>5.6176810474467338</v>
      </c>
      <c r="H494">
        <v>74147.493056954743</v>
      </c>
      <c r="I494">
        <v>83</v>
      </c>
      <c r="J494">
        <v>30.597652507354127</v>
      </c>
      <c r="K494" t="str">
        <f t="shared" si="11"/>
        <v>OK</v>
      </c>
    </row>
    <row r="495" spans="1:11">
      <c r="A495" s="1">
        <v>56795</v>
      </c>
      <c r="B495" t="s">
        <v>11</v>
      </c>
      <c r="C495">
        <v>108</v>
      </c>
      <c r="D495">
        <v>32539.178781448118</v>
      </c>
      <c r="E495">
        <v>3.2639547111514364</v>
      </c>
      <c r="F495">
        <v>1.173527871688917</v>
      </c>
      <c r="G495">
        <v>7.0550461382356175</v>
      </c>
      <c r="H495">
        <v>89356.628737456209</v>
      </c>
      <c r="I495">
        <f>111.9136842</f>
        <v>111.91368420000001</v>
      </c>
      <c r="J495">
        <v>63.753241103449938</v>
      </c>
      <c r="K495" t="str">
        <f t="shared" si="11"/>
        <v>OK</v>
      </c>
    </row>
    <row r="496" spans="1:11">
      <c r="A496" s="1">
        <v>56825</v>
      </c>
      <c r="B496" t="s">
        <v>14</v>
      </c>
      <c r="C496">
        <v>127</v>
      </c>
      <c r="D496">
        <v>32691.480395248163</v>
      </c>
      <c r="E496">
        <v>2.510350094812106</v>
      </c>
      <c r="F496">
        <v>3.5473177066214481</v>
      </c>
      <c r="G496">
        <v>4.6374011348695232</v>
      </c>
      <c r="H496">
        <v>87852.91133575578</v>
      </c>
      <c r="I496">
        <v>102</v>
      </c>
      <c r="J496">
        <v>63.699808010468075</v>
      </c>
      <c r="K496" t="str">
        <f t="shared" si="11"/>
        <v>OK</v>
      </c>
    </row>
    <row r="497" spans="1:11">
      <c r="A497" s="1">
        <v>56855</v>
      </c>
      <c r="B497" t="s">
        <v>14</v>
      </c>
      <c r="C497">
        <v>104</v>
      </c>
      <c r="D497">
        <v>35362.536686549014</v>
      </c>
      <c r="E497">
        <v>3.8739551280587667</v>
      </c>
      <c r="F497">
        <v>3.6695899924277735</v>
      </c>
      <c r="G497">
        <v>6.3940063754527374</v>
      </c>
      <c r="H497">
        <v>98455.579095539084</v>
      </c>
      <c r="I497">
        <v>76</v>
      </c>
      <c r="J497">
        <v>27.157849824830976</v>
      </c>
      <c r="K497" t="str">
        <f t="shared" si="11"/>
        <v>OK</v>
      </c>
    </row>
    <row r="498" spans="1:11">
      <c r="A498" s="1">
        <v>56885</v>
      </c>
      <c r="B498" t="s">
        <v>14</v>
      </c>
      <c r="C498">
        <v>106</v>
      </c>
      <c r="D498">
        <v>28175.236352285574</v>
      </c>
      <c r="E498">
        <v>2.9636284871300966</v>
      </c>
      <c r="F498">
        <v>2.2706092559319724</v>
      </c>
      <c r="G498">
        <v>5.2663632446599822</v>
      </c>
      <c r="H498">
        <v>108516.87317259658</v>
      </c>
      <c r="I498">
        <v>99</v>
      </c>
      <c r="J498">
        <v>53.438726840553088</v>
      </c>
      <c r="K498" t="str">
        <f t="shared" si="11"/>
        <v>OK</v>
      </c>
    </row>
    <row r="499" spans="1:11">
      <c r="A499" s="1">
        <v>56915</v>
      </c>
      <c r="B499" t="s">
        <v>12</v>
      </c>
      <c r="C499">
        <v>94</v>
      </c>
      <c r="D499">
        <v>25803.951663304968</v>
      </c>
      <c r="E499">
        <v>3.6196234320555747</v>
      </c>
      <c r="F499">
        <v>2.4565230501861377</v>
      </c>
      <c r="G499">
        <v>5.4229741874698023</v>
      </c>
      <c r="H499">
        <v>108364.11511775944</v>
      </c>
      <c r="I499">
        <v>77</v>
      </c>
      <c r="J499">
        <v>88.262783885376152</v>
      </c>
      <c r="K499" t="str">
        <f t="shared" si="11"/>
        <v>OK</v>
      </c>
    </row>
    <row r="500" spans="1:11">
      <c r="A500" s="1">
        <v>56945</v>
      </c>
      <c r="B500" t="s">
        <v>13</v>
      </c>
      <c r="C500">
        <v>81</v>
      </c>
      <c r="D500">
        <v>24775.954029894834</v>
      </c>
      <c r="E500">
        <v>4.5370413348749867</v>
      </c>
      <c r="F500">
        <v>0.96889249744427786</v>
      </c>
      <c r="G500">
        <v>5.6101029813380476</v>
      </c>
      <c r="H500">
        <v>64479.764919031957</v>
      </c>
      <c r="I500">
        <v>101</v>
      </c>
      <c r="J500">
        <v>88.492289759572827</v>
      </c>
      <c r="K500" t="str">
        <f t="shared" si="11"/>
        <v>OK</v>
      </c>
    </row>
    <row r="501" spans="1:11">
      <c r="A501" s="1">
        <v>56975</v>
      </c>
      <c r="B501" t="s">
        <v>14</v>
      </c>
      <c r="C501">
        <v>95</v>
      </c>
      <c r="D501">
        <v>20168.217053119992</v>
      </c>
      <c r="E501">
        <v>3.0403077042067883</v>
      </c>
      <c r="F501">
        <v>3.0142547560178348</v>
      </c>
      <c r="G501">
        <v>5.8026884757120127</v>
      </c>
      <c r="H501">
        <v>121278.81975121712</v>
      </c>
      <c r="I501">
        <v>94</v>
      </c>
      <c r="J501">
        <v>27.939013193574482</v>
      </c>
      <c r="K501" t="str">
        <f t="shared" si="11"/>
        <v>OK</v>
      </c>
    </row>
  </sheetData>
  <conditionalFormatting sqref="A1:J501">
    <cfRule type="containsBlanks" dxfId="209" priority="1">
      <formula>LEN(TRIM(A1))=0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5B012-82D6-4C90-8294-9555915A921A}">
  <sheetPr codeName="Sheet4"/>
  <dimension ref="A1:N510"/>
  <sheetViews>
    <sheetView zoomScaleNormal="100" workbookViewId="0">
      <selection activeCell="D6" sqref="D6"/>
    </sheetView>
  </sheetViews>
  <sheetFormatPr defaultRowHeight="14.4"/>
  <cols>
    <col min="1" max="1" width="10.33203125" bestFit="1" customWidth="1"/>
    <col min="2" max="2" width="14.44140625" bestFit="1" customWidth="1"/>
    <col min="3" max="3" width="12.21875" bestFit="1" customWidth="1"/>
    <col min="4" max="4" width="18.109375" bestFit="1" customWidth="1"/>
    <col min="5" max="5" width="15.33203125" bestFit="1" customWidth="1"/>
    <col min="6" max="6" width="12" bestFit="1" customWidth="1"/>
    <col min="7" max="7" width="18.88671875" bestFit="1" customWidth="1"/>
    <col min="8" max="8" width="21.44140625" bestFit="1" customWidth="1"/>
    <col min="9" max="9" width="18.33203125" bestFit="1" customWidth="1"/>
    <col min="10" max="10" width="18.109375" bestFit="1" customWidth="1"/>
    <col min="11" max="11" width="22" bestFit="1" customWidth="1"/>
    <col min="12" max="12" width="13.88671875" bestFit="1" customWidth="1"/>
    <col min="14" max="14" width="20.44140625" bestFit="1" customWidth="1"/>
  </cols>
  <sheetData>
    <row r="1" spans="1:13">
      <c r="E1" s="11" t="s">
        <v>34</v>
      </c>
      <c r="F1" s="11" t="s">
        <v>35</v>
      </c>
      <c r="G1" s="11" t="s">
        <v>4</v>
      </c>
      <c r="H1" s="11" t="s">
        <v>5</v>
      </c>
      <c r="I1" s="11" t="s">
        <v>6</v>
      </c>
      <c r="J1" s="11" t="s">
        <v>7</v>
      </c>
      <c r="K1" s="11" t="s">
        <v>8</v>
      </c>
      <c r="L1" s="11" t="s">
        <v>9</v>
      </c>
      <c r="M1" s="12"/>
    </row>
    <row r="2" spans="1:13">
      <c r="B2" s="13" t="s">
        <v>24</v>
      </c>
      <c r="C2" s="13"/>
      <c r="E2" s="12"/>
      <c r="F2" s="12"/>
      <c r="G2" s="12"/>
      <c r="H2" s="12"/>
      <c r="I2" s="12"/>
      <c r="J2" s="12"/>
      <c r="K2" s="12"/>
      <c r="L2" s="12"/>
      <c r="M2" s="12"/>
    </row>
    <row r="3" spans="1:13">
      <c r="B3" s="13"/>
      <c r="C3" s="13"/>
      <c r="E3" s="11" t="s">
        <v>28</v>
      </c>
      <c r="F3" s="12">
        <f>MEDIAN(automotive_demand_forecasting_dataset5[Average_Price])</f>
        <v>30949.702723701565</v>
      </c>
      <c r="G3" s="12">
        <f>MEDIAN(automotive_demand_forecasting_dataset5[Fuel_Price])</f>
        <v>3.5380713804650901</v>
      </c>
      <c r="H3" s="12">
        <f>MEDIAN(automotive_demand_forecasting_dataset5[GDP_Growth_Rate])</f>
        <v>2.6520564321412312</v>
      </c>
      <c r="I3" s="12">
        <f>MEDIAN(automotive_demand_forecasting_dataset5[Unemployment_Rate])</f>
        <v>5.6160470433881517</v>
      </c>
      <c r="J3" s="12">
        <f>MEDIAN(automotive_demand_forecasting_dataset5[Marketing_Spend])</f>
        <v>102916.77356303437</v>
      </c>
      <c r="K3" s="12">
        <f>MEDIAN(automotive_demand_forecasting_dataset5[Competitor_Sales])</f>
        <v>90</v>
      </c>
      <c r="L3" s="12">
        <f>MEDIAN(automotive_demand_forecasting_dataset5[Online_Interest_Index])</f>
        <v>65.454227672506818</v>
      </c>
      <c r="M3" s="12"/>
    </row>
    <row r="4" spans="1:13">
      <c r="B4" s="13" t="s">
        <v>25</v>
      </c>
      <c r="C4" s="13">
        <f>AVERAGE(automotive_demand_forecasting_dataset5[Units_Sold])</f>
        <v>102.60705263000003</v>
      </c>
      <c r="E4" s="11" t="s">
        <v>29</v>
      </c>
      <c r="F4" s="12">
        <f>_xlfn.QUARTILE.EXC(automotive_demand_forecasting_dataset5[Average_Price], 1)</f>
        <v>27134.651248001832</v>
      </c>
      <c r="G4" s="12">
        <f>_xlfn.QUARTILE.EXC(automotive_demand_forecasting_dataset5[Fuel_Price], 1)</f>
        <v>3.2241549807492658</v>
      </c>
      <c r="H4" s="12">
        <f>_xlfn.QUARTILE.EXC(automotive_demand_forecasting_dataset5[GDP_Growth_Rate],1)</f>
        <v>1.9029520304703957</v>
      </c>
      <c r="I4" s="12">
        <f>_xlfn.QUARTILE.EXC(automotive_demand_forecasting_dataset5[Unemployment_Rate], 1)</f>
        <v>4.8177181633338346</v>
      </c>
      <c r="J4" s="12"/>
      <c r="K4" s="12"/>
      <c r="L4" s="12"/>
      <c r="M4" s="12"/>
    </row>
    <row r="5" spans="1:13">
      <c r="B5" s="13" t="s">
        <v>26</v>
      </c>
      <c r="C5" s="13">
        <f>_xlfn.STDEV.S(automotive_demand_forecasting_dataset5[Units_Sold])</f>
        <v>43.202281424312979</v>
      </c>
      <c r="E5" s="11" t="s">
        <v>31</v>
      </c>
      <c r="F5" s="12">
        <f>_xlfn.QUARTILE.EXC(automotive_demand_forecasting_dataset5[Average_Price], 3)</f>
        <v>34981.060180184038</v>
      </c>
      <c r="G5" s="12">
        <f>_xlfn.QUARTILE.EXC(automotive_demand_forecasting_dataset5[Fuel_Price], 3)</f>
        <v>3.976116404197799</v>
      </c>
      <c r="H5" s="12">
        <f>_xlfn.QUARTILE.EXC(automotive_demand_forecasting_dataset5[GDP_Growth_Rate], 3)</f>
        <v>3.224108373</v>
      </c>
      <c r="I5" s="12">
        <f>_xlfn.QUARTILE.EXC(automotive_demand_forecasting_dataset5[Unemployment_Rate], 3)</f>
        <v>6.5231076435585864</v>
      </c>
      <c r="J5" s="12"/>
      <c r="K5" s="12"/>
      <c r="L5" s="12"/>
      <c r="M5" s="12"/>
    </row>
    <row r="6" spans="1:13">
      <c r="B6" s="13" t="s">
        <v>28</v>
      </c>
      <c r="C6" s="13">
        <f>MEDIAN(automotive_demand_forecasting_dataset5[Units_Sold])</f>
        <v>100</v>
      </c>
      <c r="E6" s="11" t="s">
        <v>30</v>
      </c>
      <c r="F6" s="12">
        <f>F5 -F4</f>
        <v>7846.4089321822066</v>
      </c>
      <c r="G6" s="12">
        <f>G5 - G4</f>
        <v>0.75196142344853323</v>
      </c>
      <c r="H6" s="12">
        <f>H5-H4</f>
        <v>1.3211563425296042</v>
      </c>
      <c r="I6" s="12">
        <f>I5-I4</f>
        <v>1.7053894802247518</v>
      </c>
      <c r="J6" s="12"/>
      <c r="K6" s="12"/>
      <c r="L6" s="12"/>
      <c r="M6" s="12"/>
    </row>
    <row r="7" spans="1:13">
      <c r="B7" s="13" t="s">
        <v>36</v>
      </c>
      <c r="C7" s="13"/>
      <c r="E7" s="11" t="s">
        <v>33</v>
      </c>
      <c r="F7" s="12">
        <f>F4 - 1.5 * F6</f>
        <v>15365.037849728522</v>
      </c>
      <c r="G7" s="12">
        <f>G4 - 1.5 * G6</f>
        <v>2.0962128455764661</v>
      </c>
      <c r="H7" s="12">
        <f>H4 - 1.5 * H6</f>
        <v>-7.8782483324010721E-2</v>
      </c>
      <c r="I7" s="12">
        <f>I4 - 1.5 * I6</f>
        <v>2.2596339429967069</v>
      </c>
      <c r="J7" s="12"/>
      <c r="K7" s="12"/>
      <c r="L7" s="12"/>
      <c r="M7" s="12"/>
    </row>
    <row r="8" spans="1:13">
      <c r="E8" s="11" t="s">
        <v>32</v>
      </c>
      <c r="F8" s="12">
        <f>F5 + 1.5 * F6</f>
        <v>46750.673578457347</v>
      </c>
      <c r="G8" s="12">
        <f>G5 + 1.5 * G6</f>
        <v>5.1040585393705991</v>
      </c>
      <c r="H8" s="12">
        <f>H5 + 1.5 * H6</f>
        <v>5.2058428867944064</v>
      </c>
      <c r="I8" s="12">
        <f>I5 + 1.5 * I6</f>
        <v>9.0811918638957145</v>
      </c>
      <c r="J8" s="12"/>
      <c r="K8" s="12"/>
      <c r="L8" s="12"/>
      <c r="M8" s="12"/>
    </row>
    <row r="10" spans="1:13">
      <c r="A10" t="s">
        <v>0</v>
      </c>
      <c r="B10" t="s">
        <v>1</v>
      </c>
      <c r="C10" t="s">
        <v>2</v>
      </c>
      <c r="D10" t="s">
        <v>27</v>
      </c>
      <c r="E10" t="s">
        <v>3</v>
      </c>
      <c r="F10" t="s">
        <v>4</v>
      </c>
      <c r="G10" t="s">
        <v>5</v>
      </c>
      <c r="H10" t="s">
        <v>6</v>
      </c>
      <c r="I10" t="s">
        <v>7</v>
      </c>
      <c r="J10" t="s">
        <v>8</v>
      </c>
      <c r="K10" t="s">
        <v>9</v>
      </c>
      <c r="L10" t="s">
        <v>15</v>
      </c>
    </row>
    <row r="11" spans="1:13">
      <c r="A11" s="1">
        <v>42005</v>
      </c>
      <c r="B11" t="s">
        <v>10</v>
      </c>
      <c r="C11">
        <v>96</v>
      </c>
      <c r="D11">
        <f>(automotive_demand_forecasting_dataset5[[#This Row],[Units_Sold]] -$C$4) / $C$5</f>
        <v>-0.15293295659802289</v>
      </c>
      <c r="E11">
        <v>27205.390763642059</v>
      </c>
      <c r="F11">
        <v>4.5281035649701611</v>
      </c>
      <c r="G11">
        <v>-3.0287522746329731E-2</v>
      </c>
      <c r="H11">
        <v>6.1864689300569733</v>
      </c>
      <c r="I11">
        <v>97675.419137560835</v>
      </c>
      <c r="J11">
        <v>99</v>
      </c>
      <c r="K11">
        <v>62.296585590724206</v>
      </c>
      <c r="L11" t="str">
        <f t="shared" ref="L11:L74" si="0">IF(COUNTA(A11:K11)&lt;COLUMNS(A11:K11), "Missing Data", "OK")</f>
        <v>OK</v>
      </c>
    </row>
    <row r="12" spans="1:13">
      <c r="A12" s="1">
        <v>42035</v>
      </c>
      <c r="B12" t="s">
        <v>10</v>
      </c>
      <c r="C12">
        <v>107</v>
      </c>
      <c r="D12">
        <f>(automotive_demand_forecasting_dataset5[[#This Row],[Units_Sold]] -$C$4) / $C$5</f>
        <v>0.10168322656052491</v>
      </c>
      <c r="E12">
        <v>31886.059375322606</v>
      </c>
      <c r="F12">
        <v>2.9483958171391587</v>
      </c>
      <c r="G12">
        <v>2.2139957781198891</v>
      </c>
      <c r="H12">
        <v>5.4253707796008266</v>
      </c>
      <c r="I12">
        <v>104294.26366341053</v>
      </c>
      <c r="J12">
        <v>100</v>
      </c>
      <c r="K12">
        <v>22.750148668138017</v>
      </c>
      <c r="L12" t="str">
        <f t="shared" si="0"/>
        <v>OK</v>
      </c>
    </row>
    <row r="13" spans="1:13">
      <c r="A13" s="1">
        <v>42065</v>
      </c>
      <c r="B13" t="s">
        <v>11</v>
      </c>
      <c r="C13">
        <v>88</v>
      </c>
      <c r="D13">
        <f>(automotive_demand_forecasting_dataset5[[#This Row],[Units_Sold]] -$C$4) / $C$5</f>
        <v>-0.33810836253151216</v>
      </c>
      <c r="E13">
        <v>38106.295579999998</v>
      </c>
      <c r="F13">
        <v>3.3893731882071139</v>
      </c>
      <c r="G13">
        <v>3.6009596349985711</v>
      </c>
      <c r="H13">
        <v>6.8492240318446029</v>
      </c>
      <c r="I13">
        <v>131562.36115124368</v>
      </c>
      <c r="J13">
        <v>98</v>
      </c>
      <c r="K13">
        <v>71.117041757862765</v>
      </c>
      <c r="L13" t="str">
        <f t="shared" si="0"/>
        <v>OK</v>
      </c>
    </row>
    <row r="14" spans="1:13">
      <c r="A14" s="1">
        <v>42095</v>
      </c>
      <c r="B14" t="s">
        <v>12</v>
      </c>
      <c r="C14">
        <v>103</v>
      </c>
      <c r="D14">
        <f>(automotive_demand_forecasting_dataset5[[#This Row],[Units_Sold]] -$C$4) / $C$5</f>
        <v>9.0955235937802571E-3</v>
      </c>
      <c r="E14">
        <v>29671.248694635062</v>
      </c>
      <c r="F14">
        <v>3.3615933500555397</v>
      </c>
      <c r="G14">
        <v>44.583474542205934</v>
      </c>
      <c r="H14">
        <v>5.0991073228240715</v>
      </c>
      <c r="I14">
        <v>119708.99371230436</v>
      </c>
      <c r="J14">
        <v>88</v>
      </c>
      <c r="K14">
        <v>26.515777031292735</v>
      </c>
      <c r="L14" t="str">
        <f t="shared" si="0"/>
        <v>OK</v>
      </c>
    </row>
    <row r="15" spans="1:13">
      <c r="A15" s="1">
        <v>42125</v>
      </c>
      <c r="B15" t="s">
        <v>12</v>
      </c>
      <c r="C15">
        <v>111</v>
      </c>
      <c r="D15">
        <f>(automotive_demand_forecasting_dataset5[[#This Row],[Units_Sold]] -$C$4) / $C$5</f>
        <v>0.19427092952726954</v>
      </c>
      <c r="E15">
        <v>27224.002366534009</v>
      </c>
      <c r="F15">
        <v>3.6537033489045503</v>
      </c>
      <c r="G15">
        <v>1.2704504055475832</v>
      </c>
      <c r="H15">
        <v>6.1775271110723207</v>
      </c>
      <c r="I15">
        <v>117383.09184993793</v>
      </c>
      <c r="J15">
        <v>91</v>
      </c>
      <c r="K15">
        <v>54.801167547217872</v>
      </c>
      <c r="L15" t="str">
        <f t="shared" si="0"/>
        <v>OK</v>
      </c>
    </row>
    <row r="16" spans="1:13">
      <c r="A16" s="1">
        <v>42155</v>
      </c>
      <c r="B16" t="s">
        <v>12</v>
      </c>
      <c r="C16">
        <v>90</v>
      </c>
      <c r="D16">
        <f>(automotive_demand_forecasting_dataset5[[#This Row],[Units_Sold]] -$C$4) / $C$5</f>
        <v>-0.29181451104813982</v>
      </c>
      <c r="E16">
        <v>39405.785347202953</v>
      </c>
      <c r="F16">
        <v>3.9078686062696484</v>
      </c>
      <c r="G16">
        <v>2.9966992232365217</v>
      </c>
      <c r="H16">
        <v>4.2764027935694617</v>
      </c>
      <c r="I16">
        <v>90889.209479522586</v>
      </c>
      <c r="J16">
        <v>82</v>
      </c>
      <c r="K16">
        <v>43.412407813392626</v>
      </c>
      <c r="L16" t="str">
        <f t="shared" si="0"/>
        <v>OK</v>
      </c>
    </row>
    <row r="17" spans="1:14">
      <c r="A17" s="1">
        <v>42185</v>
      </c>
      <c r="B17" t="s">
        <v>10</v>
      </c>
      <c r="C17">
        <v>94</v>
      </c>
      <c r="D17">
        <f>(automotive_demand_forecasting_dataset5[[#This Row],[Units_Sold]] -$C$4) / $C$5</f>
        <v>-0.1992268080813952</v>
      </c>
      <c r="E17">
        <v>22759.93049791878</v>
      </c>
      <c r="F17">
        <v>3.9302367441798727</v>
      </c>
      <c r="G17">
        <v>2.0346895432199466</v>
      </c>
      <c r="H17">
        <v>5.471737418950914</v>
      </c>
      <c r="I17">
        <v>82215.183435433515</v>
      </c>
      <c r="J17">
        <v>92</v>
      </c>
      <c r="K17">
        <v>636.34236016937041</v>
      </c>
      <c r="L17" t="str">
        <f t="shared" si="0"/>
        <v>OK</v>
      </c>
    </row>
    <row r="18" spans="1:14">
      <c r="A18" s="1">
        <v>42215</v>
      </c>
      <c r="B18" t="s">
        <v>13</v>
      </c>
      <c r="C18">
        <v>98</v>
      </c>
      <c r="D18">
        <f>(automotive_demand_forecasting_dataset5[[#This Row],[Units_Sold]] -$C$4) / $C$5</f>
        <v>-0.10663910511465055</v>
      </c>
      <c r="E18">
        <v>19005.97021689959</v>
      </c>
      <c r="F18">
        <v>3.2084612807155306</v>
      </c>
      <c r="G18">
        <v>2.3940516456958645</v>
      </c>
      <c r="H18">
        <v>5.2907748905165972</v>
      </c>
      <c r="I18">
        <v>119106.01116475507</v>
      </c>
      <c r="J18">
        <v>71</v>
      </c>
      <c r="K18">
        <v>30.673306841856565</v>
      </c>
      <c r="L18" t="str">
        <f t="shared" si="0"/>
        <v>OK</v>
      </c>
    </row>
    <row r="19" spans="1:14">
      <c r="A19" s="1">
        <v>42245</v>
      </c>
      <c r="B19" t="s">
        <v>10</v>
      </c>
      <c r="C19">
        <v>103</v>
      </c>
      <c r="D19">
        <f>(automotive_demand_forecasting_dataset5[[#This Row],[Units_Sold]] -$C$4) / $C$5</f>
        <v>9.0955235937802571E-3</v>
      </c>
      <c r="E19">
        <v>32200.072250266661</v>
      </c>
      <c r="F19">
        <v>3.4164391431067944</v>
      </c>
      <c r="G19">
        <v>5.1443433470170348</v>
      </c>
      <c r="H19">
        <v>5.7703695064491303</v>
      </c>
      <c r="I19">
        <v>117520.93585059588</v>
      </c>
      <c r="J19">
        <v>98</v>
      </c>
      <c r="K19">
        <v>75.331472157865448</v>
      </c>
      <c r="L19" t="str">
        <f t="shared" si="0"/>
        <v>OK</v>
      </c>
    </row>
    <row r="20" spans="1:14">
      <c r="A20" s="1">
        <v>42275</v>
      </c>
      <c r="B20" t="s">
        <v>13</v>
      </c>
      <c r="C20">
        <v>94</v>
      </c>
      <c r="D20">
        <f>(automotive_demand_forecasting_dataset5[[#This Row],[Units_Sold]] -$C$4) / $C$5</f>
        <v>-0.1992268080813952</v>
      </c>
      <c r="E20">
        <v>27489.728878236943</v>
      </c>
      <c r="F20">
        <v>3.6412899752441499</v>
      </c>
      <c r="G20">
        <v>0.99702967160484679</v>
      </c>
      <c r="H20">
        <v>5.0565676853999699</v>
      </c>
      <c r="I20">
        <f>128897.2893</f>
        <v>128897.2893</v>
      </c>
      <c r="J20">
        <v>82</v>
      </c>
      <c r="K20">
        <v>83.600922954277621</v>
      </c>
      <c r="L20" t="str">
        <f t="shared" si="0"/>
        <v>OK</v>
      </c>
    </row>
    <row r="21" spans="1:14">
      <c r="A21" s="1">
        <v>42305</v>
      </c>
      <c r="B21" t="s">
        <v>14</v>
      </c>
      <c r="C21">
        <v>99</v>
      </c>
      <c r="D21">
        <f>(automotive_demand_forecasting_dataset5[[#This Row],[Units_Sold]] -$C$4) / $C$5</f>
        <v>-8.3492179372964395E-2</v>
      </c>
      <c r="E21">
        <v>24893.835914346433</v>
      </c>
      <c r="F21">
        <v>3.3756544369082264</v>
      </c>
      <c r="G21">
        <v>27.537396614945735</v>
      </c>
      <c r="H21">
        <v>5.3422328851939991</v>
      </c>
      <c r="I21">
        <v>87920.387480615405</v>
      </c>
      <c r="J21">
        <f>111.9136842</f>
        <v>111.91368420000001</v>
      </c>
      <c r="K21">
        <v>33.068355979452519</v>
      </c>
      <c r="L21" t="str">
        <f t="shared" si="0"/>
        <v>OK</v>
      </c>
    </row>
    <row r="22" spans="1:14">
      <c r="A22" s="1">
        <v>42335</v>
      </c>
      <c r="B22" t="s">
        <v>10</v>
      </c>
      <c r="C22">
        <v>90</v>
      </c>
      <c r="D22">
        <f>(automotive_demand_forecasting_dataset5[[#This Row],[Units_Sold]] -$C$4) / $C$5</f>
        <v>-0.29181451104813982</v>
      </c>
      <c r="E22">
        <v>33541.782236496765</v>
      </c>
      <c r="F22">
        <v>4.3036727880099965</v>
      </c>
      <c r="G22">
        <v>2.9676931717654331</v>
      </c>
      <c r="H22">
        <v>6.4912566057298076</v>
      </c>
      <c r="I22">
        <v>95409.026892793059</v>
      </c>
      <c r="J22">
        <v>79</v>
      </c>
      <c r="K22">
        <v>28.345046988150571</v>
      </c>
      <c r="L22" t="str">
        <f t="shared" si="0"/>
        <v>OK</v>
      </c>
    </row>
    <row r="23" spans="1:14">
      <c r="A23" s="1">
        <v>42365</v>
      </c>
      <c r="B23" t="s">
        <v>10</v>
      </c>
      <c r="C23">
        <v>1030</v>
      </c>
      <c r="D23">
        <f>(automotive_demand_forecasting_dataset5[[#This Row],[Units_Sold]] -$C$4) / $C$5</f>
        <v>21.466295686136853</v>
      </c>
      <c r="E23">
        <v>31219.003568855995</v>
      </c>
      <c r="F23">
        <v>3.7454874758191257</v>
      </c>
      <c r="G23">
        <v>3.5857863249393471</v>
      </c>
      <c r="H23">
        <v>4.9758829153141395</v>
      </c>
      <c r="I23">
        <v>67210.316749491321</v>
      </c>
      <c r="J23">
        <v>81</v>
      </c>
      <c r="K23">
        <v>31.64123862298873</v>
      </c>
      <c r="L23" t="str">
        <f t="shared" si="0"/>
        <v>OK</v>
      </c>
    </row>
    <row r="24" spans="1:14">
      <c r="A24" s="1">
        <v>42395</v>
      </c>
      <c r="B24" t="s">
        <v>10</v>
      </c>
      <c r="C24">
        <v>103</v>
      </c>
      <c r="D24">
        <f>(automotive_demand_forecasting_dataset5[[#This Row],[Units_Sold]] -$C$4) / $C$5</f>
        <v>9.0955235937802571E-3</v>
      </c>
      <c r="E24">
        <v>27179.606846316357</v>
      </c>
      <c r="F24">
        <v>3.8674388930249086</v>
      </c>
      <c r="G24">
        <v>2.5979831534708953</v>
      </c>
      <c r="H24">
        <v>35.721074791135848</v>
      </c>
      <c r="I24">
        <v>92150.57787878254</v>
      </c>
      <c r="J24">
        <v>690</v>
      </c>
      <c r="K24">
        <v>90.170204951880137</v>
      </c>
      <c r="L24" t="str">
        <f t="shared" si="0"/>
        <v>OK</v>
      </c>
    </row>
    <row r="25" spans="1:14">
      <c r="A25" s="1">
        <v>42425</v>
      </c>
      <c r="B25" t="s">
        <v>12</v>
      </c>
      <c r="C25">
        <v>94</v>
      </c>
      <c r="D25">
        <f>(automotive_demand_forecasting_dataset5[[#This Row],[Units_Sold]] -$C$4) / $C$5</f>
        <v>-0.1992268080813952</v>
      </c>
      <c r="E25">
        <v>23598.478006645528</v>
      </c>
      <c r="F25">
        <v>3.8314406343337062</v>
      </c>
      <c r="G25">
        <v>2.8080505395041024</v>
      </c>
      <c r="H25">
        <f>6.97388673</f>
        <v>6.9738867300000003</v>
      </c>
      <c r="I25">
        <v>119931.41021158894</v>
      </c>
      <c r="J25">
        <v>90</v>
      </c>
      <c r="K25">
        <v>62.255140940508497</v>
      </c>
      <c r="L25" t="str">
        <f t="shared" si="0"/>
        <v>OK</v>
      </c>
    </row>
    <row r="26" spans="1:14">
      <c r="A26" s="1">
        <v>42455</v>
      </c>
      <c r="B26" t="s">
        <v>12</v>
      </c>
      <c r="C26">
        <v>105</v>
      </c>
      <c r="D26">
        <f>(automotive_demand_forecasting_dataset5[[#This Row],[Units_Sold]] -$C$4) / $C$5</f>
        <v>5.5389375077152581E-2</v>
      </c>
      <c r="E26">
        <v>34362.286641400722</v>
      </c>
      <c r="F26">
        <v>4.0867369287426625</v>
      </c>
      <c r="G26">
        <v>2.1083514325782087</v>
      </c>
      <c r="H26">
        <v>7.1577448944285837</v>
      </c>
      <c r="I26">
        <v>906700.92415436043</v>
      </c>
      <c r="J26">
        <v>87</v>
      </c>
      <c r="K26">
        <v>57.380879680600209</v>
      </c>
      <c r="L26" t="str">
        <f t="shared" si="0"/>
        <v>OK</v>
      </c>
    </row>
    <row r="27" spans="1:14">
      <c r="A27" s="1">
        <v>42485</v>
      </c>
      <c r="B27" t="s">
        <v>13</v>
      </c>
      <c r="C27">
        <v>86</v>
      </c>
      <c r="D27">
        <f>(automotive_demand_forecasting_dataset5[[#This Row],[Units_Sold]] -$C$4) / $C$5</f>
        <v>-0.3844022140148845</v>
      </c>
      <c r="E27">
        <v>33251.005889793305</v>
      </c>
      <c r="F27">
        <v>3.5905107793518534</v>
      </c>
      <c r="G27">
        <v>2.7691269412451072</v>
      </c>
      <c r="H27">
        <v>3.9492847658732577</v>
      </c>
      <c r="I27">
        <v>112809.59590401647</v>
      </c>
      <c r="J27">
        <v>78</v>
      </c>
      <c r="K27">
        <v>28.53694552818834</v>
      </c>
      <c r="L27" t="str">
        <f t="shared" si="0"/>
        <v>OK</v>
      </c>
    </row>
    <row r="28" spans="1:14">
      <c r="A28" s="1">
        <v>42515</v>
      </c>
      <c r="B28" t="s">
        <v>13</v>
      </c>
      <c r="C28">
        <v>92</v>
      </c>
      <c r="D28">
        <f>(automotive_demand_forecasting_dataset5[[#This Row],[Units_Sold]] -$C$4) / $C$5</f>
        <v>-0.24552065956476751</v>
      </c>
      <c r="E28">
        <v>29504.120681103086</v>
      </c>
      <c r="F28">
        <v>2.8515840260220768</v>
      </c>
      <c r="G28">
        <v>2.1568077245025896</v>
      </c>
      <c r="H28">
        <v>6.3276493662942332</v>
      </c>
      <c r="I28">
        <v>96189.93788004377</v>
      </c>
      <c r="J28">
        <v>71</v>
      </c>
      <c r="K28">
        <v>71.964480540556934</v>
      </c>
      <c r="L28" t="str">
        <f t="shared" si="0"/>
        <v>OK</v>
      </c>
      <c r="N28" s="2"/>
    </row>
    <row r="29" spans="1:14">
      <c r="A29" s="1">
        <v>42545</v>
      </c>
      <c r="B29" t="s">
        <v>10</v>
      </c>
      <c r="C29">
        <v>94</v>
      </c>
      <c r="D29">
        <f>(automotive_demand_forecasting_dataset5[[#This Row],[Units_Sold]] -$C$4) / $C$5</f>
        <v>-0.1992268080813952</v>
      </c>
      <c r="E29">
        <v>39233.184980238329</v>
      </c>
      <c r="F29">
        <v>3.6998439758763206</v>
      </c>
      <c r="G29">
        <v>3.1215718898560509</v>
      </c>
      <c r="H29">
        <v>4.8964302753383881</v>
      </c>
      <c r="I29">
        <v>106481.14056443122</v>
      </c>
      <c r="J29">
        <v>92</v>
      </c>
      <c r="K29">
        <v>89.439967351607194</v>
      </c>
      <c r="L29" t="str">
        <f t="shared" si="0"/>
        <v>OK</v>
      </c>
    </row>
    <row r="30" spans="1:14">
      <c r="A30" s="1">
        <v>42575</v>
      </c>
      <c r="B30" t="s">
        <v>13</v>
      </c>
      <c r="C30">
        <v>101</v>
      </c>
      <c r="D30">
        <f>(automotive_demand_forecasting_dataset5[[#This Row],[Units_Sold]] -$C$4) / $C$5</f>
        <v>-3.7198327889592063E-2</v>
      </c>
      <c r="E30">
        <v>24649.576168369236</v>
      </c>
      <c r="F30">
        <v>3.1743215531040856</v>
      </c>
      <c r="G30">
        <v>2.130389663956366</v>
      </c>
      <c r="H30">
        <v>5.8161846583972716</v>
      </c>
      <c r="I30">
        <v>77046.172203686656</v>
      </c>
      <c r="J30">
        <v>103</v>
      </c>
      <c r="K30">
        <v>86.254869545876232</v>
      </c>
      <c r="L30" t="str">
        <f t="shared" si="0"/>
        <v>OK</v>
      </c>
    </row>
    <row r="31" spans="1:14">
      <c r="A31" s="1">
        <v>42605</v>
      </c>
      <c r="B31" t="s">
        <v>12</v>
      </c>
      <c r="C31">
        <v>103</v>
      </c>
      <c r="D31">
        <f>(automotive_demand_forecasting_dataset5[[#This Row],[Units_Sold]] -$C$4) / $C$5</f>
        <v>9.0955235937802571E-3</v>
      </c>
      <c r="E31">
        <v>22372.374145376307</v>
      </c>
      <c r="F31">
        <v>3.2356916591251217</v>
      </c>
      <c r="G31">
        <v>2.8771003939021864</v>
      </c>
      <c r="H31">
        <v>5.8530689548161927</v>
      </c>
      <c r="I31">
        <v>1017041.8899267802</v>
      </c>
      <c r="J31">
        <v>114</v>
      </c>
      <c r="K31">
        <v>70.0843767184641</v>
      </c>
      <c r="L31" t="str">
        <f t="shared" si="0"/>
        <v>OK</v>
      </c>
    </row>
    <row r="32" spans="1:14">
      <c r="A32" s="1">
        <v>42635</v>
      </c>
      <c r="B32" t="s">
        <v>13</v>
      </c>
      <c r="C32">
        <v>84</v>
      </c>
      <c r="D32">
        <f>(automotive_demand_forecasting_dataset5[[#This Row],[Units_Sold]] -$C$4) / $C$5</f>
        <v>-0.43069606549825684</v>
      </c>
      <c r="E32">
        <v>26540.459650593777</v>
      </c>
      <c r="F32">
        <v>3.7931820093775466</v>
      </c>
      <c r="G32">
        <v>2.4707371863150218</v>
      </c>
      <c r="H32">
        <v>5.2187106396204133</v>
      </c>
      <c r="I32">
        <v>40177.280581985535</v>
      </c>
      <c r="J32">
        <v>75</v>
      </c>
      <c r="K32">
        <f>80.21517797</f>
        <v>80.215177969999999</v>
      </c>
      <c r="L32" t="str">
        <f t="shared" si="0"/>
        <v>OK</v>
      </c>
    </row>
    <row r="33" spans="1:12">
      <c r="A33" s="1">
        <v>42665</v>
      </c>
      <c r="B33" t="s">
        <v>14</v>
      </c>
      <c r="C33">
        <v>76</v>
      </c>
      <c r="D33">
        <f>(automotive_demand_forecasting_dataset5[[#This Row],[Units_Sold]] -$C$4) / $C$5</f>
        <v>-0.61587147143174614</v>
      </c>
      <c r="E33">
        <v>29772.069918222511</v>
      </c>
      <c r="F33">
        <v>4.1191415357168175</v>
      </c>
      <c r="G33">
        <v>3.6260502507721681</v>
      </c>
      <c r="H33">
        <v>4.5594812012963244</v>
      </c>
      <c r="I33">
        <v>96262.076836760301</v>
      </c>
      <c r="J33">
        <v>80</v>
      </c>
      <c r="K33">
        <v>28.991762174081039</v>
      </c>
      <c r="L33" t="str">
        <f t="shared" si="0"/>
        <v>OK</v>
      </c>
    </row>
    <row r="34" spans="1:12">
      <c r="A34" s="1">
        <v>42695</v>
      </c>
      <c r="B34" t="s">
        <v>12</v>
      </c>
      <c r="C34">
        <v>100</v>
      </c>
      <c r="D34">
        <f>(automotive_demand_forecasting_dataset5[[#This Row],[Units_Sold]] -$C$4) / $C$5</f>
        <v>-6.0345253631278226E-2</v>
      </c>
      <c r="E34">
        <v>31216.697246613458</v>
      </c>
      <c r="F34">
        <v>3.510635788368031</v>
      </c>
      <c r="G34">
        <v>2.448606276411514</v>
      </c>
      <c r="H34">
        <v>4.6713507372204885</v>
      </c>
      <c r="I34">
        <v>67390.535125697206</v>
      </c>
      <c r="J34">
        <v>94</v>
      </c>
      <c r="K34">
        <v>23.944718968785974</v>
      </c>
      <c r="L34" t="str">
        <f t="shared" si="0"/>
        <v>OK</v>
      </c>
    </row>
    <row r="35" spans="1:12">
      <c r="A35" s="1">
        <v>42725</v>
      </c>
      <c r="B35" t="s">
        <v>14</v>
      </c>
      <c r="C35">
        <v>111</v>
      </c>
      <c r="D35">
        <f>(automotive_demand_forecasting_dataset5[[#This Row],[Units_Sold]] -$C$4) / $C$5</f>
        <v>0.19427092952726954</v>
      </c>
      <c r="E35">
        <v>28793.819710718351</v>
      </c>
      <c r="F35">
        <v>3.6544165062994818</v>
      </c>
      <c r="G35">
        <v>0.72696753179311857</v>
      </c>
      <c r="H35">
        <v>4.4005697014225094</v>
      </c>
      <c r="I35">
        <v>124119.89033093632</v>
      </c>
      <c r="J35">
        <v>110</v>
      </c>
      <c r="K35">
        <v>40.598337319397544</v>
      </c>
      <c r="L35" t="str">
        <f t="shared" si="0"/>
        <v>OK</v>
      </c>
    </row>
    <row r="36" spans="1:12">
      <c r="A36" s="1">
        <v>42755</v>
      </c>
      <c r="B36" t="s">
        <v>13</v>
      </c>
      <c r="C36">
        <v>93</v>
      </c>
      <c r="D36">
        <f>(automotive_demand_forecasting_dataset5[[#This Row],[Units_Sold]] -$C$4) / $C$5</f>
        <v>-0.22237373382308137</v>
      </c>
      <c r="E36">
        <v>38106.295579999998</v>
      </c>
      <c r="F36">
        <v>4.3511074723176186</v>
      </c>
      <c r="G36">
        <v>3.7619215007139917</v>
      </c>
      <c r="H36">
        <v>4.5018133501234665</v>
      </c>
      <c r="I36">
        <f t="shared" ref="I36:I37" si="1">128897.2893</f>
        <v>128897.2893</v>
      </c>
      <c r="J36">
        <v>84</v>
      </c>
      <c r="K36">
        <v>30.85291737283022</v>
      </c>
      <c r="L36" t="str">
        <f t="shared" si="0"/>
        <v>OK</v>
      </c>
    </row>
    <row r="37" spans="1:12">
      <c r="A37" s="1">
        <v>42785</v>
      </c>
      <c r="B37" t="s">
        <v>11</v>
      </c>
      <c r="C37">
        <v>87</v>
      </c>
      <c r="D37">
        <f>(automotive_demand_forecasting_dataset5[[#This Row],[Units_Sold]] -$C$4) / $C$5</f>
        <v>-0.36125528827319836</v>
      </c>
      <c r="E37">
        <v>23742.30287904778</v>
      </c>
      <c r="F37">
        <v>3.6203765897442843</v>
      </c>
      <c r="G37">
        <v>1.5942676991373812</v>
      </c>
      <c r="H37">
        <v>5.4193860519407737</v>
      </c>
      <c r="I37">
        <f t="shared" si="1"/>
        <v>128897.2893</v>
      </c>
      <c r="J37">
        <v>80</v>
      </c>
      <c r="K37">
        <v>40.803843220194707</v>
      </c>
      <c r="L37" t="str">
        <f t="shared" si="0"/>
        <v>OK</v>
      </c>
    </row>
    <row r="38" spans="1:12">
      <c r="A38" s="1">
        <v>42815</v>
      </c>
      <c r="B38" t="s">
        <v>10</v>
      </c>
      <c r="C38">
        <v>108</v>
      </c>
      <c r="D38">
        <f>(automotive_demand_forecasting_dataset5[[#This Row],[Units_Sold]] -$C$4) / $C$5</f>
        <v>0.12483015230221108</v>
      </c>
      <c r="E38">
        <v>37218.823020366297</v>
      </c>
      <c r="F38">
        <v>4.8008415570901972</v>
      </c>
      <c r="G38">
        <v>1.8462336613511803</v>
      </c>
      <c r="H38">
        <v>4.6410880130670975</v>
      </c>
      <c r="I38">
        <v>130420.1245431876</v>
      </c>
      <c r="J38">
        <v>77</v>
      </c>
      <c r="K38">
        <v>50.804644457516936</v>
      </c>
      <c r="L38" t="str">
        <f t="shared" si="0"/>
        <v>OK</v>
      </c>
    </row>
    <row r="39" spans="1:12">
      <c r="A39" s="1">
        <v>42845</v>
      </c>
      <c r="B39" t="s">
        <v>12</v>
      </c>
      <c r="C39">
        <v>106</v>
      </c>
      <c r="D39">
        <f>(automotive_demand_forecasting_dataset5[[#This Row],[Units_Sold]] -$C$4) / $C$5</f>
        <v>7.853630081883875E-2</v>
      </c>
      <c r="E39">
        <v>29589.244108037157</v>
      </c>
      <c r="F39">
        <v>3.7827548228157721</v>
      </c>
      <c r="G39">
        <v>1.904338705956508</v>
      </c>
      <c r="H39">
        <v>6.3184624788551442</v>
      </c>
      <c r="I39">
        <v>81021.669583503259</v>
      </c>
      <c r="J39">
        <v>82</v>
      </c>
      <c r="K39">
        <v>95.438622725690848</v>
      </c>
      <c r="L39" t="str">
        <f t="shared" si="0"/>
        <v>OK</v>
      </c>
    </row>
    <row r="40" spans="1:12">
      <c r="A40" s="1">
        <v>42875</v>
      </c>
      <c r="B40" t="s">
        <v>14</v>
      </c>
      <c r="C40">
        <v>108</v>
      </c>
      <c r="D40">
        <f>(automotive_demand_forecasting_dataset5[[#This Row],[Units_Sold]] -$C$4) / $C$5</f>
        <v>0.12483015230221108</v>
      </c>
      <c r="E40">
        <v>35586.479157940637</v>
      </c>
      <c r="F40">
        <v>2.619618620422091</v>
      </c>
      <c r="G40">
        <v>3.8744380931708173</v>
      </c>
      <c r="H40">
        <v>7.2846953864031132</v>
      </c>
      <c r="I40">
        <v>134947.26395831117</v>
      </c>
      <c r="J40">
        <v>111</v>
      </c>
      <c r="K40">
        <v>68.830084782535366</v>
      </c>
      <c r="L40" t="str">
        <f t="shared" si="0"/>
        <v>OK</v>
      </c>
    </row>
    <row r="41" spans="1:12">
      <c r="A41" s="1">
        <v>42905</v>
      </c>
      <c r="B41" t="s">
        <v>11</v>
      </c>
      <c r="C41">
        <v>96</v>
      </c>
      <c r="D41">
        <f>(automotive_demand_forecasting_dataset5[[#This Row],[Units_Sold]] -$C$4) / $C$5</f>
        <v>-0.15293295659802289</v>
      </c>
      <c r="E41">
        <v>31713.626731888522</v>
      </c>
      <c r="F41">
        <v>3.876670810552266</v>
      </c>
      <c r="G41">
        <v>0.3643257860213045</v>
      </c>
      <c r="H41">
        <v>4.8039361103559486</v>
      </c>
      <c r="I41">
        <v>118643.83128520769</v>
      </c>
      <c r="J41">
        <v>87</v>
      </c>
      <c r="K41">
        <v>86.797902854636988</v>
      </c>
      <c r="L41" t="str">
        <f t="shared" si="0"/>
        <v>OK</v>
      </c>
    </row>
    <row r="42" spans="1:12">
      <c r="A42" s="1">
        <v>42935</v>
      </c>
      <c r="B42" t="s">
        <v>11</v>
      </c>
      <c r="C42">
        <v>113</v>
      </c>
      <c r="D42">
        <f>(automotive_demand_forecasting_dataset5[[#This Row],[Units_Sold]] -$C$4) / $C$5</f>
        <v>0.24056478101064188</v>
      </c>
      <c r="E42">
        <v>32283.766095768919</v>
      </c>
      <c r="F42">
        <v>3.6905791924413887</v>
      </c>
      <c r="G42">
        <v>3.224108373</v>
      </c>
      <c r="H42">
        <v>5.7872854006424523</v>
      </c>
      <c r="I42">
        <v>95268.894255621082</v>
      </c>
      <c r="J42">
        <v>73</v>
      </c>
      <c r="K42">
        <v>76.828120056986577</v>
      </c>
      <c r="L42" t="str">
        <f t="shared" si="0"/>
        <v>OK</v>
      </c>
    </row>
    <row r="43" spans="1:12">
      <c r="A43" s="1">
        <v>42965</v>
      </c>
      <c r="B43" t="s">
        <v>12</v>
      </c>
      <c r="C43">
        <v>95</v>
      </c>
      <c r="D43">
        <f>(automotive_demand_forecasting_dataset5[[#This Row],[Units_Sold]] -$C$4) / $C$5</f>
        <v>-0.17607988233970903</v>
      </c>
      <c r="E43">
        <v>32848.836401161017</v>
      </c>
      <c r="F43">
        <v>4.1448763770413724</v>
      </c>
      <c r="G43">
        <f t="shared" ref="G43" si="2">3.224108373</f>
        <v>3.224108373</v>
      </c>
      <c r="H43">
        <v>6.0996221323635202</v>
      </c>
      <c r="I43">
        <v>122712.40294365888</v>
      </c>
      <c r="J43">
        <v>95</v>
      </c>
      <c r="K43">
        <v>29.00025044213054</v>
      </c>
      <c r="L43" t="str">
        <f t="shared" si="0"/>
        <v>OK</v>
      </c>
    </row>
    <row r="44" spans="1:12">
      <c r="A44" s="1">
        <v>42995</v>
      </c>
      <c r="B44" t="s">
        <v>12</v>
      </c>
      <c r="C44">
        <v>94</v>
      </c>
      <c r="D44">
        <f>(automotive_demand_forecasting_dataset5[[#This Row],[Units_Sold]] -$C$4) / $C$5</f>
        <v>-0.1992268080813952</v>
      </c>
      <c r="E44">
        <v>32238.542800086576</v>
      </c>
      <c r="F44">
        <v>3.8365906756349792</v>
      </c>
      <c r="G44">
        <v>2.7232389141291597</v>
      </c>
      <c r="H44">
        <v>6.0664027251031296</v>
      </c>
      <c r="I44">
        <v>77874.129751767323</v>
      </c>
      <c r="J44">
        <v>87</v>
      </c>
      <c r="K44">
        <v>78.873632509915907</v>
      </c>
      <c r="L44" t="str">
        <f t="shared" si="0"/>
        <v>OK</v>
      </c>
    </row>
    <row r="45" spans="1:12">
      <c r="A45" s="1">
        <v>43025</v>
      </c>
      <c r="B45" t="s">
        <v>11</v>
      </c>
      <c r="C45">
        <v>107</v>
      </c>
      <c r="D45">
        <f>(automotive_demand_forecasting_dataset5[[#This Row],[Units_Sold]] -$C$4) / $C$5</f>
        <v>0.10168322656052491</v>
      </c>
      <c r="E45">
        <v>33213.61379933772</v>
      </c>
      <c r="F45">
        <v>3.430772008008113</v>
      </c>
      <c r="G45">
        <v>2.4451059993837134</v>
      </c>
      <c r="H45">
        <v>5.5911463214993047</v>
      </c>
      <c r="I45">
        <v>83509.716769446532</v>
      </c>
      <c r="J45">
        <v>88</v>
      </c>
      <c r="K45">
        <v>42.007910524729951</v>
      </c>
      <c r="L45" t="str">
        <f t="shared" si="0"/>
        <v>OK</v>
      </c>
    </row>
    <row r="46" spans="1:12">
      <c r="A46" s="1">
        <v>43055</v>
      </c>
      <c r="B46" t="s">
        <v>10</v>
      </c>
      <c r="C46">
        <v>114</v>
      </c>
      <c r="D46">
        <f>(automotive_demand_forecasting_dataset5[[#This Row],[Units_Sold]] -$C$4) / $C$5</f>
        <v>0.26371170675232802</v>
      </c>
      <c r="E46">
        <v>36645.76265066216</v>
      </c>
      <c r="F46">
        <v>2.887850881855317</v>
      </c>
      <c r="G46">
        <v>2.7855540748576568</v>
      </c>
      <c r="H46">
        <v>6.3912189020316665</v>
      </c>
      <c r="I46">
        <v>878282.05535206001</v>
      </c>
      <c r="J46">
        <v>85</v>
      </c>
      <c r="K46">
        <f>80.21517797</f>
        <v>80.215177969999999</v>
      </c>
      <c r="L46" t="str">
        <f t="shared" si="0"/>
        <v>OK</v>
      </c>
    </row>
    <row r="47" spans="1:12">
      <c r="A47" s="1">
        <v>43085</v>
      </c>
      <c r="B47" t="s">
        <v>10</v>
      </c>
      <c r="C47">
        <v>86</v>
      </c>
      <c r="D47">
        <f>(automotive_demand_forecasting_dataset5[[#This Row],[Units_Sold]] -$C$4) / $C$5</f>
        <v>-0.3844022140148845</v>
      </c>
      <c r="E47">
        <v>30982.605848507352</v>
      </c>
      <c r="F47">
        <v>3.3954883713569872</v>
      </c>
      <c r="G47">
        <v>3.0211224283793383</v>
      </c>
      <c r="H47">
        <v>6.0786987432167887</v>
      </c>
      <c r="I47">
        <v>89420.445838719694</v>
      </c>
      <c r="J47">
        <v>93</v>
      </c>
      <c r="K47">
        <v>47.276957891439082</v>
      </c>
      <c r="L47" t="str">
        <f t="shared" si="0"/>
        <v>OK</v>
      </c>
    </row>
    <row r="48" spans="1:12">
      <c r="A48" s="1">
        <v>43115</v>
      </c>
      <c r="B48" t="s">
        <v>14</v>
      </c>
      <c r="C48">
        <v>100</v>
      </c>
      <c r="D48">
        <f>(automotive_demand_forecasting_dataset5[[#This Row],[Units_Sold]] -$C$4) / $C$5</f>
        <v>-6.0345253631278226E-2</v>
      </c>
      <c r="E48">
        <v>33545.018787942565</v>
      </c>
      <c r="F48">
        <v>3.0747397728953501</v>
      </c>
      <c r="G48">
        <v>3.1452155859500568</v>
      </c>
      <c r="H48">
        <v>4.0148050932072428</v>
      </c>
      <c r="I48">
        <v>78868.847144794941</v>
      </c>
      <c r="J48">
        <v>85</v>
      </c>
      <c r="K48">
        <v>99.813781061172733</v>
      </c>
      <c r="L48" t="str">
        <f t="shared" si="0"/>
        <v>OK</v>
      </c>
    </row>
    <row r="49" spans="1:12">
      <c r="A49" s="1">
        <v>43145</v>
      </c>
      <c r="B49" t="s">
        <v>10</v>
      </c>
      <c r="C49">
        <v>108</v>
      </c>
      <c r="D49">
        <f>(automotive_demand_forecasting_dataset5[[#This Row],[Units_Sold]] -$C$4) / $C$5</f>
        <v>0.12483015230221108</v>
      </c>
      <c r="E49">
        <v>29551.321528563865</v>
      </c>
      <c r="F49">
        <v>3.2097382750976386</v>
      </c>
      <c r="G49">
        <v>3.0556044660034485</v>
      </c>
      <c r="H49">
        <v>6.5429872772671276</v>
      </c>
      <c r="I49">
        <v>124461.6613419065</v>
      </c>
      <c r="J49">
        <v>820</v>
      </c>
      <c r="K49">
        <v>41.084118359742227</v>
      </c>
      <c r="L49" t="str">
        <f t="shared" si="0"/>
        <v>OK</v>
      </c>
    </row>
    <row r="50" spans="1:12">
      <c r="A50" s="1">
        <v>43175</v>
      </c>
      <c r="B50" t="s">
        <v>11</v>
      </c>
      <c r="C50">
        <v>101</v>
      </c>
      <c r="D50">
        <f>(automotive_demand_forecasting_dataset5[[#This Row],[Units_Sold]] -$C$4) / $C$5</f>
        <v>-3.7198327889592063E-2</v>
      </c>
      <c r="E50">
        <v>37200.586077247368</v>
      </c>
      <c r="F50">
        <v>37.942892022103052</v>
      </c>
      <c r="G50">
        <v>2.5895806812552489</v>
      </c>
      <c r="H50">
        <v>6.56474900472009</v>
      </c>
      <c r="I50">
        <v>94822.91199260336</v>
      </c>
      <c r="J50">
        <v>80</v>
      </c>
      <c r="K50">
        <v>42.330437661941573</v>
      </c>
      <c r="L50" t="str">
        <f t="shared" si="0"/>
        <v>OK</v>
      </c>
    </row>
    <row r="51" spans="1:12">
      <c r="A51" s="1">
        <v>43205</v>
      </c>
      <c r="B51" t="s">
        <v>11</v>
      </c>
      <c r="C51">
        <v>94</v>
      </c>
      <c r="D51">
        <f>(automotive_demand_forecasting_dataset5[[#This Row],[Units_Sold]] -$C$4) / $C$5</f>
        <v>-0.1992268080813952</v>
      </c>
      <c r="E51">
        <v>26618.038489703653</v>
      </c>
      <c r="F51">
        <v>4.3349522521757029</v>
      </c>
      <c r="G51">
        <v>2.3026615796926739</v>
      </c>
      <c r="H51">
        <v>4.5840566749857024</v>
      </c>
      <c r="I51">
        <v>107050.09936713759</v>
      </c>
      <c r="J51">
        <v>95</v>
      </c>
      <c r="K51">
        <v>94.453780444991864</v>
      </c>
      <c r="L51" t="str">
        <f t="shared" si="0"/>
        <v>OK</v>
      </c>
    </row>
    <row r="52" spans="1:12">
      <c r="A52" s="1">
        <v>43235</v>
      </c>
      <c r="B52" t="s">
        <v>13</v>
      </c>
      <c r="C52">
        <v>116</v>
      </c>
      <c r="D52">
        <f>(automotive_demand_forecasting_dataset5[[#This Row],[Units_Sold]] -$C$4) / $C$5</f>
        <v>0.31000555823570036</v>
      </c>
      <c r="E52">
        <v>39004.702164554081</v>
      </c>
      <c r="F52">
        <v>3.6973357649114904</v>
      </c>
      <c r="G52">
        <f>3.224108373</f>
        <v>3.224108373</v>
      </c>
      <c r="H52">
        <v>5.5455254025371223</v>
      </c>
      <c r="I52">
        <f>128897.2893</f>
        <v>128897.2893</v>
      </c>
      <c r="J52">
        <v>89</v>
      </c>
      <c r="K52">
        <v>21.971552370905812</v>
      </c>
      <c r="L52" t="str">
        <f t="shared" si="0"/>
        <v>OK</v>
      </c>
    </row>
    <row r="53" spans="1:12">
      <c r="A53" s="1">
        <v>43265</v>
      </c>
      <c r="B53" t="s">
        <v>11</v>
      </c>
      <c r="C53">
        <v>97</v>
      </c>
      <c r="D53">
        <f>(automotive_demand_forecasting_dataset5[[#This Row],[Units_Sold]] -$C$4) / $C$5</f>
        <v>-0.12978603085633672</v>
      </c>
      <c r="E53">
        <v>29799.210246778282</v>
      </c>
      <c r="F53">
        <v>2.9020584689824078</v>
      </c>
      <c r="G53">
        <v>2.3050917196473191</v>
      </c>
      <c r="H53">
        <v>63.199947913732828</v>
      </c>
      <c r="I53">
        <v>63587.933989029654</v>
      </c>
      <c r="J53">
        <v>73</v>
      </c>
      <c r="K53">
        <v>75.735119029855753</v>
      </c>
      <c r="L53" t="str">
        <f t="shared" si="0"/>
        <v>OK</v>
      </c>
    </row>
    <row r="54" spans="1:12">
      <c r="A54" s="1">
        <v>43295</v>
      </c>
      <c r="B54" t="s">
        <v>10</v>
      </c>
      <c r="C54">
        <v>128.02105259999999</v>
      </c>
      <c r="D54">
        <f>(automotive_demand_forecasting_dataset5[[#This Row],[Units_Sold]] -$C$4) / $C$5</f>
        <v>0.58825597010480346</v>
      </c>
      <c r="E54">
        <v>22846.124489409758</v>
      </c>
      <c r="F54">
        <v>3.7223013341100701</v>
      </c>
      <c r="G54">
        <v>3.6337700968670648</v>
      </c>
      <c r="H54">
        <v>5.2488234165047665</v>
      </c>
      <c r="I54">
        <v>105401.14716782844</v>
      </c>
      <c r="J54">
        <v>86</v>
      </c>
      <c r="K54">
        <v>78.026111258870259</v>
      </c>
      <c r="L54" t="str">
        <f t="shared" si="0"/>
        <v>OK</v>
      </c>
    </row>
    <row r="55" spans="1:12">
      <c r="A55" s="1">
        <v>43325</v>
      </c>
      <c r="B55" t="s">
        <v>14</v>
      </c>
      <c r="C55">
        <v>94</v>
      </c>
      <c r="D55">
        <f>(automotive_demand_forecasting_dataset5[[#This Row],[Units_Sold]] -$C$4) / $C$5</f>
        <v>-0.1992268080813952</v>
      </c>
      <c r="E55">
        <v>30640.522074553948</v>
      </c>
      <c r="F55">
        <v>4.0983157433228259</v>
      </c>
      <c r="G55">
        <v>3.0935567222808618</v>
      </c>
      <c r="H55">
        <v>6.7875736573192142</v>
      </c>
      <c r="I55">
        <v>61754.900491604465</v>
      </c>
      <c r="J55">
        <v>82</v>
      </c>
      <c r="K55">
        <v>86.910286192831947</v>
      </c>
      <c r="L55" t="str">
        <f t="shared" si="0"/>
        <v>OK</v>
      </c>
    </row>
    <row r="56" spans="1:12">
      <c r="A56" s="1">
        <v>43355</v>
      </c>
      <c r="B56" t="s">
        <v>13</v>
      </c>
      <c r="C56">
        <v>118</v>
      </c>
      <c r="D56">
        <f>(automotive_demand_forecasting_dataset5[[#This Row],[Units_Sold]] -$C$4) / $C$5</f>
        <v>0.3562994097190727</v>
      </c>
      <c r="E56">
        <v>26594.741712625597</v>
      </c>
      <c r="F56">
        <v>3.195108547840309</v>
      </c>
      <c r="G56">
        <v>-0.44038863466428024</v>
      </c>
      <c r="H56">
        <v>8.3366469935432335</v>
      </c>
      <c r="I56">
        <v>98627.319078290631</v>
      </c>
      <c r="J56">
        <v>80</v>
      </c>
      <c r="K56">
        <v>97.955144851078032</v>
      </c>
      <c r="L56" t="str">
        <f t="shared" si="0"/>
        <v>OK</v>
      </c>
    </row>
    <row r="57" spans="1:12">
      <c r="A57" s="1">
        <v>43385</v>
      </c>
      <c r="B57" t="s">
        <v>10</v>
      </c>
      <c r="C57">
        <v>104</v>
      </c>
      <c r="D57">
        <f>(automotive_demand_forecasting_dataset5[[#This Row],[Units_Sold]] -$C$4) / $C$5</f>
        <v>3.2242449335466418E-2</v>
      </c>
      <c r="E57">
        <v>34203.21774494362</v>
      </c>
      <c r="F57">
        <v>3.4329914166635414</v>
      </c>
      <c r="G57">
        <v>3.1559007765297609</v>
      </c>
      <c r="H57">
        <v>4.5568167608380215</v>
      </c>
      <c r="I57">
        <v>72633.699223343792</v>
      </c>
      <c r="J57">
        <v>85</v>
      </c>
      <c r="K57">
        <v>98.048153532532197</v>
      </c>
      <c r="L57" t="str">
        <f t="shared" si="0"/>
        <v>OK</v>
      </c>
    </row>
    <row r="58" spans="1:12">
      <c r="A58" s="1">
        <v>43415</v>
      </c>
      <c r="B58" t="s">
        <v>14</v>
      </c>
      <c r="C58">
        <v>128.02105259999999</v>
      </c>
      <c r="D58">
        <f>(automotive_demand_forecasting_dataset5[[#This Row],[Units_Sold]] -$C$4) / $C$5</f>
        <v>0.58825597010480346</v>
      </c>
      <c r="E58">
        <v>26736.880103488045</v>
      </c>
      <c r="F58">
        <v>3.5073440973645984</v>
      </c>
      <c r="G58">
        <v>2.6947361947187747</v>
      </c>
      <c r="H58">
        <v>3.8427464762154702</v>
      </c>
      <c r="I58">
        <v>139745.51998461617</v>
      </c>
      <c r="J58">
        <v>88</v>
      </c>
      <c r="K58">
        <v>25.222140605317112</v>
      </c>
      <c r="L58" t="str">
        <f t="shared" si="0"/>
        <v>OK</v>
      </c>
    </row>
    <row r="59" spans="1:12">
      <c r="A59" s="1">
        <v>43445</v>
      </c>
      <c r="B59" t="s">
        <v>10</v>
      </c>
      <c r="C59">
        <v>115</v>
      </c>
      <c r="D59">
        <f>(automotive_demand_forecasting_dataset5[[#This Row],[Units_Sold]] -$C$4) / $C$5</f>
        <v>0.28685863249401422</v>
      </c>
      <c r="E59">
        <v>27769.082833926102</v>
      </c>
      <c r="F59">
        <v>3.1075508434588799</v>
      </c>
      <c r="G59">
        <v>2.4812912435541028</v>
      </c>
      <c r="H59">
        <v>5.8645823147258511</v>
      </c>
      <c r="I59">
        <v>118227.25444349443</v>
      </c>
      <c r="J59">
        <v>100</v>
      </c>
      <c r="K59">
        <v>85.747145820232205</v>
      </c>
      <c r="L59" t="str">
        <f t="shared" si="0"/>
        <v>OK</v>
      </c>
    </row>
    <row r="60" spans="1:12">
      <c r="A60" s="1">
        <v>43475</v>
      </c>
      <c r="B60" t="s">
        <v>13</v>
      </c>
      <c r="C60">
        <v>94</v>
      </c>
      <c r="D60">
        <f>(automotive_demand_forecasting_dataset5[[#This Row],[Units_Sold]] -$C$4) / $C$5</f>
        <v>-0.1992268080813952</v>
      </c>
      <c r="E60">
        <v>20552.296345272345</v>
      </c>
      <c r="F60">
        <v>3.8241402169219296</v>
      </c>
      <c r="G60">
        <v>2.1114815469111141</v>
      </c>
      <c r="H60">
        <v>6.3658750061513718</v>
      </c>
      <c r="I60">
        <v>102115.07582542961</v>
      </c>
      <c r="J60">
        <v>102</v>
      </c>
      <c r="K60">
        <v>71.704794692590497</v>
      </c>
      <c r="L60" t="str">
        <f t="shared" si="0"/>
        <v>OK</v>
      </c>
    </row>
    <row r="61" spans="1:12">
      <c r="A61" s="1">
        <v>43505</v>
      </c>
      <c r="B61" t="s">
        <v>11</v>
      </c>
      <c r="C61">
        <v>91</v>
      </c>
      <c r="D61">
        <f>(automotive_demand_forecasting_dataset5[[#This Row],[Units_Sold]] -$C$4) / $C$5</f>
        <v>-0.26866758530645368</v>
      </c>
      <c r="E61">
        <v>27738.468403754618</v>
      </c>
      <c r="F61">
        <v>3.4395259256961093</v>
      </c>
      <c r="G61">
        <v>3.6241127199860133</v>
      </c>
      <c r="H61">
        <v>5.222960351386277</v>
      </c>
      <c r="I61">
        <v>125274.13355309337</v>
      </c>
      <c r="J61">
        <v>95</v>
      </c>
      <c r="K61">
        <v>71.787370749847298</v>
      </c>
      <c r="L61" t="str">
        <f t="shared" si="0"/>
        <v>OK</v>
      </c>
    </row>
    <row r="62" spans="1:12">
      <c r="A62" s="1">
        <v>43535</v>
      </c>
      <c r="B62" t="s">
        <v>13</v>
      </c>
      <c r="C62">
        <v>110</v>
      </c>
      <c r="D62">
        <f>(automotive_demand_forecasting_dataset5[[#This Row],[Units_Sold]] -$C$4) / $C$5</f>
        <v>0.1711240037855834</v>
      </c>
      <c r="E62">
        <v>17880.603366855219</v>
      </c>
      <c r="F62">
        <v>3.7097662219535139</v>
      </c>
      <c r="G62">
        <v>3.4475264621228581</v>
      </c>
      <c r="H62">
        <v>7.2439127959852412</v>
      </c>
      <c r="I62">
        <v>83073.680450685279</v>
      </c>
      <c r="J62">
        <v>88</v>
      </c>
      <c r="K62">
        <v>30.267994129175584</v>
      </c>
      <c r="L62" t="str">
        <f t="shared" si="0"/>
        <v>OK</v>
      </c>
    </row>
    <row r="63" spans="1:12">
      <c r="A63" s="1">
        <v>43565</v>
      </c>
      <c r="B63" t="s">
        <v>11</v>
      </c>
      <c r="C63">
        <v>98</v>
      </c>
      <c r="D63">
        <f>(automotive_demand_forecasting_dataset5[[#This Row],[Units_Sold]] -$C$4) / $C$5</f>
        <v>-0.10663910511465055</v>
      </c>
      <c r="E63">
        <v>22080.485882571382</v>
      </c>
      <c r="F63">
        <v>3.0562539110989499</v>
      </c>
      <c r="G63">
        <v>1.7271223321763909</v>
      </c>
      <c r="H63">
        <v>3.8936730403321018</v>
      </c>
      <c r="I63">
        <v>110869.58757340186</v>
      </c>
      <c r="J63">
        <v>87</v>
      </c>
      <c r="K63">
        <f>80.21517797</f>
        <v>80.215177969999999</v>
      </c>
      <c r="L63" t="str">
        <f t="shared" si="0"/>
        <v>OK</v>
      </c>
    </row>
    <row r="64" spans="1:12">
      <c r="A64" s="1">
        <v>43595</v>
      </c>
      <c r="B64" t="s">
        <v>13</v>
      </c>
      <c r="C64">
        <v>86</v>
      </c>
      <c r="D64">
        <f>(automotive_demand_forecasting_dataset5[[#This Row],[Units_Sold]] -$C$4) / $C$5</f>
        <v>-0.3844022140148845</v>
      </c>
      <c r="E64">
        <v>33802.073280721488</v>
      </c>
      <c r="F64">
        <v>3.281270849838295</v>
      </c>
      <c r="G64">
        <v>2.907052287124535</v>
      </c>
      <c r="H64">
        <v>6.3315023476379331</v>
      </c>
      <c r="I64">
        <v>103996.20867437427</v>
      </c>
      <c r="J64">
        <v>95</v>
      </c>
      <c r="K64">
        <v>98.598606448099829</v>
      </c>
      <c r="L64" t="str">
        <f t="shared" si="0"/>
        <v>OK</v>
      </c>
    </row>
    <row r="65" spans="1:12">
      <c r="A65" s="1">
        <v>43625</v>
      </c>
      <c r="B65" t="s">
        <v>12</v>
      </c>
      <c r="C65">
        <v>121</v>
      </c>
      <c r="D65">
        <f>(automotive_demand_forecasting_dataset5[[#This Row],[Units_Sold]] -$C$4) / $C$5</f>
        <v>0.42574018694413118</v>
      </c>
      <c r="E65">
        <v>38106.295579999998</v>
      </c>
      <c r="F65">
        <v>3.8611906789138857</v>
      </c>
      <c r="G65">
        <v>1.5283432654587141</v>
      </c>
      <c r="H65">
        <v>4.7729670150893284</v>
      </c>
      <c r="I65">
        <v>105280.4016266734</v>
      </c>
      <c r="J65">
        <v>78</v>
      </c>
      <c r="K65">
        <v>929.45485563155762</v>
      </c>
      <c r="L65" t="str">
        <f t="shared" si="0"/>
        <v>OK</v>
      </c>
    </row>
    <row r="66" spans="1:12">
      <c r="A66" s="1">
        <v>43655</v>
      </c>
      <c r="B66" t="s">
        <v>10</v>
      </c>
      <c r="C66">
        <v>100</v>
      </c>
      <c r="D66">
        <f>(automotive_demand_forecasting_dataset5[[#This Row],[Units_Sold]] -$C$4) / $C$5</f>
        <v>-6.0345253631278226E-2</v>
      </c>
      <c r="E66">
        <v>32127.287808924822</v>
      </c>
      <c r="F66">
        <v>3.3135834239541166</v>
      </c>
      <c r="G66">
        <v>1.1203818352110695</v>
      </c>
      <c r="H66">
        <v>7.5632534874487565</v>
      </c>
      <c r="I66">
        <v>125447.07000213536</v>
      </c>
      <c r="J66">
        <v>810</v>
      </c>
      <c r="K66">
        <v>55.13045286438804</v>
      </c>
      <c r="L66" t="str">
        <f t="shared" si="0"/>
        <v>OK</v>
      </c>
    </row>
    <row r="67" spans="1:12">
      <c r="A67" s="1">
        <v>43685</v>
      </c>
      <c r="B67" t="s">
        <v>10</v>
      </c>
      <c r="C67">
        <v>96</v>
      </c>
      <c r="D67">
        <f>(automotive_demand_forecasting_dataset5[[#This Row],[Units_Sold]] -$C$4) / $C$5</f>
        <v>-0.15293295659802289</v>
      </c>
      <c r="E67">
        <v>25165.119284353936</v>
      </c>
      <c r="F67">
        <v>4.3634819256167026</v>
      </c>
      <c r="G67">
        <v>1.873282775410035</v>
      </c>
      <c r="H67">
        <v>7.891018423801742</v>
      </c>
      <c r="I67">
        <v>114649.84205559605</v>
      </c>
      <c r="J67">
        <v>95</v>
      </c>
      <c r="K67">
        <v>23.195837862887547</v>
      </c>
      <c r="L67" t="str">
        <f t="shared" si="0"/>
        <v>OK</v>
      </c>
    </row>
    <row r="68" spans="1:12">
      <c r="A68" s="1">
        <v>43715</v>
      </c>
      <c r="B68" t="s">
        <v>12</v>
      </c>
      <c r="C68">
        <v>127</v>
      </c>
      <c r="D68">
        <f>(automotive_demand_forecasting_dataset5[[#This Row],[Units_Sold]] -$C$4) / $C$5</f>
        <v>0.56462174139424814</v>
      </c>
      <c r="E68">
        <v>29761.4432192901</v>
      </c>
      <c r="F68">
        <v>3.300181907192699</v>
      </c>
      <c r="G68">
        <v>3.3623934723827587</v>
      </c>
      <c r="H68">
        <v>4.5800120946599829</v>
      </c>
      <c r="I68">
        <v>105774.47325650047</v>
      </c>
      <c r="J68">
        <v>88</v>
      </c>
      <c r="K68">
        <v>48.98347920001639</v>
      </c>
      <c r="L68" t="str">
        <f t="shared" si="0"/>
        <v>OK</v>
      </c>
    </row>
    <row r="69" spans="1:12">
      <c r="A69" s="1">
        <v>43745</v>
      </c>
      <c r="B69" t="s">
        <v>11</v>
      </c>
      <c r="C69">
        <v>100</v>
      </c>
      <c r="D69">
        <f>(automotive_demand_forecasting_dataset5[[#This Row],[Units_Sold]] -$C$4) / $C$5</f>
        <v>-6.0345253631278226E-2</v>
      </c>
      <c r="E69">
        <v>29981.987304547158</v>
      </c>
      <c r="F69">
        <v>3.612342362875943</v>
      </c>
      <c r="G69">
        <v>3.4531250453760869</v>
      </c>
      <c r="H69">
        <v>4.8405314369097034</v>
      </c>
      <c r="I69">
        <v>66902.251275434071</v>
      </c>
      <c r="J69">
        <f>111.9136842</f>
        <v>111.91368420000001</v>
      </c>
      <c r="K69">
        <v>86.111224928044422</v>
      </c>
      <c r="L69" t="str">
        <f t="shared" si="0"/>
        <v>OK</v>
      </c>
    </row>
    <row r="70" spans="1:12">
      <c r="A70" s="1">
        <v>43775</v>
      </c>
      <c r="B70" t="s">
        <v>10</v>
      </c>
      <c r="C70">
        <v>93</v>
      </c>
      <c r="D70">
        <f>(automotive_demand_forecasting_dataset5[[#This Row],[Units_Sold]] -$C$4) / $C$5</f>
        <v>-0.22237373382308137</v>
      </c>
      <c r="E70">
        <v>24208.176554037287</v>
      </c>
      <c r="F70">
        <v>3.9662954159365449</v>
      </c>
      <c r="G70">
        <v>3.0130854200972932</v>
      </c>
      <c r="H70">
        <v>6.531505464375762</v>
      </c>
      <c r="I70">
        <v>80799.074094410724</v>
      </c>
      <c r="J70">
        <v>79</v>
      </c>
      <c r="K70">
        <v>76.119928117213277</v>
      </c>
      <c r="L70" t="str">
        <f t="shared" si="0"/>
        <v>OK</v>
      </c>
    </row>
    <row r="71" spans="1:12">
      <c r="A71" s="1">
        <v>43805</v>
      </c>
      <c r="B71" t="s">
        <v>12</v>
      </c>
      <c r="C71">
        <v>103</v>
      </c>
      <c r="D71">
        <f>(automotive_demand_forecasting_dataset5[[#This Row],[Units_Sold]] -$C$4) / $C$5</f>
        <v>9.0955235937802571E-3</v>
      </c>
      <c r="E71">
        <v>37516.991508835752</v>
      </c>
      <c r="F71">
        <v>2.7908171335334844</v>
      </c>
      <c r="G71">
        <v>3.225095786847997</v>
      </c>
      <c r="H71">
        <v>5.0354432202525823</v>
      </c>
      <c r="I71">
        <v>97545.821328085513</v>
      </c>
      <c r="J71">
        <v>91</v>
      </c>
      <c r="K71">
        <v>56.747492447516514</v>
      </c>
      <c r="L71" t="str">
        <f t="shared" si="0"/>
        <v>OK</v>
      </c>
    </row>
    <row r="72" spans="1:12">
      <c r="A72" s="1">
        <v>43835</v>
      </c>
      <c r="B72" t="s">
        <v>10</v>
      </c>
      <c r="C72">
        <v>78</v>
      </c>
      <c r="D72">
        <f>(automotive_demand_forecasting_dataset5[[#This Row],[Units_Sold]] -$C$4) / $C$5</f>
        <v>-0.56957761994837375</v>
      </c>
      <c r="E72">
        <v>34386.811452878355</v>
      </c>
      <c r="F72">
        <v>2.6195955940096121</v>
      </c>
      <c r="G72">
        <v>3.0161782871149585</v>
      </c>
      <c r="H72">
        <v>5.4455065384813137</v>
      </c>
      <c r="I72">
        <v>101867.44748553302</v>
      </c>
      <c r="J72">
        <v>81</v>
      </c>
      <c r="K72">
        <f>80.21517797</f>
        <v>80.215177969999999</v>
      </c>
      <c r="L72" t="str">
        <f t="shared" si="0"/>
        <v>OK</v>
      </c>
    </row>
    <row r="73" spans="1:12">
      <c r="A73" s="1">
        <v>43865</v>
      </c>
      <c r="B73" t="s">
        <v>14</v>
      </c>
      <c r="C73">
        <v>116</v>
      </c>
      <c r="D73">
        <f>(automotive_demand_forecasting_dataset5[[#This Row],[Units_Sold]] -$C$4) / $C$5</f>
        <v>0.31000555823570036</v>
      </c>
      <c r="E73">
        <v>288951.79130851681</v>
      </c>
      <c r="F73">
        <v>2.7371718427149525</v>
      </c>
      <c r="G73">
        <v>1.8585184047770478</v>
      </c>
      <c r="H73">
        <v>5.5304661046508921</v>
      </c>
      <c r="I73">
        <v>77395.925506521526</v>
      </c>
      <c r="J73">
        <v>98</v>
      </c>
      <c r="K73">
        <v>54.151578225864213</v>
      </c>
      <c r="L73" t="str">
        <f t="shared" si="0"/>
        <v>OK</v>
      </c>
    </row>
    <row r="74" spans="1:12">
      <c r="A74" s="1">
        <v>43895</v>
      </c>
      <c r="B74" t="s">
        <v>11</v>
      </c>
      <c r="C74">
        <v>88</v>
      </c>
      <c r="D74">
        <f>(automotive_demand_forecasting_dataset5[[#This Row],[Units_Sold]] -$C$4) / $C$5</f>
        <v>-0.33810836253151216</v>
      </c>
      <c r="E74">
        <v>30134.429194972654</v>
      </c>
      <c r="F74">
        <v>4.1312920517135909</v>
      </c>
      <c r="G74">
        <v>2.9319225446739408</v>
      </c>
      <c r="H74">
        <v>3.1963922125628126</v>
      </c>
      <c r="I74">
        <v>148233.53351156841</v>
      </c>
      <c r="J74">
        <v>83</v>
      </c>
      <c r="K74">
        <v>57.521995177430682</v>
      </c>
      <c r="L74" t="str">
        <f t="shared" si="0"/>
        <v>OK</v>
      </c>
    </row>
    <row r="75" spans="1:12">
      <c r="A75" s="1">
        <v>43925</v>
      </c>
      <c r="B75" t="s">
        <v>14</v>
      </c>
      <c r="C75">
        <v>105</v>
      </c>
      <c r="D75">
        <f>(automotive_demand_forecasting_dataset5[[#This Row],[Units_Sold]] -$C$4) / $C$5</f>
        <v>5.5389375077152581E-2</v>
      </c>
      <c r="E75">
        <v>31041.914039737763</v>
      </c>
      <c r="F75">
        <v>3.2240709270537766</v>
      </c>
      <c r="G75">
        <v>3.3004095252276824</v>
      </c>
      <c r="H75">
        <v>5.4833947046869156</v>
      </c>
      <c r="I75">
        <v>130327.88110507146</v>
      </c>
      <c r="J75">
        <f>111.9136842</f>
        <v>111.91368420000001</v>
      </c>
      <c r="K75">
        <v>94.284442631530879</v>
      </c>
      <c r="L75" t="str">
        <f t="shared" ref="L75:L138" si="3">IF(COUNTA(A75:K75)&lt;COLUMNS(A75:K75), "Missing Data", "OK")</f>
        <v>OK</v>
      </c>
    </row>
    <row r="76" spans="1:12">
      <c r="A76" s="1">
        <v>43955</v>
      </c>
      <c r="B76" t="s">
        <v>11</v>
      </c>
      <c r="C76">
        <v>92</v>
      </c>
      <c r="D76">
        <f>(automotive_demand_forecasting_dataset5[[#This Row],[Units_Sold]] -$C$4) / $C$5</f>
        <v>-0.24552065956476751</v>
      </c>
      <c r="E76">
        <v>19791.325657878548</v>
      </c>
      <c r="F76">
        <v>4.7790996428341259</v>
      </c>
      <c r="G76">
        <v>3.2542913298135741</v>
      </c>
      <c r="H76">
        <v>46.723266711229918</v>
      </c>
      <c r="I76">
        <v>112042.36640784967</v>
      </c>
      <c r="J76">
        <v>97</v>
      </c>
      <c r="K76">
        <v>71.286888286572747</v>
      </c>
      <c r="L76" t="str">
        <f t="shared" si="3"/>
        <v>OK</v>
      </c>
    </row>
    <row r="77" spans="1:12">
      <c r="A77" s="1">
        <v>43985</v>
      </c>
      <c r="B77" t="s">
        <v>12</v>
      </c>
      <c r="C77">
        <v>96</v>
      </c>
      <c r="D77">
        <f>(automotive_demand_forecasting_dataset5[[#This Row],[Units_Sold]] -$C$4) / $C$5</f>
        <v>-0.15293295659802289</v>
      </c>
      <c r="E77">
        <v>28764.113087397014</v>
      </c>
      <c r="F77">
        <v>3.2178762006713058</v>
      </c>
      <c r="G77">
        <v>3.6889133714746429</v>
      </c>
      <c r="H77">
        <v>4.9082526131202737</v>
      </c>
      <c r="I77">
        <v>101440.73722567489</v>
      </c>
      <c r="J77">
        <v>90</v>
      </c>
      <c r="K77">
        <v>44.932233332371908</v>
      </c>
      <c r="L77" t="str">
        <f t="shared" si="3"/>
        <v>OK</v>
      </c>
    </row>
    <row r="78" spans="1:12">
      <c r="A78" s="1">
        <v>44015</v>
      </c>
      <c r="B78" t="s">
        <v>11</v>
      </c>
      <c r="C78">
        <v>104</v>
      </c>
      <c r="D78">
        <f>(automotive_demand_forecasting_dataset5[[#This Row],[Units_Sold]] -$C$4) / $C$5</f>
        <v>3.2242449335466418E-2</v>
      </c>
      <c r="E78">
        <v>26590.078760011005</v>
      </c>
      <c r="F78">
        <v>3.5922756515985186</v>
      </c>
      <c r="G78">
        <v>3.2083038472010639</v>
      </c>
      <c r="H78">
        <v>7.2323584041625768</v>
      </c>
      <c r="I78">
        <v>95755.820601976971</v>
      </c>
      <c r="J78">
        <v>83</v>
      </c>
      <c r="K78">
        <v>62.025461156057709</v>
      </c>
      <c r="L78" t="str">
        <f t="shared" si="3"/>
        <v>OK</v>
      </c>
    </row>
    <row r="79" spans="1:12">
      <c r="A79" s="1">
        <v>44045</v>
      </c>
      <c r="B79" t="s">
        <v>11</v>
      </c>
      <c r="C79">
        <v>84</v>
      </c>
      <c r="D79">
        <f>(automotive_demand_forecasting_dataset5[[#This Row],[Units_Sold]] -$C$4) / $C$5</f>
        <v>-0.43069606549825684</v>
      </c>
      <c r="E79">
        <v>249918.99950525421</v>
      </c>
      <c r="F79">
        <v>4.2710549762839376</v>
      </c>
      <c r="G79">
        <v>2.851448207541583</v>
      </c>
      <c r="H79">
        <v>3.9921917268648928</v>
      </c>
      <c r="I79">
        <v>80961.630799555292</v>
      </c>
      <c r="J79">
        <v>93</v>
      </c>
      <c r="K79">
        <v>25.284424625772807</v>
      </c>
      <c r="L79" t="str">
        <f t="shared" si="3"/>
        <v>OK</v>
      </c>
    </row>
    <row r="80" spans="1:12">
      <c r="A80" s="1">
        <v>44075</v>
      </c>
      <c r="B80" t="s">
        <v>12</v>
      </c>
      <c r="C80">
        <v>95</v>
      </c>
      <c r="D80">
        <f>(automotive_demand_forecasting_dataset5[[#This Row],[Units_Sold]] -$C$4) / $C$5</f>
        <v>-0.17607988233970903</v>
      </c>
      <c r="E80">
        <v>28594.498535570227</v>
      </c>
      <c r="F80">
        <v>4.5030464440795619</v>
      </c>
      <c r="G80">
        <v>3.5701502383164274</v>
      </c>
      <c r="H80">
        <v>64.758462240975732</v>
      </c>
      <c r="I80">
        <v>101549.61037037725</v>
      </c>
      <c r="J80">
        <v>84</v>
      </c>
      <c r="K80">
        <v>97.805458851978941</v>
      </c>
      <c r="L80" t="str">
        <f t="shared" si="3"/>
        <v>OK</v>
      </c>
    </row>
    <row r="81" spans="1:12">
      <c r="A81" s="1">
        <v>44105</v>
      </c>
      <c r="B81" t="s">
        <v>11</v>
      </c>
      <c r="C81">
        <v>105</v>
      </c>
      <c r="D81">
        <f>(automotive_demand_forecasting_dataset5[[#This Row],[Units_Sold]] -$C$4) / $C$5</f>
        <v>5.5389375077152581E-2</v>
      </c>
      <c r="E81">
        <v>38988.432634247612</v>
      </c>
      <c r="F81">
        <v>4.5307517883181987</v>
      </c>
      <c r="G81">
        <f>3.224108373</f>
        <v>3.224108373</v>
      </c>
      <c r="H81">
        <v>5.1652444836018301</v>
      </c>
      <c r="I81">
        <v>105155.05080285501</v>
      </c>
      <c r="J81">
        <v>90</v>
      </c>
      <c r="K81">
        <v>48.804792154458084</v>
      </c>
      <c r="L81" t="str">
        <f t="shared" si="3"/>
        <v>OK</v>
      </c>
    </row>
    <row r="82" spans="1:12">
      <c r="A82" s="1">
        <v>44135</v>
      </c>
      <c r="B82" t="s">
        <v>10</v>
      </c>
      <c r="C82">
        <v>100</v>
      </c>
      <c r="D82">
        <f>(automotive_demand_forecasting_dataset5[[#This Row],[Units_Sold]] -$C$4) / $C$5</f>
        <v>-6.0345253631278226E-2</v>
      </c>
      <c r="E82">
        <v>33204.214306335052</v>
      </c>
      <c r="F82">
        <v>4.1041831152965713</v>
      </c>
      <c r="G82">
        <v>1.6181253487722822</v>
      </c>
      <c r="H82">
        <v>5.1642877978049988</v>
      </c>
      <c r="I82">
        <v>75164.788490367515</v>
      </c>
      <c r="J82">
        <v>97</v>
      </c>
      <c r="K82">
        <v>58.229388393050868</v>
      </c>
      <c r="L82" t="str">
        <f t="shared" si="3"/>
        <v>OK</v>
      </c>
    </row>
    <row r="83" spans="1:12">
      <c r="A83" s="1">
        <v>44165</v>
      </c>
      <c r="B83" t="s">
        <v>13</v>
      </c>
      <c r="C83">
        <v>104</v>
      </c>
      <c r="D83">
        <f>(automotive_demand_forecasting_dataset5[[#This Row],[Units_Sold]] -$C$4) / $C$5</f>
        <v>3.2242449335466418E-2</v>
      </c>
      <c r="E83">
        <v>27144.105051086015</v>
      </c>
      <c r="F83">
        <v>4.0120312629057313</v>
      </c>
      <c r="G83">
        <v>2.3369330360562359</v>
      </c>
      <c r="H83">
        <v>6.4484462752620537</v>
      </c>
      <c r="I83">
        <v>106683.52834489795</v>
      </c>
      <c r="J83">
        <v>92</v>
      </c>
      <c r="K83">
        <v>48.422717938953809</v>
      </c>
      <c r="L83" t="str">
        <f t="shared" si="3"/>
        <v>OK</v>
      </c>
    </row>
    <row r="84" spans="1:12">
      <c r="A84" s="1">
        <v>44195</v>
      </c>
      <c r="B84" t="s">
        <v>12</v>
      </c>
      <c r="C84">
        <v>106</v>
      </c>
      <c r="D84">
        <f>(automotive_demand_forecasting_dataset5[[#This Row],[Units_Sold]] -$C$4) / $C$5</f>
        <v>7.853630081883875E-2</v>
      </c>
      <c r="E84">
        <v>32862.913906780792</v>
      </c>
      <c r="F84">
        <v>3.7962634746005914</v>
      </c>
      <c r="G84">
        <v>1.7550973551935509</v>
      </c>
      <c r="H84">
        <v>5.9080615534826686</v>
      </c>
      <c r="I84">
        <v>96894.819023505028</v>
      </c>
      <c r="J84">
        <v>80</v>
      </c>
      <c r="K84">
        <v>74.60093840929602</v>
      </c>
      <c r="L84" t="str">
        <f t="shared" si="3"/>
        <v>OK</v>
      </c>
    </row>
    <row r="85" spans="1:12">
      <c r="A85" s="1">
        <v>44225</v>
      </c>
      <c r="B85" t="s">
        <v>13</v>
      </c>
      <c r="C85">
        <v>120</v>
      </c>
      <c r="D85">
        <f>(automotive_demand_forecasting_dataset5[[#This Row],[Units_Sold]] -$C$4) / $C$5</f>
        <v>0.40259326120244504</v>
      </c>
      <c r="E85">
        <v>36996.777182930011</v>
      </c>
      <c r="F85">
        <v>3.8891805380833189</v>
      </c>
      <c r="G85">
        <v>1.8248217250256185</v>
      </c>
      <c r="H85">
        <v>6.1847355966634368</v>
      </c>
      <c r="I85">
        <v>61843.848842452178</v>
      </c>
      <c r="J85">
        <v>75</v>
      </c>
      <c r="K85">
        <v>72.978572666367441</v>
      </c>
      <c r="L85" t="str">
        <f t="shared" si="3"/>
        <v>OK</v>
      </c>
    </row>
    <row r="86" spans="1:12">
      <c r="A86" s="1">
        <v>44255</v>
      </c>
      <c r="B86" t="s">
        <v>12</v>
      </c>
      <c r="C86">
        <v>128.02105259999999</v>
      </c>
      <c r="D86">
        <f>(automotive_demand_forecasting_dataset5[[#This Row],[Units_Sold]] -$C$4) / $C$5</f>
        <v>0.58825597010480346</v>
      </c>
      <c r="E86">
        <v>38106.295579999998</v>
      </c>
      <c r="F86">
        <v>3.2244071418357332</v>
      </c>
      <c r="G86">
        <v>2.3554813292844821</v>
      </c>
      <c r="H86">
        <v>6.6618215926394333</v>
      </c>
      <c r="I86">
        <v>82792.299784409959</v>
      </c>
      <c r="J86">
        <v>91</v>
      </c>
      <c r="K86">
        <v>77.225784842330853</v>
      </c>
      <c r="L86" t="str">
        <f t="shared" si="3"/>
        <v>OK</v>
      </c>
    </row>
    <row r="87" spans="1:12">
      <c r="A87" s="1">
        <v>44285</v>
      </c>
      <c r="B87" t="s">
        <v>12</v>
      </c>
      <c r="C87">
        <v>118</v>
      </c>
      <c r="D87">
        <f>(automotive_demand_forecasting_dataset5[[#This Row],[Units_Sold]] -$C$4) / $C$5</f>
        <v>0.3562994097190727</v>
      </c>
      <c r="E87">
        <v>30298.151849600872</v>
      </c>
      <c r="F87">
        <v>3.0909005582888462</v>
      </c>
      <c r="G87">
        <v>1.7075800790000386</v>
      </c>
      <c r="H87">
        <v>5.1024299401800128</v>
      </c>
      <c r="I87">
        <v>91727.889331567116</v>
      </c>
      <c r="J87">
        <v>91</v>
      </c>
      <c r="K87">
        <v>41.451458368953666</v>
      </c>
      <c r="L87" t="str">
        <f t="shared" si="3"/>
        <v>OK</v>
      </c>
    </row>
    <row r="88" spans="1:12">
      <c r="A88" s="1">
        <v>44315</v>
      </c>
      <c r="B88" t="s">
        <v>14</v>
      </c>
      <c r="C88">
        <v>92</v>
      </c>
      <c r="D88">
        <f>(automotive_demand_forecasting_dataset5[[#This Row],[Units_Sold]] -$C$4) / $C$5</f>
        <v>-0.24552065956476751</v>
      </c>
      <c r="E88">
        <v>26765.31611147213</v>
      </c>
      <c r="F88">
        <v>3.4983127712945241</v>
      </c>
      <c r="G88">
        <f t="shared" ref="G88:G89" si="4">3.224108373</f>
        <v>3.224108373</v>
      </c>
      <c r="H88">
        <v>4.7653159185906997</v>
      </c>
      <c r="I88">
        <v>137753.75314680382</v>
      </c>
      <c r="J88">
        <v>81</v>
      </c>
      <c r="K88">
        <v>45.253478493125279</v>
      </c>
      <c r="L88" t="str">
        <f t="shared" si="3"/>
        <v>OK</v>
      </c>
    </row>
    <row r="89" spans="1:12">
      <c r="A89" s="1">
        <v>44345</v>
      </c>
      <c r="B89" t="s">
        <v>14</v>
      </c>
      <c r="C89">
        <v>110</v>
      </c>
      <c r="D89">
        <f>(automotive_demand_forecasting_dataset5[[#This Row],[Units_Sold]] -$C$4) / $C$5</f>
        <v>0.1711240037855834</v>
      </c>
      <c r="E89">
        <v>33491.116568067948</v>
      </c>
      <c r="F89">
        <v>3.4149076887375358</v>
      </c>
      <c r="G89">
        <f t="shared" si="4"/>
        <v>3.224108373</v>
      </c>
      <c r="H89">
        <v>4.1978193681306424</v>
      </c>
      <c r="I89">
        <v>111131.06249067516</v>
      </c>
      <c r="J89">
        <f>111.9136842</f>
        <v>111.91368420000001</v>
      </c>
      <c r="K89">
        <v>30.020098487696636</v>
      </c>
      <c r="L89" t="str">
        <f t="shared" si="3"/>
        <v>OK</v>
      </c>
    </row>
    <row r="90" spans="1:12">
      <c r="A90" s="1">
        <v>44375</v>
      </c>
      <c r="B90" t="s">
        <v>11</v>
      </c>
      <c r="C90">
        <v>101</v>
      </c>
      <c r="D90">
        <f>(automotive_demand_forecasting_dataset5[[#This Row],[Units_Sold]] -$C$4) / $C$5</f>
        <v>-3.7198327889592063E-2</v>
      </c>
      <c r="E90">
        <v>31967.426927108747</v>
      </c>
      <c r="F90">
        <v>3.2733859753363626</v>
      </c>
      <c r="G90">
        <v>2.7132937073729386</v>
      </c>
      <c r="H90">
        <v>4.5095073640252537</v>
      </c>
      <c r="I90">
        <v>73290.368618002176</v>
      </c>
      <c r="J90">
        <v>104</v>
      </c>
      <c r="K90">
        <v>72.440797747689004</v>
      </c>
      <c r="L90" t="str">
        <f t="shared" si="3"/>
        <v>OK</v>
      </c>
    </row>
    <row r="91" spans="1:12">
      <c r="A91" s="1">
        <v>44405</v>
      </c>
      <c r="B91" t="s">
        <v>13</v>
      </c>
      <c r="C91">
        <v>84</v>
      </c>
      <c r="D91">
        <f>(automotive_demand_forecasting_dataset5[[#This Row],[Units_Sold]] -$C$4) / $C$5</f>
        <v>-0.43069606549825684</v>
      </c>
      <c r="E91">
        <v>34475.966100138663</v>
      </c>
      <c r="F91">
        <v>3.8481937237283574</v>
      </c>
      <c r="G91">
        <v>2.5012054753622244</v>
      </c>
      <c r="H91">
        <v>9.0389133103704697</v>
      </c>
      <c r="I91">
        <v>109720.72578835273</v>
      </c>
      <c r="J91">
        <v>99</v>
      </c>
      <c r="K91">
        <v>23.183770186852204</v>
      </c>
      <c r="L91" t="str">
        <f t="shared" si="3"/>
        <v>OK</v>
      </c>
    </row>
    <row r="92" spans="1:12">
      <c r="A92" s="1">
        <v>44435</v>
      </c>
      <c r="B92" t="s">
        <v>12</v>
      </c>
      <c r="C92">
        <v>115</v>
      </c>
      <c r="D92">
        <f>(automotive_demand_forecasting_dataset5[[#This Row],[Units_Sold]] -$C$4) / $C$5</f>
        <v>0.28685863249401422</v>
      </c>
      <c r="E92">
        <v>33175.859008409847</v>
      </c>
      <c r="F92">
        <v>4.5778345189999996</v>
      </c>
      <c r="G92">
        <v>1.6829113689318094</v>
      </c>
      <c r="H92">
        <v>6.9936154968841437</v>
      </c>
      <c r="I92">
        <v>69053.920221232693</v>
      </c>
      <c r="J92">
        <v>92</v>
      </c>
      <c r="K92">
        <v>67.814586841876718</v>
      </c>
      <c r="L92" t="str">
        <f t="shared" si="3"/>
        <v>OK</v>
      </c>
    </row>
    <row r="93" spans="1:12">
      <c r="A93" s="1">
        <v>44465</v>
      </c>
      <c r="B93" t="s">
        <v>11</v>
      </c>
      <c r="C93">
        <v>95</v>
      </c>
      <c r="D93">
        <f>(automotive_demand_forecasting_dataset5[[#This Row],[Units_Sold]] -$C$4) / $C$5</f>
        <v>-0.17607988233970903</v>
      </c>
      <c r="E93">
        <v>35247.763576596677</v>
      </c>
      <c r="F93">
        <v>3.5442034431459235</v>
      </c>
      <c r="G93">
        <v>3.1592456684324048</v>
      </c>
      <c r="H93">
        <v>3.8787107605503746</v>
      </c>
      <c r="I93">
        <v>121653.82107774146</v>
      </c>
      <c r="J93">
        <v>83</v>
      </c>
      <c r="K93">
        <v>89.575670788130708</v>
      </c>
      <c r="L93" t="str">
        <f t="shared" si="3"/>
        <v>OK</v>
      </c>
    </row>
    <row r="94" spans="1:12">
      <c r="A94" s="1">
        <v>44495</v>
      </c>
      <c r="B94" t="s">
        <v>10</v>
      </c>
      <c r="C94">
        <v>114</v>
      </c>
      <c r="D94">
        <f>(automotive_demand_forecasting_dataset5[[#This Row],[Units_Sold]] -$C$4) / $C$5</f>
        <v>0.26371170675232802</v>
      </c>
      <c r="E94">
        <v>27323.823942197159</v>
      </c>
      <c r="F94">
        <v>4.2387650405276309</v>
      </c>
      <c r="G94">
        <v>3.4375701376265582</v>
      </c>
      <c r="H94">
        <v>3.9130504519077158</v>
      </c>
      <c r="I94">
        <v>90577.50696364243</v>
      </c>
      <c r="J94">
        <f>111.9136842</f>
        <v>111.91368420000001</v>
      </c>
      <c r="K94">
        <v>91.266571863170682</v>
      </c>
      <c r="L94" t="str">
        <f t="shared" si="3"/>
        <v>OK</v>
      </c>
    </row>
    <row r="95" spans="1:12">
      <c r="A95" s="1">
        <v>44525</v>
      </c>
      <c r="B95" t="s">
        <v>12</v>
      </c>
      <c r="C95">
        <v>104</v>
      </c>
      <c r="D95">
        <f>(automotive_demand_forecasting_dataset5[[#This Row],[Units_Sold]] -$C$4) / $C$5</f>
        <v>3.2242449335466418E-2</v>
      </c>
      <c r="E95">
        <v>36586.970328171628</v>
      </c>
      <c r="F95">
        <v>2.9291554429332476</v>
      </c>
      <c r="G95">
        <v>0.89244013563102587</v>
      </c>
      <c r="H95">
        <f>6.97388673</f>
        <v>6.9738867300000003</v>
      </c>
      <c r="I95">
        <v>98127.276225216585</v>
      </c>
      <c r="J95">
        <v>91</v>
      </c>
      <c r="K95">
        <v>55.923020829596936</v>
      </c>
      <c r="L95" t="str">
        <f t="shared" si="3"/>
        <v>OK</v>
      </c>
    </row>
    <row r="96" spans="1:12">
      <c r="A96" s="1">
        <v>44555</v>
      </c>
      <c r="B96" t="s">
        <v>10</v>
      </c>
      <c r="C96">
        <v>89</v>
      </c>
      <c r="D96">
        <f>(automotive_demand_forecasting_dataset5[[#This Row],[Units_Sold]] -$C$4) / $C$5</f>
        <v>-0.31496143678982602</v>
      </c>
      <c r="E96">
        <v>30987.998023461998</v>
      </c>
      <c r="F96">
        <v>3.4031702703601407</v>
      </c>
      <c r="G96">
        <v>1.7372752214337859</v>
      </c>
      <c r="H96">
        <v>6.1567177568535607</v>
      </c>
      <c r="I96">
        <v>126515.93295084379</v>
      </c>
      <c r="J96">
        <f>111.9136842</f>
        <v>111.91368420000001</v>
      </c>
      <c r="K96">
        <v>56.744295057045903</v>
      </c>
      <c r="L96" t="str">
        <f t="shared" si="3"/>
        <v>OK</v>
      </c>
    </row>
    <row r="97" spans="1:12">
      <c r="A97" s="1">
        <v>44585</v>
      </c>
      <c r="B97" t="s">
        <v>11</v>
      </c>
      <c r="C97">
        <v>128.02105259999999</v>
      </c>
      <c r="D97">
        <f>(automotive_demand_forecasting_dataset5[[#This Row],[Units_Sold]] -$C$4) / $C$5</f>
        <v>0.58825597010480346</v>
      </c>
      <c r="E97">
        <v>40376.304363126328</v>
      </c>
      <c r="F97">
        <v>3.1415888396985974</v>
      </c>
      <c r="G97">
        <v>1.7308576502127018</v>
      </c>
      <c r="H97">
        <v>6.158660602380837</v>
      </c>
      <c r="I97">
        <v>74256.728628315002</v>
      </c>
      <c r="J97">
        <v>74</v>
      </c>
      <c r="K97">
        <v>26.157534640641387</v>
      </c>
      <c r="L97" t="str">
        <f t="shared" si="3"/>
        <v>OK</v>
      </c>
    </row>
    <row r="98" spans="1:12">
      <c r="A98" s="1">
        <v>44615</v>
      </c>
      <c r="B98" t="s">
        <v>14</v>
      </c>
      <c r="C98">
        <v>85</v>
      </c>
      <c r="D98">
        <f>(automotive_demand_forecasting_dataset5[[#This Row],[Units_Sold]] -$C$4) / $C$5</f>
        <v>-0.40754913975657064</v>
      </c>
      <c r="E98">
        <v>26554.060909552161</v>
      </c>
      <c r="F98">
        <v>2.5667316914634699</v>
      </c>
      <c r="G98">
        <v>1.5600968988911355</v>
      </c>
      <c r="H98">
        <v>5.1940530477355624</v>
      </c>
      <c r="I98">
        <v>72057.636297740173</v>
      </c>
      <c r="J98">
        <v>80</v>
      </c>
      <c r="K98">
        <v>73.661202035442855</v>
      </c>
      <c r="L98" t="str">
        <f t="shared" si="3"/>
        <v>OK</v>
      </c>
    </row>
    <row r="99" spans="1:12">
      <c r="A99" s="1">
        <v>44645</v>
      </c>
      <c r="B99" t="s">
        <v>11</v>
      </c>
      <c r="C99">
        <v>101</v>
      </c>
      <c r="D99">
        <f>(automotive_demand_forecasting_dataset5[[#This Row],[Units_Sold]] -$C$4) / $C$5</f>
        <v>-3.7198327889592063E-2</v>
      </c>
      <c r="E99">
        <v>38679.819015826244</v>
      </c>
      <c r="F99">
        <v>3.4586596570786505</v>
      </c>
      <c r="G99">
        <v>3.3294748419317486</v>
      </c>
      <c r="H99">
        <v>5.3494548879965196</v>
      </c>
      <c r="I99">
        <v>88328.013473079904</v>
      </c>
      <c r="J99">
        <v>81</v>
      </c>
      <c r="K99">
        <v>85.700753629827645</v>
      </c>
      <c r="L99" t="str">
        <f t="shared" si="3"/>
        <v>OK</v>
      </c>
    </row>
    <row r="100" spans="1:12">
      <c r="A100" s="1">
        <v>44675</v>
      </c>
      <c r="B100" t="s">
        <v>10</v>
      </c>
      <c r="C100">
        <v>104</v>
      </c>
      <c r="D100">
        <f>(automotive_demand_forecasting_dataset5[[#This Row],[Units_Sold]] -$C$4) / $C$5</f>
        <v>3.2242449335466418E-2</v>
      </c>
      <c r="E100">
        <v>30989.553917313238</v>
      </c>
      <c r="F100">
        <v>3.439126245808358</v>
      </c>
      <c r="G100">
        <v>2.3061738612271965</v>
      </c>
      <c r="H100">
        <v>5.8934554289912287</v>
      </c>
      <c r="I100">
        <v>120767.57702038634</v>
      </c>
      <c r="J100">
        <v>87</v>
      </c>
      <c r="K100">
        <v>39.572404368377043</v>
      </c>
      <c r="L100" t="str">
        <f t="shared" si="3"/>
        <v>OK</v>
      </c>
    </row>
    <row r="101" spans="1:12">
      <c r="A101" s="1">
        <v>44705</v>
      </c>
      <c r="B101" t="s">
        <v>12</v>
      </c>
      <c r="C101">
        <v>106</v>
      </c>
      <c r="D101">
        <f>(automotive_demand_forecasting_dataset5[[#This Row],[Units_Sold]] -$C$4) / $C$5</f>
        <v>7.853630081883875E-2</v>
      </c>
      <c r="E101">
        <v>38106.295579999998</v>
      </c>
      <c r="F101">
        <v>4.2567248716210653</v>
      </c>
      <c r="G101">
        <v>2.2354851586893894</v>
      </c>
      <c r="H101">
        <v>5.6030716075519962</v>
      </c>
      <c r="I101">
        <v>69613.078490463144</v>
      </c>
      <c r="J101">
        <v>95</v>
      </c>
      <c r="K101">
        <v>53.704070530669171</v>
      </c>
      <c r="L101" t="str">
        <f t="shared" si="3"/>
        <v>OK</v>
      </c>
    </row>
    <row r="102" spans="1:12">
      <c r="A102" s="1">
        <v>44735</v>
      </c>
      <c r="B102" t="s">
        <v>13</v>
      </c>
      <c r="C102">
        <v>95</v>
      </c>
      <c r="D102">
        <f>(automotive_demand_forecasting_dataset5[[#This Row],[Units_Sold]] -$C$4) / $C$5</f>
        <v>-0.17607988233970903</v>
      </c>
      <c r="E102">
        <v>27580.570829728393</v>
      </c>
      <c r="F102">
        <v>3.8154058422773889</v>
      </c>
      <c r="G102">
        <v>0.49613763559324653</v>
      </c>
      <c r="H102">
        <v>2.836839552702958</v>
      </c>
      <c r="I102">
        <v>43356.888037788623</v>
      </c>
      <c r="J102">
        <v>108</v>
      </c>
      <c r="K102">
        <v>87.107146941221629</v>
      </c>
      <c r="L102" t="str">
        <f t="shared" si="3"/>
        <v>OK</v>
      </c>
    </row>
    <row r="103" spans="1:12">
      <c r="A103" s="1">
        <v>44765</v>
      </c>
      <c r="B103" t="s">
        <v>11</v>
      </c>
      <c r="C103">
        <v>104</v>
      </c>
      <c r="D103">
        <f>(automotive_demand_forecasting_dataset5[[#This Row],[Units_Sold]] -$C$4) / $C$5</f>
        <v>3.2242449335466418E-2</v>
      </c>
      <c r="E103">
        <v>28398.2634590284</v>
      </c>
      <c r="F103">
        <v>2.9879065878353974</v>
      </c>
      <c r="G103">
        <v>3.1354180302092263</v>
      </c>
      <c r="H103">
        <v>5.2242404433097676</v>
      </c>
      <c r="I103">
        <v>90976.822831820027</v>
      </c>
      <c r="J103">
        <v>79</v>
      </c>
      <c r="K103">
        <v>90.169637412983036</v>
      </c>
      <c r="L103" t="str">
        <f t="shared" si="3"/>
        <v>OK</v>
      </c>
    </row>
    <row r="104" spans="1:12">
      <c r="A104" s="1">
        <v>44795</v>
      </c>
      <c r="B104" t="s">
        <v>12</v>
      </c>
      <c r="C104">
        <v>105</v>
      </c>
      <c r="D104">
        <f>(automotive_demand_forecasting_dataset5[[#This Row],[Units_Sold]] -$C$4) / $C$5</f>
        <v>5.5389375077152581E-2</v>
      </c>
      <c r="E104">
        <v>32120.829732009581</v>
      </c>
      <c r="F104">
        <v>4.427046283167094</v>
      </c>
      <c r="G104">
        <v>1.2607416051465274</v>
      </c>
      <c r="H104">
        <v>4.478312278887624</v>
      </c>
      <c r="I104">
        <f>128897.2893</f>
        <v>128897.2893</v>
      </c>
      <c r="J104">
        <v>89</v>
      </c>
      <c r="K104">
        <v>39.454398421138073</v>
      </c>
      <c r="L104" t="str">
        <f t="shared" si="3"/>
        <v>OK</v>
      </c>
    </row>
    <row r="105" spans="1:12">
      <c r="A105" s="1">
        <v>44825</v>
      </c>
      <c r="B105" t="s">
        <v>14</v>
      </c>
      <c r="C105">
        <v>84</v>
      </c>
      <c r="D105">
        <f>(automotive_demand_forecasting_dataset5[[#This Row],[Units_Sold]] -$C$4) / $C$5</f>
        <v>-0.43069606549825684</v>
      </c>
      <c r="E105">
        <v>32614.177440177496</v>
      </c>
      <c r="F105">
        <v>4.1105168477626766</v>
      </c>
      <c r="G105">
        <v>2.5599326302663283</v>
      </c>
      <c r="H105">
        <v>5.7102537026902143</v>
      </c>
      <c r="I105">
        <v>124005.23499477659</v>
      </c>
      <c r="J105">
        <v>95</v>
      </c>
      <c r="K105">
        <v>64.045650763309141</v>
      </c>
      <c r="L105" t="str">
        <f t="shared" si="3"/>
        <v>OK</v>
      </c>
    </row>
    <row r="106" spans="1:12">
      <c r="A106" s="1">
        <v>44855</v>
      </c>
      <c r="B106" t="s">
        <v>14</v>
      </c>
      <c r="C106">
        <v>93</v>
      </c>
      <c r="D106">
        <f>(automotive_demand_forecasting_dataset5[[#This Row],[Units_Sold]] -$C$4) / $C$5</f>
        <v>-0.22237373382308137</v>
      </c>
      <c r="E106">
        <v>27131.499980307104</v>
      </c>
      <c r="F106">
        <v>3.7910488517343079</v>
      </c>
      <c r="G106">
        <v>2.7773769379581918</v>
      </c>
      <c r="H106">
        <v>9.0823108031240913</v>
      </c>
      <c r="I106">
        <v>90736.77275829202</v>
      </c>
      <c r="J106">
        <v>96</v>
      </c>
      <c r="K106">
        <v>35.399452050866167</v>
      </c>
      <c r="L106" t="str">
        <f t="shared" si="3"/>
        <v>OK</v>
      </c>
    </row>
    <row r="107" spans="1:12">
      <c r="A107" s="1">
        <v>44885</v>
      </c>
      <c r="B107" t="s">
        <v>14</v>
      </c>
      <c r="C107">
        <v>115</v>
      </c>
      <c r="D107">
        <f>(automotive_demand_forecasting_dataset5[[#This Row],[Units_Sold]] -$C$4) / $C$5</f>
        <v>0.28685863249401422</v>
      </c>
      <c r="E107">
        <v>29878.227038695084</v>
      </c>
      <c r="F107">
        <v>3.3867579505750842</v>
      </c>
      <c r="G107">
        <v>3.8606585958386512</v>
      </c>
      <c r="H107">
        <v>5.9409779985691653</v>
      </c>
      <c r="I107">
        <v>91771.467857679949</v>
      </c>
      <c r="J107">
        <v>103</v>
      </c>
      <c r="K107">
        <v>28.150301131164525</v>
      </c>
      <c r="L107" t="str">
        <f t="shared" si="3"/>
        <v>OK</v>
      </c>
    </row>
    <row r="108" spans="1:12">
      <c r="A108" s="1">
        <v>44915</v>
      </c>
      <c r="B108" t="s">
        <v>12</v>
      </c>
      <c r="C108">
        <v>109</v>
      </c>
      <c r="D108">
        <f>(automotive_demand_forecasting_dataset5[[#This Row],[Units_Sold]] -$C$4) / $C$5</f>
        <v>0.14797707804389723</v>
      </c>
      <c r="E108">
        <v>40711.351793059323</v>
      </c>
      <c r="F108">
        <v>3.0202803816382602</v>
      </c>
      <c r="G108">
        <v>1.1911796008808879</v>
      </c>
      <c r="H108">
        <v>5.1237643765931224</v>
      </c>
      <c r="I108">
        <v>123078.01468511495</v>
      </c>
      <c r="J108">
        <v>82</v>
      </c>
      <c r="K108">
        <v>92.889640111356599</v>
      </c>
      <c r="L108" t="str">
        <f t="shared" si="3"/>
        <v>OK</v>
      </c>
    </row>
    <row r="109" spans="1:12">
      <c r="A109" s="1">
        <v>44945</v>
      </c>
      <c r="B109" t="s">
        <v>11</v>
      </c>
      <c r="C109">
        <v>102</v>
      </c>
      <c r="D109">
        <f>(automotive_demand_forecasting_dataset5[[#This Row],[Units_Sold]] -$C$4) / $C$5</f>
        <v>-1.4051402147905904E-2</v>
      </c>
      <c r="E109">
        <v>38637.715850503555</v>
      </c>
      <c r="F109">
        <v>3.3138966119644735</v>
      </c>
      <c r="G109">
        <v>-0.51951215582082533</v>
      </c>
      <c r="H109">
        <v>6.6061618023727027</v>
      </c>
      <c r="I109">
        <v>62605.166006091589</v>
      </c>
      <c r="J109">
        <v>83</v>
      </c>
      <c r="K109">
        <v>85.640600338568731</v>
      </c>
      <c r="L109" t="str">
        <f t="shared" si="3"/>
        <v>OK</v>
      </c>
    </row>
    <row r="110" spans="1:12">
      <c r="A110" s="1">
        <v>44975</v>
      </c>
      <c r="B110" t="s">
        <v>12</v>
      </c>
      <c r="C110">
        <v>100</v>
      </c>
      <c r="D110">
        <f>(automotive_demand_forecasting_dataset5[[#This Row],[Units_Sold]] -$C$4) / $C$5</f>
        <v>-6.0345253631278226E-2</v>
      </c>
      <c r="E110">
        <v>32181.618348370161</v>
      </c>
      <c r="F110">
        <v>4.0443743098520928</v>
      </c>
      <c r="G110">
        <v>2.683849544753695</v>
      </c>
      <c r="H110">
        <v>6.0792254646510555</v>
      </c>
      <c r="I110">
        <v>92229.584496339812</v>
      </c>
      <c r="J110">
        <v>78</v>
      </c>
      <c r="K110">
        <v>80.802792144253914</v>
      </c>
      <c r="L110" t="str">
        <f t="shared" si="3"/>
        <v>OK</v>
      </c>
    </row>
    <row r="111" spans="1:12">
      <c r="A111" s="1">
        <v>45005</v>
      </c>
      <c r="B111" t="s">
        <v>12</v>
      </c>
      <c r="C111">
        <v>93</v>
      </c>
      <c r="D111">
        <f>(automotive_demand_forecasting_dataset5[[#This Row],[Units_Sold]] -$C$4) / $C$5</f>
        <v>-0.22237373382308137</v>
      </c>
      <c r="E111">
        <v>30190.017390841</v>
      </c>
      <c r="F111">
        <v>4.4422931529673049</v>
      </c>
      <c r="G111">
        <v>4.3005111815108537</v>
      </c>
      <c r="H111">
        <v>6.0041133885422093</v>
      </c>
      <c r="I111">
        <v>103808.47779850116</v>
      </c>
      <c r="J111">
        <v>90</v>
      </c>
      <c r="K111">
        <v>23.901305505051234</v>
      </c>
      <c r="L111" t="str">
        <f t="shared" si="3"/>
        <v>OK</v>
      </c>
    </row>
    <row r="112" spans="1:12">
      <c r="A112" s="1">
        <v>45035</v>
      </c>
      <c r="B112" t="s">
        <v>13</v>
      </c>
      <c r="C112">
        <v>128.02105259999999</v>
      </c>
      <c r="D112">
        <f>(automotive_demand_forecasting_dataset5[[#This Row],[Units_Sold]] -$C$4) / $C$5</f>
        <v>0.58825597010480346</v>
      </c>
      <c r="E112">
        <v>30600.156633591305</v>
      </c>
      <c r="F112">
        <v>4.2716217641360945</v>
      </c>
      <c r="G112">
        <v>3.7389463529394371</v>
      </c>
      <c r="H112">
        <v>6.2282207118588051</v>
      </c>
      <c r="I112">
        <v>108984.37442570069</v>
      </c>
      <c r="J112">
        <v>820</v>
      </c>
      <c r="K112">
        <v>87.49830341682059</v>
      </c>
      <c r="L112" t="str">
        <f t="shared" si="3"/>
        <v>OK</v>
      </c>
    </row>
    <row r="113" spans="1:12">
      <c r="A113" s="1">
        <v>45065</v>
      </c>
      <c r="B113" t="s">
        <v>13</v>
      </c>
      <c r="C113">
        <v>117</v>
      </c>
      <c r="D113">
        <f>(automotive_demand_forecasting_dataset5[[#This Row],[Units_Sold]] -$C$4) / $C$5</f>
        <v>0.3331524839773865</v>
      </c>
      <c r="E113">
        <v>33067.589863652087</v>
      </c>
      <c r="F113">
        <v>3.2555752891068628</v>
      </c>
      <c r="G113">
        <v>2.7096594152746256</v>
      </c>
      <c r="H113">
        <v>7.9678522777954495</v>
      </c>
      <c r="I113">
        <v>898038.66136182344</v>
      </c>
      <c r="J113">
        <v>98</v>
      </c>
      <c r="K113">
        <v>55.043526072430701</v>
      </c>
      <c r="L113" t="str">
        <f t="shared" si="3"/>
        <v>OK</v>
      </c>
    </row>
    <row r="114" spans="1:12">
      <c r="A114" s="1">
        <v>45095</v>
      </c>
      <c r="B114" t="s">
        <v>11</v>
      </c>
      <c r="C114">
        <v>98</v>
      </c>
      <c r="D114">
        <f>(automotive_demand_forecasting_dataset5[[#This Row],[Units_Sold]] -$C$4) / $C$5</f>
        <v>-0.10663910511465055</v>
      </c>
      <c r="E114">
        <v>24886.037174007972</v>
      </c>
      <c r="F114">
        <v>2.9401912833554942</v>
      </c>
      <c r="G114">
        <v>2.0083638143679527</v>
      </c>
      <c r="H114">
        <v>4.1429338776089013</v>
      </c>
      <c r="I114">
        <v>100688.82023411682</v>
      </c>
      <c r="J114">
        <v>87</v>
      </c>
      <c r="K114">
        <v>47.391609863668769</v>
      </c>
      <c r="L114" t="str">
        <f t="shared" si="3"/>
        <v>OK</v>
      </c>
    </row>
    <row r="115" spans="1:12">
      <c r="A115" s="1">
        <v>45125</v>
      </c>
      <c r="B115" t="s">
        <v>13</v>
      </c>
      <c r="C115">
        <v>94</v>
      </c>
      <c r="D115">
        <f>(automotive_demand_forecasting_dataset5[[#This Row],[Units_Sold]] -$C$4) / $C$5</f>
        <v>-0.1992268080813952</v>
      </c>
      <c r="E115">
        <v>28713.117312883274</v>
      </c>
      <c r="F115">
        <v>3.5704431234556018</v>
      </c>
      <c r="G115">
        <v>3.3071225966373103</v>
      </c>
      <c r="H115">
        <v>6.0683584921737452</v>
      </c>
      <c r="I115">
        <v>50233.452931740212</v>
      </c>
      <c r="J115">
        <v>108</v>
      </c>
      <c r="K115">
        <v>63.718108882030116</v>
      </c>
      <c r="L115" t="str">
        <f t="shared" si="3"/>
        <v>OK</v>
      </c>
    </row>
    <row r="116" spans="1:12">
      <c r="A116" s="1">
        <v>45155</v>
      </c>
      <c r="B116" t="s">
        <v>14</v>
      </c>
      <c r="C116">
        <v>112</v>
      </c>
      <c r="D116">
        <f>(automotive_demand_forecasting_dataset5[[#This Row],[Units_Sold]] -$C$4) / $C$5</f>
        <v>0.21741785526895571</v>
      </c>
      <c r="E116">
        <v>21657.079630612054</v>
      </c>
      <c r="F116">
        <v>2.6157803172185741</v>
      </c>
      <c r="G116">
        <f>3.224108373</f>
        <v>3.224108373</v>
      </c>
      <c r="H116">
        <v>4.3883426440221545</v>
      </c>
      <c r="I116">
        <v>86835.031753323041</v>
      </c>
      <c r="J116">
        <v>98</v>
      </c>
      <c r="K116">
        <v>27.308259417884464</v>
      </c>
      <c r="L116" t="str">
        <f t="shared" si="3"/>
        <v>OK</v>
      </c>
    </row>
    <row r="117" spans="1:12">
      <c r="A117" s="1">
        <v>45185</v>
      </c>
      <c r="B117" t="s">
        <v>13</v>
      </c>
      <c r="C117">
        <v>89</v>
      </c>
      <c r="D117">
        <f>(automotive_demand_forecasting_dataset5[[#This Row],[Units_Sold]] -$C$4) / $C$5</f>
        <v>-0.31496143678982602</v>
      </c>
      <c r="E117">
        <v>31996.115613026395</v>
      </c>
      <c r="F117">
        <v>3.6615838570923906</v>
      </c>
      <c r="G117">
        <v>2.9763577693562193</v>
      </c>
      <c r="H117">
        <v>6.1666151756106977</v>
      </c>
      <c r="I117">
        <v>109070.17425108935</v>
      </c>
      <c r="J117">
        <v>87</v>
      </c>
      <c r="K117">
        <v>80.53172394819191</v>
      </c>
      <c r="L117" t="str">
        <f t="shared" si="3"/>
        <v>OK</v>
      </c>
    </row>
    <row r="118" spans="1:12">
      <c r="A118" s="1">
        <v>45215</v>
      </c>
      <c r="B118" t="s">
        <v>14</v>
      </c>
      <c r="C118">
        <v>119</v>
      </c>
      <c r="D118">
        <f>(automotive_demand_forecasting_dataset5[[#This Row],[Units_Sold]] -$C$4) / $C$5</f>
        <v>0.37944633546075884</v>
      </c>
      <c r="E118">
        <v>33235.979698513707</v>
      </c>
      <c r="F118">
        <v>3.4261987068506659</v>
      </c>
      <c r="G118">
        <v>3.0054701591666269</v>
      </c>
      <c r="H118">
        <v>4.3975761862166873</v>
      </c>
      <c r="I118">
        <v>80354.119314906406</v>
      </c>
      <c r="J118">
        <v>95</v>
      </c>
      <c r="K118">
        <v>66.594806151063665</v>
      </c>
      <c r="L118" t="str">
        <f t="shared" si="3"/>
        <v>OK</v>
      </c>
    </row>
    <row r="119" spans="1:12">
      <c r="A119" s="1">
        <v>45245</v>
      </c>
      <c r="B119" t="s">
        <v>11</v>
      </c>
      <c r="C119">
        <v>102</v>
      </c>
      <c r="D119">
        <f>(automotive_demand_forecasting_dataset5[[#This Row],[Units_Sold]] -$C$4) / $C$5</f>
        <v>-1.4051402147905904E-2</v>
      </c>
      <c r="E119">
        <v>27584.067688503128</v>
      </c>
      <c r="F119">
        <v>3.266981749065879</v>
      </c>
      <c r="G119">
        <v>3.56020990749888</v>
      </c>
      <c r="H119">
        <v>4.9991598236738986</v>
      </c>
      <c r="I119">
        <f>128897.2893</f>
        <v>128897.2893</v>
      </c>
      <c r="J119">
        <v>92</v>
      </c>
      <c r="K119">
        <v>34.927207749853402</v>
      </c>
      <c r="L119" t="str">
        <f t="shared" si="3"/>
        <v>OK</v>
      </c>
    </row>
    <row r="120" spans="1:12">
      <c r="A120" s="1">
        <v>45275</v>
      </c>
      <c r="B120" t="s">
        <v>12</v>
      </c>
      <c r="C120">
        <v>87</v>
      </c>
      <c r="D120">
        <f>(automotive_demand_forecasting_dataset5[[#This Row],[Units_Sold]] -$C$4) / $C$5</f>
        <v>-0.36125528827319836</v>
      </c>
      <c r="E120">
        <v>37869.933816450168</v>
      </c>
      <c r="F120">
        <v>2.7026484663666022</v>
      </c>
      <c r="G120">
        <f>3.224108373</f>
        <v>3.224108373</v>
      </c>
      <c r="H120">
        <v>5.1458921029145124</v>
      </c>
      <c r="I120">
        <v>108937.45001605396</v>
      </c>
      <c r="J120">
        <v>90</v>
      </c>
      <c r="K120">
        <v>35.058575981523646</v>
      </c>
      <c r="L120" t="str">
        <f t="shared" si="3"/>
        <v>OK</v>
      </c>
    </row>
    <row r="121" spans="1:12">
      <c r="A121" s="1">
        <v>45305</v>
      </c>
      <c r="B121" t="s">
        <v>12</v>
      </c>
      <c r="C121">
        <v>113</v>
      </c>
      <c r="D121">
        <f>(automotive_demand_forecasting_dataset5[[#This Row],[Units_Sold]] -$C$4) / $C$5</f>
        <v>0.24056478101064188</v>
      </c>
      <c r="E121">
        <v>23871.171684988294</v>
      </c>
      <c r="F121">
        <v>3.7568000532848584</v>
      </c>
      <c r="G121">
        <v>2.892415967178767</v>
      </c>
      <c r="H121">
        <v>6.6709800632136513</v>
      </c>
      <c r="I121">
        <v>93149.015982844707</v>
      </c>
      <c r="J121">
        <v>88</v>
      </c>
      <c r="K121">
        <v>34.739892125813938</v>
      </c>
      <c r="L121" t="str">
        <f t="shared" si="3"/>
        <v>OK</v>
      </c>
    </row>
    <row r="122" spans="1:12">
      <c r="A122" s="1">
        <v>45335</v>
      </c>
      <c r="B122" t="s">
        <v>13</v>
      </c>
      <c r="C122">
        <v>106</v>
      </c>
      <c r="D122">
        <f>(automotive_demand_forecasting_dataset5[[#This Row],[Units_Sold]] -$C$4) / $C$5</f>
        <v>7.853630081883875E-2</v>
      </c>
      <c r="E122">
        <v>22678.125598950901</v>
      </c>
      <c r="F122">
        <v>3.2336495801690441</v>
      </c>
      <c r="G122">
        <v>1.9910363742925012</v>
      </c>
      <c r="H122">
        <v>6.6021453327308963</v>
      </c>
      <c r="I122">
        <v>103409.27541993142</v>
      </c>
      <c r="J122">
        <f>111.9136842</f>
        <v>111.91368420000001</v>
      </c>
      <c r="K122">
        <v>24.560191004154717</v>
      </c>
      <c r="L122" t="str">
        <f t="shared" si="3"/>
        <v>OK</v>
      </c>
    </row>
    <row r="123" spans="1:12">
      <c r="A123" s="1">
        <v>45365</v>
      </c>
      <c r="B123" t="s">
        <v>14</v>
      </c>
      <c r="C123">
        <v>96</v>
      </c>
      <c r="D123">
        <f>(automotive_demand_forecasting_dataset5[[#This Row],[Units_Sold]] -$C$4) / $C$5</f>
        <v>-0.15293295659802289</v>
      </c>
      <c r="E123">
        <v>38106.295579999998</v>
      </c>
      <c r="F123">
        <v>2.9150415821448559</v>
      </c>
      <c r="G123">
        <v>2.4744256878080058</v>
      </c>
      <c r="H123">
        <f>6.97388673</f>
        <v>6.9738867300000003</v>
      </c>
      <c r="I123">
        <v>80745.348694307759</v>
      </c>
      <c r="J123">
        <v>87</v>
      </c>
      <c r="K123">
        <v>67.023875949734787</v>
      </c>
      <c r="L123" t="str">
        <f t="shared" si="3"/>
        <v>OK</v>
      </c>
    </row>
    <row r="124" spans="1:12">
      <c r="A124" s="1">
        <v>45395</v>
      </c>
      <c r="B124" t="s">
        <v>10</v>
      </c>
      <c r="C124">
        <v>110</v>
      </c>
      <c r="D124">
        <f>(automotive_demand_forecasting_dataset5[[#This Row],[Units_Sold]] -$C$4) / $C$5</f>
        <v>0.1711240037855834</v>
      </c>
      <c r="E124">
        <v>35235.49151306077</v>
      </c>
      <c r="F124">
        <v>2.0638688933591753</v>
      </c>
      <c r="G124">
        <v>0.73092409511088174</v>
      </c>
      <c r="H124">
        <v>5.5659209331998181</v>
      </c>
      <c r="I124">
        <v>95867.774406079072</v>
      </c>
      <c r="J124">
        <v>81</v>
      </c>
      <c r="K124">
        <v>87.227854207080654</v>
      </c>
      <c r="L124" t="str">
        <f t="shared" si="3"/>
        <v>OK</v>
      </c>
    </row>
    <row r="125" spans="1:12">
      <c r="A125" s="1">
        <v>45425</v>
      </c>
      <c r="B125" t="s">
        <v>10</v>
      </c>
      <c r="C125">
        <v>100</v>
      </c>
      <c r="D125">
        <f>(automotive_demand_forecasting_dataset5[[#This Row],[Units_Sold]] -$C$4) / $C$5</f>
        <v>-6.0345253631278226E-2</v>
      </c>
      <c r="E125">
        <v>38419.638457289344</v>
      </c>
      <c r="F125">
        <v>3.4862425474746819</v>
      </c>
      <c r="G125">
        <v>1.8052868689109418</v>
      </c>
      <c r="H125">
        <v>4.6485041743009932</v>
      </c>
      <c r="I125">
        <v>1122043.2339178445</v>
      </c>
      <c r="J125">
        <v>105</v>
      </c>
      <c r="K125">
        <v>21.399857118991086</v>
      </c>
      <c r="L125" t="str">
        <f t="shared" si="3"/>
        <v>OK</v>
      </c>
    </row>
    <row r="126" spans="1:12">
      <c r="A126" s="1">
        <v>45455</v>
      </c>
      <c r="B126" t="s">
        <v>10</v>
      </c>
      <c r="C126">
        <v>128.02105259999999</v>
      </c>
      <c r="D126">
        <f>(automotive_demand_forecasting_dataset5[[#This Row],[Units_Sold]] -$C$4) / $C$5</f>
        <v>0.58825597010480346</v>
      </c>
      <c r="E126">
        <v>27705.578685655299</v>
      </c>
      <c r="F126">
        <v>4.3861257983348718</v>
      </c>
      <c r="G126">
        <v>2.0907175618868958</v>
      </c>
      <c r="H126">
        <v>3.9897941071895984</v>
      </c>
      <c r="I126">
        <v>103139.45921936868</v>
      </c>
      <c r="J126">
        <v>101</v>
      </c>
      <c r="K126">
        <v>23.920371597701884</v>
      </c>
      <c r="L126" t="str">
        <f t="shared" si="3"/>
        <v>OK</v>
      </c>
    </row>
    <row r="127" spans="1:12">
      <c r="A127" s="1">
        <v>45485</v>
      </c>
      <c r="B127" t="s">
        <v>12</v>
      </c>
      <c r="C127">
        <v>106</v>
      </c>
      <c r="D127">
        <f>(automotive_demand_forecasting_dataset5[[#This Row],[Units_Sold]] -$C$4) / $C$5</f>
        <v>7.853630081883875E-2</v>
      </c>
      <c r="E127">
        <v>35393.404167156477</v>
      </c>
      <c r="F127">
        <v>4.3306296072739352</v>
      </c>
      <c r="G127">
        <v>1.9759116020654075</v>
      </c>
      <c r="H127">
        <v>5.2395795394907552</v>
      </c>
      <c r="I127">
        <v>88269.374608721293</v>
      </c>
      <c r="J127">
        <v>113</v>
      </c>
      <c r="K127">
        <v>65.82162213495566</v>
      </c>
      <c r="L127" t="str">
        <f t="shared" si="3"/>
        <v>OK</v>
      </c>
    </row>
    <row r="128" spans="1:12">
      <c r="A128" s="1">
        <v>45515</v>
      </c>
      <c r="B128" t="s">
        <v>12</v>
      </c>
      <c r="C128">
        <v>114</v>
      </c>
      <c r="D128">
        <f>(automotive_demand_forecasting_dataset5[[#This Row],[Units_Sold]] -$C$4) / $C$5</f>
        <v>0.26371170675232802</v>
      </c>
      <c r="E128">
        <v>29807.457652496465</v>
      </c>
      <c r="F128">
        <v>3.2714518717068639</v>
      </c>
      <c r="G128">
        <v>2.652354872033722</v>
      </c>
      <c r="H128">
        <v>5.1298206538530167</v>
      </c>
      <c r="I128">
        <v>104484.32808581585</v>
      </c>
      <c r="J128">
        <v>85</v>
      </c>
      <c r="K128">
        <v>85.559654830884185</v>
      </c>
      <c r="L128" t="str">
        <f t="shared" si="3"/>
        <v>OK</v>
      </c>
    </row>
    <row r="129" spans="1:12">
      <c r="A129" s="1">
        <v>45545</v>
      </c>
      <c r="B129" t="s">
        <v>14</v>
      </c>
      <c r="C129">
        <v>96</v>
      </c>
      <c r="D129">
        <f>(automotive_demand_forecasting_dataset5[[#This Row],[Units_Sold]] -$C$4) / $C$5</f>
        <v>-0.15293295659802289</v>
      </c>
      <c r="E129">
        <v>29136.863500295902</v>
      </c>
      <c r="F129">
        <v>3.1988939698191099</v>
      </c>
      <c r="G129">
        <f>3.224108373</f>
        <v>3.224108373</v>
      </c>
      <c r="H129">
        <v>8.4120597836146267</v>
      </c>
      <c r="I129">
        <v>114292.19581273236</v>
      </c>
      <c r="J129">
        <v>90</v>
      </c>
      <c r="K129">
        <v>46.139111245490689</v>
      </c>
      <c r="L129" t="str">
        <f t="shared" si="3"/>
        <v>OK</v>
      </c>
    </row>
    <row r="130" spans="1:12">
      <c r="A130" s="1">
        <v>45575</v>
      </c>
      <c r="B130" t="s">
        <v>13</v>
      </c>
      <c r="C130">
        <v>102</v>
      </c>
      <c r="D130">
        <f>(automotive_demand_forecasting_dataset5[[#This Row],[Units_Sold]] -$C$4) / $C$5</f>
        <v>-1.4051402147905904E-2</v>
      </c>
      <c r="E130">
        <v>34418.299687433362</v>
      </c>
      <c r="F130">
        <v>3.734387128037512</v>
      </c>
      <c r="G130">
        <v>3.6210306673244714</v>
      </c>
      <c r="H130">
        <v>6.0195517904328355</v>
      </c>
      <c r="I130">
        <v>59001.174428450438</v>
      </c>
      <c r="J130">
        <v>83</v>
      </c>
      <c r="K130">
        <v>47.969151904617775</v>
      </c>
      <c r="L130" t="str">
        <f t="shared" si="3"/>
        <v>OK</v>
      </c>
    </row>
    <row r="131" spans="1:12">
      <c r="A131" s="1">
        <v>45605</v>
      </c>
      <c r="B131" t="s">
        <v>10</v>
      </c>
      <c r="C131">
        <v>128.02105259999999</v>
      </c>
      <c r="D131">
        <f>(automotive_demand_forecasting_dataset5[[#This Row],[Units_Sold]] -$C$4) / $C$5</f>
        <v>0.58825597010480346</v>
      </c>
      <c r="E131">
        <v>33261.614392067095</v>
      </c>
      <c r="F131">
        <v>30.008072804058543</v>
      </c>
      <c r="G131">
        <v>2.5002070649181971</v>
      </c>
      <c r="H131">
        <v>3.8468589990949154</v>
      </c>
      <c r="I131">
        <v>123181.48129911795</v>
      </c>
      <c r="J131">
        <v>99</v>
      </c>
      <c r="K131">
        <v>67.70771979974208</v>
      </c>
      <c r="L131" t="str">
        <f t="shared" si="3"/>
        <v>OK</v>
      </c>
    </row>
    <row r="132" spans="1:12">
      <c r="A132" s="1">
        <v>45635</v>
      </c>
      <c r="B132" t="s">
        <v>14</v>
      </c>
      <c r="C132">
        <v>93</v>
      </c>
      <c r="D132">
        <f>(automotive_demand_forecasting_dataset5[[#This Row],[Units_Sold]] -$C$4) / $C$5</f>
        <v>-0.22237373382308137</v>
      </c>
      <c r="E132">
        <v>22118.039215078752</v>
      </c>
      <c r="F132">
        <v>3.6508959499097329</v>
      </c>
      <c r="G132">
        <v>2.4906996788613855</v>
      </c>
      <c r="H132">
        <v>4.8222711949948689</v>
      </c>
      <c r="I132">
        <v>93274.905226378556</v>
      </c>
      <c r="J132">
        <v>84</v>
      </c>
      <c r="K132">
        <v>41.937031129931761</v>
      </c>
      <c r="L132" t="str">
        <f t="shared" si="3"/>
        <v>OK</v>
      </c>
    </row>
    <row r="133" spans="1:12">
      <c r="A133" s="1">
        <v>45665</v>
      </c>
      <c r="B133" t="s">
        <v>14</v>
      </c>
      <c r="C133">
        <v>69</v>
      </c>
      <c r="D133">
        <f>(automotive_demand_forecasting_dataset5[[#This Row],[Units_Sold]] -$C$4) / $C$5</f>
        <v>-0.7778999516235493</v>
      </c>
      <c r="E133">
        <v>37382.701748629479</v>
      </c>
      <c r="F133">
        <v>38.830401391923452</v>
      </c>
      <c r="G133">
        <v>2.172105283487082</v>
      </c>
      <c r="H133">
        <v>6.7256599545152778</v>
      </c>
      <c r="I133">
        <v>108509.79866480461</v>
      </c>
      <c r="J133">
        <f>111.9136842</f>
        <v>111.91368420000001</v>
      </c>
      <c r="K133">
        <v>22.128669286214731</v>
      </c>
      <c r="L133" t="str">
        <f t="shared" si="3"/>
        <v>OK</v>
      </c>
    </row>
    <row r="134" spans="1:12">
      <c r="A134" s="1">
        <v>45695</v>
      </c>
      <c r="B134" t="s">
        <v>13</v>
      </c>
      <c r="C134">
        <v>111</v>
      </c>
      <c r="D134">
        <f>(automotive_demand_forecasting_dataset5[[#This Row],[Units_Sold]] -$C$4) / $C$5</f>
        <v>0.19427092952726954</v>
      </c>
      <c r="E134">
        <v>36900.456770737255</v>
      </c>
      <c r="F134">
        <v>4.1134666119421537</v>
      </c>
      <c r="G134">
        <v>2.6551906838589789</v>
      </c>
      <c r="H134">
        <v>8.0061313274439101</v>
      </c>
      <c r="I134">
        <v>123944.93847290456</v>
      </c>
      <c r="J134">
        <v>78</v>
      </c>
      <c r="K134">
        <v>78.818281448127692</v>
      </c>
      <c r="L134" t="str">
        <f t="shared" si="3"/>
        <v>OK</v>
      </c>
    </row>
    <row r="135" spans="1:12">
      <c r="A135" s="1">
        <v>45725</v>
      </c>
      <c r="B135" t="s">
        <v>14</v>
      </c>
      <c r="C135">
        <v>87</v>
      </c>
      <c r="D135">
        <f>(automotive_demand_forecasting_dataset5[[#This Row],[Units_Sold]] -$C$4) / $C$5</f>
        <v>-0.36125528827319836</v>
      </c>
      <c r="E135">
        <v>38106.295579999998</v>
      </c>
      <c r="F135">
        <v>3.4499229617600236</v>
      </c>
      <c r="G135">
        <v>3.3250982646676346</v>
      </c>
      <c r="H135">
        <v>3.5968200253144502</v>
      </c>
      <c r="I135">
        <v>72566.526055390685</v>
      </c>
      <c r="J135">
        <v>110</v>
      </c>
      <c r="K135">
        <f>80.21517797</f>
        <v>80.215177969999999</v>
      </c>
      <c r="L135" t="str">
        <f t="shared" si="3"/>
        <v>OK</v>
      </c>
    </row>
    <row r="136" spans="1:12">
      <c r="A136" s="1">
        <v>45755</v>
      </c>
      <c r="B136" t="s">
        <v>13</v>
      </c>
      <c r="C136">
        <v>100</v>
      </c>
      <c r="D136">
        <f>(automotive_demand_forecasting_dataset5[[#This Row],[Units_Sold]] -$C$4) / $C$5</f>
        <v>-6.0345253631278226E-2</v>
      </c>
      <c r="E136">
        <v>31979.017667187047</v>
      </c>
      <c r="F136">
        <v>3.398163124911517</v>
      </c>
      <c r="G136">
        <v>1.6328697842890998</v>
      </c>
      <c r="H136">
        <v>3.2440907378331461</v>
      </c>
      <c r="I136">
        <v>85811.17995144907</v>
      </c>
      <c r="J136">
        <v>85</v>
      </c>
      <c r="K136">
        <v>66.460479924452727</v>
      </c>
      <c r="L136" t="str">
        <f t="shared" si="3"/>
        <v>OK</v>
      </c>
    </row>
    <row r="137" spans="1:12">
      <c r="A137" s="1">
        <v>45785</v>
      </c>
      <c r="B137" t="s">
        <v>11</v>
      </c>
      <c r="C137">
        <v>104</v>
      </c>
      <c r="D137">
        <f>(automotive_demand_forecasting_dataset5[[#This Row],[Units_Sold]] -$C$4) / $C$5</f>
        <v>3.2242449335466418E-2</v>
      </c>
      <c r="E137">
        <v>32470.150931413693</v>
      </c>
      <c r="F137">
        <v>4.5778345189999996</v>
      </c>
      <c r="G137">
        <v>1.8418835109247433</v>
      </c>
      <c r="H137">
        <v>7.7451582104461387</v>
      </c>
      <c r="I137">
        <v>942290.26082485903</v>
      </c>
      <c r="J137">
        <v>94</v>
      </c>
      <c r="K137">
        <v>79.334730319345852</v>
      </c>
      <c r="L137" t="str">
        <f t="shared" si="3"/>
        <v>OK</v>
      </c>
    </row>
    <row r="138" spans="1:12">
      <c r="A138" s="1">
        <v>45815</v>
      </c>
      <c r="B138" t="s">
        <v>13</v>
      </c>
      <c r="C138">
        <v>78</v>
      </c>
      <c r="D138">
        <f>(automotive_demand_forecasting_dataset5[[#This Row],[Units_Sold]] -$C$4) / $C$5</f>
        <v>-0.56957761994837375</v>
      </c>
      <c r="E138">
        <v>313033.68829119537</v>
      </c>
      <c r="F138">
        <v>3.0865598229800701</v>
      </c>
      <c r="G138">
        <v>2.1962739712233352</v>
      </c>
      <c r="H138">
        <v>5.9675370128450851</v>
      </c>
      <c r="I138">
        <v>84324.92957751143</v>
      </c>
      <c r="J138">
        <v>77</v>
      </c>
      <c r="K138">
        <v>74.018467004963</v>
      </c>
      <c r="L138" t="str">
        <f t="shared" si="3"/>
        <v>OK</v>
      </c>
    </row>
    <row r="139" spans="1:12">
      <c r="A139" s="1">
        <v>45845</v>
      </c>
      <c r="B139" t="s">
        <v>10</v>
      </c>
      <c r="C139">
        <v>101</v>
      </c>
      <c r="D139">
        <f>(automotive_demand_forecasting_dataset5[[#This Row],[Units_Sold]] -$C$4) / $C$5</f>
        <v>-3.7198327889592063E-2</v>
      </c>
      <c r="E139">
        <v>27248.474230772899</v>
      </c>
      <c r="F139">
        <v>3.3867605540492365</v>
      </c>
      <c r="G139">
        <v>1.1541290765267851</v>
      </c>
      <c r="H139">
        <v>4.4580487217483604</v>
      </c>
      <c r="I139">
        <v>134698.73151673615</v>
      </c>
      <c r="J139">
        <v>99</v>
      </c>
      <c r="K139">
        <v>36.470559054265692</v>
      </c>
      <c r="L139" t="str">
        <f t="shared" ref="L139:L202" si="5">IF(COUNTA(A139:K139)&lt;COLUMNS(A139:K139), "Missing Data", "OK")</f>
        <v>OK</v>
      </c>
    </row>
    <row r="140" spans="1:12">
      <c r="A140" s="1">
        <v>45875</v>
      </c>
      <c r="B140" t="s">
        <v>10</v>
      </c>
      <c r="C140">
        <v>100</v>
      </c>
      <c r="D140">
        <f>(automotive_demand_forecasting_dataset5[[#This Row],[Units_Sold]] -$C$4) / $C$5</f>
        <v>-6.0345253631278226E-2</v>
      </c>
      <c r="E140">
        <v>26641.883160309742</v>
      </c>
      <c r="F140">
        <v>3.6836827534080889</v>
      </c>
      <c r="G140">
        <v>1.6807421402785021</v>
      </c>
      <c r="H140">
        <v>6.1415549033469219</v>
      </c>
      <c r="I140">
        <f>128897.2893</f>
        <v>128897.2893</v>
      </c>
      <c r="J140">
        <v>85</v>
      </c>
      <c r="K140">
        <v>48.198483755468089</v>
      </c>
      <c r="L140" t="str">
        <f t="shared" si="5"/>
        <v>OK</v>
      </c>
    </row>
    <row r="141" spans="1:12">
      <c r="A141" s="1">
        <v>45905</v>
      </c>
      <c r="B141" t="s">
        <v>13</v>
      </c>
      <c r="C141">
        <v>109</v>
      </c>
      <c r="D141">
        <f>(automotive_demand_forecasting_dataset5[[#This Row],[Units_Sold]] -$C$4) / $C$5</f>
        <v>0.14797707804389723</v>
      </c>
      <c r="E141">
        <v>29872.229645042775</v>
      </c>
      <c r="F141">
        <v>3.9567923131166247</v>
      </c>
      <c r="G141">
        <v>2.0237791264553411</v>
      </c>
      <c r="H141">
        <v>2.3371027131797466</v>
      </c>
      <c r="I141">
        <v>88889.064410262668</v>
      </c>
      <c r="J141">
        <v>97</v>
      </c>
      <c r="K141">
        <v>30.08881133429</v>
      </c>
      <c r="L141" t="str">
        <f t="shared" si="5"/>
        <v>OK</v>
      </c>
    </row>
    <row r="142" spans="1:12">
      <c r="A142" s="1">
        <v>45935</v>
      </c>
      <c r="B142" t="s">
        <v>11</v>
      </c>
      <c r="C142">
        <v>98</v>
      </c>
      <c r="D142">
        <f>(automotive_demand_forecasting_dataset5[[#This Row],[Units_Sold]] -$C$4) / $C$5</f>
        <v>-0.10663910511465055</v>
      </c>
      <c r="E142">
        <v>35863.645096296823</v>
      </c>
      <c r="F142">
        <v>3.0984105246598275</v>
      </c>
      <c r="G142">
        <v>3.3743891807127273</v>
      </c>
      <c r="H142">
        <v>5.504050607916593</v>
      </c>
      <c r="I142">
        <v>104087.78063205954</v>
      </c>
      <c r="J142">
        <f>111.9136842</f>
        <v>111.91368420000001</v>
      </c>
      <c r="K142">
        <v>30.388561073430481</v>
      </c>
      <c r="L142" t="str">
        <f t="shared" si="5"/>
        <v>OK</v>
      </c>
    </row>
    <row r="143" spans="1:12">
      <c r="A143" s="1">
        <v>45965</v>
      </c>
      <c r="B143" t="s">
        <v>11</v>
      </c>
      <c r="C143">
        <v>111</v>
      </c>
      <c r="D143">
        <f>(automotive_demand_forecasting_dataset5[[#This Row],[Units_Sold]] -$C$4) / $C$5</f>
        <v>0.19427092952726954</v>
      </c>
      <c r="E143">
        <v>32718.000772972162</v>
      </c>
      <c r="F143">
        <v>4.5778345189999996</v>
      </c>
      <c r="G143">
        <v>2.7625613290019251</v>
      </c>
      <c r="H143">
        <v>5.893385407411702</v>
      </c>
      <c r="I143">
        <v>75957.009478478227</v>
      </c>
      <c r="J143">
        <v>102</v>
      </c>
      <c r="K143">
        <v>74.095659708523129</v>
      </c>
      <c r="L143" t="str">
        <f t="shared" si="5"/>
        <v>OK</v>
      </c>
    </row>
    <row r="144" spans="1:12">
      <c r="A144" s="1">
        <v>45995</v>
      </c>
      <c r="B144" t="s">
        <v>10</v>
      </c>
      <c r="C144">
        <v>97</v>
      </c>
      <c r="D144">
        <f>(automotive_demand_forecasting_dataset5[[#This Row],[Units_Sold]] -$C$4) / $C$5</f>
        <v>-0.12978603085633672</v>
      </c>
      <c r="E144">
        <v>28146.928339569469</v>
      </c>
      <c r="F144">
        <v>3.3644381994787156</v>
      </c>
      <c r="G144">
        <v>2.6935899113675443</v>
      </c>
      <c r="H144">
        <v>6.6091241674453958</v>
      </c>
      <c r="I144">
        <f>128897.2893</f>
        <v>128897.2893</v>
      </c>
      <c r="J144">
        <v>96</v>
      </c>
      <c r="K144">
        <v>88.688008558599861</v>
      </c>
      <c r="L144" t="str">
        <f t="shared" si="5"/>
        <v>OK</v>
      </c>
    </row>
    <row r="145" spans="1:12">
      <c r="A145" s="1">
        <v>46025</v>
      </c>
      <c r="B145" t="s">
        <v>11</v>
      </c>
      <c r="C145">
        <v>88</v>
      </c>
      <c r="D145">
        <f>(automotive_demand_forecasting_dataset5[[#This Row],[Units_Sold]] -$C$4) / $C$5</f>
        <v>-0.33810836253151216</v>
      </c>
      <c r="E145">
        <v>33858.493553241722</v>
      </c>
      <c r="F145">
        <v>3.489316352825782</v>
      </c>
      <c r="G145">
        <v>3.3508979621679722</v>
      </c>
      <c r="H145">
        <v>4.2833248572489548</v>
      </c>
      <c r="I145">
        <v>106349.06522500351</v>
      </c>
      <c r="J145">
        <v>95</v>
      </c>
      <c r="K145">
        <v>97.018606708891127</v>
      </c>
      <c r="L145" t="str">
        <f t="shared" si="5"/>
        <v>OK</v>
      </c>
    </row>
    <row r="146" spans="1:12">
      <c r="A146" s="1">
        <v>46055</v>
      </c>
      <c r="B146" t="s">
        <v>14</v>
      </c>
      <c r="C146">
        <v>101</v>
      </c>
      <c r="D146">
        <f>(automotive_demand_forecasting_dataset5[[#This Row],[Units_Sold]] -$C$4) / $C$5</f>
        <v>-3.7198327889592063E-2</v>
      </c>
      <c r="E146">
        <v>15757.286896849622</v>
      </c>
      <c r="F146">
        <v>3.1263941604260883</v>
      </c>
      <c r="G146">
        <v>2.3626282116006032</v>
      </c>
      <c r="H146">
        <v>5.6028245936840309</v>
      </c>
      <c r="I146">
        <v>93342.79191234977</v>
      </c>
      <c r="J146">
        <v>103</v>
      </c>
      <c r="K146">
        <v>70.267769403955555</v>
      </c>
      <c r="L146" t="str">
        <f t="shared" si="5"/>
        <v>OK</v>
      </c>
    </row>
    <row r="147" spans="1:12">
      <c r="A147" s="1">
        <v>46085</v>
      </c>
      <c r="B147" t="s">
        <v>12</v>
      </c>
      <c r="C147">
        <v>105</v>
      </c>
      <c r="D147">
        <f>(automotive_demand_forecasting_dataset5[[#This Row],[Units_Sold]] -$C$4) / $C$5</f>
        <v>5.5389375077152581E-2</v>
      </c>
      <c r="E147">
        <v>35743.828501860517</v>
      </c>
      <c r="F147">
        <v>2.287879869863529</v>
      </c>
      <c r="G147">
        <v>2.8904648499288896</v>
      </c>
      <c r="H147">
        <v>4.3894904487284956</v>
      </c>
      <c r="I147">
        <v>98132.262822001037</v>
      </c>
      <c r="J147">
        <v>89</v>
      </c>
      <c r="K147">
        <v>34.728105868876554</v>
      </c>
      <c r="L147" t="str">
        <f t="shared" si="5"/>
        <v>OK</v>
      </c>
    </row>
    <row r="148" spans="1:12">
      <c r="A148" s="1">
        <v>46115</v>
      </c>
      <c r="B148" t="s">
        <v>14</v>
      </c>
      <c r="C148">
        <v>102</v>
      </c>
      <c r="D148">
        <f>(automotive_demand_forecasting_dataset5[[#This Row],[Units_Sold]] -$C$4) / $C$5</f>
        <v>-1.4051402147905904E-2</v>
      </c>
      <c r="E148">
        <v>21301.4311061095</v>
      </c>
      <c r="F148">
        <v>3.9420226981805246</v>
      </c>
      <c r="G148">
        <v>2.3967782470675036</v>
      </c>
      <c r="H148">
        <v>5.8064605068091808</v>
      </c>
      <c r="I148">
        <v>89413.357751032585</v>
      </c>
      <c r="J148">
        <v>87</v>
      </c>
      <c r="K148">
        <v>28.452027635914455</v>
      </c>
      <c r="L148" t="str">
        <f t="shared" si="5"/>
        <v>OK</v>
      </c>
    </row>
    <row r="149" spans="1:12">
      <c r="A149" s="1">
        <v>46145</v>
      </c>
      <c r="B149" t="s">
        <v>10</v>
      </c>
      <c r="C149">
        <v>98</v>
      </c>
      <c r="D149">
        <f>(automotive_demand_forecasting_dataset5[[#This Row],[Units_Sold]] -$C$4) / $C$5</f>
        <v>-0.10663910511465055</v>
      </c>
      <c r="E149">
        <v>28187.795292984338</v>
      </c>
      <c r="F149">
        <v>3.8684219485462168</v>
      </c>
      <c r="G149">
        <v>2.7653623493996284</v>
      </c>
      <c r="H149">
        <v>4.4255844131643709</v>
      </c>
      <c r="I149">
        <v>69710.593816384659</v>
      </c>
      <c r="J149">
        <v>101</v>
      </c>
      <c r="K149">
        <v>85.028077722940623</v>
      </c>
      <c r="L149" t="str">
        <f t="shared" si="5"/>
        <v>OK</v>
      </c>
    </row>
    <row r="150" spans="1:12">
      <c r="A150" s="1">
        <v>46175</v>
      </c>
      <c r="B150" t="s">
        <v>11</v>
      </c>
      <c r="C150">
        <v>96</v>
      </c>
      <c r="D150">
        <f>(automotive_demand_forecasting_dataset5[[#This Row],[Units_Sold]] -$C$4) / $C$5</f>
        <v>-0.15293295659802289</v>
      </c>
      <c r="E150">
        <v>24401.650526869282</v>
      </c>
      <c r="F150">
        <v>33.593362214408934</v>
      </c>
      <c r="G150">
        <v>1.9172413423884178</v>
      </c>
      <c r="H150">
        <f>6.97388673</f>
        <v>6.9738867300000003</v>
      </c>
      <c r="I150">
        <v>106431.86422678478</v>
      </c>
      <c r="J150">
        <v>80</v>
      </c>
      <c r="K150">
        <v>66.300518108799935</v>
      </c>
      <c r="L150" t="str">
        <f t="shared" si="5"/>
        <v>OK</v>
      </c>
    </row>
    <row r="151" spans="1:12">
      <c r="A151" s="1">
        <v>46205</v>
      </c>
      <c r="B151" t="s">
        <v>13</v>
      </c>
      <c r="C151">
        <v>76</v>
      </c>
      <c r="D151">
        <f>(automotive_demand_forecasting_dataset5[[#This Row],[Units_Sold]] -$C$4) / $C$5</f>
        <v>-0.61587147143174614</v>
      </c>
      <c r="E151">
        <v>23526.59262139547</v>
      </c>
      <c r="F151">
        <v>35.334953586124357</v>
      </c>
      <c r="G151">
        <v>6.1182841723570913E-2</v>
      </c>
      <c r="H151">
        <v>4.3050215262517249</v>
      </c>
      <c r="I151">
        <v>135098.66143294482</v>
      </c>
      <c r="J151">
        <v>90</v>
      </c>
      <c r="K151">
        <v>69.462801681097588</v>
      </c>
      <c r="L151" t="str">
        <f t="shared" si="5"/>
        <v>OK</v>
      </c>
    </row>
    <row r="152" spans="1:12">
      <c r="A152" s="1">
        <v>46235</v>
      </c>
      <c r="B152" t="s">
        <v>12</v>
      </c>
      <c r="C152">
        <v>112</v>
      </c>
      <c r="D152">
        <f>(automotive_demand_forecasting_dataset5[[#This Row],[Units_Sold]] -$C$4) / $C$5</f>
        <v>0.21741785526895571</v>
      </c>
      <c r="E152">
        <v>35804.133936892598</v>
      </c>
      <c r="F152">
        <v>4.5778345189999996</v>
      </c>
      <c r="G152">
        <v>2.3657208378136958</v>
      </c>
      <c r="H152">
        <v>6.2813634901883884</v>
      </c>
      <c r="I152">
        <v>100368.03261566877</v>
      </c>
      <c r="J152">
        <v>89</v>
      </c>
      <c r="K152">
        <v>82.516967100376746</v>
      </c>
      <c r="L152" t="str">
        <f t="shared" si="5"/>
        <v>OK</v>
      </c>
    </row>
    <row r="153" spans="1:12">
      <c r="A153" s="1">
        <v>46265</v>
      </c>
      <c r="B153" t="s">
        <v>13</v>
      </c>
      <c r="C153">
        <v>99</v>
      </c>
      <c r="D153">
        <f>(automotive_demand_forecasting_dataset5[[#This Row],[Units_Sold]] -$C$4) / $C$5</f>
        <v>-8.3492179372964395E-2</v>
      </c>
      <c r="E153">
        <v>27661.493993440545</v>
      </c>
      <c r="F153">
        <v>2.7187270715567289</v>
      </c>
      <c r="G153">
        <v>3.9227481360999401</v>
      </c>
      <c r="H153">
        <v>6.5301413399879982</v>
      </c>
      <c r="I153">
        <f>128897.2893</f>
        <v>128897.2893</v>
      </c>
      <c r="J153">
        <v>100</v>
      </c>
      <c r="K153">
        <v>76.262178218596119</v>
      </c>
      <c r="L153" t="str">
        <f t="shared" si="5"/>
        <v>OK</v>
      </c>
    </row>
    <row r="154" spans="1:12">
      <c r="A154" s="1">
        <v>46295</v>
      </c>
      <c r="B154" t="s">
        <v>10</v>
      </c>
      <c r="C154">
        <v>100</v>
      </c>
      <c r="D154">
        <f>(automotive_demand_forecasting_dataset5[[#This Row],[Units_Sold]] -$C$4) / $C$5</f>
        <v>-6.0345253631278226E-2</v>
      </c>
      <c r="E154">
        <v>31732.519408653578</v>
      </c>
      <c r="F154">
        <v>3.2354736613268527</v>
      </c>
      <c r="G154">
        <v>3.4262154022415925</v>
      </c>
      <c r="H154">
        <v>5.2184553160511031</v>
      </c>
      <c r="I154">
        <v>113854.45510233719</v>
      </c>
      <c r="J154">
        <v>76</v>
      </c>
      <c r="K154">
        <v>86.756660228487732</v>
      </c>
      <c r="L154" t="str">
        <f t="shared" si="5"/>
        <v>OK</v>
      </c>
    </row>
    <row r="155" spans="1:12">
      <c r="A155" s="1">
        <v>46325</v>
      </c>
      <c r="B155" t="s">
        <v>11</v>
      </c>
      <c r="C155">
        <v>89</v>
      </c>
      <c r="D155">
        <f>(automotive_demand_forecasting_dataset5[[#This Row],[Units_Sold]] -$C$4) / $C$5</f>
        <v>-0.31496143678982602</v>
      </c>
      <c r="E155">
        <v>29765.397105604079</v>
      </c>
      <c r="F155">
        <v>3.8971323398109137</v>
      </c>
      <c r="G155">
        <v>3.4653974845911706</v>
      </c>
      <c r="H155">
        <v>5.5458855939520344</v>
      </c>
      <c r="I155">
        <v>74613.390069066023</v>
      </c>
      <c r="J155">
        <v>95</v>
      </c>
      <c r="K155">
        <v>24.497112436790278</v>
      </c>
      <c r="L155" t="str">
        <f t="shared" si="5"/>
        <v>OK</v>
      </c>
    </row>
    <row r="156" spans="1:12">
      <c r="A156" s="1">
        <v>46355</v>
      </c>
      <c r="B156" t="s">
        <v>13</v>
      </c>
      <c r="C156">
        <v>128.02105259999999</v>
      </c>
      <c r="D156">
        <f>(automotive_demand_forecasting_dataset5[[#This Row],[Units_Sold]] -$C$4) / $C$5</f>
        <v>0.58825597010480346</v>
      </c>
      <c r="E156">
        <v>32385.204136115608</v>
      </c>
      <c r="F156">
        <v>2.8728552884153755</v>
      </c>
      <c r="G156">
        <v>3.7361307218062176</v>
      </c>
      <c r="H156">
        <v>3.7616903024397468</v>
      </c>
      <c r="I156">
        <v>134050.2931625921</v>
      </c>
      <c r="J156">
        <v>86</v>
      </c>
      <c r="K156">
        <v>79.801650939720389</v>
      </c>
      <c r="L156" t="str">
        <f t="shared" si="5"/>
        <v>OK</v>
      </c>
    </row>
    <row r="157" spans="1:12">
      <c r="A157" s="1">
        <v>46385</v>
      </c>
      <c r="B157" t="s">
        <v>13</v>
      </c>
      <c r="C157">
        <v>104</v>
      </c>
      <c r="D157">
        <f>(automotive_demand_forecasting_dataset5[[#This Row],[Units_Sold]] -$C$4) / $C$5</f>
        <v>3.2242449335466418E-2</v>
      </c>
      <c r="E157">
        <v>30384.109455301277</v>
      </c>
      <c r="F157">
        <v>36.467789660833148</v>
      </c>
      <c r="G157">
        <v>2.5886575909614375</v>
      </c>
      <c r="H157">
        <v>5.1403880223918552</v>
      </c>
      <c r="I157">
        <v>104046.57592845603</v>
      </c>
      <c r="J157">
        <v>96</v>
      </c>
      <c r="K157">
        <v>88.068220585767634</v>
      </c>
      <c r="L157" t="str">
        <f t="shared" si="5"/>
        <v>OK</v>
      </c>
    </row>
    <row r="158" spans="1:12">
      <c r="A158" s="1">
        <v>46415</v>
      </c>
      <c r="B158" t="s">
        <v>12</v>
      </c>
      <c r="C158">
        <v>96</v>
      </c>
      <c r="D158">
        <f>(automotive_demand_forecasting_dataset5[[#This Row],[Units_Sold]] -$C$4) / $C$5</f>
        <v>-0.15293295659802289</v>
      </c>
      <c r="E158">
        <v>23585.038879057152</v>
      </c>
      <c r="F158">
        <v>2.8217090976882977</v>
      </c>
      <c r="G158">
        <v>2.6973157074055956</v>
      </c>
      <c r="H158">
        <v>5.4397544595499063</v>
      </c>
      <c r="I158">
        <v>132637.13798178217</v>
      </c>
      <c r="J158">
        <v>87</v>
      </c>
      <c r="K158">
        <v>42.890803396665149</v>
      </c>
      <c r="L158" t="str">
        <f t="shared" si="5"/>
        <v>OK</v>
      </c>
    </row>
    <row r="159" spans="1:12">
      <c r="A159" s="1">
        <v>46445</v>
      </c>
      <c r="B159" t="s">
        <v>12</v>
      </c>
      <c r="C159">
        <v>100</v>
      </c>
      <c r="D159">
        <f>(automotive_demand_forecasting_dataset5[[#This Row],[Units_Sold]] -$C$4) / $C$5</f>
        <v>-6.0345253631278226E-2</v>
      </c>
      <c r="E159">
        <v>34981.334097235696</v>
      </c>
      <c r="F159">
        <v>3.7332149912167631</v>
      </c>
      <c r="G159">
        <v>1.8823481045656498</v>
      </c>
      <c r="H159">
        <v>8.6449517092359702</v>
      </c>
      <c r="I159">
        <v>85339.340089520207</v>
      </c>
      <c r="J159">
        <v>95</v>
      </c>
      <c r="K159">
        <v>71.235781919460237</v>
      </c>
      <c r="L159" t="str">
        <f t="shared" si="5"/>
        <v>OK</v>
      </c>
    </row>
    <row r="160" spans="1:12">
      <c r="A160" s="1">
        <v>46475</v>
      </c>
      <c r="B160" t="s">
        <v>11</v>
      </c>
      <c r="C160">
        <v>105</v>
      </c>
      <c r="D160">
        <f>(automotive_demand_forecasting_dataset5[[#This Row],[Units_Sold]] -$C$4) / $C$5</f>
        <v>5.5389375077152581E-2</v>
      </c>
      <c r="E160">
        <v>27531.217084193438</v>
      </c>
      <c r="F160">
        <v>3.4821792588512581</v>
      </c>
      <c r="G160">
        <v>2.1839271439729502</v>
      </c>
      <c r="H160">
        <v>4.1656395690710042</v>
      </c>
      <c r="I160">
        <v>136361.2384511565</v>
      </c>
      <c r="J160">
        <v>83</v>
      </c>
      <c r="K160">
        <v>45.132965106957769</v>
      </c>
      <c r="L160" t="str">
        <f t="shared" si="5"/>
        <v>OK</v>
      </c>
    </row>
    <row r="161" spans="1:12">
      <c r="A161" s="1">
        <v>46505</v>
      </c>
      <c r="B161" t="s">
        <v>12</v>
      </c>
      <c r="C161">
        <v>81</v>
      </c>
      <c r="D161">
        <f>(automotive_demand_forecasting_dataset5[[#This Row],[Units_Sold]] -$C$4) / $C$5</f>
        <v>-0.50013684272331527</v>
      </c>
      <c r="E161">
        <v>22217.090506701243</v>
      </c>
      <c r="F161">
        <v>2.6924340920472454</v>
      </c>
      <c r="G161">
        <v>3.1157711497711418</v>
      </c>
      <c r="H161">
        <v>7.2570126865029252</v>
      </c>
      <c r="I161">
        <v>115503.10988069566</v>
      </c>
      <c r="J161">
        <v>109</v>
      </c>
      <c r="K161">
        <v>96.637685318596326</v>
      </c>
      <c r="L161" t="str">
        <f t="shared" si="5"/>
        <v>OK</v>
      </c>
    </row>
    <row r="162" spans="1:12">
      <c r="A162" s="1">
        <v>46535</v>
      </c>
      <c r="B162" t="s">
        <v>13</v>
      </c>
      <c r="C162">
        <v>120</v>
      </c>
      <c r="D162">
        <f>(automotive_demand_forecasting_dataset5[[#This Row],[Units_Sold]] -$C$4) / $C$5</f>
        <v>0.40259326120244504</v>
      </c>
      <c r="E162">
        <v>27859.424195170439</v>
      </c>
      <c r="F162">
        <v>4.082369677228586</v>
      </c>
      <c r="G162">
        <v>3.7038844371688162</v>
      </c>
      <c r="H162">
        <v>6.6962305281589698</v>
      </c>
      <c r="I162">
        <v>111060.80171704717</v>
      </c>
      <c r="J162">
        <v>98</v>
      </c>
      <c r="K162">
        <v>22.673885794840302</v>
      </c>
      <c r="L162" t="str">
        <f t="shared" si="5"/>
        <v>OK</v>
      </c>
    </row>
    <row r="163" spans="1:12">
      <c r="A163" s="1">
        <v>46565</v>
      </c>
      <c r="B163" t="s">
        <v>13</v>
      </c>
      <c r="C163">
        <v>97</v>
      </c>
      <c r="D163">
        <f>(automotive_demand_forecasting_dataset5[[#This Row],[Units_Sold]] -$C$4) / $C$5</f>
        <v>-0.12978603085633672</v>
      </c>
      <c r="E163">
        <v>37503.798953171558</v>
      </c>
      <c r="F163">
        <v>3.1327042116009753</v>
      </c>
      <c r="G163">
        <v>23.605537243190007</v>
      </c>
      <c r="H163">
        <v>5.8367636853881635</v>
      </c>
      <c r="I163">
        <v>104680.48908706296</v>
      </c>
      <c r="J163">
        <v>78</v>
      </c>
      <c r="K163">
        <v>66.383427506636394</v>
      </c>
      <c r="L163" t="str">
        <f t="shared" si="5"/>
        <v>OK</v>
      </c>
    </row>
    <row r="164" spans="1:12">
      <c r="A164" s="1">
        <v>46595</v>
      </c>
      <c r="B164" t="s">
        <v>10</v>
      </c>
      <c r="C164">
        <v>99</v>
      </c>
      <c r="D164">
        <f>(automotive_demand_forecasting_dataset5[[#This Row],[Units_Sold]] -$C$4) / $C$5</f>
        <v>-8.3492179372964395E-2</v>
      </c>
      <c r="E164">
        <v>34251.108710567467</v>
      </c>
      <c r="F164">
        <v>3.0948737814928093</v>
      </c>
      <c r="G164">
        <v>2.0498107351485886</v>
      </c>
      <c r="H164">
        <v>7.6103445810341599</v>
      </c>
      <c r="I164">
        <v>95029.427638511013</v>
      </c>
      <c r="J164">
        <v>91</v>
      </c>
      <c r="K164">
        <v>33.320283763961207</v>
      </c>
      <c r="L164" t="str">
        <f t="shared" si="5"/>
        <v>OK</v>
      </c>
    </row>
    <row r="165" spans="1:12">
      <c r="A165" s="1">
        <v>46625</v>
      </c>
      <c r="B165" t="s">
        <v>13</v>
      </c>
      <c r="C165">
        <v>120</v>
      </c>
      <c r="D165">
        <f>(automotive_demand_forecasting_dataset5[[#This Row],[Units_Sold]] -$C$4) / $C$5</f>
        <v>0.40259326120244504</v>
      </c>
      <c r="E165">
        <v>28256.739327960706</v>
      </c>
      <c r="F165">
        <v>3.6002845986154712</v>
      </c>
      <c r="G165">
        <v>2.5005279588565972</v>
      </c>
      <c r="H165">
        <v>5.9465265671282355</v>
      </c>
      <c r="I165">
        <v>124010.63316947746</v>
      </c>
      <c r="J165">
        <v>86</v>
      </c>
      <c r="K165">
        <f>80.21517797</f>
        <v>80.215177969999999</v>
      </c>
      <c r="L165" t="str">
        <f t="shared" si="5"/>
        <v>OK</v>
      </c>
    </row>
    <row r="166" spans="1:12">
      <c r="A166" s="1">
        <v>46655</v>
      </c>
      <c r="B166" t="s">
        <v>11</v>
      </c>
      <c r="C166">
        <v>90</v>
      </c>
      <c r="D166">
        <f>(automotive_demand_forecasting_dataset5[[#This Row],[Units_Sold]] -$C$4) / $C$5</f>
        <v>-0.29181451104813982</v>
      </c>
      <c r="E166">
        <v>28253.711478407855</v>
      </c>
      <c r="F166">
        <v>4.0743186747143572</v>
      </c>
      <c r="G166">
        <v>3.1012067489291146</v>
      </c>
      <c r="H166">
        <v>5.9669910348015147</v>
      </c>
      <c r="I166">
        <v>102807.19739696094</v>
      </c>
      <c r="J166">
        <v>86</v>
      </c>
      <c r="K166">
        <v>34.071222673492969</v>
      </c>
      <c r="L166" t="str">
        <f t="shared" si="5"/>
        <v>OK</v>
      </c>
    </row>
    <row r="167" spans="1:12">
      <c r="A167" s="1">
        <v>46685</v>
      </c>
      <c r="B167" t="s">
        <v>14</v>
      </c>
      <c r="C167">
        <v>85</v>
      </c>
      <c r="D167">
        <f>(automotive_demand_forecasting_dataset5[[#This Row],[Units_Sold]] -$C$4) / $C$5</f>
        <v>-0.40754913975657064</v>
      </c>
      <c r="E167">
        <v>28391.824743913086</v>
      </c>
      <c r="F167">
        <v>2.9920890905108015</v>
      </c>
      <c r="G167">
        <v>1.0561451838664582</v>
      </c>
      <c r="H167">
        <v>5.4362552163789459</v>
      </c>
      <c r="I167">
        <v>60658.605928256955</v>
      </c>
      <c r="J167">
        <v>88</v>
      </c>
      <c r="K167">
        <v>38.830660951868609</v>
      </c>
      <c r="L167" t="str">
        <f t="shared" si="5"/>
        <v>OK</v>
      </c>
    </row>
    <row r="168" spans="1:12">
      <c r="A168" s="1">
        <v>46715</v>
      </c>
      <c r="B168" t="s">
        <v>10</v>
      </c>
      <c r="C168">
        <v>84</v>
      </c>
      <c r="D168">
        <f>(automotive_demand_forecasting_dataset5[[#This Row],[Units_Sold]] -$C$4) / $C$5</f>
        <v>-0.43069606549825684</v>
      </c>
      <c r="E168">
        <v>40383.739917804203</v>
      </c>
      <c r="F168">
        <v>3.5308399249239857</v>
      </c>
      <c r="G168">
        <v>0.20381904686276187</v>
      </c>
      <c r="H168">
        <v>6.9682826589023534</v>
      </c>
      <c r="I168">
        <v>77656.270765859954</v>
      </c>
      <c r="J168">
        <v>90</v>
      </c>
      <c r="K168">
        <v>59.549664883660647</v>
      </c>
      <c r="L168" t="str">
        <f t="shared" si="5"/>
        <v>OK</v>
      </c>
    </row>
    <row r="169" spans="1:12">
      <c r="A169" s="1">
        <v>46745</v>
      </c>
      <c r="B169" t="s">
        <v>10</v>
      </c>
      <c r="C169">
        <v>128.02105259999999</v>
      </c>
      <c r="D169">
        <f>(automotive_demand_forecasting_dataset5[[#This Row],[Units_Sold]] -$C$4) / $C$5</f>
        <v>0.58825597010480346</v>
      </c>
      <c r="E169">
        <v>31909.677261157765</v>
      </c>
      <c r="F169">
        <v>3.7144082501652864</v>
      </c>
      <c r="G169">
        <v>1.9494631505084166</v>
      </c>
      <c r="H169">
        <v>6.8157630805730607</v>
      </c>
      <c r="I169">
        <v>96283.08495614506</v>
      </c>
      <c r="J169">
        <v>83</v>
      </c>
      <c r="K169">
        <v>93.186795999750245</v>
      </c>
      <c r="L169" t="str">
        <f t="shared" si="5"/>
        <v>OK</v>
      </c>
    </row>
    <row r="170" spans="1:12">
      <c r="A170" s="1">
        <v>46775</v>
      </c>
      <c r="B170" t="s">
        <v>11</v>
      </c>
      <c r="C170">
        <v>112</v>
      </c>
      <c r="D170">
        <f>(automotive_demand_forecasting_dataset5[[#This Row],[Units_Sold]] -$C$4) / $C$5</f>
        <v>0.21741785526895571</v>
      </c>
      <c r="E170">
        <v>32150.20823595535</v>
      </c>
      <c r="F170">
        <v>3.8465528036315719</v>
      </c>
      <c r="G170">
        <v>1.2792875740858414</v>
      </c>
      <c r="H170">
        <v>4.7491872550045446</v>
      </c>
      <c r="I170">
        <v>106199.9796633111</v>
      </c>
      <c r="J170">
        <f>111.9136842</f>
        <v>111.91368420000001</v>
      </c>
      <c r="K170">
        <v>36.937149771837667</v>
      </c>
      <c r="L170" t="str">
        <f t="shared" si="5"/>
        <v>OK</v>
      </c>
    </row>
    <row r="171" spans="1:12">
      <c r="A171" s="1">
        <v>46805</v>
      </c>
      <c r="B171" t="s">
        <v>11</v>
      </c>
      <c r="C171">
        <v>110</v>
      </c>
      <c r="D171">
        <f>(automotive_demand_forecasting_dataset5[[#This Row],[Units_Sold]] -$C$4) / $C$5</f>
        <v>0.1711240037855834</v>
      </c>
      <c r="E171">
        <v>35151.417270159211</v>
      </c>
      <c r="F171">
        <v>3.5882207776386128</v>
      </c>
      <c r="G171">
        <v>1.991859802352689</v>
      </c>
      <c r="H171">
        <v>3.9169033664814794</v>
      </c>
      <c r="I171">
        <v>98868.230222002079</v>
      </c>
      <c r="J171">
        <v>88</v>
      </c>
      <c r="K171">
        <v>31.539201689448284</v>
      </c>
      <c r="L171" t="str">
        <f t="shared" si="5"/>
        <v>OK</v>
      </c>
    </row>
    <row r="172" spans="1:12">
      <c r="A172" s="1">
        <v>46835</v>
      </c>
      <c r="B172" t="s">
        <v>12</v>
      </c>
      <c r="C172">
        <v>86</v>
      </c>
      <c r="D172">
        <f>(automotive_demand_forecasting_dataset5[[#This Row],[Units_Sold]] -$C$4) / $C$5</f>
        <v>-0.3844022140148845</v>
      </c>
      <c r="E172">
        <v>31193.945795132568</v>
      </c>
      <c r="F172">
        <v>3.3164860804583389</v>
      </c>
      <c r="G172">
        <v>2.3522196811825284</v>
      </c>
      <c r="H172">
        <v>5.2564232351252116</v>
      </c>
      <c r="I172">
        <v>124379.41579587327</v>
      </c>
      <c r="J172">
        <v>99</v>
      </c>
      <c r="K172">
        <v>80.718146548322451</v>
      </c>
      <c r="L172" t="str">
        <f t="shared" si="5"/>
        <v>OK</v>
      </c>
    </row>
    <row r="173" spans="1:12">
      <c r="A173" s="1">
        <v>46865</v>
      </c>
      <c r="B173" t="s">
        <v>10</v>
      </c>
      <c r="C173">
        <v>104</v>
      </c>
      <c r="D173">
        <f>(automotive_demand_forecasting_dataset5[[#This Row],[Units_Sold]] -$C$4) / $C$5</f>
        <v>3.2242449335466418E-2</v>
      </c>
      <c r="E173">
        <v>287047.89270896482</v>
      </c>
      <c r="F173">
        <v>3.0862048896756402</v>
      </c>
      <c r="G173">
        <v>2.0467515909769864</v>
      </c>
      <c r="H173">
        <v>4.5399537227228244</v>
      </c>
      <c r="I173">
        <v>60977.9627192275</v>
      </c>
      <c r="J173">
        <v>100</v>
      </c>
      <c r="K173">
        <v>60.04956258671448</v>
      </c>
      <c r="L173" t="str">
        <f t="shared" si="5"/>
        <v>OK</v>
      </c>
    </row>
    <row r="174" spans="1:12">
      <c r="A174" s="1">
        <v>46895</v>
      </c>
      <c r="B174" t="s">
        <v>12</v>
      </c>
      <c r="C174">
        <v>107</v>
      </c>
      <c r="D174">
        <f>(automotive_demand_forecasting_dataset5[[#This Row],[Units_Sold]] -$C$4) / $C$5</f>
        <v>0.10168322656052491</v>
      </c>
      <c r="E174">
        <v>29018.250754575107</v>
      </c>
      <c r="F174">
        <v>35.43071941523187</v>
      </c>
      <c r="G174">
        <v>3.9524675344707454</v>
      </c>
      <c r="H174">
        <v>5.4237705104615737</v>
      </c>
      <c r="I174">
        <v>102871.7587301032</v>
      </c>
      <c r="J174">
        <v>88</v>
      </c>
      <c r="K174">
        <v>92.942808990541707</v>
      </c>
      <c r="L174" t="str">
        <f t="shared" si="5"/>
        <v>OK</v>
      </c>
    </row>
    <row r="175" spans="1:12">
      <c r="A175" s="1">
        <v>46925</v>
      </c>
      <c r="B175" t="s">
        <v>13</v>
      </c>
      <c r="C175">
        <v>93</v>
      </c>
      <c r="D175">
        <f>(automotive_demand_forecasting_dataset5[[#This Row],[Units_Sold]] -$C$4) / $C$5</f>
        <v>-0.22237373382308137</v>
      </c>
      <c r="E175">
        <v>29641.993702929682</v>
      </c>
      <c r="F175">
        <v>2.9639304940071964</v>
      </c>
      <c r="G175">
        <v>2.8267447646023198</v>
      </c>
      <c r="H175">
        <v>6.9849257616209668</v>
      </c>
      <c r="I175">
        <v>63640.415492256907</v>
      </c>
      <c r="J175">
        <v>83</v>
      </c>
      <c r="K175">
        <v>31.729164572787383</v>
      </c>
      <c r="L175" t="str">
        <f t="shared" si="5"/>
        <v>OK</v>
      </c>
    </row>
    <row r="176" spans="1:12">
      <c r="A176" s="1">
        <v>46955</v>
      </c>
      <c r="B176" t="s">
        <v>10</v>
      </c>
      <c r="C176">
        <v>108</v>
      </c>
      <c r="D176">
        <f>(automotive_demand_forecasting_dataset5[[#This Row],[Units_Sold]] -$C$4) / $C$5</f>
        <v>0.12483015230221108</v>
      </c>
      <c r="E176">
        <v>29813.888817450792</v>
      </c>
      <c r="F176">
        <v>2.0393247582526963</v>
      </c>
      <c r="G176">
        <v>2.8004743596108286</v>
      </c>
      <c r="H176">
        <v>4.9512380138958516</v>
      </c>
      <c r="I176">
        <v>115194.24590968336</v>
      </c>
      <c r="J176">
        <v>90</v>
      </c>
      <c r="K176">
        <v>71.674231441843148</v>
      </c>
      <c r="L176" t="str">
        <f t="shared" si="5"/>
        <v>OK</v>
      </c>
    </row>
    <row r="177" spans="1:12">
      <c r="A177" s="1">
        <v>46985</v>
      </c>
      <c r="B177" t="s">
        <v>10</v>
      </c>
      <c r="C177">
        <v>96</v>
      </c>
      <c r="D177">
        <f>(automotive_demand_forecasting_dataset5[[#This Row],[Units_Sold]] -$C$4) / $C$5</f>
        <v>-0.15293295659802289</v>
      </c>
      <c r="E177">
        <v>33638.147718184897</v>
      </c>
      <c r="F177">
        <v>3.7182799020788337</v>
      </c>
      <c r="G177">
        <v>3.122207144043402</v>
      </c>
      <c r="H177">
        <v>5.4486119424261101</v>
      </c>
      <c r="I177">
        <v>98110.825711159938</v>
      </c>
      <c r="J177">
        <v>88</v>
      </c>
      <c r="K177">
        <v>38.630331692145205</v>
      </c>
      <c r="L177" t="str">
        <f t="shared" si="5"/>
        <v>OK</v>
      </c>
    </row>
    <row r="178" spans="1:12">
      <c r="A178" s="1">
        <v>47015</v>
      </c>
      <c r="B178" t="s">
        <v>14</v>
      </c>
      <c r="C178">
        <v>95</v>
      </c>
      <c r="D178">
        <f>(automotive_demand_forecasting_dataset5[[#This Row],[Units_Sold]] -$C$4) / $C$5</f>
        <v>-0.17607988233970903</v>
      </c>
      <c r="E178">
        <v>30259.729429036499</v>
      </c>
      <c r="F178">
        <v>3.9519674205430975</v>
      </c>
      <c r="G178">
        <v>1.3611668822192309</v>
      </c>
      <c r="H178">
        <v>5.5696272817700745</v>
      </c>
      <c r="I178">
        <f>128897.2893</f>
        <v>128897.2893</v>
      </c>
      <c r="J178">
        <v>86</v>
      </c>
      <c r="K178">
        <v>32.540834292131144</v>
      </c>
      <c r="L178" t="str">
        <f t="shared" si="5"/>
        <v>OK</v>
      </c>
    </row>
    <row r="179" spans="1:12">
      <c r="A179" s="1">
        <v>47045</v>
      </c>
      <c r="B179" t="s">
        <v>10</v>
      </c>
      <c r="C179">
        <v>112</v>
      </c>
      <c r="D179">
        <f>(automotive_demand_forecasting_dataset5[[#This Row],[Units_Sold]] -$C$4) / $C$5</f>
        <v>0.21741785526895571</v>
      </c>
      <c r="E179">
        <v>33663.200386077893</v>
      </c>
      <c r="F179">
        <v>2.318533782229081</v>
      </c>
      <c r="G179">
        <v>3.5391117874202687</v>
      </c>
      <c r="H179">
        <v>6.5181170586463413</v>
      </c>
      <c r="I179">
        <v>82722.340788204674</v>
      </c>
      <c r="J179">
        <v>81</v>
      </c>
      <c r="K179">
        <v>74.67435321258165</v>
      </c>
      <c r="L179" t="str">
        <f t="shared" si="5"/>
        <v>OK</v>
      </c>
    </row>
    <row r="180" spans="1:12">
      <c r="A180" s="1">
        <v>47075</v>
      </c>
      <c r="B180" t="s">
        <v>13</v>
      </c>
      <c r="C180">
        <v>108</v>
      </c>
      <c r="D180">
        <f>(automotive_demand_forecasting_dataset5[[#This Row],[Units_Sold]] -$C$4) / $C$5</f>
        <v>0.12483015230221108</v>
      </c>
      <c r="E180">
        <v>29596.417099457089</v>
      </c>
      <c r="F180">
        <v>2.9951346476450311</v>
      </c>
      <c r="G180">
        <f>3.224108373</f>
        <v>3.224108373</v>
      </c>
      <c r="H180">
        <v>2.8037327992184737</v>
      </c>
      <c r="I180">
        <v>125589.29863315502</v>
      </c>
      <c r="J180">
        <v>82</v>
      </c>
      <c r="K180">
        <v>67.49476959269866</v>
      </c>
      <c r="L180" t="str">
        <f t="shared" si="5"/>
        <v>OK</v>
      </c>
    </row>
    <row r="181" spans="1:12">
      <c r="A181" s="1">
        <v>47105</v>
      </c>
      <c r="B181" t="s">
        <v>12</v>
      </c>
      <c r="C181">
        <v>85</v>
      </c>
      <c r="D181">
        <f>(automotive_demand_forecasting_dataset5[[#This Row],[Units_Sold]] -$C$4) / $C$5</f>
        <v>-0.40754913975657064</v>
      </c>
      <c r="E181">
        <v>30393.175951580452</v>
      </c>
      <c r="F181">
        <v>3.8095771305025989</v>
      </c>
      <c r="G181">
        <v>3.1704806172412123</v>
      </c>
      <c r="H181">
        <v>4.771959646281644</v>
      </c>
      <c r="I181">
        <v>120834.49328117703</v>
      </c>
      <c r="J181">
        <v>106</v>
      </c>
      <c r="K181">
        <v>80.3861966689865</v>
      </c>
      <c r="L181" t="str">
        <f t="shared" si="5"/>
        <v>OK</v>
      </c>
    </row>
    <row r="182" spans="1:12">
      <c r="A182" s="1">
        <v>47135</v>
      </c>
      <c r="B182" t="s">
        <v>12</v>
      </c>
      <c r="C182">
        <v>128.02105259999999</v>
      </c>
      <c r="D182">
        <f>(automotive_demand_forecasting_dataset5[[#This Row],[Units_Sold]] -$C$4) / $C$5</f>
        <v>0.58825597010480346</v>
      </c>
      <c r="E182">
        <v>20008.996577339462</v>
      </c>
      <c r="F182">
        <v>45.28747734855849</v>
      </c>
      <c r="G182">
        <v>1.4281427669598445</v>
      </c>
      <c r="H182">
        <v>5.7535404307353675</v>
      </c>
      <c r="I182">
        <v>111670.88606023775</v>
      </c>
      <c r="J182">
        <v>97</v>
      </c>
      <c r="K182">
        <v>44.757006115694587</v>
      </c>
      <c r="L182" t="str">
        <f t="shared" si="5"/>
        <v>OK</v>
      </c>
    </row>
    <row r="183" spans="1:12">
      <c r="A183" s="1">
        <v>47165</v>
      </c>
      <c r="B183" t="s">
        <v>14</v>
      </c>
      <c r="C183">
        <v>95</v>
      </c>
      <c r="D183">
        <f>(automotive_demand_forecasting_dataset5[[#This Row],[Units_Sold]] -$C$4) / $C$5</f>
        <v>-0.17607988233970903</v>
      </c>
      <c r="E183">
        <v>34581.638373512411</v>
      </c>
      <c r="F183">
        <v>3.5103968538377042</v>
      </c>
      <c r="G183">
        <v>0.94624123398393567</v>
      </c>
      <c r="H183">
        <f>6.97388673</f>
        <v>6.9738867300000003</v>
      </c>
      <c r="I183">
        <f>128897.2893</f>
        <v>128897.2893</v>
      </c>
      <c r="J183">
        <v>77</v>
      </c>
      <c r="K183">
        <v>55.837732510575194</v>
      </c>
      <c r="L183" t="str">
        <f t="shared" si="5"/>
        <v>OK</v>
      </c>
    </row>
    <row r="184" spans="1:12">
      <c r="A184" s="1">
        <v>47195</v>
      </c>
      <c r="B184" t="s">
        <v>13</v>
      </c>
      <c r="C184">
        <v>97</v>
      </c>
      <c r="D184">
        <f>(automotive_demand_forecasting_dataset5[[#This Row],[Units_Sold]] -$C$4) / $C$5</f>
        <v>-0.12978603085633672</v>
      </c>
      <c r="E184">
        <v>31732.442379489963</v>
      </c>
      <c r="F184">
        <v>3.1359985293854327</v>
      </c>
      <c r="G184">
        <v>3.3178896580250288</v>
      </c>
      <c r="H184">
        <v>4.9097170629925539</v>
      </c>
      <c r="I184">
        <v>111597.14570590264</v>
      </c>
      <c r="J184">
        <v>88</v>
      </c>
      <c r="K184">
        <v>52.437734106433481</v>
      </c>
      <c r="L184" t="str">
        <f t="shared" si="5"/>
        <v>OK</v>
      </c>
    </row>
    <row r="185" spans="1:12">
      <c r="A185" s="1">
        <v>47225</v>
      </c>
      <c r="B185" t="s">
        <v>12</v>
      </c>
      <c r="C185">
        <v>116</v>
      </c>
      <c r="D185">
        <f>(automotive_demand_forecasting_dataset5[[#This Row],[Units_Sold]] -$C$4) / $C$5</f>
        <v>0.31000555823570036</v>
      </c>
      <c r="E185">
        <v>34990.050549298263</v>
      </c>
      <c r="F185">
        <v>3.4085517794475799</v>
      </c>
      <c r="G185">
        <v>2.8764095260975164</v>
      </c>
      <c r="H185">
        <v>3.2481367527497511</v>
      </c>
      <c r="I185">
        <v>85862.148640253028</v>
      </c>
      <c r="J185">
        <v>90</v>
      </c>
      <c r="K185">
        <v>987.27157117321144</v>
      </c>
      <c r="L185" t="str">
        <f t="shared" si="5"/>
        <v>OK</v>
      </c>
    </row>
    <row r="186" spans="1:12">
      <c r="A186" s="1">
        <v>47255</v>
      </c>
      <c r="B186" t="s">
        <v>11</v>
      </c>
      <c r="C186">
        <v>95</v>
      </c>
      <c r="D186">
        <f>(automotive_demand_forecasting_dataset5[[#This Row],[Units_Sold]] -$C$4) / $C$5</f>
        <v>-0.17607988233970903</v>
      </c>
      <c r="E186">
        <v>15518.723109031554</v>
      </c>
      <c r="F186">
        <v>4.1874382095740925</v>
      </c>
      <c r="G186">
        <v>1.5979484456424897</v>
      </c>
      <c r="H186">
        <v>6.2436537351593637</v>
      </c>
      <c r="I186">
        <v>117111.11318041425</v>
      </c>
      <c r="J186">
        <v>86</v>
      </c>
      <c r="K186">
        <v>43.379916539151033</v>
      </c>
      <c r="L186" t="str">
        <f t="shared" si="5"/>
        <v>OK</v>
      </c>
    </row>
    <row r="187" spans="1:12">
      <c r="A187" s="1">
        <v>47285</v>
      </c>
      <c r="B187" t="s">
        <v>13</v>
      </c>
      <c r="C187">
        <v>123</v>
      </c>
      <c r="D187">
        <f>(automotive_demand_forecasting_dataset5[[#This Row],[Units_Sold]] -$C$4) / $C$5</f>
        <v>0.47203403842750352</v>
      </c>
      <c r="E187">
        <v>40441.87352390364</v>
      </c>
      <c r="F187">
        <v>3.1770179104377325</v>
      </c>
      <c r="G187">
        <v>1.6303369187253056</v>
      </c>
      <c r="H187">
        <v>4.7375651334092446</v>
      </c>
      <c r="I187">
        <v>132989.61788647843</v>
      </c>
      <c r="J187">
        <v>96</v>
      </c>
      <c r="K187">
        <v>43.58537906774135</v>
      </c>
      <c r="L187" t="str">
        <f t="shared" si="5"/>
        <v>OK</v>
      </c>
    </row>
    <row r="188" spans="1:12">
      <c r="A188" s="1">
        <v>47315</v>
      </c>
      <c r="B188" t="s">
        <v>13</v>
      </c>
      <c r="C188">
        <v>104</v>
      </c>
      <c r="D188">
        <f>(automotive_demand_forecasting_dataset5[[#This Row],[Units_Sold]] -$C$4) / $C$5</f>
        <v>3.2242449335466418E-2</v>
      </c>
      <c r="E188">
        <v>29302.051859224131</v>
      </c>
      <c r="F188">
        <v>3.1004039966748733</v>
      </c>
      <c r="G188">
        <v>3.6254347844147694</v>
      </c>
      <c r="H188">
        <v>4.0724000090915666</v>
      </c>
      <c r="I188">
        <v>121412.21119958372</v>
      </c>
      <c r="J188">
        <v>82</v>
      </c>
      <c r="K188">
        <f>80.21517797</f>
        <v>80.215177969999999</v>
      </c>
      <c r="L188" t="str">
        <f t="shared" si="5"/>
        <v>OK</v>
      </c>
    </row>
    <row r="189" spans="1:12">
      <c r="A189" s="1">
        <v>47345</v>
      </c>
      <c r="B189" t="s">
        <v>14</v>
      </c>
      <c r="C189">
        <v>94</v>
      </c>
      <c r="D189">
        <f>(automotive_demand_forecasting_dataset5[[#This Row],[Units_Sold]] -$C$4) / $C$5</f>
        <v>-0.1992268080813952</v>
      </c>
      <c r="E189">
        <v>35540.914083687581</v>
      </c>
      <c r="F189">
        <v>3.258628238908984</v>
      </c>
      <c r="G189">
        <v>1.3105881071326722</v>
      </c>
      <c r="H189">
        <v>4.750785532344131</v>
      </c>
      <c r="I189">
        <v>85407.950603851816</v>
      </c>
      <c r="J189">
        <v>80</v>
      </c>
      <c r="K189">
        <v>65.16752650322573</v>
      </c>
      <c r="L189" t="str">
        <f t="shared" si="5"/>
        <v>OK</v>
      </c>
    </row>
    <row r="190" spans="1:12">
      <c r="A190" s="1">
        <v>47375</v>
      </c>
      <c r="B190" t="s">
        <v>12</v>
      </c>
      <c r="C190">
        <v>105</v>
      </c>
      <c r="D190">
        <f>(automotive_demand_forecasting_dataset5[[#This Row],[Units_Sold]] -$C$4) / $C$5</f>
        <v>5.5389375077152581E-2</v>
      </c>
      <c r="E190">
        <v>24800.470364372348</v>
      </c>
      <c r="F190">
        <v>3.0233356958706437</v>
      </c>
      <c r="G190">
        <v>4.1426729532559632</v>
      </c>
      <c r="H190">
        <v>5.2785695708129809</v>
      </c>
      <c r="I190">
        <v>1072283.4634546204</v>
      </c>
      <c r="J190">
        <v>87</v>
      </c>
      <c r="K190">
        <v>40.185819541099619</v>
      </c>
      <c r="L190" t="str">
        <f t="shared" si="5"/>
        <v>OK</v>
      </c>
    </row>
    <row r="191" spans="1:12">
      <c r="A191" s="1">
        <v>47405</v>
      </c>
      <c r="B191" t="s">
        <v>13</v>
      </c>
      <c r="C191">
        <v>109</v>
      </c>
      <c r="D191">
        <f>(automotive_demand_forecasting_dataset5[[#This Row],[Units_Sold]] -$C$4) / $C$5</f>
        <v>0.14797707804389723</v>
      </c>
      <c r="E191">
        <v>33063.869525312846</v>
      </c>
      <c r="F191">
        <v>3.561335157997398</v>
      </c>
      <c r="G191">
        <v>15.993792653521313</v>
      </c>
      <c r="H191">
        <v>4.7743064025541448</v>
      </c>
      <c r="I191">
        <v>74137.169124827051</v>
      </c>
      <c r="J191">
        <v>85</v>
      </c>
      <c r="K191">
        <v>93.223195230341915</v>
      </c>
      <c r="L191" t="str">
        <f t="shared" si="5"/>
        <v>OK</v>
      </c>
    </row>
    <row r="192" spans="1:12">
      <c r="A192" s="1">
        <v>47435</v>
      </c>
      <c r="B192" t="s">
        <v>12</v>
      </c>
      <c r="C192">
        <v>84</v>
      </c>
      <c r="D192">
        <f>(automotive_demand_forecasting_dataset5[[#This Row],[Units_Sold]] -$C$4) / $C$5</f>
        <v>-0.43069606549825684</v>
      </c>
      <c r="E192">
        <v>24732.922184131719</v>
      </c>
      <c r="F192">
        <v>4.3123392292347802</v>
      </c>
      <c r="G192">
        <v>3.1383919256083832</v>
      </c>
      <c r="H192">
        <v>2.8533207314811171</v>
      </c>
      <c r="I192">
        <v>111447.80622351351</v>
      </c>
      <c r="J192">
        <v>95</v>
      </c>
      <c r="K192">
        <v>41.254845189301079</v>
      </c>
      <c r="L192" t="str">
        <f t="shared" si="5"/>
        <v>OK</v>
      </c>
    </row>
    <row r="193" spans="1:12">
      <c r="A193" s="1">
        <v>47465</v>
      </c>
      <c r="B193" t="s">
        <v>11</v>
      </c>
      <c r="C193">
        <v>79</v>
      </c>
      <c r="D193">
        <f>(automotive_demand_forecasting_dataset5[[#This Row],[Units_Sold]] -$C$4) / $C$5</f>
        <v>-0.54643069420668766</v>
      </c>
      <c r="E193">
        <v>26881.155196520973</v>
      </c>
      <c r="F193">
        <v>3.6615396365580146</v>
      </c>
      <c r="G193">
        <v>2.1713815242510153</v>
      </c>
      <c r="H193">
        <v>6.5764794362645587</v>
      </c>
      <c r="I193">
        <v>109012.06825725078</v>
      </c>
      <c r="J193">
        <v>97</v>
      </c>
      <c r="K193">
        <v>91.66525852481557</v>
      </c>
      <c r="L193" t="str">
        <f t="shared" si="5"/>
        <v>OK</v>
      </c>
    </row>
    <row r="194" spans="1:12">
      <c r="A194" s="1">
        <v>47495</v>
      </c>
      <c r="B194" t="s">
        <v>14</v>
      </c>
      <c r="C194">
        <v>98</v>
      </c>
      <c r="D194">
        <f>(automotive_demand_forecasting_dataset5[[#This Row],[Units_Sold]] -$C$4) / $C$5</f>
        <v>-0.10663910511465055</v>
      </c>
      <c r="E194">
        <v>39570.156769333931</v>
      </c>
      <c r="F194">
        <v>3.3738232489368563</v>
      </c>
      <c r="G194">
        <v>3.1031874310823433</v>
      </c>
      <c r="H194">
        <v>7.0298500495344669</v>
      </c>
      <c r="I194">
        <v>62603.673209356719</v>
      </c>
      <c r="J194">
        <v>102</v>
      </c>
      <c r="K194">
        <v>28.278005091726772</v>
      </c>
      <c r="L194" t="str">
        <f t="shared" si="5"/>
        <v>OK</v>
      </c>
    </row>
    <row r="195" spans="1:12">
      <c r="A195" s="1">
        <v>47525</v>
      </c>
      <c r="B195" t="s">
        <v>11</v>
      </c>
      <c r="C195">
        <v>96</v>
      </c>
      <c r="D195">
        <f>(automotive_demand_forecasting_dataset5[[#This Row],[Units_Sold]] -$C$4) / $C$5</f>
        <v>-0.15293295659802289</v>
      </c>
      <c r="E195">
        <v>29046.587996183269</v>
      </c>
      <c r="F195">
        <v>3.354094365542228</v>
      </c>
      <c r="G195">
        <v>1.9558859978858074</v>
      </c>
      <c r="H195">
        <v>6.2818263896074065</v>
      </c>
      <c r="I195">
        <v>76764.323121752721</v>
      </c>
      <c r="J195">
        <v>96</v>
      </c>
      <c r="K195">
        <v>72.525016191972185</v>
      </c>
      <c r="L195" t="str">
        <f t="shared" si="5"/>
        <v>OK</v>
      </c>
    </row>
    <row r="196" spans="1:12">
      <c r="A196" s="1">
        <v>47555</v>
      </c>
      <c r="B196" t="s">
        <v>14</v>
      </c>
      <c r="C196">
        <v>88</v>
      </c>
      <c r="D196">
        <f>(automotive_demand_forecasting_dataset5[[#This Row],[Units_Sold]] -$C$4) / $C$5</f>
        <v>-0.33810836253151216</v>
      </c>
      <c r="E196">
        <v>31087.164365898614</v>
      </c>
      <c r="F196">
        <v>2.7184045956516716</v>
      </c>
      <c r="G196">
        <v>2.3372070939277059</v>
      </c>
      <c r="H196">
        <v>4.1347771954902202</v>
      </c>
      <c r="I196">
        <v>94337.222065124661</v>
      </c>
      <c r="J196">
        <v>82</v>
      </c>
      <c r="K196">
        <v>925.58841475059489</v>
      </c>
      <c r="L196" t="str">
        <f t="shared" si="5"/>
        <v>OK</v>
      </c>
    </row>
    <row r="197" spans="1:12">
      <c r="A197" s="1">
        <v>47585</v>
      </c>
      <c r="B197" t="s">
        <v>13</v>
      </c>
      <c r="C197">
        <v>103</v>
      </c>
      <c r="D197">
        <f>(automotive_demand_forecasting_dataset5[[#This Row],[Units_Sold]] -$C$4) / $C$5</f>
        <v>9.0955235937802571E-3</v>
      </c>
      <c r="E197">
        <v>34350.338653443774</v>
      </c>
      <c r="F197">
        <v>3.9415548885735796</v>
      </c>
      <c r="G197">
        <v>2.5409191753957212</v>
      </c>
      <c r="H197">
        <v>5.2582101592629789</v>
      </c>
      <c r="I197">
        <v>93982.805057183476</v>
      </c>
      <c r="J197">
        <v>85</v>
      </c>
      <c r="K197">
        <v>33.499955071858366</v>
      </c>
      <c r="L197" t="str">
        <f t="shared" si="5"/>
        <v>OK</v>
      </c>
    </row>
    <row r="198" spans="1:12">
      <c r="A198" s="1">
        <v>47615</v>
      </c>
      <c r="B198" t="s">
        <v>14</v>
      </c>
      <c r="C198">
        <v>83</v>
      </c>
      <c r="D198">
        <f>(automotive_demand_forecasting_dataset5[[#This Row],[Units_Sold]] -$C$4) / $C$5</f>
        <v>-0.45384299123994298</v>
      </c>
      <c r="E198">
        <v>32478.409439863022</v>
      </c>
      <c r="F198">
        <v>3.4610814014935989</v>
      </c>
      <c r="G198">
        <v>1.4978125442185273</v>
      </c>
      <c r="H198">
        <v>5.4921744217246502</v>
      </c>
      <c r="I198">
        <v>75810.461291623898</v>
      </c>
      <c r="J198">
        <v>82</v>
      </c>
      <c r="K198">
        <v>97.466156807940393</v>
      </c>
      <c r="L198" t="str">
        <f t="shared" si="5"/>
        <v>OK</v>
      </c>
    </row>
    <row r="199" spans="1:12">
      <c r="A199" s="1">
        <v>47645</v>
      </c>
      <c r="B199" t="s">
        <v>10</v>
      </c>
      <c r="C199">
        <v>82</v>
      </c>
      <c r="D199">
        <f>(automotive_demand_forecasting_dataset5[[#This Row],[Units_Sold]] -$C$4) / $C$5</f>
        <v>-0.47698991698162913</v>
      </c>
      <c r="E199">
        <v>30752.094525717883</v>
      </c>
      <c r="F199">
        <v>3.4097600432046873</v>
      </c>
      <c r="G199">
        <v>3.2408243454201258</v>
      </c>
      <c r="H199">
        <v>6.2185532674742925</v>
      </c>
      <c r="I199">
        <v>107779.57458704368</v>
      </c>
      <c r="J199">
        <f>111.9136842</f>
        <v>111.91368420000001</v>
      </c>
      <c r="K199">
        <v>56.230668833240934</v>
      </c>
      <c r="L199" t="str">
        <f t="shared" si="5"/>
        <v>OK</v>
      </c>
    </row>
    <row r="200" spans="1:12">
      <c r="A200" s="1">
        <v>47675</v>
      </c>
      <c r="B200" t="s">
        <v>12</v>
      </c>
      <c r="C200">
        <v>106</v>
      </c>
      <c r="D200">
        <f>(automotive_demand_forecasting_dataset5[[#This Row],[Units_Sold]] -$C$4) / $C$5</f>
        <v>7.853630081883875E-2</v>
      </c>
      <c r="E200">
        <v>31824.805012331126</v>
      </c>
      <c r="F200">
        <v>5.0965537839224302</v>
      </c>
      <c r="G200">
        <v>1.9867864335284149</v>
      </c>
      <c r="H200">
        <v>6.3020085864616968</v>
      </c>
      <c r="I200">
        <v>105029.47217881025</v>
      </c>
      <c r="J200">
        <v>91</v>
      </c>
      <c r="K200">
        <f>80.21517797</f>
        <v>80.215177969999999</v>
      </c>
      <c r="L200" t="str">
        <f t="shared" si="5"/>
        <v>OK</v>
      </c>
    </row>
    <row r="201" spans="1:12">
      <c r="A201" s="1">
        <v>47705</v>
      </c>
      <c r="B201" t="s">
        <v>12</v>
      </c>
      <c r="C201">
        <v>96</v>
      </c>
      <c r="D201">
        <f>(automotive_demand_forecasting_dataset5[[#This Row],[Units_Sold]] -$C$4) / $C$5</f>
        <v>-0.15293295659802289</v>
      </c>
      <c r="E201">
        <v>42017.077926191378</v>
      </c>
      <c r="F201">
        <v>3.6493764541828431</v>
      </c>
      <c r="G201">
        <v>2.2714000846599816</v>
      </c>
      <c r="H201">
        <v>4.6189914414658055</v>
      </c>
      <c r="I201">
        <v>96114.61736042962</v>
      </c>
      <c r="J201">
        <v>88</v>
      </c>
      <c r="K201">
        <v>74.145603490403758</v>
      </c>
      <c r="L201" t="str">
        <f t="shared" si="5"/>
        <v>OK</v>
      </c>
    </row>
    <row r="202" spans="1:12">
      <c r="A202" s="1">
        <v>47735</v>
      </c>
      <c r="B202" t="s">
        <v>10</v>
      </c>
      <c r="C202">
        <v>96</v>
      </c>
      <c r="D202">
        <f>(automotive_demand_forecasting_dataset5[[#This Row],[Units_Sold]] -$C$4) / $C$5</f>
        <v>-0.15293295659802289</v>
      </c>
      <c r="E202">
        <v>29711.906014832071</v>
      </c>
      <c r="F202">
        <v>3.1241044749524081</v>
      </c>
      <c r="G202">
        <v>1.5056506253914876</v>
      </c>
      <c r="H202">
        <v>5.5983946676962724</v>
      </c>
      <c r="I202">
        <v>84884.169996832745</v>
      </c>
      <c r="J202">
        <v>90</v>
      </c>
      <c r="K202">
        <v>44.12694958988412</v>
      </c>
      <c r="L202" t="str">
        <f t="shared" si="5"/>
        <v>OK</v>
      </c>
    </row>
    <row r="203" spans="1:12">
      <c r="A203" s="1">
        <v>47765</v>
      </c>
      <c r="B203" t="s">
        <v>11</v>
      </c>
      <c r="C203">
        <v>109</v>
      </c>
      <c r="D203">
        <f>(automotive_demand_forecasting_dataset5[[#This Row],[Units_Sold]] -$C$4) / $C$5</f>
        <v>0.14797707804389723</v>
      </c>
      <c r="E203">
        <v>31005.495233574838</v>
      </c>
      <c r="F203">
        <v>3.2868212018972285</v>
      </c>
      <c r="G203">
        <v>-6.2333658795310498E-2</v>
      </c>
      <c r="H203">
        <v>6.0487364855382895</v>
      </c>
      <c r="I203">
        <v>120974.14252833127</v>
      </c>
      <c r="J203">
        <v>710</v>
      </c>
      <c r="K203">
        <v>35.064201993368513</v>
      </c>
      <c r="L203" t="str">
        <f t="shared" ref="L203:L266" si="6">IF(COUNTA(A203:K203)&lt;COLUMNS(A203:K203), "Missing Data", "OK")</f>
        <v>OK</v>
      </c>
    </row>
    <row r="204" spans="1:12">
      <c r="A204" s="1">
        <v>47795</v>
      </c>
      <c r="B204" t="s">
        <v>10</v>
      </c>
      <c r="C204">
        <v>98</v>
      </c>
      <c r="D204">
        <f>(automotive_demand_forecasting_dataset5[[#This Row],[Units_Sold]] -$C$4) / $C$5</f>
        <v>-0.10663910511465055</v>
      </c>
      <c r="E204">
        <v>35253.271980038058</v>
      </c>
      <c r="F204">
        <v>4.0742228545983776</v>
      </c>
      <c r="G204">
        <v>2.3089722373998312</v>
      </c>
      <c r="H204">
        <v>7.2469867865761195</v>
      </c>
      <c r="I204">
        <v>133108.1422617659</v>
      </c>
      <c r="J204">
        <v>84</v>
      </c>
      <c r="K204">
        <v>44.298803698007951</v>
      </c>
      <c r="L204" t="str">
        <f t="shared" si="6"/>
        <v>OK</v>
      </c>
    </row>
    <row r="205" spans="1:12">
      <c r="A205" s="1">
        <v>47825</v>
      </c>
      <c r="B205" t="s">
        <v>13</v>
      </c>
      <c r="C205">
        <v>86</v>
      </c>
      <c r="D205">
        <f>(automotive_demand_forecasting_dataset5[[#This Row],[Units_Sold]] -$C$4) / $C$5</f>
        <v>-0.3844022140148845</v>
      </c>
      <c r="E205">
        <v>35527.629664789922</v>
      </c>
      <c r="F205">
        <v>3.5566352052688823</v>
      </c>
      <c r="G205">
        <v>49.126154216129159</v>
      </c>
      <c r="H205">
        <v>6.3454078477896676</v>
      </c>
      <c r="I205">
        <f>128897.2893</f>
        <v>128897.2893</v>
      </c>
      <c r="J205">
        <v>79</v>
      </c>
      <c r="K205">
        <v>27.441392741013999</v>
      </c>
      <c r="L205" t="str">
        <f t="shared" si="6"/>
        <v>OK</v>
      </c>
    </row>
    <row r="206" spans="1:12">
      <c r="A206" s="1">
        <v>47855</v>
      </c>
      <c r="B206" t="s">
        <v>13</v>
      </c>
      <c r="C206">
        <v>79</v>
      </c>
      <c r="D206">
        <f>(automotive_demand_forecasting_dataset5[[#This Row],[Units_Sold]] -$C$4) / $C$5</f>
        <v>-0.54643069420668766</v>
      </c>
      <c r="E206">
        <v>35935.1515278019</v>
      </c>
      <c r="F206">
        <v>2.7808610108413165</v>
      </c>
      <c r="G206">
        <v>3.2846042878980239</v>
      </c>
      <c r="H206">
        <v>6.4468680248506232</v>
      </c>
      <c r="I206">
        <v>87756.661656903583</v>
      </c>
      <c r="J206">
        <v>77</v>
      </c>
      <c r="K206">
        <v>31.509437307466381</v>
      </c>
      <c r="L206" t="str">
        <f t="shared" si="6"/>
        <v>OK</v>
      </c>
    </row>
    <row r="207" spans="1:12">
      <c r="A207" s="1">
        <v>47885</v>
      </c>
      <c r="B207" t="s">
        <v>12</v>
      </c>
      <c r="C207">
        <v>86</v>
      </c>
      <c r="D207">
        <f>(automotive_demand_forecasting_dataset5[[#This Row],[Units_Sold]] -$C$4) / $C$5</f>
        <v>-0.3844022140148845</v>
      </c>
      <c r="E207">
        <v>38106.295579999998</v>
      </c>
      <c r="F207">
        <v>3.9596144672876017</v>
      </c>
      <c r="G207">
        <f>3.224108373</f>
        <v>3.224108373</v>
      </c>
      <c r="H207">
        <v>5.6005919535152335</v>
      </c>
      <c r="I207">
        <v>109824.15330823993</v>
      </c>
      <c r="J207">
        <v>77</v>
      </c>
      <c r="K207">
        <v>28.37283522771849</v>
      </c>
      <c r="L207" t="str">
        <f t="shared" si="6"/>
        <v>OK</v>
      </c>
    </row>
    <row r="208" spans="1:12">
      <c r="A208" s="1">
        <v>47915</v>
      </c>
      <c r="B208" t="s">
        <v>13</v>
      </c>
      <c r="C208">
        <v>108</v>
      </c>
      <c r="D208">
        <f>(automotive_demand_forecasting_dataset5[[#This Row],[Units_Sold]] -$C$4) / $C$5</f>
        <v>0.12483015230221108</v>
      </c>
      <c r="E208">
        <v>24284.97543634758</v>
      </c>
      <c r="F208">
        <v>3.1659279572305028</v>
      </c>
      <c r="G208">
        <v>2.2371091707917321</v>
      </c>
      <c r="H208">
        <v>7.1925509742442042</v>
      </c>
      <c r="I208">
        <v>92839.41240506027</v>
      </c>
      <c r="J208">
        <v>105</v>
      </c>
      <c r="K208">
        <v>53.835483499324617</v>
      </c>
      <c r="L208" t="str">
        <f t="shared" si="6"/>
        <v>OK</v>
      </c>
    </row>
    <row r="209" spans="1:12">
      <c r="A209" s="1">
        <v>47945</v>
      </c>
      <c r="B209" t="s">
        <v>12</v>
      </c>
      <c r="C209">
        <v>100</v>
      </c>
      <c r="D209">
        <f>(automotive_demand_forecasting_dataset5[[#This Row],[Units_Sold]] -$C$4) / $C$5</f>
        <v>-6.0345253631278226E-2</v>
      </c>
      <c r="E209">
        <v>38167.15766150548</v>
      </c>
      <c r="F209">
        <v>4.4366488881087731</v>
      </c>
      <c r="G209">
        <v>2.5224658928120465</v>
      </c>
      <c r="H209">
        <v>5.9917153551513973</v>
      </c>
      <c r="I209">
        <v>97212.055986735315</v>
      </c>
      <c r="J209">
        <v>100</v>
      </c>
      <c r="K209">
        <v>83.646270100606912</v>
      </c>
      <c r="L209" t="str">
        <f t="shared" si="6"/>
        <v>OK</v>
      </c>
    </row>
    <row r="210" spans="1:12">
      <c r="A210" s="1">
        <v>47975</v>
      </c>
      <c r="B210" t="s">
        <v>10</v>
      </c>
      <c r="C210">
        <v>93</v>
      </c>
      <c r="D210">
        <f>(automotive_demand_forecasting_dataset5[[#This Row],[Units_Sold]] -$C$4) / $C$5</f>
        <v>-0.22237373382308137</v>
      </c>
      <c r="E210">
        <v>24268.27303490656</v>
      </c>
      <c r="F210">
        <v>4.0400240328573247</v>
      </c>
      <c r="G210">
        <f>3.224108373</f>
        <v>3.224108373</v>
      </c>
      <c r="H210">
        <f>6.97388673</f>
        <v>6.9738867300000003</v>
      </c>
      <c r="I210">
        <v>114793.06303449343</v>
      </c>
      <c r="J210">
        <v>82</v>
      </c>
      <c r="K210">
        <v>31.310684337307215</v>
      </c>
      <c r="L210" t="str">
        <f t="shared" si="6"/>
        <v>OK</v>
      </c>
    </row>
    <row r="211" spans="1:12">
      <c r="A211" s="1">
        <v>48005</v>
      </c>
      <c r="B211" t="s">
        <v>10</v>
      </c>
      <c r="C211">
        <v>82</v>
      </c>
      <c r="D211">
        <f>(automotive_demand_forecasting_dataset5[[#This Row],[Units_Sold]] -$C$4) / $C$5</f>
        <v>-0.47698991698162913</v>
      </c>
      <c r="E211">
        <v>31513.177326195168</v>
      </c>
      <c r="F211">
        <v>3.2763390521706244</v>
      </c>
      <c r="G211">
        <v>1.3191871846911551</v>
      </c>
      <c r="H211">
        <v>7.1840439641502289</v>
      </c>
      <c r="I211">
        <v>61812.87824985414</v>
      </c>
      <c r="J211">
        <v>105</v>
      </c>
      <c r="K211">
        <v>30.425634653786872</v>
      </c>
      <c r="L211" t="str">
        <f t="shared" si="6"/>
        <v>OK</v>
      </c>
    </row>
    <row r="212" spans="1:12">
      <c r="A212" s="1">
        <v>48035</v>
      </c>
      <c r="B212" t="s">
        <v>10</v>
      </c>
      <c r="C212">
        <v>104</v>
      </c>
      <c r="D212">
        <f>(automotive_demand_forecasting_dataset5[[#This Row],[Units_Sold]] -$C$4) / $C$5</f>
        <v>3.2242449335466418E-2</v>
      </c>
      <c r="E212">
        <v>26228.62074990321</v>
      </c>
      <c r="F212">
        <v>4.1405081808675561</v>
      </c>
      <c r="G212">
        <v>3.6143216946688721</v>
      </c>
      <c r="H212">
        <v>63.374839270468328</v>
      </c>
      <c r="I212">
        <v>126366.04649705338</v>
      </c>
      <c r="J212">
        <v>103</v>
      </c>
      <c r="K212">
        <v>71.474315961386452</v>
      </c>
      <c r="L212" t="str">
        <f t="shared" si="6"/>
        <v>OK</v>
      </c>
    </row>
    <row r="213" spans="1:12">
      <c r="A213" s="1">
        <v>48065</v>
      </c>
      <c r="B213" t="s">
        <v>12</v>
      </c>
      <c r="C213">
        <v>99</v>
      </c>
      <c r="D213">
        <f>(automotive_demand_forecasting_dataset5[[#This Row],[Units_Sold]] -$C$4) / $C$5</f>
        <v>-8.3492179372964395E-2</v>
      </c>
      <c r="E213">
        <v>29679.308267035038</v>
      </c>
      <c r="F213">
        <v>3.5339277552637016</v>
      </c>
      <c r="G213">
        <v>3.2153813154412441</v>
      </c>
      <c r="H213">
        <v>4.968347174645821</v>
      </c>
      <c r="I213">
        <v>101453.61048658683</v>
      </c>
      <c r="J213">
        <v>84</v>
      </c>
      <c r="K213">
        <v>35.7746385574453</v>
      </c>
      <c r="L213" t="str">
        <f t="shared" si="6"/>
        <v>OK</v>
      </c>
    </row>
    <row r="214" spans="1:12">
      <c r="A214" s="1">
        <v>48095</v>
      </c>
      <c r="B214" t="s">
        <v>10</v>
      </c>
      <c r="C214">
        <v>102</v>
      </c>
      <c r="D214">
        <f>(automotive_demand_forecasting_dataset5[[#This Row],[Units_Sold]] -$C$4) / $C$5</f>
        <v>-1.4051402147905904E-2</v>
      </c>
      <c r="E214">
        <v>31643.812051517401</v>
      </c>
      <c r="F214">
        <v>3.9263868375611097</v>
      </c>
      <c r="G214">
        <v>3.2181857257079347</v>
      </c>
      <c r="H214">
        <v>4.9246084391209077</v>
      </c>
      <c r="I214">
        <v>91770.137108756389</v>
      </c>
      <c r="J214">
        <v>860</v>
      </c>
      <c r="K214">
        <v>27.808803048719327</v>
      </c>
      <c r="L214" t="str">
        <f t="shared" si="6"/>
        <v>OK</v>
      </c>
    </row>
    <row r="215" spans="1:12">
      <c r="A215" s="1">
        <v>48125</v>
      </c>
      <c r="B215" t="s">
        <v>10</v>
      </c>
      <c r="C215">
        <v>76</v>
      </c>
      <c r="D215">
        <f>(automotive_demand_forecasting_dataset5[[#This Row],[Units_Sold]] -$C$4) / $C$5</f>
        <v>-0.61587147143174614</v>
      </c>
      <c r="E215">
        <v>38106.295579999998</v>
      </c>
      <c r="F215">
        <v>3.7423664086472375</v>
      </c>
      <c r="G215">
        <v>2.9384757388097271</v>
      </c>
      <c r="H215">
        <v>5.8558906541689142</v>
      </c>
      <c r="I215">
        <v>98215.31691557102</v>
      </c>
      <c r="J215">
        <v>91</v>
      </c>
      <c r="K215">
        <v>33.347886256446209</v>
      </c>
      <c r="L215" t="str">
        <f t="shared" si="6"/>
        <v>OK</v>
      </c>
    </row>
    <row r="216" spans="1:12">
      <c r="A216" s="1">
        <v>48155</v>
      </c>
      <c r="B216" t="s">
        <v>11</v>
      </c>
      <c r="C216">
        <v>99</v>
      </c>
      <c r="D216">
        <f>(automotive_demand_forecasting_dataset5[[#This Row],[Units_Sold]] -$C$4) / $C$5</f>
        <v>-8.3492179372964395E-2</v>
      </c>
      <c r="E216">
        <v>32109.603771176422</v>
      </c>
      <c r="F216">
        <v>3.0768216725045634</v>
      </c>
      <c r="G216">
        <v>2.51961665769399</v>
      </c>
      <c r="H216">
        <v>6.0558217543211015</v>
      </c>
      <c r="I216">
        <v>99248.587100410368</v>
      </c>
      <c r="J216">
        <v>95</v>
      </c>
      <c r="K216">
        <v>93.898511670142085</v>
      </c>
      <c r="L216" t="str">
        <f t="shared" si="6"/>
        <v>OK</v>
      </c>
    </row>
    <row r="217" spans="1:12">
      <c r="A217" s="1">
        <v>48185</v>
      </c>
      <c r="B217" t="s">
        <v>10</v>
      </c>
      <c r="C217">
        <v>93</v>
      </c>
      <c r="D217">
        <f>(automotive_demand_forecasting_dataset5[[#This Row],[Units_Sold]] -$C$4) / $C$5</f>
        <v>-0.22237373382308137</v>
      </c>
      <c r="E217">
        <v>38068.556345293233</v>
      </c>
      <c r="F217">
        <v>3.1782250838412689</v>
      </c>
      <c r="G217">
        <v>3.17286123596682</v>
      </c>
      <c r="H217">
        <v>5.736750718757448</v>
      </c>
      <c r="I217">
        <v>65375.973931101493</v>
      </c>
      <c r="J217">
        <v>85</v>
      </c>
      <c r="K217">
        <v>85.71770022209526</v>
      </c>
      <c r="L217" t="str">
        <f t="shared" si="6"/>
        <v>OK</v>
      </c>
    </row>
    <row r="218" spans="1:12">
      <c r="A218" s="1">
        <v>48215</v>
      </c>
      <c r="B218" t="s">
        <v>13</v>
      </c>
      <c r="C218">
        <v>99</v>
      </c>
      <c r="D218">
        <f>(automotive_demand_forecasting_dataset5[[#This Row],[Units_Sold]] -$C$4) / $C$5</f>
        <v>-8.3492179372964395E-2</v>
      </c>
      <c r="E218">
        <v>32267.671507569899</v>
      </c>
      <c r="F218">
        <v>4.0149804087905805</v>
      </c>
      <c r="G218">
        <v>3.0918141337413783</v>
      </c>
      <c r="H218">
        <f>6.97388673</f>
        <v>6.9738867300000003</v>
      </c>
      <c r="I218">
        <v>129898.76454906471</v>
      </c>
      <c r="J218">
        <v>99</v>
      </c>
      <c r="K218">
        <v>48.325164988407529</v>
      </c>
      <c r="L218" t="str">
        <f t="shared" si="6"/>
        <v>OK</v>
      </c>
    </row>
    <row r="219" spans="1:12">
      <c r="A219" s="1">
        <v>48245</v>
      </c>
      <c r="B219" t="s">
        <v>12</v>
      </c>
      <c r="C219">
        <v>102</v>
      </c>
      <c r="D219">
        <f>(automotive_demand_forecasting_dataset5[[#This Row],[Units_Sold]] -$C$4) / $C$5</f>
        <v>-1.4051402147905904E-2</v>
      </c>
      <c r="E219">
        <v>28779.216823546758</v>
      </c>
      <c r="F219">
        <v>3.3326123339467295</v>
      </c>
      <c r="G219">
        <f>3.224108373</f>
        <v>3.224108373</v>
      </c>
      <c r="H219">
        <v>7.5399488494916564</v>
      </c>
      <c r="I219">
        <v>100826.51264541237</v>
      </c>
      <c r="J219">
        <v>94</v>
      </c>
      <c r="K219">
        <v>72.465661386191428</v>
      </c>
      <c r="L219" t="str">
        <f t="shared" si="6"/>
        <v>OK</v>
      </c>
    </row>
    <row r="220" spans="1:12">
      <c r="A220" s="1">
        <v>48275</v>
      </c>
      <c r="B220" t="s">
        <v>11</v>
      </c>
      <c r="C220">
        <v>106</v>
      </c>
      <c r="D220">
        <f>(automotive_demand_forecasting_dataset5[[#This Row],[Units_Sold]] -$C$4) / $C$5</f>
        <v>7.853630081883875E-2</v>
      </c>
      <c r="E220">
        <v>34820.435841441787</v>
      </c>
      <c r="F220">
        <v>3.2981757683790018</v>
      </c>
      <c r="G220">
        <v>1.926398227103099</v>
      </c>
      <c r="H220">
        <v>6.7858517826818625</v>
      </c>
      <c r="I220">
        <v>108860.04260894751</v>
      </c>
      <c r="J220">
        <v>91</v>
      </c>
      <c r="K220">
        <v>62.982053893443045</v>
      </c>
      <c r="L220" t="str">
        <f t="shared" si="6"/>
        <v>OK</v>
      </c>
    </row>
    <row r="221" spans="1:12">
      <c r="A221" s="1">
        <v>48305</v>
      </c>
      <c r="B221" t="s">
        <v>14</v>
      </c>
      <c r="C221">
        <v>94</v>
      </c>
      <c r="D221">
        <f>(automotive_demand_forecasting_dataset5[[#This Row],[Units_Sold]] -$C$4) / $C$5</f>
        <v>-0.1992268080813952</v>
      </c>
      <c r="E221">
        <v>35947.352444623204</v>
      </c>
      <c r="F221">
        <v>3.0224387103253236</v>
      </c>
      <c r="G221">
        <v>2.6018562952619866</v>
      </c>
      <c r="H221">
        <v>5.7287627095180289</v>
      </c>
      <c r="I221">
        <v>119030.99541148086</v>
      </c>
      <c r="J221">
        <v>87</v>
      </c>
      <c r="K221">
        <v>74.16994107860512</v>
      </c>
      <c r="L221" t="str">
        <f t="shared" si="6"/>
        <v>OK</v>
      </c>
    </row>
    <row r="222" spans="1:12">
      <c r="A222" s="1">
        <v>48335</v>
      </c>
      <c r="B222" t="s">
        <v>12</v>
      </c>
      <c r="C222">
        <v>105</v>
      </c>
      <c r="D222">
        <f>(automotive_demand_forecasting_dataset5[[#This Row],[Units_Sold]] -$C$4) / $C$5</f>
        <v>5.5389375077152581E-2</v>
      </c>
      <c r="E222">
        <v>23861.960924315037</v>
      </c>
      <c r="F222">
        <v>3.7117995327967304</v>
      </c>
      <c r="G222">
        <v>4.0490201514951876</v>
      </c>
      <c r="H222">
        <v>6.6295726969209801</v>
      </c>
      <c r="I222">
        <v>79576.750848793992</v>
      </c>
      <c r="J222">
        <v>66</v>
      </c>
      <c r="K222">
        <v>74.613692197020754</v>
      </c>
      <c r="L222" t="str">
        <f t="shared" si="6"/>
        <v>OK</v>
      </c>
    </row>
    <row r="223" spans="1:12">
      <c r="A223" s="1">
        <v>48365</v>
      </c>
      <c r="B223" t="s">
        <v>13</v>
      </c>
      <c r="C223">
        <v>100</v>
      </c>
      <c r="D223">
        <f>(automotive_demand_forecasting_dataset5[[#This Row],[Units_Sold]] -$C$4) / $C$5</f>
        <v>-6.0345253631278226E-2</v>
      </c>
      <c r="E223">
        <v>32987.000349249291</v>
      </c>
      <c r="F223">
        <v>4.5312624596215727</v>
      </c>
      <c r="G223">
        <f>3.224108373</f>
        <v>3.224108373</v>
      </c>
      <c r="H223">
        <v>4.2609713157669526</v>
      </c>
      <c r="I223">
        <v>109469.43798070456</v>
      </c>
      <c r="J223">
        <v>86</v>
      </c>
      <c r="K223">
        <v>70.298721204799435</v>
      </c>
      <c r="L223" t="str">
        <f t="shared" si="6"/>
        <v>OK</v>
      </c>
    </row>
    <row r="224" spans="1:12">
      <c r="A224" s="1">
        <v>48395</v>
      </c>
      <c r="B224" t="s">
        <v>12</v>
      </c>
      <c r="C224">
        <v>122</v>
      </c>
      <c r="D224">
        <f>(automotive_demand_forecasting_dataset5[[#This Row],[Units_Sold]] -$C$4) / $C$5</f>
        <v>0.44888711268581732</v>
      </c>
      <c r="E224">
        <v>33505.863711554492</v>
      </c>
      <c r="F224">
        <v>2.9662335428728634</v>
      </c>
      <c r="G224">
        <v>1.03247473424756</v>
      </c>
      <c r="H224">
        <v>5.9775124599361709</v>
      </c>
      <c r="I224">
        <v>94647.17818202413</v>
      </c>
      <c r="J224">
        <v>80</v>
      </c>
      <c r="K224">
        <v>41.288109482984687</v>
      </c>
      <c r="L224" t="str">
        <f t="shared" si="6"/>
        <v>OK</v>
      </c>
    </row>
    <row r="225" spans="1:12">
      <c r="A225" s="1">
        <v>48425</v>
      </c>
      <c r="B225" t="s">
        <v>13</v>
      </c>
      <c r="C225">
        <v>103</v>
      </c>
      <c r="D225">
        <f>(automotive_demand_forecasting_dataset5[[#This Row],[Units_Sold]] -$C$4) / $C$5</f>
        <v>9.0955235937802571E-3</v>
      </c>
      <c r="E225">
        <v>28512.182483200042</v>
      </c>
      <c r="F225">
        <v>3.5121097283363789</v>
      </c>
      <c r="G225">
        <v>2.6647608412365167</v>
      </c>
      <c r="H225">
        <f>6.97388673</f>
        <v>6.9738867300000003</v>
      </c>
      <c r="I225">
        <v>116935.41550432987</v>
      </c>
      <c r="J225">
        <v>111</v>
      </c>
      <c r="K225">
        <v>23.120513661025448</v>
      </c>
      <c r="L225" t="str">
        <f t="shared" si="6"/>
        <v>OK</v>
      </c>
    </row>
    <row r="226" spans="1:12">
      <c r="A226" s="1">
        <v>48455</v>
      </c>
      <c r="B226" t="s">
        <v>13</v>
      </c>
      <c r="C226">
        <v>119</v>
      </c>
      <c r="D226">
        <f>(automotive_demand_forecasting_dataset5[[#This Row],[Units_Sold]] -$C$4) / $C$5</f>
        <v>0.37944633546075884</v>
      </c>
      <c r="E226">
        <v>36878.534066558095</v>
      </c>
      <c r="F226">
        <v>4.2061102777077144</v>
      </c>
      <c r="G226">
        <f>3.224108373</f>
        <v>3.224108373</v>
      </c>
      <c r="H226">
        <v>5.2383449255291517</v>
      </c>
      <c r="I226">
        <f>128897.2893</f>
        <v>128897.2893</v>
      </c>
      <c r="J226">
        <v>98</v>
      </c>
      <c r="K226">
        <v>564.453425592087</v>
      </c>
      <c r="L226" t="str">
        <f t="shared" si="6"/>
        <v>OK</v>
      </c>
    </row>
    <row r="227" spans="1:12">
      <c r="A227" s="1">
        <v>48485</v>
      </c>
      <c r="B227" t="s">
        <v>14</v>
      </c>
      <c r="C227">
        <v>76</v>
      </c>
      <c r="D227">
        <f>(automotive_demand_forecasting_dataset5[[#This Row],[Units_Sold]] -$C$4) / $C$5</f>
        <v>-0.61587147143174614</v>
      </c>
      <c r="E227">
        <v>29249.722064837366</v>
      </c>
      <c r="F227">
        <v>3.4601793043771423</v>
      </c>
      <c r="G227">
        <v>2.6733416643704082</v>
      </c>
      <c r="H227">
        <v>4.4828392856570982</v>
      </c>
      <c r="I227">
        <v>98018.113995174615</v>
      </c>
      <c r="J227">
        <v>98</v>
      </c>
      <c r="K227">
        <v>91.277910775256302</v>
      </c>
      <c r="L227" t="str">
        <f t="shared" si="6"/>
        <v>OK</v>
      </c>
    </row>
    <row r="228" spans="1:12">
      <c r="A228" s="1">
        <v>48515</v>
      </c>
      <c r="B228" t="s">
        <v>12</v>
      </c>
      <c r="C228">
        <v>96</v>
      </c>
      <c r="D228">
        <f>(automotive_demand_forecasting_dataset5[[#This Row],[Units_Sold]] -$C$4) / $C$5</f>
        <v>-0.15293295659802289</v>
      </c>
      <c r="E228">
        <v>38106.295579999998</v>
      </c>
      <c r="F228">
        <v>3.726185898124867</v>
      </c>
      <c r="G228">
        <v>2.7439531979085001</v>
      </c>
      <c r="H228">
        <v>4.7174933336883269</v>
      </c>
      <c r="I228">
        <v>87943.586884320772</v>
      </c>
      <c r="J228">
        <v>93</v>
      </c>
      <c r="K228">
        <v>65.559780681486075</v>
      </c>
      <c r="L228" t="str">
        <f t="shared" si="6"/>
        <v>OK</v>
      </c>
    </row>
    <row r="229" spans="1:12">
      <c r="A229" s="1">
        <v>48545</v>
      </c>
      <c r="B229" t="s">
        <v>14</v>
      </c>
      <c r="C229">
        <v>103</v>
      </c>
      <c r="D229">
        <f>(automotive_demand_forecasting_dataset5[[#This Row],[Units_Sold]] -$C$4) / $C$5</f>
        <v>9.0955235937802571E-3</v>
      </c>
      <c r="E229">
        <v>29134.640878580652</v>
      </c>
      <c r="F229">
        <v>4.5778345189999996</v>
      </c>
      <c r="G229">
        <v>2.2767977453651951</v>
      </c>
      <c r="H229">
        <v>4.1924403551891345</v>
      </c>
      <c r="I229">
        <v>108645.25901268311</v>
      </c>
      <c r="J229">
        <v>106</v>
      </c>
      <c r="K229">
        <v>86.591283336152628</v>
      </c>
      <c r="L229" t="str">
        <f t="shared" si="6"/>
        <v>OK</v>
      </c>
    </row>
    <row r="230" spans="1:12">
      <c r="A230" s="1">
        <v>48575</v>
      </c>
      <c r="B230" t="s">
        <v>14</v>
      </c>
      <c r="C230">
        <v>111</v>
      </c>
      <c r="D230">
        <f>(automotive_demand_forecasting_dataset5[[#This Row],[Units_Sold]] -$C$4) / $C$5</f>
        <v>0.19427092952726954</v>
      </c>
      <c r="E230">
        <v>30077.895237907338</v>
      </c>
      <c r="F230">
        <v>3.7141535486038242</v>
      </c>
      <c r="G230">
        <v>3.9898634386020824</v>
      </c>
      <c r="H230">
        <v>45.582857102467564</v>
      </c>
      <c r="I230">
        <v>109400.88374736405</v>
      </c>
      <c r="J230">
        <v>93</v>
      </c>
      <c r="K230">
        <f>80.21517797</f>
        <v>80.215177969999999</v>
      </c>
      <c r="L230" t="str">
        <f t="shared" si="6"/>
        <v>OK</v>
      </c>
    </row>
    <row r="231" spans="1:12">
      <c r="A231" s="1">
        <v>48605</v>
      </c>
      <c r="B231" t="s">
        <v>12</v>
      </c>
      <c r="C231">
        <v>97</v>
      </c>
      <c r="D231">
        <f>(automotive_demand_forecasting_dataset5[[#This Row],[Units_Sold]] -$C$4) / $C$5</f>
        <v>-0.12978603085633672</v>
      </c>
      <c r="E231">
        <v>24518.624565523991</v>
      </c>
      <c r="F231">
        <v>3.4064278674977255</v>
      </c>
      <c r="G231">
        <v>0.89909602152348445</v>
      </c>
      <c r="H231">
        <v>5.0553902816919649</v>
      </c>
      <c r="I231">
        <v>85847.48210355948</v>
      </c>
      <c r="J231">
        <v>72</v>
      </c>
      <c r="K231">
        <v>33.089296331062101</v>
      </c>
      <c r="L231" t="str">
        <f t="shared" si="6"/>
        <v>OK</v>
      </c>
    </row>
    <row r="232" spans="1:12">
      <c r="A232" s="1">
        <v>48635</v>
      </c>
      <c r="B232" t="s">
        <v>10</v>
      </c>
      <c r="C232">
        <v>112</v>
      </c>
      <c r="D232">
        <f>(automotive_demand_forecasting_dataset5[[#This Row],[Units_Sold]] -$C$4) / $C$5</f>
        <v>0.21741785526895571</v>
      </c>
      <c r="E232">
        <v>22799.745587028527</v>
      </c>
      <c r="F232">
        <v>3.9928649978399315</v>
      </c>
      <c r="G232">
        <v>1.6715029752197541</v>
      </c>
      <c r="H232">
        <v>3.8133195769856298</v>
      </c>
      <c r="I232">
        <v>85756.522716479129</v>
      </c>
      <c r="J232">
        <v>85</v>
      </c>
      <c r="K232">
        <v>753.42211131358579</v>
      </c>
      <c r="L232" t="str">
        <f t="shared" si="6"/>
        <v>OK</v>
      </c>
    </row>
    <row r="233" spans="1:12">
      <c r="A233" s="1">
        <v>48665</v>
      </c>
      <c r="B233" t="s">
        <v>10</v>
      </c>
      <c r="C233">
        <v>99</v>
      </c>
      <c r="D233">
        <f>(automotive_demand_forecasting_dataset5[[#This Row],[Units_Sold]] -$C$4) / $C$5</f>
        <v>-8.3492179372964395E-2</v>
      </c>
      <c r="E233">
        <v>37972.525316124862</v>
      </c>
      <c r="F233">
        <v>4.0936930257823754</v>
      </c>
      <c r="G233">
        <v>2.3967452398509526</v>
      </c>
      <c r="H233">
        <v>5.5187420007395236</v>
      </c>
      <c r="I233">
        <v>97786.692628853416</v>
      </c>
      <c r="J233">
        <v>86</v>
      </c>
      <c r="K233">
        <v>73.943485896001974</v>
      </c>
      <c r="L233" t="str">
        <f t="shared" si="6"/>
        <v>OK</v>
      </c>
    </row>
    <row r="234" spans="1:12">
      <c r="A234" s="1">
        <v>48695</v>
      </c>
      <c r="B234" t="s">
        <v>14</v>
      </c>
      <c r="C234">
        <v>124</v>
      </c>
      <c r="D234">
        <f>(automotive_demand_forecasting_dataset5[[#This Row],[Units_Sold]] -$C$4) / $C$5</f>
        <v>0.49518096416918966</v>
      </c>
      <c r="E234">
        <v>25765.193258408362</v>
      </c>
      <c r="F234">
        <v>4.7947818210093072</v>
      </c>
      <c r="G234">
        <v>0.85681118884583274</v>
      </c>
      <c r="H234">
        <f>6.97388673</f>
        <v>6.9738867300000003</v>
      </c>
      <c r="I234">
        <v>82067.155453695828</v>
      </c>
      <c r="J234">
        <v>93</v>
      </c>
      <c r="K234">
        <v>98.396435788662274</v>
      </c>
      <c r="L234" t="str">
        <f t="shared" si="6"/>
        <v>OK</v>
      </c>
    </row>
    <row r="235" spans="1:12">
      <c r="A235" s="1">
        <v>48725</v>
      </c>
      <c r="B235" t="s">
        <v>11</v>
      </c>
      <c r="C235">
        <v>91</v>
      </c>
      <c r="D235">
        <f>(automotive_demand_forecasting_dataset5[[#This Row],[Units_Sold]] -$C$4) / $C$5</f>
        <v>-0.26866758530645368</v>
      </c>
      <c r="E235">
        <v>25043.038252718463</v>
      </c>
      <c r="F235">
        <v>3.7898165866067877</v>
      </c>
      <c r="G235">
        <v>2.3241455955679289</v>
      </c>
      <c r="H235">
        <v>4.4106925838236961</v>
      </c>
      <c r="I235">
        <v>116839.67390904254</v>
      </c>
      <c r="J235">
        <v>87</v>
      </c>
      <c r="K235">
        <v>98.848058716224031</v>
      </c>
      <c r="L235" t="str">
        <f t="shared" si="6"/>
        <v>OK</v>
      </c>
    </row>
    <row r="236" spans="1:12">
      <c r="A236" s="1">
        <v>48755</v>
      </c>
      <c r="B236" t="s">
        <v>14</v>
      </c>
      <c r="C236">
        <v>103</v>
      </c>
      <c r="D236">
        <f>(automotive_demand_forecasting_dataset5[[#This Row],[Units_Sold]] -$C$4) / $C$5</f>
        <v>9.0955235937802571E-3</v>
      </c>
      <c r="E236">
        <v>19233.049431981424</v>
      </c>
      <c r="F236">
        <v>36.628981582910832</v>
      </c>
      <c r="G236">
        <v>4.1614701657280184</v>
      </c>
      <c r="H236">
        <v>7.3231407083701221</v>
      </c>
      <c r="I236">
        <v>92615.855991051081</v>
      </c>
      <c r="J236">
        <v>81</v>
      </c>
      <c r="K236">
        <v>74.934288937930361</v>
      </c>
      <c r="L236" t="str">
        <f t="shared" si="6"/>
        <v>OK</v>
      </c>
    </row>
    <row r="237" spans="1:12">
      <c r="A237" s="1">
        <v>48785</v>
      </c>
      <c r="B237" t="s">
        <v>14</v>
      </c>
      <c r="C237">
        <v>86</v>
      </c>
      <c r="D237">
        <f>(automotive_demand_forecasting_dataset5[[#This Row],[Units_Sold]] -$C$4) / $C$5</f>
        <v>-0.3844022140148845</v>
      </c>
      <c r="E237">
        <v>26805.191261552489</v>
      </c>
      <c r="F237">
        <v>4.5778345189999996</v>
      </c>
      <c r="G237">
        <v>2.5208864882959618</v>
      </c>
      <c r="H237">
        <v>6.1129505062331138</v>
      </c>
      <c r="I237">
        <v>41860.235613567173</v>
      </c>
      <c r="J237">
        <v>84</v>
      </c>
      <c r="K237">
        <v>39.489183358575545</v>
      </c>
      <c r="L237" t="str">
        <f t="shared" si="6"/>
        <v>OK</v>
      </c>
    </row>
    <row r="238" spans="1:12">
      <c r="A238" s="1">
        <v>48815</v>
      </c>
      <c r="B238" t="s">
        <v>14</v>
      </c>
      <c r="C238">
        <v>101</v>
      </c>
      <c r="D238">
        <f>(automotive_demand_forecasting_dataset5[[#This Row],[Units_Sold]] -$C$4) / $C$5</f>
        <v>-3.7198327889592063E-2</v>
      </c>
      <c r="E238">
        <v>23384.55103296251</v>
      </c>
      <c r="F238">
        <v>3.3234168535946558</v>
      </c>
      <c r="G238">
        <v>2.7307009057186833</v>
      </c>
      <c r="H238">
        <v>6.7366967027488691</v>
      </c>
      <c r="I238">
        <v>92503.558867563872</v>
      </c>
      <c r="J238">
        <v>93</v>
      </c>
      <c r="K238">
        <v>83.884467050447924</v>
      </c>
      <c r="L238" t="str">
        <f t="shared" si="6"/>
        <v>OK</v>
      </c>
    </row>
    <row r="239" spans="1:12">
      <c r="A239" s="1">
        <v>48845</v>
      </c>
      <c r="B239" t="s">
        <v>10</v>
      </c>
      <c r="C239">
        <v>101</v>
      </c>
      <c r="D239">
        <f>(automotive_demand_forecasting_dataset5[[#This Row],[Units_Sold]] -$C$4) / $C$5</f>
        <v>-3.7198327889592063E-2</v>
      </c>
      <c r="E239">
        <v>38210.075800681843</v>
      </c>
      <c r="F239">
        <v>4.5778345189999996</v>
      </c>
      <c r="G239">
        <v>1.2398352348274198</v>
      </c>
      <c r="H239">
        <v>4.7105985353774358</v>
      </c>
      <c r="I239">
        <v>79229.123583120556</v>
      </c>
      <c r="J239">
        <v>86</v>
      </c>
      <c r="K239">
        <v>28.562330736883048</v>
      </c>
      <c r="L239" t="str">
        <f t="shared" si="6"/>
        <v>OK</v>
      </c>
    </row>
    <row r="240" spans="1:12">
      <c r="A240" s="1">
        <v>48875</v>
      </c>
      <c r="B240" t="s">
        <v>10</v>
      </c>
      <c r="C240">
        <v>101</v>
      </c>
      <c r="D240">
        <f>(automotive_demand_forecasting_dataset5[[#This Row],[Units_Sold]] -$C$4) / $C$5</f>
        <v>-3.7198327889592063E-2</v>
      </c>
      <c r="E240">
        <v>35049.085446713172</v>
      </c>
      <c r="F240">
        <v>3.3522992949304853</v>
      </c>
      <c r="G240">
        <v>1.8836385919605225</v>
      </c>
      <c r="H240">
        <v>6.5254302724799391</v>
      </c>
      <c r="I240">
        <v>67374.483690781082</v>
      </c>
      <c r="J240">
        <v>81</v>
      </c>
      <c r="K240">
        <v>82.455944333730287</v>
      </c>
      <c r="L240" t="str">
        <f t="shared" si="6"/>
        <v>OK</v>
      </c>
    </row>
    <row r="241" spans="1:12">
      <c r="A241" s="1">
        <v>48905</v>
      </c>
      <c r="B241" t="s">
        <v>10</v>
      </c>
      <c r="C241">
        <v>113</v>
      </c>
      <c r="D241">
        <f>(automotive_demand_forecasting_dataset5[[#This Row],[Units_Sold]] -$C$4) / $C$5</f>
        <v>0.24056478101064188</v>
      </c>
      <c r="E241">
        <v>26559.248274111382</v>
      </c>
      <c r="F241">
        <v>4.5778345189999996</v>
      </c>
      <c r="G241">
        <v>2.1248036196760629</v>
      </c>
      <c r="H241">
        <v>4.1896793195256254</v>
      </c>
      <c r="I241">
        <v>75251.467235548553</v>
      </c>
      <c r="J241">
        <v>99</v>
      </c>
      <c r="K241">
        <v>92.815689931575719</v>
      </c>
      <c r="L241" t="str">
        <f t="shared" si="6"/>
        <v>OK</v>
      </c>
    </row>
    <row r="242" spans="1:12">
      <c r="A242" s="1">
        <v>48935</v>
      </c>
      <c r="B242" t="s">
        <v>14</v>
      </c>
      <c r="C242">
        <v>87</v>
      </c>
      <c r="D242">
        <f>(automotive_demand_forecasting_dataset5[[#This Row],[Units_Sold]] -$C$4) / $C$5</f>
        <v>-0.36125528827319836</v>
      </c>
      <c r="E242">
        <v>41262.17902672154</v>
      </c>
      <c r="F242">
        <v>4.1587987678039795</v>
      </c>
      <c r="G242">
        <v>2.1822849032437661</v>
      </c>
      <c r="H242">
        <v>6.5682970010038106</v>
      </c>
      <c r="I242">
        <v>102188.1694366594</v>
      </c>
      <c r="J242">
        <v>86</v>
      </c>
      <c r="K242">
        <v>50.626671581474824</v>
      </c>
      <c r="L242" t="str">
        <f t="shared" si="6"/>
        <v>OK</v>
      </c>
    </row>
    <row r="243" spans="1:12">
      <c r="A243" s="1">
        <v>48965</v>
      </c>
      <c r="B243" t="s">
        <v>11</v>
      </c>
      <c r="C243">
        <v>108</v>
      </c>
      <c r="D243">
        <f>(automotive_demand_forecasting_dataset5[[#This Row],[Units_Sold]] -$C$4) / $C$5</f>
        <v>0.12483015230221108</v>
      </c>
      <c r="E243">
        <v>34908.827434957973</v>
      </c>
      <c r="F243">
        <v>2.9967287173601793</v>
      </c>
      <c r="G243">
        <v>3.7816437950037685</v>
      </c>
      <c r="H243">
        <v>5.7062072077522377</v>
      </c>
      <c r="I243">
        <f>128897.2893</f>
        <v>128897.2893</v>
      </c>
      <c r="J243">
        <v>85</v>
      </c>
      <c r="K243">
        <v>70.450823598646437</v>
      </c>
      <c r="L243" t="str">
        <f t="shared" si="6"/>
        <v>OK</v>
      </c>
    </row>
    <row r="244" spans="1:12">
      <c r="A244" s="1">
        <v>48995</v>
      </c>
      <c r="B244" t="s">
        <v>10</v>
      </c>
      <c r="C244">
        <v>100</v>
      </c>
      <c r="D244">
        <f>(automotive_demand_forecasting_dataset5[[#This Row],[Units_Sold]] -$C$4) / $C$5</f>
        <v>-6.0345253631278226E-2</v>
      </c>
      <c r="E244">
        <v>283758.43082456884</v>
      </c>
      <c r="F244">
        <v>4.0699392805645225</v>
      </c>
      <c r="G244">
        <v>3.0576910607251246</v>
      </c>
      <c r="H244">
        <v>6.1639014639817402</v>
      </c>
      <c r="I244">
        <v>106263.6894772996</v>
      </c>
      <c r="J244">
        <v>93</v>
      </c>
      <c r="K244">
        <v>54.411418567746104</v>
      </c>
      <c r="L244" t="str">
        <f t="shared" si="6"/>
        <v>OK</v>
      </c>
    </row>
    <row r="245" spans="1:12">
      <c r="A245" s="1">
        <v>49025</v>
      </c>
      <c r="B245" t="s">
        <v>12</v>
      </c>
      <c r="C245">
        <v>87</v>
      </c>
      <c r="D245">
        <f>(automotive_demand_forecasting_dataset5[[#This Row],[Units_Sold]] -$C$4) / $C$5</f>
        <v>-0.36125528827319836</v>
      </c>
      <c r="E245">
        <v>17502.971425632135</v>
      </c>
      <c r="F245">
        <v>4.1585575336699323</v>
      </c>
      <c r="G245">
        <v>1.388542043062968</v>
      </c>
      <c r="H245">
        <v>4.0892864732501781</v>
      </c>
      <c r="I245">
        <v>87869.932235685206</v>
      </c>
      <c r="J245">
        <v>87</v>
      </c>
      <c r="K245">
        <v>55.021204399050276</v>
      </c>
      <c r="L245" t="str">
        <f t="shared" si="6"/>
        <v>OK</v>
      </c>
    </row>
    <row r="246" spans="1:12">
      <c r="A246" s="1">
        <v>49055</v>
      </c>
      <c r="B246" t="s">
        <v>12</v>
      </c>
      <c r="C246">
        <v>96</v>
      </c>
      <c r="D246">
        <f>(automotive_demand_forecasting_dataset5[[#This Row],[Units_Sold]] -$C$4) / $C$5</f>
        <v>-0.15293295659802289</v>
      </c>
      <c r="E246">
        <v>41454.712862953711</v>
      </c>
      <c r="F246">
        <v>3.4409657365044608</v>
      </c>
      <c r="G246">
        <v>2.7465047784320049</v>
      </c>
      <c r="H246">
        <v>4.4259161892680741</v>
      </c>
      <c r="I246">
        <v>109118.08390341405</v>
      </c>
      <c r="J246">
        <v>78</v>
      </c>
      <c r="K246">
        <v>448.29671128649608</v>
      </c>
      <c r="L246" t="str">
        <f t="shared" si="6"/>
        <v>OK</v>
      </c>
    </row>
    <row r="247" spans="1:12">
      <c r="A247" s="1">
        <v>49085</v>
      </c>
      <c r="B247" t="s">
        <v>12</v>
      </c>
      <c r="C247">
        <v>97</v>
      </c>
      <c r="D247">
        <f>(automotive_demand_forecasting_dataset5[[#This Row],[Units_Sold]] -$C$4) / $C$5</f>
        <v>-0.12978603085633672</v>
      </c>
      <c r="E247">
        <v>23052.137666182018</v>
      </c>
      <c r="F247">
        <v>2.4390725504957027</v>
      </c>
      <c r="G247">
        <v>2.998221748496785</v>
      </c>
      <c r="H247">
        <v>6.216673861904062</v>
      </c>
      <c r="I247">
        <f>128897.2893</f>
        <v>128897.2893</v>
      </c>
      <c r="J247">
        <v>75</v>
      </c>
      <c r="K247">
        <v>80.970369636025964</v>
      </c>
      <c r="L247" t="str">
        <f t="shared" si="6"/>
        <v>OK</v>
      </c>
    </row>
    <row r="248" spans="1:12">
      <c r="A248" s="1">
        <v>49115</v>
      </c>
      <c r="B248" t="s">
        <v>13</v>
      </c>
      <c r="C248">
        <v>116</v>
      </c>
      <c r="D248">
        <f>(automotive_demand_forecasting_dataset5[[#This Row],[Units_Sold]] -$C$4) / $C$5</f>
        <v>0.31000555823570036</v>
      </c>
      <c r="E248">
        <v>38106.295579999998</v>
      </c>
      <c r="F248">
        <v>3.1960890064527838</v>
      </c>
      <c r="G248">
        <v>3.6401490385212663</v>
      </c>
      <c r="H248">
        <v>4.3619823949309593</v>
      </c>
      <c r="I248">
        <v>86107.992616737116</v>
      </c>
      <c r="J248">
        <v>77</v>
      </c>
      <c r="K248">
        <v>94.894125133320415</v>
      </c>
      <c r="L248" t="str">
        <f t="shared" si="6"/>
        <v>OK</v>
      </c>
    </row>
    <row r="249" spans="1:12">
      <c r="A249" s="1">
        <v>49145</v>
      </c>
      <c r="B249" t="s">
        <v>14</v>
      </c>
      <c r="C249">
        <v>100</v>
      </c>
      <c r="D249">
        <f>(automotive_demand_forecasting_dataset5[[#This Row],[Units_Sold]] -$C$4) / $C$5</f>
        <v>-6.0345253631278226E-2</v>
      </c>
      <c r="E249">
        <v>35112.852160048198</v>
      </c>
      <c r="F249">
        <v>4.1484972732805545</v>
      </c>
      <c r="G249">
        <f>3.224108373</f>
        <v>3.224108373</v>
      </c>
      <c r="H249">
        <v>6.0558475505189477</v>
      </c>
      <c r="I249">
        <v>76912.746635340314</v>
      </c>
      <c r="J249">
        <f>111.9136842</f>
        <v>111.91368420000001</v>
      </c>
      <c r="K249">
        <v>95.260068738756885</v>
      </c>
      <c r="L249" t="str">
        <f t="shared" si="6"/>
        <v>OK</v>
      </c>
    </row>
    <row r="250" spans="1:12">
      <c r="A250" s="1">
        <v>49175</v>
      </c>
      <c r="B250" t="s">
        <v>12</v>
      </c>
      <c r="C250">
        <v>97</v>
      </c>
      <c r="D250">
        <f>(automotive_demand_forecasting_dataset5[[#This Row],[Units_Sold]] -$C$4) / $C$5</f>
        <v>-0.12978603085633672</v>
      </c>
      <c r="E250">
        <v>42198.762031696366</v>
      </c>
      <c r="F250">
        <v>3.4885659688505588</v>
      </c>
      <c r="G250">
        <v>1.4849058081721314</v>
      </c>
      <c r="H250">
        <v>38.594346322477051</v>
      </c>
      <c r="I250">
        <v>64963.423864965618</v>
      </c>
      <c r="J250">
        <v>117</v>
      </c>
      <c r="K250">
        <v>33.982502789994705</v>
      </c>
      <c r="L250" t="str">
        <f t="shared" si="6"/>
        <v>OK</v>
      </c>
    </row>
    <row r="251" spans="1:12">
      <c r="A251" s="1">
        <v>49205</v>
      </c>
      <c r="B251" t="s">
        <v>14</v>
      </c>
      <c r="C251">
        <v>100</v>
      </c>
      <c r="D251">
        <f>(automotive_demand_forecasting_dataset5[[#This Row],[Units_Sold]] -$C$4) / $C$5</f>
        <v>-6.0345253631278226E-2</v>
      </c>
      <c r="E251">
        <v>36921.364092552591</v>
      </c>
      <c r="F251">
        <v>3.0003488838525447</v>
      </c>
      <c r="G251">
        <v>1.6891424887896618</v>
      </c>
      <c r="H251">
        <v>6.5178090552000016</v>
      </c>
      <c r="I251">
        <f>128897.2893</f>
        <v>128897.2893</v>
      </c>
      <c r="J251">
        <v>97</v>
      </c>
      <c r="K251">
        <v>89.979491972525281</v>
      </c>
      <c r="L251" t="str">
        <f t="shared" si="6"/>
        <v>OK</v>
      </c>
    </row>
    <row r="252" spans="1:12">
      <c r="A252" s="1">
        <v>49235</v>
      </c>
      <c r="B252" t="s">
        <v>12</v>
      </c>
      <c r="C252">
        <v>99</v>
      </c>
      <c r="D252">
        <f>(automotive_demand_forecasting_dataset5[[#This Row],[Units_Sold]] -$C$4) / $C$5</f>
        <v>-8.3492179372964395E-2</v>
      </c>
      <c r="E252">
        <v>32819.545600261801</v>
      </c>
      <c r="F252">
        <v>3.2476125393858912</v>
      </c>
      <c r="G252">
        <v>1.2424221410853837</v>
      </c>
      <c r="H252">
        <v>4.0209720222777889</v>
      </c>
      <c r="I252">
        <v>103161.06979840263</v>
      </c>
      <c r="J252">
        <v>103</v>
      </c>
      <c r="K252">
        <v>78.994515314169774</v>
      </c>
      <c r="L252" t="str">
        <f t="shared" si="6"/>
        <v>OK</v>
      </c>
    </row>
    <row r="253" spans="1:12">
      <c r="A253" s="1">
        <v>49265</v>
      </c>
      <c r="B253" t="s">
        <v>11</v>
      </c>
      <c r="C253">
        <v>100</v>
      </c>
      <c r="D253">
        <f>(automotive_demand_forecasting_dataset5[[#This Row],[Units_Sold]] -$C$4) / $C$5</f>
        <v>-6.0345253631278226E-2</v>
      </c>
      <c r="E253">
        <v>32973.771708326429</v>
      </c>
      <c r="F253">
        <v>3.9203100132522763</v>
      </c>
      <c r="G253">
        <v>2.2659801408930185</v>
      </c>
      <c r="H253">
        <v>6.1627599252154281</v>
      </c>
      <c r="I253">
        <v>98067.526599702207</v>
      </c>
      <c r="J253">
        <f>111.9136842</f>
        <v>111.91368420000001</v>
      </c>
      <c r="K253">
        <v>40.226992055223143</v>
      </c>
      <c r="L253" t="str">
        <f t="shared" si="6"/>
        <v>OK</v>
      </c>
    </row>
    <row r="254" spans="1:12">
      <c r="A254" s="1">
        <v>49295</v>
      </c>
      <c r="B254" t="s">
        <v>14</v>
      </c>
      <c r="C254">
        <v>100</v>
      </c>
      <c r="D254">
        <f>(automotive_demand_forecasting_dataset5[[#This Row],[Units_Sold]] -$C$4) / $C$5</f>
        <v>-6.0345253631278226E-2</v>
      </c>
      <c r="E254">
        <v>34267.077793901539</v>
      </c>
      <c r="F254">
        <v>4.5778345189999996</v>
      </c>
      <c r="G254">
        <v>2.9663583744463344</v>
      </c>
      <c r="H254">
        <v>6.2507571203752015</v>
      </c>
      <c r="I254">
        <v>91680.661441052827</v>
      </c>
      <c r="J254">
        <v>85</v>
      </c>
      <c r="K254">
        <v>25.382769033721164</v>
      </c>
      <c r="L254" t="str">
        <f t="shared" si="6"/>
        <v>OK</v>
      </c>
    </row>
    <row r="255" spans="1:12">
      <c r="A255" s="1">
        <v>49325</v>
      </c>
      <c r="B255" t="s">
        <v>12</v>
      </c>
      <c r="C255">
        <v>82</v>
      </c>
      <c r="D255">
        <f>(automotive_demand_forecasting_dataset5[[#This Row],[Units_Sold]] -$C$4) / $C$5</f>
        <v>-0.47698991698162913</v>
      </c>
      <c r="E255">
        <v>33794.642948933826</v>
      </c>
      <c r="F255">
        <v>3.380533950415153</v>
      </c>
      <c r="G255">
        <v>34.873345165891017</v>
      </c>
      <c r="H255">
        <v>4.6638738178845101</v>
      </c>
      <c r="I255">
        <v>81085.078786064376</v>
      </c>
      <c r="J255">
        <v>98</v>
      </c>
      <c r="K255">
        <v>41.439781350750238</v>
      </c>
      <c r="L255" t="str">
        <f t="shared" si="6"/>
        <v>OK</v>
      </c>
    </row>
    <row r="256" spans="1:12">
      <c r="A256" s="1">
        <v>49355</v>
      </c>
      <c r="B256" t="s">
        <v>10</v>
      </c>
      <c r="C256">
        <v>87</v>
      </c>
      <c r="D256">
        <f>(automotive_demand_forecasting_dataset5[[#This Row],[Units_Sold]] -$C$4) / $C$5</f>
        <v>-0.36125528827319836</v>
      </c>
      <c r="E256">
        <v>31405.95711984688</v>
      </c>
      <c r="F256">
        <v>3.3165877940926562</v>
      </c>
      <c r="G256">
        <v>2.4240489763574771</v>
      </c>
      <c r="H256">
        <v>6.1984318805016727</v>
      </c>
      <c r="I256">
        <v>112164.92383369937</v>
      </c>
      <c r="J256">
        <v>93</v>
      </c>
      <c r="K256">
        <v>92.97665894252205</v>
      </c>
      <c r="L256" t="str">
        <f t="shared" si="6"/>
        <v>OK</v>
      </c>
    </row>
    <row r="257" spans="1:12">
      <c r="A257" s="1">
        <v>49385</v>
      </c>
      <c r="B257" t="s">
        <v>14</v>
      </c>
      <c r="C257">
        <v>87</v>
      </c>
      <c r="D257">
        <f>(automotive_demand_forecasting_dataset5[[#This Row],[Units_Sold]] -$C$4) / $C$5</f>
        <v>-0.36125528827319836</v>
      </c>
      <c r="E257">
        <v>30521.005519759379</v>
      </c>
      <c r="F257">
        <v>3.304120925478089</v>
      </c>
      <c r="G257">
        <v>2.1801524767451559</v>
      </c>
      <c r="H257">
        <v>5.8125307160002668</v>
      </c>
      <c r="I257">
        <v>73657.361601068304</v>
      </c>
      <c r="J257">
        <v>69</v>
      </c>
      <c r="K257">
        <v>70.654293991661774</v>
      </c>
      <c r="L257" t="str">
        <f t="shared" si="6"/>
        <v>OK</v>
      </c>
    </row>
    <row r="258" spans="1:12">
      <c r="A258" s="1">
        <v>49415</v>
      </c>
      <c r="B258" t="s">
        <v>13</v>
      </c>
      <c r="C258">
        <v>90</v>
      </c>
      <c r="D258">
        <f>(automotive_demand_forecasting_dataset5[[#This Row],[Units_Sold]] -$C$4) / $C$5</f>
        <v>-0.29181451104813982</v>
      </c>
      <c r="E258">
        <v>29687.034360502388</v>
      </c>
      <c r="F258">
        <v>3.0387949077507486</v>
      </c>
      <c r="G258">
        <v>2.6517579922487404</v>
      </c>
      <c r="H258">
        <v>4.8533897725687138</v>
      </c>
      <c r="I258">
        <v>115520.5582768695</v>
      </c>
      <c r="J258">
        <v>89</v>
      </c>
      <c r="K258">
        <v>77.684372871829751</v>
      </c>
      <c r="L258" t="str">
        <f t="shared" si="6"/>
        <v>OK</v>
      </c>
    </row>
    <row r="259" spans="1:12">
      <c r="A259" s="1">
        <v>49445</v>
      </c>
      <c r="B259" t="s">
        <v>10</v>
      </c>
      <c r="C259">
        <v>115</v>
      </c>
      <c r="D259">
        <f>(automotive_demand_forecasting_dataset5[[#This Row],[Units_Sold]] -$C$4) / $C$5</f>
        <v>0.28685863249401422</v>
      </c>
      <c r="E259">
        <v>26230.17705566662</v>
      </c>
      <c r="F259">
        <v>43.076878447347212</v>
      </c>
      <c r="G259">
        <v>1.6648570983699771</v>
      </c>
      <c r="H259">
        <f t="shared" ref="H259:H260" si="7">6.97388673</f>
        <v>6.9738867300000003</v>
      </c>
      <c r="I259">
        <v>79955.6596214655</v>
      </c>
      <c r="J259">
        <v>88</v>
      </c>
      <c r="K259">
        <v>40.572188088727671</v>
      </c>
      <c r="L259" t="str">
        <f t="shared" si="6"/>
        <v>OK</v>
      </c>
    </row>
    <row r="260" spans="1:12">
      <c r="A260" s="1">
        <v>49475</v>
      </c>
      <c r="B260" t="s">
        <v>10</v>
      </c>
      <c r="C260">
        <v>105</v>
      </c>
      <c r="D260">
        <f>(automotive_demand_forecasting_dataset5[[#This Row],[Units_Sold]] -$C$4) / $C$5</f>
        <v>5.5389375077152581E-2</v>
      </c>
      <c r="E260">
        <v>28596.624615666129</v>
      </c>
      <c r="F260">
        <v>3.3388397653943303</v>
      </c>
      <c r="G260">
        <v>4.5895387216947734</v>
      </c>
      <c r="H260">
        <f t="shared" si="7"/>
        <v>6.9738867300000003</v>
      </c>
      <c r="I260">
        <v>84951.295252939308</v>
      </c>
      <c r="J260">
        <v>115</v>
      </c>
      <c r="K260">
        <v>77.551052445985619</v>
      </c>
      <c r="L260" t="str">
        <f t="shared" si="6"/>
        <v>OK</v>
      </c>
    </row>
    <row r="261" spans="1:12">
      <c r="A261" s="1">
        <v>49505</v>
      </c>
      <c r="B261" t="s">
        <v>13</v>
      </c>
      <c r="C261">
        <v>90</v>
      </c>
      <c r="D261">
        <f>(automotive_demand_forecasting_dataset5[[#This Row],[Units_Sold]] -$C$4) / $C$5</f>
        <v>-0.29181451104813982</v>
      </c>
      <c r="E261">
        <v>21535.21592902307</v>
      </c>
      <c r="F261">
        <v>4.108579260412748</v>
      </c>
      <c r="G261">
        <v>0.89233897288194131</v>
      </c>
      <c r="H261">
        <v>5.9195800567596324</v>
      </c>
      <c r="I261">
        <v>70664.296187686457</v>
      </c>
      <c r="J261">
        <v>90</v>
      </c>
      <c r="K261">
        <v>222.49720502233899</v>
      </c>
      <c r="L261" t="str">
        <f t="shared" si="6"/>
        <v>OK</v>
      </c>
    </row>
    <row r="262" spans="1:12">
      <c r="A262" s="1">
        <v>49535</v>
      </c>
      <c r="B262" t="s">
        <v>10</v>
      </c>
      <c r="C262">
        <v>89</v>
      </c>
      <c r="D262">
        <f>(automotive_demand_forecasting_dataset5[[#This Row],[Units_Sold]] -$C$4) / $C$5</f>
        <v>-0.31496143678982602</v>
      </c>
      <c r="E262">
        <v>29508.30186602625</v>
      </c>
      <c r="F262">
        <v>4.2606580259612254</v>
      </c>
      <c r="G262">
        <v>2.6847405788957244</v>
      </c>
      <c r="H262">
        <v>3.6222366743655341</v>
      </c>
      <c r="I262">
        <v>89971.957062287271</v>
      </c>
      <c r="J262">
        <v>105</v>
      </c>
      <c r="K262">
        <v>50.025707661841103</v>
      </c>
      <c r="L262" t="str">
        <f t="shared" si="6"/>
        <v>OK</v>
      </c>
    </row>
    <row r="263" spans="1:12">
      <c r="A263" s="1">
        <v>49565</v>
      </c>
      <c r="B263" t="s">
        <v>10</v>
      </c>
      <c r="C263">
        <v>89</v>
      </c>
      <c r="D263">
        <f>(automotive_demand_forecasting_dataset5[[#This Row],[Units_Sold]] -$C$4) / $C$5</f>
        <v>-0.31496143678982602</v>
      </c>
      <c r="E263">
        <v>25057.044464245413</v>
      </c>
      <c r="F263">
        <v>3.9991554490739802</v>
      </c>
      <c r="G263">
        <v>4.5236062192296398</v>
      </c>
      <c r="H263">
        <v>5.6144130393295697</v>
      </c>
      <c r="I263">
        <v>119506.24916955958</v>
      </c>
      <c r="J263">
        <v>98</v>
      </c>
      <c r="K263">
        <v>70.1402678833865</v>
      </c>
      <c r="L263" t="str">
        <f t="shared" si="6"/>
        <v>OK</v>
      </c>
    </row>
    <row r="264" spans="1:12">
      <c r="A264" s="1">
        <v>49595</v>
      </c>
      <c r="B264" t="s">
        <v>12</v>
      </c>
      <c r="C264">
        <v>86</v>
      </c>
      <c r="D264">
        <f>(automotive_demand_forecasting_dataset5[[#This Row],[Units_Sold]] -$C$4) / $C$5</f>
        <v>-0.3844022140148845</v>
      </c>
      <c r="E264">
        <v>38106.295579999998</v>
      </c>
      <c r="F264">
        <v>3.2841898436409758</v>
      </c>
      <c r="G264">
        <v>2.5067998445599979</v>
      </c>
      <c r="H264">
        <v>5.1838621407013008</v>
      </c>
      <c r="I264">
        <v>110312.56176887912</v>
      </c>
      <c r="J264">
        <v>85</v>
      </c>
      <c r="K264">
        <v>31.687725243305618</v>
      </c>
      <c r="L264" t="str">
        <f t="shared" si="6"/>
        <v>OK</v>
      </c>
    </row>
    <row r="265" spans="1:12">
      <c r="A265" s="1">
        <v>49625</v>
      </c>
      <c r="B265" t="s">
        <v>12</v>
      </c>
      <c r="C265">
        <v>91</v>
      </c>
      <c r="D265">
        <f>(automotive_demand_forecasting_dataset5[[#This Row],[Units_Sold]] -$C$4) / $C$5</f>
        <v>-0.26866758530645368</v>
      </c>
      <c r="E265">
        <v>30899.470755767394</v>
      </c>
      <c r="F265">
        <v>3.7018650451683048</v>
      </c>
      <c r="G265">
        <v>2.3099609649985053</v>
      </c>
      <c r="H265">
        <v>6.3149713305258341</v>
      </c>
      <c r="I265">
        <v>119568.4422405607</v>
      </c>
      <c r="J265">
        <v>101</v>
      </c>
      <c r="K265">
        <v>85.84028595575478</v>
      </c>
      <c r="L265" t="str">
        <f t="shared" si="6"/>
        <v>OK</v>
      </c>
    </row>
    <row r="266" spans="1:12">
      <c r="A266" s="1">
        <v>49655</v>
      </c>
      <c r="B266" t="s">
        <v>14</v>
      </c>
      <c r="C266">
        <v>100</v>
      </c>
      <c r="D266">
        <f>(automotive_demand_forecasting_dataset5[[#This Row],[Units_Sold]] -$C$4) / $C$5</f>
        <v>-6.0345253631278226E-2</v>
      </c>
      <c r="E266">
        <v>36960.011431722996</v>
      </c>
      <c r="F266">
        <v>3.4879021968045421</v>
      </c>
      <c r="G266">
        <v>2.1425545771895727</v>
      </c>
      <c r="H266">
        <v>5.1375454006121632</v>
      </c>
      <c r="I266">
        <v>110442.85091867871</v>
      </c>
      <c r="J266">
        <v>93</v>
      </c>
      <c r="K266">
        <v>38.80250390495349</v>
      </c>
      <c r="L266" t="str">
        <f t="shared" si="6"/>
        <v>OK</v>
      </c>
    </row>
    <row r="267" spans="1:12">
      <c r="A267" s="1">
        <v>49685</v>
      </c>
      <c r="B267" t="s">
        <v>14</v>
      </c>
      <c r="C267">
        <v>104</v>
      </c>
      <c r="D267">
        <f>(automotive_demand_forecasting_dataset5[[#This Row],[Units_Sold]] -$C$4) / $C$5</f>
        <v>3.2242449335466418E-2</v>
      </c>
      <c r="E267">
        <v>34591.583030011563</v>
      </c>
      <c r="F267">
        <v>3.048149069634936</v>
      </c>
      <c r="G267">
        <v>2.3196083182375924</v>
      </c>
      <c r="H267">
        <v>5.10466265638349</v>
      </c>
      <c r="I267">
        <v>77926.60342939262</v>
      </c>
      <c r="J267">
        <v>99</v>
      </c>
      <c r="K267">
        <v>72.182489025475704</v>
      </c>
      <c r="L267" t="str">
        <f t="shared" ref="L267:L330" si="8">IF(COUNTA(A267:K267)&lt;COLUMNS(A267:K267), "Missing Data", "OK")</f>
        <v>OK</v>
      </c>
    </row>
    <row r="268" spans="1:12">
      <c r="A268" s="1">
        <v>49715</v>
      </c>
      <c r="B268" t="s">
        <v>14</v>
      </c>
      <c r="C268">
        <v>80</v>
      </c>
      <c r="D268">
        <f>(automotive_demand_forecasting_dataset5[[#This Row],[Units_Sold]] -$C$4) / $C$5</f>
        <v>-0.52328376846500146</v>
      </c>
      <c r="E268">
        <v>22147.496981884113</v>
      </c>
      <c r="F268">
        <v>3.6621796408608014</v>
      </c>
      <c r="G268">
        <v>3.8728484746765304</v>
      </c>
      <c r="H268">
        <v>6.3782448451459546</v>
      </c>
      <c r="I268">
        <v>93384.215513448857</v>
      </c>
      <c r="J268">
        <v>87</v>
      </c>
      <c r="K268">
        <v>52.415771406026373</v>
      </c>
      <c r="L268" t="str">
        <f t="shared" si="8"/>
        <v>OK</v>
      </c>
    </row>
    <row r="269" spans="1:12">
      <c r="A269" s="1">
        <v>49745</v>
      </c>
      <c r="B269" t="s">
        <v>12</v>
      </c>
      <c r="C269">
        <v>110</v>
      </c>
      <c r="D269">
        <f>(automotive_demand_forecasting_dataset5[[#This Row],[Units_Sold]] -$C$4) / $C$5</f>
        <v>0.1711240037855834</v>
      </c>
      <c r="E269">
        <v>25051.859317148312</v>
      </c>
      <c r="F269">
        <v>4.5778345189999996</v>
      </c>
      <c r="G269">
        <v>0.28813808867049318</v>
      </c>
      <c r="H269">
        <v>5.9020696349009407</v>
      </c>
      <c r="I269">
        <v>84396.017417650743</v>
      </c>
      <c r="J269">
        <v>87</v>
      </c>
      <c r="K269">
        <v>67.683487638211773</v>
      </c>
      <c r="L269" t="str">
        <f t="shared" si="8"/>
        <v>OK</v>
      </c>
    </row>
    <row r="270" spans="1:12">
      <c r="A270" s="1">
        <v>49775</v>
      </c>
      <c r="B270" t="s">
        <v>14</v>
      </c>
      <c r="C270">
        <v>90</v>
      </c>
      <c r="D270">
        <f>(automotive_demand_forecasting_dataset5[[#This Row],[Units_Sold]] -$C$4) / $C$5</f>
        <v>-0.29181451104813982</v>
      </c>
      <c r="E270">
        <v>34703.855939941081</v>
      </c>
      <c r="F270">
        <v>4.0938396942307822</v>
      </c>
      <c r="G270">
        <v>4.0334337012963255</v>
      </c>
      <c r="H270">
        <v>5.8793871486193341</v>
      </c>
      <c r="I270">
        <v>126611.4980807808</v>
      </c>
      <c r="J270">
        <v>89</v>
      </c>
      <c r="K270">
        <f>80.21517797</f>
        <v>80.215177969999999</v>
      </c>
      <c r="L270" t="str">
        <f t="shared" si="8"/>
        <v>OK</v>
      </c>
    </row>
    <row r="271" spans="1:12">
      <c r="A271" s="1">
        <v>49805</v>
      </c>
      <c r="B271" t="s">
        <v>10</v>
      </c>
      <c r="C271">
        <v>96</v>
      </c>
      <c r="D271">
        <f>(automotive_demand_forecasting_dataset5[[#This Row],[Units_Sold]] -$C$4) / $C$5</f>
        <v>-0.15293295659802289</v>
      </c>
      <c r="E271">
        <v>25087.563032308452</v>
      </c>
      <c r="F271">
        <v>3.2676913513508037</v>
      </c>
      <c r="G271">
        <v>1.0760428475498549</v>
      </c>
      <c r="H271">
        <v>6.0631211077702316</v>
      </c>
      <c r="I271">
        <v>76064.227071473768</v>
      </c>
      <c r="J271">
        <v>86</v>
      </c>
      <c r="K271">
        <v>21.353023993728584</v>
      </c>
      <c r="L271" t="str">
        <f t="shared" si="8"/>
        <v>OK</v>
      </c>
    </row>
    <row r="272" spans="1:12">
      <c r="A272" s="1">
        <v>49835</v>
      </c>
      <c r="B272" t="s">
        <v>12</v>
      </c>
      <c r="C272">
        <v>103</v>
      </c>
      <c r="D272">
        <f>(automotive_demand_forecasting_dataset5[[#This Row],[Units_Sold]] -$C$4) / $C$5</f>
        <v>9.0955235937802571E-3</v>
      </c>
      <c r="E272">
        <v>28876.834250014876</v>
      </c>
      <c r="F272">
        <v>3.6005798279364196</v>
      </c>
      <c r="G272">
        <v>2.233347670765585</v>
      </c>
      <c r="H272">
        <v>3.657313452151473</v>
      </c>
      <c r="I272">
        <v>117873.95378778221</v>
      </c>
      <c r="J272">
        <v>80</v>
      </c>
      <c r="K272">
        <v>92.765154190424099</v>
      </c>
      <c r="L272" t="str">
        <f t="shared" si="8"/>
        <v>OK</v>
      </c>
    </row>
    <row r="273" spans="1:12">
      <c r="A273" s="1">
        <v>49865</v>
      </c>
      <c r="B273" t="s">
        <v>14</v>
      </c>
      <c r="C273">
        <v>99</v>
      </c>
      <c r="D273">
        <f>(automotive_demand_forecasting_dataset5[[#This Row],[Units_Sold]] -$C$4) / $C$5</f>
        <v>-8.3492179372964395E-2</v>
      </c>
      <c r="E273">
        <v>32750.260495122759</v>
      </c>
      <c r="F273">
        <v>3.6416439357730712</v>
      </c>
      <c r="G273">
        <v>2.0707555797013382</v>
      </c>
      <c r="H273">
        <v>6.408146415984378</v>
      </c>
      <c r="I273">
        <v>117859.07740217539</v>
      </c>
      <c r="J273">
        <v>91</v>
      </c>
      <c r="K273">
        <v>41.570400701374624</v>
      </c>
      <c r="L273" t="str">
        <f t="shared" si="8"/>
        <v>OK</v>
      </c>
    </row>
    <row r="274" spans="1:12">
      <c r="A274" s="1">
        <v>49895</v>
      </c>
      <c r="B274" t="s">
        <v>10</v>
      </c>
      <c r="C274">
        <v>128.02105259999999</v>
      </c>
      <c r="D274">
        <f>(automotive_demand_forecasting_dataset5[[#This Row],[Units_Sold]] -$C$4) / $C$5</f>
        <v>0.58825597010480346</v>
      </c>
      <c r="E274">
        <v>25158.277725681823</v>
      </c>
      <c r="F274">
        <v>3.3705475131479612</v>
      </c>
      <c r="G274">
        <v>3.0885532697707196</v>
      </c>
      <c r="H274">
        <v>6.2349625528163228</v>
      </c>
      <c r="I274">
        <v>136592.40403432175</v>
      </c>
      <c r="J274">
        <v>84</v>
      </c>
      <c r="K274">
        <v>85.574160222436731</v>
      </c>
      <c r="L274" t="str">
        <f t="shared" si="8"/>
        <v>OK</v>
      </c>
    </row>
    <row r="275" spans="1:12">
      <c r="A275" s="1">
        <v>49925</v>
      </c>
      <c r="B275" t="s">
        <v>14</v>
      </c>
      <c r="C275">
        <v>106</v>
      </c>
      <c r="D275">
        <f>(automotive_demand_forecasting_dataset5[[#This Row],[Units_Sold]] -$C$4) / $C$5</f>
        <v>7.853630081883875E-2</v>
      </c>
      <c r="E275">
        <v>30526.877530729798</v>
      </c>
      <c r="F275">
        <v>3.7933469007376375</v>
      </c>
      <c r="G275">
        <v>0.90187564811625243</v>
      </c>
      <c r="H275">
        <v>4.2799802457082032</v>
      </c>
      <c r="I275">
        <v>91806.268147410054</v>
      </c>
      <c r="J275">
        <v>89</v>
      </c>
      <c r="K275">
        <v>99.948024037776008</v>
      </c>
      <c r="L275" t="str">
        <f t="shared" si="8"/>
        <v>OK</v>
      </c>
    </row>
    <row r="276" spans="1:12">
      <c r="A276" s="1">
        <v>49955</v>
      </c>
      <c r="B276" t="s">
        <v>11</v>
      </c>
      <c r="C276">
        <v>100</v>
      </c>
      <c r="D276">
        <f>(automotive_demand_forecasting_dataset5[[#This Row],[Units_Sold]] -$C$4) / $C$5</f>
        <v>-6.0345253631278226E-2</v>
      </c>
      <c r="E276">
        <v>38106.295579999998</v>
      </c>
      <c r="F276">
        <v>3.2625481716887377</v>
      </c>
      <c r="G276">
        <v>2.9621726660819427</v>
      </c>
      <c r="H276">
        <v>5.2071034315909586</v>
      </c>
      <c r="I276">
        <v>114246.44319160325</v>
      </c>
      <c r="J276">
        <v>113</v>
      </c>
      <c r="K276">
        <v>36.914500639912895</v>
      </c>
      <c r="L276" t="str">
        <f t="shared" si="8"/>
        <v>OK</v>
      </c>
    </row>
    <row r="277" spans="1:12">
      <c r="A277" s="1">
        <v>49985</v>
      </c>
      <c r="B277" t="s">
        <v>14</v>
      </c>
      <c r="C277">
        <v>85</v>
      </c>
      <c r="D277">
        <f>(automotive_demand_forecasting_dataset5[[#This Row],[Units_Sold]] -$C$4) / $C$5</f>
        <v>-0.40754913975657064</v>
      </c>
      <c r="E277">
        <v>26993.161780243932</v>
      </c>
      <c r="F277">
        <v>39.356486487286219</v>
      </c>
      <c r="G277">
        <v>4.524309623286852</v>
      </c>
      <c r="H277">
        <v>5.4528312548468429</v>
      </c>
      <c r="I277">
        <v>145633.03673077686</v>
      </c>
      <c r="J277">
        <v>89</v>
      </c>
      <c r="K277">
        <v>41.213659294668446</v>
      </c>
      <c r="L277" t="str">
        <f t="shared" si="8"/>
        <v>OK</v>
      </c>
    </row>
    <row r="278" spans="1:12">
      <c r="A278" s="1">
        <v>50015</v>
      </c>
      <c r="B278" t="s">
        <v>11</v>
      </c>
      <c r="C278">
        <v>101</v>
      </c>
      <c r="D278">
        <f>(automotive_demand_forecasting_dataset5[[#This Row],[Units_Sold]] -$C$4) / $C$5</f>
        <v>-3.7198327889592063E-2</v>
      </c>
      <c r="E278">
        <v>31598.909670712685</v>
      </c>
      <c r="F278">
        <v>2.8270101598766257</v>
      </c>
      <c r="G278">
        <v>1.1368259954071895</v>
      </c>
      <c r="H278">
        <v>5.3386038587179208</v>
      </c>
      <c r="I278">
        <v>87647.166461326065</v>
      </c>
      <c r="J278">
        <v>91</v>
      </c>
      <c r="K278">
        <v>73.028783010773253</v>
      </c>
      <c r="L278" t="str">
        <f t="shared" si="8"/>
        <v>OK</v>
      </c>
    </row>
    <row r="279" spans="1:12">
      <c r="A279" s="1">
        <v>50045</v>
      </c>
      <c r="B279" t="s">
        <v>14</v>
      </c>
      <c r="C279">
        <v>93</v>
      </c>
      <c r="D279">
        <f>(automotive_demand_forecasting_dataset5[[#This Row],[Units_Sold]] -$C$4) / $C$5</f>
        <v>-0.22237373382308137</v>
      </c>
      <c r="E279">
        <v>22035.031332341656</v>
      </c>
      <c r="F279">
        <v>3.5631897897732059</v>
      </c>
      <c r="G279">
        <v>2.6897061676103955</v>
      </c>
      <c r="H279">
        <v>5.9006319598822419</v>
      </c>
      <c r="I279">
        <v>69299.195049352798</v>
      </c>
      <c r="J279">
        <v>83</v>
      </c>
      <c r="K279">
        <v>97.2358907680497</v>
      </c>
      <c r="L279" t="str">
        <f t="shared" si="8"/>
        <v>OK</v>
      </c>
    </row>
    <row r="280" spans="1:12">
      <c r="A280" s="1">
        <v>50075</v>
      </c>
      <c r="B280" t="s">
        <v>13</v>
      </c>
      <c r="C280">
        <v>91</v>
      </c>
      <c r="D280">
        <f>(automotive_demand_forecasting_dataset5[[#This Row],[Units_Sold]] -$C$4) / $C$5</f>
        <v>-0.26866758530645368</v>
      </c>
      <c r="E280">
        <v>32202.373689801996</v>
      </c>
      <c r="F280">
        <v>4.4694644995291419</v>
      </c>
      <c r="G280">
        <v>1.8380178222033909</v>
      </c>
      <c r="H280">
        <v>7.21764013819742</v>
      </c>
      <c r="I280">
        <v>62399.79932184473</v>
      </c>
      <c r="J280">
        <v>77</v>
      </c>
      <c r="K280">
        <v>93.265147855259514</v>
      </c>
      <c r="L280" t="str">
        <f t="shared" si="8"/>
        <v>OK</v>
      </c>
    </row>
    <row r="281" spans="1:12">
      <c r="A281" s="1">
        <v>50105</v>
      </c>
      <c r="B281" t="s">
        <v>14</v>
      </c>
      <c r="C281">
        <v>103</v>
      </c>
      <c r="D281">
        <f>(automotive_demand_forecasting_dataset5[[#This Row],[Units_Sold]] -$C$4) / $C$5</f>
        <v>9.0955235937802571E-3</v>
      </c>
      <c r="E281">
        <v>29901.811005366595</v>
      </c>
      <c r="F281">
        <v>2.9998343376972127</v>
      </c>
      <c r="G281">
        <v>2.9258872061930359</v>
      </c>
      <c r="H281">
        <v>6.7981200732073948</v>
      </c>
      <c r="I281">
        <v>114254.24057722662</v>
      </c>
      <c r="J281">
        <v>95</v>
      </c>
      <c r="K281">
        <v>60.23004160524679</v>
      </c>
      <c r="L281" t="str">
        <f t="shared" si="8"/>
        <v>OK</v>
      </c>
    </row>
    <row r="282" spans="1:12">
      <c r="A282" s="1">
        <v>50135</v>
      </c>
      <c r="B282" t="s">
        <v>12</v>
      </c>
      <c r="C282">
        <v>109</v>
      </c>
      <c r="D282">
        <f>(automotive_demand_forecasting_dataset5[[#This Row],[Units_Sold]] -$C$4) / $C$5</f>
        <v>0.14797707804389723</v>
      </c>
      <c r="E282">
        <v>327624.49772085738</v>
      </c>
      <c r="F282">
        <v>3.1611275147375744</v>
      </c>
      <c r="G282">
        <v>2.519147777415752</v>
      </c>
      <c r="H282">
        <v>3.9253369678823127</v>
      </c>
      <c r="I282">
        <v>62336.995838828327</v>
      </c>
      <c r="J282">
        <v>91</v>
      </c>
      <c r="K282">
        <v>83.608822602137977</v>
      </c>
      <c r="L282" t="str">
        <f t="shared" si="8"/>
        <v>OK</v>
      </c>
    </row>
    <row r="283" spans="1:12">
      <c r="A283" s="1">
        <v>50165</v>
      </c>
      <c r="B283" t="s">
        <v>12</v>
      </c>
      <c r="C283">
        <v>83</v>
      </c>
      <c r="D283">
        <f>(automotive_demand_forecasting_dataset5[[#This Row],[Units_Sold]] -$C$4) / $C$5</f>
        <v>-0.45384299123994298</v>
      </c>
      <c r="E283">
        <v>31119.570670323308</v>
      </c>
      <c r="F283">
        <v>3.7569539248294577</v>
      </c>
      <c r="G283">
        <v>1.8585130909556904</v>
      </c>
      <c r="H283">
        <v>6.2464839883672587</v>
      </c>
      <c r="I283">
        <v>92553.618941241541</v>
      </c>
      <c r="J283">
        <v>97</v>
      </c>
      <c r="K283">
        <f>80.21517797</f>
        <v>80.215177969999999</v>
      </c>
      <c r="L283" t="str">
        <f t="shared" si="8"/>
        <v>OK</v>
      </c>
    </row>
    <row r="284" spans="1:12">
      <c r="A284" s="1">
        <v>50195</v>
      </c>
      <c r="B284" t="s">
        <v>11</v>
      </c>
      <c r="C284">
        <v>102</v>
      </c>
      <c r="D284">
        <f>(automotive_demand_forecasting_dataset5[[#This Row],[Units_Sold]] -$C$4) / $C$5</f>
        <v>-1.4051402147905904E-2</v>
      </c>
      <c r="E284">
        <v>36820.702149869219</v>
      </c>
      <c r="F284">
        <v>3.5897908909697991</v>
      </c>
      <c r="G284">
        <v>2.9878722848710741</v>
      </c>
      <c r="H284">
        <v>70.947199834424907</v>
      </c>
      <c r="I284">
        <v>108746.26374077922</v>
      </c>
      <c r="J284">
        <v>97</v>
      </c>
      <c r="K284">
        <v>98.195054736320984</v>
      </c>
      <c r="L284" t="str">
        <f t="shared" si="8"/>
        <v>OK</v>
      </c>
    </row>
    <row r="285" spans="1:12">
      <c r="A285" s="1">
        <v>50225</v>
      </c>
      <c r="B285" t="s">
        <v>12</v>
      </c>
      <c r="C285">
        <v>98</v>
      </c>
      <c r="D285">
        <f>(automotive_demand_forecasting_dataset5[[#This Row],[Units_Sold]] -$C$4) / $C$5</f>
        <v>-0.10663910511465055</v>
      </c>
      <c r="E285">
        <v>30626.122513239538</v>
      </c>
      <c r="F285">
        <v>3.6753150496367795</v>
      </c>
      <c r="G285">
        <v>4.3043481097867433</v>
      </c>
      <c r="H285">
        <v>5.9641702248270434</v>
      </c>
      <c r="I285">
        <v>103703.51073659828</v>
      </c>
      <c r="J285">
        <v>85</v>
      </c>
      <c r="K285">
        <v>97.148258722878921</v>
      </c>
      <c r="L285" t="str">
        <f t="shared" si="8"/>
        <v>OK</v>
      </c>
    </row>
    <row r="286" spans="1:12">
      <c r="A286" s="1">
        <v>50255</v>
      </c>
      <c r="B286" t="s">
        <v>10</v>
      </c>
      <c r="C286">
        <v>93</v>
      </c>
      <c r="D286">
        <f>(automotive_demand_forecasting_dataset5[[#This Row],[Units_Sold]] -$C$4) / $C$5</f>
        <v>-0.22237373382308137</v>
      </c>
      <c r="E286">
        <v>27852.972294373736</v>
      </c>
      <c r="F286">
        <v>3.7445935650738318</v>
      </c>
      <c r="G286">
        <v>2.3090962082727011</v>
      </c>
      <c r="H286">
        <f>6.97388673</f>
        <v>6.9738867300000003</v>
      </c>
      <c r="I286">
        <v>108508.89728368344</v>
      </c>
      <c r="J286">
        <v>77</v>
      </c>
      <c r="K286">
        <v>33.098316630333677</v>
      </c>
      <c r="L286" t="str">
        <f t="shared" si="8"/>
        <v>OK</v>
      </c>
    </row>
    <row r="287" spans="1:12">
      <c r="A287" s="1">
        <v>50285</v>
      </c>
      <c r="B287" t="s">
        <v>13</v>
      </c>
      <c r="C287">
        <v>104</v>
      </c>
      <c r="D287">
        <f>(automotive_demand_forecasting_dataset5[[#This Row],[Units_Sold]] -$C$4) / $C$5</f>
        <v>3.2242449335466418E-2</v>
      </c>
      <c r="E287">
        <v>30611.487515161418</v>
      </c>
      <c r="F287">
        <v>38.17360734280885</v>
      </c>
      <c r="G287">
        <v>3.2197579421481821</v>
      </c>
      <c r="H287">
        <v>7.9147245348409179</v>
      </c>
      <c r="I287">
        <f>128897.2893</f>
        <v>128897.2893</v>
      </c>
      <c r="J287">
        <v>100</v>
      </c>
      <c r="K287">
        <v>43.953849984248528</v>
      </c>
      <c r="L287" t="str">
        <f t="shared" si="8"/>
        <v>OK</v>
      </c>
    </row>
    <row r="288" spans="1:12">
      <c r="A288" s="1">
        <v>50315</v>
      </c>
      <c r="B288" t="s">
        <v>13</v>
      </c>
      <c r="C288">
        <v>96</v>
      </c>
      <c r="D288">
        <f>(automotive_demand_forecasting_dataset5[[#This Row],[Units_Sold]] -$C$4) / $C$5</f>
        <v>-0.15293295659802289</v>
      </c>
      <c r="E288">
        <v>32716.490145181939</v>
      </c>
      <c r="F288">
        <v>4.0548499209781115</v>
      </c>
      <c r="G288">
        <f>3.224108373</f>
        <v>3.224108373</v>
      </c>
      <c r="H288">
        <v>6.7284514553283774</v>
      </c>
      <c r="I288">
        <v>125577.31626626787</v>
      </c>
      <c r="J288">
        <v>87</v>
      </c>
      <c r="K288">
        <v>28.012399800541353</v>
      </c>
      <c r="L288" t="str">
        <f t="shared" si="8"/>
        <v>OK</v>
      </c>
    </row>
    <row r="289" spans="1:12">
      <c r="A289" s="1">
        <v>50345</v>
      </c>
      <c r="B289" t="s">
        <v>10</v>
      </c>
      <c r="C289">
        <v>103</v>
      </c>
      <c r="D289">
        <f>(automotive_demand_forecasting_dataset5[[#This Row],[Units_Sold]] -$C$4) / $C$5</f>
        <v>9.0955235937802571E-3</v>
      </c>
      <c r="E289">
        <v>30244.300351628521</v>
      </c>
      <c r="F289">
        <v>3.7049093284642565</v>
      </c>
      <c r="G289">
        <v>1.5435636231819911</v>
      </c>
      <c r="H289">
        <v>5.7991703147700751</v>
      </c>
      <c r="I289">
        <v>80953.672385224054</v>
      </c>
      <c r="J289">
        <v>102</v>
      </c>
      <c r="K289">
        <v>41.737407911854376</v>
      </c>
      <c r="L289" t="str">
        <f t="shared" si="8"/>
        <v>OK</v>
      </c>
    </row>
    <row r="290" spans="1:12">
      <c r="A290" s="1">
        <v>50375</v>
      </c>
      <c r="B290" t="s">
        <v>11</v>
      </c>
      <c r="C290">
        <v>85</v>
      </c>
      <c r="D290">
        <f>(automotive_demand_forecasting_dataset5[[#This Row],[Units_Sold]] -$C$4) / $C$5</f>
        <v>-0.40754913975657064</v>
      </c>
      <c r="E290">
        <v>30202.958456019413</v>
      </c>
      <c r="F290">
        <v>3.3793711726907287</v>
      </c>
      <c r="G290">
        <v>2.9724062778803773</v>
      </c>
      <c r="H290">
        <f>6.97388673</f>
        <v>6.9738867300000003</v>
      </c>
      <c r="I290">
        <v>86460.097230829371</v>
      </c>
      <c r="J290">
        <v>102</v>
      </c>
      <c r="K290">
        <v>85.276463153216525</v>
      </c>
      <c r="L290" t="str">
        <f t="shared" si="8"/>
        <v>OK</v>
      </c>
    </row>
    <row r="291" spans="1:12">
      <c r="A291" s="1">
        <v>50405</v>
      </c>
      <c r="B291" t="s">
        <v>10</v>
      </c>
      <c r="C291">
        <v>92</v>
      </c>
      <c r="D291">
        <f>(automotive_demand_forecasting_dataset5[[#This Row],[Units_Sold]] -$C$4) / $C$5</f>
        <v>-0.24552065956476751</v>
      </c>
      <c r="E291">
        <v>26490.041560966223</v>
      </c>
      <c r="F291">
        <v>4.5778345189999996</v>
      </c>
      <c r="G291">
        <v>3.9841160285359649</v>
      </c>
      <c r="H291">
        <v>5.6738653997162691</v>
      </c>
      <c r="I291">
        <v>84546.811094583521</v>
      </c>
      <c r="J291">
        <v>98</v>
      </c>
      <c r="K291">
        <v>50.265248573220759</v>
      </c>
      <c r="L291" t="str">
        <f t="shared" si="8"/>
        <v>OK</v>
      </c>
    </row>
    <row r="292" spans="1:12">
      <c r="A292" s="1">
        <v>50435</v>
      </c>
      <c r="B292" t="s">
        <v>10</v>
      </c>
      <c r="C292">
        <v>90</v>
      </c>
      <c r="D292">
        <f>(automotive_demand_forecasting_dataset5[[#This Row],[Units_Sold]] -$C$4) / $C$5</f>
        <v>-0.29181451104813982</v>
      </c>
      <c r="E292">
        <v>26685.495412245258</v>
      </c>
      <c r="F292">
        <v>4.449940967447608</v>
      </c>
      <c r="G292">
        <v>2.8556133487856599</v>
      </c>
      <c r="H292">
        <v>5.5286836519419467</v>
      </c>
      <c r="I292">
        <v>116603.8362372522</v>
      </c>
      <c r="J292">
        <v>80</v>
      </c>
      <c r="K292">
        <v>27.07175737174067</v>
      </c>
      <c r="L292" t="str">
        <f t="shared" si="8"/>
        <v>OK</v>
      </c>
    </row>
    <row r="293" spans="1:12">
      <c r="A293" s="1">
        <v>50465</v>
      </c>
      <c r="B293" t="s">
        <v>13</v>
      </c>
      <c r="C293">
        <v>83</v>
      </c>
      <c r="D293">
        <f>(automotive_demand_forecasting_dataset5[[#This Row],[Units_Sold]] -$C$4) / $C$5</f>
        <v>-0.45384299123994298</v>
      </c>
      <c r="E293">
        <v>22986.973641001532</v>
      </c>
      <c r="F293">
        <v>3.4336831268087131</v>
      </c>
      <c r="G293">
        <v>2.1869419694768455</v>
      </c>
      <c r="H293">
        <v>5.078302917143521</v>
      </c>
      <c r="I293">
        <v>118007.97176790127</v>
      </c>
      <c r="J293">
        <v>79</v>
      </c>
      <c r="K293">
        <v>47.378041982312368</v>
      </c>
      <c r="L293" t="str">
        <f t="shared" si="8"/>
        <v>OK</v>
      </c>
    </row>
    <row r="294" spans="1:12">
      <c r="A294" s="1">
        <v>50495</v>
      </c>
      <c r="B294" t="s">
        <v>14</v>
      </c>
      <c r="C294">
        <v>86</v>
      </c>
      <c r="D294">
        <f>(automotive_demand_forecasting_dataset5[[#This Row],[Units_Sold]] -$C$4) / $C$5</f>
        <v>-0.3844022140148845</v>
      </c>
      <c r="E294">
        <v>38747.883715934695</v>
      </c>
      <c r="F294">
        <v>3.0127353476646794</v>
      </c>
      <c r="G294">
        <v>2.4992914054233539</v>
      </c>
      <c r="H294">
        <v>7.3760960305985295</v>
      </c>
      <c r="I294">
        <v>109024.50638637017</v>
      </c>
      <c r="J294">
        <v>91</v>
      </c>
      <c r="K294">
        <v>98.510666739302408</v>
      </c>
      <c r="L294" t="str">
        <f t="shared" si="8"/>
        <v>OK</v>
      </c>
    </row>
    <row r="295" spans="1:12">
      <c r="A295" s="1">
        <v>50525</v>
      </c>
      <c r="B295" t="s">
        <v>13</v>
      </c>
      <c r="C295">
        <v>110</v>
      </c>
      <c r="D295">
        <f>(automotive_demand_forecasting_dataset5[[#This Row],[Units_Sold]] -$C$4) / $C$5</f>
        <v>0.1711240037855834</v>
      </c>
      <c r="E295">
        <v>23780.683823043575</v>
      </c>
      <c r="F295">
        <v>4.0535403346434862</v>
      </c>
      <c r="G295">
        <v>1.2495922660302825</v>
      </c>
      <c r="H295">
        <v>4.5178856008695982</v>
      </c>
      <c r="I295">
        <v>123669.87333779855</v>
      </c>
      <c r="J295">
        <v>81</v>
      </c>
      <c r="K295">
        <v>70.374687620736239</v>
      </c>
      <c r="L295" t="str">
        <f t="shared" si="8"/>
        <v>OK</v>
      </c>
    </row>
    <row r="296" spans="1:12">
      <c r="A296" s="1">
        <v>50555</v>
      </c>
      <c r="B296" t="s">
        <v>13</v>
      </c>
      <c r="C296">
        <v>89</v>
      </c>
      <c r="D296">
        <f>(automotive_demand_forecasting_dataset5[[#This Row],[Units_Sold]] -$C$4) / $C$5</f>
        <v>-0.31496143678982602</v>
      </c>
      <c r="E296">
        <v>38106.295579999998</v>
      </c>
      <c r="F296">
        <v>3.4398094180232008</v>
      </c>
      <c r="G296">
        <v>3.1045153263553669</v>
      </c>
      <c r="H296">
        <v>7.3388412696137388</v>
      </c>
      <c r="I296">
        <v>76439.182652472387</v>
      </c>
      <c r="J296">
        <v>66</v>
      </c>
      <c r="K296">
        <v>53.292875712492616</v>
      </c>
      <c r="L296" t="str">
        <f t="shared" si="8"/>
        <v>OK</v>
      </c>
    </row>
    <row r="297" spans="1:12">
      <c r="A297" s="1">
        <v>50585</v>
      </c>
      <c r="B297" t="s">
        <v>12</v>
      </c>
      <c r="C297">
        <v>118</v>
      </c>
      <c r="D297">
        <f>(automotive_demand_forecasting_dataset5[[#This Row],[Units_Sold]] -$C$4) / $C$5</f>
        <v>0.3562994097190727</v>
      </c>
      <c r="E297">
        <v>264079.63672154013</v>
      </c>
      <c r="F297">
        <v>2.4136652269929817</v>
      </c>
      <c r="G297">
        <v>3.3823330623234091</v>
      </c>
      <c r="H297">
        <v>6.0998369484884458</v>
      </c>
      <c r="I297">
        <v>133344.48223102273</v>
      </c>
      <c r="J297">
        <v>92</v>
      </c>
      <c r="K297">
        <v>33.323081079781602</v>
      </c>
      <c r="L297" t="str">
        <f t="shared" si="8"/>
        <v>OK</v>
      </c>
    </row>
    <row r="298" spans="1:12">
      <c r="A298" s="1">
        <v>50615</v>
      </c>
      <c r="B298" t="s">
        <v>10</v>
      </c>
      <c r="C298">
        <v>102</v>
      </c>
      <c r="D298">
        <f>(automotive_demand_forecasting_dataset5[[#This Row],[Units_Sold]] -$C$4) / $C$5</f>
        <v>-1.4051402147905904E-2</v>
      </c>
      <c r="E298">
        <v>34474.621884722204</v>
      </c>
      <c r="F298">
        <v>3.9237108385752109</v>
      </c>
      <c r="G298">
        <v>2.0479096671669197</v>
      </c>
      <c r="H298">
        <v>3.8208325902376705</v>
      </c>
      <c r="I298">
        <v>130464.77243424517</v>
      </c>
      <c r="J298">
        <v>95</v>
      </c>
      <c r="K298">
        <v>98.894143782695579</v>
      </c>
      <c r="L298" t="str">
        <f t="shared" si="8"/>
        <v>OK</v>
      </c>
    </row>
    <row r="299" spans="1:12">
      <c r="A299" s="1">
        <v>50645</v>
      </c>
      <c r="B299" t="s">
        <v>13</v>
      </c>
      <c r="C299">
        <v>108</v>
      </c>
      <c r="D299">
        <f>(automotive_demand_forecasting_dataset5[[#This Row],[Units_Sold]] -$C$4) / $C$5</f>
        <v>0.12483015230221108</v>
      </c>
      <c r="E299">
        <v>28525.25160853986</v>
      </c>
      <c r="F299">
        <v>3.2323359070230389</v>
      </c>
      <c r="G299">
        <v>2.0299578522404986</v>
      </c>
      <c r="H299">
        <v>59.411791515897065</v>
      </c>
      <c r="I299">
        <v>114712.43994491494</v>
      </c>
      <c r="J299">
        <f>111.9136842</f>
        <v>111.91368420000001</v>
      </c>
      <c r="K299">
        <v>85.667920741050295</v>
      </c>
      <c r="L299" t="str">
        <f t="shared" si="8"/>
        <v>OK</v>
      </c>
    </row>
    <row r="300" spans="1:12">
      <c r="A300" s="1">
        <v>50675</v>
      </c>
      <c r="B300" t="s">
        <v>10</v>
      </c>
      <c r="C300">
        <v>95</v>
      </c>
      <c r="D300">
        <f>(automotive_demand_forecasting_dataset5[[#This Row],[Units_Sold]] -$C$4) / $C$5</f>
        <v>-0.17607988233970903</v>
      </c>
      <c r="E300">
        <v>36238.710363368671</v>
      </c>
      <c r="F300">
        <v>3.4547333588479194</v>
      </c>
      <c r="G300">
        <v>2.7658782296520483</v>
      </c>
      <c r="H300">
        <v>2.9799681908180511</v>
      </c>
      <c r="I300">
        <v>135635.97817542119</v>
      </c>
      <c r="J300">
        <v>108</v>
      </c>
      <c r="K300">
        <f>80.21517797</f>
        <v>80.215177969999999</v>
      </c>
      <c r="L300" t="str">
        <f t="shared" si="8"/>
        <v>OK</v>
      </c>
    </row>
    <row r="301" spans="1:12">
      <c r="A301" s="1">
        <v>50705</v>
      </c>
      <c r="B301" t="s">
        <v>12</v>
      </c>
      <c r="C301">
        <v>100</v>
      </c>
      <c r="D301">
        <f>(automotive_demand_forecasting_dataset5[[#This Row],[Units_Sold]] -$C$4) / $C$5</f>
        <v>-6.0345253631278226E-2</v>
      </c>
      <c r="E301">
        <v>26632.546878780657</v>
      </c>
      <c r="F301">
        <v>3.6659901652845073</v>
      </c>
      <c r="G301">
        <v>2.0632802639594043</v>
      </c>
      <c r="H301">
        <v>6.2506096201972428</v>
      </c>
      <c r="I301">
        <v>66867.535846444516</v>
      </c>
      <c r="J301">
        <v>83</v>
      </c>
      <c r="K301">
        <v>25.605495657695158</v>
      </c>
      <c r="L301" t="str">
        <f t="shared" si="8"/>
        <v>OK</v>
      </c>
    </row>
    <row r="302" spans="1:12">
      <c r="A302" s="1">
        <v>50735</v>
      </c>
      <c r="B302" t="s">
        <v>10</v>
      </c>
      <c r="C302">
        <v>86</v>
      </c>
      <c r="D302">
        <f>(automotive_demand_forecasting_dataset5[[#This Row],[Units_Sold]] -$C$4) / $C$5</f>
        <v>-0.3844022140148845</v>
      </c>
      <c r="E302">
        <v>31394.970811119008</v>
      </c>
      <c r="F302">
        <v>3.5952498398895334</v>
      </c>
      <c r="G302">
        <v>2.4338673853741777</v>
      </c>
      <c r="H302">
        <v>6.5622777795867897</v>
      </c>
      <c r="I302">
        <v>89511.037274746966</v>
      </c>
      <c r="J302">
        <v>96</v>
      </c>
      <c r="K302">
        <v>24.530044590204643</v>
      </c>
      <c r="L302" t="str">
        <f t="shared" si="8"/>
        <v>OK</v>
      </c>
    </row>
    <row r="303" spans="1:12">
      <c r="A303" s="1">
        <v>50765</v>
      </c>
      <c r="B303" t="s">
        <v>13</v>
      </c>
      <c r="C303">
        <v>94</v>
      </c>
      <c r="D303">
        <f>(automotive_demand_forecasting_dataset5[[#This Row],[Units_Sold]] -$C$4) / $C$5</f>
        <v>-0.1992268080813952</v>
      </c>
      <c r="E303">
        <v>25823.264733701213</v>
      </c>
      <c r="F303">
        <v>3.8547259085695198</v>
      </c>
      <c r="G303">
        <v>4.5997217891665159</v>
      </c>
      <c r="H303">
        <v>4.7891728532175355</v>
      </c>
      <c r="I303">
        <v>85293.930786360957</v>
      </c>
      <c r="J303">
        <v>84</v>
      </c>
      <c r="K303">
        <v>29.630251960442706</v>
      </c>
      <c r="L303" t="str">
        <f t="shared" si="8"/>
        <v>OK</v>
      </c>
    </row>
    <row r="304" spans="1:12">
      <c r="A304" s="1">
        <v>50795</v>
      </c>
      <c r="B304" t="s">
        <v>10</v>
      </c>
      <c r="C304">
        <v>88</v>
      </c>
      <c r="D304">
        <f>(automotive_demand_forecasting_dataset5[[#This Row],[Units_Sold]] -$C$4) / $C$5</f>
        <v>-0.33810836253151216</v>
      </c>
      <c r="E304">
        <v>40725.745638866938</v>
      </c>
      <c r="F304">
        <v>3.2822568147150784</v>
      </c>
      <c r="G304">
        <v>2.2529742992540034</v>
      </c>
      <c r="H304">
        <v>5.6482572351466986</v>
      </c>
      <c r="I304">
        <v>114429.58647514686</v>
      </c>
      <c r="J304">
        <v>92</v>
      </c>
      <c r="K304">
        <v>66.46148668915373</v>
      </c>
      <c r="L304" t="str">
        <f t="shared" si="8"/>
        <v>OK</v>
      </c>
    </row>
    <row r="305" spans="1:12">
      <c r="A305" s="1">
        <v>50825</v>
      </c>
      <c r="B305" t="s">
        <v>12</v>
      </c>
      <c r="C305">
        <v>100</v>
      </c>
      <c r="D305">
        <f>(automotive_demand_forecasting_dataset5[[#This Row],[Units_Sold]] -$C$4) / $C$5</f>
        <v>-6.0345253631278226E-2</v>
      </c>
      <c r="E305">
        <v>24062.007904852435</v>
      </c>
      <c r="F305">
        <v>3.7565528990880415</v>
      </c>
      <c r="G305">
        <v>21.416598479787776</v>
      </c>
      <c r="H305">
        <v>7.8449889205003434</v>
      </c>
      <c r="I305">
        <v>78997.185207957082</v>
      </c>
      <c r="J305">
        <v>790</v>
      </c>
      <c r="K305">
        <v>94.301073696439389</v>
      </c>
      <c r="L305" t="str">
        <f t="shared" si="8"/>
        <v>OK</v>
      </c>
    </row>
    <row r="306" spans="1:12">
      <c r="A306" s="1">
        <v>50855</v>
      </c>
      <c r="B306" t="s">
        <v>14</v>
      </c>
      <c r="C306">
        <v>95</v>
      </c>
      <c r="D306">
        <f>(automotive_demand_forecasting_dataset5[[#This Row],[Units_Sold]] -$C$4) / $C$5</f>
        <v>-0.17607988233970903</v>
      </c>
      <c r="E306">
        <v>31549.103551135137</v>
      </c>
      <c r="F306">
        <v>3.3702266612080414</v>
      </c>
      <c r="G306">
        <v>1.8524581943648408</v>
      </c>
      <c r="H306">
        <v>4.8931039548856763</v>
      </c>
      <c r="I306">
        <v>115149.90298674972</v>
      </c>
      <c r="J306">
        <v>98</v>
      </c>
      <c r="K306">
        <v>59.739474240478756</v>
      </c>
      <c r="L306" t="str">
        <f t="shared" si="8"/>
        <v>OK</v>
      </c>
    </row>
    <row r="307" spans="1:12">
      <c r="A307" s="1">
        <v>50885</v>
      </c>
      <c r="B307" t="s">
        <v>10</v>
      </c>
      <c r="C307">
        <v>95</v>
      </c>
      <c r="D307">
        <f>(automotive_demand_forecasting_dataset5[[#This Row],[Units_Sold]] -$C$4) / $C$5</f>
        <v>-0.17607988233970903</v>
      </c>
      <c r="E307">
        <v>33168.884404660494</v>
      </c>
      <c r="F307">
        <v>3.8694052404437516</v>
      </c>
      <c r="G307">
        <v>3.2441919714999368</v>
      </c>
      <c r="H307">
        <v>4.2293108955320795</v>
      </c>
      <c r="I307">
        <v>127410.72287993427</v>
      </c>
      <c r="J307">
        <v>800</v>
      </c>
      <c r="K307">
        <v>87.435638596495778</v>
      </c>
      <c r="L307" t="str">
        <f t="shared" si="8"/>
        <v>OK</v>
      </c>
    </row>
    <row r="308" spans="1:12">
      <c r="A308" s="1">
        <v>50915</v>
      </c>
      <c r="B308" t="s">
        <v>13</v>
      </c>
      <c r="C308">
        <v>92</v>
      </c>
      <c r="D308">
        <f>(automotive_demand_forecasting_dataset5[[#This Row],[Units_Sold]] -$C$4) / $C$5</f>
        <v>-0.24552065956476751</v>
      </c>
      <c r="E308">
        <v>32068.995487257493</v>
      </c>
      <c r="F308">
        <v>3.8076837420065268</v>
      </c>
      <c r="G308">
        <v>2.3187758267818972</v>
      </c>
      <c r="H308">
        <v>7.2779960829551182</v>
      </c>
      <c r="I308">
        <v>113904.05800167998</v>
      </c>
      <c r="J308">
        <v>93</v>
      </c>
      <c r="K308">
        <v>55.670929588784624</v>
      </c>
      <c r="L308" t="str">
        <f t="shared" si="8"/>
        <v>OK</v>
      </c>
    </row>
    <row r="309" spans="1:12">
      <c r="A309" s="1">
        <v>50945</v>
      </c>
      <c r="B309" t="s">
        <v>12</v>
      </c>
      <c r="C309">
        <v>108</v>
      </c>
      <c r="D309">
        <f>(automotive_demand_forecasting_dataset5[[#This Row],[Units_Sold]] -$C$4) / $C$5</f>
        <v>0.12483015230221108</v>
      </c>
      <c r="E309">
        <v>29073.561705611457</v>
      </c>
      <c r="F309">
        <v>3.0322806489777023</v>
      </c>
      <c r="G309">
        <v>1.850626961678574</v>
      </c>
      <c r="H309">
        <v>7.855104628636953</v>
      </c>
      <c r="I309">
        <v>105675.02047323002</v>
      </c>
      <c r="J309">
        <v>90</v>
      </c>
      <c r="K309">
        <v>76.686683661426017</v>
      </c>
      <c r="L309" t="str">
        <f t="shared" si="8"/>
        <v>OK</v>
      </c>
    </row>
    <row r="310" spans="1:12">
      <c r="A310" s="1">
        <v>50975</v>
      </c>
      <c r="B310" t="s">
        <v>13</v>
      </c>
      <c r="C310">
        <v>99</v>
      </c>
      <c r="D310">
        <f>(automotive_demand_forecasting_dataset5[[#This Row],[Units_Sold]] -$C$4) / $C$5</f>
        <v>-8.3492179372964395E-2</v>
      </c>
      <c r="E310">
        <v>29350.896501332871</v>
      </c>
      <c r="F310">
        <v>4.0429910580875159</v>
      </c>
      <c r="G310">
        <f>3.224108373</f>
        <v>3.224108373</v>
      </c>
      <c r="H310">
        <v>5.5044348062174171</v>
      </c>
      <c r="I310">
        <v>80242.533181985025</v>
      </c>
      <c r="J310">
        <v>85</v>
      </c>
      <c r="K310">
        <v>78.549818982920073</v>
      </c>
      <c r="L310" t="str">
        <f t="shared" si="8"/>
        <v>OK</v>
      </c>
    </row>
    <row r="311" spans="1:12">
      <c r="A311" s="1">
        <v>51005</v>
      </c>
      <c r="B311" t="s">
        <v>13</v>
      </c>
      <c r="C311">
        <v>95</v>
      </c>
      <c r="D311">
        <f>(automotive_demand_forecasting_dataset5[[#This Row],[Units_Sold]] -$C$4) / $C$5</f>
        <v>-0.17607988233970903</v>
      </c>
      <c r="E311">
        <v>30219.057359895549</v>
      </c>
      <c r="F311">
        <v>3.2320182774429762</v>
      </c>
      <c r="G311">
        <v>3.919603004513637</v>
      </c>
      <c r="H311">
        <v>6.7137556424900273</v>
      </c>
      <c r="I311">
        <v>83062.980677492713</v>
      </c>
      <c r="J311">
        <v>81</v>
      </c>
      <c r="K311">
        <v>33.91709647226709</v>
      </c>
      <c r="L311" t="str">
        <f t="shared" si="8"/>
        <v>OK</v>
      </c>
    </row>
    <row r="312" spans="1:12">
      <c r="A312" s="1">
        <v>51035</v>
      </c>
      <c r="B312" t="s">
        <v>10</v>
      </c>
      <c r="C312">
        <v>86</v>
      </c>
      <c r="D312">
        <f>(automotive_demand_forecasting_dataset5[[#This Row],[Units_Sold]] -$C$4) / $C$5</f>
        <v>-0.3844022140148845</v>
      </c>
      <c r="E312">
        <v>29264.989991857557</v>
      </c>
      <c r="F312">
        <v>3.9040288991405725</v>
      </c>
      <c r="G312">
        <v>1.8995764342612949</v>
      </c>
      <c r="H312">
        <v>7.109771098637057</v>
      </c>
      <c r="I312">
        <v>124992.37810593334</v>
      </c>
      <c r="J312">
        <v>80</v>
      </c>
      <c r="K312">
        <v>48.897284718064938</v>
      </c>
      <c r="L312" t="str">
        <f t="shared" si="8"/>
        <v>OK</v>
      </c>
    </row>
    <row r="313" spans="1:12">
      <c r="A313" s="1">
        <v>51065</v>
      </c>
      <c r="B313" t="s">
        <v>13</v>
      </c>
      <c r="C313">
        <v>120</v>
      </c>
      <c r="D313">
        <f>(automotive_demand_forecasting_dataset5[[#This Row],[Units_Sold]] -$C$4) / $C$5</f>
        <v>0.40259326120244504</v>
      </c>
      <c r="E313">
        <v>34819.395583974547</v>
      </c>
      <c r="F313">
        <v>3.6836436567006703</v>
      </c>
      <c r="G313">
        <v>0.63346004863938377</v>
      </c>
      <c r="H313">
        <v>4.6090189209539396</v>
      </c>
      <c r="I313">
        <v>115586.98007810664</v>
      </c>
      <c r="J313">
        <v>88</v>
      </c>
      <c r="K313">
        <v>70.984172523041906</v>
      </c>
      <c r="L313" t="str">
        <f t="shared" si="8"/>
        <v>OK</v>
      </c>
    </row>
    <row r="314" spans="1:12">
      <c r="A314" s="1">
        <v>51095</v>
      </c>
      <c r="B314" t="s">
        <v>10</v>
      </c>
      <c r="C314">
        <v>81</v>
      </c>
      <c r="D314">
        <f>(automotive_demand_forecasting_dataset5[[#This Row],[Units_Sold]] -$C$4) / $C$5</f>
        <v>-0.50013684272331527</v>
      </c>
      <c r="E314">
        <v>41052.61500795676</v>
      </c>
      <c r="F314">
        <v>4.419091838397561</v>
      </c>
      <c r="G314">
        <v>3.5075136898369221</v>
      </c>
      <c r="H314">
        <v>49.176329975585574</v>
      </c>
      <c r="I314">
        <v>99219.609612449116</v>
      </c>
      <c r="J314">
        <v>88</v>
      </c>
      <c r="K314">
        <f>80.21517797</f>
        <v>80.215177969999999</v>
      </c>
      <c r="L314" t="str">
        <f t="shared" si="8"/>
        <v>OK</v>
      </c>
    </row>
    <row r="315" spans="1:12">
      <c r="A315" s="1">
        <v>51125</v>
      </c>
      <c r="B315" t="s">
        <v>14</v>
      </c>
      <c r="C315">
        <v>102</v>
      </c>
      <c r="D315">
        <f>(automotive_demand_forecasting_dataset5[[#This Row],[Units_Sold]] -$C$4) / $C$5</f>
        <v>-1.4051402147905904E-2</v>
      </c>
      <c r="E315">
        <v>272125.4107496083</v>
      </c>
      <c r="F315">
        <v>3.3882670088140738</v>
      </c>
      <c r="G315">
        <v>1.8153701742399959</v>
      </c>
      <c r="H315">
        <v>6.9770494157856824</v>
      </c>
      <c r="I315">
        <v>91641.809084682187</v>
      </c>
      <c r="J315">
        <v>92</v>
      </c>
      <c r="K315">
        <v>48.923215021036526</v>
      </c>
      <c r="L315" t="str">
        <f t="shared" si="8"/>
        <v>OK</v>
      </c>
    </row>
    <row r="316" spans="1:12">
      <c r="A316" s="1">
        <v>51155</v>
      </c>
      <c r="B316" t="s">
        <v>13</v>
      </c>
      <c r="C316">
        <v>87</v>
      </c>
      <c r="D316">
        <f>(automotive_demand_forecasting_dataset5[[#This Row],[Units_Sold]] -$C$4) / $C$5</f>
        <v>-0.36125528827319836</v>
      </c>
      <c r="E316">
        <v>23150.985102104612</v>
      </c>
      <c r="F316">
        <v>3.3253416019409014</v>
      </c>
      <c r="G316">
        <v>3.2906255991627686</v>
      </c>
      <c r="H316">
        <v>7.5220171344502109</v>
      </c>
      <c r="I316">
        <v>59483.842537772463</v>
      </c>
      <c r="J316">
        <v>90</v>
      </c>
      <c r="K316">
        <v>62.783957302495395</v>
      </c>
      <c r="L316" t="str">
        <f t="shared" si="8"/>
        <v>OK</v>
      </c>
    </row>
    <row r="317" spans="1:12">
      <c r="A317" s="1">
        <v>51185</v>
      </c>
      <c r="B317" t="s">
        <v>13</v>
      </c>
      <c r="C317">
        <v>90</v>
      </c>
      <c r="D317">
        <f>(automotive_demand_forecasting_dataset5[[#This Row],[Units_Sold]] -$C$4) / $C$5</f>
        <v>-0.29181451104813982</v>
      </c>
      <c r="E317">
        <v>29558.589758243725</v>
      </c>
      <c r="F317">
        <v>3.4902901970561335</v>
      </c>
      <c r="G317">
        <v>0.52989618228816449</v>
      </c>
      <c r="H317">
        <v>6.1754570322092253</v>
      </c>
      <c r="I317">
        <v>78582.951626311231</v>
      </c>
      <c r="J317">
        <v>97</v>
      </c>
      <c r="K317">
        <v>99.697959443571094</v>
      </c>
      <c r="L317" t="str">
        <f t="shared" si="8"/>
        <v>OK</v>
      </c>
    </row>
    <row r="318" spans="1:12">
      <c r="A318" s="1">
        <v>51215</v>
      </c>
      <c r="B318" t="s">
        <v>13</v>
      </c>
      <c r="C318">
        <v>89</v>
      </c>
      <c r="D318">
        <f>(automotive_demand_forecasting_dataset5[[#This Row],[Units_Sold]] -$C$4) / $C$5</f>
        <v>-0.31496143678982602</v>
      </c>
      <c r="E318">
        <v>42898.546688271592</v>
      </c>
      <c r="F318">
        <v>3.3484101085828621</v>
      </c>
      <c r="G318">
        <v>3.3925973382993093</v>
      </c>
      <c r="H318">
        <v>4.4442227757975346</v>
      </c>
      <c r="I318">
        <v>138228.38174279447</v>
      </c>
      <c r="J318">
        <v>89</v>
      </c>
      <c r="K318">
        <f>80.21517797</f>
        <v>80.215177969999999</v>
      </c>
      <c r="L318" t="str">
        <f t="shared" si="8"/>
        <v>OK</v>
      </c>
    </row>
    <row r="319" spans="1:12">
      <c r="A319" s="1">
        <v>51245</v>
      </c>
      <c r="B319" t="s">
        <v>11</v>
      </c>
      <c r="C319">
        <v>105</v>
      </c>
      <c r="D319">
        <f>(automotive_demand_forecasting_dataset5[[#This Row],[Units_Sold]] -$C$4) / $C$5</f>
        <v>5.5389375077152581E-2</v>
      </c>
      <c r="E319">
        <v>25981.627160151347</v>
      </c>
      <c r="F319">
        <v>3.8999709509710252</v>
      </c>
      <c r="G319">
        <v>1.2888280707192188</v>
      </c>
      <c r="H319">
        <f>6.97388673</f>
        <v>6.9738867300000003</v>
      </c>
      <c r="I319">
        <v>74390.888579950668</v>
      </c>
      <c r="J319">
        <v>106</v>
      </c>
      <c r="K319">
        <v>85.284540569145889</v>
      </c>
      <c r="L319" t="str">
        <f t="shared" si="8"/>
        <v>OK</v>
      </c>
    </row>
    <row r="320" spans="1:12">
      <c r="A320" s="1">
        <v>51275</v>
      </c>
      <c r="B320" t="s">
        <v>11</v>
      </c>
      <c r="C320">
        <v>96</v>
      </c>
      <c r="D320">
        <f>(automotive_demand_forecasting_dataset5[[#This Row],[Units_Sold]] -$C$4) / $C$5</f>
        <v>-0.15293295659802289</v>
      </c>
      <c r="E320">
        <v>38195.584027220335</v>
      </c>
      <c r="F320">
        <v>2.6918446957817062</v>
      </c>
      <c r="G320">
        <v>3.2307641190665244</v>
      </c>
      <c r="H320">
        <v>4.8628349226256429</v>
      </c>
      <c r="I320">
        <v>103789.59642442162</v>
      </c>
      <c r="J320">
        <v>91</v>
      </c>
      <c r="K320">
        <v>54.565382805329421</v>
      </c>
      <c r="L320" t="str">
        <f t="shared" si="8"/>
        <v>OK</v>
      </c>
    </row>
    <row r="321" spans="1:12">
      <c r="A321" s="1">
        <v>51305</v>
      </c>
      <c r="B321" t="s">
        <v>12</v>
      </c>
      <c r="C321">
        <v>97</v>
      </c>
      <c r="D321">
        <f>(automotive_demand_forecasting_dataset5[[#This Row],[Units_Sold]] -$C$4) / $C$5</f>
        <v>-0.12978603085633672</v>
      </c>
      <c r="E321">
        <v>38388.504070382201</v>
      </c>
      <c r="F321">
        <v>2.9731587904268229</v>
      </c>
      <c r="G321">
        <v>2.514273067836434</v>
      </c>
      <c r="H321">
        <v>5.0978346625942574</v>
      </c>
      <c r="I321">
        <v>120148.87946390397</v>
      </c>
      <c r="J321">
        <f>111.9136842</f>
        <v>111.91368420000001</v>
      </c>
      <c r="K321">
        <v>83.711257809576708</v>
      </c>
      <c r="L321" t="str">
        <f t="shared" si="8"/>
        <v>OK</v>
      </c>
    </row>
    <row r="322" spans="1:12">
      <c r="A322" s="1">
        <v>51335</v>
      </c>
      <c r="B322" t="s">
        <v>11</v>
      </c>
      <c r="C322">
        <v>98</v>
      </c>
      <c r="D322">
        <f>(automotive_demand_forecasting_dataset5[[#This Row],[Units_Sold]] -$C$4) / $C$5</f>
        <v>-0.10663910511465055</v>
      </c>
      <c r="E322">
        <v>27232.058791460026</v>
      </c>
      <c r="F322">
        <v>2.9660985392104036</v>
      </c>
      <c r="G322">
        <v>1.5460605806033552</v>
      </c>
      <c r="H322">
        <v>5.9108054013875453</v>
      </c>
      <c r="I322">
        <v>74901.546639954147</v>
      </c>
      <c r="J322">
        <v>93</v>
      </c>
      <c r="K322">
        <v>67.633184129608679</v>
      </c>
      <c r="L322" t="str">
        <f t="shared" si="8"/>
        <v>OK</v>
      </c>
    </row>
    <row r="323" spans="1:12">
      <c r="A323" s="1">
        <v>51365</v>
      </c>
      <c r="B323" t="s">
        <v>12</v>
      </c>
      <c r="C323">
        <v>100</v>
      </c>
      <c r="D323">
        <f>(automotive_demand_forecasting_dataset5[[#This Row],[Units_Sold]] -$C$4) / $C$5</f>
        <v>-6.0345253631278226E-2</v>
      </c>
      <c r="E323">
        <v>32844.915395926379</v>
      </c>
      <c r="F323">
        <v>3.9751537959867878</v>
      </c>
      <c r="G323">
        <v>2.0929636870732193</v>
      </c>
      <c r="H323">
        <v>7.3649925048577289</v>
      </c>
      <c r="I323">
        <v>103694.20949562166</v>
      </c>
      <c r="J323">
        <v>89</v>
      </c>
      <c r="K323">
        <v>90.927635320191868</v>
      </c>
      <c r="L323" t="str">
        <f t="shared" si="8"/>
        <v>OK</v>
      </c>
    </row>
    <row r="324" spans="1:12">
      <c r="A324" s="1">
        <v>51395</v>
      </c>
      <c r="B324" t="s">
        <v>11</v>
      </c>
      <c r="C324">
        <v>108</v>
      </c>
      <c r="D324">
        <f>(automotive_demand_forecasting_dataset5[[#This Row],[Units_Sold]] -$C$4) / $C$5</f>
        <v>0.12483015230221108</v>
      </c>
      <c r="E324">
        <v>38141.983115642688</v>
      </c>
      <c r="F324">
        <v>4.5778345189999996</v>
      </c>
      <c r="G324">
        <v>3.1863184569567009</v>
      </c>
      <c r="H324">
        <v>6.5247711718626684</v>
      </c>
      <c r="I324">
        <v>118758.3107502131</v>
      </c>
      <c r="J324">
        <v>73</v>
      </c>
      <c r="K324">
        <v>52.875404188008794</v>
      </c>
      <c r="L324" t="str">
        <f t="shared" si="8"/>
        <v>OK</v>
      </c>
    </row>
    <row r="325" spans="1:12">
      <c r="A325" s="1">
        <v>51425</v>
      </c>
      <c r="B325" t="s">
        <v>14</v>
      </c>
      <c r="C325">
        <v>92</v>
      </c>
      <c r="D325">
        <f>(automotive_demand_forecasting_dataset5[[#This Row],[Units_Sold]] -$C$4) / $C$5</f>
        <v>-0.24552065956476751</v>
      </c>
      <c r="E325">
        <v>28104.361295062565</v>
      </c>
      <c r="F325">
        <v>3.4477753907312643</v>
      </c>
      <c r="G325">
        <v>2.6058944531152344</v>
      </c>
      <c r="H325">
        <v>5.9978386004342923</v>
      </c>
      <c r="I325">
        <v>100249.986438145</v>
      </c>
      <c r="J325">
        <v>101</v>
      </c>
      <c r="K325">
        <v>68.344353585718309</v>
      </c>
      <c r="L325" t="str">
        <f t="shared" si="8"/>
        <v>OK</v>
      </c>
    </row>
    <row r="326" spans="1:12">
      <c r="A326" s="1">
        <v>51455</v>
      </c>
      <c r="B326" t="s">
        <v>12</v>
      </c>
      <c r="C326">
        <v>97</v>
      </c>
      <c r="D326">
        <f>(automotive_demand_forecasting_dataset5[[#This Row],[Units_Sold]] -$C$4) / $C$5</f>
        <v>-0.12978603085633672</v>
      </c>
      <c r="E326">
        <v>28982.098199488191</v>
      </c>
      <c r="F326">
        <v>3.4155891384049948</v>
      </c>
      <c r="G326">
        <v>3.084412980472484</v>
      </c>
      <c r="H326">
        <v>6.0559462361417271</v>
      </c>
      <c r="I326">
        <v>157368.06111333537</v>
      </c>
      <c r="J326">
        <v>81</v>
      </c>
      <c r="K326">
        <v>70.401494449506188</v>
      </c>
      <c r="L326" t="str">
        <f t="shared" si="8"/>
        <v>OK</v>
      </c>
    </row>
    <row r="327" spans="1:12">
      <c r="A327" s="1">
        <v>51485</v>
      </c>
      <c r="B327" t="s">
        <v>11</v>
      </c>
      <c r="C327">
        <v>116</v>
      </c>
      <c r="D327">
        <f>(automotive_demand_forecasting_dataset5[[#This Row],[Units_Sold]] -$C$4) / $C$5</f>
        <v>0.31000555823570036</v>
      </c>
      <c r="E327">
        <v>27091.595430256781</v>
      </c>
      <c r="F327">
        <v>3.5350260815565906</v>
      </c>
      <c r="G327">
        <v>4.4764405845154851</v>
      </c>
      <c r="H327">
        <v>5.552217602372159</v>
      </c>
      <c r="I327">
        <v>66628.014822436089</v>
      </c>
      <c r="J327">
        <v>98</v>
      </c>
      <c r="K327">
        <v>53.390635344037861</v>
      </c>
      <c r="L327" t="str">
        <f t="shared" si="8"/>
        <v>OK</v>
      </c>
    </row>
    <row r="328" spans="1:12">
      <c r="A328" s="1">
        <v>51515</v>
      </c>
      <c r="B328" t="s">
        <v>14</v>
      </c>
      <c r="C328">
        <v>128.02105259999999</v>
      </c>
      <c r="D328">
        <f>(automotive_demand_forecasting_dataset5[[#This Row],[Units_Sold]] -$C$4) / $C$5</f>
        <v>0.58825597010480346</v>
      </c>
      <c r="E328">
        <v>24926.216346535664</v>
      </c>
      <c r="F328">
        <v>4.0809391513040953</v>
      </c>
      <c r="G328">
        <v>0.93575838828894864</v>
      </c>
      <c r="H328">
        <v>6.1697674174222072</v>
      </c>
      <c r="I328">
        <v>121174.57059767758</v>
      </c>
      <c r="J328">
        <v>92</v>
      </c>
      <c r="K328">
        <v>31.54496349499852</v>
      </c>
      <c r="L328" t="str">
        <f t="shared" si="8"/>
        <v>OK</v>
      </c>
    </row>
    <row r="329" spans="1:12">
      <c r="A329" s="1">
        <v>51545</v>
      </c>
      <c r="B329" t="s">
        <v>11</v>
      </c>
      <c r="C329">
        <v>87</v>
      </c>
      <c r="D329">
        <f>(automotive_demand_forecasting_dataset5[[#This Row],[Units_Sold]] -$C$4) / $C$5</f>
        <v>-0.36125528827319836</v>
      </c>
      <c r="E329">
        <v>26753.612274669966</v>
      </c>
      <c r="F329">
        <v>3.0363234329047128</v>
      </c>
      <c r="G329">
        <v>4.1172125749686241</v>
      </c>
      <c r="H329">
        <v>24.645279067668366</v>
      </c>
      <c r="I329">
        <v>96543.965252070717</v>
      </c>
      <c r="J329">
        <f>111.9136842</f>
        <v>111.91368420000001</v>
      </c>
      <c r="K329">
        <v>27.484752552986844</v>
      </c>
      <c r="L329" t="str">
        <f t="shared" si="8"/>
        <v>OK</v>
      </c>
    </row>
    <row r="330" spans="1:12">
      <c r="A330" s="1">
        <v>51575</v>
      </c>
      <c r="B330" t="s">
        <v>10</v>
      </c>
      <c r="C330">
        <v>103</v>
      </c>
      <c r="D330">
        <f>(automotive_demand_forecasting_dataset5[[#This Row],[Units_Sold]] -$C$4) / $C$5</f>
        <v>9.0955235937802571E-3</v>
      </c>
      <c r="E330">
        <v>23880.298666188719</v>
      </c>
      <c r="F330">
        <v>3.6191844913673927</v>
      </c>
      <c r="G330">
        <v>2.6043559375232128</v>
      </c>
      <c r="H330">
        <v>5.144071049116242</v>
      </c>
      <c r="I330">
        <v>115438.4030967335</v>
      </c>
      <c r="J330">
        <v>101</v>
      </c>
      <c r="K330">
        <v>21.333724047970648</v>
      </c>
      <c r="L330" t="str">
        <f t="shared" si="8"/>
        <v>OK</v>
      </c>
    </row>
    <row r="331" spans="1:12">
      <c r="A331" s="1">
        <v>51605</v>
      </c>
      <c r="B331" t="s">
        <v>10</v>
      </c>
      <c r="C331">
        <v>115</v>
      </c>
      <c r="D331">
        <f>(automotive_demand_forecasting_dataset5[[#This Row],[Units_Sold]] -$C$4) / $C$5</f>
        <v>0.28685863249401422</v>
      </c>
      <c r="E331">
        <v>30170.417341296132</v>
      </c>
      <c r="F331">
        <v>39.87598814891215</v>
      </c>
      <c r="G331">
        <v>1.6012159516768718</v>
      </c>
      <c r="H331">
        <v>5.7895863219001376</v>
      </c>
      <c r="I331">
        <v>108826.14303398492</v>
      </c>
      <c r="J331">
        <v>67</v>
      </c>
      <c r="K331">
        <v>89.882741139617167</v>
      </c>
      <c r="L331" t="str">
        <f t="shared" ref="L331:L394" si="9">IF(COUNTA(A331:K331)&lt;COLUMNS(A331:K331), "Missing Data", "OK")</f>
        <v>OK</v>
      </c>
    </row>
    <row r="332" spans="1:12">
      <c r="A332" s="1">
        <v>51635</v>
      </c>
      <c r="B332" t="s">
        <v>14</v>
      </c>
      <c r="C332">
        <v>88</v>
      </c>
      <c r="D332">
        <f>(automotive_demand_forecasting_dataset5[[#This Row],[Units_Sold]] -$C$4) / $C$5</f>
        <v>-0.33810836253151216</v>
      </c>
      <c r="E332">
        <v>26150.13384470679</v>
      </c>
      <c r="F332">
        <v>3.7505470849699227</v>
      </c>
      <c r="G332">
        <v>1.1696863742610102</v>
      </c>
      <c r="H332">
        <v>4.1187830996565911</v>
      </c>
      <c r="I332">
        <v>85336.876057800066</v>
      </c>
      <c r="J332">
        <v>101</v>
      </c>
      <c r="K332">
        <f>80.21517797</f>
        <v>80.215177969999999</v>
      </c>
      <c r="L332" t="str">
        <f t="shared" si="9"/>
        <v>OK</v>
      </c>
    </row>
    <row r="333" spans="1:12">
      <c r="A333" s="1">
        <v>51665</v>
      </c>
      <c r="B333" t="s">
        <v>13</v>
      </c>
      <c r="C333">
        <v>100</v>
      </c>
      <c r="D333">
        <f>(automotive_demand_forecasting_dataset5[[#This Row],[Units_Sold]] -$C$4) / $C$5</f>
        <v>-6.0345253631278226E-2</v>
      </c>
      <c r="E333">
        <v>31168.92955895374</v>
      </c>
      <c r="F333">
        <v>3.5947908082993716</v>
      </c>
      <c r="G333">
        <v>2.3108796092229666</v>
      </c>
      <c r="H333">
        <v>5.9635879813738724</v>
      </c>
      <c r="I333">
        <v>104579.9278491868</v>
      </c>
      <c r="J333">
        <v>88</v>
      </c>
      <c r="K333">
        <v>36.920539942541446</v>
      </c>
      <c r="L333" t="str">
        <f t="shared" si="9"/>
        <v>OK</v>
      </c>
    </row>
    <row r="334" spans="1:12">
      <c r="A334" s="1">
        <v>51695</v>
      </c>
      <c r="B334" t="s">
        <v>13</v>
      </c>
      <c r="C334">
        <v>108</v>
      </c>
      <c r="D334">
        <f>(automotive_demand_forecasting_dataset5[[#This Row],[Units_Sold]] -$C$4) / $C$5</f>
        <v>0.12483015230221108</v>
      </c>
      <c r="E334">
        <v>22220.521768981864</v>
      </c>
      <c r="F334">
        <v>4.0005230462835701</v>
      </c>
      <c r="G334">
        <v>3.4216501119244596</v>
      </c>
      <c r="H334">
        <v>5.2546345348166543</v>
      </c>
      <c r="I334">
        <v>62841.970972034258</v>
      </c>
      <c r="J334">
        <v>89</v>
      </c>
      <c r="K334">
        <v>78.88283203408524</v>
      </c>
      <c r="L334" t="str">
        <f t="shared" si="9"/>
        <v>OK</v>
      </c>
    </row>
    <row r="335" spans="1:12">
      <c r="A335" s="1">
        <v>51725</v>
      </c>
      <c r="B335" t="s">
        <v>10</v>
      </c>
      <c r="C335">
        <v>128.02105259999999</v>
      </c>
      <c r="D335">
        <f>(automotive_demand_forecasting_dataset5[[#This Row],[Units_Sold]] -$C$4) / $C$5</f>
        <v>0.58825597010480346</v>
      </c>
      <c r="E335">
        <v>31654.401161072285</v>
      </c>
      <c r="F335">
        <v>2.1483838535003801</v>
      </c>
      <c r="G335">
        <v>2.3724508796224657</v>
      </c>
      <c r="H335">
        <v>7.6065708379785875</v>
      </c>
      <c r="I335">
        <v>112064.95001142788</v>
      </c>
      <c r="J335">
        <v>92</v>
      </c>
      <c r="K335">
        <v>45.60128904699134</v>
      </c>
      <c r="L335" t="str">
        <f t="shared" si="9"/>
        <v>OK</v>
      </c>
    </row>
    <row r="336" spans="1:12">
      <c r="A336" s="1">
        <v>51755</v>
      </c>
      <c r="B336" t="s">
        <v>10</v>
      </c>
      <c r="C336">
        <v>86</v>
      </c>
      <c r="D336">
        <f>(automotive_demand_forecasting_dataset5[[#This Row],[Units_Sold]] -$C$4) / $C$5</f>
        <v>-0.3844022140148845</v>
      </c>
      <c r="E336">
        <v>34167.644808044621</v>
      </c>
      <c r="F336">
        <v>3.8389376597654539</v>
      </c>
      <c r="G336">
        <v>4.011154930247347</v>
      </c>
      <c r="H336">
        <v>7.3876236702578275</v>
      </c>
      <c r="I336">
        <v>105963.16931981052</v>
      </c>
      <c r="J336">
        <v>85</v>
      </c>
      <c r="K336">
        <v>604.83575392946921</v>
      </c>
      <c r="L336" t="str">
        <f t="shared" si="9"/>
        <v>OK</v>
      </c>
    </row>
    <row r="337" spans="1:12">
      <c r="A337" s="1">
        <v>51785</v>
      </c>
      <c r="B337" t="s">
        <v>13</v>
      </c>
      <c r="C337">
        <v>87</v>
      </c>
      <c r="D337">
        <f>(automotive_demand_forecasting_dataset5[[#This Row],[Units_Sold]] -$C$4) / $C$5</f>
        <v>-0.36125528827319836</v>
      </c>
      <c r="E337">
        <v>20031.321787142722</v>
      </c>
      <c r="F337">
        <v>4.5778345189999996</v>
      </c>
      <c r="G337">
        <v>1.0488243099484411</v>
      </c>
      <c r="H337">
        <v>4.9410333170582046</v>
      </c>
      <c r="I337">
        <v>112773.20337286204</v>
      </c>
      <c r="J337">
        <v>86</v>
      </c>
      <c r="K337">
        <v>33.000885223796502</v>
      </c>
      <c r="L337" t="str">
        <f t="shared" si="9"/>
        <v>OK</v>
      </c>
    </row>
    <row r="338" spans="1:12">
      <c r="A338" s="1">
        <v>51815</v>
      </c>
      <c r="B338" t="s">
        <v>12</v>
      </c>
      <c r="C338">
        <v>109</v>
      </c>
      <c r="D338">
        <f>(automotive_demand_forecasting_dataset5[[#This Row],[Units_Sold]] -$C$4) / $C$5</f>
        <v>0.14797707804389723</v>
      </c>
      <c r="E338">
        <v>31870.282849237861</v>
      </c>
      <c r="F338">
        <v>2.5846835515717714</v>
      </c>
      <c r="G338">
        <v>2.4879110521539456</v>
      </c>
      <c r="H338">
        <v>5.3189947461199658</v>
      </c>
      <c r="I338">
        <v>121162.366501743</v>
      </c>
      <c r="J338">
        <v>93</v>
      </c>
      <c r="K338">
        <v>96.779657716957544</v>
      </c>
      <c r="L338" t="str">
        <f t="shared" si="9"/>
        <v>OK</v>
      </c>
    </row>
    <row r="339" spans="1:12">
      <c r="A339" s="1">
        <v>51845</v>
      </c>
      <c r="B339" t="s">
        <v>13</v>
      </c>
      <c r="C339">
        <v>91</v>
      </c>
      <c r="D339">
        <f>(automotive_demand_forecasting_dataset5[[#This Row],[Units_Sold]] -$C$4) / $C$5</f>
        <v>-0.26866758530645368</v>
      </c>
      <c r="E339">
        <v>36138.344962366464</v>
      </c>
      <c r="F339">
        <v>3.7556012997624904</v>
      </c>
      <c r="G339">
        <v>1.2476065555868809</v>
      </c>
      <c r="H339">
        <v>5.4112629212699286</v>
      </c>
      <c r="I339">
        <v>107352.39680419421</v>
      </c>
      <c r="J339">
        <v>84</v>
      </c>
      <c r="K339">
        <v>88.126512001378984</v>
      </c>
      <c r="L339" t="str">
        <f t="shared" si="9"/>
        <v>OK</v>
      </c>
    </row>
    <row r="340" spans="1:12">
      <c r="A340" s="1">
        <v>51875</v>
      </c>
      <c r="B340" t="s">
        <v>11</v>
      </c>
      <c r="C340">
        <v>107</v>
      </c>
      <c r="D340">
        <f>(automotive_demand_forecasting_dataset5[[#This Row],[Units_Sold]] -$C$4) / $C$5</f>
        <v>0.10168322656052491</v>
      </c>
      <c r="E340">
        <v>23951.794906543972</v>
      </c>
      <c r="F340">
        <v>4.1868292725814786</v>
      </c>
      <c r="G340">
        <v>2.863631882624968</v>
      </c>
      <c r="H340">
        <v>49.58008628608453</v>
      </c>
      <c r="I340">
        <v>102961.78839596553</v>
      </c>
      <c r="J340">
        <v>89</v>
      </c>
      <c r="K340">
        <v>89.103169837200255</v>
      </c>
      <c r="L340" t="str">
        <f t="shared" si="9"/>
        <v>OK</v>
      </c>
    </row>
    <row r="341" spans="1:12">
      <c r="A341" s="1">
        <v>51905</v>
      </c>
      <c r="B341" t="s">
        <v>12</v>
      </c>
      <c r="C341">
        <v>106</v>
      </c>
      <c r="D341">
        <f>(automotive_demand_forecasting_dataset5[[#This Row],[Units_Sold]] -$C$4) / $C$5</f>
        <v>7.853630081883875E-2</v>
      </c>
      <c r="E341">
        <v>38362.861934188521</v>
      </c>
      <c r="F341">
        <v>3.4312757426861542</v>
      </c>
      <c r="G341">
        <v>3.3868873900973004</v>
      </c>
      <c r="H341">
        <v>5.7340299808337525</v>
      </c>
      <c r="I341">
        <v>82378.633266774152</v>
      </c>
      <c r="J341">
        <v>98</v>
      </c>
      <c r="K341">
        <v>52.541899885760415</v>
      </c>
      <c r="L341" t="str">
        <f t="shared" si="9"/>
        <v>OK</v>
      </c>
    </row>
    <row r="342" spans="1:12">
      <c r="A342" s="1">
        <v>51935</v>
      </c>
      <c r="B342" t="s">
        <v>11</v>
      </c>
      <c r="C342">
        <v>92</v>
      </c>
      <c r="D342">
        <f>(automotive_demand_forecasting_dataset5[[#This Row],[Units_Sold]] -$C$4) / $C$5</f>
        <v>-0.24552065956476751</v>
      </c>
      <c r="E342">
        <v>32095.095046830225</v>
      </c>
      <c r="F342">
        <v>3.9764372736014693</v>
      </c>
      <c r="G342">
        <v>2.079238206318947</v>
      </c>
      <c r="H342">
        <v>4.5900615173348918</v>
      </c>
      <c r="I342">
        <v>85755.584727018984</v>
      </c>
      <c r="J342">
        <v>85</v>
      </c>
      <c r="K342">
        <v>809.88897096573828</v>
      </c>
      <c r="L342" t="str">
        <f t="shared" si="9"/>
        <v>OK</v>
      </c>
    </row>
    <row r="343" spans="1:12">
      <c r="A343" s="1">
        <v>51965</v>
      </c>
      <c r="B343" t="s">
        <v>10</v>
      </c>
      <c r="C343">
        <v>90</v>
      </c>
      <c r="D343">
        <f>(automotive_demand_forecasting_dataset5[[#This Row],[Units_Sold]] -$C$4) / $C$5</f>
        <v>-0.29181451104813982</v>
      </c>
      <c r="E343">
        <v>26474.940721207957</v>
      </c>
      <c r="F343">
        <v>4.3061391289943227</v>
      </c>
      <c r="G343">
        <v>-0.10421385662713423</v>
      </c>
      <c r="H343">
        <v>4.1432615980749681</v>
      </c>
      <c r="I343">
        <v>1237346.9240354663</v>
      </c>
      <c r="J343">
        <v>70</v>
      </c>
      <c r="K343">
        <v>31.510092431182414</v>
      </c>
      <c r="L343" t="str">
        <f t="shared" si="9"/>
        <v>OK</v>
      </c>
    </row>
    <row r="344" spans="1:12">
      <c r="A344" s="1">
        <v>51995</v>
      </c>
      <c r="B344" t="s">
        <v>12</v>
      </c>
      <c r="C344">
        <v>102</v>
      </c>
      <c r="D344">
        <f>(automotive_demand_forecasting_dataset5[[#This Row],[Units_Sold]] -$C$4) / $C$5</f>
        <v>-1.4051402147905904E-2</v>
      </c>
      <c r="E344">
        <v>29721.15461171147</v>
      </c>
      <c r="F344">
        <v>4.1574572267920233</v>
      </c>
      <c r="G344">
        <v>2.6989481467964946</v>
      </c>
      <c r="H344">
        <v>6.2472534686803218</v>
      </c>
      <c r="I344">
        <v>1287267.0811411957</v>
      </c>
      <c r="J344">
        <v>106</v>
      </c>
      <c r="K344">
        <v>20.689520207342422</v>
      </c>
      <c r="L344" t="str">
        <f t="shared" si="9"/>
        <v>OK</v>
      </c>
    </row>
    <row r="345" spans="1:12">
      <c r="A345" s="1">
        <v>52025</v>
      </c>
      <c r="B345" t="s">
        <v>11</v>
      </c>
      <c r="C345">
        <v>99</v>
      </c>
      <c r="D345">
        <f>(automotive_demand_forecasting_dataset5[[#This Row],[Units_Sold]] -$C$4) / $C$5</f>
        <v>-8.3492179372964395E-2</v>
      </c>
      <c r="E345">
        <v>32791.634562608611</v>
      </c>
      <c r="F345">
        <v>4.3199822646856969</v>
      </c>
      <c r="G345">
        <v>2.9367385517335096</v>
      </c>
      <c r="H345">
        <v>6.2554355010661729</v>
      </c>
      <c r="I345">
        <v>95237.791273758921</v>
      </c>
      <c r="J345">
        <v>91</v>
      </c>
      <c r="K345">
        <v>21.597834606242252</v>
      </c>
      <c r="L345" t="str">
        <f t="shared" si="9"/>
        <v>OK</v>
      </c>
    </row>
    <row r="346" spans="1:12">
      <c r="A346" s="1">
        <v>52055</v>
      </c>
      <c r="B346" t="s">
        <v>11</v>
      </c>
      <c r="C346">
        <v>88</v>
      </c>
      <c r="D346">
        <f>(automotive_demand_forecasting_dataset5[[#This Row],[Units_Sold]] -$C$4) / $C$5</f>
        <v>-0.33810836253151216</v>
      </c>
      <c r="E346">
        <v>38106.295579999998</v>
      </c>
      <c r="F346">
        <v>3.8710637455359462</v>
      </c>
      <c r="G346">
        <v>2.9042947549616978</v>
      </c>
      <c r="H346">
        <v>4.5348210884080089</v>
      </c>
      <c r="I346">
        <v>100920.05494506548</v>
      </c>
      <c r="J346">
        <v>86</v>
      </c>
      <c r="K346">
        <v>66.928138992364836</v>
      </c>
      <c r="L346" t="str">
        <f t="shared" si="9"/>
        <v>OK</v>
      </c>
    </row>
    <row r="347" spans="1:12">
      <c r="A347" s="1">
        <v>52085</v>
      </c>
      <c r="B347" t="s">
        <v>12</v>
      </c>
      <c r="C347">
        <v>100</v>
      </c>
      <c r="D347">
        <f>(automotive_demand_forecasting_dataset5[[#This Row],[Units_Sold]] -$C$4) / $C$5</f>
        <v>-6.0345253631278226E-2</v>
      </c>
      <c r="E347">
        <v>32693.779962231845</v>
      </c>
      <c r="F347">
        <v>3.5377168194507962</v>
      </c>
      <c r="G347">
        <v>3.7357821918221541</v>
      </c>
      <c r="H347">
        <v>6.5744265169151195</v>
      </c>
      <c r="I347">
        <v>81907.712500124675</v>
      </c>
      <c r="J347">
        <v>92</v>
      </c>
      <c r="K347">
        <v>56.431592419835262</v>
      </c>
      <c r="L347" t="str">
        <f t="shared" si="9"/>
        <v>OK</v>
      </c>
    </row>
    <row r="348" spans="1:12">
      <c r="A348" s="1">
        <v>52115</v>
      </c>
      <c r="B348" t="s">
        <v>14</v>
      </c>
      <c r="C348">
        <v>128.02105259999999</v>
      </c>
      <c r="D348">
        <f>(automotive_demand_forecasting_dataset5[[#This Row],[Units_Sold]] -$C$4) / $C$5</f>
        <v>0.58825597010480346</v>
      </c>
      <c r="E348">
        <v>25396.632034603168</v>
      </c>
      <c r="F348">
        <v>2.699017094051416</v>
      </c>
      <c r="G348">
        <v>1.4289463203509511</v>
      </c>
      <c r="H348">
        <v>4.7421067250016025</v>
      </c>
      <c r="I348">
        <v>123455.13690534889</v>
      </c>
      <c r="J348">
        <v>75</v>
      </c>
      <c r="K348">
        <v>61.441227912681583</v>
      </c>
      <c r="L348" t="str">
        <f t="shared" si="9"/>
        <v>OK</v>
      </c>
    </row>
    <row r="349" spans="1:12">
      <c r="A349" s="1">
        <v>52145</v>
      </c>
      <c r="B349" t="s">
        <v>13</v>
      </c>
      <c r="C349">
        <v>106</v>
      </c>
      <c r="D349">
        <f>(automotive_demand_forecasting_dataset5[[#This Row],[Units_Sold]] -$C$4) / $C$5</f>
        <v>7.853630081883875E-2</v>
      </c>
      <c r="E349">
        <v>30846.80412018039</v>
      </c>
      <c r="F349">
        <v>3.3769687559350259</v>
      </c>
      <c r="G349">
        <v>3.1802161054504494</v>
      </c>
      <c r="H349">
        <v>5.803798285645577</v>
      </c>
      <c r="I349">
        <v>113308.33647383557</v>
      </c>
      <c r="J349">
        <v>116</v>
      </c>
      <c r="K349">
        <f>80.21517797</f>
        <v>80.215177969999999</v>
      </c>
      <c r="L349" t="str">
        <f t="shared" si="9"/>
        <v>OK</v>
      </c>
    </row>
    <row r="350" spans="1:12">
      <c r="A350" s="1">
        <v>52175</v>
      </c>
      <c r="B350" t="s">
        <v>11</v>
      </c>
      <c r="C350">
        <v>128.02105259999999</v>
      </c>
      <c r="D350">
        <f>(automotive_demand_forecasting_dataset5[[#This Row],[Units_Sold]] -$C$4) / $C$5</f>
        <v>0.58825597010480346</v>
      </c>
      <c r="E350">
        <v>22931.427515475101</v>
      </c>
      <c r="F350">
        <v>3.0783767023419042</v>
      </c>
      <c r="G350">
        <v>3.6925075124779747</v>
      </c>
      <c r="H350">
        <v>64.844128151349466</v>
      </c>
      <c r="I350">
        <v>138824.34872927499</v>
      </c>
      <c r="J350">
        <v>93</v>
      </c>
      <c r="K350">
        <v>53.814929572594053</v>
      </c>
      <c r="L350" t="str">
        <f t="shared" si="9"/>
        <v>OK</v>
      </c>
    </row>
    <row r="351" spans="1:12">
      <c r="A351" s="1">
        <v>52205</v>
      </c>
      <c r="B351" t="s">
        <v>13</v>
      </c>
      <c r="C351">
        <v>98</v>
      </c>
      <c r="D351">
        <f>(automotive_demand_forecasting_dataset5[[#This Row],[Units_Sold]] -$C$4) / $C$5</f>
        <v>-0.10663910511465055</v>
      </c>
      <c r="E351">
        <v>29443.8696932565</v>
      </c>
      <c r="F351">
        <v>4.5854713587489071</v>
      </c>
      <c r="G351">
        <v>0.72141241599348316</v>
      </c>
      <c r="H351">
        <v>5.459664922355544</v>
      </c>
      <c r="I351">
        <v>82433.538456405222</v>
      </c>
      <c r="J351">
        <v>92</v>
      </c>
      <c r="K351">
        <v>77.445452896068872</v>
      </c>
      <c r="L351" t="str">
        <f t="shared" si="9"/>
        <v>OK</v>
      </c>
    </row>
    <row r="352" spans="1:12">
      <c r="A352" s="1">
        <v>52235</v>
      </c>
      <c r="B352" t="s">
        <v>13</v>
      </c>
      <c r="C352">
        <v>119</v>
      </c>
      <c r="D352">
        <f>(automotive_demand_forecasting_dataset5[[#This Row],[Units_Sold]] -$C$4) / $C$5</f>
        <v>0.37944633546075884</v>
      </c>
      <c r="E352">
        <v>254804.61792676052</v>
      </c>
      <c r="F352">
        <v>3.4120570937838317</v>
      </c>
      <c r="G352">
        <v>2.8196518259189771</v>
      </c>
      <c r="H352">
        <v>6.0456890945693615</v>
      </c>
      <c r="I352">
        <v>92439.84201963566</v>
      </c>
      <c r="J352">
        <v>92</v>
      </c>
      <c r="K352">
        <v>55.41549615739487</v>
      </c>
      <c r="L352" t="str">
        <f t="shared" si="9"/>
        <v>OK</v>
      </c>
    </row>
    <row r="353" spans="1:12">
      <c r="A353" s="1">
        <v>52265</v>
      </c>
      <c r="B353" t="s">
        <v>10</v>
      </c>
      <c r="C353">
        <v>99</v>
      </c>
      <c r="D353">
        <f>(automotive_demand_forecasting_dataset5[[#This Row],[Units_Sold]] -$C$4) / $C$5</f>
        <v>-8.3492179372964395E-2</v>
      </c>
      <c r="E353">
        <v>26322.350287051166</v>
      </c>
      <c r="F353">
        <v>3.5616024033922429</v>
      </c>
      <c r="G353">
        <v>1.9958201689923285</v>
      </c>
      <c r="H353">
        <f>6.97388673</f>
        <v>6.9738867300000003</v>
      </c>
      <c r="I353">
        <v>104628.91845051144</v>
      </c>
      <c r="J353">
        <f>111.9136842</f>
        <v>111.91368420000001</v>
      </c>
      <c r="K353">
        <v>78.577536504977786</v>
      </c>
      <c r="L353" t="str">
        <f t="shared" si="9"/>
        <v>OK</v>
      </c>
    </row>
    <row r="354" spans="1:12">
      <c r="A354" s="1">
        <v>52295</v>
      </c>
      <c r="B354" t="s">
        <v>13</v>
      </c>
      <c r="C354">
        <v>87</v>
      </c>
      <c r="D354">
        <f>(automotive_demand_forecasting_dataset5[[#This Row],[Units_Sold]] -$C$4) / $C$5</f>
        <v>-0.36125528827319836</v>
      </c>
      <c r="E354">
        <v>36180.465876052185</v>
      </c>
      <c r="F354">
        <v>3.7757426880202338</v>
      </c>
      <c r="G354">
        <v>2.4184773268983539</v>
      </c>
      <c r="H354">
        <v>5.2642400998862833</v>
      </c>
      <c r="I354">
        <v>112929.79075451542</v>
      </c>
      <c r="J354">
        <v>94</v>
      </c>
      <c r="K354">
        <v>38.641517151746783</v>
      </c>
      <c r="L354" t="str">
        <f t="shared" si="9"/>
        <v>OK</v>
      </c>
    </row>
    <row r="355" spans="1:12">
      <c r="A355" s="1">
        <v>52325</v>
      </c>
      <c r="B355" t="s">
        <v>11</v>
      </c>
      <c r="C355">
        <v>128.02105259999999</v>
      </c>
      <c r="D355">
        <f>(automotive_demand_forecasting_dataset5[[#This Row],[Units_Sold]] -$C$4) / $C$5</f>
        <v>0.58825597010480346</v>
      </c>
      <c r="E355">
        <v>35456.550602971343</v>
      </c>
      <c r="F355">
        <v>3.5218012231862268</v>
      </c>
      <c r="G355">
        <v>2.8476764835383364</v>
      </c>
      <c r="H355">
        <v>5.2529686829435915</v>
      </c>
      <c r="I355">
        <v>95686.647249047353</v>
      </c>
      <c r="J355">
        <v>93</v>
      </c>
      <c r="K355">
        <v>85.051360358538034</v>
      </c>
      <c r="L355" t="str">
        <f t="shared" si="9"/>
        <v>OK</v>
      </c>
    </row>
    <row r="356" spans="1:12">
      <c r="A356" s="1">
        <v>52355</v>
      </c>
      <c r="B356" t="s">
        <v>10</v>
      </c>
      <c r="C356">
        <v>103</v>
      </c>
      <c r="D356">
        <f>(automotive_demand_forecasting_dataset5[[#This Row],[Units_Sold]] -$C$4) / $C$5</f>
        <v>9.0955235937802571E-3</v>
      </c>
      <c r="E356">
        <v>33045.690604535885</v>
      </c>
      <c r="F356">
        <v>4.3475255202153766</v>
      </c>
      <c r="G356">
        <v>2.0127714358864477</v>
      </c>
      <c r="H356">
        <v>4.6041059841517136</v>
      </c>
      <c r="I356">
        <v>82540.778190925994</v>
      </c>
      <c r="J356">
        <v>84</v>
      </c>
      <c r="K356">
        <v>67.074499236276182</v>
      </c>
      <c r="L356" t="str">
        <f t="shared" si="9"/>
        <v>OK</v>
      </c>
    </row>
    <row r="357" spans="1:12">
      <c r="A357" s="1">
        <v>52385</v>
      </c>
      <c r="B357" t="s">
        <v>12</v>
      </c>
      <c r="C357">
        <v>79</v>
      </c>
      <c r="D357">
        <f>(automotive_demand_forecasting_dataset5[[#This Row],[Units_Sold]] -$C$4) / $C$5</f>
        <v>-0.54643069420668766</v>
      </c>
      <c r="E357">
        <v>24538.436176637104</v>
      </c>
      <c r="F357">
        <v>3.1886753191327739</v>
      </c>
      <c r="G357">
        <v>1.8242919208383883</v>
      </c>
      <c r="H357">
        <v>5.2878710042610617</v>
      </c>
      <c r="I357">
        <v>117628.15057847142</v>
      </c>
      <c r="J357">
        <v>1050</v>
      </c>
      <c r="K357">
        <v>36.861047954392497</v>
      </c>
      <c r="L357" t="str">
        <f t="shared" si="9"/>
        <v>OK</v>
      </c>
    </row>
    <row r="358" spans="1:12">
      <c r="A358" s="1">
        <v>52415</v>
      </c>
      <c r="B358" t="s">
        <v>11</v>
      </c>
      <c r="C358">
        <v>110</v>
      </c>
      <c r="D358">
        <f>(automotive_demand_forecasting_dataset5[[#This Row],[Units_Sold]] -$C$4) / $C$5</f>
        <v>0.1711240037855834</v>
      </c>
      <c r="E358">
        <v>28417.957751525992</v>
      </c>
      <c r="F358">
        <v>3.5973037276186215</v>
      </c>
      <c r="G358">
        <v>2.5341524174880248</v>
      </c>
      <c r="H358">
        <f>6.97388673</f>
        <v>6.9738867300000003</v>
      </c>
      <c r="I358">
        <v>114422.70725091163</v>
      </c>
      <c r="J358">
        <v>95</v>
      </c>
      <c r="K358">
        <v>38.937638068306633</v>
      </c>
      <c r="L358" t="str">
        <f t="shared" si="9"/>
        <v>OK</v>
      </c>
    </row>
    <row r="359" spans="1:12">
      <c r="A359" s="1">
        <v>52445</v>
      </c>
      <c r="B359" t="s">
        <v>10</v>
      </c>
      <c r="C359">
        <v>95</v>
      </c>
      <c r="D359">
        <f>(automotive_demand_forecasting_dataset5[[#This Row],[Units_Sold]] -$C$4) / $C$5</f>
        <v>-0.17607988233970903</v>
      </c>
      <c r="E359">
        <v>36065.488499895917</v>
      </c>
      <c r="F359">
        <v>3.1287647071509759</v>
      </c>
      <c r="G359">
        <v>1.4127540611371974</v>
      </c>
      <c r="H359">
        <v>4.9106155034294741</v>
      </c>
      <c r="I359">
        <v>81674.517988725507</v>
      </c>
      <c r="J359">
        <v>80</v>
      </c>
      <c r="K359">
        <v>70.242437165562961</v>
      </c>
      <c r="L359" t="str">
        <f t="shared" si="9"/>
        <v>OK</v>
      </c>
    </row>
    <row r="360" spans="1:12">
      <c r="A360" s="1">
        <v>52475</v>
      </c>
      <c r="B360" t="s">
        <v>10</v>
      </c>
      <c r="C360">
        <v>101</v>
      </c>
      <c r="D360">
        <f>(automotive_demand_forecasting_dataset5[[#This Row],[Units_Sold]] -$C$4) / $C$5</f>
        <v>-3.7198327889592063E-2</v>
      </c>
      <c r="E360">
        <v>30708.584568199523</v>
      </c>
      <c r="F360">
        <v>2.8399887443896472</v>
      </c>
      <c r="G360">
        <v>1.4141748711148145</v>
      </c>
      <c r="H360">
        <v>5.1581494079563948</v>
      </c>
      <c r="I360">
        <v>127108.85602210992</v>
      </c>
      <c r="J360">
        <v>89</v>
      </c>
      <c r="K360">
        <v>86.395167456995466</v>
      </c>
      <c r="L360" t="str">
        <f t="shared" si="9"/>
        <v>OK</v>
      </c>
    </row>
    <row r="361" spans="1:12">
      <c r="A361" s="1">
        <v>52505</v>
      </c>
      <c r="B361" t="s">
        <v>13</v>
      </c>
      <c r="C361">
        <v>95</v>
      </c>
      <c r="D361">
        <f>(automotive_demand_forecasting_dataset5[[#This Row],[Units_Sold]] -$C$4) / $C$5</f>
        <v>-0.17607988233970903</v>
      </c>
      <c r="E361">
        <v>41596.64769990847</v>
      </c>
      <c r="F361">
        <v>3.1941154545473571</v>
      </c>
      <c r="G361">
        <v>3.1793732829565036</v>
      </c>
      <c r="H361">
        <v>5.1925842970055438</v>
      </c>
      <c r="I361">
        <v>123403.97418393208</v>
      </c>
      <c r="J361">
        <v>93</v>
      </c>
      <c r="K361">
        <f>80.21517797</f>
        <v>80.215177969999999</v>
      </c>
      <c r="L361" t="str">
        <f t="shared" si="9"/>
        <v>OK</v>
      </c>
    </row>
    <row r="362" spans="1:12">
      <c r="A362" s="1">
        <v>52535</v>
      </c>
      <c r="B362" t="s">
        <v>12</v>
      </c>
      <c r="C362">
        <v>107</v>
      </c>
      <c r="D362">
        <f>(automotive_demand_forecasting_dataset5[[#This Row],[Units_Sold]] -$C$4) / $C$5</f>
        <v>0.10168322656052491</v>
      </c>
      <c r="E362">
        <v>31966.589196971858</v>
      </c>
      <c r="F362">
        <v>3.4814816014757941</v>
      </c>
      <c r="G362">
        <v>1.3512059648413439</v>
      </c>
      <c r="H362">
        <v>5.2102030649550652</v>
      </c>
      <c r="I362">
        <v>102685.92994495586</v>
      </c>
      <c r="J362">
        <v>85</v>
      </c>
      <c r="K362">
        <v>40.664034330207379</v>
      </c>
      <c r="L362" t="str">
        <f t="shared" si="9"/>
        <v>OK</v>
      </c>
    </row>
    <row r="363" spans="1:12">
      <c r="A363" s="1">
        <v>52565</v>
      </c>
      <c r="B363" t="s">
        <v>11</v>
      </c>
      <c r="C363">
        <v>91</v>
      </c>
      <c r="D363">
        <f>(automotive_demand_forecasting_dataset5[[#This Row],[Units_Sold]] -$C$4) / $C$5</f>
        <v>-0.26866758530645368</v>
      </c>
      <c r="E363">
        <v>38106.295579999998</v>
      </c>
      <c r="F363">
        <v>3.2853488877413701</v>
      </c>
      <c r="G363">
        <v>3.1663125009092119</v>
      </c>
      <c r="H363">
        <v>5.4258829601678453</v>
      </c>
      <c r="I363">
        <v>101591.95724752072</v>
      </c>
      <c r="J363">
        <v>81</v>
      </c>
      <c r="K363">
        <v>89.360928552848037</v>
      </c>
      <c r="L363" t="str">
        <f t="shared" si="9"/>
        <v>OK</v>
      </c>
    </row>
    <row r="364" spans="1:12">
      <c r="A364" s="1">
        <v>52595</v>
      </c>
      <c r="B364" t="s">
        <v>11</v>
      </c>
      <c r="C364">
        <v>87</v>
      </c>
      <c r="D364">
        <f>(automotive_demand_forecasting_dataset5[[#This Row],[Units_Sold]] -$C$4) / $C$5</f>
        <v>-0.36125528827319836</v>
      </c>
      <c r="E364">
        <v>28454.417678987495</v>
      </c>
      <c r="F364">
        <v>3.153789510063072</v>
      </c>
      <c r="G364">
        <v>2.9625912928539511</v>
      </c>
      <c r="H364">
        <v>6.075329821703277</v>
      </c>
      <c r="I364">
        <v>111081.15542231814</v>
      </c>
      <c r="J364">
        <v>81</v>
      </c>
      <c r="K364">
        <f>80.21517797</f>
        <v>80.215177969999999</v>
      </c>
      <c r="L364" t="str">
        <f t="shared" si="9"/>
        <v>OK</v>
      </c>
    </row>
    <row r="365" spans="1:12">
      <c r="A365" s="1">
        <v>52625</v>
      </c>
      <c r="B365" t="s">
        <v>13</v>
      </c>
      <c r="C365">
        <v>100</v>
      </c>
      <c r="D365">
        <f>(automotive_demand_forecasting_dataset5[[#This Row],[Units_Sold]] -$C$4) / $C$5</f>
        <v>-6.0345253631278226E-2</v>
      </c>
      <c r="E365">
        <v>30667.704523911412</v>
      </c>
      <c r="F365">
        <v>2.7968412681640831</v>
      </c>
      <c r="G365">
        <v>0.77419327120940329</v>
      </c>
      <c r="H365">
        <v>6.5494204889590275</v>
      </c>
      <c r="I365">
        <v>82765.938594874839</v>
      </c>
      <c r="J365">
        <v>88</v>
      </c>
      <c r="K365">
        <v>55.846838982646119</v>
      </c>
      <c r="L365" t="str">
        <f t="shared" si="9"/>
        <v>OK</v>
      </c>
    </row>
    <row r="366" spans="1:12">
      <c r="A366" s="1">
        <v>52655</v>
      </c>
      <c r="B366" t="s">
        <v>12</v>
      </c>
      <c r="C366">
        <v>117</v>
      </c>
      <c r="D366">
        <f>(automotive_demand_forecasting_dataset5[[#This Row],[Units_Sold]] -$C$4) / $C$5</f>
        <v>0.3331524839773865</v>
      </c>
      <c r="E366">
        <v>29237.650818097281</v>
      </c>
      <c r="F366">
        <v>3.4584472136856528</v>
      </c>
      <c r="G366">
        <f t="shared" ref="G366:G367" si="10">3.224108373</f>
        <v>3.224108373</v>
      </c>
      <c r="H366">
        <v>4.7202817277820799</v>
      </c>
      <c r="I366">
        <v>100600.62958328164</v>
      </c>
      <c r="J366">
        <v>88</v>
      </c>
      <c r="K366">
        <v>59.032015622344147</v>
      </c>
      <c r="L366" t="str">
        <f t="shared" si="9"/>
        <v>OK</v>
      </c>
    </row>
    <row r="367" spans="1:12">
      <c r="A367" s="1">
        <v>52685</v>
      </c>
      <c r="B367" t="s">
        <v>11</v>
      </c>
      <c r="C367">
        <v>102</v>
      </c>
      <c r="D367">
        <f>(automotive_demand_forecasting_dataset5[[#This Row],[Units_Sold]] -$C$4) / $C$5</f>
        <v>-1.4051402147905904E-2</v>
      </c>
      <c r="E367">
        <v>38106.295579999998</v>
      </c>
      <c r="F367">
        <v>2.7476398129844988</v>
      </c>
      <c r="G367">
        <f t="shared" si="10"/>
        <v>3.224108373</v>
      </c>
      <c r="H367">
        <v>4.0561589735330266</v>
      </c>
      <c r="I367">
        <v>56952.329107816389</v>
      </c>
      <c r="J367">
        <v>103</v>
      </c>
      <c r="K367">
        <f>80.21517797</f>
        <v>80.215177969999999</v>
      </c>
      <c r="L367" t="str">
        <f t="shared" si="9"/>
        <v>OK</v>
      </c>
    </row>
    <row r="368" spans="1:12">
      <c r="A368" s="1">
        <v>52715</v>
      </c>
      <c r="B368" t="s">
        <v>12</v>
      </c>
      <c r="C368">
        <v>88</v>
      </c>
      <c r="D368">
        <f>(automotive_demand_forecasting_dataset5[[#This Row],[Units_Sold]] -$C$4) / $C$5</f>
        <v>-0.33810836253151216</v>
      </c>
      <c r="E368">
        <v>34783.511583972919</v>
      </c>
      <c r="F368">
        <v>3.8800279818448011</v>
      </c>
      <c r="G368">
        <v>1.5188344688603184</v>
      </c>
      <c r="H368">
        <v>4.2495467053082763</v>
      </c>
      <c r="I368">
        <v>117529.11291005871</v>
      </c>
      <c r="J368">
        <v>91</v>
      </c>
      <c r="K368">
        <v>70.144210405187522</v>
      </c>
      <c r="L368" t="str">
        <f t="shared" si="9"/>
        <v>OK</v>
      </c>
    </row>
    <row r="369" spans="1:12">
      <c r="A369" s="1">
        <v>52745</v>
      </c>
      <c r="B369" t="s">
        <v>11</v>
      </c>
      <c r="C369">
        <v>100</v>
      </c>
      <c r="D369">
        <f>(automotive_demand_forecasting_dataset5[[#This Row],[Units_Sold]] -$C$4) / $C$5</f>
        <v>-6.0345253631278226E-2</v>
      </c>
      <c r="E369">
        <v>26070.052697460254</v>
      </c>
      <c r="F369">
        <v>3.5412198764672516</v>
      </c>
      <c r="G369">
        <v>2.0355957376906124</v>
      </c>
      <c r="H369">
        <v>4.9153564945660877</v>
      </c>
      <c r="I369">
        <v>68770.135551162821</v>
      </c>
      <c r="J369">
        <f>111.9136842</f>
        <v>111.91368420000001</v>
      </c>
      <c r="K369">
        <v>48.699400843431093</v>
      </c>
      <c r="L369" t="str">
        <f t="shared" si="9"/>
        <v>OK</v>
      </c>
    </row>
    <row r="370" spans="1:12">
      <c r="A370" s="1">
        <v>52775</v>
      </c>
      <c r="B370" t="s">
        <v>13</v>
      </c>
      <c r="C370">
        <v>81</v>
      </c>
      <c r="D370">
        <f>(automotive_demand_forecasting_dataset5[[#This Row],[Units_Sold]] -$C$4) / $C$5</f>
        <v>-0.50013684272331527</v>
      </c>
      <c r="E370">
        <v>23343.83523221111</v>
      </c>
      <c r="F370">
        <v>2.7712242502675348</v>
      </c>
      <c r="G370">
        <v>2.9620608932518966</v>
      </c>
      <c r="H370">
        <v>5.0776944186201893</v>
      </c>
      <c r="I370">
        <v>130068.39656857998</v>
      </c>
      <c r="J370">
        <v>95</v>
      </c>
      <c r="K370">
        <v>99.651614133947945</v>
      </c>
      <c r="L370" t="str">
        <f t="shared" si="9"/>
        <v>OK</v>
      </c>
    </row>
    <row r="371" spans="1:12">
      <c r="A371" s="1">
        <v>52805</v>
      </c>
      <c r="B371" t="s">
        <v>14</v>
      </c>
      <c r="C371">
        <v>91</v>
      </c>
      <c r="D371">
        <f>(automotive_demand_forecasting_dataset5[[#This Row],[Units_Sold]] -$C$4) / $C$5</f>
        <v>-0.26866758530645368</v>
      </c>
      <c r="E371">
        <v>20818.973134483516</v>
      </c>
      <c r="F371">
        <v>3.3453954614750683</v>
      </c>
      <c r="G371">
        <v>3.2833905092825955</v>
      </c>
      <c r="H371">
        <v>4.5760047205630512</v>
      </c>
      <c r="I371">
        <v>93397.598120670998</v>
      </c>
      <c r="J371">
        <v>109</v>
      </c>
      <c r="K371">
        <v>58.414681220951024</v>
      </c>
      <c r="L371" t="str">
        <f t="shared" si="9"/>
        <v>OK</v>
      </c>
    </row>
    <row r="372" spans="1:12">
      <c r="A372" s="1">
        <v>52835</v>
      </c>
      <c r="B372" t="s">
        <v>11</v>
      </c>
      <c r="C372">
        <v>90</v>
      </c>
      <c r="D372">
        <f>(automotive_demand_forecasting_dataset5[[#This Row],[Units_Sold]] -$C$4) / $C$5</f>
        <v>-0.29181451104813982</v>
      </c>
      <c r="E372">
        <v>32539.956634562717</v>
      </c>
      <c r="F372">
        <v>3.1239217972047086</v>
      </c>
      <c r="G372">
        <f>3.224108373</f>
        <v>3.224108373</v>
      </c>
      <c r="H372">
        <v>3.9446600029001266</v>
      </c>
      <c r="I372">
        <v>95766.66036137646</v>
      </c>
      <c r="J372">
        <v>85</v>
      </c>
      <c r="K372">
        <v>58.870848495169056</v>
      </c>
      <c r="L372" t="str">
        <f t="shared" si="9"/>
        <v>OK</v>
      </c>
    </row>
    <row r="373" spans="1:12">
      <c r="A373" s="1">
        <v>52865</v>
      </c>
      <c r="B373" t="s">
        <v>10</v>
      </c>
      <c r="C373">
        <v>102</v>
      </c>
      <c r="D373">
        <f>(automotive_demand_forecasting_dataset5[[#This Row],[Units_Sold]] -$C$4) / $C$5</f>
        <v>-1.4051402147905904E-2</v>
      </c>
      <c r="E373">
        <v>24483.166969130631</v>
      </c>
      <c r="F373">
        <v>3.6595872552095901</v>
      </c>
      <c r="G373">
        <v>1.9024898053083583</v>
      </c>
      <c r="H373">
        <v>4.9526550070309741</v>
      </c>
      <c r="I373">
        <v>87445.321878309886</v>
      </c>
      <c r="J373">
        <v>81</v>
      </c>
      <c r="K373">
        <v>65.268142992853754</v>
      </c>
      <c r="L373" t="str">
        <f t="shared" si="9"/>
        <v>OK</v>
      </c>
    </row>
    <row r="374" spans="1:12">
      <c r="A374" s="1">
        <v>52895</v>
      </c>
      <c r="B374" t="s">
        <v>10</v>
      </c>
      <c r="C374">
        <v>109</v>
      </c>
      <c r="D374">
        <f>(automotive_demand_forecasting_dataset5[[#This Row],[Units_Sold]] -$C$4) / $C$5</f>
        <v>0.14797707804389723</v>
      </c>
      <c r="E374">
        <v>19235.547035237585</v>
      </c>
      <c r="F374">
        <v>4.1702252230115722</v>
      </c>
      <c r="G374">
        <v>3.9223698616985079</v>
      </c>
      <c r="H374">
        <v>5.7177119441367656</v>
      </c>
      <c r="I374">
        <v>94239.222521558477</v>
      </c>
      <c r="J374">
        <v>97</v>
      </c>
      <c r="K374">
        <v>93.340480249499734</v>
      </c>
      <c r="L374" t="str">
        <f t="shared" si="9"/>
        <v>OK</v>
      </c>
    </row>
    <row r="375" spans="1:12">
      <c r="A375" s="1">
        <v>52925</v>
      </c>
      <c r="B375" t="s">
        <v>14</v>
      </c>
      <c r="C375">
        <v>101</v>
      </c>
      <c r="D375">
        <f>(automotive_demand_forecasting_dataset5[[#This Row],[Units_Sold]] -$C$4) / $C$5</f>
        <v>-3.7198327889592063E-2</v>
      </c>
      <c r="E375">
        <v>31942.893022654822</v>
      </c>
      <c r="F375">
        <v>2.5624137651771277</v>
      </c>
      <c r="G375">
        <v>4.2388996637975787</v>
      </c>
      <c r="H375">
        <v>6.2140353590026773</v>
      </c>
      <c r="I375">
        <v>128370.62690296074</v>
      </c>
      <c r="J375">
        <v>87</v>
      </c>
      <c r="K375">
        <v>84.065447988780022</v>
      </c>
      <c r="L375" t="str">
        <f t="shared" si="9"/>
        <v>OK</v>
      </c>
    </row>
    <row r="376" spans="1:12">
      <c r="A376" s="1">
        <v>52955</v>
      </c>
      <c r="B376" t="s">
        <v>11</v>
      </c>
      <c r="C376">
        <v>97</v>
      </c>
      <c r="D376">
        <f>(automotive_demand_forecasting_dataset5[[#This Row],[Units_Sold]] -$C$4) / $C$5</f>
        <v>-0.12978603085633672</v>
      </c>
      <c r="E376">
        <v>42464.997587163954</v>
      </c>
      <c r="F376">
        <v>35.575130395737084</v>
      </c>
      <c r="G376">
        <v>3.4788580507817954</v>
      </c>
      <c r="H376">
        <v>4.8310923362700144</v>
      </c>
      <c r="I376">
        <v>50243.826869298413</v>
      </c>
      <c r="J376">
        <v>94</v>
      </c>
      <c r="K376">
        <v>56.090405583827312</v>
      </c>
      <c r="L376" t="str">
        <f t="shared" si="9"/>
        <v>OK</v>
      </c>
    </row>
    <row r="377" spans="1:12">
      <c r="A377" s="1">
        <v>52985</v>
      </c>
      <c r="B377" t="s">
        <v>10</v>
      </c>
      <c r="C377">
        <v>88</v>
      </c>
      <c r="D377">
        <f>(automotive_demand_forecasting_dataset5[[#This Row],[Units_Sold]] -$C$4) / $C$5</f>
        <v>-0.33810836253151216</v>
      </c>
      <c r="E377">
        <v>29969.645442300534</v>
      </c>
      <c r="F377">
        <v>3.41993360221668</v>
      </c>
      <c r="G377">
        <v>2.5853181425650242</v>
      </c>
      <c r="H377">
        <v>5.004402613427879</v>
      </c>
      <c r="I377">
        <v>125539.30772176376</v>
      </c>
      <c r="J377">
        <v>990</v>
      </c>
      <c r="K377">
        <v>77.495941277823675</v>
      </c>
      <c r="L377" t="str">
        <f t="shared" si="9"/>
        <v>OK</v>
      </c>
    </row>
    <row r="378" spans="1:12">
      <c r="A378" s="1">
        <v>53015</v>
      </c>
      <c r="B378" t="s">
        <v>10</v>
      </c>
      <c r="C378">
        <v>100</v>
      </c>
      <c r="D378">
        <f>(automotive_demand_forecasting_dataset5[[#This Row],[Units_Sold]] -$C$4) / $C$5</f>
        <v>-6.0345253631278226E-2</v>
      </c>
      <c r="E378">
        <v>34192.453872258207</v>
      </c>
      <c r="F378">
        <v>3.8356700382252327</v>
      </c>
      <c r="G378">
        <v>1.6917342783590736</v>
      </c>
      <c r="H378">
        <v>4.3879620293832273</v>
      </c>
      <c r="I378">
        <v>106760.46962203416</v>
      </c>
      <c r="J378">
        <f>111.9136842</f>
        <v>111.91368420000001</v>
      </c>
      <c r="K378">
        <v>66.898839902460935</v>
      </c>
      <c r="L378" t="str">
        <f t="shared" si="9"/>
        <v>OK</v>
      </c>
    </row>
    <row r="379" spans="1:12">
      <c r="A379" s="1">
        <v>53045</v>
      </c>
      <c r="B379" t="s">
        <v>11</v>
      </c>
      <c r="C379">
        <v>104</v>
      </c>
      <c r="D379">
        <f>(automotive_demand_forecasting_dataset5[[#This Row],[Units_Sold]] -$C$4) / $C$5</f>
        <v>3.2242449335466418E-2</v>
      </c>
      <c r="E379">
        <v>30409.146792737825</v>
      </c>
      <c r="F379">
        <v>4.5778345189999996</v>
      </c>
      <c r="G379">
        <v>1.6695555934434347</v>
      </c>
      <c r="H379">
        <v>5.4622729955502685</v>
      </c>
      <c r="I379">
        <v>75859.567042855691</v>
      </c>
      <c r="J379">
        <v>111</v>
      </c>
      <c r="K379">
        <v>59.389363896099916</v>
      </c>
      <c r="L379" t="str">
        <f t="shared" si="9"/>
        <v>OK</v>
      </c>
    </row>
    <row r="380" spans="1:12">
      <c r="A380" s="1">
        <v>53075</v>
      </c>
      <c r="B380" t="s">
        <v>12</v>
      </c>
      <c r="C380">
        <v>106</v>
      </c>
      <c r="D380">
        <f>(automotive_demand_forecasting_dataset5[[#This Row],[Units_Sold]] -$C$4) / $C$5</f>
        <v>7.853630081883875E-2</v>
      </c>
      <c r="E380">
        <v>29505.551734044286</v>
      </c>
      <c r="F380">
        <v>3.1240153341305903</v>
      </c>
      <c r="G380">
        <v>3.0225141052657576</v>
      </c>
      <c r="H380">
        <v>4.481885638971022</v>
      </c>
      <c r="I380">
        <v>78493.75213901524</v>
      </c>
      <c r="J380">
        <v>85</v>
      </c>
      <c r="K380">
        <v>35.385261822748042</v>
      </c>
      <c r="L380" t="str">
        <f t="shared" si="9"/>
        <v>OK</v>
      </c>
    </row>
    <row r="381" spans="1:12">
      <c r="A381" s="1">
        <v>53105</v>
      </c>
      <c r="B381" t="s">
        <v>11</v>
      </c>
      <c r="C381">
        <v>91</v>
      </c>
      <c r="D381">
        <f>(automotive_demand_forecasting_dataset5[[#This Row],[Units_Sold]] -$C$4) / $C$5</f>
        <v>-0.26866758530645368</v>
      </c>
      <c r="E381">
        <v>34595.382414938846</v>
      </c>
      <c r="F381">
        <v>3.3404730321666909</v>
      </c>
      <c r="G381">
        <v>2.9183982208886836</v>
      </c>
      <c r="H381">
        <f>6.97388673</f>
        <v>6.9738867300000003</v>
      </c>
      <c r="I381">
        <v>133527.86054416405</v>
      </c>
      <c r="J381">
        <v>87</v>
      </c>
      <c r="K381">
        <v>57.114901076391277</v>
      </c>
      <c r="L381" t="str">
        <f t="shared" si="9"/>
        <v>OK</v>
      </c>
    </row>
    <row r="382" spans="1:12">
      <c r="A382" s="1">
        <v>53135</v>
      </c>
      <c r="B382" t="s">
        <v>12</v>
      </c>
      <c r="C382">
        <v>110</v>
      </c>
      <c r="D382">
        <f>(automotive_demand_forecasting_dataset5[[#This Row],[Units_Sold]] -$C$4) / $C$5</f>
        <v>0.1711240037855834</v>
      </c>
      <c r="E382">
        <v>28548.627279056742</v>
      </c>
      <c r="F382">
        <v>3.1019870715982556</v>
      </c>
      <c r="G382">
        <v>3.9015985929464296</v>
      </c>
      <c r="H382">
        <v>3.3569602096790665</v>
      </c>
      <c r="I382">
        <v>81089.862401145379</v>
      </c>
      <c r="J382">
        <v>88</v>
      </c>
      <c r="K382">
        <v>39.665486961805968</v>
      </c>
      <c r="L382" t="str">
        <f t="shared" si="9"/>
        <v>OK</v>
      </c>
    </row>
    <row r="383" spans="1:12">
      <c r="A383" s="1">
        <v>53165</v>
      </c>
      <c r="B383" t="s">
        <v>14</v>
      </c>
      <c r="C383">
        <v>104</v>
      </c>
      <c r="D383">
        <f>(automotive_demand_forecasting_dataset5[[#This Row],[Units_Sold]] -$C$4) / $C$5</f>
        <v>3.2242449335466418E-2</v>
      </c>
      <c r="E383">
        <v>31336.961570359515</v>
      </c>
      <c r="F383">
        <v>4.038003569299299</v>
      </c>
      <c r="G383">
        <v>3.1504500925361389</v>
      </c>
      <c r="H383">
        <v>5.0684443930570451</v>
      </c>
      <c r="I383">
        <v>76932.989788080813</v>
      </c>
      <c r="J383">
        <v>82</v>
      </c>
      <c r="K383">
        <v>93.187371988132369</v>
      </c>
      <c r="L383" t="str">
        <f t="shared" si="9"/>
        <v>OK</v>
      </c>
    </row>
    <row r="384" spans="1:12">
      <c r="A384" s="1">
        <v>53195</v>
      </c>
      <c r="B384" t="s">
        <v>13</v>
      </c>
      <c r="C384">
        <v>85</v>
      </c>
      <c r="D384">
        <f>(automotive_demand_forecasting_dataset5[[#This Row],[Units_Sold]] -$C$4) / $C$5</f>
        <v>-0.40754913975657064</v>
      </c>
      <c r="E384">
        <v>31608.489030980068</v>
      </c>
      <c r="F384">
        <v>3.5106558243359709</v>
      </c>
      <c r="G384">
        <v>0.99691969824018201</v>
      </c>
      <c r="H384">
        <v>5.8613288070300902</v>
      </c>
      <c r="I384">
        <v>122746.29084729459</v>
      </c>
      <c r="J384">
        <v>84</v>
      </c>
      <c r="K384">
        <v>46.832545079707756</v>
      </c>
      <c r="L384" t="str">
        <f t="shared" si="9"/>
        <v>OK</v>
      </c>
    </row>
    <row r="385" spans="1:12">
      <c r="A385" s="1">
        <v>53225</v>
      </c>
      <c r="B385" t="s">
        <v>14</v>
      </c>
      <c r="C385">
        <v>107</v>
      </c>
      <c r="D385">
        <f>(automotive_demand_forecasting_dataset5[[#This Row],[Units_Sold]] -$C$4) / $C$5</f>
        <v>0.10168322656052491</v>
      </c>
      <c r="E385">
        <v>26659.547731784754</v>
      </c>
      <c r="F385">
        <v>4.4505953428765039</v>
      </c>
      <c r="G385">
        <v>3.5519476177229183</v>
      </c>
      <c r="H385">
        <v>5.7206014195870054</v>
      </c>
      <c r="I385">
        <v>106771.05752571828</v>
      </c>
      <c r="J385">
        <v>79</v>
      </c>
      <c r="K385">
        <v>96.181121162669783</v>
      </c>
      <c r="L385" t="str">
        <f t="shared" si="9"/>
        <v>OK</v>
      </c>
    </row>
    <row r="386" spans="1:12">
      <c r="A386" s="1">
        <v>53255</v>
      </c>
      <c r="B386" t="s">
        <v>13</v>
      </c>
      <c r="C386">
        <v>111</v>
      </c>
      <c r="D386">
        <f>(automotive_demand_forecasting_dataset5[[#This Row],[Units_Sold]] -$C$4) / $C$5</f>
        <v>0.19427092952726954</v>
      </c>
      <c r="E386">
        <v>34960.211747682617</v>
      </c>
      <c r="F386">
        <v>3.4696695930926897</v>
      </c>
      <c r="G386">
        <v>1.501939372685587</v>
      </c>
      <c r="H386">
        <v>8.7316403967765961</v>
      </c>
      <c r="I386">
        <v>81241.488469272022</v>
      </c>
      <c r="J386">
        <v>87</v>
      </c>
      <c r="K386">
        <v>62.644423207576892</v>
      </c>
      <c r="L386" t="str">
        <f t="shared" si="9"/>
        <v>OK</v>
      </c>
    </row>
    <row r="387" spans="1:12">
      <c r="A387" s="1">
        <v>53285</v>
      </c>
      <c r="B387" t="s">
        <v>10</v>
      </c>
      <c r="C387">
        <v>128.02105259999999</v>
      </c>
      <c r="D387">
        <f>(automotive_demand_forecasting_dataset5[[#This Row],[Units_Sold]] -$C$4) / $C$5</f>
        <v>0.58825597010480346</v>
      </c>
      <c r="E387">
        <v>29125.201216522957</v>
      </c>
      <c r="F387">
        <v>3.1457966165447688</v>
      </c>
      <c r="G387">
        <v>2.1160287280476484</v>
      </c>
      <c r="H387">
        <f>6.97388673</f>
        <v>6.9738867300000003</v>
      </c>
      <c r="I387">
        <v>104332.49950809238</v>
      </c>
      <c r="J387">
        <v>92</v>
      </c>
      <c r="K387">
        <v>70.523550294092828</v>
      </c>
      <c r="L387" t="str">
        <f t="shared" si="9"/>
        <v>OK</v>
      </c>
    </row>
    <row r="388" spans="1:12">
      <c r="A388" s="1">
        <v>53315</v>
      </c>
      <c r="B388" t="s">
        <v>10</v>
      </c>
      <c r="C388">
        <v>94</v>
      </c>
      <c r="D388">
        <f>(automotive_demand_forecasting_dataset5[[#This Row],[Units_Sold]] -$C$4) / $C$5</f>
        <v>-0.1992268080813952</v>
      </c>
      <c r="E388">
        <v>26221.274202535777</v>
      </c>
      <c r="F388">
        <v>2.7431428036935865</v>
      </c>
      <c r="G388">
        <v>2.7502002062516944</v>
      </c>
      <c r="H388">
        <v>4.295134483789588</v>
      </c>
      <c r="I388">
        <v>79484.946327194455</v>
      </c>
      <c r="J388">
        <v>79</v>
      </c>
      <c r="K388">
        <v>63.435235559146221</v>
      </c>
      <c r="L388" t="str">
        <f t="shared" si="9"/>
        <v>OK</v>
      </c>
    </row>
    <row r="389" spans="1:12">
      <c r="A389" s="1">
        <v>53345</v>
      </c>
      <c r="B389" t="s">
        <v>10</v>
      </c>
      <c r="C389">
        <v>91</v>
      </c>
      <c r="D389">
        <f>(automotive_demand_forecasting_dataset5[[#This Row],[Units_Sold]] -$C$4) / $C$5</f>
        <v>-0.26866758530645368</v>
      </c>
      <c r="E389">
        <v>32682.549217852018</v>
      </c>
      <c r="F389">
        <v>2.5984301618720274</v>
      </c>
      <c r="G389">
        <v>4.4956674897839646</v>
      </c>
      <c r="H389">
        <v>5.3854429034931126</v>
      </c>
      <c r="I389">
        <v>122016.4279684521</v>
      </c>
      <c r="J389">
        <v>95</v>
      </c>
      <c r="K389">
        <v>30.350449357336071</v>
      </c>
      <c r="L389" t="str">
        <f t="shared" si="9"/>
        <v>OK</v>
      </c>
    </row>
    <row r="390" spans="1:12">
      <c r="A390" s="1">
        <v>53375</v>
      </c>
      <c r="B390" t="s">
        <v>12</v>
      </c>
      <c r="C390">
        <v>89</v>
      </c>
      <c r="D390">
        <f>(automotive_demand_forecasting_dataset5[[#This Row],[Units_Sold]] -$C$4) / $C$5</f>
        <v>-0.31496143678982602</v>
      </c>
      <c r="E390">
        <v>25507.660091044814</v>
      </c>
      <c r="F390">
        <v>2.7079320284972552</v>
      </c>
      <c r="G390">
        <v>5.6099185560053613</v>
      </c>
      <c r="H390">
        <v>3.368504399840258</v>
      </c>
      <c r="I390">
        <v>121227.41929746268</v>
      </c>
      <c r="J390">
        <v>96</v>
      </c>
      <c r="K390">
        <v>50.065697520635275</v>
      </c>
      <c r="L390" t="str">
        <f t="shared" si="9"/>
        <v>OK</v>
      </c>
    </row>
    <row r="391" spans="1:12">
      <c r="A391" s="1">
        <v>53405</v>
      </c>
      <c r="B391" t="s">
        <v>13</v>
      </c>
      <c r="C391">
        <v>98</v>
      </c>
      <c r="D391">
        <f>(automotive_demand_forecasting_dataset5[[#This Row],[Units_Sold]] -$C$4) / $C$5</f>
        <v>-0.10663910511465055</v>
      </c>
      <c r="E391">
        <v>30140.90578684564</v>
      </c>
      <c r="F391">
        <v>4.5778345189999996</v>
      </c>
      <c r="G391">
        <v>3.1067230591361827</v>
      </c>
      <c r="H391">
        <v>5.4032803008438872</v>
      </c>
      <c r="I391">
        <v>110640.12397643886</v>
      </c>
      <c r="J391">
        <v>90</v>
      </c>
      <c r="K391">
        <v>27.931688982209913</v>
      </c>
      <c r="L391" t="str">
        <f t="shared" si="9"/>
        <v>OK</v>
      </c>
    </row>
    <row r="392" spans="1:12">
      <c r="A392" s="1">
        <v>53435</v>
      </c>
      <c r="B392" t="s">
        <v>10</v>
      </c>
      <c r="C392">
        <v>110</v>
      </c>
      <c r="D392">
        <f>(automotive_demand_forecasting_dataset5[[#This Row],[Units_Sold]] -$C$4) / $C$5</f>
        <v>0.1711240037855834</v>
      </c>
      <c r="E392">
        <v>29954.405016778983</v>
      </c>
      <c r="F392">
        <v>3.7543625116149668</v>
      </c>
      <c r="G392">
        <v>2.3168033812796121</v>
      </c>
      <c r="H392">
        <v>4.50033273159909</v>
      </c>
      <c r="I392">
        <v>107233.22122494034</v>
      </c>
      <c r="J392">
        <v>95</v>
      </c>
      <c r="K392">
        <v>69.836323534670541</v>
      </c>
      <c r="L392" t="str">
        <f t="shared" si="9"/>
        <v>OK</v>
      </c>
    </row>
    <row r="393" spans="1:12">
      <c r="A393" s="1">
        <v>53465</v>
      </c>
      <c r="B393" t="s">
        <v>11</v>
      </c>
      <c r="C393">
        <v>93</v>
      </c>
      <c r="D393">
        <f>(automotive_demand_forecasting_dataset5[[#This Row],[Units_Sold]] -$C$4) / $C$5</f>
        <v>-0.22237373382308137</v>
      </c>
      <c r="E393">
        <v>35429.477829157891</v>
      </c>
      <c r="F393">
        <v>2.7094046489839334</v>
      </c>
      <c r="G393">
        <v>3.0345056484805504</v>
      </c>
      <c r="H393">
        <f>6.97388673</f>
        <v>6.9738867300000003</v>
      </c>
      <c r="I393">
        <v>135223.76249734749</v>
      </c>
      <c r="J393">
        <f>111.9136842</f>
        <v>111.91368420000001</v>
      </c>
      <c r="K393">
        <v>55.749935616035117</v>
      </c>
      <c r="L393" t="str">
        <f t="shared" si="9"/>
        <v>OK</v>
      </c>
    </row>
    <row r="394" spans="1:12">
      <c r="A394" s="1">
        <v>53495</v>
      </c>
      <c r="B394" t="s">
        <v>13</v>
      </c>
      <c r="C394">
        <v>103</v>
      </c>
      <c r="D394">
        <f>(automotive_demand_forecasting_dataset5[[#This Row],[Units_Sold]] -$C$4) / $C$5</f>
        <v>9.0955235937802571E-3</v>
      </c>
      <c r="E394">
        <v>32373.491164399762</v>
      </c>
      <c r="F394">
        <v>3.9475191570380579</v>
      </c>
      <c r="G394">
        <v>3.3876554258738363</v>
      </c>
      <c r="H394">
        <v>4.8405516704853584</v>
      </c>
      <c r="I394">
        <f>128897.2893</f>
        <v>128897.2893</v>
      </c>
      <c r="J394">
        <v>96</v>
      </c>
      <c r="K394">
        <v>82.238797725674942</v>
      </c>
      <c r="L394" t="str">
        <f t="shared" si="9"/>
        <v>OK</v>
      </c>
    </row>
    <row r="395" spans="1:12">
      <c r="A395" s="1">
        <v>53525</v>
      </c>
      <c r="B395" t="s">
        <v>13</v>
      </c>
      <c r="C395">
        <v>128.02105259999999</v>
      </c>
      <c r="D395">
        <f>(automotive_demand_forecasting_dataset5[[#This Row],[Units_Sold]] -$C$4) / $C$5</f>
        <v>0.58825597010480346</v>
      </c>
      <c r="E395">
        <v>38106.295579999998</v>
      </c>
      <c r="F395">
        <v>4.5778345189999996</v>
      </c>
      <c r="G395">
        <v>2.1793323744428084</v>
      </c>
      <c r="H395">
        <v>5.3598809010457042</v>
      </c>
      <c r="I395">
        <v>76362.517491583974</v>
      </c>
      <c r="J395">
        <v>89</v>
      </c>
      <c r="K395">
        <v>37.637638479949587</v>
      </c>
      <c r="L395" t="str">
        <f t="shared" ref="L395:L458" si="11">IF(COUNTA(A395:K395)&lt;COLUMNS(A395:K395), "Missing Data", "OK")</f>
        <v>OK</v>
      </c>
    </row>
    <row r="396" spans="1:12">
      <c r="A396" s="1">
        <v>53555</v>
      </c>
      <c r="B396" t="s">
        <v>12</v>
      </c>
      <c r="C396">
        <v>101</v>
      </c>
      <c r="D396">
        <f>(automotive_demand_forecasting_dataset5[[#This Row],[Units_Sold]] -$C$4) / $C$5</f>
        <v>-3.7198327889592063E-2</v>
      </c>
      <c r="E396">
        <v>34088.831496001432</v>
      </c>
      <c r="F396">
        <v>3.5733965059927746</v>
      </c>
      <c r="G396">
        <v>42.952113559123219</v>
      </c>
      <c r="H396">
        <v>4.7373305903147163</v>
      </c>
      <c r="I396">
        <f>128897.2893</f>
        <v>128897.2893</v>
      </c>
      <c r="J396">
        <v>87</v>
      </c>
      <c r="K396">
        <v>33.165284674346793</v>
      </c>
      <c r="L396" t="str">
        <f t="shared" si="11"/>
        <v>OK</v>
      </c>
    </row>
    <row r="397" spans="1:12">
      <c r="A397" s="1">
        <v>53585</v>
      </c>
      <c r="B397" t="s">
        <v>14</v>
      </c>
      <c r="C397">
        <v>94</v>
      </c>
      <c r="D397">
        <f>(automotive_demand_forecasting_dataset5[[#This Row],[Units_Sold]] -$C$4) / $C$5</f>
        <v>-0.1992268080813952</v>
      </c>
      <c r="E397">
        <v>369510.37745086564</v>
      </c>
      <c r="F397">
        <v>4.3061103141277126</v>
      </c>
      <c r="G397">
        <v>2.7300707591914022</v>
      </c>
      <c r="H397">
        <v>7.5866216222239977</v>
      </c>
      <c r="I397">
        <v>1417209.4099074227</v>
      </c>
      <c r="J397">
        <v>96</v>
      </c>
      <c r="K397">
        <v>52.506578477101428</v>
      </c>
      <c r="L397" t="str">
        <f t="shared" si="11"/>
        <v>OK</v>
      </c>
    </row>
    <row r="398" spans="1:12">
      <c r="A398" s="1">
        <v>53615</v>
      </c>
      <c r="B398" t="s">
        <v>12</v>
      </c>
      <c r="C398">
        <v>108</v>
      </c>
      <c r="D398">
        <f>(automotive_demand_forecasting_dataset5[[#This Row],[Units_Sold]] -$C$4) / $C$5</f>
        <v>0.12483015230221108</v>
      </c>
      <c r="E398">
        <v>32789.051531759309</v>
      </c>
      <c r="F398">
        <v>3.9484196579327659</v>
      </c>
      <c r="G398">
        <v>2.9977430890913941</v>
      </c>
      <c r="H398">
        <v>5.1145086806585063</v>
      </c>
      <c r="I398">
        <v>79704.810136282962</v>
      </c>
      <c r="J398">
        <v>102</v>
      </c>
      <c r="K398">
        <v>94.126830657470492</v>
      </c>
      <c r="L398" t="str">
        <f t="shared" si="11"/>
        <v>OK</v>
      </c>
    </row>
    <row r="399" spans="1:12">
      <c r="A399" s="1">
        <v>53645</v>
      </c>
      <c r="B399" t="s">
        <v>10</v>
      </c>
      <c r="C399">
        <v>113</v>
      </c>
      <c r="D399">
        <f>(automotive_demand_forecasting_dataset5[[#This Row],[Units_Sold]] -$C$4) / $C$5</f>
        <v>0.24056478101064188</v>
      </c>
      <c r="E399">
        <v>30051.763099216903</v>
      </c>
      <c r="F399">
        <v>3.3657346760470839</v>
      </c>
      <c r="G399">
        <v>3.1659242520544613</v>
      </c>
      <c r="H399">
        <v>7.6990684521750419</v>
      </c>
      <c r="I399">
        <v>92770.744666120285</v>
      </c>
      <c r="J399">
        <v>72</v>
      </c>
      <c r="K399">
        <v>76.833745200992936</v>
      </c>
      <c r="L399" t="str">
        <f t="shared" si="11"/>
        <v>OK</v>
      </c>
    </row>
    <row r="400" spans="1:12">
      <c r="A400" s="1">
        <v>53675</v>
      </c>
      <c r="B400" t="s">
        <v>11</v>
      </c>
      <c r="C400">
        <v>115</v>
      </c>
      <c r="D400">
        <f>(automotive_demand_forecasting_dataset5[[#This Row],[Units_Sold]] -$C$4) / $C$5</f>
        <v>0.28685863249401422</v>
      </c>
      <c r="E400">
        <v>23440.818838249201</v>
      </c>
      <c r="F400">
        <v>3.0544038872923562</v>
      </c>
      <c r="G400">
        <v>2.9215866106144555</v>
      </c>
      <c r="H400">
        <v>6.4769821145419195</v>
      </c>
      <c r="I400">
        <f>128897.2893</f>
        <v>128897.2893</v>
      </c>
      <c r="J400">
        <v>88</v>
      </c>
      <c r="K400">
        <v>53.513889983433494</v>
      </c>
      <c r="L400" t="str">
        <f t="shared" si="11"/>
        <v>OK</v>
      </c>
    </row>
    <row r="401" spans="1:12">
      <c r="A401" s="1">
        <v>53705</v>
      </c>
      <c r="B401" t="s">
        <v>11</v>
      </c>
      <c r="C401">
        <v>98</v>
      </c>
      <c r="D401">
        <f>(automotive_demand_forecasting_dataset5[[#This Row],[Units_Sold]] -$C$4) / $C$5</f>
        <v>-0.10663910511465055</v>
      </c>
      <c r="E401">
        <v>24674.431684623138</v>
      </c>
      <c r="F401">
        <v>2.4240922993353475</v>
      </c>
      <c r="G401">
        <v>3.3389405004696124</v>
      </c>
      <c r="H401">
        <v>6.0784800728024635</v>
      </c>
      <c r="I401">
        <v>98921.903019885212</v>
      </c>
      <c r="J401">
        <v>81</v>
      </c>
      <c r="K401">
        <v>61.381773580344841</v>
      </c>
      <c r="L401" t="str">
        <f t="shared" si="11"/>
        <v>OK</v>
      </c>
    </row>
    <row r="402" spans="1:12">
      <c r="A402" s="1">
        <v>53735</v>
      </c>
      <c r="B402" t="s">
        <v>10</v>
      </c>
      <c r="C402">
        <v>93</v>
      </c>
      <c r="D402">
        <f>(automotive_demand_forecasting_dataset5[[#This Row],[Units_Sold]] -$C$4) / $C$5</f>
        <v>-0.22237373382308137</v>
      </c>
      <c r="E402">
        <v>28473.876478226663</v>
      </c>
      <c r="F402">
        <v>3.1404233403787898</v>
      </c>
      <c r="G402">
        <v>18.827468134530768</v>
      </c>
      <c r="H402">
        <v>5.942479776781024</v>
      </c>
      <c r="I402">
        <v>80353.928392453701</v>
      </c>
      <c r="J402">
        <v>92</v>
      </c>
      <c r="K402">
        <v>26.737040894167869</v>
      </c>
      <c r="L402" t="str">
        <f t="shared" si="11"/>
        <v>OK</v>
      </c>
    </row>
    <row r="403" spans="1:12">
      <c r="A403" s="1">
        <v>53765</v>
      </c>
      <c r="B403" t="s">
        <v>11</v>
      </c>
      <c r="C403">
        <v>104</v>
      </c>
      <c r="D403">
        <f>(automotive_demand_forecasting_dataset5[[#This Row],[Units_Sold]] -$C$4) / $C$5</f>
        <v>3.2242449335466418E-2</v>
      </c>
      <c r="E403">
        <v>26952.438989203583</v>
      </c>
      <c r="F403">
        <v>4.5778345189999996</v>
      </c>
      <c r="G403">
        <v>1.9416982460539693</v>
      </c>
      <c r="H403">
        <v>5.9725567578595022</v>
      </c>
      <c r="I403">
        <v>122437.15712460942</v>
      </c>
      <c r="J403">
        <f>111.9136842</f>
        <v>111.91368420000001</v>
      </c>
      <c r="K403">
        <v>98.766071710089051</v>
      </c>
      <c r="L403" t="str">
        <f t="shared" si="11"/>
        <v>OK</v>
      </c>
    </row>
    <row r="404" spans="1:12">
      <c r="A404" s="1">
        <v>53795</v>
      </c>
      <c r="B404" t="s">
        <v>12</v>
      </c>
      <c r="C404">
        <v>100</v>
      </c>
      <c r="D404">
        <f>(automotive_demand_forecasting_dataset5[[#This Row],[Units_Sold]] -$C$4) / $C$5</f>
        <v>-6.0345253631278226E-2</v>
      </c>
      <c r="E404">
        <v>29065.143485072771</v>
      </c>
      <c r="F404">
        <v>3.0064102364244079</v>
      </c>
      <c r="G404">
        <v>1.3998457670283051</v>
      </c>
      <c r="H404">
        <v>3.1867929047852681</v>
      </c>
      <c r="I404">
        <v>146400.81444034519</v>
      </c>
      <c r="J404">
        <v>102</v>
      </c>
      <c r="K404">
        <v>73.312584375593516</v>
      </c>
      <c r="L404" t="str">
        <f t="shared" si="11"/>
        <v>OK</v>
      </c>
    </row>
    <row r="405" spans="1:12">
      <c r="A405" s="1">
        <v>53825</v>
      </c>
      <c r="B405" t="s">
        <v>12</v>
      </c>
      <c r="C405">
        <v>89</v>
      </c>
      <c r="D405">
        <f>(automotive_demand_forecasting_dataset5[[#This Row],[Units_Sold]] -$C$4) / $C$5</f>
        <v>-0.31496143678982602</v>
      </c>
      <c r="E405">
        <v>38106.295579999998</v>
      </c>
      <c r="F405">
        <v>3.4343715164538478</v>
      </c>
      <c r="G405">
        <f>3.224108373</f>
        <v>3.224108373</v>
      </c>
      <c r="H405">
        <v>5.1653399270190921</v>
      </c>
      <c r="I405">
        <v>103922.62918047815</v>
      </c>
      <c r="J405">
        <v>80</v>
      </c>
      <c r="K405">
        <v>42.832325477073795</v>
      </c>
      <c r="L405" t="str">
        <f t="shared" si="11"/>
        <v>OK</v>
      </c>
    </row>
    <row r="406" spans="1:12">
      <c r="A406" s="1">
        <v>53855</v>
      </c>
      <c r="B406" t="s">
        <v>10</v>
      </c>
      <c r="C406">
        <v>86</v>
      </c>
      <c r="D406">
        <f>(automotive_demand_forecasting_dataset5[[#This Row],[Units_Sold]] -$C$4) / $C$5</f>
        <v>-0.3844022140148845</v>
      </c>
      <c r="E406">
        <v>32648.463771783652</v>
      </c>
      <c r="F406">
        <v>3.5384259414793839</v>
      </c>
      <c r="G406">
        <v>3.2789365035121141</v>
      </c>
      <c r="H406">
        <v>6.5141895654211854</v>
      </c>
      <c r="I406">
        <v>81918.634205279988</v>
      </c>
      <c r="J406">
        <v>84</v>
      </c>
      <c r="K406">
        <f>80.21517797</f>
        <v>80.215177969999999</v>
      </c>
      <c r="L406" t="str">
        <f t="shared" si="11"/>
        <v>OK</v>
      </c>
    </row>
    <row r="407" spans="1:12">
      <c r="A407" s="1">
        <v>53885</v>
      </c>
      <c r="B407" t="s">
        <v>11</v>
      </c>
      <c r="C407">
        <v>93</v>
      </c>
      <c r="D407">
        <f>(automotive_demand_forecasting_dataset5[[#This Row],[Units_Sold]] -$C$4) / $C$5</f>
        <v>-0.22237373382308137</v>
      </c>
      <c r="E407">
        <v>29647.506109704544</v>
      </c>
      <c r="F407">
        <v>3.3875720090959609</v>
      </c>
      <c r="G407">
        <v>2.9577728661518856</v>
      </c>
      <c r="H407">
        <v>5.4413233798310729</v>
      </c>
      <c r="I407">
        <v>69020.789498930506</v>
      </c>
      <c r="J407">
        <v>89</v>
      </c>
      <c r="K407">
        <v>28.75858928551952</v>
      </c>
      <c r="L407" t="str">
        <f t="shared" si="11"/>
        <v>OK</v>
      </c>
    </row>
    <row r="408" spans="1:12">
      <c r="A408" s="1">
        <v>53915</v>
      </c>
      <c r="B408" t="s">
        <v>13</v>
      </c>
      <c r="C408">
        <v>104</v>
      </c>
      <c r="D408">
        <f>(automotive_demand_forecasting_dataset5[[#This Row],[Units_Sold]] -$C$4) / $C$5</f>
        <v>3.2242449335466418E-2</v>
      </c>
      <c r="E408">
        <v>32432.50821913101</v>
      </c>
      <c r="F408">
        <v>3.1749987095882704</v>
      </c>
      <c r="G408">
        <v>4.1744924333475373</v>
      </c>
      <c r="H408">
        <v>3.8137721838357099</v>
      </c>
      <c r="I408">
        <v>105159.51962442361</v>
      </c>
      <c r="J408">
        <v>79</v>
      </c>
      <c r="K408">
        <v>97.266933504606683</v>
      </c>
      <c r="L408" t="str">
        <f t="shared" si="11"/>
        <v>OK</v>
      </c>
    </row>
    <row r="409" spans="1:12">
      <c r="A409" s="1">
        <v>53945</v>
      </c>
      <c r="B409" t="s">
        <v>14</v>
      </c>
      <c r="C409">
        <v>91</v>
      </c>
      <c r="D409">
        <f>(automotive_demand_forecasting_dataset5[[#This Row],[Units_Sold]] -$C$4) / $C$5</f>
        <v>-0.26866758530645368</v>
      </c>
      <c r="E409">
        <v>38106.295579999998</v>
      </c>
      <c r="F409">
        <v>4.5778345189999996</v>
      </c>
      <c r="G409">
        <v>2.4944039811709535</v>
      </c>
      <c r="H409">
        <v>5.4371146593070367</v>
      </c>
      <c r="I409">
        <v>122077.54686632515</v>
      </c>
      <c r="J409">
        <f>111.9136842</f>
        <v>111.91368420000001</v>
      </c>
      <c r="K409">
        <v>33.982799030669277</v>
      </c>
      <c r="L409" t="str">
        <f t="shared" si="11"/>
        <v>OK</v>
      </c>
    </row>
    <row r="410" spans="1:12">
      <c r="A410" s="1">
        <v>53975</v>
      </c>
      <c r="B410" t="s">
        <v>13</v>
      </c>
      <c r="C410">
        <v>113</v>
      </c>
      <c r="D410">
        <f>(automotive_demand_forecasting_dataset5[[#This Row],[Units_Sold]] -$C$4) / $C$5</f>
        <v>0.24056478101064188</v>
      </c>
      <c r="E410">
        <v>20122.667168230644</v>
      </c>
      <c r="F410">
        <v>3.7209703247847044</v>
      </c>
      <c r="G410">
        <v>3.1687416555925125</v>
      </c>
      <c r="H410">
        <v>7.5449266195065894</v>
      </c>
      <c r="I410">
        <v>1095033.5492990762</v>
      </c>
      <c r="J410">
        <v>80</v>
      </c>
      <c r="K410">
        <v>71.842425444417131</v>
      </c>
      <c r="L410" t="str">
        <f t="shared" si="11"/>
        <v>OK</v>
      </c>
    </row>
    <row r="411" spans="1:12">
      <c r="A411" s="1">
        <v>54005</v>
      </c>
      <c r="B411" t="s">
        <v>12</v>
      </c>
      <c r="C411">
        <v>103</v>
      </c>
      <c r="D411">
        <f>(automotive_demand_forecasting_dataset5[[#This Row],[Units_Sold]] -$C$4) / $C$5</f>
        <v>9.0955235937802571E-3</v>
      </c>
      <c r="E411">
        <v>25303.323030906227</v>
      </c>
      <c r="F411">
        <v>2.9548004612785768</v>
      </c>
      <c r="G411">
        <v>1.4082991238606857</v>
      </c>
      <c r="H411">
        <v>6.9962700586416631</v>
      </c>
      <c r="I411">
        <v>99951.923181622929</v>
      </c>
      <c r="J411">
        <v>89</v>
      </c>
      <c r="K411">
        <f>80.21517797</f>
        <v>80.215177969999999</v>
      </c>
      <c r="L411" t="str">
        <f t="shared" si="11"/>
        <v>OK</v>
      </c>
    </row>
    <row r="412" spans="1:12">
      <c r="A412" s="1">
        <v>54035</v>
      </c>
      <c r="B412" t="s">
        <v>12</v>
      </c>
      <c r="C412">
        <v>98</v>
      </c>
      <c r="D412">
        <f>(automotive_demand_forecasting_dataset5[[#This Row],[Units_Sold]] -$C$4) / $C$5</f>
        <v>-0.10663910511465055</v>
      </c>
      <c r="E412">
        <v>29279.562221391923</v>
      </c>
      <c r="F412">
        <v>4.2054661898731354</v>
      </c>
      <c r="G412">
        <v>2.112900297525599</v>
      </c>
      <c r="H412">
        <v>5.4255951887607621</v>
      </c>
      <c r="I412">
        <v>88214.566964213882</v>
      </c>
      <c r="J412">
        <v>75</v>
      </c>
      <c r="K412">
        <v>77.404910611882855</v>
      </c>
      <c r="L412" t="str">
        <f t="shared" si="11"/>
        <v>OK</v>
      </c>
    </row>
    <row r="413" spans="1:12">
      <c r="A413" s="1">
        <v>54065</v>
      </c>
      <c r="B413" t="s">
        <v>12</v>
      </c>
      <c r="C413">
        <v>100</v>
      </c>
      <c r="D413">
        <f>(automotive_demand_forecasting_dataset5[[#This Row],[Units_Sold]] -$C$4) / $C$5</f>
        <v>-6.0345253631278226E-2</v>
      </c>
      <c r="E413">
        <v>23951.526285794462</v>
      </c>
      <c r="F413">
        <v>3.4507059338578689</v>
      </c>
      <c r="G413">
        <v>3.1955377575657775</v>
      </c>
      <c r="H413">
        <v>6.6417391324697039</v>
      </c>
      <c r="I413">
        <v>78156.72734563821</v>
      </c>
      <c r="J413">
        <v>84</v>
      </c>
      <c r="K413">
        <v>82.145709379222481</v>
      </c>
      <c r="L413" t="str">
        <f t="shared" si="11"/>
        <v>OK</v>
      </c>
    </row>
    <row r="414" spans="1:12">
      <c r="A414" s="1">
        <v>54095</v>
      </c>
      <c r="B414" t="s">
        <v>12</v>
      </c>
      <c r="C414">
        <v>89</v>
      </c>
      <c r="D414">
        <f>(automotive_demand_forecasting_dataset5[[#This Row],[Units_Sold]] -$C$4) / $C$5</f>
        <v>-0.31496143678982602</v>
      </c>
      <c r="E414">
        <v>32999.643649981022</v>
      </c>
      <c r="F414">
        <v>3.509424811472424</v>
      </c>
      <c r="G414">
        <v>3.3491021107431438</v>
      </c>
      <c r="H414">
        <v>5.0601915755583375</v>
      </c>
      <c r="I414">
        <v>116695.02652649765</v>
      </c>
      <c r="J414">
        <v>65</v>
      </c>
      <c r="K414">
        <v>73.873578312914617</v>
      </c>
      <c r="L414" t="str">
        <f t="shared" si="11"/>
        <v>OK</v>
      </c>
    </row>
    <row r="415" spans="1:12">
      <c r="A415" s="1">
        <v>54125</v>
      </c>
      <c r="B415" t="s">
        <v>14</v>
      </c>
      <c r="C415">
        <v>83</v>
      </c>
      <c r="D415">
        <f>(automotive_demand_forecasting_dataset5[[#This Row],[Units_Sold]] -$C$4) / $C$5</f>
        <v>-0.45384299123994298</v>
      </c>
      <c r="E415">
        <v>37653.754161718491</v>
      </c>
      <c r="F415">
        <v>3.8541072116282784</v>
      </c>
      <c r="G415">
        <v>2.2060330523358176</v>
      </c>
      <c r="H415">
        <v>3.4553540958079374</v>
      </c>
      <c r="I415">
        <v>118275.43242771171</v>
      </c>
      <c r="J415">
        <v>98</v>
      </c>
      <c r="K415">
        <v>69.159956820415402</v>
      </c>
      <c r="L415" t="str">
        <f t="shared" si="11"/>
        <v>OK</v>
      </c>
    </row>
    <row r="416" spans="1:12">
      <c r="A416" s="1">
        <v>54155</v>
      </c>
      <c r="B416" t="s">
        <v>10</v>
      </c>
      <c r="C416">
        <v>92</v>
      </c>
      <c r="D416">
        <f>(automotive_demand_forecasting_dataset5[[#This Row],[Units_Sold]] -$C$4) / $C$5</f>
        <v>-0.24552065956476751</v>
      </c>
      <c r="E416">
        <v>36093.809258486581</v>
      </c>
      <c r="F416">
        <v>3.616608065631751</v>
      </c>
      <c r="G416">
        <v>2.4284007481419332</v>
      </c>
      <c r="H416">
        <v>4.3906408142445343</v>
      </c>
      <c r="I416">
        <v>69085.404266185331</v>
      </c>
      <c r="J416">
        <v>89</v>
      </c>
      <c r="K416">
        <v>91.397527516160935</v>
      </c>
      <c r="L416" t="str">
        <f t="shared" si="11"/>
        <v>OK</v>
      </c>
    </row>
    <row r="417" spans="1:12">
      <c r="A417" s="1">
        <v>54185</v>
      </c>
      <c r="B417" t="s">
        <v>12</v>
      </c>
      <c r="C417">
        <v>128.02105259999999</v>
      </c>
      <c r="D417">
        <f>(automotive_demand_forecasting_dataset5[[#This Row],[Units_Sold]] -$C$4) / $C$5</f>
        <v>0.58825597010480346</v>
      </c>
      <c r="E417">
        <v>28932.785645348958</v>
      </c>
      <c r="F417">
        <v>3.9765683169566226</v>
      </c>
      <c r="G417">
        <v>0.98212625331919057</v>
      </c>
      <c r="H417">
        <v>7.3754665222098374</v>
      </c>
      <c r="I417">
        <v>131796.77956361367</v>
      </c>
      <c r="J417">
        <v>88</v>
      </c>
      <c r="K417">
        <v>26.290136879180643</v>
      </c>
      <c r="L417" t="str">
        <f t="shared" si="11"/>
        <v>OK</v>
      </c>
    </row>
    <row r="418" spans="1:12">
      <c r="A418" s="1">
        <v>54215</v>
      </c>
      <c r="B418" t="s">
        <v>11</v>
      </c>
      <c r="C418">
        <v>128.02105259999999</v>
      </c>
      <c r="D418">
        <f>(automotive_demand_forecasting_dataset5[[#This Row],[Units_Sold]] -$C$4) / $C$5</f>
        <v>0.58825597010480346</v>
      </c>
      <c r="E418">
        <v>37453.630684249758</v>
      </c>
      <c r="F418">
        <v>3.6435620826009121</v>
      </c>
      <c r="G418">
        <v>2.1429707991933906</v>
      </c>
      <c r="H418">
        <v>5.1712083018048354</v>
      </c>
      <c r="I418">
        <v>111481.42441788003</v>
      </c>
      <c r="J418">
        <v>98</v>
      </c>
      <c r="K418">
        <f>80.21517797</f>
        <v>80.215177969999999</v>
      </c>
      <c r="L418" t="str">
        <f t="shared" si="11"/>
        <v>OK</v>
      </c>
    </row>
    <row r="419" spans="1:12">
      <c r="A419" s="1">
        <v>54245</v>
      </c>
      <c r="B419" t="s">
        <v>14</v>
      </c>
      <c r="C419">
        <v>102</v>
      </c>
      <c r="D419">
        <f>(automotive_demand_forecasting_dataset5[[#This Row],[Units_Sold]] -$C$4) / $C$5</f>
        <v>-1.4051402147905904E-2</v>
      </c>
      <c r="E419">
        <v>30743.337286010559</v>
      </c>
      <c r="F419">
        <v>3.1937813126797812</v>
      </c>
      <c r="G419">
        <v>3.3903831635197861</v>
      </c>
      <c r="H419">
        <f t="shared" ref="H419:H420" si="12">6.97388673</f>
        <v>6.9738867300000003</v>
      </c>
      <c r="I419">
        <v>127991.89290291586</v>
      </c>
      <c r="J419">
        <v>88</v>
      </c>
      <c r="K419">
        <v>39.862998370467679</v>
      </c>
      <c r="L419" t="str">
        <f t="shared" si="11"/>
        <v>OK</v>
      </c>
    </row>
    <row r="420" spans="1:12">
      <c r="A420" s="1">
        <v>54275</v>
      </c>
      <c r="B420" t="s">
        <v>12</v>
      </c>
      <c r="C420">
        <v>107</v>
      </c>
      <c r="D420">
        <f>(automotive_demand_forecasting_dataset5[[#This Row],[Units_Sold]] -$C$4) / $C$5</f>
        <v>0.10168322656052491</v>
      </c>
      <c r="E420">
        <v>28314.570144409805</v>
      </c>
      <c r="F420">
        <v>3.6807517626030508</v>
      </c>
      <c r="G420">
        <v>3.0752050161065663</v>
      </c>
      <c r="H420">
        <f t="shared" si="12"/>
        <v>6.9738867300000003</v>
      </c>
      <c r="I420">
        <v>73157.445030297706</v>
      </c>
      <c r="J420">
        <v>89</v>
      </c>
      <c r="K420">
        <v>99.041116965233726</v>
      </c>
      <c r="L420" t="str">
        <f t="shared" si="11"/>
        <v>OK</v>
      </c>
    </row>
    <row r="421" spans="1:12">
      <c r="A421" s="1">
        <v>54305</v>
      </c>
      <c r="B421" t="s">
        <v>11</v>
      </c>
      <c r="C421">
        <v>103</v>
      </c>
      <c r="D421">
        <f>(automotive_demand_forecasting_dataset5[[#This Row],[Units_Sold]] -$C$4) / $C$5</f>
        <v>9.0955235937802571E-3</v>
      </c>
      <c r="E421">
        <v>269329.86682295299</v>
      </c>
      <c r="F421">
        <v>2.928136896339669</v>
      </c>
      <c r="G421">
        <v>3.0006657213812096</v>
      </c>
      <c r="H421">
        <v>7.784963907487608</v>
      </c>
      <c r="I421">
        <v>72683.516891691223</v>
      </c>
      <c r="J421">
        <v>103</v>
      </c>
      <c r="K421">
        <v>51.151182373349883</v>
      </c>
      <c r="L421" t="str">
        <f t="shared" si="11"/>
        <v>OK</v>
      </c>
    </row>
    <row r="422" spans="1:12">
      <c r="A422" s="1">
        <v>54335</v>
      </c>
      <c r="B422" t="s">
        <v>12</v>
      </c>
      <c r="C422">
        <v>100</v>
      </c>
      <c r="D422">
        <f>(automotive_demand_forecasting_dataset5[[#This Row],[Units_Sold]] -$C$4) / $C$5</f>
        <v>-6.0345253631278226E-2</v>
      </c>
      <c r="E422">
        <v>38106.295579999998</v>
      </c>
      <c r="F422">
        <v>3.5542798528882615</v>
      </c>
      <c r="G422">
        <v>2.5497736871809602</v>
      </c>
      <c r="H422">
        <v>7.4511506984344757</v>
      </c>
      <c r="I422">
        <v>97020.613804654058</v>
      </c>
      <c r="J422">
        <v>85</v>
      </c>
      <c r="K422">
        <v>78.609015939231895</v>
      </c>
      <c r="L422" t="str">
        <f t="shared" si="11"/>
        <v>OK</v>
      </c>
    </row>
    <row r="423" spans="1:12">
      <c r="A423" s="1">
        <v>54365</v>
      </c>
      <c r="B423" t="s">
        <v>10</v>
      </c>
      <c r="C423">
        <v>128.02105259999999</v>
      </c>
      <c r="D423">
        <f>(automotive_demand_forecasting_dataset5[[#This Row],[Units_Sold]] -$C$4) / $C$5</f>
        <v>0.58825597010480346</v>
      </c>
      <c r="E423">
        <v>28059.115907293857</v>
      </c>
      <c r="F423">
        <v>3.4833850046777695</v>
      </c>
      <c r="G423">
        <v>2.5070631586281764</v>
      </c>
      <c r="H423">
        <v>8.1625362801377612</v>
      </c>
      <c r="I423">
        <v>110055.68853790389</v>
      </c>
      <c r="J423">
        <v>90</v>
      </c>
      <c r="K423">
        <f>80.21517797</f>
        <v>80.215177969999999</v>
      </c>
      <c r="L423" t="str">
        <f t="shared" si="11"/>
        <v>OK</v>
      </c>
    </row>
    <row r="424" spans="1:12">
      <c r="A424" s="1">
        <v>54395</v>
      </c>
      <c r="B424" t="s">
        <v>14</v>
      </c>
      <c r="C424">
        <v>85</v>
      </c>
      <c r="D424">
        <f>(automotive_demand_forecasting_dataset5[[#This Row],[Units_Sold]] -$C$4) / $C$5</f>
        <v>-0.40754913975657064</v>
      </c>
      <c r="E424">
        <v>30852.08111187744</v>
      </c>
      <c r="F424">
        <v>3.3959415713637302</v>
      </c>
      <c r="G424">
        <v>1.8396788605265528</v>
      </c>
      <c r="H424">
        <v>5.3091457475199384</v>
      </c>
      <c r="I424">
        <v>135927.21645853927</v>
      </c>
      <c r="J424">
        <v>84</v>
      </c>
      <c r="K424">
        <v>36.966498998190218</v>
      </c>
      <c r="L424" t="str">
        <f t="shared" si="11"/>
        <v>OK</v>
      </c>
    </row>
    <row r="425" spans="1:12">
      <c r="A425" s="1">
        <v>54425</v>
      </c>
      <c r="B425" t="s">
        <v>10</v>
      </c>
      <c r="C425">
        <v>107</v>
      </c>
      <c r="D425">
        <f>(automotive_demand_forecasting_dataset5[[#This Row],[Units_Sold]] -$C$4) / $C$5</f>
        <v>0.10168322656052491</v>
      </c>
      <c r="E425">
        <v>30802.869905249325</v>
      </c>
      <c r="F425">
        <v>3.4357312442805346</v>
      </c>
      <c r="G425">
        <v>3.1988284202025348</v>
      </c>
      <c r="H425">
        <v>5.8547493864965139</v>
      </c>
      <c r="I425">
        <v>114121.57827630264</v>
      </c>
      <c r="J425">
        <v>78</v>
      </c>
      <c r="K425">
        <v>39.119814416924108</v>
      </c>
      <c r="L425" t="str">
        <f t="shared" si="11"/>
        <v>OK</v>
      </c>
    </row>
    <row r="426" spans="1:12">
      <c r="A426" s="1">
        <v>54455</v>
      </c>
      <c r="B426" t="s">
        <v>14</v>
      </c>
      <c r="C426">
        <v>106</v>
      </c>
      <c r="D426">
        <f>(automotive_demand_forecasting_dataset5[[#This Row],[Units_Sold]] -$C$4) / $C$5</f>
        <v>7.853630081883875E-2</v>
      </c>
      <c r="E426">
        <v>30015.230100767072</v>
      </c>
      <c r="F426">
        <v>2.5590754772511803</v>
      </c>
      <c r="G426">
        <v>2.9209729443893897</v>
      </c>
      <c r="H426">
        <v>3.6800289406950508</v>
      </c>
      <c r="I426">
        <v>95146.374463759334</v>
      </c>
      <c r="J426">
        <v>84</v>
      </c>
      <c r="K426">
        <v>42.502765084242725</v>
      </c>
      <c r="L426" t="str">
        <f t="shared" si="11"/>
        <v>OK</v>
      </c>
    </row>
    <row r="427" spans="1:12">
      <c r="A427" s="1">
        <v>54485</v>
      </c>
      <c r="B427" t="s">
        <v>12</v>
      </c>
      <c r="C427">
        <v>92</v>
      </c>
      <c r="D427">
        <f>(automotive_demand_forecasting_dataset5[[#This Row],[Units_Sold]] -$C$4) / $C$5</f>
        <v>-0.24552065956476751</v>
      </c>
      <c r="E427">
        <v>32184.690848731749</v>
      </c>
      <c r="F427">
        <v>3.2256375461295193</v>
      </c>
      <c r="G427">
        <v>2.9920188479927994</v>
      </c>
      <c r="H427">
        <v>7.2723213113419289</v>
      </c>
      <c r="I427">
        <v>79472.615846682165</v>
      </c>
      <c r="J427">
        <v>70</v>
      </c>
      <c r="K427">
        <v>52.890182260750336</v>
      </c>
      <c r="L427" t="str">
        <f t="shared" si="11"/>
        <v>OK</v>
      </c>
    </row>
    <row r="428" spans="1:12">
      <c r="A428" s="1">
        <v>54515</v>
      </c>
      <c r="B428" t="s">
        <v>12</v>
      </c>
      <c r="C428">
        <v>110</v>
      </c>
      <c r="D428">
        <f>(automotive_demand_forecasting_dataset5[[#This Row],[Units_Sold]] -$C$4) / $C$5</f>
        <v>0.1711240037855834</v>
      </c>
      <c r="E428">
        <v>35953.231373931703</v>
      </c>
      <c r="F428">
        <v>4.5778345189999996</v>
      </c>
      <c r="G428">
        <v>1.9739651573324197</v>
      </c>
      <c r="H428">
        <v>4.0986645384784781</v>
      </c>
      <c r="I428">
        <v>124600.011454383</v>
      </c>
      <c r="J428">
        <v>74</v>
      </c>
      <c r="K428">
        <v>38.746005252042146</v>
      </c>
      <c r="L428" t="str">
        <f t="shared" si="11"/>
        <v>OK</v>
      </c>
    </row>
    <row r="429" spans="1:12">
      <c r="A429" s="1">
        <v>54545</v>
      </c>
      <c r="B429" t="s">
        <v>14</v>
      </c>
      <c r="C429">
        <v>93</v>
      </c>
      <c r="D429">
        <f>(automotive_demand_forecasting_dataset5[[#This Row],[Units_Sold]] -$C$4) / $C$5</f>
        <v>-0.22237373382308137</v>
      </c>
      <c r="E429">
        <v>34747.770677206616</v>
      </c>
      <c r="F429">
        <v>3.5799281959987002</v>
      </c>
      <c r="G429">
        <v>0.34665708012875562</v>
      </c>
      <c r="H429">
        <v>5.7601306765151552</v>
      </c>
      <c r="I429">
        <v>80705.89148498571</v>
      </c>
      <c r="J429">
        <v>88</v>
      </c>
      <c r="K429">
        <v>21.572118619747826</v>
      </c>
      <c r="L429" t="str">
        <f t="shared" si="11"/>
        <v>OK</v>
      </c>
    </row>
    <row r="430" spans="1:12">
      <c r="A430" s="1">
        <v>54575</v>
      </c>
      <c r="B430" t="s">
        <v>11</v>
      </c>
      <c r="C430">
        <v>128.02105259999999</v>
      </c>
      <c r="D430">
        <f>(automotive_demand_forecasting_dataset5[[#This Row],[Units_Sold]] -$C$4) / $C$5</f>
        <v>0.58825597010480346</v>
      </c>
      <c r="E430">
        <v>22575.510157750483</v>
      </c>
      <c r="F430">
        <v>2.9861624295370208</v>
      </c>
      <c r="G430">
        <v>3.5971527117536954</v>
      </c>
      <c r="H430">
        <v>4.1832369668405871</v>
      </c>
      <c r="I430">
        <v>132569.37109544643</v>
      </c>
      <c r="J430">
        <f>111.9136842</f>
        <v>111.91368420000001</v>
      </c>
      <c r="K430">
        <v>90.351444544575642</v>
      </c>
      <c r="L430" t="str">
        <f t="shared" si="11"/>
        <v>OK</v>
      </c>
    </row>
    <row r="431" spans="1:12">
      <c r="A431" s="1">
        <v>54605</v>
      </c>
      <c r="B431" t="s">
        <v>11</v>
      </c>
      <c r="C431">
        <v>117</v>
      </c>
      <c r="D431">
        <f>(automotive_demand_forecasting_dataset5[[#This Row],[Units_Sold]] -$C$4) / $C$5</f>
        <v>0.3331524839773865</v>
      </c>
      <c r="E431">
        <v>17230.394325490226</v>
      </c>
      <c r="F431">
        <v>4.1328539204323507</v>
      </c>
      <c r="G431">
        <v>2.0211625439915957</v>
      </c>
      <c r="H431">
        <v>4.7933598079135651</v>
      </c>
      <c r="I431">
        <v>94312.307007869807</v>
      </c>
      <c r="J431">
        <v>74</v>
      </c>
      <c r="K431">
        <v>97.248786510470723</v>
      </c>
      <c r="L431" t="str">
        <f t="shared" si="11"/>
        <v>OK</v>
      </c>
    </row>
    <row r="432" spans="1:12">
      <c r="A432" s="1">
        <v>54635</v>
      </c>
      <c r="B432" t="s">
        <v>12</v>
      </c>
      <c r="C432">
        <v>122</v>
      </c>
      <c r="D432">
        <f>(automotive_demand_forecasting_dataset5[[#This Row],[Units_Sold]] -$C$4) / $C$5</f>
        <v>0.44888711268581732</v>
      </c>
      <c r="E432">
        <v>34671.599556196365</v>
      </c>
      <c r="F432">
        <v>3.0669125758927498</v>
      </c>
      <c r="G432">
        <v>1.6372242359568794</v>
      </c>
      <c r="H432">
        <v>4.4952850827403594</v>
      </c>
      <c r="I432">
        <v>131811.641452357</v>
      </c>
      <c r="J432">
        <v>85</v>
      </c>
      <c r="K432">
        <v>473.2563096252544</v>
      </c>
      <c r="L432" t="str">
        <f t="shared" si="11"/>
        <v>OK</v>
      </c>
    </row>
    <row r="433" spans="1:12">
      <c r="A433" s="1">
        <v>54665</v>
      </c>
      <c r="B433" t="s">
        <v>12</v>
      </c>
      <c r="C433">
        <v>90</v>
      </c>
      <c r="D433">
        <f>(automotive_demand_forecasting_dataset5[[#This Row],[Units_Sold]] -$C$4) / $C$5</f>
        <v>-0.29181451104813982</v>
      </c>
      <c r="E433">
        <v>23165.606507922894</v>
      </c>
      <c r="F433">
        <v>3.9847286002633684</v>
      </c>
      <c r="G433">
        <v>3.1934789119139939</v>
      </c>
      <c r="H433">
        <v>4.7705496871890185</v>
      </c>
      <c r="I433">
        <v>113578.62580118557</v>
      </c>
      <c r="J433">
        <v>105</v>
      </c>
      <c r="K433">
        <v>47.080550354037825</v>
      </c>
      <c r="L433" t="str">
        <f t="shared" si="11"/>
        <v>OK</v>
      </c>
    </row>
    <row r="434" spans="1:12">
      <c r="A434" s="1">
        <v>54695</v>
      </c>
      <c r="B434" t="s">
        <v>10</v>
      </c>
      <c r="C434">
        <v>113</v>
      </c>
      <c r="D434">
        <f>(automotive_demand_forecasting_dataset5[[#This Row],[Units_Sold]] -$C$4) / $C$5</f>
        <v>0.24056478101064188</v>
      </c>
      <c r="E434">
        <v>28876.172990536583</v>
      </c>
      <c r="F434">
        <v>3.7135971809358423</v>
      </c>
      <c r="G434">
        <v>2.1079873600808705</v>
      </c>
      <c r="H434">
        <v>4.853052756221226</v>
      </c>
      <c r="I434">
        <v>97260.090211150833</v>
      </c>
      <c r="J434">
        <v>75</v>
      </c>
      <c r="K434">
        <v>20.567345021949677</v>
      </c>
      <c r="L434" t="str">
        <f t="shared" si="11"/>
        <v>OK</v>
      </c>
    </row>
    <row r="435" spans="1:12">
      <c r="A435" s="1">
        <v>54725</v>
      </c>
      <c r="B435" t="s">
        <v>12</v>
      </c>
      <c r="C435">
        <v>110</v>
      </c>
      <c r="D435">
        <f>(automotive_demand_forecasting_dataset5[[#This Row],[Units_Sold]] -$C$4) / $C$5</f>
        <v>0.1711240037855834</v>
      </c>
      <c r="E435">
        <v>24149.434869703204</v>
      </c>
      <c r="F435">
        <v>3.1768863450780986</v>
      </c>
      <c r="G435">
        <v>3.5599363840466216</v>
      </c>
      <c r="H435">
        <v>4.8420774460899079</v>
      </c>
      <c r="I435">
        <v>89612.072563477472</v>
      </c>
      <c r="J435">
        <v>89</v>
      </c>
      <c r="K435">
        <v>744.20055066429927</v>
      </c>
      <c r="L435" t="str">
        <f t="shared" si="11"/>
        <v>OK</v>
      </c>
    </row>
    <row r="436" spans="1:12">
      <c r="A436" s="1">
        <v>54755</v>
      </c>
      <c r="B436" t="s">
        <v>14</v>
      </c>
      <c r="C436">
        <v>106</v>
      </c>
      <c r="D436">
        <f>(automotive_demand_forecasting_dataset5[[#This Row],[Units_Sold]] -$C$4) / $C$5</f>
        <v>7.853630081883875E-2</v>
      </c>
      <c r="E436">
        <v>20990.097812099899</v>
      </c>
      <c r="F436">
        <v>4.5778345189999996</v>
      </c>
      <c r="G436">
        <v>3.1170059495766975</v>
      </c>
      <c r="H436">
        <v>6.5000006941363688</v>
      </c>
      <c r="I436">
        <f>128897.2893</f>
        <v>128897.2893</v>
      </c>
      <c r="J436">
        <v>84</v>
      </c>
      <c r="K436">
        <f>80.21517797</f>
        <v>80.215177969999999</v>
      </c>
      <c r="L436" t="str">
        <f t="shared" si="11"/>
        <v>OK</v>
      </c>
    </row>
    <row r="437" spans="1:12">
      <c r="A437" s="1">
        <v>54785</v>
      </c>
      <c r="B437" t="s">
        <v>11</v>
      </c>
      <c r="C437">
        <v>92</v>
      </c>
      <c r="D437">
        <f>(automotive_demand_forecasting_dataset5[[#This Row],[Units_Sold]] -$C$4) / $C$5</f>
        <v>-0.24552065956476751</v>
      </c>
      <c r="E437">
        <v>32707.313641023939</v>
      </c>
      <c r="F437">
        <v>2.9031815841217599</v>
      </c>
      <c r="G437">
        <f>3.224108373</f>
        <v>3.224108373</v>
      </c>
      <c r="H437">
        <v>4.1741646483249761</v>
      </c>
      <c r="I437">
        <v>108566.33384750475</v>
      </c>
      <c r="J437">
        <v>91</v>
      </c>
      <c r="K437">
        <v>31.728664028800253</v>
      </c>
      <c r="L437" t="str">
        <f t="shared" si="11"/>
        <v>OK</v>
      </c>
    </row>
    <row r="438" spans="1:12">
      <c r="A438" s="1">
        <v>54815</v>
      </c>
      <c r="B438" t="s">
        <v>11</v>
      </c>
      <c r="C438">
        <v>121</v>
      </c>
      <c r="D438">
        <f>(automotive_demand_forecasting_dataset5[[#This Row],[Units_Sold]] -$C$4) / $C$5</f>
        <v>0.42574018694413118</v>
      </c>
      <c r="E438">
        <v>33795.775801513235</v>
      </c>
      <c r="F438">
        <v>3.9595770868050009</v>
      </c>
      <c r="G438">
        <v>1.1340442887994657</v>
      </c>
      <c r="H438">
        <f>6.97388673</f>
        <v>6.9738867300000003</v>
      </c>
      <c r="I438">
        <f>128897.2893</f>
        <v>128897.2893</v>
      </c>
      <c r="J438">
        <v>101</v>
      </c>
      <c r="K438">
        <v>32.773307949372061</v>
      </c>
      <c r="L438" t="str">
        <f t="shared" si="11"/>
        <v>OK</v>
      </c>
    </row>
    <row r="439" spans="1:12">
      <c r="A439" s="1">
        <v>54845</v>
      </c>
      <c r="B439" t="s">
        <v>10</v>
      </c>
      <c r="C439">
        <v>89</v>
      </c>
      <c r="D439">
        <f>(automotive_demand_forecasting_dataset5[[#This Row],[Units_Sold]] -$C$4) / $C$5</f>
        <v>-0.31496143678982602</v>
      </c>
      <c r="E439">
        <v>27117.447996366402</v>
      </c>
      <c r="F439">
        <v>4.0002911590214891</v>
      </c>
      <c r="G439">
        <v>3.7119439853864007</v>
      </c>
      <c r="H439">
        <v>6.9615509827666697</v>
      </c>
      <c r="I439">
        <v>88123.771838625893</v>
      </c>
      <c r="J439">
        <v>93</v>
      </c>
      <c r="K439">
        <v>83.206659997715022</v>
      </c>
      <c r="L439" t="str">
        <f t="shared" si="11"/>
        <v>OK</v>
      </c>
    </row>
    <row r="440" spans="1:12">
      <c r="A440" s="1">
        <v>54875</v>
      </c>
      <c r="B440" t="s">
        <v>11</v>
      </c>
      <c r="C440">
        <v>117</v>
      </c>
      <c r="D440">
        <f>(automotive_demand_forecasting_dataset5[[#This Row],[Units_Sold]] -$C$4) / $C$5</f>
        <v>0.3331524839773865</v>
      </c>
      <c r="E440">
        <v>17044.788539275451</v>
      </c>
      <c r="F440">
        <v>3.1646898954616773</v>
      </c>
      <c r="G440">
        <v>2.761250531233856</v>
      </c>
      <c r="H440">
        <v>4.8841643625839248</v>
      </c>
      <c r="I440">
        <v>966873.71793647355</v>
      </c>
      <c r="J440">
        <v>91</v>
      </c>
      <c r="K440">
        <v>69.303259868331565</v>
      </c>
      <c r="L440" t="str">
        <f t="shared" si="11"/>
        <v>OK</v>
      </c>
    </row>
    <row r="441" spans="1:12">
      <c r="A441" s="1">
        <v>54905</v>
      </c>
      <c r="B441" t="s">
        <v>11</v>
      </c>
      <c r="C441">
        <v>106</v>
      </c>
      <c r="D441">
        <f>(automotive_demand_forecasting_dataset5[[#This Row],[Units_Sold]] -$C$4) / $C$5</f>
        <v>7.853630081883875E-2</v>
      </c>
      <c r="E441">
        <v>27268.777758737586</v>
      </c>
      <c r="F441">
        <v>4.5778345189999996</v>
      </c>
      <c r="G441">
        <v>2.1307228607537967</v>
      </c>
      <c r="H441">
        <f>6.97388673</f>
        <v>6.9738867300000003</v>
      </c>
      <c r="I441">
        <v>101571.540594383</v>
      </c>
      <c r="J441">
        <v>93</v>
      </c>
      <c r="K441">
        <v>23.588844610217361</v>
      </c>
      <c r="L441" t="str">
        <f t="shared" si="11"/>
        <v>OK</v>
      </c>
    </row>
    <row r="442" spans="1:12">
      <c r="A442" s="1">
        <v>54935</v>
      </c>
      <c r="B442" t="s">
        <v>13</v>
      </c>
      <c r="C442">
        <v>121</v>
      </c>
      <c r="D442">
        <f>(automotive_demand_forecasting_dataset5[[#This Row],[Units_Sold]] -$C$4) / $C$5</f>
        <v>0.42574018694413118</v>
      </c>
      <c r="E442">
        <v>31959.020027012732</v>
      </c>
      <c r="F442">
        <v>3.3749767427005235</v>
      </c>
      <c r="G442">
        <v>2.643388467342251</v>
      </c>
      <c r="H442">
        <v>5.2233704497836992</v>
      </c>
      <c r="I442">
        <v>57425.31811170376</v>
      </c>
      <c r="J442">
        <v>98</v>
      </c>
      <c r="K442">
        <v>69.803759236982529</v>
      </c>
      <c r="L442" t="str">
        <f t="shared" si="11"/>
        <v>OK</v>
      </c>
    </row>
    <row r="443" spans="1:12">
      <c r="A443" s="1">
        <v>54965</v>
      </c>
      <c r="B443" t="s">
        <v>14</v>
      </c>
      <c r="C443">
        <v>95</v>
      </c>
      <c r="D443">
        <f>(automotive_demand_forecasting_dataset5[[#This Row],[Units_Sold]] -$C$4) / $C$5</f>
        <v>-0.17607988233970903</v>
      </c>
      <c r="E443">
        <v>22605.442156129357</v>
      </c>
      <c r="F443">
        <v>3.6443468146399285</v>
      </c>
      <c r="G443">
        <v>0.72376476710168003</v>
      </c>
      <c r="H443">
        <v>6.9156702500328517</v>
      </c>
      <c r="I443">
        <v>109163.36229577397</v>
      </c>
      <c r="J443">
        <v>87</v>
      </c>
      <c r="K443">
        <v>44.713417827501289</v>
      </c>
      <c r="L443" t="str">
        <f t="shared" si="11"/>
        <v>OK</v>
      </c>
    </row>
    <row r="444" spans="1:12">
      <c r="A444" s="1">
        <v>54995</v>
      </c>
      <c r="B444" t="s">
        <v>13</v>
      </c>
      <c r="C444">
        <v>91</v>
      </c>
      <c r="D444">
        <f>(automotive_demand_forecasting_dataset5[[#This Row],[Units_Sold]] -$C$4) / $C$5</f>
        <v>-0.26866758530645368</v>
      </c>
      <c r="E444">
        <v>30916.799598895777</v>
      </c>
      <c r="F444">
        <v>3.6301609193856104</v>
      </c>
      <c r="G444">
        <v>2.9086528114806707</v>
      </c>
      <c r="H444">
        <v>5.7329291571440288</v>
      </c>
      <c r="I444">
        <v>80405.575505663859</v>
      </c>
      <c r="J444">
        <v>88</v>
      </c>
      <c r="K444">
        <v>49.498012437667676</v>
      </c>
      <c r="L444" t="str">
        <f t="shared" si="11"/>
        <v>OK</v>
      </c>
    </row>
    <row r="445" spans="1:12">
      <c r="A445" s="1">
        <v>55025</v>
      </c>
      <c r="B445" t="s">
        <v>11</v>
      </c>
      <c r="C445">
        <v>82</v>
      </c>
      <c r="D445">
        <f>(automotive_demand_forecasting_dataset5[[#This Row],[Units_Sold]] -$C$4) / $C$5</f>
        <v>-0.47698991698162913</v>
      </c>
      <c r="E445">
        <v>299234.50754135021</v>
      </c>
      <c r="F445">
        <v>3.432845629264726</v>
      </c>
      <c r="G445">
        <v>1.4706284918179284</v>
      </c>
      <c r="H445">
        <v>4.8625428464708822</v>
      </c>
      <c r="I445">
        <v>76933.351935885104</v>
      </c>
      <c r="J445">
        <v>89</v>
      </c>
      <c r="K445">
        <v>815.78513463750414</v>
      </c>
      <c r="L445" t="str">
        <f t="shared" si="11"/>
        <v>OK</v>
      </c>
    </row>
    <row r="446" spans="1:12">
      <c r="A446" s="1">
        <v>55055</v>
      </c>
      <c r="B446" t="s">
        <v>10</v>
      </c>
      <c r="C446">
        <v>100</v>
      </c>
      <c r="D446">
        <f>(automotive_demand_forecasting_dataset5[[#This Row],[Units_Sold]] -$C$4) / $C$5</f>
        <v>-6.0345253631278226E-2</v>
      </c>
      <c r="E446">
        <v>32896.457498005439</v>
      </c>
      <c r="F446">
        <v>3.9054041365798913</v>
      </c>
      <c r="G446">
        <v>1.1473297141564656</v>
      </c>
      <c r="H446">
        <v>6.0806519814256479</v>
      </c>
      <c r="I446">
        <v>66253.113057785784</v>
      </c>
      <c r="J446">
        <v>92</v>
      </c>
      <c r="K446">
        <f>80.21517797</f>
        <v>80.215177969999999</v>
      </c>
      <c r="L446" t="str">
        <f t="shared" si="11"/>
        <v>OK</v>
      </c>
    </row>
    <row r="447" spans="1:12">
      <c r="A447" s="1">
        <v>55085</v>
      </c>
      <c r="B447" t="s">
        <v>10</v>
      </c>
      <c r="C447">
        <v>81</v>
      </c>
      <c r="D447">
        <f>(automotive_demand_forecasting_dataset5[[#This Row],[Units_Sold]] -$C$4) / $C$5</f>
        <v>-0.50013684272331527</v>
      </c>
      <c r="E447">
        <v>30597.901842070765</v>
      </c>
      <c r="F447">
        <v>3.8967443602761067</v>
      </c>
      <c r="G447">
        <v>9.7764081378210896</v>
      </c>
      <c r="H447">
        <v>4.1772494201962918</v>
      </c>
      <c r="I447">
        <v>64122.150042642192</v>
      </c>
      <c r="J447">
        <v>99</v>
      </c>
      <c r="K447">
        <v>52.028530147186451</v>
      </c>
      <c r="L447" t="str">
        <f t="shared" si="11"/>
        <v>OK</v>
      </c>
    </row>
    <row r="448" spans="1:12">
      <c r="A448" s="1">
        <v>55115</v>
      </c>
      <c r="B448" t="s">
        <v>11</v>
      </c>
      <c r="C448">
        <v>101</v>
      </c>
      <c r="D448">
        <f>(automotive_demand_forecasting_dataset5[[#This Row],[Units_Sold]] -$C$4) / $C$5</f>
        <v>-3.7198327889592063E-2</v>
      </c>
      <c r="E448">
        <v>25134.655295592223</v>
      </c>
      <c r="F448">
        <v>2.6257340133809097</v>
      </c>
      <c r="G448">
        <v>3.6126883749899252</v>
      </c>
      <c r="H448">
        <v>6.3176314125315374</v>
      </c>
      <c r="I448">
        <v>72891.049937754215</v>
      </c>
      <c r="J448">
        <v>82</v>
      </c>
      <c r="K448">
        <v>95.772234880508378</v>
      </c>
      <c r="L448" t="str">
        <f t="shared" si="11"/>
        <v>OK</v>
      </c>
    </row>
    <row r="449" spans="1:12">
      <c r="A449" s="1">
        <v>55145</v>
      </c>
      <c r="B449" t="s">
        <v>12</v>
      </c>
      <c r="C449">
        <v>95</v>
      </c>
      <c r="D449">
        <f>(automotive_demand_forecasting_dataset5[[#This Row],[Units_Sold]] -$C$4) / $C$5</f>
        <v>-0.17607988233970903</v>
      </c>
      <c r="E449">
        <v>35982.857508322457</v>
      </c>
      <c r="F449">
        <v>4.1521701214390765</v>
      </c>
      <c r="G449">
        <v>18.707366063072111</v>
      </c>
      <c r="H449">
        <v>5.9903287692421214</v>
      </c>
      <c r="I449">
        <v>85819.580847390185</v>
      </c>
      <c r="J449">
        <v>83</v>
      </c>
      <c r="K449">
        <v>52.51701743616578</v>
      </c>
      <c r="L449" t="str">
        <f t="shared" si="11"/>
        <v>OK</v>
      </c>
    </row>
    <row r="450" spans="1:12">
      <c r="A450" s="1">
        <v>55175</v>
      </c>
      <c r="B450" t="s">
        <v>13</v>
      </c>
      <c r="C450">
        <v>114</v>
      </c>
      <c r="D450">
        <f>(automotive_demand_forecasting_dataset5[[#This Row],[Units_Sold]] -$C$4) / $C$5</f>
        <v>0.26371170675232802</v>
      </c>
      <c r="E450">
        <v>29207.352134865148</v>
      </c>
      <c r="F450">
        <v>2.6687540059821631</v>
      </c>
      <c r="G450">
        <v>4.0337277099164996</v>
      </c>
      <c r="H450">
        <v>5.1306298346333392</v>
      </c>
      <c r="I450">
        <v>139065.18275053136</v>
      </c>
      <c r="J450">
        <v>94</v>
      </c>
      <c r="K450">
        <v>81.746882818408793</v>
      </c>
      <c r="L450" t="str">
        <f t="shared" si="11"/>
        <v>OK</v>
      </c>
    </row>
    <row r="451" spans="1:12">
      <c r="A451" s="1">
        <v>55205</v>
      </c>
      <c r="B451" t="s">
        <v>11</v>
      </c>
      <c r="C451">
        <v>92</v>
      </c>
      <c r="D451">
        <f>(automotive_demand_forecasting_dataset5[[#This Row],[Units_Sold]] -$C$4) / $C$5</f>
        <v>-0.24552065956476751</v>
      </c>
      <c r="E451">
        <v>38106.295579999998</v>
      </c>
      <c r="F451">
        <v>4.0162731021708282</v>
      </c>
      <c r="G451">
        <v>1.9641985369477022</v>
      </c>
      <c r="H451">
        <v>4.4936970418633226</v>
      </c>
      <c r="I451">
        <v>89482.406482095917</v>
      </c>
      <c r="J451">
        <v>88</v>
      </c>
      <c r="K451">
        <v>58.710181165140725</v>
      </c>
      <c r="L451" t="str">
        <f t="shared" si="11"/>
        <v>OK</v>
      </c>
    </row>
    <row r="452" spans="1:12">
      <c r="A452" s="1">
        <v>55235</v>
      </c>
      <c r="B452" t="s">
        <v>10</v>
      </c>
      <c r="C452">
        <v>113</v>
      </c>
      <c r="D452">
        <f>(automotive_demand_forecasting_dataset5[[#This Row],[Units_Sold]] -$C$4) / $C$5</f>
        <v>0.24056478101064188</v>
      </c>
      <c r="E452">
        <v>25333.660204634019</v>
      </c>
      <c r="F452">
        <v>4.5778345189999996</v>
      </c>
      <c r="G452">
        <v>0.79264204240705327</v>
      </c>
      <c r="H452">
        <v>4.4359828932598511</v>
      </c>
      <c r="I452">
        <v>103555.00212536062</v>
      </c>
      <c r="J452">
        <v>92</v>
      </c>
      <c r="K452">
        <v>91.802586121766723</v>
      </c>
      <c r="L452" t="str">
        <f t="shared" si="11"/>
        <v>OK</v>
      </c>
    </row>
    <row r="453" spans="1:12">
      <c r="A453" s="1">
        <v>55265</v>
      </c>
      <c r="B453" t="s">
        <v>10</v>
      </c>
      <c r="C453">
        <v>113</v>
      </c>
      <c r="D453">
        <f>(automotive_demand_forecasting_dataset5[[#This Row],[Units_Sold]] -$C$4) / $C$5</f>
        <v>0.24056478101064188</v>
      </c>
      <c r="E453">
        <v>27783.588744042449</v>
      </c>
      <c r="F453">
        <v>2.9545167848924008</v>
      </c>
      <c r="G453">
        <v>1.3834755600513409</v>
      </c>
      <c r="H453">
        <v>6.1417808036150925</v>
      </c>
      <c r="I453">
        <v>108009.62773012658</v>
      </c>
      <c r="J453">
        <v>78</v>
      </c>
      <c r="K453">
        <v>92.620899492014289</v>
      </c>
      <c r="L453" t="str">
        <f t="shared" si="11"/>
        <v>OK</v>
      </c>
    </row>
    <row r="454" spans="1:12">
      <c r="A454" s="1">
        <v>55295</v>
      </c>
      <c r="B454" t="s">
        <v>13</v>
      </c>
      <c r="C454">
        <v>120</v>
      </c>
      <c r="D454">
        <f>(automotive_demand_forecasting_dataset5[[#This Row],[Units_Sold]] -$C$4) / $C$5</f>
        <v>0.40259326120244504</v>
      </c>
      <c r="E454">
        <v>25575.986429865494</v>
      </c>
      <c r="F454">
        <v>3.2945928560227076</v>
      </c>
      <c r="G454">
        <v>3.7358116200069387</v>
      </c>
      <c r="H454">
        <v>6.9747766029868741</v>
      </c>
      <c r="I454">
        <f>128897.2893</f>
        <v>128897.2893</v>
      </c>
      <c r="J454">
        <v>102</v>
      </c>
      <c r="K454">
        <v>26.99334462968671</v>
      </c>
      <c r="L454" t="str">
        <f t="shared" si="11"/>
        <v>OK</v>
      </c>
    </row>
    <row r="455" spans="1:12">
      <c r="A455" s="1">
        <v>55325</v>
      </c>
      <c r="B455" t="s">
        <v>14</v>
      </c>
      <c r="C455">
        <v>108</v>
      </c>
      <c r="D455">
        <f>(automotive_demand_forecasting_dataset5[[#This Row],[Units_Sold]] -$C$4) / $C$5</f>
        <v>0.12483015230221108</v>
      </c>
      <c r="E455">
        <v>29135.269700382883</v>
      </c>
      <c r="F455">
        <v>2.9471476657570319</v>
      </c>
      <c r="G455">
        <v>2.3441018220633323</v>
      </c>
      <c r="H455">
        <v>4.7352307035654464</v>
      </c>
      <c r="I455">
        <v>98451.130785480127</v>
      </c>
      <c r="J455">
        <v>96</v>
      </c>
      <c r="K455">
        <v>94.919466504818061</v>
      </c>
      <c r="L455" t="str">
        <f t="shared" si="11"/>
        <v>OK</v>
      </c>
    </row>
    <row r="456" spans="1:12">
      <c r="A456" s="1">
        <v>55355</v>
      </c>
      <c r="B456" t="s">
        <v>11</v>
      </c>
      <c r="C456">
        <v>99</v>
      </c>
      <c r="D456">
        <f>(automotive_demand_forecasting_dataset5[[#This Row],[Units_Sold]] -$C$4) / $C$5</f>
        <v>-8.3492179372964395E-2</v>
      </c>
      <c r="E456">
        <v>38558.542400711718</v>
      </c>
      <c r="F456">
        <v>3.3925394848556323</v>
      </c>
      <c r="G456">
        <v>1.9517127035093991</v>
      </c>
      <c r="H456">
        <v>6.0500640442617808</v>
      </c>
      <c r="I456">
        <v>76094.1247280151</v>
      </c>
      <c r="J456">
        <v>75</v>
      </c>
      <c r="K456">
        <v>86.042787321633256</v>
      </c>
      <c r="L456" t="str">
        <f t="shared" si="11"/>
        <v>OK</v>
      </c>
    </row>
    <row r="457" spans="1:12">
      <c r="A457" s="1">
        <v>55385</v>
      </c>
      <c r="B457" t="s">
        <v>11</v>
      </c>
      <c r="C457">
        <v>108</v>
      </c>
      <c r="D457">
        <f>(automotive_demand_forecasting_dataset5[[#This Row],[Units_Sold]] -$C$4) / $C$5</f>
        <v>0.12483015230221108</v>
      </c>
      <c r="E457">
        <v>23140.494285343219</v>
      </c>
      <c r="F457">
        <v>3.3459828579071296</v>
      </c>
      <c r="G457">
        <v>2.6600182258527876</v>
      </c>
      <c r="H457">
        <v>2.9955675776775177</v>
      </c>
      <c r="I457">
        <v>129018.55096558423</v>
      </c>
      <c r="J457">
        <v>87</v>
      </c>
      <c r="K457">
        <v>83.304857145013358</v>
      </c>
      <c r="L457" t="str">
        <f t="shared" si="11"/>
        <v>OK</v>
      </c>
    </row>
    <row r="458" spans="1:12">
      <c r="A458" s="1">
        <v>55415</v>
      </c>
      <c r="B458" t="s">
        <v>14</v>
      </c>
      <c r="C458">
        <v>98</v>
      </c>
      <c r="D458">
        <f>(automotive_demand_forecasting_dataset5[[#This Row],[Units_Sold]] -$C$4) / $C$5</f>
        <v>-0.10663910511465055</v>
      </c>
      <c r="E458">
        <v>21932.193010616294</v>
      </c>
      <c r="F458">
        <v>3.8898302661346698</v>
      </c>
      <c r="G458">
        <v>3.0017827361675451</v>
      </c>
      <c r="H458">
        <v>4.7984587232113602</v>
      </c>
      <c r="I458">
        <v>136143.93287275769</v>
      </c>
      <c r="J458">
        <v>114</v>
      </c>
      <c r="K458">
        <v>36.072907174841795</v>
      </c>
      <c r="L458" t="str">
        <f t="shared" si="11"/>
        <v>OK</v>
      </c>
    </row>
    <row r="459" spans="1:12">
      <c r="A459" s="1">
        <v>55445</v>
      </c>
      <c r="B459" t="s">
        <v>13</v>
      </c>
      <c r="C459">
        <v>92</v>
      </c>
      <c r="D459">
        <f>(automotive_demand_forecasting_dataset5[[#This Row],[Units_Sold]] -$C$4) / $C$5</f>
        <v>-0.24552065956476751</v>
      </c>
      <c r="E459">
        <v>37355.85163746804</v>
      </c>
      <c r="F459">
        <v>4.155154373059804</v>
      </c>
      <c r="G459">
        <v>3.6173988159024608</v>
      </c>
      <c r="H459">
        <v>5.4627292805549175</v>
      </c>
      <c r="I459">
        <v>66346.826117546283</v>
      </c>
      <c r="J459">
        <v>86</v>
      </c>
      <c r="K459">
        <v>84.409536700373195</v>
      </c>
      <c r="L459" t="str">
        <f t="shared" ref="L459:L510" si="13">IF(COUNTA(A459:K459)&lt;COLUMNS(A459:K459), "Missing Data", "OK")</f>
        <v>OK</v>
      </c>
    </row>
    <row r="460" spans="1:12">
      <c r="A460" s="1">
        <v>55475</v>
      </c>
      <c r="B460" t="s">
        <v>13</v>
      </c>
      <c r="C460">
        <v>96</v>
      </c>
      <c r="D460">
        <f>(automotive_demand_forecasting_dataset5[[#This Row],[Units_Sold]] -$C$4) / $C$5</f>
        <v>-0.15293295659802289</v>
      </c>
      <c r="E460">
        <v>28953.381614240669</v>
      </c>
      <c r="F460">
        <v>4.197841905394978</v>
      </c>
      <c r="G460">
        <v>3.948499229892926</v>
      </c>
      <c r="H460">
        <v>4.4083798996217993</v>
      </c>
      <c r="I460">
        <v>79519.428182272415</v>
      </c>
      <c r="J460">
        <v>85</v>
      </c>
      <c r="K460">
        <v>88.01061877480295</v>
      </c>
      <c r="L460" t="str">
        <f t="shared" si="13"/>
        <v>OK</v>
      </c>
    </row>
    <row r="461" spans="1:12">
      <c r="A461" s="1">
        <v>55505</v>
      </c>
      <c r="B461" t="s">
        <v>10</v>
      </c>
      <c r="C461">
        <v>94</v>
      </c>
      <c r="D461">
        <f>(automotive_demand_forecasting_dataset5[[#This Row],[Units_Sold]] -$C$4) / $C$5</f>
        <v>-0.1992268080813952</v>
      </c>
      <c r="E461">
        <v>26654.636306700417</v>
      </c>
      <c r="F461">
        <v>3.218915986710849</v>
      </c>
      <c r="G461">
        <v>21.402313542109145</v>
      </c>
      <c r="H461">
        <v>4.3761923502524844</v>
      </c>
      <c r="I461">
        <f>128897.2893</f>
        <v>128897.2893</v>
      </c>
      <c r="J461">
        <v>95</v>
      </c>
      <c r="K461">
        <v>43.132026756332074</v>
      </c>
      <c r="L461" t="str">
        <f t="shared" si="13"/>
        <v>OK</v>
      </c>
    </row>
    <row r="462" spans="1:12">
      <c r="A462" s="1">
        <v>55535</v>
      </c>
      <c r="B462" t="s">
        <v>14</v>
      </c>
      <c r="C462">
        <v>75</v>
      </c>
      <c r="D462">
        <f>(automotive_demand_forecasting_dataset5[[#This Row],[Units_Sold]] -$C$4) / $C$5</f>
        <v>-0.63901839717343223</v>
      </c>
      <c r="E462">
        <v>35199.52343698038</v>
      </c>
      <c r="F462">
        <v>3.3953890631277361</v>
      </c>
      <c r="G462">
        <v>1.1739523139179617</v>
      </c>
      <c r="H462">
        <v>4.6986645322373368</v>
      </c>
      <c r="I462">
        <v>80709.244101796168</v>
      </c>
      <c r="J462">
        <v>97</v>
      </c>
      <c r="K462">
        <v>96.180806268985904</v>
      </c>
      <c r="L462" t="str">
        <f t="shared" si="13"/>
        <v>OK</v>
      </c>
    </row>
    <row r="463" spans="1:12">
      <c r="A463" s="1">
        <v>55565</v>
      </c>
      <c r="B463" t="s">
        <v>13</v>
      </c>
      <c r="C463">
        <v>97</v>
      </c>
      <c r="D463">
        <f>(automotive_demand_forecasting_dataset5[[#This Row],[Units_Sold]] -$C$4) / $C$5</f>
        <v>-0.12978603085633672</v>
      </c>
      <c r="E463">
        <v>26971.922301315681</v>
      </c>
      <c r="F463">
        <v>2.658280903889525</v>
      </c>
      <c r="G463">
        <v>2.086534838876724</v>
      </c>
      <c r="H463">
        <v>5.850631273991648</v>
      </c>
      <c r="I463">
        <v>110119.31106911731</v>
      </c>
      <c r="J463">
        <v>68</v>
      </c>
      <c r="K463">
        <v>23.988811711933138</v>
      </c>
      <c r="L463" t="str">
        <f t="shared" si="13"/>
        <v>OK</v>
      </c>
    </row>
    <row r="464" spans="1:12">
      <c r="A464" s="1">
        <v>55595</v>
      </c>
      <c r="B464" t="s">
        <v>12</v>
      </c>
      <c r="C464">
        <v>100</v>
      </c>
      <c r="D464">
        <f>(automotive_demand_forecasting_dataset5[[#This Row],[Units_Sold]] -$C$4) / $C$5</f>
        <v>-6.0345253631278226E-2</v>
      </c>
      <c r="E464">
        <v>38106.295579999998</v>
      </c>
      <c r="F464">
        <v>3.0970649667519057</v>
      </c>
      <c r="G464">
        <v>2.7602805065828862</v>
      </c>
      <c r="H464">
        <v>5.2752051779123503</v>
      </c>
      <c r="I464">
        <v>85434.555951867733</v>
      </c>
      <c r="J464">
        <v>86</v>
      </c>
      <c r="K464">
        <v>31.992740259771175</v>
      </c>
      <c r="L464" t="str">
        <f t="shared" si="13"/>
        <v>OK</v>
      </c>
    </row>
    <row r="465" spans="1:12">
      <c r="A465" s="1">
        <v>55625</v>
      </c>
      <c r="B465" t="s">
        <v>11</v>
      </c>
      <c r="C465">
        <v>98</v>
      </c>
      <c r="D465">
        <f>(automotive_demand_forecasting_dataset5[[#This Row],[Units_Sold]] -$C$4) / $C$5</f>
        <v>-0.10663910511465055</v>
      </c>
      <c r="E465">
        <v>33389.629356696343</v>
      </c>
      <c r="F465">
        <v>3.9824258165487287</v>
      </c>
      <c r="G465">
        <v>1.5362410737893892</v>
      </c>
      <c r="H465">
        <v>2.8141225200100335</v>
      </c>
      <c r="I465">
        <v>143301.12135613203</v>
      </c>
      <c r="J465">
        <v>90</v>
      </c>
      <c r="K465">
        <v>63.006491044121148</v>
      </c>
      <c r="L465" t="str">
        <f t="shared" si="13"/>
        <v>OK</v>
      </c>
    </row>
    <row r="466" spans="1:12">
      <c r="A466" s="1">
        <v>55655</v>
      </c>
      <c r="B466" t="s">
        <v>10</v>
      </c>
      <c r="C466">
        <v>121</v>
      </c>
      <c r="D466">
        <f>(automotive_demand_forecasting_dataset5[[#This Row],[Units_Sold]] -$C$4) / $C$5</f>
        <v>0.42574018694413118</v>
      </c>
      <c r="E466">
        <v>27560.442959271488</v>
      </c>
      <c r="F466">
        <v>4.3077914117741161</v>
      </c>
      <c r="G466">
        <v>1.5428490851049572</v>
      </c>
      <c r="H466">
        <v>2.9551598168379205</v>
      </c>
      <c r="I466">
        <v>123810.97188687192</v>
      </c>
      <c r="J466">
        <v>80</v>
      </c>
      <c r="K466">
        <v>66.063397689784779</v>
      </c>
      <c r="L466" t="str">
        <f t="shared" si="13"/>
        <v>OK</v>
      </c>
    </row>
    <row r="467" spans="1:12">
      <c r="A467" s="1">
        <v>55685</v>
      </c>
      <c r="B467" t="s">
        <v>14</v>
      </c>
      <c r="C467">
        <v>103</v>
      </c>
      <c r="D467">
        <f>(automotive_demand_forecasting_dataset5[[#This Row],[Units_Sold]] -$C$4) / $C$5</f>
        <v>9.0955235937802571E-3</v>
      </c>
      <c r="E467">
        <v>40786.541066327518</v>
      </c>
      <c r="F467">
        <v>4.5778345189999996</v>
      </c>
      <c r="G467">
        <v>28.437878815498856</v>
      </c>
      <c r="H467">
        <v>4.7717617865713891</v>
      </c>
      <c r="I467">
        <v>104251.4806126443</v>
      </c>
      <c r="J467">
        <v>88</v>
      </c>
      <c r="K467">
        <v>716.12006664072271</v>
      </c>
      <c r="L467" t="str">
        <f t="shared" si="13"/>
        <v>OK</v>
      </c>
    </row>
    <row r="468" spans="1:12">
      <c r="A468" s="1">
        <v>55715</v>
      </c>
      <c r="B468" t="s">
        <v>10</v>
      </c>
      <c r="C468">
        <v>121</v>
      </c>
      <c r="D468">
        <f>(automotive_demand_forecasting_dataset5[[#This Row],[Units_Sold]] -$C$4) / $C$5</f>
        <v>0.42574018694413118</v>
      </c>
      <c r="E468">
        <v>38106.295579999998</v>
      </c>
      <c r="F468">
        <v>32.037678704235532</v>
      </c>
      <c r="G468">
        <v>2.4513476484295489</v>
      </c>
      <c r="H468">
        <v>6.0492239032642621</v>
      </c>
      <c r="I468">
        <v>120539.72526639464</v>
      </c>
      <c r="J468">
        <v>95</v>
      </c>
      <c r="K468">
        <v>21.357530345237315</v>
      </c>
      <c r="L468" t="str">
        <f t="shared" si="13"/>
        <v>OK</v>
      </c>
    </row>
    <row r="469" spans="1:12">
      <c r="A469" s="1">
        <v>55745</v>
      </c>
      <c r="B469" t="s">
        <v>13</v>
      </c>
      <c r="C469">
        <v>103</v>
      </c>
      <c r="D469">
        <f>(automotive_demand_forecasting_dataset5[[#This Row],[Units_Sold]] -$C$4) / $C$5</f>
        <v>9.0955235937802571E-3</v>
      </c>
      <c r="E469">
        <v>33710.476860046532</v>
      </c>
      <c r="F469">
        <v>3.4867971215205364</v>
      </c>
      <c r="G469">
        <v>2.5327969954115863</v>
      </c>
      <c r="H469">
        <v>2.2029941887297184</v>
      </c>
      <c r="I469">
        <v>122118.00848714617</v>
      </c>
      <c r="J469">
        <v>93</v>
      </c>
      <c r="K469">
        <v>96.829341969770425</v>
      </c>
      <c r="L469" t="str">
        <f t="shared" si="13"/>
        <v>OK</v>
      </c>
    </row>
    <row r="470" spans="1:12">
      <c r="A470" s="1">
        <v>55775</v>
      </c>
      <c r="B470" t="s">
        <v>13</v>
      </c>
      <c r="C470">
        <v>91</v>
      </c>
      <c r="D470">
        <f>(automotive_demand_forecasting_dataset5[[#This Row],[Units_Sold]] -$C$4) / $C$5</f>
        <v>-0.26866758530645368</v>
      </c>
      <c r="E470">
        <v>31496.462902032461</v>
      </c>
      <c r="F470">
        <v>4.5778345189999996</v>
      </c>
      <c r="G470">
        <v>1.7415046652999306</v>
      </c>
      <c r="H470">
        <f>6.97388673</f>
        <v>6.9738867300000003</v>
      </c>
      <c r="I470">
        <v>88721.050238835131</v>
      </c>
      <c r="J470">
        <v>95</v>
      </c>
      <c r="K470">
        <v>23.567047418731519</v>
      </c>
      <c r="L470" t="str">
        <f t="shared" si="13"/>
        <v>OK</v>
      </c>
    </row>
    <row r="471" spans="1:12">
      <c r="A471" s="1">
        <v>55805</v>
      </c>
      <c r="B471" t="s">
        <v>12</v>
      </c>
      <c r="C471">
        <v>91</v>
      </c>
      <c r="D471">
        <f>(automotive_demand_forecasting_dataset5[[#This Row],[Units_Sold]] -$C$4) / $C$5</f>
        <v>-0.26866758530645368</v>
      </c>
      <c r="E471">
        <v>36508.706446993994</v>
      </c>
      <c r="F471">
        <v>3.0951982400391769</v>
      </c>
      <c r="G471">
        <v>2.2695992857942326</v>
      </c>
      <c r="H471">
        <v>4.8685025721790947</v>
      </c>
      <c r="I471">
        <v>83675.655109160711</v>
      </c>
      <c r="J471">
        <v>93</v>
      </c>
      <c r="K471">
        <v>31.444956217872189</v>
      </c>
      <c r="L471" t="str">
        <f t="shared" si="13"/>
        <v>OK</v>
      </c>
    </row>
    <row r="472" spans="1:12">
      <c r="A472" s="1">
        <v>55835</v>
      </c>
      <c r="B472" t="s">
        <v>11</v>
      </c>
      <c r="C472">
        <v>128.02105259999999</v>
      </c>
      <c r="D472">
        <f>(automotive_demand_forecasting_dataset5[[#This Row],[Units_Sold]] -$C$4) / $C$5</f>
        <v>0.58825597010480346</v>
      </c>
      <c r="E472">
        <v>37807.555983634265</v>
      </c>
      <c r="F472">
        <v>3.7120305222320447</v>
      </c>
      <c r="G472">
        <v>1.5757668557316955</v>
      </c>
      <c r="H472">
        <v>7.166005333850137</v>
      </c>
      <c r="I472">
        <v>101562.86125939294</v>
      </c>
      <c r="J472">
        <v>81</v>
      </c>
      <c r="K472">
        <v>21.12116140208456</v>
      </c>
      <c r="L472" t="str">
        <f t="shared" si="13"/>
        <v>OK</v>
      </c>
    </row>
    <row r="473" spans="1:12">
      <c r="A473" s="1">
        <v>55865</v>
      </c>
      <c r="B473" t="s">
        <v>14</v>
      </c>
      <c r="C473">
        <v>97</v>
      </c>
      <c r="D473">
        <f>(automotive_demand_forecasting_dataset5[[#This Row],[Units_Sold]] -$C$4) / $C$5</f>
        <v>-0.12978603085633672</v>
      </c>
      <c r="E473">
        <v>30160.020745328835</v>
      </c>
      <c r="F473">
        <v>3.263080326464542</v>
      </c>
      <c r="G473">
        <v>3.3901984111247869</v>
      </c>
      <c r="H473">
        <v>5.0379738259445634</v>
      </c>
      <c r="I473">
        <v>117232.72248995888</v>
      </c>
      <c r="J473">
        <v>89</v>
      </c>
      <c r="K473">
        <v>65.348674663527575</v>
      </c>
      <c r="L473" t="str">
        <f t="shared" si="13"/>
        <v>OK</v>
      </c>
    </row>
    <row r="474" spans="1:12">
      <c r="A474" s="1">
        <v>55895</v>
      </c>
      <c r="B474" t="s">
        <v>10</v>
      </c>
      <c r="C474">
        <v>106</v>
      </c>
      <c r="D474">
        <f>(automotive_demand_forecasting_dataset5[[#This Row],[Units_Sold]] -$C$4) / $C$5</f>
        <v>7.853630081883875E-2</v>
      </c>
      <c r="E474">
        <v>26232.910648269084</v>
      </c>
      <c r="F474">
        <v>3.4927738645608604</v>
      </c>
      <c r="G474">
        <f>3.224108373</f>
        <v>3.224108373</v>
      </c>
      <c r="H474">
        <v>5.9595867816891142</v>
      </c>
      <c r="I474">
        <v>102781.20797306835</v>
      </c>
      <c r="J474">
        <v>73</v>
      </c>
      <c r="K474">
        <v>94.581350713677779</v>
      </c>
      <c r="L474" t="str">
        <f t="shared" si="13"/>
        <v>OK</v>
      </c>
    </row>
    <row r="475" spans="1:12">
      <c r="A475" s="1">
        <v>55925</v>
      </c>
      <c r="B475" t="s">
        <v>11</v>
      </c>
      <c r="C475">
        <v>110</v>
      </c>
      <c r="D475">
        <f>(automotive_demand_forecasting_dataset5[[#This Row],[Units_Sold]] -$C$4) / $C$5</f>
        <v>0.1711240037855834</v>
      </c>
      <c r="E475">
        <v>32299.860714695584</v>
      </c>
      <c r="F475">
        <v>4.5778345189999996</v>
      </c>
      <c r="G475">
        <v>0.65381213776190616</v>
      </c>
      <c r="H475">
        <v>56.695085681049555</v>
      </c>
      <c r="I475">
        <v>68460.070356180047</v>
      </c>
      <c r="J475">
        <v>860</v>
      </c>
      <c r="K475">
        <v>73.275773286437129</v>
      </c>
      <c r="L475" t="str">
        <f t="shared" si="13"/>
        <v>OK</v>
      </c>
    </row>
    <row r="476" spans="1:12">
      <c r="A476" s="1">
        <v>55955</v>
      </c>
      <c r="B476" t="s">
        <v>13</v>
      </c>
      <c r="C476">
        <v>91</v>
      </c>
      <c r="D476">
        <f>(automotive_demand_forecasting_dataset5[[#This Row],[Units_Sold]] -$C$4) / $C$5</f>
        <v>-0.26866758530645368</v>
      </c>
      <c r="E476">
        <v>26611.423151239469</v>
      </c>
      <c r="F476">
        <v>3.5032111349054689</v>
      </c>
      <c r="G476">
        <v>1.57048913980759</v>
      </c>
      <c r="H476">
        <v>2.9433202242313592</v>
      </c>
      <c r="I476">
        <v>83943.511120983152</v>
      </c>
      <c r="J476">
        <v>91</v>
      </c>
      <c r="K476">
        <v>85.812597478434185</v>
      </c>
      <c r="L476" t="str">
        <f t="shared" si="13"/>
        <v>OK</v>
      </c>
    </row>
    <row r="477" spans="1:12">
      <c r="A477" s="1">
        <v>55985</v>
      </c>
      <c r="B477" t="s">
        <v>11</v>
      </c>
      <c r="C477">
        <v>103</v>
      </c>
      <c r="D477">
        <f>(automotive_demand_forecasting_dataset5[[#This Row],[Units_Sold]] -$C$4) / $C$5</f>
        <v>9.0955235937802571E-3</v>
      </c>
      <c r="E477">
        <v>40066.936237633112</v>
      </c>
      <c r="F477">
        <v>3.2818070547367157</v>
      </c>
      <c r="G477">
        <v>1.0034707449099209</v>
      </c>
      <c r="H477">
        <v>6.4218486599580844</v>
      </c>
      <c r="I477">
        <v>98520.542728112443</v>
      </c>
      <c r="J477">
        <v>84</v>
      </c>
      <c r="K477">
        <v>21.062496276686407</v>
      </c>
      <c r="L477" t="str">
        <f t="shared" si="13"/>
        <v>OK</v>
      </c>
    </row>
    <row r="478" spans="1:12">
      <c r="A478" s="1">
        <v>56015</v>
      </c>
      <c r="B478" t="s">
        <v>10</v>
      </c>
      <c r="C478">
        <v>84</v>
      </c>
      <c r="D478">
        <f>(automotive_demand_forecasting_dataset5[[#This Row],[Units_Sold]] -$C$4) / $C$5</f>
        <v>-0.43069606549825684</v>
      </c>
      <c r="E478">
        <v>30682.676655413688</v>
      </c>
      <c r="F478">
        <v>3.4451950980370847</v>
      </c>
      <c r="G478">
        <v>1.8499760655931019</v>
      </c>
      <c r="H478">
        <v>5.7584758065475459</v>
      </c>
      <c r="I478">
        <v>98486.687913483402</v>
      </c>
      <c r="J478">
        <v>81</v>
      </c>
      <c r="K478">
        <v>63.361223878378084</v>
      </c>
      <c r="L478" t="str">
        <f t="shared" si="13"/>
        <v>OK</v>
      </c>
    </row>
    <row r="479" spans="1:12">
      <c r="A479" s="1">
        <v>56045</v>
      </c>
      <c r="B479" t="s">
        <v>11</v>
      </c>
      <c r="C479">
        <v>93</v>
      </c>
      <c r="D479">
        <f>(automotive_demand_forecasting_dataset5[[#This Row],[Units_Sold]] -$C$4) / $C$5</f>
        <v>-0.22237373382308137</v>
      </c>
      <c r="E479">
        <v>28173.392243439455</v>
      </c>
      <c r="F479">
        <v>3.4558185203973322</v>
      </c>
      <c r="G479">
        <v>2.4165620302096391</v>
      </c>
      <c r="H479">
        <v>6.1099223676095074</v>
      </c>
      <c r="I479">
        <v>139450.84353579616</v>
      </c>
      <c r="J479">
        <v>96</v>
      </c>
      <c r="K479">
        <v>56.765038200441751</v>
      </c>
      <c r="L479" t="str">
        <f t="shared" si="13"/>
        <v>OK</v>
      </c>
    </row>
    <row r="480" spans="1:12">
      <c r="A480" s="1">
        <v>56075</v>
      </c>
      <c r="B480" t="s">
        <v>13</v>
      </c>
      <c r="C480">
        <v>113</v>
      </c>
      <c r="D480">
        <f>(automotive_demand_forecasting_dataset5[[#This Row],[Units_Sold]] -$C$4) / $C$5</f>
        <v>0.24056478101064188</v>
      </c>
      <c r="E480">
        <v>309234.01529324544</v>
      </c>
      <c r="F480">
        <v>3.3149944850589361</v>
      </c>
      <c r="G480">
        <v>1.0503547803014699</v>
      </c>
      <c r="H480">
        <v>10.211485247723591</v>
      </c>
      <c r="I480">
        <v>72280.24115202004</v>
      </c>
      <c r="J480">
        <v>86</v>
      </c>
      <c r="K480">
        <v>59.917435537663444</v>
      </c>
      <c r="L480" t="str">
        <f t="shared" si="13"/>
        <v>OK</v>
      </c>
    </row>
    <row r="481" spans="1:12">
      <c r="A481" s="1">
        <v>56105</v>
      </c>
      <c r="B481" t="s">
        <v>11</v>
      </c>
      <c r="C481">
        <v>105</v>
      </c>
      <c r="D481">
        <f>(automotive_demand_forecasting_dataset5[[#This Row],[Units_Sold]] -$C$4) / $C$5</f>
        <v>5.5389375077152581E-2</v>
      </c>
      <c r="E481">
        <v>23264.368552351516</v>
      </c>
      <c r="F481">
        <v>3.370601968666449</v>
      </c>
      <c r="G481">
        <v>1.5781401868746867</v>
      </c>
      <c r="H481">
        <v>29.990644726016939</v>
      </c>
      <c r="I481">
        <v>110111.78483671749</v>
      </c>
      <c r="J481">
        <v>99</v>
      </c>
      <c r="K481">
        <v>25.777054826815036</v>
      </c>
      <c r="L481" t="str">
        <f t="shared" si="13"/>
        <v>OK</v>
      </c>
    </row>
    <row r="482" spans="1:12">
      <c r="A482" s="1">
        <v>56135</v>
      </c>
      <c r="B482" t="s">
        <v>14</v>
      </c>
      <c r="C482">
        <v>83</v>
      </c>
      <c r="D482">
        <f>(automotive_demand_forecasting_dataset5[[#This Row],[Units_Sold]] -$C$4) / $C$5</f>
        <v>-0.45384299123994298</v>
      </c>
      <c r="E482">
        <v>25141.929807446744</v>
      </c>
      <c r="F482">
        <v>4.2993235852523588</v>
      </c>
      <c r="G482">
        <v>1.4960426279185015</v>
      </c>
      <c r="H482">
        <v>7.5696359797133299</v>
      </c>
      <c r="I482">
        <v>129782.26216656579</v>
      </c>
      <c r="J482">
        <v>72</v>
      </c>
      <c r="K482">
        <v>74.754828885544597</v>
      </c>
      <c r="L482" t="str">
        <f t="shared" si="13"/>
        <v>OK</v>
      </c>
    </row>
    <row r="483" spans="1:12">
      <c r="A483" s="1">
        <v>56165</v>
      </c>
      <c r="B483" t="s">
        <v>11</v>
      </c>
      <c r="C483">
        <v>96</v>
      </c>
      <c r="D483">
        <f>(automotive_demand_forecasting_dataset5[[#This Row],[Units_Sold]] -$C$4) / $C$5</f>
        <v>-0.15293295659802289</v>
      </c>
      <c r="E483">
        <v>36002.069539722128</v>
      </c>
      <c r="F483">
        <v>3.7804597239706195</v>
      </c>
      <c r="G483">
        <v>2.707267329398944</v>
      </c>
      <c r="H483">
        <v>5.1550629767195737</v>
      </c>
      <c r="I483">
        <v>145428.99490845593</v>
      </c>
      <c r="J483">
        <v>83</v>
      </c>
      <c r="K483">
        <v>60.257633188690754</v>
      </c>
      <c r="L483" t="str">
        <f t="shared" si="13"/>
        <v>OK</v>
      </c>
    </row>
    <row r="484" spans="1:12">
      <c r="A484" s="1">
        <v>56195</v>
      </c>
      <c r="B484" t="s">
        <v>14</v>
      </c>
      <c r="C484">
        <v>107</v>
      </c>
      <c r="D484">
        <f>(automotive_demand_forecasting_dataset5[[#This Row],[Units_Sold]] -$C$4) / $C$5</f>
        <v>0.10168322656052491</v>
      </c>
      <c r="E484">
        <v>26715.528605143023</v>
      </c>
      <c r="F484">
        <v>3.3522598409854196</v>
      </c>
      <c r="G484">
        <v>2.5693443370362505</v>
      </c>
      <c r="H484">
        <v>5.8447946852836115</v>
      </c>
      <c r="I484">
        <v>91912.051536320767</v>
      </c>
      <c r="J484">
        <v>98</v>
      </c>
      <c r="K484">
        <v>81.211907988901118</v>
      </c>
      <c r="L484" t="str">
        <f t="shared" si="13"/>
        <v>OK</v>
      </c>
    </row>
    <row r="485" spans="1:12">
      <c r="A485" s="1">
        <v>56225</v>
      </c>
      <c r="B485" t="s">
        <v>11</v>
      </c>
      <c r="C485">
        <v>83</v>
      </c>
      <c r="D485">
        <f>(automotive_demand_forecasting_dataset5[[#This Row],[Units_Sold]] -$C$4) / $C$5</f>
        <v>-0.45384299123994298</v>
      </c>
      <c r="E485">
        <v>24765.445086590302</v>
      </c>
      <c r="F485">
        <v>3.8484772022553679</v>
      </c>
      <c r="G485">
        <v>1.7782624466627466</v>
      </c>
      <c r="H485">
        <v>5.4453853056385091</v>
      </c>
      <c r="I485">
        <v>109828.589054404</v>
      </c>
      <c r="J485">
        <v>101</v>
      </c>
      <c r="K485">
        <v>58.823250724937225</v>
      </c>
      <c r="L485" t="str">
        <f t="shared" si="13"/>
        <v>OK</v>
      </c>
    </row>
    <row r="486" spans="1:12">
      <c r="A486" s="1">
        <v>56255</v>
      </c>
      <c r="B486" t="s">
        <v>13</v>
      </c>
      <c r="C486">
        <v>105</v>
      </c>
      <c r="D486">
        <f>(automotive_demand_forecasting_dataset5[[#This Row],[Units_Sold]] -$C$4) / $C$5</f>
        <v>5.5389375077152581E-2</v>
      </c>
      <c r="E486">
        <v>32683.26376263643</v>
      </c>
      <c r="F486">
        <v>3.333090255121995</v>
      </c>
      <c r="G486">
        <v>2.6768208721393978</v>
      </c>
      <c r="H486">
        <v>4.990916399922348</v>
      </c>
      <c r="I486">
        <v>111395.20714397293</v>
      </c>
      <c r="J486">
        <v>950</v>
      </c>
      <c r="K486">
        <v>31.950530898114565</v>
      </c>
      <c r="L486" t="str">
        <f t="shared" si="13"/>
        <v>OK</v>
      </c>
    </row>
    <row r="487" spans="1:12">
      <c r="A487" s="1">
        <v>56285</v>
      </c>
      <c r="B487" t="s">
        <v>12</v>
      </c>
      <c r="C487">
        <v>112</v>
      </c>
      <c r="D487">
        <f>(automotive_demand_forecasting_dataset5[[#This Row],[Units_Sold]] -$C$4) / $C$5</f>
        <v>0.21741785526895571</v>
      </c>
      <c r="E487">
        <v>35928.520773314987</v>
      </c>
      <c r="F487">
        <v>4.0865623187933204</v>
      </c>
      <c r="G487">
        <v>1.9533199154127345</v>
      </c>
      <c r="H487">
        <v>4.8162004861134893</v>
      </c>
      <c r="I487">
        <v>103909.63463106581</v>
      </c>
      <c r="J487">
        <v>71</v>
      </c>
      <c r="K487">
        <v>71.860556326225762</v>
      </c>
      <c r="L487" t="str">
        <f t="shared" si="13"/>
        <v>OK</v>
      </c>
    </row>
    <row r="488" spans="1:12">
      <c r="A488" s="1">
        <v>56315</v>
      </c>
      <c r="B488" t="s">
        <v>12</v>
      </c>
      <c r="C488">
        <v>99</v>
      </c>
      <c r="D488">
        <f>(automotive_demand_forecasting_dataset5[[#This Row],[Units_Sold]] -$C$4) / $C$5</f>
        <v>-8.3492179372964395E-2</v>
      </c>
      <c r="E488">
        <v>33594.766553325331</v>
      </c>
      <c r="F488">
        <v>3.6848210960990468</v>
      </c>
      <c r="G488">
        <v>2.2283448896739468</v>
      </c>
      <c r="H488">
        <v>5.8954104826876108</v>
      </c>
      <c r="I488">
        <v>98023.095975213873</v>
      </c>
      <c r="J488">
        <v>85</v>
      </c>
      <c r="K488">
        <v>33.790908968413298</v>
      </c>
      <c r="L488" t="str">
        <f t="shared" si="13"/>
        <v>OK</v>
      </c>
    </row>
    <row r="489" spans="1:12">
      <c r="A489" s="1">
        <v>56345</v>
      </c>
      <c r="B489" t="s">
        <v>14</v>
      </c>
      <c r="C489">
        <v>111</v>
      </c>
      <c r="D489">
        <f>(automotive_demand_forecasting_dataset5[[#This Row],[Units_Sold]] -$C$4) / $C$5</f>
        <v>0.19427092952726954</v>
      </c>
      <c r="E489">
        <v>34980.238429029079</v>
      </c>
      <c r="F489">
        <v>3.4463489279978856</v>
      </c>
      <c r="G489">
        <v>4.1734520902985368</v>
      </c>
      <c r="H489">
        <v>3.6793915639939851</v>
      </c>
      <c r="I489">
        <v>108719.50779000092</v>
      </c>
      <c r="J489">
        <v>98</v>
      </c>
      <c r="K489">
        <v>89.791565068385196</v>
      </c>
      <c r="L489" t="str">
        <f t="shared" si="13"/>
        <v>OK</v>
      </c>
    </row>
    <row r="490" spans="1:12">
      <c r="A490" s="1">
        <v>56375</v>
      </c>
      <c r="B490" t="s">
        <v>14</v>
      </c>
      <c r="C490">
        <v>105</v>
      </c>
      <c r="D490">
        <f>(automotive_demand_forecasting_dataset5[[#This Row],[Units_Sold]] -$C$4) / $C$5</f>
        <v>5.5389375077152581E-2</v>
      </c>
      <c r="E490">
        <v>26216.024557152698</v>
      </c>
      <c r="F490">
        <v>3.723858462905139</v>
      </c>
      <c r="G490">
        <v>3.8404610517903479</v>
      </c>
      <c r="H490">
        <v>6.4006950010261185</v>
      </c>
      <c r="I490">
        <v>49355.07829560629</v>
      </c>
      <c r="J490">
        <v>100</v>
      </c>
      <c r="K490">
        <v>69.049299125539321</v>
      </c>
      <c r="L490" t="str">
        <f t="shared" si="13"/>
        <v>OK</v>
      </c>
    </row>
    <row r="491" spans="1:12">
      <c r="A491" s="1">
        <v>56405</v>
      </c>
      <c r="B491" t="s">
        <v>12</v>
      </c>
      <c r="C491">
        <v>93</v>
      </c>
      <c r="D491">
        <f>(automotive_demand_forecasting_dataset5[[#This Row],[Units_Sold]] -$C$4) / $C$5</f>
        <v>-0.22237373382308137</v>
      </c>
      <c r="E491">
        <v>22890.94666629078</v>
      </c>
      <c r="F491">
        <v>2.7145619239657504</v>
      </c>
      <c r="G491">
        <v>1.2004187630724024</v>
      </c>
      <c r="H491">
        <v>5.0005667141376957</v>
      </c>
      <c r="I491">
        <v>113641.38980125263</v>
      </c>
      <c r="J491">
        <v>88</v>
      </c>
      <c r="K491">
        <v>32.57631068455634</v>
      </c>
      <c r="L491" t="str">
        <f t="shared" si="13"/>
        <v>OK</v>
      </c>
    </row>
    <row r="492" spans="1:12">
      <c r="A492" s="1">
        <v>56435</v>
      </c>
      <c r="B492" t="s">
        <v>13</v>
      </c>
      <c r="C492">
        <v>109</v>
      </c>
      <c r="D492">
        <f>(automotive_demand_forecasting_dataset5[[#This Row],[Units_Sold]] -$C$4) / $C$5</f>
        <v>0.14797707804389723</v>
      </c>
      <c r="E492">
        <v>37506.668259777434</v>
      </c>
      <c r="F492">
        <v>2.9366162655450974</v>
      </c>
      <c r="G492">
        <v>3.3297324178791747</v>
      </c>
      <c r="H492">
        <v>4.143916793151571</v>
      </c>
      <c r="I492">
        <v>102523.55807323934</v>
      </c>
      <c r="J492">
        <v>82</v>
      </c>
      <c r="K492">
        <v>96.987044598496539</v>
      </c>
      <c r="L492" t="str">
        <f t="shared" si="13"/>
        <v>OK</v>
      </c>
    </row>
    <row r="493" spans="1:12">
      <c r="A493" s="1">
        <v>56465</v>
      </c>
      <c r="B493" t="s">
        <v>13</v>
      </c>
      <c r="C493">
        <v>106</v>
      </c>
      <c r="D493">
        <f>(automotive_demand_forecasting_dataset5[[#This Row],[Units_Sold]] -$C$4) / $C$5</f>
        <v>7.853630081883875E-2</v>
      </c>
      <c r="E493">
        <v>28386.60080578932</v>
      </c>
      <c r="F493">
        <v>2.9030374968004722</v>
      </c>
      <c r="G493">
        <v>33.113965544915921</v>
      </c>
      <c r="H493">
        <v>4.9599845704050232</v>
      </c>
      <c r="I493">
        <v>95550.502064434695</v>
      </c>
      <c r="J493">
        <v>930</v>
      </c>
      <c r="K493">
        <v>61.469237066825649</v>
      </c>
      <c r="L493" t="str">
        <f t="shared" si="13"/>
        <v>OK</v>
      </c>
    </row>
    <row r="494" spans="1:12">
      <c r="A494" s="1">
        <v>56495</v>
      </c>
      <c r="B494" t="s">
        <v>11</v>
      </c>
      <c r="C494">
        <v>106</v>
      </c>
      <c r="D494">
        <f>(automotive_demand_forecasting_dataset5[[#This Row],[Units_Sold]] -$C$4) / $C$5</f>
        <v>7.853630081883875E-2</v>
      </c>
      <c r="E494">
        <v>28745.834917724762</v>
      </c>
      <c r="F494">
        <v>3.5714715473818535</v>
      </c>
      <c r="G494">
        <v>1.3517367112473817</v>
      </c>
      <c r="H494">
        <v>7.0085790602350873</v>
      </c>
      <c r="I494">
        <v>140937.24391439115</v>
      </c>
      <c r="J494">
        <v>79</v>
      </c>
      <c r="K494">
        <v>25.831876149732402</v>
      </c>
      <c r="L494" t="str">
        <f t="shared" si="13"/>
        <v>OK</v>
      </c>
    </row>
    <row r="495" spans="1:12">
      <c r="A495" s="1">
        <v>56525</v>
      </c>
      <c r="B495" t="s">
        <v>14</v>
      </c>
      <c r="C495">
        <v>103</v>
      </c>
      <c r="D495">
        <f>(automotive_demand_forecasting_dataset5[[#This Row],[Units_Sold]] -$C$4) / $C$5</f>
        <v>9.0955235937802571E-3</v>
      </c>
      <c r="E495">
        <v>36640.970709245288</v>
      </c>
      <c r="F495">
        <v>4.3662574997425461</v>
      </c>
      <c r="G495">
        <f>3.224108373</f>
        <v>3.224108373</v>
      </c>
      <c r="H495">
        <v>4.8575978955805326</v>
      </c>
      <c r="I495">
        <v>86501.319624188953</v>
      </c>
      <c r="J495">
        <v>92</v>
      </c>
      <c r="K495">
        <v>70.146632353205376</v>
      </c>
      <c r="L495" t="str">
        <f t="shared" si="13"/>
        <v>OK</v>
      </c>
    </row>
    <row r="496" spans="1:12">
      <c r="A496" s="1">
        <v>56555</v>
      </c>
      <c r="B496" t="s">
        <v>13</v>
      </c>
      <c r="C496">
        <v>113</v>
      </c>
      <c r="D496">
        <f>(automotive_demand_forecasting_dataset5[[#This Row],[Units_Sold]] -$C$4) / $C$5</f>
        <v>0.24056478101064188</v>
      </c>
      <c r="E496">
        <v>32781.150047003299</v>
      </c>
      <c r="F496">
        <v>4.6156500730963161</v>
      </c>
      <c r="G496">
        <v>4.0379319184125526</v>
      </c>
      <c r="H496">
        <v>5.9301443418515447</v>
      </c>
      <c r="I496">
        <v>91938.480218699391</v>
      </c>
      <c r="J496">
        <f>111.9136842</f>
        <v>111.91368420000001</v>
      </c>
      <c r="K496">
        <v>40.255912561024815</v>
      </c>
      <c r="L496" t="str">
        <f t="shared" si="13"/>
        <v>OK</v>
      </c>
    </row>
    <row r="497" spans="1:12">
      <c r="A497" s="1">
        <v>56585</v>
      </c>
      <c r="B497" t="s">
        <v>10</v>
      </c>
      <c r="C497">
        <v>111</v>
      </c>
      <c r="D497">
        <f>(automotive_demand_forecasting_dataset5[[#This Row],[Units_Sold]] -$C$4) / $C$5</f>
        <v>0.19427092952726954</v>
      </c>
      <c r="E497">
        <v>322794.38860408036</v>
      </c>
      <c r="F497">
        <v>3.8190255507203785</v>
      </c>
      <c r="G497">
        <v>1.3774551937555861</v>
      </c>
      <c r="H497">
        <v>4.6228524691414323</v>
      </c>
      <c r="I497">
        <v>1398310.6604409469</v>
      </c>
      <c r="J497">
        <v>92</v>
      </c>
      <c r="K497">
        <v>84.2954761501842</v>
      </c>
      <c r="L497" t="str">
        <f t="shared" si="13"/>
        <v>OK</v>
      </c>
    </row>
    <row r="498" spans="1:12">
      <c r="A498" s="1">
        <v>56615</v>
      </c>
      <c r="B498" t="s">
        <v>11</v>
      </c>
      <c r="C498">
        <v>128.02105259999999</v>
      </c>
      <c r="D498">
        <f>(automotive_demand_forecasting_dataset5[[#This Row],[Units_Sold]] -$C$4) / $C$5</f>
        <v>0.58825597010480346</v>
      </c>
      <c r="E498">
        <v>40825.011724505421</v>
      </c>
      <c r="F498">
        <v>3.7504222374722285</v>
      </c>
      <c r="G498">
        <v>1.5824971789857365</v>
      </c>
      <c r="H498">
        <v>6.4095062199083435</v>
      </c>
      <c r="I498">
        <f>128897.2893</f>
        <v>128897.2893</v>
      </c>
      <c r="J498">
        <v>92</v>
      </c>
      <c r="K498">
        <v>85.425765885295249</v>
      </c>
      <c r="L498" t="str">
        <f t="shared" si="13"/>
        <v>OK</v>
      </c>
    </row>
    <row r="499" spans="1:12">
      <c r="A499" s="1">
        <v>56645</v>
      </c>
      <c r="B499" t="s">
        <v>11</v>
      </c>
      <c r="C499">
        <v>89</v>
      </c>
      <c r="D499">
        <f>(automotive_demand_forecasting_dataset5[[#This Row],[Units_Sold]] -$C$4) / $C$5</f>
        <v>-0.31496143678982602</v>
      </c>
      <c r="E499">
        <v>26782.408848099287</v>
      </c>
      <c r="F499">
        <v>2.5994711329236306</v>
      </c>
      <c r="G499">
        <v>3.5176614668435024</v>
      </c>
      <c r="H499">
        <f>6.97388673</f>
        <v>6.9738867300000003</v>
      </c>
      <c r="I499">
        <v>88997.69434126922</v>
      </c>
      <c r="J499">
        <v>90</v>
      </c>
      <c r="K499">
        <v>98.315788468372943</v>
      </c>
      <c r="L499" t="str">
        <f t="shared" si="13"/>
        <v>OK</v>
      </c>
    </row>
    <row r="500" spans="1:12">
      <c r="A500" s="1">
        <v>56675</v>
      </c>
      <c r="B500" t="s">
        <v>12</v>
      </c>
      <c r="C500">
        <v>111</v>
      </c>
      <c r="D500">
        <f>(automotive_demand_forecasting_dataset5[[#This Row],[Units_Sold]] -$C$4) / $C$5</f>
        <v>0.19427092952726954</v>
      </c>
      <c r="E500">
        <v>34639.200640406183</v>
      </c>
      <c r="F500">
        <v>3.2286631001329891</v>
      </c>
      <c r="G500">
        <v>2.7714953108256482</v>
      </c>
      <c r="H500">
        <v>7.7183305999556939</v>
      </c>
      <c r="I500">
        <v>97059.491531382999</v>
      </c>
      <c r="J500">
        <v>82</v>
      </c>
      <c r="K500">
        <v>60.149562481960295</v>
      </c>
      <c r="L500" t="str">
        <f t="shared" si="13"/>
        <v>OK</v>
      </c>
    </row>
    <row r="501" spans="1:12">
      <c r="A501" s="1">
        <v>56705</v>
      </c>
      <c r="B501" t="s">
        <v>14</v>
      </c>
      <c r="C501">
        <v>104</v>
      </c>
      <c r="D501">
        <f>(automotive_demand_forecasting_dataset5[[#This Row],[Units_Sold]] -$C$4) / $C$5</f>
        <v>3.2242449335466418E-2</v>
      </c>
      <c r="E501">
        <v>38106.295579999998</v>
      </c>
      <c r="F501">
        <v>3.1061081240458805</v>
      </c>
      <c r="G501">
        <v>3.0514762752395233</v>
      </c>
      <c r="H501">
        <v>5.2893232654009417</v>
      </c>
      <c r="I501">
        <v>1168146.8964259098</v>
      </c>
      <c r="J501">
        <v>850</v>
      </c>
      <c r="K501">
        <v>56.396550378218969</v>
      </c>
      <c r="L501" t="str">
        <f t="shared" si="13"/>
        <v>OK</v>
      </c>
    </row>
    <row r="502" spans="1:12">
      <c r="A502" s="1">
        <v>56735</v>
      </c>
      <c r="B502" t="s">
        <v>13</v>
      </c>
      <c r="C502">
        <v>128.02105259999999</v>
      </c>
      <c r="D502">
        <f>(automotive_demand_forecasting_dataset5[[#This Row],[Units_Sold]] -$C$4) / $C$5</f>
        <v>0.58825597010480346</v>
      </c>
      <c r="E502">
        <v>31342.961394316284</v>
      </c>
      <c r="F502">
        <v>3.1895762008744422</v>
      </c>
      <c r="G502">
        <v>2.8405892164004967</v>
      </c>
      <c r="H502">
        <v>6.3023857657094879</v>
      </c>
      <c r="I502">
        <v>104156.05014706627</v>
      </c>
      <c r="J502">
        <v>90</v>
      </c>
      <c r="K502">
        <v>802.78048435718449</v>
      </c>
      <c r="L502" t="str">
        <f t="shared" si="13"/>
        <v>OK</v>
      </c>
    </row>
    <row r="503" spans="1:12">
      <c r="A503" s="1">
        <v>56765</v>
      </c>
      <c r="B503" t="s">
        <v>13</v>
      </c>
      <c r="C503">
        <v>109</v>
      </c>
      <c r="D503">
        <f>(automotive_demand_forecasting_dataset5[[#This Row],[Units_Sold]] -$C$4) / $C$5</f>
        <v>0.14797707804389723</v>
      </c>
      <c r="E503">
        <v>37642.342132062658</v>
      </c>
      <c r="F503">
        <v>3.4159280907076051</v>
      </c>
      <c r="G503">
        <v>2.890695920928144</v>
      </c>
      <c r="H503">
        <v>5.6176810474467338</v>
      </c>
      <c r="I503">
        <v>74147.493056954743</v>
      </c>
      <c r="J503">
        <v>83</v>
      </c>
      <c r="K503">
        <v>30.597652507354127</v>
      </c>
      <c r="L503" t="str">
        <f t="shared" si="13"/>
        <v>OK</v>
      </c>
    </row>
    <row r="504" spans="1:12">
      <c r="A504" s="1">
        <v>56795</v>
      </c>
      <c r="B504" t="s">
        <v>11</v>
      </c>
      <c r="C504">
        <v>108</v>
      </c>
      <c r="D504">
        <f>(automotive_demand_forecasting_dataset5[[#This Row],[Units_Sold]] -$C$4) / $C$5</f>
        <v>0.12483015230221108</v>
      </c>
      <c r="E504">
        <v>32539.178781448118</v>
      </c>
      <c r="F504">
        <v>3.2639547111514364</v>
      </c>
      <c r="G504">
        <v>1.173527871688917</v>
      </c>
      <c r="H504">
        <v>7.0550461382356175</v>
      </c>
      <c r="I504">
        <v>89356.628737456209</v>
      </c>
      <c r="J504">
        <f>111.9136842</f>
        <v>111.91368420000001</v>
      </c>
      <c r="K504">
        <v>63.753241103449938</v>
      </c>
      <c r="L504" t="str">
        <f t="shared" si="13"/>
        <v>OK</v>
      </c>
    </row>
    <row r="505" spans="1:12">
      <c r="A505" s="1">
        <v>56825</v>
      </c>
      <c r="B505" t="s">
        <v>14</v>
      </c>
      <c r="C505">
        <v>127</v>
      </c>
      <c r="D505">
        <f>(automotive_demand_forecasting_dataset5[[#This Row],[Units_Sold]] -$C$4) / $C$5</f>
        <v>0.56462174139424814</v>
      </c>
      <c r="E505">
        <v>32691.480395248163</v>
      </c>
      <c r="F505">
        <v>2.510350094812106</v>
      </c>
      <c r="G505">
        <v>3.5473177066214481</v>
      </c>
      <c r="H505">
        <v>4.6374011348695232</v>
      </c>
      <c r="I505">
        <v>87852.91133575578</v>
      </c>
      <c r="J505">
        <v>102</v>
      </c>
      <c r="K505">
        <v>63.699808010468075</v>
      </c>
      <c r="L505" t="str">
        <f t="shared" si="13"/>
        <v>OK</v>
      </c>
    </row>
    <row r="506" spans="1:12">
      <c r="A506" s="1">
        <v>56855</v>
      </c>
      <c r="B506" t="s">
        <v>14</v>
      </c>
      <c r="C506">
        <v>104</v>
      </c>
      <c r="D506">
        <f>(automotive_demand_forecasting_dataset5[[#This Row],[Units_Sold]] -$C$4) / $C$5</f>
        <v>3.2242449335466418E-2</v>
      </c>
      <c r="E506">
        <v>35362.536686549014</v>
      </c>
      <c r="F506">
        <v>3.8739551280587667</v>
      </c>
      <c r="G506">
        <v>3.6695899924277735</v>
      </c>
      <c r="H506">
        <v>6.3940063754527374</v>
      </c>
      <c r="I506">
        <v>98455.579095539084</v>
      </c>
      <c r="J506">
        <v>76</v>
      </c>
      <c r="K506">
        <v>27.157849824830976</v>
      </c>
      <c r="L506" t="str">
        <f t="shared" si="13"/>
        <v>OK</v>
      </c>
    </row>
    <row r="507" spans="1:12">
      <c r="A507" s="1">
        <v>56885</v>
      </c>
      <c r="B507" t="s">
        <v>14</v>
      </c>
      <c r="C507">
        <v>106</v>
      </c>
      <c r="D507">
        <f>(automotive_demand_forecasting_dataset5[[#This Row],[Units_Sold]] -$C$4) / $C$5</f>
        <v>7.853630081883875E-2</v>
      </c>
      <c r="E507">
        <v>28175.236352285574</v>
      </c>
      <c r="F507">
        <v>2.9636284871300966</v>
      </c>
      <c r="G507">
        <v>2.2706092559319724</v>
      </c>
      <c r="H507">
        <v>5.2663632446599822</v>
      </c>
      <c r="I507">
        <v>108516.87317259658</v>
      </c>
      <c r="J507">
        <v>99</v>
      </c>
      <c r="K507">
        <v>53.438726840553088</v>
      </c>
      <c r="L507" t="str">
        <f t="shared" si="13"/>
        <v>OK</v>
      </c>
    </row>
    <row r="508" spans="1:12">
      <c r="A508" s="1">
        <v>56915</v>
      </c>
      <c r="B508" t="s">
        <v>12</v>
      </c>
      <c r="C508">
        <v>94</v>
      </c>
      <c r="D508">
        <f>(automotive_demand_forecasting_dataset5[[#This Row],[Units_Sold]] -$C$4) / $C$5</f>
        <v>-0.1992268080813952</v>
      </c>
      <c r="E508">
        <v>25803.951663304968</v>
      </c>
      <c r="F508">
        <v>3.6196234320555747</v>
      </c>
      <c r="G508">
        <v>2.4565230501861377</v>
      </c>
      <c r="H508">
        <v>5.4229741874698023</v>
      </c>
      <c r="I508">
        <v>108364.11511775944</v>
      </c>
      <c r="J508">
        <v>77</v>
      </c>
      <c r="K508">
        <v>88.262783885376152</v>
      </c>
      <c r="L508" t="str">
        <f t="shared" si="13"/>
        <v>OK</v>
      </c>
    </row>
    <row r="509" spans="1:12">
      <c r="A509" s="1">
        <v>56945</v>
      </c>
      <c r="B509" t="s">
        <v>13</v>
      </c>
      <c r="C509">
        <v>81</v>
      </c>
      <c r="D509">
        <f>(automotive_demand_forecasting_dataset5[[#This Row],[Units_Sold]] -$C$4) / $C$5</f>
        <v>-0.50013684272331527</v>
      </c>
      <c r="E509">
        <v>24775.954029894834</v>
      </c>
      <c r="F509">
        <v>4.5370413348749867</v>
      </c>
      <c r="G509">
        <v>0.96889249744427786</v>
      </c>
      <c r="H509">
        <v>5.6101029813380476</v>
      </c>
      <c r="I509">
        <v>64479.764919031957</v>
      </c>
      <c r="J509">
        <v>101</v>
      </c>
      <c r="K509">
        <v>88.492289759572827</v>
      </c>
      <c r="L509" t="str">
        <f t="shared" si="13"/>
        <v>OK</v>
      </c>
    </row>
    <row r="510" spans="1:12">
      <c r="A510" s="1">
        <v>56975</v>
      </c>
      <c r="B510" t="s">
        <v>14</v>
      </c>
      <c r="C510">
        <v>95</v>
      </c>
      <c r="D510">
        <f>(automotive_demand_forecasting_dataset5[[#This Row],[Units_Sold]] -$C$4) / $C$5</f>
        <v>-0.17607988233970903</v>
      </c>
      <c r="E510">
        <v>20168.217053119992</v>
      </c>
      <c r="F510">
        <v>3.0403077042067883</v>
      </c>
      <c r="G510">
        <v>3.0142547560178348</v>
      </c>
      <c r="H510">
        <v>5.8026884757120127</v>
      </c>
      <c r="I510">
        <v>121278.81975121712</v>
      </c>
      <c r="J510">
        <v>94</v>
      </c>
      <c r="K510">
        <v>27.939013193574482</v>
      </c>
      <c r="L510" t="str">
        <f t="shared" si="13"/>
        <v>OK</v>
      </c>
    </row>
  </sheetData>
  <conditionalFormatting sqref="A10:K510">
    <cfRule type="containsBlanks" dxfId="208" priority="22">
      <formula>LEN(TRIM(A10))=0</formula>
    </cfRule>
  </conditionalFormatting>
  <conditionalFormatting sqref="C10:C510">
    <cfRule type="cellIs" dxfId="207" priority="20" operator="greaterThan">
      <formula>127</formula>
    </cfRule>
  </conditionalFormatting>
  <conditionalFormatting sqref="D11:D510">
    <cfRule type="cellIs" dxfId="206" priority="1" operator="notBetween">
      <formula>-3</formula>
      <formula>3</formula>
    </cfRule>
    <cfRule type="cellIs" dxfId="205" priority="2" operator="notBetween">
      <formula>3</formula>
      <formula>-3</formula>
    </cfRule>
    <cfRule type="cellIs" dxfId="204" priority="21" operator="greaterThan">
      <formula>3</formula>
    </cfRule>
  </conditionalFormatting>
  <conditionalFormatting sqref="E11:E510">
    <cfRule type="cellIs" dxfId="203" priority="18" operator="lessThan">
      <formula>15575.63284</formula>
    </cfRule>
    <cfRule type="cellIs" dxfId="202" priority="19" operator="greaterThan">
      <formula>45475.55713</formula>
    </cfRule>
  </conditionalFormatting>
  <conditionalFormatting sqref="F11:F510">
    <cfRule type="cellIs" dxfId="201" priority="5" operator="notBetween">
      <formula>2.130140502</formula>
      <formula>4.966738758</formula>
    </cfRule>
    <cfRule type="cellIs" dxfId="200" priority="16" operator="lessThan">
      <formula>2.130140502</formula>
    </cfRule>
    <cfRule type="cellIs" dxfId="199" priority="17" operator="greaterThan">
      <formula>4.966738758</formula>
    </cfRule>
  </conditionalFormatting>
  <conditionalFormatting sqref="G11:G510">
    <cfRule type="cellIs" dxfId="198" priority="8" operator="lessThan">
      <formula>-0.062333659</formula>
    </cfRule>
    <cfRule type="cellIs" dxfId="197" priority="9" operator="lessThan">
      <formula>-0.519512156</formula>
    </cfRule>
    <cfRule type="cellIs" dxfId="196" priority="10" operator="greaterThan">
      <formula>5.144343347</formula>
    </cfRule>
    <cfRule type="cellIs" dxfId="195" priority="12" operator="greaterThan">
      <formula>5.609918556</formula>
    </cfRule>
  </conditionalFormatting>
  <conditionalFormatting sqref="H11:H510">
    <cfRule type="cellIs" dxfId="194" priority="6" operator="lessThan">
      <formula>2.8037322799</formula>
    </cfRule>
    <cfRule type="cellIs" dxfId="193" priority="7" operator="greaterThan">
      <formula>8.644951709</formula>
    </cfRule>
  </conditionalFormatting>
  <conditionalFormatting sqref="I11:I510">
    <cfRule type="cellIs" dxfId="192" priority="13" operator="greaterThan">
      <formula>157368.0611</formula>
    </cfRule>
  </conditionalFormatting>
  <conditionalFormatting sqref="J11:J510">
    <cfRule type="cellIs" dxfId="191" priority="14" operator="greaterThan">
      <formula>115</formula>
    </cfRule>
  </conditionalFormatting>
  <conditionalFormatting sqref="K11:K510">
    <cfRule type="cellIs" dxfId="190" priority="15" operator="greaterThan">
      <formula>99.94802404</formula>
    </cfRule>
  </conditionalFormatting>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47E89-EE06-4211-AC6C-7F1ED0E47375}">
  <sheetPr codeName="Sheet5"/>
  <dimension ref="A1:N510"/>
  <sheetViews>
    <sheetView topLeftCell="A7" zoomScaleNormal="100" workbookViewId="0">
      <selection activeCell="D9" sqref="D9"/>
    </sheetView>
  </sheetViews>
  <sheetFormatPr defaultRowHeight="14.4"/>
  <cols>
    <col min="1" max="1" width="10.33203125" bestFit="1" customWidth="1"/>
    <col min="2" max="2" width="14.44140625" bestFit="1" customWidth="1"/>
    <col min="3" max="3" width="12.21875" bestFit="1" customWidth="1"/>
    <col min="4" max="4" width="18.109375" bestFit="1" customWidth="1"/>
    <col min="5" max="5" width="15.33203125" bestFit="1" customWidth="1"/>
    <col min="6" max="6" width="12" bestFit="1" customWidth="1"/>
    <col min="7" max="7" width="18.88671875" bestFit="1" customWidth="1"/>
    <col min="8" max="8" width="21.44140625" bestFit="1" customWidth="1"/>
    <col min="9" max="9" width="18.33203125" bestFit="1" customWidth="1"/>
    <col min="10" max="10" width="18.109375" bestFit="1" customWidth="1"/>
    <col min="11" max="11" width="22" bestFit="1" customWidth="1"/>
    <col min="12" max="12" width="13.88671875" bestFit="1" customWidth="1"/>
    <col min="14" max="14" width="20.44140625" bestFit="1" customWidth="1"/>
  </cols>
  <sheetData>
    <row r="1" spans="1:13">
      <c r="E1" s="158" t="s">
        <v>34</v>
      </c>
      <c r="F1" s="158" t="s">
        <v>35</v>
      </c>
      <c r="G1" s="158" t="s">
        <v>4</v>
      </c>
      <c r="H1" s="158" t="s">
        <v>5</v>
      </c>
      <c r="I1" s="158" t="s">
        <v>6</v>
      </c>
      <c r="J1" s="158" t="s">
        <v>7</v>
      </c>
      <c r="K1" s="158" t="s">
        <v>8</v>
      </c>
      <c r="L1" s="158" t="s">
        <v>9</v>
      </c>
      <c r="M1" s="159"/>
    </row>
    <row r="2" spans="1:13">
      <c r="B2" s="13" t="s">
        <v>24</v>
      </c>
      <c r="C2" s="13"/>
      <c r="E2" s="159"/>
      <c r="F2" s="159"/>
      <c r="G2" s="159"/>
      <c r="H2" s="159"/>
      <c r="I2" s="159"/>
      <c r="J2" s="159"/>
      <c r="K2" s="159"/>
      <c r="L2" s="159"/>
      <c r="M2" s="159"/>
    </row>
    <row r="3" spans="1:13">
      <c r="B3" s="13"/>
      <c r="C3" s="13"/>
      <c r="E3" s="158" t="s">
        <v>28</v>
      </c>
      <c r="F3" s="159">
        <f>MEDIAN(automotive_demand_forecasting_dataset56[Average_Price])</f>
        <v>30949.702720000001</v>
      </c>
      <c r="G3" s="159">
        <f>MEDIAN(automotive_demand_forecasting_dataset56[Fuel_Price])</f>
        <v>3.5380713799999999</v>
      </c>
      <c r="H3" s="159">
        <f>MEDIAN(automotive_demand_forecasting_dataset56[GDP_Growth_Rate])</f>
        <v>2.6520564320000002</v>
      </c>
      <c r="I3" s="159">
        <f>MEDIAN(automotive_demand_forecasting_dataset56[Unemployment_Rate])</f>
        <v>5.616047043</v>
      </c>
      <c r="J3" s="159">
        <f>MEDIAN(automotive_demand_forecasting_dataset56[Marketing_Spend])</f>
        <v>102894.26616505161</v>
      </c>
      <c r="K3" s="159">
        <f>MEDIAN(automotive_demand_forecasting_dataset56[Competitor_Sales])</f>
        <v>90</v>
      </c>
      <c r="L3" s="159">
        <f>MEDIAN(automotive_demand_forecasting_dataset56[Online_Interest_Index])</f>
        <v>65.401451166763792</v>
      </c>
      <c r="M3" s="159"/>
    </row>
    <row r="4" spans="1:13">
      <c r="B4" s="13" t="s">
        <v>25</v>
      </c>
      <c r="C4" s="13">
        <f>AVERAGE(automotive_demand_forecasting_dataset56[Units_Sold])</f>
        <v>99.462000000000003</v>
      </c>
      <c r="E4" s="158" t="s">
        <v>29</v>
      </c>
      <c r="F4" s="159">
        <f>_xlfn.QUARTILE.EXC(automotive_demand_forecasting_dataset56[Average_Price], 1)</f>
        <v>27210.043664365046</v>
      </c>
      <c r="G4" s="159">
        <f>_xlfn.QUARTILE.EXC(automotive_demand_forecasting_dataset56[Fuel_Price], 1)</f>
        <v>3.2263939346303867</v>
      </c>
      <c r="H4" s="159">
        <f>_xlfn.QUARTILE.EXC(automotive_demand_forecasting_dataset56[GDP_Growth_Rate],1)</f>
        <v>1.9539614360310027</v>
      </c>
      <c r="I4" s="159">
        <f>_xlfn.QUARTILE.EXC(automotive_demand_forecasting_dataset56[Unemployment_Rate], 1)</f>
        <v>4.8334521114299367</v>
      </c>
      <c r="J4" s="159"/>
      <c r="K4" s="159"/>
      <c r="L4" s="159"/>
      <c r="M4" s="159"/>
    </row>
    <row r="5" spans="1:13">
      <c r="B5" s="13" t="s">
        <v>26</v>
      </c>
      <c r="C5" s="13">
        <f>_xlfn.STDEV.S(automotive_demand_forecasting_dataset56[Units_Sold])</f>
        <v>9.994415073696441</v>
      </c>
      <c r="E5" s="158" t="s">
        <v>31</v>
      </c>
      <c r="F5" s="159">
        <f>_xlfn.QUARTILE.EXC(automotive_demand_forecasting_dataset56[Average_Price], 3)</f>
        <v>34475.630046284547</v>
      </c>
      <c r="G5" s="159">
        <f>_xlfn.QUARTILE.EXC(automotive_demand_forecasting_dataset56[Fuel_Price], 3)</f>
        <v>3.9050603272200615</v>
      </c>
      <c r="H5" s="159">
        <f>_xlfn.QUARTILE.EXC(automotive_demand_forecasting_dataset56[GDP_Growth_Rate], 3)</f>
        <v>3.1950230461528317</v>
      </c>
      <c r="I5" s="159">
        <f>_xlfn.QUARTILE.EXC(automotive_demand_forecasting_dataset56[Unemployment_Rate], 3)</f>
        <v>6.3169663920301113</v>
      </c>
      <c r="J5" s="159"/>
      <c r="K5" s="159"/>
      <c r="L5" s="159"/>
      <c r="M5" s="159"/>
    </row>
    <row r="6" spans="1:13">
      <c r="B6" s="13" t="s">
        <v>28</v>
      </c>
      <c r="C6" s="13">
        <f>MEDIAN(automotive_demand_forecasting_dataset56[Units_Sold])</f>
        <v>100</v>
      </c>
      <c r="E6" s="158" t="s">
        <v>30</v>
      </c>
      <c r="F6" s="159">
        <f>F5 -F4</f>
        <v>7265.5863819195001</v>
      </c>
      <c r="G6" s="159">
        <f>G5 - G4</f>
        <v>0.67866639258967476</v>
      </c>
      <c r="H6" s="159">
        <f>H5-H4</f>
        <v>1.241061610121829</v>
      </c>
      <c r="I6" s="159">
        <f>I5-I4</f>
        <v>1.4835142806001747</v>
      </c>
      <c r="J6" s="159"/>
      <c r="K6" s="159"/>
      <c r="L6" s="159"/>
      <c r="M6" s="159"/>
    </row>
    <row r="7" spans="1:13">
      <c r="B7" s="13" t="s">
        <v>36</v>
      </c>
      <c r="C7" s="13"/>
      <c r="E7" s="158" t="s">
        <v>33</v>
      </c>
      <c r="F7" s="159">
        <f>F4 - 1.5 * F6</f>
        <v>16311.664091485796</v>
      </c>
      <c r="G7" s="159">
        <f>G4 - 1.5 * G6</f>
        <v>2.2083943457458748</v>
      </c>
      <c r="H7" s="159">
        <f>H4 - 1.5 * H6</f>
        <v>9.2369020848259042E-2</v>
      </c>
      <c r="I7" s="159">
        <f>I4 - 1.5 * I6</f>
        <v>2.6081806905296747</v>
      </c>
      <c r="J7" s="159"/>
      <c r="K7" s="159"/>
      <c r="L7" s="159"/>
      <c r="M7" s="159"/>
    </row>
    <row r="8" spans="1:13">
      <c r="E8" s="158" t="s">
        <v>32</v>
      </c>
      <c r="F8" s="159">
        <f>F5 + 1.5 * F6</f>
        <v>45374.0096191638</v>
      </c>
      <c r="G8" s="159">
        <f>G5 + 1.5 * G6</f>
        <v>4.9230599161045738</v>
      </c>
      <c r="H8" s="159">
        <f>H5 + 1.5 * H6</f>
        <v>5.0566154613355749</v>
      </c>
      <c r="I8" s="159">
        <f>I5 + 1.5 * I6</f>
        <v>8.5422378129303738</v>
      </c>
      <c r="J8" s="159"/>
      <c r="K8" s="159"/>
      <c r="L8" s="159"/>
      <c r="M8" s="159"/>
    </row>
    <row r="10" spans="1:13">
      <c r="A10" t="s">
        <v>0</v>
      </c>
      <c r="B10" t="s">
        <v>1</v>
      </c>
      <c r="C10" t="s">
        <v>2</v>
      </c>
      <c r="D10" t="s">
        <v>27</v>
      </c>
      <c r="E10" t="s">
        <v>3</v>
      </c>
      <c r="F10" t="s">
        <v>4</v>
      </c>
      <c r="G10" t="s">
        <v>5</v>
      </c>
      <c r="H10" t="s">
        <v>6</v>
      </c>
      <c r="I10" t="s">
        <v>7</v>
      </c>
      <c r="J10" t="s">
        <v>8</v>
      </c>
      <c r="K10" t="s">
        <v>9</v>
      </c>
      <c r="L10" t="s">
        <v>15</v>
      </c>
    </row>
    <row r="11" spans="1:13">
      <c r="A11" s="1">
        <v>42005</v>
      </c>
      <c r="B11" t="s">
        <v>10</v>
      </c>
      <c r="C11">
        <v>96</v>
      </c>
      <c r="D11">
        <f>(automotive_demand_forecasting_dataset56[[#This Row],[Units_Sold]] -$C$4) / $C$5</f>
        <v>-0.34639345819360495</v>
      </c>
      <c r="E11">
        <v>27205.390763642059</v>
      </c>
      <c r="F11">
        <v>4.5281035649701611</v>
      </c>
      <c r="G11">
        <v>2.6520564320000002</v>
      </c>
      <c r="H11">
        <v>6.1864689300569733</v>
      </c>
      <c r="I11">
        <v>97675.419137560835</v>
      </c>
      <c r="J11" s="82">
        <v>99</v>
      </c>
      <c r="K11">
        <v>62.296585590724206</v>
      </c>
      <c r="L11" t="str">
        <f t="shared" ref="L11:L74" si="0">IF(COUNTA(A11:K11)&lt;COLUMNS(A11:K11), "Missing Data", "OK")</f>
        <v>OK</v>
      </c>
    </row>
    <row r="12" spans="1:13">
      <c r="A12" s="1">
        <v>42035</v>
      </c>
      <c r="B12" t="s">
        <v>10</v>
      </c>
      <c r="C12">
        <v>107</v>
      </c>
      <c r="D12">
        <f>(automotive_demand_forecasting_dataset56[[#This Row],[Units_Sold]] -$C$4) / $C$5</f>
        <v>0.75422122699693539</v>
      </c>
      <c r="E12">
        <v>31886.059375322606</v>
      </c>
      <c r="F12">
        <v>2.9483958171391587</v>
      </c>
      <c r="G12">
        <v>2.2139957781198891</v>
      </c>
      <c r="H12">
        <v>5.4253707796008266</v>
      </c>
      <c r="I12">
        <v>104294.26366341053</v>
      </c>
      <c r="J12" s="82">
        <v>100</v>
      </c>
      <c r="K12">
        <v>22.750148668138017</v>
      </c>
      <c r="L12" t="str">
        <f t="shared" si="0"/>
        <v>OK</v>
      </c>
    </row>
    <row r="13" spans="1:13">
      <c r="A13" s="1">
        <v>42065</v>
      </c>
      <c r="B13" t="s">
        <v>11</v>
      </c>
      <c r="C13">
        <v>88</v>
      </c>
      <c r="D13">
        <f>(automotive_demand_forecasting_dataset56[[#This Row],[Units_Sold]] -$C$4) / $C$5</f>
        <v>-1.1468405019685435</v>
      </c>
      <c r="E13">
        <v>38106.295579999998</v>
      </c>
      <c r="F13">
        <v>3.3893731882071139</v>
      </c>
      <c r="G13">
        <v>3.6009596349985711</v>
      </c>
      <c r="H13">
        <v>6.8492240318446029</v>
      </c>
      <c r="I13">
        <v>131562.36115124368</v>
      </c>
      <c r="J13" s="82">
        <v>98</v>
      </c>
      <c r="K13">
        <v>71.117041757862765</v>
      </c>
      <c r="L13" t="str">
        <f t="shared" si="0"/>
        <v>OK</v>
      </c>
    </row>
    <row r="14" spans="1:13">
      <c r="A14" s="1">
        <v>42095</v>
      </c>
      <c r="B14" t="s">
        <v>12</v>
      </c>
      <c r="C14">
        <v>103</v>
      </c>
      <c r="D14">
        <f>(automotive_demand_forecasting_dataset56[[#This Row],[Units_Sold]] -$C$4) / $C$5</f>
        <v>0.35399770510946621</v>
      </c>
      <c r="E14">
        <v>29671.248694635062</v>
      </c>
      <c r="F14">
        <v>3.3615933500555397</v>
      </c>
      <c r="G14">
        <v>2.6520564320000002</v>
      </c>
      <c r="H14">
        <v>5.0991073228240715</v>
      </c>
      <c r="I14">
        <v>119708.99371230436</v>
      </c>
      <c r="J14" s="82">
        <v>88</v>
      </c>
      <c r="K14">
        <v>26.515777031292735</v>
      </c>
      <c r="L14" t="str">
        <f t="shared" si="0"/>
        <v>OK</v>
      </c>
    </row>
    <row r="15" spans="1:13">
      <c r="A15" s="1">
        <v>42125</v>
      </c>
      <c r="B15" t="s">
        <v>12</v>
      </c>
      <c r="C15">
        <v>111</v>
      </c>
      <c r="D15">
        <f>(automotive_demand_forecasting_dataset56[[#This Row],[Units_Sold]] -$C$4) / $C$5</f>
        <v>1.1544447488844047</v>
      </c>
      <c r="E15">
        <v>27224.002366534009</v>
      </c>
      <c r="F15">
        <v>3.6537033489045503</v>
      </c>
      <c r="G15">
        <v>1.2704504055475832</v>
      </c>
      <c r="H15">
        <v>6.1775271110723207</v>
      </c>
      <c r="I15">
        <v>117383.09184993793</v>
      </c>
      <c r="J15" s="82">
        <v>91</v>
      </c>
      <c r="K15">
        <v>54.801167547217872</v>
      </c>
      <c r="L15" t="str">
        <f t="shared" si="0"/>
        <v>OK</v>
      </c>
    </row>
    <row r="16" spans="1:13">
      <c r="A16" s="1">
        <v>42155</v>
      </c>
      <c r="B16" t="s">
        <v>12</v>
      </c>
      <c r="C16">
        <v>90</v>
      </c>
      <c r="D16">
        <f>(automotive_demand_forecasting_dataset56[[#This Row],[Units_Sold]] -$C$4) / $C$5</f>
        <v>-0.94672874102480875</v>
      </c>
      <c r="E16">
        <v>39405.785347202953</v>
      </c>
      <c r="F16">
        <v>3.9078686062696484</v>
      </c>
      <c r="G16">
        <v>2.9966992232365217</v>
      </c>
      <c r="H16">
        <v>4.2764027935694617</v>
      </c>
      <c r="I16">
        <v>90889.209479522586</v>
      </c>
      <c r="J16" s="82">
        <v>82</v>
      </c>
      <c r="K16">
        <v>43.412407813392626</v>
      </c>
      <c r="L16" t="str">
        <f t="shared" si="0"/>
        <v>OK</v>
      </c>
    </row>
    <row r="17" spans="1:14">
      <c r="A17" s="1">
        <v>42185</v>
      </c>
      <c r="B17" t="s">
        <v>10</v>
      </c>
      <c r="C17">
        <v>94</v>
      </c>
      <c r="D17">
        <f>(automotive_demand_forecasting_dataset56[[#This Row],[Units_Sold]] -$C$4) / $C$5</f>
        <v>-0.54650521913733952</v>
      </c>
      <c r="E17">
        <v>22759.93049791878</v>
      </c>
      <c r="F17">
        <v>3.9302367441798727</v>
      </c>
      <c r="G17">
        <v>2.0346895432199466</v>
      </c>
      <c r="H17">
        <v>5.471737418950914</v>
      </c>
      <c r="I17">
        <v>82215.183435433515</v>
      </c>
      <c r="J17" s="82">
        <v>92</v>
      </c>
      <c r="K17">
        <v>65.454227669999995</v>
      </c>
      <c r="L17" t="str">
        <f t="shared" si="0"/>
        <v>OK</v>
      </c>
    </row>
    <row r="18" spans="1:14">
      <c r="A18" s="1">
        <v>42215</v>
      </c>
      <c r="B18" t="s">
        <v>13</v>
      </c>
      <c r="C18">
        <v>98</v>
      </c>
      <c r="D18">
        <f>(automotive_demand_forecasting_dataset56[[#This Row],[Units_Sold]] -$C$4) / $C$5</f>
        <v>-0.14628169724987033</v>
      </c>
      <c r="E18">
        <v>19005.97021689959</v>
      </c>
      <c r="F18">
        <v>3.2084612807155306</v>
      </c>
      <c r="G18">
        <v>2.3940516456958645</v>
      </c>
      <c r="H18">
        <v>5.2907748905165972</v>
      </c>
      <c r="I18">
        <v>119106.01116475507</v>
      </c>
      <c r="J18" s="82">
        <v>71</v>
      </c>
      <c r="K18">
        <v>30.673306841856565</v>
      </c>
      <c r="L18" t="str">
        <f t="shared" si="0"/>
        <v>OK</v>
      </c>
    </row>
    <row r="19" spans="1:14">
      <c r="A19" s="1">
        <v>42245</v>
      </c>
      <c r="B19" t="s">
        <v>10</v>
      </c>
      <c r="C19">
        <v>103</v>
      </c>
      <c r="D19">
        <f>(automotive_demand_forecasting_dataset56[[#This Row],[Units_Sold]] -$C$4) / $C$5</f>
        <v>0.35399770510946621</v>
      </c>
      <c r="E19">
        <v>32200.072250266661</v>
      </c>
      <c r="F19">
        <v>3.4164391431067944</v>
      </c>
      <c r="G19">
        <v>2.6520564320000002</v>
      </c>
      <c r="H19">
        <v>5.7703695064491303</v>
      </c>
      <c r="I19">
        <v>117520.93585059588</v>
      </c>
      <c r="J19" s="82">
        <v>98</v>
      </c>
      <c r="K19">
        <v>75.331472157865448</v>
      </c>
      <c r="L19" t="str">
        <f t="shared" si="0"/>
        <v>OK</v>
      </c>
    </row>
    <row r="20" spans="1:14">
      <c r="A20" s="1">
        <v>42275</v>
      </c>
      <c r="B20" t="s">
        <v>13</v>
      </c>
      <c r="C20">
        <v>94</v>
      </c>
      <c r="D20">
        <f>(automotive_demand_forecasting_dataset56[[#This Row],[Units_Sold]] -$C$4) / $C$5</f>
        <v>-0.54650521913733952</v>
      </c>
      <c r="E20">
        <v>27489.728878236943</v>
      </c>
      <c r="F20">
        <v>3.6412899752441499</v>
      </c>
      <c r="G20">
        <v>0.99702967160484679</v>
      </c>
      <c r="H20">
        <v>5.0565676853999699</v>
      </c>
      <c r="I20">
        <f>128897.2893</f>
        <v>128897.2893</v>
      </c>
      <c r="J20" s="82">
        <v>82</v>
      </c>
      <c r="K20">
        <v>83.600922954277621</v>
      </c>
      <c r="L20" t="str">
        <f t="shared" si="0"/>
        <v>OK</v>
      </c>
    </row>
    <row r="21" spans="1:14">
      <c r="A21" s="1">
        <v>42305</v>
      </c>
      <c r="B21" t="s">
        <v>14</v>
      </c>
      <c r="C21">
        <v>99</v>
      </c>
      <c r="D21">
        <f>(automotive_demand_forecasting_dataset56[[#This Row],[Units_Sold]] -$C$4) / $C$5</f>
        <v>-4.6225816778003026E-2</v>
      </c>
      <c r="E21">
        <v>24893.835914346433</v>
      </c>
      <c r="F21">
        <v>3.3756544369082264</v>
      </c>
      <c r="G21">
        <v>2.6520564320000002</v>
      </c>
      <c r="H21">
        <v>5.3422328851939991</v>
      </c>
      <c r="I21">
        <v>87920.387480615405</v>
      </c>
      <c r="J21" s="82">
        <f>111.9136842</f>
        <v>111.91368420000001</v>
      </c>
      <c r="K21">
        <v>33.068355979452519</v>
      </c>
      <c r="L21" t="str">
        <f t="shared" si="0"/>
        <v>OK</v>
      </c>
    </row>
    <row r="22" spans="1:14">
      <c r="A22" s="1">
        <v>42335</v>
      </c>
      <c r="B22" t="s">
        <v>10</v>
      </c>
      <c r="C22">
        <v>90</v>
      </c>
      <c r="D22">
        <f>(automotive_demand_forecasting_dataset56[[#This Row],[Units_Sold]] -$C$4) / $C$5</f>
        <v>-0.94672874102480875</v>
      </c>
      <c r="E22">
        <v>33541.782236496765</v>
      </c>
      <c r="F22">
        <v>4.3036727880099965</v>
      </c>
      <c r="G22">
        <v>2.9676931717654331</v>
      </c>
      <c r="H22">
        <v>6.4912566057298076</v>
      </c>
      <c r="I22">
        <v>95409.026892793059</v>
      </c>
      <c r="J22" s="82">
        <v>79</v>
      </c>
      <c r="K22">
        <v>28.345046988150571</v>
      </c>
      <c r="L22" t="str">
        <f t="shared" si="0"/>
        <v>OK</v>
      </c>
    </row>
    <row r="23" spans="1:14">
      <c r="A23" s="1">
        <v>42365</v>
      </c>
      <c r="B23" t="s">
        <v>10</v>
      </c>
      <c r="C23">
        <v>100</v>
      </c>
      <c r="D23">
        <f>(automotive_demand_forecasting_dataset56[[#This Row],[Units_Sold]] -$C$4) / $C$5</f>
        <v>5.3830063693864283E-2</v>
      </c>
      <c r="E23">
        <v>31219.003568855995</v>
      </c>
      <c r="F23">
        <v>3.7454874758191257</v>
      </c>
      <c r="G23">
        <v>3.5857863249393471</v>
      </c>
      <c r="H23">
        <v>4.9758829153141395</v>
      </c>
      <c r="I23">
        <v>67210.316749491321</v>
      </c>
      <c r="J23" s="82">
        <v>81</v>
      </c>
      <c r="K23">
        <v>31.64123862298873</v>
      </c>
      <c r="L23" t="str">
        <f t="shared" si="0"/>
        <v>OK</v>
      </c>
    </row>
    <row r="24" spans="1:14">
      <c r="A24" s="1">
        <v>42395</v>
      </c>
      <c r="B24" t="s">
        <v>10</v>
      </c>
      <c r="C24">
        <v>103</v>
      </c>
      <c r="D24">
        <f>(automotive_demand_forecasting_dataset56[[#This Row],[Units_Sold]] -$C$4) / $C$5</f>
        <v>0.35399770510946621</v>
      </c>
      <c r="E24">
        <v>27179.606846316357</v>
      </c>
      <c r="F24">
        <v>3.8674388930249086</v>
      </c>
      <c r="G24">
        <v>2.5979831534708953</v>
      </c>
      <c r="H24">
        <v>5.616047043</v>
      </c>
      <c r="I24">
        <v>92150.57787878254</v>
      </c>
      <c r="J24" s="82">
        <v>90</v>
      </c>
      <c r="K24">
        <v>90.170204951880137</v>
      </c>
      <c r="L24" t="str">
        <f t="shared" si="0"/>
        <v>OK</v>
      </c>
    </row>
    <row r="25" spans="1:14">
      <c r="A25" s="1">
        <v>42425</v>
      </c>
      <c r="B25" t="s">
        <v>12</v>
      </c>
      <c r="C25">
        <v>94</v>
      </c>
      <c r="D25">
        <f>(automotive_demand_forecasting_dataset56[[#This Row],[Units_Sold]] -$C$4) / $C$5</f>
        <v>-0.54650521913733952</v>
      </c>
      <c r="E25">
        <v>23598.478006645528</v>
      </c>
      <c r="F25">
        <v>3.8314406343337062</v>
      </c>
      <c r="G25">
        <v>2.8080505395041024</v>
      </c>
      <c r="H25">
        <f>6.97388673</f>
        <v>6.9738867300000003</v>
      </c>
      <c r="I25">
        <v>119931.41021158894</v>
      </c>
      <c r="J25" s="82">
        <v>90</v>
      </c>
      <c r="K25">
        <v>62.255140940508497</v>
      </c>
      <c r="L25" t="str">
        <f t="shared" si="0"/>
        <v>OK</v>
      </c>
    </row>
    <row r="26" spans="1:14">
      <c r="A26" s="1">
        <v>42455</v>
      </c>
      <c r="B26" t="s">
        <v>12</v>
      </c>
      <c r="C26">
        <v>105</v>
      </c>
      <c r="D26">
        <f>(automotive_demand_forecasting_dataset56[[#This Row],[Units_Sold]] -$C$4) / $C$5</f>
        <v>0.55410946605320077</v>
      </c>
      <c r="E26">
        <v>34362.286641400722</v>
      </c>
      <c r="F26">
        <v>4.0867369287426625</v>
      </c>
      <c r="G26">
        <v>2.1083514325782087</v>
      </c>
      <c r="H26">
        <v>7.1577448944285837</v>
      </c>
      <c r="I26">
        <v>102916.7736</v>
      </c>
      <c r="J26" s="82">
        <v>87</v>
      </c>
      <c r="K26">
        <v>57.380879680600209</v>
      </c>
      <c r="L26" t="str">
        <f t="shared" si="0"/>
        <v>OK</v>
      </c>
    </row>
    <row r="27" spans="1:14">
      <c r="A27" s="1">
        <v>42485</v>
      </c>
      <c r="B27" t="s">
        <v>13</v>
      </c>
      <c r="C27">
        <v>86</v>
      </c>
      <c r="D27">
        <f>(automotive_demand_forecasting_dataset56[[#This Row],[Units_Sold]] -$C$4) / $C$5</f>
        <v>-1.3469522629122781</v>
      </c>
      <c r="E27">
        <v>33251.005889793305</v>
      </c>
      <c r="F27">
        <v>3.5905107793518534</v>
      </c>
      <c r="G27">
        <v>2.7691269412451072</v>
      </c>
      <c r="H27">
        <v>3.9492847658732577</v>
      </c>
      <c r="I27">
        <v>112809.59590401647</v>
      </c>
      <c r="J27" s="82">
        <v>78</v>
      </c>
      <c r="K27">
        <v>28.53694552818834</v>
      </c>
      <c r="L27" t="str">
        <f t="shared" si="0"/>
        <v>OK</v>
      </c>
    </row>
    <row r="28" spans="1:14">
      <c r="A28" s="1">
        <v>42515</v>
      </c>
      <c r="B28" t="s">
        <v>13</v>
      </c>
      <c r="C28">
        <v>92</v>
      </c>
      <c r="D28">
        <f>(automotive_demand_forecasting_dataset56[[#This Row],[Units_Sold]] -$C$4) / $C$5</f>
        <v>-0.74661698008107413</v>
      </c>
      <c r="E28">
        <v>29504.120681103086</v>
      </c>
      <c r="F28">
        <v>2.8515840260220768</v>
      </c>
      <c r="G28">
        <v>2.1568077245025896</v>
      </c>
      <c r="H28">
        <v>6.3276493662942332</v>
      </c>
      <c r="I28">
        <v>96189.93788004377</v>
      </c>
      <c r="J28" s="82">
        <v>71</v>
      </c>
      <c r="K28">
        <v>71.964480540556934</v>
      </c>
      <c r="L28" t="str">
        <f t="shared" si="0"/>
        <v>OK</v>
      </c>
      <c r="N28" s="2"/>
    </row>
    <row r="29" spans="1:14">
      <c r="A29" s="1">
        <v>42545</v>
      </c>
      <c r="B29" t="s">
        <v>10</v>
      </c>
      <c r="C29">
        <v>94</v>
      </c>
      <c r="D29">
        <f>(automotive_demand_forecasting_dataset56[[#This Row],[Units_Sold]] -$C$4) / $C$5</f>
        <v>-0.54650521913733952</v>
      </c>
      <c r="E29">
        <v>39233.184980238329</v>
      </c>
      <c r="F29">
        <v>3.6998439758763206</v>
      </c>
      <c r="G29">
        <v>3.1215718898560509</v>
      </c>
      <c r="H29">
        <v>4.8964302753383881</v>
      </c>
      <c r="I29">
        <v>106481.14056443122</v>
      </c>
      <c r="J29" s="82">
        <v>92</v>
      </c>
      <c r="K29">
        <v>89.439967351607194</v>
      </c>
      <c r="L29" t="str">
        <f t="shared" si="0"/>
        <v>OK</v>
      </c>
    </row>
    <row r="30" spans="1:14">
      <c r="A30" s="1">
        <v>42575</v>
      </c>
      <c r="B30" t="s">
        <v>13</v>
      </c>
      <c r="C30">
        <v>101</v>
      </c>
      <c r="D30">
        <f>(automotive_demand_forecasting_dataset56[[#This Row],[Units_Sold]] -$C$4) / $C$5</f>
        <v>0.15388594416573159</v>
      </c>
      <c r="E30">
        <v>24649.576168369236</v>
      </c>
      <c r="F30">
        <v>3.1743215531040856</v>
      </c>
      <c r="G30">
        <v>2.130389663956366</v>
      </c>
      <c r="H30">
        <v>5.8161846583972716</v>
      </c>
      <c r="I30">
        <v>77046.172203686656</v>
      </c>
      <c r="J30" s="82">
        <v>103</v>
      </c>
      <c r="K30">
        <v>86.254869545876232</v>
      </c>
      <c r="L30" t="str">
        <f t="shared" si="0"/>
        <v>OK</v>
      </c>
    </row>
    <row r="31" spans="1:14">
      <c r="A31" s="1">
        <v>42605</v>
      </c>
      <c r="B31" t="s">
        <v>12</v>
      </c>
      <c r="C31">
        <v>103</v>
      </c>
      <c r="D31">
        <f>(automotive_demand_forecasting_dataset56[[#This Row],[Units_Sold]] -$C$4) / $C$5</f>
        <v>0.35399770510946621</v>
      </c>
      <c r="E31">
        <v>22372.374145376307</v>
      </c>
      <c r="F31">
        <v>3.2356916591251217</v>
      </c>
      <c r="G31">
        <v>2.8771003939021864</v>
      </c>
      <c r="H31">
        <v>5.8530689548161927</v>
      </c>
      <c r="I31">
        <v>102916.7736</v>
      </c>
      <c r="J31" s="82">
        <v>90</v>
      </c>
      <c r="K31">
        <v>70.0843767184641</v>
      </c>
      <c r="L31" t="str">
        <f t="shared" si="0"/>
        <v>OK</v>
      </c>
    </row>
    <row r="32" spans="1:14">
      <c r="A32" s="1">
        <v>42635</v>
      </c>
      <c r="B32" t="s">
        <v>13</v>
      </c>
      <c r="C32">
        <v>84</v>
      </c>
      <c r="D32">
        <f>(automotive_demand_forecasting_dataset56[[#This Row],[Units_Sold]] -$C$4) / $C$5</f>
        <v>-1.5470640238560127</v>
      </c>
      <c r="E32">
        <v>26540.459650593777</v>
      </c>
      <c r="F32">
        <v>3.7931820093775466</v>
      </c>
      <c r="G32">
        <v>2.4707371863150218</v>
      </c>
      <c r="H32">
        <v>5.2187106396204133</v>
      </c>
      <c r="I32">
        <v>40177.280581985535</v>
      </c>
      <c r="J32" s="82">
        <v>75</v>
      </c>
      <c r="K32">
        <f>80.21517797</f>
        <v>80.215177969999999</v>
      </c>
      <c r="L32" t="str">
        <f t="shared" si="0"/>
        <v>OK</v>
      </c>
    </row>
    <row r="33" spans="1:12">
      <c r="A33" s="1">
        <v>42665</v>
      </c>
      <c r="B33" t="s">
        <v>14</v>
      </c>
      <c r="C33">
        <v>76</v>
      </c>
      <c r="D33">
        <f>(automotive_demand_forecasting_dataset56[[#This Row],[Units_Sold]] -$C$4) / $C$5</f>
        <v>-2.347511067630951</v>
      </c>
      <c r="E33">
        <v>29772.069918222511</v>
      </c>
      <c r="F33">
        <v>4.1191415357168175</v>
      </c>
      <c r="G33">
        <v>3.6260502507721681</v>
      </c>
      <c r="H33">
        <v>4.5594812012963244</v>
      </c>
      <c r="I33">
        <v>96262.076836760301</v>
      </c>
      <c r="J33" s="82">
        <v>80</v>
      </c>
      <c r="K33">
        <v>28.991762174081039</v>
      </c>
      <c r="L33" t="str">
        <f t="shared" si="0"/>
        <v>OK</v>
      </c>
    </row>
    <row r="34" spans="1:12">
      <c r="A34" s="1">
        <v>42695</v>
      </c>
      <c r="B34" t="s">
        <v>12</v>
      </c>
      <c r="C34">
        <v>100</v>
      </c>
      <c r="D34">
        <f>(automotive_demand_forecasting_dataset56[[#This Row],[Units_Sold]] -$C$4) / $C$5</f>
        <v>5.3830063693864283E-2</v>
      </c>
      <c r="E34">
        <v>31216.697246613458</v>
      </c>
      <c r="F34">
        <v>3.510635788368031</v>
      </c>
      <c r="G34">
        <v>2.448606276411514</v>
      </c>
      <c r="H34">
        <v>4.6713507372204885</v>
      </c>
      <c r="I34">
        <v>67390.535125697206</v>
      </c>
      <c r="J34" s="82">
        <v>94</v>
      </c>
      <c r="K34">
        <v>23.944718968785974</v>
      </c>
      <c r="L34" t="str">
        <f t="shared" si="0"/>
        <v>OK</v>
      </c>
    </row>
    <row r="35" spans="1:12">
      <c r="A35" s="1">
        <v>42725</v>
      </c>
      <c r="B35" t="s">
        <v>14</v>
      </c>
      <c r="C35">
        <v>111</v>
      </c>
      <c r="D35">
        <f>(automotive_demand_forecasting_dataset56[[#This Row],[Units_Sold]] -$C$4) / $C$5</f>
        <v>1.1544447488844047</v>
      </c>
      <c r="E35">
        <v>28793.819710718351</v>
      </c>
      <c r="F35">
        <v>3.6544165062994818</v>
      </c>
      <c r="G35">
        <v>0.72696753179311857</v>
      </c>
      <c r="H35">
        <v>4.4005697014225094</v>
      </c>
      <c r="I35">
        <v>124119.89033093632</v>
      </c>
      <c r="J35" s="82">
        <v>110</v>
      </c>
      <c r="K35">
        <v>40.598337319397544</v>
      </c>
      <c r="L35" t="str">
        <f t="shared" si="0"/>
        <v>OK</v>
      </c>
    </row>
    <row r="36" spans="1:12">
      <c r="A36" s="1">
        <v>42755</v>
      </c>
      <c r="B36" t="s">
        <v>13</v>
      </c>
      <c r="C36">
        <v>93</v>
      </c>
      <c r="D36">
        <f>(automotive_demand_forecasting_dataset56[[#This Row],[Units_Sold]] -$C$4) / $C$5</f>
        <v>-0.64656109960920682</v>
      </c>
      <c r="E36">
        <v>38106.295579999998</v>
      </c>
      <c r="F36">
        <v>4.3511074723176186</v>
      </c>
      <c r="G36">
        <v>3.7619215007139917</v>
      </c>
      <c r="H36">
        <v>4.5018133501234665</v>
      </c>
      <c r="I36">
        <f t="shared" ref="I36:I37" si="1">128897.2893</f>
        <v>128897.2893</v>
      </c>
      <c r="J36" s="82">
        <v>84</v>
      </c>
      <c r="K36">
        <v>30.85291737283022</v>
      </c>
      <c r="L36" t="str">
        <f t="shared" si="0"/>
        <v>OK</v>
      </c>
    </row>
    <row r="37" spans="1:12">
      <c r="A37" s="1">
        <v>42785</v>
      </c>
      <c r="B37" t="s">
        <v>11</v>
      </c>
      <c r="C37">
        <v>87</v>
      </c>
      <c r="D37">
        <f>(automotive_demand_forecasting_dataset56[[#This Row],[Units_Sold]] -$C$4) / $C$5</f>
        <v>-1.2468963824404107</v>
      </c>
      <c r="E37">
        <v>23742.30287904778</v>
      </c>
      <c r="F37">
        <v>3.6203765897442843</v>
      </c>
      <c r="G37">
        <v>1.5942676991373812</v>
      </c>
      <c r="H37">
        <v>5.4193860519407737</v>
      </c>
      <c r="I37">
        <f t="shared" si="1"/>
        <v>128897.2893</v>
      </c>
      <c r="J37" s="82">
        <v>80</v>
      </c>
      <c r="K37">
        <v>40.803843220194707</v>
      </c>
      <c r="L37" t="str">
        <f t="shared" si="0"/>
        <v>OK</v>
      </c>
    </row>
    <row r="38" spans="1:12">
      <c r="A38" s="1">
        <v>42815</v>
      </c>
      <c r="B38" t="s">
        <v>10</v>
      </c>
      <c r="C38">
        <v>108</v>
      </c>
      <c r="D38">
        <f>(automotive_demand_forecasting_dataset56[[#This Row],[Units_Sold]] -$C$4) / $C$5</f>
        <v>0.8542771074688027</v>
      </c>
      <c r="E38">
        <v>37218.823020366297</v>
      </c>
      <c r="F38">
        <v>4.8008415570901972</v>
      </c>
      <c r="G38">
        <v>1.8462336613511803</v>
      </c>
      <c r="H38">
        <v>4.6410880130670975</v>
      </c>
      <c r="I38">
        <v>130420.1245431876</v>
      </c>
      <c r="J38" s="82">
        <v>77</v>
      </c>
      <c r="K38">
        <v>50.804644457516936</v>
      </c>
      <c r="L38" t="str">
        <f t="shared" si="0"/>
        <v>OK</v>
      </c>
    </row>
    <row r="39" spans="1:12">
      <c r="A39" s="1">
        <v>42845</v>
      </c>
      <c r="B39" t="s">
        <v>12</v>
      </c>
      <c r="C39">
        <v>106</v>
      </c>
      <c r="D39">
        <f>(automotive_demand_forecasting_dataset56[[#This Row],[Units_Sold]] -$C$4) / $C$5</f>
        <v>0.65416534652506808</v>
      </c>
      <c r="E39">
        <v>29589.244108037157</v>
      </c>
      <c r="F39">
        <v>3.7827548228157721</v>
      </c>
      <c r="G39">
        <v>1.904338705956508</v>
      </c>
      <c r="H39">
        <v>6.3184624788551442</v>
      </c>
      <c r="I39">
        <v>81021.669583503259</v>
      </c>
      <c r="J39" s="82">
        <v>82</v>
      </c>
      <c r="K39">
        <v>95.438622725690848</v>
      </c>
      <c r="L39" t="str">
        <f t="shared" si="0"/>
        <v>OK</v>
      </c>
    </row>
    <row r="40" spans="1:12">
      <c r="A40" s="1">
        <v>42875</v>
      </c>
      <c r="B40" t="s">
        <v>14</v>
      </c>
      <c r="C40">
        <v>108</v>
      </c>
      <c r="D40">
        <f>(automotive_demand_forecasting_dataset56[[#This Row],[Units_Sold]] -$C$4) / $C$5</f>
        <v>0.8542771074688027</v>
      </c>
      <c r="E40">
        <v>35586.479157940637</v>
      </c>
      <c r="F40">
        <v>2.619618620422091</v>
      </c>
      <c r="G40">
        <v>3.8744380931708173</v>
      </c>
      <c r="H40">
        <v>7.2846953864031132</v>
      </c>
      <c r="I40">
        <v>134947.26395831117</v>
      </c>
      <c r="J40" s="82">
        <v>111</v>
      </c>
      <c r="K40">
        <v>68.830084782535366</v>
      </c>
      <c r="L40" t="str">
        <f t="shared" si="0"/>
        <v>OK</v>
      </c>
    </row>
    <row r="41" spans="1:12">
      <c r="A41" s="1">
        <v>42905</v>
      </c>
      <c r="B41" t="s">
        <v>11</v>
      </c>
      <c r="C41">
        <v>96</v>
      </c>
      <c r="D41">
        <f>(automotive_demand_forecasting_dataset56[[#This Row],[Units_Sold]] -$C$4) / $C$5</f>
        <v>-0.34639345819360495</v>
      </c>
      <c r="E41">
        <v>31713.626731888522</v>
      </c>
      <c r="F41">
        <v>3.876670810552266</v>
      </c>
      <c r="G41">
        <v>0.3643257860213045</v>
      </c>
      <c r="H41">
        <v>4.8039361103559486</v>
      </c>
      <c r="I41">
        <v>118643.83128520769</v>
      </c>
      <c r="J41" s="82">
        <v>87</v>
      </c>
      <c r="K41">
        <v>86.797902854636988</v>
      </c>
      <c r="L41" t="str">
        <f t="shared" si="0"/>
        <v>OK</v>
      </c>
    </row>
    <row r="42" spans="1:12">
      <c r="A42" s="1">
        <v>42935</v>
      </c>
      <c r="B42" t="s">
        <v>11</v>
      </c>
      <c r="C42">
        <v>113</v>
      </c>
      <c r="D42">
        <f>(automotive_demand_forecasting_dataset56[[#This Row],[Units_Sold]] -$C$4) / $C$5</f>
        <v>1.3545565098281394</v>
      </c>
      <c r="E42">
        <v>32283.766095768919</v>
      </c>
      <c r="F42">
        <v>3.6905791924413887</v>
      </c>
      <c r="G42">
        <f t="shared" ref="G42:G43" si="2">3.224108373</f>
        <v>3.224108373</v>
      </c>
      <c r="H42">
        <v>5.7872854006424523</v>
      </c>
      <c r="I42">
        <v>95268.894255621082</v>
      </c>
      <c r="J42" s="82">
        <v>73</v>
      </c>
      <c r="K42">
        <v>76.828120056986577</v>
      </c>
      <c r="L42" t="str">
        <f t="shared" si="0"/>
        <v>OK</v>
      </c>
    </row>
    <row r="43" spans="1:12">
      <c r="A43" s="1">
        <v>42965</v>
      </c>
      <c r="B43" t="s">
        <v>12</v>
      </c>
      <c r="C43">
        <v>95</v>
      </c>
      <c r="D43">
        <f>(automotive_demand_forecasting_dataset56[[#This Row],[Units_Sold]] -$C$4) / $C$5</f>
        <v>-0.44644933866547226</v>
      </c>
      <c r="E43">
        <v>32848.836401161017</v>
      </c>
      <c r="F43">
        <v>4.1448763770413724</v>
      </c>
      <c r="G43">
        <f t="shared" si="2"/>
        <v>3.224108373</v>
      </c>
      <c r="H43">
        <v>6.0996221323635202</v>
      </c>
      <c r="I43">
        <v>122712.40294365888</v>
      </c>
      <c r="J43" s="82">
        <v>95</v>
      </c>
      <c r="K43">
        <v>29.00025044213054</v>
      </c>
      <c r="L43" t="str">
        <f t="shared" si="0"/>
        <v>OK</v>
      </c>
    </row>
    <row r="44" spans="1:12">
      <c r="A44" s="1">
        <v>42995</v>
      </c>
      <c r="B44" t="s">
        <v>12</v>
      </c>
      <c r="C44">
        <v>94</v>
      </c>
      <c r="D44">
        <f>(automotive_demand_forecasting_dataset56[[#This Row],[Units_Sold]] -$C$4) / $C$5</f>
        <v>-0.54650521913733952</v>
      </c>
      <c r="E44">
        <v>32238.542800086576</v>
      </c>
      <c r="F44">
        <v>3.8365906756349792</v>
      </c>
      <c r="G44">
        <v>2.7232389141291597</v>
      </c>
      <c r="H44">
        <v>6.0664027251031296</v>
      </c>
      <c r="I44">
        <v>77874.129751767323</v>
      </c>
      <c r="J44" s="82">
        <v>87</v>
      </c>
      <c r="K44">
        <v>78.873632509915907</v>
      </c>
      <c r="L44" t="str">
        <f t="shared" si="0"/>
        <v>OK</v>
      </c>
    </row>
    <row r="45" spans="1:12">
      <c r="A45" s="1">
        <v>43025</v>
      </c>
      <c r="B45" t="s">
        <v>11</v>
      </c>
      <c r="C45">
        <v>107</v>
      </c>
      <c r="D45">
        <f>(automotive_demand_forecasting_dataset56[[#This Row],[Units_Sold]] -$C$4) / $C$5</f>
        <v>0.75422122699693539</v>
      </c>
      <c r="E45">
        <v>33213.61379933772</v>
      </c>
      <c r="F45">
        <v>3.430772008008113</v>
      </c>
      <c r="G45">
        <v>2.4451059993837134</v>
      </c>
      <c r="H45">
        <v>5.5911463214993047</v>
      </c>
      <c r="I45">
        <v>83509.716769446532</v>
      </c>
      <c r="J45" s="82">
        <v>88</v>
      </c>
      <c r="K45">
        <v>42.007910524729951</v>
      </c>
      <c r="L45" t="str">
        <f t="shared" si="0"/>
        <v>OK</v>
      </c>
    </row>
    <row r="46" spans="1:12">
      <c r="A46" s="1">
        <v>43055</v>
      </c>
      <c r="B46" t="s">
        <v>10</v>
      </c>
      <c r="C46">
        <v>114</v>
      </c>
      <c r="D46">
        <f>(automotive_demand_forecasting_dataset56[[#This Row],[Units_Sold]] -$C$4) / $C$5</f>
        <v>1.4546123903000066</v>
      </c>
      <c r="E46">
        <v>36645.76265066216</v>
      </c>
      <c r="F46">
        <v>2.887850881855317</v>
      </c>
      <c r="G46">
        <v>2.7855540748576568</v>
      </c>
      <c r="H46">
        <v>6.3912189020316665</v>
      </c>
      <c r="I46">
        <v>102916.7736</v>
      </c>
      <c r="J46" s="82">
        <v>85</v>
      </c>
      <c r="K46">
        <f>80.21517797</f>
        <v>80.215177969999999</v>
      </c>
      <c r="L46" t="str">
        <f t="shared" si="0"/>
        <v>OK</v>
      </c>
    </row>
    <row r="47" spans="1:12">
      <c r="A47" s="1">
        <v>43085</v>
      </c>
      <c r="B47" t="s">
        <v>10</v>
      </c>
      <c r="C47">
        <v>86</v>
      </c>
      <c r="D47">
        <f>(automotive_demand_forecasting_dataset56[[#This Row],[Units_Sold]] -$C$4) / $C$5</f>
        <v>-1.3469522629122781</v>
      </c>
      <c r="E47">
        <v>30982.605848507352</v>
      </c>
      <c r="F47">
        <v>3.3954883713569872</v>
      </c>
      <c r="G47">
        <v>3.0211224283793383</v>
      </c>
      <c r="H47">
        <v>6.0786987432167887</v>
      </c>
      <c r="I47">
        <v>89420.445838719694</v>
      </c>
      <c r="J47" s="82">
        <v>93</v>
      </c>
      <c r="K47">
        <v>47.276957891439082</v>
      </c>
      <c r="L47" t="str">
        <f t="shared" si="0"/>
        <v>OK</v>
      </c>
    </row>
    <row r="48" spans="1:12">
      <c r="A48" s="1">
        <v>43115</v>
      </c>
      <c r="B48" t="s">
        <v>14</v>
      </c>
      <c r="C48">
        <v>100</v>
      </c>
      <c r="D48">
        <f>(automotive_demand_forecasting_dataset56[[#This Row],[Units_Sold]] -$C$4) / $C$5</f>
        <v>5.3830063693864283E-2</v>
      </c>
      <c r="E48">
        <v>33545.018787942565</v>
      </c>
      <c r="F48">
        <v>3.0747397728953501</v>
      </c>
      <c r="G48">
        <v>3.1452155859500568</v>
      </c>
      <c r="H48">
        <v>4.0148050932072428</v>
      </c>
      <c r="I48">
        <v>78868.847144794941</v>
      </c>
      <c r="J48" s="82">
        <v>85</v>
      </c>
      <c r="K48">
        <v>99.813781061172733</v>
      </c>
      <c r="L48" t="str">
        <f t="shared" si="0"/>
        <v>OK</v>
      </c>
    </row>
    <row r="49" spans="1:12">
      <c r="A49" s="1">
        <v>43145</v>
      </c>
      <c r="B49" t="s">
        <v>10</v>
      </c>
      <c r="C49">
        <v>108</v>
      </c>
      <c r="D49">
        <f>(automotive_demand_forecasting_dataset56[[#This Row],[Units_Sold]] -$C$4) / $C$5</f>
        <v>0.8542771074688027</v>
      </c>
      <c r="E49">
        <v>29551.321528563865</v>
      </c>
      <c r="F49">
        <v>3.2097382750976386</v>
      </c>
      <c r="G49">
        <v>3.0556044660034485</v>
      </c>
      <c r="H49">
        <v>6.5429872772671276</v>
      </c>
      <c r="I49">
        <v>124461.6613419065</v>
      </c>
      <c r="J49" s="82">
        <v>90</v>
      </c>
      <c r="K49">
        <v>41.084118359742227</v>
      </c>
      <c r="L49" t="str">
        <f t="shared" si="0"/>
        <v>OK</v>
      </c>
    </row>
    <row r="50" spans="1:12">
      <c r="A50" s="1">
        <v>43175</v>
      </c>
      <c r="B50" t="s">
        <v>11</v>
      </c>
      <c r="C50">
        <v>101</v>
      </c>
      <c r="D50">
        <f>(automotive_demand_forecasting_dataset56[[#This Row],[Units_Sold]] -$C$4) / $C$5</f>
        <v>0.15388594416573159</v>
      </c>
      <c r="E50">
        <v>37200.586077247368</v>
      </c>
      <c r="F50">
        <v>3.5380713799999999</v>
      </c>
      <c r="G50">
        <v>2.5895806812552489</v>
      </c>
      <c r="H50">
        <v>6.56474900472009</v>
      </c>
      <c r="I50">
        <v>94822.91199260336</v>
      </c>
      <c r="J50" s="82">
        <v>80</v>
      </c>
      <c r="K50">
        <v>42.330437661941573</v>
      </c>
      <c r="L50" t="str">
        <f t="shared" si="0"/>
        <v>OK</v>
      </c>
    </row>
    <row r="51" spans="1:12">
      <c r="A51" s="1">
        <v>43205</v>
      </c>
      <c r="B51" t="s">
        <v>11</v>
      </c>
      <c r="C51">
        <v>94</v>
      </c>
      <c r="D51">
        <f>(automotive_demand_forecasting_dataset56[[#This Row],[Units_Sold]] -$C$4) / $C$5</f>
        <v>-0.54650521913733952</v>
      </c>
      <c r="E51">
        <v>26618.038489703653</v>
      </c>
      <c r="F51">
        <v>4.3349522521757029</v>
      </c>
      <c r="G51">
        <v>2.3026615796926739</v>
      </c>
      <c r="H51">
        <v>4.5840566749857024</v>
      </c>
      <c r="I51">
        <v>107050.09936713759</v>
      </c>
      <c r="J51" s="82">
        <v>95</v>
      </c>
      <c r="K51">
        <v>94.453780444991864</v>
      </c>
      <c r="L51" t="str">
        <f t="shared" si="0"/>
        <v>OK</v>
      </c>
    </row>
    <row r="52" spans="1:12">
      <c r="A52" s="1">
        <v>43235</v>
      </c>
      <c r="B52" t="s">
        <v>13</v>
      </c>
      <c r="C52">
        <v>116</v>
      </c>
      <c r="D52">
        <f>(automotive_demand_forecasting_dataset56[[#This Row],[Units_Sold]] -$C$4) / $C$5</f>
        <v>1.6547241512437412</v>
      </c>
      <c r="E52">
        <v>39004.702164554081</v>
      </c>
      <c r="F52">
        <v>3.6973357649114904</v>
      </c>
      <c r="G52">
        <f>3.224108373</f>
        <v>3.224108373</v>
      </c>
      <c r="H52">
        <v>5.5455254025371223</v>
      </c>
      <c r="I52">
        <f>128897.2893</f>
        <v>128897.2893</v>
      </c>
      <c r="J52" s="82">
        <v>89</v>
      </c>
      <c r="K52">
        <v>21.971552370905812</v>
      </c>
      <c r="L52" t="str">
        <f t="shared" si="0"/>
        <v>OK</v>
      </c>
    </row>
    <row r="53" spans="1:12">
      <c r="A53" s="1">
        <v>43265</v>
      </c>
      <c r="B53" t="s">
        <v>11</v>
      </c>
      <c r="C53">
        <v>97</v>
      </c>
      <c r="D53">
        <f>(automotive_demand_forecasting_dataset56[[#This Row],[Units_Sold]] -$C$4) / $C$5</f>
        <v>-0.24633757772173764</v>
      </c>
      <c r="E53">
        <v>29799.210246778282</v>
      </c>
      <c r="F53">
        <v>2.9020584689824078</v>
      </c>
      <c r="G53">
        <v>2.3050917196473191</v>
      </c>
      <c r="H53">
        <v>5.616047043</v>
      </c>
      <c r="I53">
        <v>63587.933989029654</v>
      </c>
      <c r="J53" s="82">
        <v>73</v>
      </c>
      <c r="K53">
        <v>75.735119029855753</v>
      </c>
      <c r="L53" t="str">
        <f t="shared" si="0"/>
        <v>OK</v>
      </c>
    </row>
    <row r="54" spans="1:12">
      <c r="A54" s="1">
        <v>43295</v>
      </c>
      <c r="B54" t="s">
        <v>10</v>
      </c>
      <c r="C54">
        <v>100</v>
      </c>
      <c r="D54">
        <f>(automotive_demand_forecasting_dataset56[[#This Row],[Units_Sold]] -$C$4) / $C$5</f>
        <v>5.3830063693864283E-2</v>
      </c>
      <c r="E54">
        <v>22846.124489409758</v>
      </c>
      <c r="F54">
        <v>3.7223013341100701</v>
      </c>
      <c r="G54">
        <v>3.6337700968670648</v>
      </c>
      <c r="H54">
        <v>5.2488234165047665</v>
      </c>
      <c r="I54">
        <v>105401.14716782844</v>
      </c>
      <c r="J54" s="82">
        <v>86</v>
      </c>
      <c r="K54">
        <v>78.026111258870259</v>
      </c>
      <c r="L54" t="str">
        <f t="shared" si="0"/>
        <v>OK</v>
      </c>
    </row>
    <row r="55" spans="1:12">
      <c r="A55" s="1">
        <v>43325</v>
      </c>
      <c r="B55" t="s">
        <v>14</v>
      </c>
      <c r="C55">
        <v>94</v>
      </c>
      <c r="D55">
        <f>(automotive_demand_forecasting_dataset56[[#This Row],[Units_Sold]] -$C$4) / $C$5</f>
        <v>-0.54650521913733952</v>
      </c>
      <c r="E55">
        <v>30640.522074553948</v>
      </c>
      <c r="F55">
        <v>4.0983157433228259</v>
      </c>
      <c r="G55">
        <v>3.0935567222808618</v>
      </c>
      <c r="H55">
        <v>6.7875736573192142</v>
      </c>
      <c r="I55">
        <v>61754.900491604465</v>
      </c>
      <c r="J55" s="82">
        <v>82</v>
      </c>
      <c r="K55">
        <v>86.910286192831947</v>
      </c>
      <c r="L55" t="str">
        <f t="shared" si="0"/>
        <v>OK</v>
      </c>
    </row>
    <row r="56" spans="1:12">
      <c r="A56" s="1">
        <v>43355</v>
      </c>
      <c r="B56" t="s">
        <v>13</v>
      </c>
      <c r="C56">
        <v>118</v>
      </c>
      <c r="D56">
        <f>(automotive_demand_forecasting_dataset56[[#This Row],[Units_Sold]] -$C$4) / $C$5</f>
        <v>1.8548359121874758</v>
      </c>
      <c r="E56">
        <v>26594.741712625597</v>
      </c>
      <c r="F56">
        <v>3.195108547840309</v>
      </c>
      <c r="G56">
        <v>2.6520564320000002</v>
      </c>
      <c r="H56">
        <v>8.3366469935432335</v>
      </c>
      <c r="I56">
        <v>98627.319078290631</v>
      </c>
      <c r="J56" s="82">
        <v>80</v>
      </c>
      <c r="K56">
        <v>97.955144851078032</v>
      </c>
      <c r="L56" t="str">
        <f t="shared" si="0"/>
        <v>OK</v>
      </c>
    </row>
    <row r="57" spans="1:12">
      <c r="A57" s="1">
        <v>43385</v>
      </c>
      <c r="B57" t="s">
        <v>10</v>
      </c>
      <c r="C57">
        <v>104</v>
      </c>
      <c r="D57">
        <f>(automotive_demand_forecasting_dataset56[[#This Row],[Units_Sold]] -$C$4) / $C$5</f>
        <v>0.45405358558133352</v>
      </c>
      <c r="E57">
        <v>34203.21774494362</v>
      </c>
      <c r="F57">
        <v>3.4329914166635414</v>
      </c>
      <c r="G57">
        <v>3.1559007765297609</v>
      </c>
      <c r="H57">
        <v>4.5568167608380215</v>
      </c>
      <c r="I57">
        <v>72633.699223343792</v>
      </c>
      <c r="J57" s="82">
        <v>85</v>
      </c>
      <c r="K57">
        <v>98.048153532532197</v>
      </c>
      <c r="L57" t="str">
        <f t="shared" si="0"/>
        <v>OK</v>
      </c>
    </row>
    <row r="58" spans="1:12">
      <c r="A58" s="1">
        <v>43415</v>
      </c>
      <c r="B58" t="s">
        <v>14</v>
      </c>
      <c r="C58">
        <v>100</v>
      </c>
      <c r="D58">
        <f>(automotive_demand_forecasting_dataset56[[#This Row],[Units_Sold]] -$C$4) / $C$5</f>
        <v>5.3830063693864283E-2</v>
      </c>
      <c r="E58">
        <v>26736.880103488045</v>
      </c>
      <c r="F58">
        <v>3.5073440973645984</v>
      </c>
      <c r="G58">
        <v>2.6947361947187747</v>
      </c>
      <c r="H58">
        <v>3.8427464762154702</v>
      </c>
      <c r="I58">
        <v>139745.51998461617</v>
      </c>
      <c r="J58" s="82">
        <v>88</v>
      </c>
      <c r="K58">
        <v>25.222140605317112</v>
      </c>
      <c r="L58" t="str">
        <f t="shared" si="0"/>
        <v>OK</v>
      </c>
    </row>
    <row r="59" spans="1:12">
      <c r="A59" s="1">
        <v>43445</v>
      </c>
      <c r="B59" t="s">
        <v>10</v>
      </c>
      <c r="C59">
        <v>115</v>
      </c>
      <c r="D59">
        <f>(automotive_demand_forecasting_dataset56[[#This Row],[Units_Sold]] -$C$4) / $C$5</f>
        <v>1.554668270771874</v>
      </c>
      <c r="E59">
        <v>27769.082833926102</v>
      </c>
      <c r="F59">
        <v>3.1075508434588799</v>
      </c>
      <c r="G59">
        <v>2.4812912435541028</v>
      </c>
      <c r="H59">
        <v>5.8645823147258511</v>
      </c>
      <c r="I59">
        <v>118227.25444349443</v>
      </c>
      <c r="J59" s="82">
        <v>100</v>
      </c>
      <c r="K59">
        <v>85.747145820232205</v>
      </c>
      <c r="L59" t="str">
        <f t="shared" si="0"/>
        <v>OK</v>
      </c>
    </row>
    <row r="60" spans="1:12">
      <c r="A60" s="1">
        <v>43475</v>
      </c>
      <c r="B60" t="s">
        <v>13</v>
      </c>
      <c r="C60">
        <v>94</v>
      </c>
      <c r="D60">
        <f>(automotive_demand_forecasting_dataset56[[#This Row],[Units_Sold]] -$C$4) / $C$5</f>
        <v>-0.54650521913733952</v>
      </c>
      <c r="E60">
        <v>20552.296345272345</v>
      </c>
      <c r="F60">
        <v>3.8241402169219296</v>
      </c>
      <c r="G60">
        <v>2.1114815469111141</v>
      </c>
      <c r="H60">
        <v>6.3658750061513718</v>
      </c>
      <c r="I60">
        <v>102115.07582542961</v>
      </c>
      <c r="J60" s="82">
        <v>102</v>
      </c>
      <c r="K60">
        <v>71.704794692590497</v>
      </c>
      <c r="L60" t="str">
        <f t="shared" si="0"/>
        <v>OK</v>
      </c>
    </row>
    <row r="61" spans="1:12">
      <c r="A61" s="1">
        <v>43505</v>
      </c>
      <c r="B61" t="s">
        <v>11</v>
      </c>
      <c r="C61">
        <v>91</v>
      </c>
      <c r="D61">
        <f>(automotive_demand_forecasting_dataset56[[#This Row],[Units_Sold]] -$C$4) / $C$5</f>
        <v>-0.84667286055294144</v>
      </c>
      <c r="E61">
        <v>27738.468403754618</v>
      </c>
      <c r="F61">
        <v>3.4395259256961093</v>
      </c>
      <c r="G61">
        <v>3.6241127199860133</v>
      </c>
      <c r="H61">
        <v>5.222960351386277</v>
      </c>
      <c r="I61">
        <v>125274.13355309337</v>
      </c>
      <c r="J61" s="82">
        <v>95</v>
      </c>
      <c r="K61">
        <v>71.787370749847298</v>
      </c>
      <c r="L61" t="str">
        <f t="shared" si="0"/>
        <v>OK</v>
      </c>
    </row>
    <row r="62" spans="1:12">
      <c r="A62" s="1">
        <v>43535</v>
      </c>
      <c r="B62" t="s">
        <v>13</v>
      </c>
      <c r="C62">
        <v>110</v>
      </c>
      <c r="D62">
        <f>(automotive_demand_forecasting_dataset56[[#This Row],[Units_Sold]] -$C$4) / $C$5</f>
        <v>1.0543888684125373</v>
      </c>
      <c r="E62">
        <v>17880.603366855219</v>
      </c>
      <c r="F62">
        <v>3.7097662219535139</v>
      </c>
      <c r="G62">
        <v>3.4475264621228581</v>
      </c>
      <c r="H62">
        <v>7.2439127959852412</v>
      </c>
      <c r="I62">
        <v>83073.680450685279</v>
      </c>
      <c r="J62" s="82">
        <v>88</v>
      </c>
      <c r="K62">
        <v>30.267994129175584</v>
      </c>
      <c r="L62" t="str">
        <f t="shared" si="0"/>
        <v>OK</v>
      </c>
    </row>
    <row r="63" spans="1:12">
      <c r="A63" s="1">
        <v>43565</v>
      </c>
      <c r="B63" t="s">
        <v>11</v>
      </c>
      <c r="C63">
        <v>98</v>
      </c>
      <c r="D63">
        <f>(automotive_demand_forecasting_dataset56[[#This Row],[Units_Sold]] -$C$4) / $C$5</f>
        <v>-0.14628169724987033</v>
      </c>
      <c r="E63">
        <v>22080.485882571382</v>
      </c>
      <c r="F63">
        <v>3.0562539110989499</v>
      </c>
      <c r="G63">
        <v>1.7271223321763909</v>
      </c>
      <c r="H63">
        <v>3.8936730403321018</v>
      </c>
      <c r="I63">
        <v>110869.58757340186</v>
      </c>
      <c r="J63" s="82">
        <v>87</v>
      </c>
      <c r="K63">
        <f>80.21517797</f>
        <v>80.215177969999999</v>
      </c>
      <c r="L63" t="str">
        <f t="shared" si="0"/>
        <v>OK</v>
      </c>
    </row>
    <row r="64" spans="1:12">
      <c r="A64" s="1">
        <v>43595</v>
      </c>
      <c r="B64" t="s">
        <v>13</v>
      </c>
      <c r="C64">
        <v>86</v>
      </c>
      <c r="D64">
        <f>(automotive_demand_forecasting_dataset56[[#This Row],[Units_Sold]] -$C$4) / $C$5</f>
        <v>-1.3469522629122781</v>
      </c>
      <c r="E64">
        <v>33802.073280721488</v>
      </c>
      <c r="F64">
        <v>3.281270849838295</v>
      </c>
      <c r="G64">
        <v>2.907052287124535</v>
      </c>
      <c r="H64">
        <v>6.3315023476379331</v>
      </c>
      <c r="I64">
        <v>103996.20867437427</v>
      </c>
      <c r="J64" s="82">
        <v>95</v>
      </c>
      <c r="K64">
        <v>98.598606448099829</v>
      </c>
      <c r="L64" t="str">
        <f t="shared" si="0"/>
        <v>OK</v>
      </c>
    </row>
    <row r="65" spans="1:12">
      <c r="A65" s="1">
        <v>43625</v>
      </c>
      <c r="B65" t="s">
        <v>12</v>
      </c>
      <c r="C65">
        <v>121</v>
      </c>
      <c r="D65">
        <f>(automotive_demand_forecasting_dataset56[[#This Row],[Units_Sold]] -$C$4) / $C$5</f>
        <v>2.1550035536030778</v>
      </c>
      <c r="E65">
        <v>38106.295579999998</v>
      </c>
      <c r="F65">
        <v>3.8611906789138857</v>
      </c>
      <c r="G65">
        <v>1.5283432654587141</v>
      </c>
      <c r="H65">
        <v>4.7729670150893284</v>
      </c>
      <c r="I65">
        <v>105280.4016266734</v>
      </c>
      <c r="J65" s="82">
        <v>78</v>
      </c>
      <c r="K65">
        <v>65.454227669999995</v>
      </c>
      <c r="L65" t="str">
        <f t="shared" si="0"/>
        <v>OK</v>
      </c>
    </row>
    <row r="66" spans="1:12">
      <c r="A66" s="1">
        <v>43655</v>
      </c>
      <c r="B66" t="s">
        <v>10</v>
      </c>
      <c r="C66">
        <v>100</v>
      </c>
      <c r="D66">
        <f>(automotive_demand_forecasting_dataset56[[#This Row],[Units_Sold]] -$C$4) / $C$5</f>
        <v>5.3830063693864283E-2</v>
      </c>
      <c r="E66">
        <v>32127.287808924822</v>
      </c>
      <c r="F66">
        <v>3.3135834239541166</v>
      </c>
      <c r="G66">
        <v>1.1203818352110695</v>
      </c>
      <c r="H66">
        <v>7.5632534874487565</v>
      </c>
      <c r="I66">
        <v>125447.07000213536</v>
      </c>
      <c r="J66" s="82">
        <v>90</v>
      </c>
      <c r="K66">
        <v>55.13045286438804</v>
      </c>
      <c r="L66" t="str">
        <f t="shared" si="0"/>
        <v>OK</v>
      </c>
    </row>
    <row r="67" spans="1:12">
      <c r="A67" s="1">
        <v>43685</v>
      </c>
      <c r="B67" t="s">
        <v>10</v>
      </c>
      <c r="C67">
        <v>96</v>
      </c>
      <c r="D67">
        <f>(automotive_demand_forecasting_dataset56[[#This Row],[Units_Sold]] -$C$4) / $C$5</f>
        <v>-0.34639345819360495</v>
      </c>
      <c r="E67">
        <v>25165.119284353936</v>
      </c>
      <c r="F67">
        <v>4.3634819256167026</v>
      </c>
      <c r="G67">
        <v>1.873282775410035</v>
      </c>
      <c r="H67">
        <v>7.891018423801742</v>
      </c>
      <c r="I67">
        <v>114649.84205559605</v>
      </c>
      <c r="J67" s="82">
        <v>95</v>
      </c>
      <c r="K67">
        <v>23.195837862887547</v>
      </c>
      <c r="L67" t="str">
        <f t="shared" si="0"/>
        <v>OK</v>
      </c>
    </row>
    <row r="68" spans="1:12">
      <c r="A68" s="1">
        <v>43715</v>
      </c>
      <c r="B68" t="s">
        <v>12</v>
      </c>
      <c r="C68">
        <v>127</v>
      </c>
      <c r="D68">
        <f>(automotive_demand_forecasting_dataset56[[#This Row],[Units_Sold]] -$C$4) / $C$5</f>
        <v>2.7553388364342815</v>
      </c>
      <c r="E68">
        <v>29761.4432192901</v>
      </c>
      <c r="F68">
        <v>3.300181907192699</v>
      </c>
      <c r="G68">
        <v>3.3623934723827587</v>
      </c>
      <c r="H68">
        <v>4.5800120946599829</v>
      </c>
      <c r="I68">
        <v>105774.47325650047</v>
      </c>
      <c r="J68" s="82">
        <v>88</v>
      </c>
      <c r="K68">
        <v>48.98347920001639</v>
      </c>
      <c r="L68" t="str">
        <f t="shared" si="0"/>
        <v>OK</v>
      </c>
    </row>
    <row r="69" spans="1:12">
      <c r="A69" s="1">
        <v>43745</v>
      </c>
      <c r="B69" t="s">
        <v>11</v>
      </c>
      <c r="C69">
        <v>100</v>
      </c>
      <c r="D69">
        <f>(automotive_demand_forecasting_dataset56[[#This Row],[Units_Sold]] -$C$4) / $C$5</f>
        <v>5.3830063693864283E-2</v>
      </c>
      <c r="E69">
        <v>29981.987304547158</v>
      </c>
      <c r="F69">
        <v>3.612342362875943</v>
      </c>
      <c r="G69">
        <v>3.4531250453760869</v>
      </c>
      <c r="H69">
        <v>4.8405314369097034</v>
      </c>
      <c r="I69">
        <v>66902.251275434071</v>
      </c>
      <c r="J69" s="82">
        <f>111.9136842</f>
        <v>111.91368420000001</v>
      </c>
      <c r="K69">
        <v>86.111224928044422</v>
      </c>
      <c r="L69" t="str">
        <f t="shared" si="0"/>
        <v>OK</v>
      </c>
    </row>
    <row r="70" spans="1:12">
      <c r="A70" s="1">
        <v>43775</v>
      </c>
      <c r="B70" t="s">
        <v>10</v>
      </c>
      <c r="C70">
        <v>93</v>
      </c>
      <c r="D70">
        <f>(automotive_demand_forecasting_dataset56[[#This Row],[Units_Sold]] -$C$4) / $C$5</f>
        <v>-0.64656109960920682</v>
      </c>
      <c r="E70">
        <v>24208.176554037287</v>
      </c>
      <c r="F70">
        <v>3.9662954159365449</v>
      </c>
      <c r="G70">
        <v>3.0130854200972932</v>
      </c>
      <c r="H70">
        <v>6.531505464375762</v>
      </c>
      <c r="I70">
        <v>80799.074094410724</v>
      </c>
      <c r="J70" s="82">
        <v>79</v>
      </c>
      <c r="K70">
        <v>76.119928117213277</v>
      </c>
      <c r="L70" t="str">
        <f t="shared" si="0"/>
        <v>OK</v>
      </c>
    </row>
    <row r="71" spans="1:12">
      <c r="A71" s="1">
        <v>43805</v>
      </c>
      <c r="B71" t="s">
        <v>12</v>
      </c>
      <c r="C71">
        <v>103</v>
      </c>
      <c r="D71">
        <f>(automotive_demand_forecasting_dataset56[[#This Row],[Units_Sold]] -$C$4) / $C$5</f>
        <v>0.35399770510946621</v>
      </c>
      <c r="E71">
        <v>37516.991508835752</v>
      </c>
      <c r="F71">
        <v>2.7908171335334844</v>
      </c>
      <c r="G71">
        <v>3.225095786847997</v>
      </c>
      <c r="H71">
        <v>5.0354432202525823</v>
      </c>
      <c r="I71">
        <v>97545.821328085513</v>
      </c>
      <c r="J71" s="82">
        <v>91</v>
      </c>
      <c r="K71">
        <v>56.747492447516514</v>
      </c>
      <c r="L71" t="str">
        <f t="shared" si="0"/>
        <v>OK</v>
      </c>
    </row>
    <row r="72" spans="1:12">
      <c r="A72" s="1">
        <v>43835</v>
      </c>
      <c r="B72" t="s">
        <v>10</v>
      </c>
      <c r="C72">
        <v>78</v>
      </c>
      <c r="D72">
        <f>(automotive_demand_forecasting_dataset56[[#This Row],[Units_Sold]] -$C$4) / $C$5</f>
        <v>-2.1473993066872166</v>
      </c>
      <c r="E72">
        <v>34386.811452878355</v>
      </c>
      <c r="F72">
        <v>2.6195955940096121</v>
      </c>
      <c r="G72">
        <v>3.0161782871149585</v>
      </c>
      <c r="H72">
        <v>5.4455065384813137</v>
      </c>
      <c r="I72">
        <v>101867.44748553302</v>
      </c>
      <c r="J72" s="82">
        <v>81</v>
      </c>
      <c r="K72">
        <f>80.21517797</f>
        <v>80.215177969999999</v>
      </c>
      <c r="L72" t="str">
        <f t="shared" si="0"/>
        <v>OK</v>
      </c>
    </row>
    <row r="73" spans="1:12">
      <c r="A73" s="1">
        <v>43865</v>
      </c>
      <c r="B73" t="s">
        <v>14</v>
      </c>
      <c r="C73">
        <v>116</v>
      </c>
      <c r="D73">
        <f>(automotive_demand_forecasting_dataset56[[#This Row],[Units_Sold]] -$C$4) / $C$5</f>
        <v>1.6547241512437412</v>
      </c>
      <c r="E73">
        <v>30949.702720000001</v>
      </c>
      <c r="F73">
        <v>2.7371718427149525</v>
      </c>
      <c r="G73">
        <v>1.8585184047770478</v>
      </c>
      <c r="H73">
        <v>5.5304661046508921</v>
      </c>
      <c r="I73">
        <v>77395.925506521526</v>
      </c>
      <c r="J73" s="82">
        <v>98</v>
      </c>
      <c r="K73">
        <v>54.151578225864213</v>
      </c>
      <c r="L73" t="str">
        <f t="shared" si="0"/>
        <v>OK</v>
      </c>
    </row>
    <row r="74" spans="1:12">
      <c r="A74" s="1">
        <v>43895</v>
      </c>
      <c r="B74" t="s">
        <v>11</v>
      </c>
      <c r="C74">
        <v>88</v>
      </c>
      <c r="D74">
        <f>(automotive_demand_forecasting_dataset56[[#This Row],[Units_Sold]] -$C$4) / $C$5</f>
        <v>-1.1468405019685435</v>
      </c>
      <c r="E74">
        <v>30134.429194972654</v>
      </c>
      <c r="F74">
        <v>4.1312920517135909</v>
      </c>
      <c r="G74">
        <v>2.9319225446739408</v>
      </c>
      <c r="H74">
        <v>3.1963922125628126</v>
      </c>
      <c r="I74">
        <v>148233.53351156841</v>
      </c>
      <c r="J74" s="82">
        <v>83</v>
      </c>
      <c r="K74">
        <v>57.521995177430682</v>
      </c>
      <c r="L74" t="str">
        <f t="shared" si="0"/>
        <v>OK</v>
      </c>
    </row>
    <row r="75" spans="1:12">
      <c r="A75" s="1">
        <v>43925</v>
      </c>
      <c r="B75" t="s">
        <v>14</v>
      </c>
      <c r="C75">
        <v>105</v>
      </c>
      <c r="D75">
        <f>(automotive_demand_forecasting_dataset56[[#This Row],[Units_Sold]] -$C$4) / $C$5</f>
        <v>0.55410946605320077</v>
      </c>
      <c r="E75">
        <v>31041.914039737763</v>
      </c>
      <c r="F75">
        <v>3.2240709270537766</v>
      </c>
      <c r="G75">
        <v>3.3004095252276824</v>
      </c>
      <c r="H75">
        <v>5.4833947046869156</v>
      </c>
      <c r="I75">
        <v>130327.88110507146</v>
      </c>
      <c r="J75" s="82">
        <f>111.9136842</f>
        <v>111.91368420000001</v>
      </c>
      <c r="K75">
        <v>94.284442631530879</v>
      </c>
      <c r="L75" t="str">
        <f t="shared" ref="L75:L138" si="3">IF(COUNTA(A75:K75)&lt;COLUMNS(A75:K75), "Missing Data", "OK")</f>
        <v>OK</v>
      </c>
    </row>
    <row r="76" spans="1:12">
      <c r="A76" s="1">
        <v>43955</v>
      </c>
      <c r="B76" t="s">
        <v>11</v>
      </c>
      <c r="C76">
        <v>92</v>
      </c>
      <c r="D76">
        <f>(automotive_demand_forecasting_dataset56[[#This Row],[Units_Sold]] -$C$4) / $C$5</f>
        <v>-0.74661698008107413</v>
      </c>
      <c r="E76">
        <v>19791.325657878548</v>
      </c>
      <c r="F76">
        <v>4.7790996428341259</v>
      </c>
      <c r="G76">
        <v>3.2542913298135741</v>
      </c>
      <c r="H76">
        <v>5.616047043</v>
      </c>
      <c r="I76">
        <v>112042.36640784967</v>
      </c>
      <c r="J76" s="82">
        <v>97</v>
      </c>
      <c r="K76">
        <v>71.286888286572747</v>
      </c>
      <c r="L76" t="str">
        <f t="shared" si="3"/>
        <v>OK</v>
      </c>
    </row>
    <row r="77" spans="1:12">
      <c r="A77" s="1">
        <v>43985</v>
      </c>
      <c r="B77" t="s">
        <v>12</v>
      </c>
      <c r="C77">
        <v>96</v>
      </c>
      <c r="D77">
        <f>(automotive_demand_forecasting_dataset56[[#This Row],[Units_Sold]] -$C$4) / $C$5</f>
        <v>-0.34639345819360495</v>
      </c>
      <c r="E77">
        <v>28764.113087397014</v>
      </c>
      <c r="F77">
        <v>3.2178762006713058</v>
      </c>
      <c r="G77">
        <v>3.6889133714746429</v>
      </c>
      <c r="H77">
        <v>4.9082526131202737</v>
      </c>
      <c r="I77">
        <v>101440.73722567489</v>
      </c>
      <c r="J77" s="82">
        <v>90</v>
      </c>
      <c r="K77">
        <v>44.932233332371908</v>
      </c>
      <c r="L77" t="str">
        <f t="shared" si="3"/>
        <v>OK</v>
      </c>
    </row>
    <row r="78" spans="1:12">
      <c r="A78" s="1">
        <v>44015</v>
      </c>
      <c r="B78" t="s">
        <v>11</v>
      </c>
      <c r="C78">
        <v>104</v>
      </c>
      <c r="D78">
        <f>(automotive_demand_forecasting_dataset56[[#This Row],[Units_Sold]] -$C$4) / $C$5</f>
        <v>0.45405358558133352</v>
      </c>
      <c r="E78">
        <v>26590.078760011005</v>
      </c>
      <c r="F78">
        <v>3.5922756515985186</v>
      </c>
      <c r="G78">
        <v>3.2083038472010639</v>
      </c>
      <c r="H78">
        <v>7.2323584041625768</v>
      </c>
      <c r="I78">
        <v>95755.820601976971</v>
      </c>
      <c r="J78" s="82">
        <v>83</v>
      </c>
      <c r="K78">
        <v>62.025461156057709</v>
      </c>
      <c r="L78" t="str">
        <f t="shared" si="3"/>
        <v>OK</v>
      </c>
    </row>
    <row r="79" spans="1:12">
      <c r="A79" s="1">
        <v>44045</v>
      </c>
      <c r="B79" t="s">
        <v>11</v>
      </c>
      <c r="C79">
        <v>84</v>
      </c>
      <c r="D79">
        <f>(automotive_demand_forecasting_dataset56[[#This Row],[Units_Sold]] -$C$4) / $C$5</f>
        <v>-1.5470640238560127</v>
      </c>
      <c r="E79">
        <v>30949.702720000001</v>
      </c>
      <c r="F79">
        <v>4.2710549762839376</v>
      </c>
      <c r="G79">
        <v>2.851448207541583</v>
      </c>
      <c r="H79">
        <v>3.9921917268648928</v>
      </c>
      <c r="I79">
        <v>80961.630799555292</v>
      </c>
      <c r="J79" s="82">
        <v>93</v>
      </c>
      <c r="K79">
        <v>25.284424625772807</v>
      </c>
      <c r="L79" t="str">
        <f t="shared" si="3"/>
        <v>OK</v>
      </c>
    </row>
    <row r="80" spans="1:12">
      <c r="A80" s="1">
        <v>44075</v>
      </c>
      <c r="B80" t="s">
        <v>12</v>
      </c>
      <c r="C80">
        <v>95</v>
      </c>
      <c r="D80">
        <f>(automotive_demand_forecasting_dataset56[[#This Row],[Units_Sold]] -$C$4) / $C$5</f>
        <v>-0.44644933866547226</v>
      </c>
      <c r="E80">
        <v>28594.498535570227</v>
      </c>
      <c r="F80">
        <v>4.5030464440795619</v>
      </c>
      <c r="G80">
        <v>3.5701502383164274</v>
      </c>
      <c r="H80">
        <v>5.616047043</v>
      </c>
      <c r="I80">
        <v>101549.61037037725</v>
      </c>
      <c r="J80" s="82">
        <v>84</v>
      </c>
      <c r="K80">
        <v>97.805458851978941</v>
      </c>
      <c r="L80" t="str">
        <f t="shared" si="3"/>
        <v>OK</v>
      </c>
    </row>
    <row r="81" spans="1:12">
      <c r="A81" s="1">
        <v>44105</v>
      </c>
      <c r="B81" t="s">
        <v>11</v>
      </c>
      <c r="C81">
        <v>105</v>
      </c>
      <c r="D81">
        <f>(automotive_demand_forecasting_dataset56[[#This Row],[Units_Sold]] -$C$4) / $C$5</f>
        <v>0.55410946605320077</v>
      </c>
      <c r="E81">
        <v>38988.432634247612</v>
      </c>
      <c r="F81">
        <v>4.5307517883181987</v>
      </c>
      <c r="G81">
        <f>3.224108373</f>
        <v>3.224108373</v>
      </c>
      <c r="H81">
        <v>5.1652444836018301</v>
      </c>
      <c r="I81">
        <v>105155.05080285501</v>
      </c>
      <c r="J81" s="82">
        <v>90</v>
      </c>
      <c r="K81">
        <v>48.804792154458084</v>
      </c>
      <c r="L81" t="str">
        <f t="shared" si="3"/>
        <v>OK</v>
      </c>
    </row>
    <row r="82" spans="1:12">
      <c r="A82" s="1">
        <v>44135</v>
      </c>
      <c r="B82" t="s">
        <v>10</v>
      </c>
      <c r="C82">
        <v>100</v>
      </c>
      <c r="D82">
        <f>(automotive_demand_forecasting_dataset56[[#This Row],[Units_Sold]] -$C$4) / $C$5</f>
        <v>5.3830063693864283E-2</v>
      </c>
      <c r="E82">
        <v>33204.214306335052</v>
      </c>
      <c r="F82">
        <v>4.1041831152965713</v>
      </c>
      <c r="G82">
        <v>1.6181253487722822</v>
      </c>
      <c r="H82">
        <v>5.1642877978049988</v>
      </c>
      <c r="I82">
        <v>75164.788490367515</v>
      </c>
      <c r="J82" s="82">
        <v>97</v>
      </c>
      <c r="K82">
        <v>58.229388393050868</v>
      </c>
      <c r="L82" t="str">
        <f t="shared" si="3"/>
        <v>OK</v>
      </c>
    </row>
    <row r="83" spans="1:12">
      <c r="A83" s="1">
        <v>44165</v>
      </c>
      <c r="B83" t="s">
        <v>13</v>
      </c>
      <c r="C83">
        <v>104</v>
      </c>
      <c r="D83">
        <f>(automotive_demand_forecasting_dataset56[[#This Row],[Units_Sold]] -$C$4) / $C$5</f>
        <v>0.45405358558133352</v>
      </c>
      <c r="E83">
        <v>27144.105051086015</v>
      </c>
      <c r="F83">
        <v>4.0120312629057313</v>
      </c>
      <c r="G83">
        <v>2.3369330360562359</v>
      </c>
      <c r="H83">
        <v>6.4484462752620537</v>
      </c>
      <c r="I83">
        <v>106683.52834489795</v>
      </c>
      <c r="J83" s="82">
        <v>92</v>
      </c>
      <c r="K83">
        <v>48.422717938953809</v>
      </c>
      <c r="L83" t="str">
        <f t="shared" si="3"/>
        <v>OK</v>
      </c>
    </row>
    <row r="84" spans="1:12">
      <c r="A84" s="1">
        <v>44195</v>
      </c>
      <c r="B84" t="s">
        <v>12</v>
      </c>
      <c r="C84">
        <v>106</v>
      </c>
      <c r="D84">
        <f>(automotive_demand_forecasting_dataset56[[#This Row],[Units_Sold]] -$C$4) / $C$5</f>
        <v>0.65416534652506808</v>
      </c>
      <c r="E84">
        <v>32862.913906780792</v>
      </c>
      <c r="F84">
        <v>3.7962634746005914</v>
      </c>
      <c r="G84">
        <v>1.7550973551935509</v>
      </c>
      <c r="H84">
        <v>5.9080615534826686</v>
      </c>
      <c r="I84">
        <v>96894.819023505028</v>
      </c>
      <c r="J84" s="82">
        <v>80</v>
      </c>
      <c r="K84">
        <v>74.60093840929602</v>
      </c>
      <c r="L84" t="str">
        <f t="shared" si="3"/>
        <v>OK</v>
      </c>
    </row>
    <row r="85" spans="1:12">
      <c r="A85" s="1">
        <v>44225</v>
      </c>
      <c r="B85" t="s">
        <v>13</v>
      </c>
      <c r="C85">
        <v>120</v>
      </c>
      <c r="D85">
        <f>(automotive_demand_forecasting_dataset56[[#This Row],[Units_Sold]] -$C$4) / $C$5</f>
        <v>2.0549476731312106</v>
      </c>
      <c r="E85">
        <v>36996.777182930011</v>
      </c>
      <c r="F85">
        <v>3.8891805380833189</v>
      </c>
      <c r="G85">
        <v>1.8248217250256185</v>
      </c>
      <c r="H85">
        <v>6.1847355966634368</v>
      </c>
      <c r="I85">
        <v>61843.848842452178</v>
      </c>
      <c r="J85" s="82">
        <v>75</v>
      </c>
      <c r="K85">
        <v>72.978572666367441</v>
      </c>
      <c r="L85" t="str">
        <f t="shared" si="3"/>
        <v>OK</v>
      </c>
    </row>
    <row r="86" spans="1:12">
      <c r="A86" s="1">
        <v>44255</v>
      </c>
      <c r="B86" t="s">
        <v>12</v>
      </c>
      <c r="C86">
        <v>100</v>
      </c>
      <c r="D86">
        <f>(automotive_demand_forecasting_dataset56[[#This Row],[Units_Sold]] -$C$4) / $C$5</f>
        <v>5.3830063693864283E-2</v>
      </c>
      <c r="E86">
        <v>38106.295579999998</v>
      </c>
      <c r="F86">
        <v>3.2244071418357332</v>
      </c>
      <c r="G86">
        <v>2.3554813292844821</v>
      </c>
      <c r="H86">
        <v>6.6618215926394333</v>
      </c>
      <c r="I86">
        <v>82792.299784409959</v>
      </c>
      <c r="J86" s="82">
        <v>91</v>
      </c>
      <c r="K86">
        <v>77.225784842330853</v>
      </c>
      <c r="L86" t="str">
        <f t="shared" si="3"/>
        <v>OK</v>
      </c>
    </row>
    <row r="87" spans="1:12">
      <c r="A87" s="1">
        <v>44285</v>
      </c>
      <c r="B87" t="s">
        <v>12</v>
      </c>
      <c r="C87">
        <v>118</v>
      </c>
      <c r="D87">
        <f>(automotive_demand_forecasting_dataset56[[#This Row],[Units_Sold]] -$C$4) / $C$5</f>
        <v>1.8548359121874758</v>
      </c>
      <c r="E87">
        <v>30298.151849600872</v>
      </c>
      <c r="F87">
        <v>3.0909005582888462</v>
      </c>
      <c r="G87">
        <v>1.7075800790000386</v>
      </c>
      <c r="H87">
        <v>5.1024299401800128</v>
      </c>
      <c r="I87">
        <v>91727.889331567116</v>
      </c>
      <c r="J87" s="82">
        <v>91</v>
      </c>
      <c r="K87">
        <v>41.451458368953666</v>
      </c>
      <c r="L87" t="str">
        <f t="shared" si="3"/>
        <v>OK</v>
      </c>
    </row>
    <row r="88" spans="1:12">
      <c r="A88" s="1">
        <v>44315</v>
      </c>
      <c r="B88" t="s">
        <v>14</v>
      </c>
      <c r="C88">
        <v>92</v>
      </c>
      <c r="D88">
        <f>(automotive_demand_forecasting_dataset56[[#This Row],[Units_Sold]] -$C$4) / $C$5</f>
        <v>-0.74661698008107413</v>
      </c>
      <c r="E88">
        <v>26765.31611147213</v>
      </c>
      <c r="F88">
        <v>3.4983127712945241</v>
      </c>
      <c r="G88">
        <f t="shared" ref="G88:G89" si="4">3.224108373</f>
        <v>3.224108373</v>
      </c>
      <c r="H88">
        <v>4.7653159185906997</v>
      </c>
      <c r="I88">
        <v>137753.75314680382</v>
      </c>
      <c r="J88" s="82">
        <v>81</v>
      </c>
      <c r="K88">
        <v>45.253478493125279</v>
      </c>
      <c r="L88" t="str">
        <f t="shared" si="3"/>
        <v>OK</v>
      </c>
    </row>
    <row r="89" spans="1:12">
      <c r="A89" s="1">
        <v>44345</v>
      </c>
      <c r="B89" t="s">
        <v>14</v>
      </c>
      <c r="C89">
        <v>110</v>
      </c>
      <c r="D89">
        <f>(automotive_demand_forecasting_dataset56[[#This Row],[Units_Sold]] -$C$4) / $C$5</f>
        <v>1.0543888684125373</v>
      </c>
      <c r="E89">
        <v>33491.116568067948</v>
      </c>
      <c r="F89">
        <v>3.4149076887375358</v>
      </c>
      <c r="G89">
        <f t="shared" si="4"/>
        <v>3.224108373</v>
      </c>
      <c r="H89">
        <v>4.1978193681306424</v>
      </c>
      <c r="I89">
        <v>111131.06249067516</v>
      </c>
      <c r="J89" s="82">
        <f>111.9136842</f>
        <v>111.91368420000001</v>
      </c>
      <c r="K89">
        <v>30.020098487696636</v>
      </c>
      <c r="L89" t="str">
        <f t="shared" si="3"/>
        <v>OK</v>
      </c>
    </row>
    <row r="90" spans="1:12">
      <c r="A90" s="1">
        <v>44375</v>
      </c>
      <c r="B90" t="s">
        <v>11</v>
      </c>
      <c r="C90">
        <v>101</v>
      </c>
      <c r="D90">
        <f>(automotive_demand_forecasting_dataset56[[#This Row],[Units_Sold]] -$C$4) / $C$5</f>
        <v>0.15388594416573159</v>
      </c>
      <c r="E90">
        <v>31967.426927108747</v>
      </c>
      <c r="F90">
        <v>3.2733859753363626</v>
      </c>
      <c r="G90">
        <v>2.7132937073729386</v>
      </c>
      <c r="H90">
        <v>4.5095073640252537</v>
      </c>
      <c r="I90">
        <v>73290.368618002176</v>
      </c>
      <c r="J90" s="82">
        <v>104</v>
      </c>
      <c r="K90">
        <v>72.440797747689004</v>
      </c>
      <c r="L90" t="str">
        <f t="shared" si="3"/>
        <v>OK</v>
      </c>
    </row>
    <row r="91" spans="1:12">
      <c r="A91" s="1">
        <v>44405</v>
      </c>
      <c r="B91" t="s">
        <v>13</v>
      </c>
      <c r="C91">
        <v>84</v>
      </c>
      <c r="D91">
        <f>(automotive_demand_forecasting_dataset56[[#This Row],[Units_Sold]] -$C$4) / $C$5</f>
        <v>-1.5470640238560127</v>
      </c>
      <c r="E91">
        <v>34475.966100138663</v>
      </c>
      <c r="F91">
        <v>3.8481937237283574</v>
      </c>
      <c r="G91">
        <v>2.5012054753622244</v>
      </c>
      <c r="H91">
        <v>5.616047043</v>
      </c>
      <c r="I91">
        <v>109720.72578835273</v>
      </c>
      <c r="J91" s="82">
        <v>99</v>
      </c>
      <c r="K91">
        <v>23.183770186852204</v>
      </c>
      <c r="L91" t="str">
        <f t="shared" si="3"/>
        <v>OK</v>
      </c>
    </row>
    <row r="92" spans="1:12">
      <c r="A92" s="1">
        <v>44435</v>
      </c>
      <c r="B92" t="s">
        <v>12</v>
      </c>
      <c r="C92">
        <v>115</v>
      </c>
      <c r="D92">
        <f>(automotive_demand_forecasting_dataset56[[#This Row],[Units_Sold]] -$C$4) / $C$5</f>
        <v>1.554668270771874</v>
      </c>
      <c r="E92">
        <v>33175.859008409847</v>
      </c>
      <c r="F92">
        <v>4.5778345189999996</v>
      </c>
      <c r="G92">
        <v>1.6829113689318094</v>
      </c>
      <c r="H92">
        <v>6.9936154968841437</v>
      </c>
      <c r="I92">
        <v>69053.920221232693</v>
      </c>
      <c r="J92" s="82">
        <v>92</v>
      </c>
      <c r="K92">
        <v>67.814586841876718</v>
      </c>
      <c r="L92" t="str">
        <f t="shared" si="3"/>
        <v>OK</v>
      </c>
    </row>
    <row r="93" spans="1:12">
      <c r="A93" s="1">
        <v>44465</v>
      </c>
      <c r="B93" t="s">
        <v>11</v>
      </c>
      <c r="C93">
        <v>95</v>
      </c>
      <c r="D93">
        <f>(automotive_demand_forecasting_dataset56[[#This Row],[Units_Sold]] -$C$4) / $C$5</f>
        <v>-0.44644933866547226</v>
      </c>
      <c r="E93">
        <v>35247.763576596677</v>
      </c>
      <c r="F93">
        <v>3.5442034431459235</v>
      </c>
      <c r="G93">
        <v>3.1592456684324048</v>
      </c>
      <c r="H93">
        <v>3.8787107605503746</v>
      </c>
      <c r="I93">
        <v>121653.82107774146</v>
      </c>
      <c r="J93" s="82">
        <v>83</v>
      </c>
      <c r="K93">
        <v>89.575670788130708</v>
      </c>
      <c r="L93" t="str">
        <f t="shared" si="3"/>
        <v>OK</v>
      </c>
    </row>
    <row r="94" spans="1:12">
      <c r="A94" s="1">
        <v>44495</v>
      </c>
      <c r="B94" t="s">
        <v>10</v>
      </c>
      <c r="C94">
        <v>114</v>
      </c>
      <c r="D94">
        <f>(automotive_demand_forecasting_dataset56[[#This Row],[Units_Sold]] -$C$4) / $C$5</f>
        <v>1.4546123903000066</v>
      </c>
      <c r="E94">
        <v>27323.823942197159</v>
      </c>
      <c r="F94">
        <v>4.2387650405276309</v>
      </c>
      <c r="G94">
        <v>3.4375701376265582</v>
      </c>
      <c r="H94">
        <v>3.9130504519077158</v>
      </c>
      <c r="I94">
        <v>90577.50696364243</v>
      </c>
      <c r="J94" s="82">
        <f>111.9136842</f>
        <v>111.91368420000001</v>
      </c>
      <c r="K94">
        <v>91.266571863170682</v>
      </c>
      <c r="L94" t="str">
        <f t="shared" si="3"/>
        <v>OK</v>
      </c>
    </row>
    <row r="95" spans="1:12">
      <c r="A95" s="1">
        <v>44525</v>
      </c>
      <c r="B95" t="s">
        <v>12</v>
      </c>
      <c r="C95">
        <v>104</v>
      </c>
      <c r="D95">
        <f>(automotive_demand_forecasting_dataset56[[#This Row],[Units_Sold]] -$C$4) / $C$5</f>
        <v>0.45405358558133352</v>
      </c>
      <c r="E95">
        <v>36586.970328171628</v>
      </c>
      <c r="F95">
        <v>2.9291554429332476</v>
      </c>
      <c r="G95">
        <v>0.89244013563102587</v>
      </c>
      <c r="H95">
        <f>6.97388673</f>
        <v>6.9738867300000003</v>
      </c>
      <c r="I95">
        <v>98127.276225216585</v>
      </c>
      <c r="J95" s="82">
        <v>91</v>
      </c>
      <c r="K95">
        <v>55.923020829596936</v>
      </c>
      <c r="L95" t="str">
        <f t="shared" si="3"/>
        <v>OK</v>
      </c>
    </row>
    <row r="96" spans="1:12">
      <c r="A96" s="1">
        <v>44555</v>
      </c>
      <c r="B96" t="s">
        <v>10</v>
      </c>
      <c r="C96">
        <v>89</v>
      </c>
      <c r="D96">
        <f>(automotive_demand_forecasting_dataset56[[#This Row],[Units_Sold]] -$C$4) / $C$5</f>
        <v>-1.0467846214966761</v>
      </c>
      <c r="E96">
        <v>30987.998023461998</v>
      </c>
      <c r="F96">
        <v>3.4031702703601407</v>
      </c>
      <c r="G96">
        <v>1.7372752214337859</v>
      </c>
      <c r="H96">
        <v>6.1567177568535607</v>
      </c>
      <c r="I96">
        <v>126515.93295084379</v>
      </c>
      <c r="J96" s="82">
        <f>111.9136842</f>
        <v>111.91368420000001</v>
      </c>
      <c r="K96">
        <v>56.744295057045903</v>
      </c>
      <c r="L96" t="str">
        <f t="shared" si="3"/>
        <v>OK</v>
      </c>
    </row>
    <row r="97" spans="1:12">
      <c r="A97" s="1">
        <v>44585</v>
      </c>
      <c r="B97" t="s">
        <v>11</v>
      </c>
      <c r="C97">
        <v>100</v>
      </c>
      <c r="D97">
        <f>(automotive_demand_forecasting_dataset56[[#This Row],[Units_Sold]] -$C$4) / $C$5</f>
        <v>5.3830063693864283E-2</v>
      </c>
      <c r="E97">
        <v>40376.304363126328</v>
      </c>
      <c r="F97">
        <v>3.1415888396985974</v>
      </c>
      <c r="G97">
        <v>1.7308576502127018</v>
      </c>
      <c r="H97">
        <v>6.158660602380837</v>
      </c>
      <c r="I97">
        <v>74256.728628315002</v>
      </c>
      <c r="J97" s="82">
        <v>74</v>
      </c>
      <c r="K97">
        <v>26.157534640641387</v>
      </c>
      <c r="L97" t="str">
        <f t="shared" si="3"/>
        <v>OK</v>
      </c>
    </row>
    <row r="98" spans="1:12">
      <c r="A98" s="1">
        <v>44615</v>
      </c>
      <c r="B98" t="s">
        <v>14</v>
      </c>
      <c r="C98">
        <v>85</v>
      </c>
      <c r="D98">
        <f>(automotive_demand_forecasting_dataset56[[#This Row],[Units_Sold]] -$C$4) / $C$5</f>
        <v>-1.4470081433841453</v>
      </c>
      <c r="E98">
        <v>26554.060909552161</v>
      </c>
      <c r="F98">
        <v>2.5667316914634699</v>
      </c>
      <c r="G98">
        <v>1.5600968988911355</v>
      </c>
      <c r="H98">
        <v>5.1940530477355624</v>
      </c>
      <c r="I98">
        <v>72057.636297740173</v>
      </c>
      <c r="J98" s="82">
        <v>80</v>
      </c>
      <c r="K98">
        <v>73.661202035442855</v>
      </c>
      <c r="L98" t="str">
        <f t="shared" si="3"/>
        <v>OK</v>
      </c>
    </row>
    <row r="99" spans="1:12">
      <c r="A99" s="1">
        <v>44645</v>
      </c>
      <c r="B99" t="s">
        <v>11</v>
      </c>
      <c r="C99">
        <v>101</v>
      </c>
      <c r="D99">
        <f>(automotive_demand_forecasting_dataset56[[#This Row],[Units_Sold]] -$C$4) / $C$5</f>
        <v>0.15388594416573159</v>
      </c>
      <c r="E99">
        <v>38679.819015826244</v>
      </c>
      <c r="F99">
        <v>3.4586596570786505</v>
      </c>
      <c r="G99">
        <v>3.3294748419317486</v>
      </c>
      <c r="H99">
        <v>5.3494548879965196</v>
      </c>
      <c r="I99">
        <v>88328.013473079904</v>
      </c>
      <c r="J99" s="82">
        <v>81</v>
      </c>
      <c r="K99">
        <v>85.700753629827645</v>
      </c>
      <c r="L99" t="str">
        <f t="shared" si="3"/>
        <v>OK</v>
      </c>
    </row>
    <row r="100" spans="1:12">
      <c r="A100" s="1">
        <v>44675</v>
      </c>
      <c r="B100" t="s">
        <v>10</v>
      </c>
      <c r="C100">
        <v>104</v>
      </c>
      <c r="D100">
        <f>(automotive_demand_forecasting_dataset56[[#This Row],[Units_Sold]] -$C$4) / $C$5</f>
        <v>0.45405358558133352</v>
      </c>
      <c r="E100">
        <v>30989.553917313238</v>
      </c>
      <c r="F100">
        <v>3.439126245808358</v>
      </c>
      <c r="G100">
        <v>2.3061738612271965</v>
      </c>
      <c r="H100">
        <v>5.8934554289912287</v>
      </c>
      <c r="I100">
        <v>120767.57702038634</v>
      </c>
      <c r="J100" s="82">
        <v>87</v>
      </c>
      <c r="K100">
        <v>39.572404368377043</v>
      </c>
      <c r="L100" t="str">
        <f t="shared" si="3"/>
        <v>OK</v>
      </c>
    </row>
    <row r="101" spans="1:12">
      <c r="A101" s="1">
        <v>44705</v>
      </c>
      <c r="B101" t="s">
        <v>12</v>
      </c>
      <c r="C101">
        <v>106</v>
      </c>
      <c r="D101">
        <f>(automotive_demand_forecasting_dataset56[[#This Row],[Units_Sold]] -$C$4) / $C$5</f>
        <v>0.65416534652506808</v>
      </c>
      <c r="E101">
        <v>38106.295579999998</v>
      </c>
      <c r="F101">
        <v>4.2567248716210653</v>
      </c>
      <c r="G101">
        <v>2.2354851586893894</v>
      </c>
      <c r="H101">
        <v>5.6030716075519962</v>
      </c>
      <c r="I101">
        <v>69613.078490463144</v>
      </c>
      <c r="J101" s="82">
        <v>95</v>
      </c>
      <c r="K101">
        <v>53.704070530669171</v>
      </c>
      <c r="L101" t="str">
        <f t="shared" si="3"/>
        <v>OK</v>
      </c>
    </row>
    <row r="102" spans="1:12">
      <c r="A102" s="1">
        <v>44735</v>
      </c>
      <c r="B102" t="s">
        <v>13</v>
      </c>
      <c r="C102">
        <v>95</v>
      </c>
      <c r="D102">
        <f>(automotive_demand_forecasting_dataset56[[#This Row],[Units_Sold]] -$C$4) / $C$5</f>
        <v>-0.44644933866547226</v>
      </c>
      <c r="E102">
        <v>27580.570829728393</v>
      </c>
      <c r="F102">
        <v>3.8154058422773889</v>
      </c>
      <c r="G102">
        <v>0.49613763559324653</v>
      </c>
      <c r="H102">
        <v>2.836839552702958</v>
      </c>
      <c r="I102">
        <v>43356.888037788623</v>
      </c>
      <c r="J102" s="82">
        <v>108</v>
      </c>
      <c r="K102">
        <v>87.107146941221629</v>
      </c>
      <c r="L102" t="str">
        <f t="shared" si="3"/>
        <v>OK</v>
      </c>
    </row>
    <row r="103" spans="1:12">
      <c r="A103" s="1">
        <v>44765</v>
      </c>
      <c r="B103" t="s">
        <v>11</v>
      </c>
      <c r="C103">
        <v>104</v>
      </c>
      <c r="D103">
        <f>(automotive_demand_forecasting_dataset56[[#This Row],[Units_Sold]] -$C$4) / $C$5</f>
        <v>0.45405358558133352</v>
      </c>
      <c r="E103">
        <v>28398.2634590284</v>
      </c>
      <c r="F103">
        <v>2.9879065878353974</v>
      </c>
      <c r="G103">
        <v>3.1354180302092263</v>
      </c>
      <c r="H103">
        <v>5.2242404433097676</v>
      </c>
      <c r="I103">
        <v>90976.822831820027</v>
      </c>
      <c r="J103" s="82">
        <v>79</v>
      </c>
      <c r="K103">
        <v>90.169637412983036</v>
      </c>
      <c r="L103" t="str">
        <f t="shared" si="3"/>
        <v>OK</v>
      </c>
    </row>
    <row r="104" spans="1:12">
      <c r="A104" s="1">
        <v>44795</v>
      </c>
      <c r="B104" t="s">
        <v>12</v>
      </c>
      <c r="C104">
        <v>105</v>
      </c>
      <c r="D104">
        <f>(automotive_demand_forecasting_dataset56[[#This Row],[Units_Sold]] -$C$4) / $C$5</f>
        <v>0.55410946605320077</v>
      </c>
      <c r="E104">
        <v>32120.829732009581</v>
      </c>
      <c r="F104">
        <v>4.427046283167094</v>
      </c>
      <c r="G104">
        <v>1.2607416051465274</v>
      </c>
      <c r="H104">
        <v>4.478312278887624</v>
      </c>
      <c r="I104">
        <f>128897.2893</f>
        <v>128897.2893</v>
      </c>
      <c r="J104" s="82">
        <v>89</v>
      </c>
      <c r="K104">
        <v>39.454398421138073</v>
      </c>
      <c r="L104" t="str">
        <f t="shared" si="3"/>
        <v>OK</v>
      </c>
    </row>
    <row r="105" spans="1:12">
      <c r="A105" s="1">
        <v>44825</v>
      </c>
      <c r="B105" t="s">
        <v>14</v>
      </c>
      <c r="C105">
        <v>84</v>
      </c>
      <c r="D105">
        <f>(automotive_demand_forecasting_dataset56[[#This Row],[Units_Sold]] -$C$4) / $C$5</f>
        <v>-1.5470640238560127</v>
      </c>
      <c r="E105">
        <v>32614.177440177496</v>
      </c>
      <c r="F105">
        <v>4.1105168477626766</v>
      </c>
      <c r="G105">
        <v>2.5599326302663283</v>
      </c>
      <c r="H105">
        <v>5.7102537026902143</v>
      </c>
      <c r="I105">
        <v>124005.23499477659</v>
      </c>
      <c r="J105" s="82">
        <v>95</v>
      </c>
      <c r="K105">
        <v>64.045650763309141</v>
      </c>
      <c r="L105" t="str">
        <f t="shared" si="3"/>
        <v>OK</v>
      </c>
    </row>
    <row r="106" spans="1:12">
      <c r="A106" s="1">
        <v>44855</v>
      </c>
      <c r="B106" t="s">
        <v>14</v>
      </c>
      <c r="C106">
        <v>93</v>
      </c>
      <c r="D106">
        <f>(automotive_demand_forecasting_dataset56[[#This Row],[Units_Sold]] -$C$4) / $C$5</f>
        <v>-0.64656109960920682</v>
      </c>
      <c r="E106">
        <v>27131.499980307104</v>
      </c>
      <c r="F106">
        <v>3.7910488517343079</v>
      </c>
      <c r="G106">
        <v>2.7773769379581918</v>
      </c>
      <c r="H106">
        <v>5.616047043</v>
      </c>
      <c r="I106">
        <v>90736.77275829202</v>
      </c>
      <c r="J106" s="82">
        <v>96</v>
      </c>
      <c r="K106">
        <v>35.399452050866167</v>
      </c>
      <c r="L106" t="str">
        <f t="shared" si="3"/>
        <v>OK</v>
      </c>
    </row>
    <row r="107" spans="1:12">
      <c r="A107" s="1">
        <v>44885</v>
      </c>
      <c r="B107" t="s">
        <v>14</v>
      </c>
      <c r="C107">
        <v>115</v>
      </c>
      <c r="D107">
        <f>(automotive_demand_forecasting_dataset56[[#This Row],[Units_Sold]] -$C$4) / $C$5</f>
        <v>1.554668270771874</v>
      </c>
      <c r="E107">
        <v>29878.227038695084</v>
      </c>
      <c r="F107">
        <v>3.3867579505750842</v>
      </c>
      <c r="G107">
        <v>3.8606585958386512</v>
      </c>
      <c r="H107">
        <v>5.9409779985691653</v>
      </c>
      <c r="I107">
        <v>91771.467857679949</v>
      </c>
      <c r="J107" s="82">
        <v>103</v>
      </c>
      <c r="K107">
        <v>28.150301131164525</v>
      </c>
      <c r="L107" t="str">
        <f t="shared" si="3"/>
        <v>OK</v>
      </c>
    </row>
    <row r="108" spans="1:12">
      <c r="A108" s="1">
        <v>44915</v>
      </c>
      <c r="B108" t="s">
        <v>12</v>
      </c>
      <c r="C108">
        <v>109</v>
      </c>
      <c r="D108">
        <f>(automotive_demand_forecasting_dataset56[[#This Row],[Units_Sold]] -$C$4) / $C$5</f>
        <v>0.95433298794067001</v>
      </c>
      <c r="E108">
        <v>40711.351793059323</v>
      </c>
      <c r="F108">
        <v>3.0202803816382602</v>
      </c>
      <c r="G108">
        <v>1.1911796008808879</v>
      </c>
      <c r="H108">
        <v>5.1237643765931224</v>
      </c>
      <c r="I108">
        <v>123078.01468511495</v>
      </c>
      <c r="J108" s="82">
        <v>82</v>
      </c>
      <c r="K108">
        <v>92.889640111356599</v>
      </c>
      <c r="L108" t="str">
        <f t="shared" si="3"/>
        <v>OK</v>
      </c>
    </row>
    <row r="109" spans="1:12">
      <c r="A109" s="1">
        <v>44945</v>
      </c>
      <c r="B109" t="s">
        <v>11</v>
      </c>
      <c r="C109">
        <v>102</v>
      </c>
      <c r="D109">
        <f>(automotive_demand_forecasting_dataset56[[#This Row],[Units_Sold]] -$C$4) / $C$5</f>
        <v>0.2539418246375989</v>
      </c>
      <c r="E109">
        <v>38637.715850503555</v>
      </c>
      <c r="F109">
        <v>3.3138966119644735</v>
      </c>
      <c r="G109">
        <v>2.6520564320000002</v>
      </c>
      <c r="H109">
        <v>6.6061618023727027</v>
      </c>
      <c r="I109">
        <v>62605.166006091589</v>
      </c>
      <c r="J109" s="82">
        <v>83</v>
      </c>
      <c r="K109">
        <v>85.640600338568731</v>
      </c>
      <c r="L109" t="str">
        <f t="shared" si="3"/>
        <v>OK</v>
      </c>
    </row>
    <row r="110" spans="1:12">
      <c r="A110" s="1">
        <v>44975</v>
      </c>
      <c r="B110" t="s">
        <v>12</v>
      </c>
      <c r="C110">
        <v>100</v>
      </c>
      <c r="D110">
        <f>(automotive_demand_forecasting_dataset56[[#This Row],[Units_Sold]] -$C$4) / $C$5</f>
        <v>5.3830063693864283E-2</v>
      </c>
      <c r="E110">
        <v>32181.618348370161</v>
      </c>
      <c r="F110">
        <v>4.0443743098520928</v>
      </c>
      <c r="G110">
        <v>2.683849544753695</v>
      </c>
      <c r="H110">
        <v>6.0792254646510555</v>
      </c>
      <c r="I110">
        <v>92229.584496339812</v>
      </c>
      <c r="J110" s="82">
        <v>78</v>
      </c>
      <c r="K110">
        <v>80.802792144253914</v>
      </c>
      <c r="L110" t="str">
        <f t="shared" si="3"/>
        <v>OK</v>
      </c>
    </row>
    <row r="111" spans="1:12">
      <c r="A111" s="1">
        <v>45005</v>
      </c>
      <c r="B111" t="s">
        <v>12</v>
      </c>
      <c r="C111">
        <v>93</v>
      </c>
      <c r="D111">
        <f>(automotive_demand_forecasting_dataset56[[#This Row],[Units_Sold]] -$C$4) / $C$5</f>
        <v>-0.64656109960920682</v>
      </c>
      <c r="E111">
        <v>30190.017390841</v>
      </c>
      <c r="F111">
        <v>4.4422931529673049</v>
      </c>
      <c r="G111">
        <v>4.3005111815108537</v>
      </c>
      <c r="H111">
        <v>6.0041133885422093</v>
      </c>
      <c r="I111">
        <v>103808.47779850116</v>
      </c>
      <c r="J111" s="82">
        <v>90</v>
      </c>
      <c r="K111">
        <v>23.901305505051234</v>
      </c>
      <c r="L111" t="str">
        <f t="shared" si="3"/>
        <v>OK</v>
      </c>
    </row>
    <row r="112" spans="1:12">
      <c r="A112" s="1">
        <v>45035</v>
      </c>
      <c r="B112" t="s">
        <v>13</v>
      </c>
      <c r="C112">
        <v>100</v>
      </c>
      <c r="D112">
        <f>(automotive_demand_forecasting_dataset56[[#This Row],[Units_Sold]] -$C$4) / $C$5</f>
        <v>5.3830063693864283E-2</v>
      </c>
      <c r="E112">
        <v>30600.156633591305</v>
      </c>
      <c r="F112">
        <v>4.2716217641360945</v>
      </c>
      <c r="G112">
        <v>3.7389463529394371</v>
      </c>
      <c r="H112">
        <v>6.2282207118588051</v>
      </c>
      <c r="I112">
        <v>108984.37442570069</v>
      </c>
      <c r="J112" s="82">
        <v>90</v>
      </c>
      <c r="K112">
        <v>87.49830341682059</v>
      </c>
      <c r="L112" t="str">
        <f t="shared" si="3"/>
        <v>OK</v>
      </c>
    </row>
    <row r="113" spans="1:12">
      <c r="A113" s="1">
        <v>45065</v>
      </c>
      <c r="B113" t="s">
        <v>13</v>
      </c>
      <c r="C113">
        <v>117</v>
      </c>
      <c r="D113">
        <f>(automotive_demand_forecasting_dataset56[[#This Row],[Units_Sold]] -$C$4) / $C$5</f>
        <v>1.7547800317156086</v>
      </c>
      <c r="E113">
        <v>33067.589863652087</v>
      </c>
      <c r="F113">
        <v>3.2555752891068628</v>
      </c>
      <c r="G113">
        <v>2.7096594152746256</v>
      </c>
      <c r="H113">
        <v>7.9678522777954495</v>
      </c>
      <c r="I113">
        <v>102916.7736</v>
      </c>
      <c r="J113" s="82">
        <v>98</v>
      </c>
      <c r="K113">
        <v>55.043526072430701</v>
      </c>
      <c r="L113" t="str">
        <f t="shared" si="3"/>
        <v>OK</v>
      </c>
    </row>
    <row r="114" spans="1:12">
      <c r="A114" s="1">
        <v>45095</v>
      </c>
      <c r="B114" t="s">
        <v>11</v>
      </c>
      <c r="C114">
        <v>98</v>
      </c>
      <c r="D114">
        <f>(automotive_demand_forecasting_dataset56[[#This Row],[Units_Sold]] -$C$4) / $C$5</f>
        <v>-0.14628169724987033</v>
      </c>
      <c r="E114">
        <v>24886.037174007972</v>
      </c>
      <c r="F114">
        <v>2.9401912833554942</v>
      </c>
      <c r="G114">
        <v>2.0083638143679527</v>
      </c>
      <c r="H114">
        <v>4.1429338776089013</v>
      </c>
      <c r="I114">
        <v>100688.82023411682</v>
      </c>
      <c r="J114" s="82">
        <v>87</v>
      </c>
      <c r="K114">
        <v>47.391609863668769</v>
      </c>
      <c r="L114" t="str">
        <f t="shared" si="3"/>
        <v>OK</v>
      </c>
    </row>
    <row r="115" spans="1:12">
      <c r="A115" s="1">
        <v>45125</v>
      </c>
      <c r="B115" t="s">
        <v>13</v>
      </c>
      <c r="C115">
        <v>94</v>
      </c>
      <c r="D115">
        <f>(automotive_demand_forecasting_dataset56[[#This Row],[Units_Sold]] -$C$4) / $C$5</f>
        <v>-0.54650521913733952</v>
      </c>
      <c r="E115">
        <v>28713.117312883274</v>
      </c>
      <c r="F115">
        <v>3.5704431234556018</v>
      </c>
      <c r="G115">
        <v>3.3071225966373103</v>
      </c>
      <c r="H115">
        <v>6.0683584921737452</v>
      </c>
      <c r="I115">
        <v>50233.452931740212</v>
      </c>
      <c r="J115" s="82">
        <v>108</v>
      </c>
      <c r="K115">
        <v>63.718108882030116</v>
      </c>
      <c r="L115" t="str">
        <f t="shared" si="3"/>
        <v>OK</v>
      </c>
    </row>
    <row r="116" spans="1:12">
      <c r="A116" s="1">
        <v>45155</v>
      </c>
      <c r="B116" t="s">
        <v>14</v>
      </c>
      <c r="C116">
        <v>112</v>
      </c>
      <c r="D116">
        <f>(automotive_demand_forecasting_dataset56[[#This Row],[Units_Sold]] -$C$4) / $C$5</f>
        <v>1.2545006293562719</v>
      </c>
      <c r="E116">
        <v>21657.079630612054</v>
      </c>
      <c r="F116">
        <v>2.6157803172185741</v>
      </c>
      <c r="G116">
        <f>3.224108373</f>
        <v>3.224108373</v>
      </c>
      <c r="H116">
        <v>4.3883426440221545</v>
      </c>
      <c r="I116">
        <v>86835.031753323041</v>
      </c>
      <c r="J116" s="82">
        <v>98</v>
      </c>
      <c r="K116">
        <v>27.308259417884464</v>
      </c>
      <c r="L116" t="str">
        <f t="shared" si="3"/>
        <v>OK</v>
      </c>
    </row>
    <row r="117" spans="1:12">
      <c r="A117" s="1">
        <v>45185</v>
      </c>
      <c r="B117" t="s">
        <v>13</v>
      </c>
      <c r="C117">
        <v>89</v>
      </c>
      <c r="D117">
        <f>(automotive_demand_forecasting_dataset56[[#This Row],[Units_Sold]] -$C$4) / $C$5</f>
        <v>-1.0467846214966761</v>
      </c>
      <c r="E117">
        <v>31996.115613026395</v>
      </c>
      <c r="F117">
        <v>3.6615838570923906</v>
      </c>
      <c r="G117">
        <v>2.9763577693562193</v>
      </c>
      <c r="H117">
        <v>6.1666151756106977</v>
      </c>
      <c r="I117">
        <v>109070.17425108935</v>
      </c>
      <c r="J117" s="82">
        <v>87</v>
      </c>
      <c r="K117">
        <v>80.53172394819191</v>
      </c>
      <c r="L117" t="str">
        <f t="shared" si="3"/>
        <v>OK</v>
      </c>
    </row>
    <row r="118" spans="1:12">
      <c r="A118" s="1">
        <v>45215</v>
      </c>
      <c r="B118" t="s">
        <v>14</v>
      </c>
      <c r="C118">
        <v>119</v>
      </c>
      <c r="D118">
        <f>(automotive_demand_forecasting_dataset56[[#This Row],[Units_Sold]] -$C$4) / $C$5</f>
        <v>1.9548917926593432</v>
      </c>
      <c r="E118">
        <v>33235.979698513707</v>
      </c>
      <c r="F118">
        <v>3.4261987068506659</v>
      </c>
      <c r="G118">
        <v>3.0054701591666269</v>
      </c>
      <c r="H118">
        <v>4.3975761862166873</v>
      </c>
      <c r="I118">
        <v>80354.119314906406</v>
      </c>
      <c r="J118" s="82">
        <v>95</v>
      </c>
      <c r="K118">
        <v>66.594806151063665</v>
      </c>
      <c r="L118" t="str">
        <f t="shared" si="3"/>
        <v>OK</v>
      </c>
    </row>
    <row r="119" spans="1:12">
      <c r="A119" s="1">
        <v>45245</v>
      </c>
      <c r="B119" t="s">
        <v>11</v>
      </c>
      <c r="C119">
        <v>102</v>
      </c>
      <c r="D119">
        <f>(automotive_demand_forecasting_dataset56[[#This Row],[Units_Sold]] -$C$4) / $C$5</f>
        <v>0.2539418246375989</v>
      </c>
      <c r="E119">
        <v>27584.067688503128</v>
      </c>
      <c r="F119">
        <v>3.266981749065879</v>
      </c>
      <c r="G119">
        <v>3.56020990749888</v>
      </c>
      <c r="H119">
        <v>4.9991598236738986</v>
      </c>
      <c r="I119">
        <f>128897.2893</f>
        <v>128897.2893</v>
      </c>
      <c r="J119" s="82">
        <v>92</v>
      </c>
      <c r="K119">
        <v>34.927207749853402</v>
      </c>
      <c r="L119" t="str">
        <f t="shared" si="3"/>
        <v>OK</v>
      </c>
    </row>
    <row r="120" spans="1:12">
      <c r="A120" s="1">
        <v>45275</v>
      </c>
      <c r="B120" t="s">
        <v>12</v>
      </c>
      <c r="C120">
        <v>87</v>
      </c>
      <c r="D120">
        <f>(automotive_demand_forecasting_dataset56[[#This Row],[Units_Sold]] -$C$4) / $C$5</f>
        <v>-1.2468963824404107</v>
      </c>
      <c r="E120">
        <v>37869.933816450168</v>
      </c>
      <c r="F120">
        <v>2.7026484663666022</v>
      </c>
      <c r="G120">
        <f>3.224108373</f>
        <v>3.224108373</v>
      </c>
      <c r="H120">
        <v>5.1458921029145124</v>
      </c>
      <c r="I120">
        <v>108937.45001605396</v>
      </c>
      <c r="J120" s="82">
        <v>90</v>
      </c>
      <c r="K120">
        <v>35.058575981523646</v>
      </c>
      <c r="L120" t="str">
        <f t="shared" si="3"/>
        <v>OK</v>
      </c>
    </row>
    <row r="121" spans="1:12">
      <c r="A121" s="1">
        <v>45305</v>
      </c>
      <c r="B121" t="s">
        <v>12</v>
      </c>
      <c r="C121">
        <v>113</v>
      </c>
      <c r="D121">
        <f>(automotive_demand_forecasting_dataset56[[#This Row],[Units_Sold]] -$C$4) / $C$5</f>
        <v>1.3545565098281394</v>
      </c>
      <c r="E121">
        <v>23871.171684988294</v>
      </c>
      <c r="F121">
        <v>3.7568000532848584</v>
      </c>
      <c r="G121">
        <v>2.892415967178767</v>
      </c>
      <c r="H121">
        <v>6.6709800632136513</v>
      </c>
      <c r="I121">
        <v>93149.015982844707</v>
      </c>
      <c r="J121" s="82">
        <v>88</v>
      </c>
      <c r="K121">
        <v>34.739892125813938</v>
      </c>
      <c r="L121" t="str">
        <f t="shared" si="3"/>
        <v>OK</v>
      </c>
    </row>
    <row r="122" spans="1:12">
      <c r="A122" s="1">
        <v>45335</v>
      </c>
      <c r="B122" t="s">
        <v>13</v>
      </c>
      <c r="C122">
        <v>106</v>
      </c>
      <c r="D122">
        <f>(automotive_demand_forecasting_dataset56[[#This Row],[Units_Sold]] -$C$4) / $C$5</f>
        <v>0.65416534652506808</v>
      </c>
      <c r="E122">
        <v>22678.125598950901</v>
      </c>
      <c r="F122">
        <v>3.2336495801690441</v>
      </c>
      <c r="G122">
        <v>1.9910363742925012</v>
      </c>
      <c r="H122">
        <v>6.6021453327308963</v>
      </c>
      <c r="I122">
        <v>103409.27541993142</v>
      </c>
      <c r="J122" s="82">
        <f>111.9136842</f>
        <v>111.91368420000001</v>
      </c>
      <c r="K122">
        <v>24.560191004154717</v>
      </c>
      <c r="L122" t="str">
        <f t="shared" si="3"/>
        <v>OK</v>
      </c>
    </row>
    <row r="123" spans="1:12">
      <c r="A123" s="1">
        <v>45365</v>
      </c>
      <c r="B123" t="s">
        <v>14</v>
      </c>
      <c r="C123">
        <v>96</v>
      </c>
      <c r="D123">
        <f>(automotive_demand_forecasting_dataset56[[#This Row],[Units_Sold]] -$C$4) / $C$5</f>
        <v>-0.34639345819360495</v>
      </c>
      <c r="E123">
        <v>38106.295579999998</v>
      </c>
      <c r="F123">
        <v>2.9150415821448559</v>
      </c>
      <c r="G123">
        <v>2.4744256878080058</v>
      </c>
      <c r="H123">
        <f>6.97388673</f>
        <v>6.9738867300000003</v>
      </c>
      <c r="I123">
        <v>80745.348694307759</v>
      </c>
      <c r="J123" s="82">
        <v>87</v>
      </c>
      <c r="K123">
        <v>67.023875949734787</v>
      </c>
      <c r="L123" t="str">
        <f t="shared" si="3"/>
        <v>OK</v>
      </c>
    </row>
    <row r="124" spans="1:12">
      <c r="A124" s="1">
        <v>45395</v>
      </c>
      <c r="B124" t="s">
        <v>10</v>
      </c>
      <c r="C124">
        <v>110</v>
      </c>
      <c r="D124">
        <f>(automotive_demand_forecasting_dataset56[[#This Row],[Units_Sold]] -$C$4) / $C$5</f>
        <v>1.0543888684125373</v>
      </c>
      <c r="E124">
        <v>35235.49151306077</v>
      </c>
      <c r="F124">
        <v>3.5380713799999999</v>
      </c>
      <c r="G124">
        <v>0.73092409511088174</v>
      </c>
      <c r="H124">
        <v>5.5659209331998181</v>
      </c>
      <c r="I124">
        <v>95867.774406079072</v>
      </c>
      <c r="J124" s="82">
        <v>81</v>
      </c>
      <c r="K124">
        <v>87.227854207080654</v>
      </c>
      <c r="L124" t="str">
        <f t="shared" si="3"/>
        <v>OK</v>
      </c>
    </row>
    <row r="125" spans="1:12">
      <c r="A125" s="1">
        <v>45425</v>
      </c>
      <c r="B125" t="s">
        <v>10</v>
      </c>
      <c r="C125">
        <v>100</v>
      </c>
      <c r="D125">
        <f>(automotive_demand_forecasting_dataset56[[#This Row],[Units_Sold]] -$C$4) / $C$5</f>
        <v>5.3830063693864283E-2</v>
      </c>
      <c r="E125">
        <v>38419.638457289344</v>
      </c>
      <c r="F125">
        <v>3.4862425474746819</v>
      </c>
      <c r="G125">
        <v>1.8052868689109418</v>
      </c>
      <c r="H125">
        <v>4.6485041743009932</v>
      </c>
      <c r="I125">
        <v>102916.7736</v>
      </c>
      <c r="J125" s="82">
        <v>105</v>
      </c>
      <c r="K125">
        <v>21.399857118991086</v>
      </c>
      <c r="L125" t="str">
        <f t="shared" si="3"/>
        <v>OK</v>
      </c>
    </row>
    <row r="126" spans="1:12">
      <c r="A126" s="1">
        <v>45455</v>
      </c>
      <c r="B126" t="s">
        <v>10</v>
      </c>
      <c r="C126">
        <v>100</v>
      </c>
      <c r="D126">
        <f>(automotive_demand_forecasting_dataset56[[#This Row],[Units_Sold]] -$C$4) / $C$5</f>
        <v>5.3830063693864283E-2</v>
      </c>
      <c r="E126">
        <v>27705.578685655299</v>
      </c>
      <c r="F126">
        <v>4.3861257983348718</v>
      </c>
      <c r="G126">
        <v>2.0907175618868958</v>
      </c>
      <c r="H126">
        <v>3.9897941071895984</v>
      </c>
      <c r="I126">
        <v>103139.45921936868</v>
      </c>
      <c r="J126" s="82">
        <v>101</v>
      </c>
      <c r="K126">
        <v>23.920371597701884</v>
      </c>
      <c r="L126" t="str">
        <f t="shared" si="3"/>
        <v>OK</v>
      </c>
    </row>
    <row r="127" spans="1:12">
      <c r="A127" s="1">
        <v>45485</v>
      </c>
      <c r="B127" t="s">
        <v>12</v>
      </c>
      <c r="C127">
        <v>106</v>
      </c>
      <c r="D127">
        <f>(automotive_demand_forecasting_dataset56[[#This Row],[Units_Sold]] -$C$4) / $C$5</f>
        <v>0.65416534652506808</v>
      </c>
      <c r="E127">
        <v>35393.404167156477</v>
      </c>
      <c r="F127">
        <v>4.3306296072739352</v>
      </c>
      <c r="G127">
        <v>1.9759116020654075</v>
      </c>
      <c r="H127">
        <v>5.2395795394907552</v>
      </c>
      <c r="I127">
        <v>88269.374608721293</v>
      </c>
      <c r="J127" s="82">
        <v>113</v>
      </c>
      <c r="K127">
        <v>65.82162213495566</v>
      </c>
      <c r="L127" t="str">
        <f t="shared" si="3"/>
        <v>OK</v>
      </c>
    </row>
    <row r="128" spans="1:12">
      <c r="A128" s="1">
        <v>45515</v>
      </c>
      <c r="B128" t="s">
        <v>12</v>
      </c>
      <c r="C128">
        <v>114</v>
      </c>
      <c r="D128">
        <f>(automotive_demand_forecasting_dataset56[[#This Row],[Units_Sold]] -$C$4) / $C$5</f>
        <v>1.4546123903000066</v>
      </c>
      <c r="E128">
        <v>29807.457652496465</v>
      </c>
      <c r="F128">
        <v>3.2714518717068639</v>
      </c>
      <c r="G128">
        <v>2.652354872033722</v>
      </c>
      <c r="H128">
        <v>5.1298206538530167</v>
      </c>
      <c r="I128">
        <v>104484.32808581585</v>
      </c>
      <c r="J128" s="82">
        <v>85</v>
      </c>
      <c r="K128">
        <v>85.559654830884185</v>
      </c>
      <c r="L128" t="str">
        <f t="shared" si="3"/>
        <v>OK</v>
      </c>
    </row>
    <row r="129" spans="1:12">
      <c r="A129" s="1">
        <v>45545</v>
      </c>
      <c r="B129" t="s">
        <v>14</v>
      </c>
      <c r="C129">
        <v>96</v>
      </c>
      <c r="D129">
        <f>(automotive_demand_forecasting_dataset56[[#This Row],[Units_Sold]] -$C$4) / $C$5</f>
        <v>-0.34639345819360495</v>
      </c>
      <c r="E129">
        <v>29136.863500295902</v>
      </c>
      <c r="F129">
        <v>3.1988939698191099</v>
      </c>
      <c r="G129">
        <f>3.224108373</f>
        <v>3.224108373</v>
      </c>
      <c r="H129">
        <v>5.616047043</v>
      </c>
      <c r="I129">
        <v>114292.19581273236</v>
      </c>
      <c r="J129" s="82">
        <v>90</v>
      </c>
      <c r="K129">
        <v>46.139111245490689</v>
      </c>
      <c r="L129" t="str">
        <f t="shared" si="3"/>
        <v>OK</v>
      </c>
    </row>
    <row r="130" spans="1:12">
      <c r="A130" s="1">
        <v>45575</v>
      </c>
      <c r="B130" t="s">
        <v>13</v>
      </c>
      <c r="C130">
        <v>102</v>
      </c>
      <c r="D130">
        <f>(automotive_demand_forecasting_dataset56[[#This Row],[Units_Sold]] -$C$4) / $C$5</f>
        <v>0.2539418246375989</v>
      </c>
      <c r="E130">
        <v>34418.299687433362</v>
      </c>
      <c r="F130">
        <v>3.734387128037512</v>
      </c>
      <c r="G130">
        <v>3.6210306673244714</v>
      </c>
      <c r="H130">
        <v>6.0195517904328355</v>
      </c>
      <c r="I130">
        <v>59001.174428450438</v>
      </c>
      <c r="J130" s="82">
        <v>83</v>
      </c>
      <c r="K130">
        <v>47.969151904617775</v>
      </c>
      <c r="L130" t="str">
        <f t="shared" si="3"/>
        <v>OK</v>
      </c>
    </row>
    <row r="131" spans="1:12">
      <c r="A131" s="1">
        <v>45605</v>
      </c>
      <c r="B131" t="s">
        <v>10</v>
      </c>
      <c r="C131">
        <v>100</v>
      </c>
      <c r="D131">
        <f>(automotive_demand_forecasting_dataset56[[#This Row],[Units_Sold]] -$C$4) / $C$5</f>
        <v>5.3830063693864283E-2</v>
      </c>
      <c r="E131">
        <v>33261.614392067095</v>
      </c>
      <c r="F131">
        <v>3.5380713799999999</v>
      </c>
      <c r="G131">
        <v>2.5002070649181971</v>
      </c>
      <c r="H131">
        <v>3.8468589990949154</v>
      </c>
      <c r="I131">
        <v>123181.48129911795</v>
      </c>
      <c r="J131" s="82">
        <v>99</v>
      </c>
      <c r="K131">
        <v>67.70771979974208</v>
      </c>
      <c r="L131" t="str">
        <f t="shared" si="3"/>
        <v>OK</v>
      </c>
    </row>
    <row r="132" spans="1:12">
      <c r="A132" s="1">
        <v>45635</v>
      </c>
      <c r="B132" t="s">
        <v>14</v>
      </c>
      <c r="C132">
        <v>93</v>
      </c>
      <c r="D132">
        <f>(automotive_demand_forecasting_dataset56[[#This Row],[Units_Sold]] -$C$4) / $C$5</f>
        <v>-0.64656109960920682</v>
      </c>
      <c r="E132">
        <v>22118.039215078752</v>
      </c>
      <c r="F132">
        <v>3.6508959499097329</v>
      </c>
      <c r="G132">
        <v>2.4906996788613855</v>
      </c>
      <c r="H132">
        <v>4.8222711949948689</v>
      </c>
      <c r="I132">
        <v>93274.905226378556</v>
      </c>
      <c r="J132" s="82">
        <v>84</v>
      </c>
      <c r="K132">
        <v>41.937031129931761</v>
      </c>
      <c r="L132" t="str">
        <f t="shared" si="3"/>
        <v>OK</v>
      </c>
    </row>
    <row r="133" spans="1:12">
      <c r="A133" s="1">
        <v>45665</v>
      </c>
      <c r="B133" t="s">
        <v>14</v>
      </c>
      <c r="C133">
        <v>100</v>
      </c>
      <c r="D133">
        <f>(automotive_demand_forecasting_dataset56[[#This Row],[Units_Sold]] -$C$4) / $C$5</f>
        <v>5.3830063693864283E-2</v>
      </c>
      <c r="E133">
        <v>37382.701748629479</v>
      </c>
      <c r="F133">
        <v>3.5380713799999999</v>
      </c>
      <c r="G133">
        <v>2.172105283487082</v>
      </c>
      <c r="H133">
        <v>6.7256599545152778</v>
      </c>
      <c r="I133">
        <v>108509.79866480461</v>
      </c>
      <c r="J133" s="82">
        <f>111.9136842</f>
        <v>111.91368420000001</v>
      </c>
      <c r="K133">
        <v>22.128669286214731</v>
      </c>
      <c r="L133" t="str">
        <f t="shared" si="3"/>
        <v>OK</v>
      </c>
    </row>
    <row r="134" spans="1:12">
      <c r="A134" s="1">
        <v>45695</v>
      </c>
      <c r="B134" t="s">
        <v>13</v>
      </c>
      <c r="C134">
        <v>111</v>
      </c>
      <c r="D134">
        <f>(automotive_demand_forecasting_dataset56[[#This Row],[Units_Sold]] -$C$4) / $C$5</f>
        <v>1.1544447488844047</v>
      </c>
      <c r="E134">
        <v>36900.456770737255</v>
      </c>
      <c r="F134">
        <v>4.1134666119421537</v>
      </c>
      <c r="G134">
        <v>2.6551906838589789</v>
      </c>
      <c r="H134">
        <v>8.0061313274439101</v>
      </c>
      <c r="I134">
        <v>123944.93847290456</v>
      </c>
      <c r="J134" s="82">
        <v>78</v>
      </c>
      <c r="K134">
        <v>78.818281448127692</v>
      </c>
      <c r="L134" t="str">
        <f t="shared" si="3"/>
        <v>OK</v>
      </c>
    </row>
    <row r="135" spans="1:12">
      <c r="A135" s="1">
        <v>45725</v>
      </c>
      <c r="B135" t="s">
        <v>14</v>
      </c>
      <c r="C135">
        <v>87</v>
      </c>
      <c r="D135">
        <f>(automotive_demand_forecasting_dataset56[[#This Row],[Units_Sold]] -$C$4) / $C$5</f>
        <v>-1.2468963824404107</v>
      </c>
      <c r="E135">
        <v>38106.295579999998</v>
      </c>
      <c r="F135">
        <v>3.4499229617600236</v>
      </c>
      <c r="G135">
        <v>3.3250982646676346</v>
      </c>
      <c r="H135">
        <v>3.5968200253144502</v>
      </c>
      <c r="I135">
        <v>72566.526055390685</v>
      </c>
      <c r="J135" s="82">
        <v>110</v>
      </c>
      <c r="K135">
        <f>80.21517797</f>
        <v>80.215177969999999</v>
      </c>
      <c r="L135" t="str">
        <f t="shared" si="3"/>
        <v>OK</v>
      </c>
    </row>
    <row r="136" spans="1:12">
      <c r="A136" s="1">
        <v>45755</v>
      </c>
      <c r="B136" t="s">
        <v>13</v>
      </c>
      <c r="C136">
        <v>100</v>
      </c>
      <c r="D136">
        <f>(automotive_demand_forecasting_dataset56[[#This Row],[Units_Sold]] -$C$4) / $C$5</f>
        <v>5.3830063693864283E-2</v>
      </c>
      <c r="E136">
        <v>31979.017667187047</v>
      </c>
      <c r="F136">
        <v>3.398163124911517</v>
      </c>
      <c r="G136">
        <v>1.6328697842890998</v>
      </c>
      <c r="H136">
        <v>3.2440907378331461</v>
      </c>
      <c r="I136">
        <v>85811.17995144907</v>
      </c>
      <c r="J136" s="82">
        <v>85</v>
      </c>
      <c r="K136">
        <v>66.460479924452727</v>
      </c>
      <c r="L136" t="str">
        <f t="shared" si="3"/>
        <v>OK</v>
      </c>
    </row>
    <row r="137" spans="1:12">
      <c r="A137" s="1">
        <v>45785</v>
      </c>
      <c r="B137" t="s">
        <v>11</v>
      </c>
      <c r="C137">
        <v>104</v>
      </c>
      <c r="D137">
        <f>(automotive_demand_forecasting_dataset56[[#This Row],[Units_Sold]] -$C$4) / $C$5</f>
        <v>0.45405358558133352</v>
      </c>
      <c r="E137">
        <v>32470.150931413693</v>
      </c>
      <c r="F137">
        <v>4.5778345189999996</v>
      </c>
      <c r="G137">
        <v>1.8418835109247433</v>
      </c>
      <c r="H137">
        <v>7.7451582104461387</v>
      </c>
      <c r="I137">
        <v>102916.7736</v>
      </c>
      <c r="J137" s="82">
        <v>94</v>
      </c>
      <c r="K137">
        <v>79.334730319345852</v>
      </c>
      <c r="L137" t="str">
        <f t="shared" si="3"/>
        <v>OK</v>
      </c>
    </row>
    <row r="138" spans="1:12">
      <c r="A138" s="1">
        <v>45815</v>
      </c>
      <c r="B138" t="s">
        <v>13</v>
      </c>
      <c r="C138">
        <v>78</v>
      </c>
      <c r="D138">
        <f>(automotive_demand_forecasting_dataset56[[#This Row],[Units_Sold]] -$C$4) / $C$5</f>
        <v>-2.1473993066872166</v>
      </c>
      <c r="E138">
        <v>30949.702720000001</v>
      </c>
      <c r="F138">
        <v>3.0865598229800701</v>
      </c>
      <c r="G138">
        <v>2.1962739712233352</v>
      </c>
      <c r="H138">
        <v>5.9675370128450851</v>
      </c>
      <c r="I138">
        <v>84324.92957751143</v>
      </c>
      <c r="J138" s="82">
        <v>77</v>
      </c>
      <c r="K138">
        <v>74.018467004963</v>
      </c>
      <c r="L138" t="str">
        <f t="shared" si="3"/>
        <v>OK</v>
      </c>
    </row>
    <row r="139" spans="1:12">
      <c r="A139" s="1">
        <v>45845</v>
      </c>
      <c r="B139" t="s">
        <v>10</v>
      </c>
      <c r="C139">
        <v>101</v>
      </c>
      <c r="D139">
        <f>(automotive_demand_forecasting_dataset56[[#This Row],[Units_Sold]] -$C$4) / $C$5</f>
        <v>0.15388594416573159</v>
      </c>
      <c r="E139">
        <v>27248.474230772899</v>
      </c>
      <c r="F139">
        <v>3.3867605540492365</v>
      </c>
      <c r="G139">
        <v>1.1541290765267851</v>
      </c>
      <c r="H139">
        <v>4.4580487217483604</v>
      </c>
      <c r="I139">
        <v>134698.73151673615</v>
      </c>
      <c r="J139" s="82">
        <v>99</v>
      </c>
      <c r="K139">
        <v>36.470559054265692</v>
      </c>
      <c r="L139" t="str">
        <f t="shared" ref="L139:L202" si="5">IF(COUNTA(A139:K139)&lt;COLUMNS(A139:K139), "Missing Data", "OK")</f>
        <v>OK</v>
      </c>
    </row>
    <row r="140" spans="1:12">
      <c r="A140" s="1">
        <v>45875</v>
      </c>
      <c r="B140" t="s">
        <v>10</v>
      </c>
      <c r="C140">
        <v>100</v>
      </c>
      <c r="D140">
        <f>(automotive_demand_forecasting_dataset56[[#This Row],[Units_Sold]] -$C$4) / $C$5</f>
        <v>5.3830063693864283E-2</v>
      </c>
      <c r="E140">
        <v>26641.883160309742</v>
      </c>
      <c r="F140">
        <v>3.6836827534080889</v>
      </c>
      <c r="G140">
        <v>1.6807421402785021</v>
      </c>
      <c r="H140">
        <v>6.1415549033469219</v>
      </c>
      <c r="I140">
        <f>128897.2893</f>
        <v>128897.2893</v>
      </c>
      <c r="J140" s="82">
        <v>85</v>
      </c>
      <c r="K140">
        <v>48.198483755468089</v>
      </c>
      <c r="L140" t="str">
        <f t="shared" si="5"/>
        <v>OK</v>
      </c>
    </row>
    <row r="141" spans="1:12">
      <c r="A141" s="1">
        <v>45905</v>
      </c>
      <c r="B141" t="s">
        <v>13</v>
      </c>
      <c r="C141">
        <v>109</v>
      </c>
      <c r="D141">
        <f>(automotive_demand_forecasting_dataset56[[#This Row],[Units_Sold]] -$C$4) / $C$5</f>
        <v>0.95433298794067001</v>
      </c>
      <c r="E141">
        <v>29872.229645042775</v>
      </c>
      <c r="F141">
        <v>3.9567923131166247</v>
      </c>
      <c r="G141">
        <v>2.0237791264553411</v>
      </c>
      <c r="H141">
        <v>5.616047043</v>
      </c>
      <c r="I141">
        <v>88889.064410262668</v>
      </c>
      <c r="J141" s="82">
        <v>97</v>
      </c>
      <c r="K141">
        <v>30.08881133429</v>
      </c>
      <c r="L141" t="str">
        <f t="shared" si="5"/>
        <v>OK</v>
      </c>
    </row>
    <row r="142" spans="1:12">
      <c r="A142" s="1">
        <v>45935</v>
      </c>
      <c r="B142" t="s">
        <v>11</v>
      </c>
      <c r="C142">
        <v>98</v>
      </c>
      <c r="D142">
        <f>(automotive_demand_forecasting_dataset56[[#This Row],[Units_Sold]] -$C$4) / $C$5</f>
        <v>-0.14628169724987033</v>
      </c>
      <c r="E142">
        <v>35863.645096296823</v>
      </c>
      <c r="F142">
        <v>3.0984105246598275</v>
      </c>
      <c r="G142">
        <v>3.3743891807127273</v>
      </c>
      <c r="H142">
        <v>5.504050607916593</v>
      </c>
      <c r="I142">
        <v>104087.78063205954</v>
      </c>
      <c r="J142" s="82">
        <f>111.9136842</f>
        <v>111.91368420000001</v>
      </c>
      <c r="K142">
        <v>30.388561073430481</v>
      </c>
      <c r="L142" t="str">
        <f t="shared" si="5"/>
        <v>OK</v>
      </c>
    </row>
    <row r="143" spans="1:12">
      <c r="A143" s="1">
        <v>45965</v>
      </c>
      <c r="B143" t="s">
        <v>11</v>
      </c>
      <c r="C143">
        <v>111</v>
      </c>
      <c r="D143">
        <f>(automotive_demand_forecasting_dataset56[[#This Row],[Units_Sold]] -$C$4) / $C$5</f>
        <v>1.1544447488844047</v>
      </c>
      <c r="E143">
        <v>32718.000772972162</v>
      </c>
      <c r="F143">
        <v>4.5778345189999996</v>
      </c>
      <c r="G143">
        <v>2.7625613290019251</v>
      </c>
      <c r="H143">
        <v>5.893385407411702</v>
      </c>
      <c r="I143">
        <v>75957.009478478227</v>
      </c>
      <c r="J143" s="82">
        <v>102</v>
      </c>
      <c r="K143">
        <v>74.095659708523129</v>
      </c>
      <c r="L143" t="str">
        <f t="shared" si="5"/>
        <v>OK</v>
      </c>
    </row>
    <row r="144" spans="1:12">
      <c r="A144" s="1">
        <v>45995</v>
      </c>
      <c r="B144" t="s">
        <v>10</v>
      </c>
      <c r="C144">
        <v>97</v>
      </c>
      <c r="D144">
        <f>(automotive_demand_forecasting_dataset56[[#This Row],[Units_Sold]] -$C$4) / $C$5</f>
        <v>-0.24633757772173764</v>
      </c>
      <c r="E144">
        <v>28146.928339569469</v>
      </c>
      <c r="F144">
        <v>3.3644381994787156</v>
      </c>
      <c r="G144">
        <v>2.6935899113675443</v>
      </c>
      <c r="H144">
        <v>6.6091241674453958</v>
      </c>
      <c r="I144">
        <f>128897.2893</f>
        <v>128897.2893</v>
      </c>
      <c r="J144" s="82">
        <v>96</v>
      </c>
      <c r="K144">
        <v>88.688008558599861</v>
      </c>
      <c r="L144" t="str">
        <f t="shared" si="5"/>
        <v>OK</v>
      </c>
    </row>
    <row r="145" spans="1:12">
      <c r="A145" s="1">
        <v>46025</v>
      </c>
      <c r="B145" t="s">
        <v>11</v>
      </c>
      <c r="C145">
        <v>88</v>
      </c>
      <c r="D145">
        <f>(automotive_demand_forecasting_dataset56[[#This Row],[Units_Sold]] -$C$4) / $C$5</f>
        <v>-1.1468405019685435</v>
      </c>
      <c r="E145">
        <v>33858.493553241722</v>
      </c>
      <c r="F145">
        <v>3.489316352825782</v>
      </c>
      <c r="G145">
        <v>3.3508979621679722</v>
      </c>
      <c r="H145">
        <v>4.2833248572489548</v>
      </c>
      <c r="I145">
        <v>106349.06522500351</v>
      </c>
      <c r="J145" s="82">
        <v>95</v>
      </c>
      <c r="K145">
        <v>97.018606708891127</v>
      </c>
      <c r="L145" t="str">
        <f t="shared" si="5"/>
        <v>OK</v>
      </c>
    </row>
    <row r="146" spans="1:12">
      <c r="A146" s="1">
        <v>46055</v>
      </c>
      <c r="B146" t="s">
        <v>14</v>
      </c>
      <c r="C146">
        <v>101</v>
      </c>
      <c r="D146">
        <f>(automotive_demand_forecasting_dataset56[[#This Row],[Units_Sold]] -$C$4) / $C$5</f>
        <v>0.15388594416573159</v>
      </c>
      <c r="E146">
        <v>30949.702720000001</v>
      </c>
      <c r="F146">
        <v>3.1263941604260883</v>
      </c>
      <c r="G146">
        <v>2.3626282116006032</v>
      </c>
      <c r="H146">
        <v>5.6028245936840309</v>
      </c>
      <c r="I146">
        <v>93342.79191234977</v>
      </c>
      <c r="J146" s="82">
        <v>103</v>
      </c>
      <c r="K146">
        <v>70.267769403955555</v>
      </c>
      <c r="L146" t="str">
        <f t="shared" si="5"/>
        <v>OK</v>
      </c>
    </row>
    <row r="147" spans="1:12">
      <c r="A147" s="1">
        <v>46085</v>
      </c>
      <c r="B147" t="s">
        <v>12</v>
      </c>
      <c r="C147">
        <v>105</v>
      </c>
      <c r="D147">
        <f>(automotive_demand_forecasting_dataset56[[#This Row],[Units_Sold]] -$C$4) / $C$5</f>
        <v>0.55410946605320077</v>
      </c>
      <c r="E147">
        <v>35743.828501860517</v>
      </c>
      <c r="F147">
        <v>2.287879869863529</v>
      </c>
      <c r="G147">
        <v>2.8904648499288896</v>
      </c>
      <c r="H147">
        <v>4.3894904487284956</v>
      </c>
      <c r="I147">
        <v>98132.262822001037</v>
      </c>
      <c r="J147" s="82">
        <v>89</v>
      </c>
      <c r="K147">
        <v>34.728105868876554</v>
      </c>
      <c r="L147" t="str">
        <f t="shared" si="5"/>
        <v>OK</v>
      </c>
    </row>
    <row r="148" spans="1:12">
      <c r="A148" s="1">
        <v>46115</v>
      </c>
      <c r="B148" t="s">
        <v>14</v>
      </c>
      <c r="C148">
        <v>102</v>
      </c>
      <c r="D148">
        <f>(automotive_demand_forecasting_dataset56[[#This Row],[Units_Sold]] -$C$4) / $C$5</f>
        <v>0.2539418246375989</v>
      </c>
      <c r="E148">
        <v>21301.4311061095</v>
      </c>
      <c r="F148">
        <v>3.9420226981805246</v>
      </c>
      <c r="G148">
        <v>2.3967782470675036</v>
      </c>
      <c r="H148">
        <v>5.8064605068091808</v>
      </c>
      <c r="I148">
        <v>89413.357751032585</v>
      </c>
      <c r="J148" s="82">
        <v>87</v>
      </c>
      <c r="K148">
        <v>28.452027635914455</v>
      </c>
      <c r="L148" t="str">
        <f t="shared" si="5"/>
        <v>OK</v>
      </c>
    </row>
    <row r="149" spans="1:12">
      <c r="A149" s="1">
        <v>46145</v>
      </c>
      <c r="B149" t="s">
        <v>10</v>
      </c>
      <c r="C149">
        <v>98</v>
      </c>
      <c r="D149">
        <f>(automotive_demand_forecasting_dataset56[[#This Row],[Units_Sold]] -$C$4) / $C$5</f>
        <v>-0.14628169724987033</v>
      </c>
      <c r="E149">
        <v>28187.795292984338</v>
      </c>
      <c r="F149">
        <v>3.8684219485462168</v>
      </c>
      <c r="G149">
        <v>2.7653623493996284</v>
      </c>
      <c r="H149">
        <v>4.4255844131643709</v>
      </c>
      <c r="I149">
        <v>69710.593816384659</v>
      </c>
      <c r="J149" s="82">
        <v>101</v>
      </c>
      <c r="K149">
        <v>85.028077722940623</v>
      </c>
      <c r="L149" t="str">
        <f t="shared" si="5"/>
        <v>OK</v>
      </c>
    </row>
    <row r="150" spans="1:12">
      <c r="A150" s="1">
        <v>46175</v>
      </c>
      <c r="B150" t="s">
        <v>11</v>
      </c>
      <c r="C150">
        <v>96</v>
      </c>
      <c r="D150">
        <f>(automotive_demand_forecasting_dataset56[[#This Row],[Units_Sold]] -$C$4) / $C$5</f>
        <v>-0.34639345819360495</v>
      </c>
      <c r="E150">
        <v>24401.650526869282</v>
      </c>
      <c r="F150">
        <v>3.5380713799999999</v>
      </c>
      <c r="G150">
        <v>1.9172413423884178</v>
      </c>
      <c r="H150">
        <f>6.97388673</f>
        <v>6.9738867300000003</v>
      </c>
      <c r="I150">
        <v>106431.86422678478</v>
      </c>
      <c r="J150" s="82">
        <v>80</v>
      </c>
      <c r="K150">
        <v>66.300518108799935</v>
      </c>
      <c r="L150" t="str">
        <f t="shared" si="5"/>
        <v>OK</v>
      </c>
    </row>
    <row r="151" spans="1:12">
      <c r="A151" s="1">
        <v>46205</v>
      </c>
      <c r="B151" t="s">
        <v>13</v>
      </c>
      <c r="C151">
        <v>76</v>
      </c>
      <c r="D151">
        <f>(automotive_demand_forecasting_dataset56[[#This Row],[Units_Sold]] -$C$4) / $C$5</f>
        <v>-2.347511067630951</v>
      </c>
      <c r="E151">
        <v>23526.59262139547</v>
      </c>
      <c r="F151">
        <v>3.5380713799999999</v>
      </c>
      <c r="G151">
        <v>2.6520564320000002</v>
      </c>
      <c r="H151">
        <v>4.3050215262517249</v>
      </c>
      <c r="I151">
        <v>135098.66143294482</v>
      </c>
      <c r="J151" s="82">
        <v>90</v>
      </c>
      <c r="K151">
        <v>69.462801681097588</v>
      </c>
      <c r="L151" t="str">
        <f t="shared" si="5"/>
        <v>OK</v>
      </c>
    </row>
    <row r="152" spans="1:12">
      <c r="A152" s="1">
        <v>46235</v>
      </c>
      <c r="B152" t="s">
        <v>12</v>
      </c>
      <c r="C152">
        <v>112</v>
      </c>
      <c r="D152">
        <f>(automotive_demand_forecasting_dataset56[[#This Row],[Units_Sold]] -$C$4) / $C$5</f>
        <v>1.2545006293562719</v>
      </c>
      <c r="E152">
        <v>35804.133936892598</v>
      </c>
      <c r="F152">
        <v>4.5778345189999996</v>
      </c>
      <c r="G152">
        <v>2.3657208378136958</v>
      </c>
      <c r="H152">
        <v>6.2813634901883884</v>
      </c>
      <c r="I152">
        <v>100368.03261566877</v>
      </c>
      <c r="J152" s="82">
        <v>89</v>
      </c>
      <c r="K152">
        <v>82.516967100376746</v>
      </c>
      <c r="L152" t="str">
        <f t="shared" si="5"/>
        <v>OK</v>
      </c>
    </row>
    <row r="153" spans="1:12">
      <c r="A153" s="1">
        <v>46265</v>
      </c>
      <c r="B153" t="s">
        <v>13</v>
      </c>
      <c r="C153">
        <v>99</v>
      </c>
      <c r="D153">
        <f>(automotive_demand_forecasting_dataset56[[#This Row],[Units_Sold]] -$C$4) / $C$5</f>
        <v>-4.6225816778003026E-2</v>
      </c>
      <c r="E153">
        <v>27661.493993440545</v>
      </c>
      <c r="F153">
        <v>2.7187270715567289</v>
      </c>
      <c r="G153">
        <v>3.9227481360999401</v>
      </c>
      <c r="H153">
        <v>6.5301413399879982</v>
      </c>
      <c r="I153">
        <f>128897.2893</f>
        <v>128897.2893</v>
      </c>
      <c r="J153" s="82">
        <v>100</v>
      </c>
      <c r="K153">
        <v>76.262178218596119</v>
      </c>
      <c r="L153" t="str">
        <f t="shared" si="5"/>
        <v>OK</v>
      </c>
    </row>
    <row r="154" spans="1:12">
      <c r="A154" s="1">
        <v>46295</v>
      </c>
      <c r="B154" t="s">
        <v>10</v>
      </c>
      <c r="C154">
        <v>100</v>
      </c>
      <c r="D154">
        <f>(automotive_demand_forecasting_dataset56[[#This Row],[Units_Sold]] -$C$4) / $C$5</f>
        <v>5.3830063693864283E-2</v>
      </c>
      <c r="E154">
        <v>31732.519408653578</v>
      </c>
      <c r="F154">
        <v>3.2354736613268527</v>
      </c>
      <c r="G154">
        <v>3.4262154022415925</v>
      </c>
      <c r="H154">
        <v>5.2184553160511031</v>
      </c>
      <c r="I154">
        <v>113854.45510233719</v>
      </c>
      <c r="J154" s="82">
        <v>76</v>
      </c>
      <c r="K154">
        <v>86.756660228487732</v>
      </c>
      <c r="L154" t="str">
        <f t="shared" si="5"/>
        <v>OK</v>
      </c>
    </row>
    <row r="155" spans="1:12">
      <c r="A155" s="1">
        <v>46325</v>
      </c>
      <c r="B155" t="s">
        <v>11</v>
      </c>
      <c r="C155">
        <v>89</v>
      </c>
      <c r="D155">
        <f>(automotive_demand_forecasting_dataset56[[#This Row],[Units_Sold]] -$C$4) / $C$5</f>
        <v>-1.0467846214966761</v>
      </c>
      <c r="E155">
        <v>29765.397105604079</v>
      </c>
      <c r="F155">
        <v>3.8971323398109137</v>
      </c>
      <c r="G155">
        <v>3.4653974845911706</v>
      </c>
      <c r="H155">
        <v>5.5458855939520344</v>
      </c>
      <c r="I155">
        <v>74613.390069066023</v>
      </c>
      <c r="J155" s="82">
        <v>95</v>
      </c>
      <c r="K155">
        <v>24.497112436790278</v>
      </c>
      <c r="L155" t="str">
        <f t="shared" si="5"/>
        <v>OK</v>
      </c>
    </row>
    <row r="156" spans="1:12">
      <c r="A156" s="1">
        <v>46355</v>
      </c>
      <c r="B156" t="s">
        <v>13</v>
      </c>
      <c r="C156">
        <v>100</v>
      </c>
      <c r="D156">
        <f>(automotive_demand_forecasting_dataset56[[#This Row],[Units_Sold]] -$C$4) / $C$5</f>
        <v>5.3830063693864283E-2</v>
      </c>
      <c r="E156">
        <v>32385.204136115608</v>
      </c>
      <c r="F156">
        <v>2.8728552884153755</v>
      </c>
      <c r="G156">
        <v>3.7361307218062176</v>
      </c>
      <c r="H156">
        <v>3.7616903024397468</v>
      </c>
      <c r="I156">
        <v>134050.2931625921</v>
      </c>
      <c r="J156" s="82">
        <v>86</v>
      </c>
      <c r="K156">
        <v>79.801650939720389</v>
      </c>
      <c r="L156" t="str">
        <f t="shared" si="5"/>
        <v>OK</v>
      </c>
    </row>
    <row r="157" spans="1:12">
      <c r="A157" s="1">
        <v>46385</v>
      </c>
      <c r="B157" t="s">
        <v>13</v>
      </c>
      <c r="C157">
        <v>104</v>
      </c>
      <c r="D157">
        <f>(automotive_demand_forecasting_dataset56[[#This Row],[Units_Sold]] -$C$4) / $C$5</f>
        <v>0.45405358558133352</v>
      </c>
      <c r="E157">
        <v>30384.109455301277</v>
      </c>
      <c r="F157">
        <v>3.5380713799999999</v>
      </c>
      <c r="G157">
        <v>2.5886575909614375</v>
      </c>
      <c r="H157">
        <v>5.1403880223918552</v>
      </c>
      <c r="I157">
        <v>104046.57592845603</v>
      </c>
      <c r="J157" s="82">
        <v>96</v>
      </c>
      <c r="K157">
        <v>88.068220585767634</v>
      </c>
      <c r="L157" t="str">
        <f t="shared" si="5"/>
        <v>OK</v>
      </c>
    </row>
    <row r="158" spans="1:12">
      <c r="A158" s="1">
        <v>46415</v>
      </c>
      <c r="B158" t="s">
        <v>12</v>
      </c>
      <c r="C158">
        <v>96</v>
      </c>
      <c r="D158">
        <f>(automotive_demand_forecasting_dataset56[[#This Row],[Units_Sold]] -$C$4) / $C$5</f>
        <v>-0.34639345819360495</v>
      </c>
      <c r="E158">
        <v>23585.038879057152</v>
      </c>
      <c r="F158">
        <v>2.8217090976882977</v>
      </c>
      <c r="G158">
        <v>2.6973157074055956</v>
      </c>
      <c r="H158">
        <v>5.4397544595499063</v>
      </c>
      <c r="I158">
        <v>132637.13798178217</v>
      </c>
      <c r="J158" s="82">
        <v>87</v>
      </c>
      <c r="K158">
        <v>42.890803396665149</v>
      </c>
      <c r="L158" t="str">
        <f t="shared" si="5"/>
        <v>OK</v>
      </c>
    </row>
    <row r="159" spans="1:12">
      <c r="A159" s="1">
        <v>46445</v>
      </c>
      <c r="B159" t="s">
        <v>12</v>
      </c>
      <c r="C159">
        <v>100</v>
      </c>
      <c r="D159">
        <f>(automotive_demand_forecasting_dataset56[[#This Row],[Units_Sold]] -$C$4) / $C$5</f>
        <v>5.3830063693864283E-2</v>
      </c>
      <c r="E159">
        <v>34981.334097235696</v>
      </c>
      <c r="F159">
        <v>3.7332149912167631</v>
      </c>
      <c r="G159">
        <v>1.8823481045656498</v>
      </c>
      <c r="H159">
        <v>5.616047043</v>
      </c>
      <c r="I159">
        <v>85339.340089520207</v>
      </c>
      <c r="J159" s="82">
        <v>95</v>
      </c>
      <c r="K159">
        <v>71.235781919460237</v>
      </c>
      <c r="L159" t="str">
        <f t="shared" si="5"/>
        <v>OK</v>
      </c>
    </row>
    <row r="160" spans="1:12">
      <c r="A160" s="1">
        <v>46475</v>
      </c>
      <c r="B160" t="s">
        <v>11</v>
      </c>
      <c r="C160">
        <v>105</v>
      </c>
      <c r="D160">
        <f>(automotive_demand_forecasting_dataset56[[#This Row],[Units_Sold]] -$C$4) / $C$5</f>
        <v>0.55410946605320077</v>
      </c>
      <c r="E160">
        <v>27531.217084193438</v>
      </c>
      <c r="F160">
        <v>3.4821792588512581</v>
      </c>
      <c r="G160">
        <v>2.1839271439729502</v>
      </c>
      <c r="H160">
        <v>4.1656395690710042</v>
      </c>
      <c r="I160">
        <v>136361.2384511565</v>
      </c>
      <c r="J160" s="82">
        <v>83</v>
      </c>
      <c r="K160">
        <v>45.132965106957769</v>
      </c>
      <c r="L160" t="str">
        <f t="shared" si="5"/>
        <v>OK</v>
      </c>
    </row>
    <row r="161" spans="1:12">
      <c r="A161" s="1">
        <v>46505</v>
      </c>
      <c r="B161" t="s">
        <v>12</v>
      </c>
      <c r="C161">
        <v>81</v>
      </c>
      <c r="D161">
        <f>(automotive_demand_forecasting_dataset56[[#This Row],[Units_Sold]] -$C$4) / $C$5</f>
        <v>-1.8472316652716145</v>
      </c>
      <c r="E161">
        <v>22217.090506701243</v>
      </c>
      <c r="F161">
        <v>2.6924340920472454</v>
      </c>
      <c r="G161">
        <v>3.1157711497711418</v>
      </c>
      <c r="H161">
        <v>7.2570126865029252</v>
      </c>
      <c r="I161">
        <v>115503.10988069566</v>
      </c>
      <c r="J161" s="82">
        <v>109</v>
      </c>
      <c r="K161">
        <v>96.637685318596326</v>
      </c>
      <c r="L161" t="str">
        <f t="shared" si="5"/>
        <v>OK</v>
      </c>
    </row>
    <row r="162" spans="1:12">
      <c r="A162" s="1">
        <v>46535</v>
      </c>
      <c r="B162" t="s">
        <v>13</v>
      </c>
      <c r="C162">
        <v>120</v>
      </c>
      <c r="D162">
        <f>(automotive_demand_forecasting_dataset56[[#This Row],[Units_Sold]] -$C$4) / $C$5</f>
        <v>2.0549476731312106</v>
      </c>
      <c r="E162">
        <v>27859.424195170439</v>
      </c>
      <c r="F162">
        <v>4.082369677228586</v>
      </c>
      <c r="G162">
        <v>3.7038844371688162</v>
      </c>
      <c r="H162">
        <v>6.6962305281589698</v>
      </c>
      <c r="I162">
        <v>111060.80171704717</v>
      </c>
      <c r="J162" s="82">
        <v>98</v>
      </c>
      <c r="K162">
        <v>22.673885794840302</v>
      </c>
      <c r="L162" t="str">
        <f t="shared" si="5"/>
        <v>OK</v>
      </c>
    </row>
    <row r="163" spans="1:12">
      <c r="A163" s="1">
        <v>46565</v>
      </c>
      <c r="B163" t="s">
        <v>13</v>
      </c>
      <c r="C163">
        <v>97</v>
      </c>
      <c r="D163">
        <f>(automotive_demand_forecasting_dataset56[[#This Row],[Units_Sold]] -$C$4) / $C$5</f>
        <v>-0.24633757772173764</v>
      </c>
      <c r="E163">
        <v>37503.798953171558</v>
      </c>
      <c r="F163">
        <v>3.1327042116009753</v>
      </c>
      <c r="G163">
        <v>2.6520564320000002</v>
      </c>
      <c r="H163">
        <v>5.8367636853881635</v>
      </c>
      <c r="I163">
        <v>104680.48908706296</v>
      </c>
      <c r="J163" s="82">
        <v>78</v>
      </c>
      <c r="K163">
        <v>66.383427506636394</v>
      </c>
      <c r="L163" t="str">
        <f t="shared" si="5"/>
        <v>OK</v>
      </c>
    </row>
    <row r="164" spans="1:12">
      <c r="A164" s="1">
        <v>46595</v>
      </c>
      <c r="B164" t="s">
        <v>10</v>
      </c>
      <c r="C164">
        <v>99</v>
      </c>
      <c r="D164">
        <f>(automotive_demand_forecasting_dataset56[[#This Row],[Units_Sold]] -$C$4) / $C$5</f>
        <v>-4.6225816778003026E-2</v>
      </c>
      <c r="E164">
        <v>34251.108710567467</v>
      </c>
      <c r="F164">
        <v>3.0948737814928093</v>
      </c>
      <c r="G164">
        <v>2.0498107351485886</v>
      </c>
      <c r="H164">
        <v>7.6103445810341599</v>
      </c>
      <c r="I164">
        <v>95029.427638511013</v>
      </c>
      <c r="J164" s="82">
        <v>91</v>
      </c>
      <c r="K164">
        <v>33.320283763961207</v>
      </c>
      <c r="L164" t="str">
        <f t="shared" si="5"/>
        <v>OK</v>
      </c>
    </row>
    <row r="165" spans="1:12">
      <c r="A165" s="1">
        <v>46625</v>
      </c>
      <c r="B165" t="s">
        <v>13</v>
      </c>
      <c r="C165">
        <v>120</v>
      </c>
      <c r="D165">
        <f>(automotive_demand_forecasting_dataset56[[#This Row],[Units_Sold]] -$C$4) / $C$5</f>
        <v>2.0549476731312106</v>
      </c>
      <c r="E165">
        <v>28256.739327960706</v>
      </c>
      <c r="F165">
        <v>3.6002845986154712</v>
      </c>
      <c r="G165">
        <v>2.5005279588565972</v>
      </c>
      <c r="H165">
        <v>5.9465265671282355</v>
      </c>
      <c r="I165">
        <v>124010.63316947746</v>
      </c>
      <c r="J165" s="82">
        <v>86</v>
      </c>
      <c r="K165">
        <f>80.21517797</f>
        <v>80.215177969999999</v>
      </c>
      <c r="L165" t="str">
        <f t="shared" si="5"/>
        <v>OK</v>
      </c>
    </row>
    <row r="166" spans="1:12">
      <c r="A166" s="1">
        <v>46655</v>
      </c>
      <c r="B166" t="s">
        <v>11</v>
      </c>
      <c r="C166">
        <v>90</v>
      </c>
      <c r="D166">
        <f>(automotive_demand_forecasting_dataset56[[#This Row],[Units_Sold]] -$C$4) / $C$5</f>
        <v>-0.94672874102480875</v>
      </c>
      <c r="E166">
        <v>28253.711478407855</v>
      </c>
      <c r="F166">
        <v>4.0743186747143572</v>
      </c>
      <c r="G166">
        <v>3.1012067489291146</v>
      </c>
      <c r="H166">
        <v>5.9669910348015147</v>
      </c>
      <c r="I166">
        <v>102807.19739696094</v>
      </c>
      <c r="J166" s="82">
        <v>86</v>
      </c>
      <c r="K166">
        <v>34.071222673492969</v>
      </c>
      <c r="L166" t="str">
        <f t="shared" si="5"/>
        <v>OK</v>
      </c>
    </row>
    <row r="167" spans="1:12">
      <c r="A167" s="1">
        <v>46685</v>
      </c>
      <c r="B167" t="s">
        <v>14</v>
      </c>
      <c r="C167">
        <v>85</v>
      </c>
      <c r="D167">
        <f>(automotive_demand_forecasting_dataset56[[#This Row],[Units_Sold]] -$C$4) / $C$5</f>
        <v>-1.4470081433841453</v>
      </c>
      <c r="E167">
        <v>28391.824743913086</v>
      </c>
      <c r="F167">
        <v>2.9920890905108015</v>
      </c>
      <c r="G167">
        <v>1.0561451838664582</v>
      </c>
      <c r="H167">
        <v>5.4362552163789459</v>
      </c>
      <c r="I167">
        <v>60658.605928256955</v>
      </c>
      <c r="J167" s="82">
        <v>88</v>
      </c>
      <c r="K167">
        <v>38.830660951868609</v>
      </c>
      <c r="L167" t="str">
        <f t="shared" si="5"/>
        <v>OK</v>
      </c>
    </row>
    <row r="168" spans="1:12">
      <c r="A168" s="1">
        <v>46715</v>
      </c>
      <c r="B168" t="s">
        <v>10</v>
      </c>
      <c r="C168">
        <v>84</v>
      </c>
      <c r="D168">
        <f>(automotive_demand_forecasting_dataset56[[#This Row],[Units_Sold]] -$C$4) / $C$5</f>
        <v>-1.5470640238560127</v>
      </c>
      <c r="E168">
        <v>40383.739917804203</v>
      </c>
      <c r="F168">
        <v>3.5308399249239857</v>
      </c>
      <c r="G168">
        <v>2.6520564320000002</v>
      </c>
      <c r="H168">
        <v>6.9682826589023534</v>
      </c>
      <c r="I168">
        <v>77656.270765859954</v>
      </c>
      <c r="J168" s="82">
        <v>90</v>
      </c>
      <c r="K168">
        <v>59.549664883660647</v>
      </c>
      <c r="L168" t="str">
        <f t="shared" si="5"/>
        <v>OK</v>
      </c>
    </row>
    <row r="169" spans="1:12">
      <c r="A169" s="1">
        <v>46745</v>
      </c>
      <c r="B169" t="s">
        <v>10</v>
      </c>
      <c r="C169">
        <v>100</v>
      </c>
      <c r="D169">
        <f>(automotive_demand_forecasting_dataset56[[#This Row],[Units_Sold]] -$C$4) / $C$5</f>
        <v>5.3830063693864283E-2</v>
      </c>
      <c r="E169">
        <v>31909.677261157765</v>
      </c>
      <c r="F169">
        <v>3.7144082501652864</v>
      </c>
      <c r="G169">
        <v>1.9494631505084166</v>
      </c>
      <c r="H169">
        <v>6.8157630805730607</v>
      </c>
      <c r="I169">
        <v>96283.08495614506</v>
      </c>
      <c r="J169" s="82">
        <v>83</v>
      </c>
      <c r="K169">
        <v>93.186795999750245</v>
      </c>
      <c r="L169" t="str">
        <f t="shared" si="5"/>
        <v>OK</v>
      </c>
    </row>
    <row r="170" spans="1:12">
      <c r="A170" s="1">
        <v>46775</v>
      </c>
      <c r="B170" t="s">
        <v>11</v>
      </c>
      <c r="C170">
        <v>112</v>
      </c>
      <c r="D170">
        <f>(automotive_demand_forecasting_dataset56[[#This Row],[Units_Sold]] -$C$4) / $C$5</f>
        <v>1.2545006293562719</v>
      </c>
      <c r="E170">
        <v>32150.20823595535</v>
      </c>
      <c r="F170">
        <v>3.8465528036315719</v>
      </c>
      <c r="G170">
        <v>1.2792875740858414</v>
      </c>
      <c r="H170">
        <v>4.7491872550045446</v>
      </c>
      <c r="I170">
        <v>106199.9796633111</v>
      </c>
      <c r="J170" s="82">
        <f>111.9136842</f>
        <v>111.91368420000001</v>
      </c>
      <c r="K170">
        <v>36.937149771837667</v>
      </c>
      <c r="L170" t="str">
        <f t="shared" si="5"/>
        <v>OK</v>
      </c>
    </row>
    <row r="171" spans="1:12">
      <c r="A171" s="1">
        <v>46805</v>
      </c>
      <c r="B171" t="s">
        <v>11</v>
      </c>
      <c r="C171">
        <v>110</v>
      </c>
      <c r="D171">
        <f>(automotive_demand_forecasting_dataset56[[#This Row],[Units_Sold]] -$C$4) / $C$5</f>
        <v>1.0543888684125373</v>
      </c>
      <c r="E171">
        <v>35151.417270159211</v>
      </c>
      <c r="F171">
        <v>3.5882207776386128</v>
      </c>
      <c r="G171">
        <v>1.991859802352689</v>
      </c>
      <c r="H171">
        <v>3.9169033664814794</v>
      </c>
      <c r="I171">
        <v>98868.230222002079</v>
      </c>
      <c r="J171" s="82">
        <v>88</v>
      </c>
      <c r="K171">
        <v>31.539201689448284</v>
      </c>
      <c r="L171" t="str">
        <f t="shared" si="5"/>
        <v>OK</v>
      </c>
    </row>
    <row r="172" spans="1:12">
      <c r="A172" s="1">
        <v>46835</v>
      </c>
      <c r="B172" t="s">
        <v>12</v>
      </c>
      <c r="C172">
        <v>86</v>
      </c>
      <c r="D172">
        <f>(automotive_demand_forecasting_dataset56[[#This Row],[Units_Sold]] -$C$4) / $C$5</f>
        <v>-1.3469522629122781</v>
      </c>
      <c r="E172">
        <v>31193.945795132568</v>
      </c>
      <c r="F172">
        <v>3.3164860804583389</v>
      </c>
      <c r="G172">
        <v>2.3522196811825284</v>
      </c>
      <c r="H172">
        <v>5.2564232351252116</v>
      </c>
      <c r="I172">
        <v>124379.41579587327</v>
      </c>
      <c r="J172" s="82">
        <v>99</v>
      </c>
      <c r="K172">
        <v>80.718146548322451</v>
      </c>
      <c r="L172" t="str">
        <f t="shared" si="5"/>
        <v>OK</v>
      </c>
    </row>
    <row r="173" spans="1:12">
      <c r="A173" s="1">
        <v>46865</v>
      </c>
      <c r="B173" t="s">
        <v>10</v>
      </c>
      <c r="C173">
        <v>104</v>
      </c>
      <c r="D173">
        <f>(automotive_demand_forecasting_dataset56[[#This Row],[Units_Sold]] -$C$4) / $C$5</f>
        <v>0.45405358558133352</v>
      </c>
      <c r="E173">
        <v>30949.702720000001</v>
      </c>
      <c r="F173">
        <v>3.0862048896756402</v>
      </c>
      <c r="G173">
        <v>2.0467515909769864</v>
      </c>
      <c r="H173">
        <v>4.5399537227228244</v>
      </c>
      <c r="I173">
        <v>60977.9627192275</v>
      </c>
      <c r="J173" s="82">
        <v>100</v>
      </c>
      <c r="K173">
        <v>60.04956258671448</v>
      </c>
      <c r="L173" t="str">
        <f t="shared" si="5"/>
        <v>OK</v>
      </c>
    </row>
    <row r="174" spans="1:12">
      <c r="A174" s="1">
        <v>46895</v>
      </c>
      <c r="B174" t="s">
        <v>12</v>
      </c>
      <c r="C174">
        <v>107</v>
      </c>
      <c r="D174">
        <f>(automotive_demand_forecasting_dataset56[[#This Row],[Units_Sold]] -$C$4) / $C$5</f>
        <v>0.75422122699693539</v>
      </c>
      <c r="E174">
        <v>29018.250754575107</v>
      </c>
      <c r="F174">
        <v>3.5380713799999999</v>
      </c>
      <c r="G174">
        <v>3.9524675344707454</v>
      </c>
      <c r="H174">
        <v>5.4237705104615737</v>
      </c>
      <c r="I174">
        <v>102871.7587301032</v>
      </c>
      <c r="J174" s="82">
        <v>88</v>
      </c>
      <c r="K174">
        <v>92.942808990541707</v>
      </c>
      <c r="L174" t="str">
        <f t="shared" si="5"/>
        <v>OK</v>
      </c>
    </row>
    <row r="175" spans="1:12">
      <c r="A175" s="1">
        <v>46925</v>
      </c>
      <c r="B175" t="s">
        <v>13</v>
      </c>
      <c r="C175">
        <v>93</v>
      </c>
      <c r="D175">
        <f>(automotive_demand_forecasting_dataset56[[#This Row],[Units_Sold]] -$C$4) / $C$5</f>
        <v>-0.64656109960920682</v>
      </c>
      <c r="E175">
        <v>29641.993702929682</v>
      </c>
      <c r="F175">
        <v>2.9639304940071964</v>
      </c>
      <c r="G175">
        <v>2.8267447646023198</v>
      </c>
      <c r="H175">
        <v>6.9849257616209668</v>
      </c>
      <c r="I175">
        <v>63640.415492256907</v>
      </c>
      <c r="J175" s="82">
        <v>83</v>
      </c>
      <c r="K175">
        <v>31.729164572787383</v>
      </c>
      <c r="L175" t="str">
        <f t="shared" si="5"/>
        <v>OK</v>
      </c>
    </row>
    <row r="176" spans="1:12">
      <c r="A176" s="1">
        <v>46955</v>
      </c>
      <c r="B176" t="s">
        <v>10</v>
      </c>
      <c r="C176">
        <v>108</v>
      </c>
      <c r="D176">
        <f>(automotive_demand_forecasting_dataset56[[#This Row],[Units_Sold]] -$C$4) / $C$5</f>
        <v>0.8542771074688027</v>
      </c>
      <c r="E176">
        <v>29813.888817450792</v>
      </c>
      <c r="F176">
        <v>3.5380713799999999</v>
      </c>
      <c r="G176">
        <v>2.8004743596108286</v>
      </c>
      <c r="H176">
        <v>4.9512380138958516</v>
      </c>
      <c r="I176">
        <v>115194.24590968336</v>
      </c>
      <c r="J176" s="82">
        <v>90</v>
      </c>
      <c r="K176">
        <v>71.674231441843148</v>
      </c>
      <c r="L176" t="str">
        <f t="shared" si="5"/>
        <v>OK</v>
      </c>
    </row>
    <row r="177" spans="1:12">
      <c r="A177" s="1">
        <v>46985</v>
      </c>
      <c r="B177" t="s">
        <v>10</v>
      </c>
      <c r="C177">
        <v>96</v>
      </c>
      <c r="D177">
        <f>(automotive_demand_forecasting_dataset56[[#This Row],[Units_Sold]] -$C$4) / $C$5</f>
        <v>-0.34639345819360495</v>
      </c>
      <c r="E177">
        <v>33638.147718184897</v>
      </c>
      <c r="F177">
        <v>3.7182799020788337</v>
      </c>
      <c r="G177">
        <v>3.122207144043402</v>
      </c>
      <c r="H177">
        <v>5.4486119424261101</v>
      </c>
      <c r="I177">
        <v>98110.825711159938</v>
      </c>
      <c r="J177" s="82">
        <v>88</v>
      </c>
      <c r="K177">
        <v>38.630331692145205</v>
      </c>
      <c r="L177" t="str">
        <f t="shared" si="5"/>
        <v>OK</v>
      </c>
    </row>
    <row r="178" spans="1:12">
      <c r="A178" s="1">
        <v>47015</v>
      </c>
      <c r="B178" t="s">
        <v>14</v>
      </c>
      <c r="C178">
        <v>95</v>
      </c>
      <c r="D178">
        <f>(automotive_demand_forecasting_dataset56[[#This Row],[Units_Sold]] -$C$4) / $C$5</f>
        <v>-0.44644933866547226</v>
      </c>
      <c r="E178">
        <v>30259.729429036499</v>
      </c>
      <c r="F178">
        <v>3.9519674205430975</v>
      </c>
      <c r="G178">
        <v>1.3611668822192309</v>
      </c>
      <c r="H178">
        <v>5.5696272817700745</v>
      </c>
      <c r="I178">
        <f>128897.2893</f>
        <v>128897.2893</v>
      </c>
      <c r="J178" s="82">
        <v>86</v>
      </c>
      <c r="K178">
        <v>32.540834292131144</v>
      </c>
      <c r="L178" t="str">
        <f t="shared" si="5"/>
        <v>OK</v>
      </c>
    </row>
    <row r="179" spans="1:12">
      <c r="A179" s="1">
        <v>47045</v>
      </c>
      <c r="B179" t="s">
        <v>10</v>
      </c>
      <c r="C179">
        <v>112</v>
      </c>
      <c r="D179">
        <f>(automotive_demand_forecasting_dataset56[[#This Row],[Units_Sold]] -$C$4) / $C$5</f>
        <v>1.2545006293562719</v>
      </c>
      <c r="E179">
        <v>33663.200386077893</v>
      </c>
      <c r="F179">
        <v>2.318533782229081</v>
      </c>
      <c r="G179">
        <v>3.5391117874202687</v>
      </c>
      <c r="H179">
        <v>6.5181170586463413</v>
      </c>
      <c r="I179">
        <v>82722.340788204674</v>
      </c>
      <c r="J179" s="82">
        <v>81</v>
      </c>
      <c r="K179">
        <v>74.67435321258165</v>
      </c>
      <c r="L179" t="str">
        <f t="shared" si="5"/>
        <v>OK</v>
      </c>
    </row>
    <row r="180" spans="1:12">
      <c r="A180" s="1">
        <v>47075</v>
      </c>
      <c r="B180" t="s">
        <v>13</v>
      </c>
      <c r="C180">
        <v>108</v>
      </c>
      <c r="D180">
        <f>(automotive_demand_forecasting_dataset56[[#This Row],[Units_Sold]] -$C$4) / $C$5</f>
        <v>0.8542771074688027</v>
      </c>
      <c r="E180">
        <v>29596.417099457089</v>
      </c>
      <c r="F180">
        <v>2.9951346476450311</v>
      </c>
      <c r="G180">
        <f>3.224108373</f>
        <v>3.224108373</v>
      </c>
      <c r="H180">
        <v>2.8037327992184737</v>
      </c>
      <c r="I180">
        <v>125589.29863315502</v>
      </c>
      <c r="J180" s="82">
        <v>82</v>
      </c>
      <c r="K180">
        <v>67.49476959269866</v>
      </c>
      <c r="L180" t="str">
        <f t="shared" si="5"/>
        <v>OK</v>
      </c>
    </row>
    <row r="181" spans="1:12">
      <c r="A181" s="1">
        <v>47105</v>
      </c>
      <c r="B181" t="s">
        <v>12</v>
      </c>
      <c r="C181">
        <v>85</v>
      </c>
      <c r="D181">
        <f>(automotive_demand_forecasting_dataset56[[#This Row],[Units_Sold]] -$C$4) / $C$5</f>
        <v>-1.4470081433841453</v>
      </c>
      <c r="E181">
        <v>30393.175951580452</v>
      </c>
      <c r="F181">
        <v>3.8095771305025989</v>
      </c>
      <c r="G181">
        <v>3.1704806172412123</v>
      </c>
      <c r="H181">
        <v>4.771959646281644</v>
      </c>
      <c r="I181">
        <v>120834.49328117703</v>
      </c>
      <c r="J181" s="82">
        <v>106</v>
      </c>
      <c r="K181">
        <v>80.3861966689865</v>
      </c>
      <c r="L181" t="str">
        <f t="shared" si="5"/>
        <v>OK</v>
      </c>
    </row>
    <row r="182" spans="1:12">
      <c r="A182" s="1">
        <v>47135</v>
      </c>
      <c r="B182" t="s">
        <v>12</v>
      </c>
      <c r="C182">
        <v>100</v>
      </c>
      <c r="D182">
        <f>(automotive_demand_forecasting_dataset56[[#This Row],[Units_Sold]] -$C$4) / $C$5</f>
        <v>5.3830063693864283E-2</v>
      </c>
      <c r="E182">
        <v>20008.996577339462</v>
      </c>
      <c r="F182">
        <v>3.5380713799999999</v>
      </c>
      <c r="G182">
        <v>1.4281427669598445</v>
      </c>
      <c r="H182">
        <v>5.7535404307353675</v>
      </c>
      <c r="I182">
        <v>111670.88606023775</v>
      </c>
      <c r="J182" s="82">
        <v>97</v>
      </c>
      <c r="K182">
        <v>44.757006115694587</v>
      </c>
      <c r="L182" t="str">
        <f t="shared" si="5"/>
        <v>OK</v>
      </c>
    </row>
    <row r="183" spans="1:12">
      <c r="A183" s="1">
        <v>47165</v>
      </c>
      <c r="B183" t="s">
        <v>14</v>
      </c>
      <c r="C183">
        <v>95</v>
      </c>
      <c r="D183">
        <f>(automotive_demand_forecasting_dataset56[[#This Row],[Units_Sold]] -$C$4) / $C$5</f>
        <v>-0.44644933866547226</v>
      </c>
      <c r="E183">
        <v>34581.638373512411</v>
      </c>
      <c r="F183">
        <v>3.5103968538377042</v>
      </c>
      <c r="G183">
        <v>0.94624123398393567</v>
      </c>
      <c r="H183">
        <f>6.97388673</f>
        <v>6.9738867300000003</v>
      </c>
      <c r="I183">
        <f>128897.2893</f>
        <v>128897.2893</v>
      </c>
      <c r="J183" s="82">
        <v>77</v>
      </c>
      <c r="K183">
        <v>55.837732510575194</v>
      </c>
      <c r="L183" t="str">
        <f t="shared" si="5"/>
        <v>OK</v>
      </c>
    </row>
    <row r="184" spans="1:12">
      <c r="A184" s="1">
        <v>47195</v>
      </c>
      <c r="B184" t="s">
        <v>13</v>
      </c>
      <c r="C184">
        <v>97</v>
      </c>
      <c r="D184">
        <f>(automotive_demand_forecasting_dataset56[[#This Row],[Units_Sold]] -$C$4) / $C$5</f>
        <v>-0.24633757772173764</v>
      </c>
      <c r="E184">
        <v>31732.442379489963</v>
      </c>
      <c r="F184">
        <v>3.1359985293854327</v>
      </c>
      <c r="G184">
        <v>3.3178896580250288</v>
      </c>
      <c r="H184">
        <v>4.9097170629925539</v>
      </c>
      <c r="I184">
        <v>111597.14570590264</v>
      </c>
      <c r="J184" s="82">
        <v>88</v>
      </c>
      <c r="K184">
        <v>52.437734106433481</v>
      </c>
      <c r="L184" t="str">
        <f t="shared" si="5"/>
        <v>OK</v>
      </c>
    </row>
    <row r="185" spans="1:12">
      <c r="A185" s="1">
        <v>47225</v>
      </c>
      <c r="B185" t="s">
        <v>12</v>
      </c>
      <c r="C185">
        <v>116</v>
      </c>
      <c r="D185">
        <f>(automotive_demand_forecasting_dataset56[[#This Row],[Units_Sold]] -$C$4) / $C$5</f>
        <v>1.6547241512437412</v>
      </c>
      <c r="E185">
        <v>34990.050549298263</v>
      </c>
      <c r="F185">
        <v>3.4085517794475799</v>
      </c>
      <c r="G185">
        <v>2.8764095260975164</v>
      </c>
      <c r="H185">
        <v>3.2481367527497511</v>
      </c>
      <c r="I185">
        <v>85862.148640253028</v>
      </c>
      <c r="J185" s="82">
        <v>90</v>
      </c>
      <c r="K185">
        <v>65.454227669999995</v>
      </c>
      <c r="L185" t="str">
        <f t="shared" si="5"/>
        <v>OK</v>
      </c>
    </row>
    <row r="186" spans="1:12">
      <c r="A186" s="1">
        <v>47255</v>
      </c>
      <c r="B186" t="s">
        <v>11</v>
      </c>
      <c r="C186">
        <v>95</v>
      </c>
      <c r="D186">
        <f>(automotive_demand_forecasting_dataset56[[#This Row],[Units_Sold]] -$C$4) / $C$5</f>
        <v>-0.44644933866547226</v>
      </c>
      <c r="E186">
        <v>30949.702720000001</v>
      </c>
      <c r="F186">
        <v>4.1874382095740925</v>
      </c>
      <c r="G186">
        <v>1.5979484456424897</v>
      </c>
      <c r="H186">
        <v>6.2436537351593637</v>
      </c>
      <c r="I186">
        <v>117111.11318041425</v>
      </c>
      <c r="J186" s="82">
        <v>86</v>
      </c>
      <c r="K186">
        <v>43.379916539151033</v>
      </c>
      <c r="L186" t="str">
        <f t="shared" si="5"/>
        <v>OK</v>
      </c>
    </row>
    <row r="187" spans="1:12">
      <c r="A187" s="1">
        <v>47285</v>
      </c>
      <c r="B187" t="s">
        <v>13</v>
      </c>
      <c r="C187">
        <v>123</v>
      </c>
      <c r="D187">
        <f>(automotive_demand_forecasting_dataset56[[#This Row],[Units_Sold]] -$C$4) / $C$5</f>
        <v>2.3551153145468122</v>
      </c>
      <c r="E187">
        <v>40441.87352390364</v>
      </c>
      <c r="F187">
        <v>3.1770179104377325</v>
      </c>
      <c r="G187">
        <v>1.6303369187253056</v>
      </c>
      <c r="H187">
        <v>4.7375651334092446</v>
      </c>
      <c r="I187">
        <v>132989.61788647843</v>
      </c>
      <c r="J187" s="82">
        <v>96</v>
      </c>
      <c r="K187">
        <v>43.58537906774135</v>
      </c>
      <c r="L187" t="str">
        <f t="shared" si="5"/>
        <v>OK</v>
      </c>
    </row>
    <row r="188" spans="1:12">
      <c r="A188" s="1">
        <v>47315</v>
      </c>
      <c r="B188" t="s">
        <v>13</v>
      </c>
      <c r="C188">
        <v>104</v>
      </c>
      <c r="D188">
        <f>(automotive_demand_forecasting_dataset56[[#This Row],[Units_Sold]] -$C$4) / $C$5</f>
        <v>0.45405358558133352</v>
      </c>
      <c r="E188">
        <v>29302.051859224131</v>
      </c>
      <c r="F188">
        <v>3.1004039966748733</v>
      </c>
      <c r="G188">
        <v>3.6254347844147694</v>
      </c>
      <c r="H188">
        <v>4.0724000090915666</v>
      </c>
      <c r="I188">
        <v>121412.21119958372</v>
      </c>
      <c r="J188" s="82">
        <v>82</v>
      </c>
      <c r="K188">
        <f>80.21517797</f>
        <v>80.215177969999999</v>
      </c>
      <c r="L188" t="str">
        <f t="shared" si="5"/>
        <v>OK</v>
      </c>
    </row>
    <row r="189" spans="1:12">
      <c r="A189" s="1">
        <v>47345</v>
      </c>
      <c r="B189" t="s">
        <v>14</v>
      </c>
      <c r="C189">
        <v>94</v>
      </c>
      <c r="D189">
        <f>(automotive_demand_forecasting_dataset56[[#This Row],[Units_Sold]] -$C$4) / $C$5</f>
        <v>-0.54650521913733952</v>
      </c>
      <c r="E189">
        <v>35540.914083687581</v>
      </c>
      <c r="F189">
        <v>3.258628238908984</v>
      </c>
      <c r="G189">
        <v>1.3105881071326722</v>
      </c>
      <c r="H189">
        <v>4.750785532344131</v>
      </c>
      <c r="I189">
        <v>85407.950603851816</v>
      </c>
      <c r="J189" s="82">
        <v>80</v>
      </c>
      <c r="K189">
        <v>65.16752650322573</v>
      </c>
      <c r="L189" t="str">
        <f t="shared" si="5"/>
        <v>OK</v>
      </c>
    </row>
    <row r="190" spans="1:12">
      <c r="A190" s="1">
        <v>47375</v>
      </c>
      <c r="B190" t="s">
        <v>12</v>
      </c>
      <c r="C190">
        <v>105</v>
      </c>
      <c r="D190">
        <f>(automotive_demand_forecasting_dataset56[[#This Row],[Units_Sold]] -$C$4) / $C$5</f>
        <v>0.55410946605320077</v>
      </c>
      <c r="E190">
        <v>24800.470364372348</v>
      </c>
      <c r="F190">
        <v>3.0233356958706437</v>
      </c>
      <c r="G190">
        <v>4.1426729532559632</v>
      </c>
      <c r="H190">
        <v>5.2785695708129809</v>
      </c>
      <c r="I190">
        <v>102916.7736</v>
      </c>
      <c r="J190" s="82">
        <v>87</v>
      </c>
      <c r="K190">
        <v>40.185819541099619</v>
      </c>
      <c r="L190" t="str">
        <f t="shared" si="5"/>
        <v>OK</v>
      </c>
    </row>
    <row r="191" spans="1:12">
      <c r="A191" s="1">
        <v>47405</v>
      </c>
      <c r="B191" t="s">
        <v>13</v>
      </c>
      <c r="C191">
        <v>109</v>
      </c>
      <c r="D191">
        <f>(automotive_demand_forecasting_dataset56[[#This Row],[Units_Sold]] -$C$4) / $C$5</f>
        <v>0.95433298794067001</v>
      </c>
      <c r="E191">
        <v>33063.869525312846</v>
      </c>
      <c r="F191">
        <v>3.561335157997398</v>
      </c>
      <c r="G191">
        <v>2.6520564320000002</v>
      </c>
      <c r="H191">
        <v>4.7743064025541448</v>
      </c>
      <c r="I191">
        <v>74137.169124827051</v>
      </c>
      <c r="J191" s="82">
        <v>85</v>
      </c>
      <c r="K191">
        <v>93.223195230341915</v>
      </c>
      <c r="L191" t="str">
        <f t="shared" si="5"/>
        <v>OK</v>
      </c>
    </row>
    <row r="192" spans="1:12">
      <c r="A192" s="1">
        <v>47435</v>
      </c>
      <c r="B192" t="s">
        <v>12</v>
      </c>
      <c r="C192">
        <v>84</v>
      </c>
      <c r="D192">
        <f>(automotive_demand_forecasting_dataset56[[#This Row],[Units_Sold]] -$C$4) / $C$5</f>
        <v>-1.5470640238560127</v>
      </c>
      <c r="E192">
        <v>24732.922184131719</v>
      </c>
      <c r="F192">
        <v>4.3123392292347802</v>
      </c>
      <c r="G192">
        <v>3.1383919256083832</v>
      </c>
      <c r="H192">
        <v>2.8533207314811171</v>
      </c>
      <c r="I192">
        <v>111447.80622351351</v>
      </c>
      <c r="J192" s="82">
        <v>95</v>
      </c>
      <c r="K192">
        <v>41.254845189301079</v>
      </c>
      <c r="L192" t="str">
        <f t="shared" si="5"/>
        <v>OK</v>
      </c>
    </row>
    <row r="193" spans="1:12">
      <c r="A193" s="1">
        <v>47465</v>
      </c>
      <c r="B193" t="s">
        <v>11</v>
      </c>
      <c r="C193">
        <v>79</v>
      </c>
      <c r="D193">
        <f>(automotive_demand_forecasting_dataset56[[#This Row],[Units_Sold]] -$C$4) / $C$5</f>
        <v>-2.0473434262153494</v>
      </c>
      <c r="E193">
        <v>26881.155196520973</v>
      </c>
      <c r="F193">
        <v>3.6615396365580146</v>
      </c>
      <c r="G193">
        <v>2.1713815242510153</v>
      </c>
      <c r="H193">
        <v>6.5764794362645587</v>
      </c>
      <c r="I193">
        <v>109012.06825725078</v>
      </c>
      <c r="J193" s="82">
        <v>97</v>
      </c>
      <c r="K193">
        <v>91.66525852481557</v>
      </c>
      <c r="L193" t="str">
        <f t="shared" si="5"/>
        <v>OK</v>
      </c>
    </row>
    <row r="194" spans="1:12">
      <c r="A194" s="1">
        <v>47495</v>
      </c>
      <c r="B194" t="s">
        <v>14</v>
      </c>
      <c r="C194">
        <v>98</v>
      </c>
      <c r="D194">
        <f>(automotive_demand_forecasting_dataset56[[#This Row],[Units_Sold]] -$C$4) / $C$5</f>
        <v>-0.14628169724987033</v>
      </c>
      <c r="E194">
        <v>39570.156769333931</v>
      </c>
      <c r="F194">
        <v>3.3738232489368563</v>
      </c>
      <c r="G194">
        <v>3.1031874310823433</v>
      </c>
      <c r="H194">
        <v>7.0298500495344669</v>
      </c>
      <c r="I194">
        <v>62603.673209356719</v>
      </c>
      <c r="J194" s="82">
        <v>102</v>
      </c>
      <c r="K194">
        <v>28.278005091726772</v>
      </c>
      <c r="L194" t="str">
        <f t="shared" si="5"/>
        <v>OK</v>
      </c>
    </row>
    <row r="195" spans="1:12">
      <c r="A195" s="1">
        <v>47525</v>
      </c>
      <c r="B195" t="s">
        <v>11</v>
      </c>
      <c r="C195">
        <v>96</v>
      </c>
      <c r="D195">
        <f>(automotive_demand_forecasting_dataset56[[#This Row],[Units_Sold]] -$C$4) / $C$5</f>
        <v>-0.34639345819360495</v>
      </c>
      <c r="E195">
        <v>29046.587996183269</v>
      </c>
      <c r="F195">
        <v>3.354094365542228</v>
      </c>
      <c r="G195">
        <v>1.9558859978858074</v>
      </c>
      <c r="H195">
        <v>6.2818263896074065</v>
      </c>
      <c r="I195">
        <v>76764.323121752721</v>
      </c>
      <c r="J195" s="82">
        <v>96</v>
      </c>
      <c r="K195">
        <v>72.525016191972185</v>
      </c>
      <c r="L195" t="str">
        <f t="shared" si="5"/>
        <v>OK</v>
      </c>
    </row>
    <row r="196" spans="1:12">
      <c r="A196" s="1">
        <v>47555</v>
      </c>
      <c r="B196" t="s">
        <v>14</v>
      </c>
      <c r="C196">
        <v>88</v>
      </c>
      <c r="D196">
        <f>(automotive_demand_forecasting_dataset56[[#This Row],[Units_Sold]] -$C$4) / $C$5</f>
        <v>-1.1468405019685435</v>
      </c>
      <c r="E196">
        <v>31087.164365898614</v>
      </c>
      <c r="F196">
        <v>2.7184045956516716</v>
      </c>
      <c r="G196">
        <v>2.3372070939277059</v>
      </c>
      <c r="H196">
        <v>4.1347771954902202</v>
      </c>
      <c r="I196">
        <v>94337.222065124661</v>
      </c>
      <c r="J196" s="82">
        <v>82</v>
      </c>
      <c r="K196">
        <v>65.454227669999995</v>
      </c>
      <c r="L196" t="str">
        <f t="shared" si="5"/>
        <v>OK</v>
      </c>
    </row>
    <row r="197" spans="1:12">
      <c r="A197" s="1">
        <v>47585</v>
      </c>
      <c r="B197" t="s">
        <v>13</v>
      </c>
      <c r="C197">
        <v>103</v>
      </c>
      <c r="D197">
        <f>(automotive_demand_forecasting_dataset56[[#This Row],[Units_Sold]] -$C$4) / $C$5</f>
        <v>0.35399770510946621</v>
      </c>
      <c r="E197">
        <v>34350.338653443774</v>
      </c>
      <c r="F197">
        <v>3.9415548885735796</v>
      </c>
      <c r="G197">
        <v>2.5409191753957212</v>
      </c>
      <c r="H197">
        <v>5.2582101592629789</v>
      </c>
      <c r="I197">
        <v>93982.805057183476</v>
      </c>
      <c r="J197" s="82">
        <v>85</v>
      </c>
      <c r="K197">
        <v>33.499955071858366</v>
      </c>
      <c r="L197" t="str">
        <f t="shared" si="5"/>
        <v>OK</v>
      </c>
    </row>
    <row r="198" spans="1:12">
      <c r="A198" s="1">
        <v>47615</v>
      </c>
      <c r="B198" t="s">
        <v>14</v>
      </c>
      <c r="C198">
        <v>83</v>
      </c>
      <c r="D198">
        <f>(automotive_demand_forecasting_dataset56[[#This Row],[Units_Sold]] -$C$4) / $C$5</f>
        <v>-1.6471199043278799</v>
      </c>
      <c r="E198">
        <v>32478.409439863022</v>
      </c>
      <c r="F198">
        <v>3.4610814014935989</v>
      </c>
      <c r="G198">
        <v>1.4978125442185273</v>
      </c>
      <c r="H198">
        <v>5.4921744217246502</v>
      </c>
      <c r="I198">
        <v>75810.461291623898</v>
      </c>
      <c r="J198" s="82">
        <v>82</v>
      </c>
      <c r="K198">
        <v>97.466156807940393</v>
      </c>
      <c r="L198" t="str">
        <f t="shared" si="5"/>
        <v>OK</v>
      </c>
    </row>
    <row r="199" spans="1:12">
      <c r="A199" s="1">
        <v>47645</v>
      </c>
      <c r="B199" t="s">
        <v>10</v>
      </c>
      <c r="C199">
        <v>82</v>
      </c>
      <c r="D199">
        <f>(automotive_demand_forecasting_dataset56[[#This Row],[Units_Sold]] -$C$4) / $C$5</f>
        <v>-1.7471757847997473</v>
      </c>
      <c r="E199">
        <v>30752.094525717883</v>
      </c>
      <c r="F199">
        <v>3.4097600432046873</v>
      </c>
      <c r="G199">
        <v>3.2408243454201258</v>
      </c>
      <c r="H199">
        <v>6.2185532674742925</v>
      </c>
      <c r="I199">
        <v>107779.57458704368</v>
      </c>
      <c r="J199" s="82">
        <f>111.9136842</f>
        <v>111.91368420000001</v>
      </c>
      <c r="K199">
        <v>56.230668833240934</v>
      </c>
      <c r="L199" t="str">
        <f t="shared" si="5"/>
        <v>OK</v>
      </c>
    </row>
    <row r="200" spans="1:12">
      <c r="A200" s="1">
        <v>47675</v>
      </c>
      <c r="B200" t="s">
        <v>12</v>
      </c>
      <c r="C200">
        <v>106</v>
      </c>
      <c r="D200">
        <f>(automotive_demand_forecasting_dataset56[[#This Row],[Units_Sold]] -$C$4) / $C$5</f>
        <v>0.65416534652506808</v>
      </c>
      <c r="E200">
        <v>31824.805012331126</v>
      </c>
      <c r="F200">
        <v>3.5380713799999999</v>
      </c>
      <c r="G200">
        <v>1.9867864335284149</v>
      </c>
      <c r="H200">
        <v>6.3020085864616968</v>
      </c>
      <c r="I200">
        <v>105029.47217881025</v>
      </c>
      <c r="J200" s="82">
        <v>91</v>
      </c>
      <c r="K200">
        <f>80.21517797</f>
        <v>80.215177969999999</v>
      </c>
      <c r="L200" t="str">
        <f t="shared" si="5"/>
        <v>OK</v>
      </c>
    </row>
    <row r="201" spans="1:12">
      <c r="A201" s="1">
        <v>47705</v>
      </c>
      <c r="B201" t="s">
        <v>12</v>
      </c>
      <c r="C201">
        <v>96</v>
      </c>
      <c r="D201">
        <f>(automotive_demand_forecasting_dataset56[[#This Row],[Units_Sold]] -$C$4) / $C$5</f>
        <v>-0.34639345819360495</v>
      </c>
      <c r="E201">
        <v>42017.077926191378</v>
      </c>
      <c r="F201">
        <v>3.6493764541828431</v>
      </c>
      <c r="G201">
        <v>2.2714000846599816</v>
      </c>
      <c r="H201">
        <v>4.6189914414658055</v>
      </c>
      <c r="I201">
        <v>96114.61736042962</v>
      </c>
      <c r="J201" s="82">
        <v>88</v>
      </c>
      <c r="K201">
        <v>74.145603490403758</v>
      </c>
      <c r="L201" t="str">
        <f t="shared" si="5"/>
        <v>OK</v>
      </c>
    </row>
    <row r="202" spans="1:12">
      <c r="A202" s="1">
        <v>47735</v>
      </c>
      <c r="B202" t="s">
        <v>10</v>
      </c>
      <c r="C202">
        <v>96</v>
      </c>
      <c r="D202">
        <f>(automotive_demand_forecasting_dataset56[[#This Row],[Units_Sold]] -$C$4) / $C$5</f>
        <v>-0.34639345819360495</v>
      </c>
      <c r="E202">
        <v>29711.906014832071</v>
      </c>
      <c r="F202">
        <v>3.1241044749524081</v>
      </c>
      <c r="G202">
        <v>1.5056506253914876</v>
      </c>
      <c r="H202">
        <v>5.5983946676962724</v>
      </c>
      <c r="I202">
        <v>84884.169996832745</v>
      </c>
      <c r="J202" s="82">
        <v>90</v>
      </c>
      <c r="K202">
        <v>44.12694958988412</v>
      </c>
      <c r="L202" t="str">
        <f t="shared" si="5"/>
        <v>OK</v>
      </c>
    </row>
    <row r="203" spans="1:12">
      <c r="A203" s="1">
        <v>47765</v>
      </c>
      <c r="B203" t="s">
        <v>11</v>
      </c>
      <c r="C203">
        <v>109</v>
      </c>
      <c r="D203">
        <f>(automotive_demand_forecasting_dataset56[[#This Row],[Units_Sold]] -$C$4) / $C$5</f>
        <v>0.95433298794067001</v>
      </c>
      <c r="E203">
        <v>31005.495233574838</v>
      </c>
      <c r="F203">
        <v>3.2868212018972285</v>
      </c>
      <c r="G203">
        <v>2.6520564320000002</v>
      </c>
      <c r="H203">
        <v>6.0487364855382895</v>
      </c>
      <c r="I203">
        <v>120974.14252833127</v>
      </c>
      <c r="J203" s="82">
        <v>90</v>
      </c>
      <c r="K203">
        <v>35.064201993368513</v>
      </c>
      <c r="L203" t="str">
        <f t="shared" ref="L203:L266" si="6">IF(COUNTA(A203:K203)&lt;COLUMNS(A203:K203), "Missing Data", "OK")</f>
        <v>OK</v>
      </c>
    </row>
    <row r="204" spans="1:12">
      <c r="A204" s="1">
        <v>47795</v>
      </c>
      <c r="B204" t="s">
        <v>10</v>
      </c>
      <c r="C204">
        <v>98</v>
      </c>
      <c r="D204">
        <f>(automotive_demand_forecasting_dataset56[[#This Row],[Units_Sold]] -$C$4) / $C$5</f>
        <v>-0.14628169724987033</v>
      </c>
      <c r="E204">
        <v>35253.271980038058</v>
      </c>
      <c r="F204">
        <v>4.0742228545983776</v>
      </c>
      <c r="G204">
        <v>2.3089722373998312</v>
      </c>
      <c r="H204">
        <v>7.2469867865761195</v>
      </c>
      <c r="I204">
        <v>133108.1422617659</v>
      </c>
      <c r="J204" s="82">
        <v>84</v>
      </c>
      <c r="K204">
        <v>44.298803698007951</v>
      </c>
      <c r="L204" t="str">
        <f t="shared" si="6"/>
        <v>OK</v>
      </c>
    </row>
    <row r="205" spans="1:12">
      <c r="A205" s="1">
        <v>47825</v>
      </c>
      <c r="B205" t="s">
        <v>13</v>
      </c>
      <c r="C205">
        <v>86</v>
      </c>
      <c r="D205">
        <f>(automotive_demand_forecasting_dataset56[[#This Row],[Units_Sold]] -$C$4) / $C$5</f>
        <v>-1.3469522629122781</v>
      </c>
      <c r="E205">
        <v>35527.629664789922</v>
      </c>
      <c r="F205">
        <v>3.5566352052688823</v>
      </c>
      <c r="G205">
        <v>2.6520564320000002</v>
      </c>
      <c r="H205">
        <v>6.3454078477896676</v>
      </c>
      <c r="I205">
        <f>128897.2893</f>
        <v>128897.2893</v>
      </c>
      <c r="J205" s="82">
        <v>79</v>
      </c>
      <c r="K205">
        <v>27.441392741013999</v>
      </c>
      <c r="L205" t="str">
        <f t="shared" si="6"/>
        <v>OK</v>
      </c>
    </row>
    <row r="206" spans="1:12">
      <c r="A206" s="1">
        <v>47855</v>
      </c>
      <c r="B206" t="s">
        <v>13</v>
      </c>
      <c r="C206">
        <v>79</v>
      </c>
      <c r="D206">
        <f>(automotive_demand_forecasting_dataset56[[#This Row],[Units_Sold]] -$C$4) / $C$5</f>
        <v>-2.0473434262153494</v>
      </c>
      <c r="E206">
        <v>35935.1515278019</v>
      </c>
      <c r="F206">
        <v>2.7808610108413165</v>
      </c>
      <c r="G206">
        <v>3.2846042878980239</v>
      </c>
      <c r="H206">
        <v>6.4468680248506232</v>
      </c>
      <c r="I206">
        <v>87756.661656903583</v>
      </c>
      <c r="J206" s="82">
        <v>77</v>
      </c>
      <c r="K206">
        <v>31.509437307466381</v>
      </c>
      <c r="L206" t="str">
        <f t="shared" si="6"/>
        <v>OK</v>
      </c>
    </row>
    <row r="207" spans="1:12">
      <c r="A207" s="1">
        <v>47885</v>
      </c>
      <c r="B207" t="s">
        <v>12</v>
      </c>
      <c r="C207">
        <v>86</v>
      </c>
      <c r="D207">
        <f>(automotive_demand_forecasting_dataset56[[#This Row],[Units_Sold]] -$C$4) / $C$5</f>
        <v>-1.3469522629122781</v>
      </c>
      <c r="E207">
        <v>38106.295579999998</v>
      </c>
      <c r="F207">
        <v>3.9596144672876017</v>
      </c>
      <c r="G207">
        <f>3.224108373</f>
        <v>3.224108373</v>
      </c>
      <c r="H207">
        <v>5.6005919535152335</v>
      </c>
      <c r="I207">
        <v>109824.15330823993</v>
      </c>
      <c r="J207" s="82">
        <v>77</v>
      </c>
      <c r="K207">
        <v>28.37283522771849</v>
      </c>
      <c r="L207" t="str">
        <f t="shared" si="6"/>
        <v>OK</v>
      </c>
    </row>
    <row r="208" spans="1:12">
      <c r="A208" s="1">
        <v>47915</v>
      </c>
      <c r="B208" t="s">
        <v>13</v>
      </c>
      <c r="C208">
        <v>108</v>
      </c>
      <c r="D208">
        <f>(automotive_demand_forecasting_dataset56[[#This Row],[Units_Sold]] -$C$4) / $C$5</f>
        <v>0.8542771074688027</v>
      </c>
      <c r="E208">
        <v>24284.97543634758</v>
      </c>
      <c r="F208">
        <v>3.1659279572305028</v>
      </c>
      <c r="G208">
        <v>2.2371091707917321</v>
      </c>
      <c r="H208">
        <v>7.1925509742442042</v>
      </c>
      <c r="I208">
        <v>92839.41240506027</v>
      </c>
      <c r="J208" s="82">
        <v>105</v>
      </c>
      <c r="K208">
        <v>53.835483499324617</v>
      </c>
      <c r="L208" t="str">
        <f t="shared" si="6"/>
        <v>OK</v>
      </c>
    </row>
    <row r="209" spans="1:12">
      <c r="A209" s="1">
        <v>47945</v>
      </c>
      <c r="B209" t="s">
        <v>12</v>
      </c>
      <c r="C209">
        <v>127</v>
      </c>
      <c r="D209">
        <f>(automotive_demand_forecasting_dataset56[[#This Row],[Units_Sold]] -$C$4) / $C$5</f>
        <v>2.7553388364342815</v>
      </c>
      <c r="E209">
        <v>38167.15766150548</v>
      </c>
      <c r="F209">
        <v>4.4366488881087731</v>
      </c>
      <c r="G209">
        <v>2.5224658928120465</v>
      </c>
      <c r="H209">
        <v>5.9917153551513973</v>
      </c>
      <c r="I209">
        <v>97212.055986735315</v>
      </c>
      <c r="J209" s="82">
        <v>100</v>
      </c>
      <c r="K209">
        <v>83.646270100606912</v>
      </c>
      <c r="L209" t="str">
        <f t="shared" si="6"/>
        <v>OK</v>
      </c>
    </row>
    <row r="210" spans="1:12">
      <c r="A210" s="1">
        <v>47975</v>
      </c>
      <c r="B210" t="s">
        <v>10</v>
      </c>
      <c r="C210">
        <v>93</v>
      </c>
      <c r="D210">
        <f>(automotive_demand_forecasting_dataset56[[#This Row],[Units_Sold]] -$C$4) / $C$5</f>
        <v>-0.64656109960920682</v>
      </c>
      <c r="E210">
        <v>24268.27303490656</v>
      </c>
      <c r="F210">
        <v>4.0400240328573247</v>
      </c>
      <c r="G210">
        <f>3.224108373</f>
        <v>3.224108373</v>
      </c>
      <c r="H210">
        <f>6.97388673</f>
        <v>6.9738867300000003</v>
      </c>
      <c r="I210">
        <v>114793.06303449343</v>
      </c>
      <c r="J210" s="82">
        <v>82</v>
      </c>
      <c r="K210">
        <v>31.310684337307215</v>
      </c>
      <c r="L210" t="str">
        <f t="shared" si="6"/>
        <v>OK</v>
      </c>
    </row>
    <row r="211" spans="1:12">
      <c r="A211" s="1">
        <v>48005</v>
      </c>
      <c r="B211" t="s">
        <v>10</v>
      </c>
      <c r="C211">
        <v>82</v>
      </c>
      <c r="D211">
        <f>(automotive_demand_forecasting_dataset56[[#This Row],[Units_Sold]] -$C$4) / $C$5</f>
        <v>-1.7471757847997473</v>
      </c>
      <c r="E211">
        <v>31513.177326195168</v>
      </c>
      <c r="F211">
        <v>3.2763390521706244</v>
      </c>
      <c r="G211">
        <v>1.3191871846911551</v>
      </c>
      <c r="H211">
        <v>7.1840439641502289</v>
      </c>
      <c r="I211">
        <v>61812.87824985414</v>
      </c>
      <c r="J211" s="82">
        <v>105</v>
      </c>
      <c r="K211">
        <v>30.425634653786872</v>
      </c>
      <c r="L211" t="str">
        <f t="shared" si="6"/>
        <v>OK</v>
      </c>
    </row>
    <row r="212" spans="1:12">
      <c r="A212" s="1">
        <v>48035</v>
      </c>
      <c r="B212" t="s">
        <v>10</v>
      </c>
      <c r="C212">
        <v>104</v>
      </c>
      <c r="D212">
        <f>(automotive_demand_forecasting_dataset56[[#This Row],[Units_Sold]] -$C$4) / $C$5</f>
        <v>0.45405358558133352</v>
      </c>
      <c r="E212">
        <v>26228.62074990321</v>
      </c>
      <c r="F212">
        <v>4.1405081808675561</v>
      </c>
      <c r="G212">
        <v>3.6143216946688721</v>
      </c>
      <c r="H212">
        <v>5.616047043</v>
      </c>
      <c r="I212">
        <v>126366.04649705338</v>
      </c>
      <c r="J212" s="82">
        <v>103</v>
      </c>
      <c r="K212">
        <v>71.474315961386452</v>
      </c>
      <c r="L212" t="str">
        <f t="shared" si="6"/>
        <v>OK</v>
      </c>
    </row>
    <row r="213" spans="1:12">
      <c r="A213" s="1">
        <v>48065</v>
      </c>
      <c r="B213" t="s">
        <v>12</v>
      </c>
      <c r="C213">
        <v>99</v>
      </c>
      <c r="D213">
        <f>(automotive_demand_forecasting_dataset56[[#This Row],[Units_Sold]] -$C$4) / $C$5</f>
        <v>-4.6225816778003026E-2</v>
      </c>
      <c r="E213">
        <v>29679.308267035038</v>
      </c>
      <c r="F213">
        <v>3.5339277552637016</v>
      </c>
      <c r="G213">
        <v>3.2153813154412441</v>
      </c>
      <c r="H213">
        <v>4.968347174645821</v>
      </c>
      <c r="I213">
        <v>101453.61048658683</v>
      </c>
      <c r="J213" s="82">
        <v>84</v>
      </c>
      <c r="K213">
        <v>35.7746385574453</v>
      </c>
      <c r="L213" t="str">
        <f t="shared" si="6"/>
        <v>OK</v>
      </c>
    </row>
    <row r="214" spans="1:12">
      <c r="A214" s="1">
        <v>48095</v>
      </c>
      <c r="B214" t="s">
        <v>10</v>
      </c>
      <c r="C214">
        <v>102</v>
      </c>
      <c r="D214">
        <f>(automotive_demand_forecasting_dataset56[[#This Row],[Units_Sold]] -$C$4) / $C$5</f>
        <v>0.2539418246375989</v>
      </c>
      <c r="E214">
        <v>31643.812051517401</v>
      </c>
      <c r="F214">
        <v>3.9263868375611097</v>
      </c>
      <c r="G214">
        <v>3.2181857257079347</v>
      </c>
      <c r="H214">
        <v>4.9246084391209077</v>
      </c>
      <c r="I214">
        <v>91770.137108756389</v>
      </c>
      <c r="J214" s="82">
        <v>90</v>
      </c>
      <c r="K214">
        <v>27.808803048719327</v>
      </c>
      <c r="L214" t="str">
        <f t="shared" si="6"/>
        <v>OK</v>
      </c>
    </row>
    <row r="215" spans="1:12">
      <c r="A215" s="1">
        <v>48125</v>
      </c>
      <c r="B215" t="s">
        <v>10</v>
      </c>
      <c r="C215">
        <v>76</v>
      </c>
      <c r="D215">
        <f>(automotive_demand_forecasting_dataset56[[#This Row],[Units_Sold]] -$C$4) / $C$5</f>
        <v>-2.347511067630951</v>
      </c>
      <c r="E215">
        <v>38106.295579999998</v>
      </c>
      <c r="F215">
        <v>3.7423664086472375</v>
      </c>
      <c r="G215">
        <v>2.9384757388097271</v>
      </c>
      <c r="H215">
        <v>5.8558906541689142</v>
      </c>
      <c r="I215">
        <v>98215.31691557102</v>
      </c>
      <c r="J215" s="82">
        <v>91</v>
      </c>
      <c r="K215">
        <v>33.347886256446209</v>
      </c>
      <c r="L215" t="str">
        <f t="shared" si="6"/>
        <v>OK</v>
      </c>
    </row>
    <row r="216" spans="1:12">
      <c r="A216" s="1">
        <v>48155</v>
      </c>
      <c r="B216" t="s">
        <v>11</v>
      </c>
      <c r="C216">
        <v>99</v>
      </c>
      <c r="D216">
        <f>(automotive_demand_forecasting_dataset56[[#This Row],[Units_Sold]] -$C$4) / $C$5</f>
        <v>-4.6225816778003026E-2</v>
      </c>
      <c r="E216">
        <v>32109.603771176422</v>
      </c>
      <c r="F216">
        <v>3.0768216725045634</v>
      </c>
      <c r="G216">
        <v>2.51961665769399</v>
      </c>
      <c r="H216">
        <v>6.0558217543211015</v>
      </c>
      <c r="I216">
        <v>99248.587100410368</v>
      </c>
      <c r="J216" s="82">
        <v>95</v>
      </c>
      <c r="K216">
        <v>93.898511670142085</v>
      </c>
      <c r="L216" t="str">
        <f t="shared" si="6"/>
        <v>OK</v>
      </c>
    </row>
    <row r="217" spans="1:12">
      <c r="A217" s="1">
        <v>48185</v>
      </c>
      <c r="B217" t="s">
        <v>10</v>
      </c>
      <c r="C217">
        <v>93</v>
      </c>
      <c r="D217">
        <f>(automotive_demand_forecasting_dataset56[[#This Row],[Units_Sold]] -$C$4) / $C$5</f>
        <v>-0.64656109960920682</v>
      </c>
      <c r="E217">
        <v>38068.556345293233</v>
      </c>
      <c r="F217">
        <v>3.1782250838412689</v>
      </c>
      <c r="G217">
        <v>3.17286123596682</v>
      </c>
      <c r="H217">
        <v>5.736750718757448</v>
      </c>
      <c r="I217">
        <v>65375.973931101493</v>
      </c>
      <c r="J217" s="82">
        <v>85</v>
      </c>
      <c r="K217">
        <v>85.71770022209526</v>
      </c>
      <c r="L217" t="str">
        <f t="shared" si="6"/>
        <v>OK</v>
      </c>
    </row>
    <row r="218" spans="1:12">
      <c r="A218" s="1">
        <v>48215</v>
      </c>
      <c r="B218" t="s">
        <v>13</v>
      </c>
      <c r="C218">
        <v>99</v>
      </c>
      <c r="D218">
        <f>(automotive_demand_forecasting_dataset56[[#This Row],[Units_Sold]] -$C$4) / $C$5</f>
        <v>-4.6225816778003026E-2</v>
      </c>
      <c r="E218">
        <v>32267.671507569899</v>
      </c>
      <c r="F218">
        <v>4.0149804087905805</v>
      </c>
      <c r="G218">
        <v>3.0918141337413783</v>
      </c>
      <c r="H218">
        <f>6.97388673</f>
        <v>6.9738867300000003</v>
      </c>
      <c r="I218">
        <v>129898.76454906471</v>
      </c>
      <c r="J218" s="82">
        <v>99</v>
      </c>
      <c r="K218">
        <v>48.325164988407529</v>
      </c>
      <c r="L218" t="str">
        <f t="shared" si="6"/>
        <v>OK</v>
      </c>
    </row>
    <row r="219" spans="1:12">
      <c r="A219" s="1">
        <v>48245</v>
      </c>
      <c r="B219" t="s">
        <v>12</v>
      </c>
      <c r="C219">
        <v>102</v>
      </c>
      <c r="D219">
        <f>(automotive_demand_forecasting_dataset56[[#This Row],[Units_Sold]] -$C$4) / $C$5</f>
        <v>0.2539418246375989</v>
      </c>
      <c r="E219">
        <v>28779.216823546758</v>
      </c>
      <c r="F219">
        <v>3.3326123339467295</v>
      </c>
      <c r="G219">
        <f>3.224108373</f>
        <v>3.224108373</v>
      </c>
      <c r="H219">
        <v>7.5399488494916564</v>
      </c>
      <c r="I219">
        <v>100826.51264541237</v>
      </c>
      <c r="J219" s="82">
        <v>94</v>
      </c>
      <c r="K219">
        <v>72.465661386191428</v>
      </c>
      <c r="L219" t="str">
        <f t="shared" si="6"/>
        <v>OK</v>
      </c>
    </row>
    <row r="220" spans="1:12">
      <c r="A220" s="1">
        <v>48275</v>
      </c>
      <c r="B220" t="s">
        <v>11</v>
      </c>
      <c r="C220">
        <v>106</v>
      </c>
      <c r="D220">
        <f>(automotive_demand_forecasting_dataset56[[#This Row],[Units_Sold]] -$C$4) / $C$5</f>
        <v>0.65416534652506808</v>
      </c>
      <c r="E220">
        <v>34820.435841441787</v>
      </c>
      <c r="F220">
        <v>3.2981757683790018</v>
      </c>
      <c r="G220">
        <v>1.926398227103099</v>
      </c>
      <c r="H220">
        <v>6.7858517826818625</v>
      </c>
      <c r="I220">
        <v>108860.04260894751</v>
      </c>
      <c r="J220" s="82">
        <v>91</v>
      </c>
      <c r="K220">
        <v>62.982053893443045</v>
      </c>
      <c r="L220" t="str">
        <f t="shared" si="6"/>
        <v>OK</v>
      </c>
    </row>
    <row r="221" spans="1:12">
      <c r="A221" s="1">
        <v>48305</v>
      </c>
      <c r="B221" t="s">
        <v>14</v>
      </c>
      <c r="C221">
        <v>94</v>
      </c>
      <c r="D221">
        <f>(automotive_demand_forecasting_dataset56[[#This Row],[Units_Sold]] -$C$4) / $C$5</f>
        <v>-0.54650521913733952</v>
      </c>
      <c r="E221">
        <v>35947.352444623204</v>
      </c>
      <c r="F221">
        <v>3.0224387103253236</v>
      </c>
      <c r="G221">
        <v>2.6018562952619866</v>
      </c>
      <c r="H221">
        <v>5.7287627095180289</v>
      </c>
      <c r="I221">
        <v>119030.99541148086</v>
      </c>
      <c r="J221" s="82">
        <v>87</v>
      </c>
      <c r="K221">
        <v>74.16994107860512</v>
      </c>
      <c r="L221" t="str">
        <f t="shared" si="6"/>
        <v>OK</v>
      </c>
    </row>
    <row r="222" spans="1:12">
      <c r="A222" s="1">
        <v>48335</v>
      </c>
      <c r="B222" t="s">
        <v>12</v>
      </c>
      <c r="C222">
        <v>105</v>
      </c>
      <c r="D222">
        <f>(automotive_demand_forecasting_dataset56[[#This Row],[Units_Sold]] -$C$4) / $C$5</f>
        <v>0.55410946605320077</v>
      </c>
      <c r="E222">
        <v>23861.960924315037</v>
      </c>
      <c r="F222">
        <v>3.7117995327967304</v>
      </c>
      <c r="G222">
        <v>4.0490201514951876</v>
      </c>
      <c r="H222">
        <v>6.6295726969209801</v>
      </c>
      <c r="I222">
        <v>79576.750848793992</v>
      </c>
      <c r="J222" s="82">
        <v>66</v>
      </c>
      <c r="K222">
        <v>74.613692197020754</v>
      </c>
      <c r="L222" t="str">
        <f t="shared" si="6"/>
        <v>OK</v>
      </c>
    </row>
    <row r="223" spans="1:12">
      <c r="A223" s="1">
        <v>48365</v>
      </c>
      <c r="B223" t="s">
        <v>13</v>
      </c>
      <c r="C223">
        <v>100</v>
      </c>
      <c r="D223">
        <f>(automotive_demand_forecasting_dataset56[[#This Row],[Units_Sold]] -$C$4) / $C$5</f>
        <v>5.3830063693864283E-2</v>
      </c>
      <c r="E223">
        <v>32987.000349249291</v>
      </c>
      <c r="F223">
        <v>4.5312624596215727</v>
      </c>
      <c r="G223">
        <f>3.224108373</f>
        <v>3.224108373</v>
      </c>
      <c r="H223">
        <v>4.2609713157669526</v>
      </c>
      <c r="I223">
        <v>109469.43798070456</v>
      </c>
      <c r="J223" s="82">
        <v>86</v>
      </c>
      <c r="K223">
        <v>70.298721204799435</v>
      </c>
      <c r="L223" t="str">
        <f t="shared" si="6"/>
        <v>OK</v>
      </c>
    </row>
    <row r="224" spans="1:12">
      <c r="A224" s="1">
        <v>48395</v>
      </c>
      <c r="B224" t="s">
        <v>12</v>
      </c>
      <c r="C224">
        <v>122</v>
      </c>
      <c r="D224">
        <f>(automotive_demand_forecasting_dataset56[[#This Row],[Units_Sold]] -$C$4) / $C$5</f>
        <v>2.255059434074945</v>
      </c>
      <c r="E224">
        <v>33505.863711554492</v>
      </c>
      <c r="F224">
        <v>2.9662335428728634</v>
      </c>
      <c r="G224">
        <v>1.03247473424756</v>
      </c>
      <c r="H224">
        <v>5.9775124599361709</v>
      </c>
      <c r="I224">
        <v>94647.17818202413</v>
      </c>
      <c r="J224" s="82">
        <v>80</v>
      </c>
      <c r="K224">
        <v>41.288109482984687</v>
      </c>
      <c r="L224" t="str">
        <f t="shared" si="6"/>
        <v>OK</v>
      </c>
    </row>
    <row r="225" spans="1:12">
      <c r="A225" s="1">
        <v>48425</v>
      </c>
      <c r="B225" t="s">
        <v>13</v>
      </c>
      <c r="C225">
        <v>103</v>
      </c>
      <c r="D225">
        <f>(automotive_demand_forecasting_dataset56[[#This Row],[Units_Sold]] -$C$4) / $C$5</f>
        <v>0.35399770510946621</v>
      </c>
      <c r="E225">
        <v>28512.182483200042</v>
      </c>
      <c r="F225">
        <v>3.5121097283363789</v>
      </c>
      <c r="G225">
        <v>2.6647608412365167</v>
      </c>
      <c r="H225">
        <f>6.97388673</f>
        <v>6.9738867300000003</v>
      </c>
      <c r="I225">
        <v>116935.41550432987</v>
      </c>
      <c r="J225" s="82">
        <v>111</v>
      </c>
      <c r="K225">
        <v>23.120513661025448</v>
      </c>
      <c r="L225" t="str">
        <f t="shared" si="6"/>
        <v>OK</v>
      </c>
    </row>
    <row r="226" spans="1:12">
      <c r="A226" s="1">
        <v>48455</v>
      </c>
      <c r="B226" t="s">
        <v>13</v>
      </c>
      <c r="C226">
        <v>119</v>
      </c>
      <c r="D226">
        <f>(automotive_demand_forecasting_dataset56[[#This Row],[Units_Sold]] -$C$4) / $C$5</f>
        <v>1.9548917926593432</v>
      </c>
      <c r="E226">
        <v>36878.534066558095</v>
      </c>
      <c r="F226">
        <v>4.2061102777077144</v>
      </c>
      <c r="G226">
        <f>3.224108373</f>
        <v>3.224108373</v>
      </c>
      <c r="H226">
        <v>5.2383449255291517</v>
      </c>
      <c r="I226">
        <f>128897.2893</f>
        <v>128897.2893</v>
      </c>
      <c r="J226" s="82">
        <v>98</v>
      </c>
      <c r="K226">
        <v>65.454227669999995</v>
      </c>
      <c r="L226" t="str">
        <f t="shared" si="6"/>
        <v>OK</v>
      </c>
    </row>
    <row r="227" spans="1:12">
      <c r="A227" s="1">
        <v>48485</v>
      </c>
      <c r="B227" t="s">
        <v>14</v>
      </c>
      <c r="C227">
        <v>76</v>
      </c>
      <c r="D227">
        <f>(automotive_demand_forecasting_dataset56[[#This Row],[Units_Sold]] -$C$4) / $C$5</f>
        <v>-2.347511067630951</v>
      </c>
      <c r="E227">
        <v>29249.722064837366</v>
      </c>
      <c r="F227">
        <v>3.4601793043771423</v>
      </c>
      <c r="G227">
        <v>2.6733416643704082</v>
      </c>
      <c r="H227">
        <v>4.4828392856570982</v>
      </c>
      <c r="I227">
        <v>98018.113995174615</v>
      </c>
      <c r="J227" s="82">
        <v>98</v>
      </c>
      <c r="K227">
        <v>91.277910775256302</v>
      </c>
      <c r="L227" t="str">
        <f t="shared" si="6"/>
        <v>OK</v>
      </c>
    </row>
    <row r="228" spans="1:12">
      <c r="A228" s="1">
        <v>48515</v>
      </c>
      <c r="B228" t="s">
        <v>12</v>
      </c>
      <c r="C228">
        <v>96</v>
      </c>
      <c r="D228">
        <f>(automotive_demand_forecasting_dataset56[[#This Row],[Units_Sold]] -$C$4) / $C$5</f>
        <v>-0.34639345819360495</v>
      </c>
      <c r="E228">
        <v>38106.295579999998</v>
      </c>
      <c r="F228">
        <v>3.726185898124867</v>
      </c>
      <c r="G228">
        <v>2.7439531979085001</v>
      </c>
      <c r="H228">
        <v>4.7174933336883269</v>
      </c>
      <c r="I228">
        <v>87943.586884320772</v>
      </c>
      <c r="J228" s="82">
        <v>93</v>
      </c>
      <c r="K228">
        <v>65.559780681486075</v>
      </c>
      <c r="L228" t="str">
        <f t="shared" si="6"/>
        <v>OK</v>
      </c>
    </row>
    <row r="229" spans="1:12">
      <c r="A229" s="1">
        <v>48545</v>
      </c>
      <c r="B229" t="s">
        <v>14</v>
      </c>
      <c r="C229">
        <v>103</v>
      </c>
      <c r="D229">
        <f>(automotive_demand_forecasting_dataset56[[#This Row],[Units_Sold]] -$C$4) / $C$5</f>
        <v>0.35399770510946621</v>
      </c>
      <c r="E229">
        <v>29134.640878580652</v>
      </c>
      <c r="F229">
        <v>4.5778345189999996</v>
      </c>
      <c r="G229">
        <v>2.2767977453651951</v>
      </c>
      <c r="H229">
        <v>4.1924403551891345</v>
      </c>
      <c r="I229">
        <v>108645.25901268311</v>
      </c>
      <c r="J229" s="82">
        <v>106</v>
      </c>
      <c r="K229">
        <v>86.591283336152628</v>
      </c>
      <c r="L229" t="str">
        <f t="shared" si="6"/>
        <v>OK</v>
      </c>
    </row>
    <row r="230" spans="1:12">
      <c r="A230" s="1">
        <v>48575</v>
      </c>
      <c r="B230" t="s">
        <v>14</v>
      </c>
      <c r="C230">
        <v>111</v>
      </c>
      <c r="D230">
        <f>(automotive_demand_forecasting_dataset56[[#This Row],[Units_Sold]] -$C$4) / $C$5</f>
        <v>1.1544447488844047</v>
      </c>
      <c r="E230">
        <v>30077.895237907338</v>
      </c>
      <c r="F230">
        <v>3.7141535486038242</v>
      </c>
      <c r="G230">
        <v>3.9898634386020824</v>
      </c>
      <c r="H230">
        <v>5.616047043</v>
      </c>
      <c r="I230">
        <v>109400.88374736405</v>
      </c>
      <c r="J230" s="82">
        <v>93</v>
      </c>
      <c r="K230">
        <f>80.21517797</f>
        <v>80.215177969999999</v>
      </c>
      <c r="L230" t="str">
        <f t="shared" si="6"/>
        <v>OK</v>
      </c>
    </row>
    <row r="231" spans="1:12">
      <c r="A231" s="1">
        <v>48605</v>
      </c>
      <c r="B231" t="s">
        <v>12</v>
      </c>
      <c r="C231">
        <v>97</v>
      </c>
      <c r="D231">
        <f>(automotive_demand_forecasting_dataset56[[#This Row],[Units_Sold]] -$C$4) / $C$5</f>
        <v>-0.24633757772173764</v>
      </c>
      <c r="E231">
        <v>24518.624565523991</v>
      </c>
      <c r="F231">
        <v>3.4064278674977255</v>
      </c>
      <c r="G231">
        <v>0.89909602152348445</v>
      </c>
      <c r="H231">
        <v>5.0553902816919649</v>
      </c>
      <c r="I231">
        <v>85847.48210355948</v>
      </c>
      <c r="J231" s="82">
        <v>72</v>
      </c>
      <c r="K231">
        <v>33.089296331062101</v>
      </c>
      <c r="L231" t="str">
        <f t="shared" si="6"/>
        <v>OK</v>
      </c>
    </row>
    <row r="232" spans="1:12">
      <c r="A232" s="1">
        <v>48635</v>
      </c>
      <c r="B232" t="s">
        <v>10</v>
      </c>
      <c r="C232">
        <v>112</v>
      </c>
      <c r="D232">
        <f>(automotive_demand_forecasting_dataset56[[#This Row],[Units_Sold]] -$C$4) / $C$5</f>
        <v>1.2545006293562719</v>
      </c>
      <c r="E232">
        <v>22799.745587028527</v>
      </c>
      <c r="F232">
        <v>3.9928649978399315</v>
      </c>
      <c r="G232">
        <v>1.6715029752197541</v>
      </c>
      <c r="H232">
        <v>3.8133195769856298</v>
      </c>
      <c r="I232">
        <v>85756.522716479129</v>
      </c>
      <c r="J232" s="82">
        <v>85</v>
      </c>
      <c r="K232">
        <v>65.454227669999995</v>
      </c>
      <c r="L232" t="str">
        <f t="shared" si="6"/>
        <v>OK</v>
      </c>
    </row>
    <row r="233" spans="1:12">
      <c r="A233" s="1">
        <v>48665</v>
      </c>
      <c r="B233" t="s">
        <v>10</v>
      </c>
      <c r="C233">
        <v>99</v>
      </c>
      <c r="D233">
        <f>(automotive_demand_forecasting_dataset56[[#This Row],[Units_Sold]] -$C$4) / $C$5</f>
        <v>-4.6225816778003026E-2</v>
      </c>
      <c r="E233">
        <v>37972.525316124862</v>
      </c>
      <c r="F233">
        <v>4.0936930257823754</v>
      </c>
      <c r="G233">
        <v>2.3967452398509526</v>
      </c>
      <c r="H233">
        <v>5.5187420007395236</v>
      </c>
      <c r="I233">
        <v>97786.692628853416</v>
      </c>
      <c r="J233" s="82">
        <v>86</v>
      </c>
      <c r="K233">
        <v>73.943485896001974</v>
      </c>
      <c r="L233" t="str">
        <f t="shared" si="6"/>
        <v>OK</v>
      </c>
    </row>
    <row r="234" spans="1:12">
      <c r="A234" s="1">
        <v>48695</v>
      </c>
      <c r="B234" t="s">
        <v>14</v>
      </c>
      <c r="C234">
        <v>124</v>
      </c>
      <c r="D234">
        <f>(automotive_demand_forecasting_dataset56[[#This Row],[Units_Sold]] -$C$4) / $C$5</f>
        <v>2.4551711950186799</v>
      </c>
      <c r="E234">
        <v>25765.193258408362</v>
      </c>
      <c r="F234">
        <v>4.7947818210093072</v>
      </c>
      <c r="G234">
        <v>0.85681118884583274</v>
      </c>
      <c r="H234">
        <f>6.97388673</f>
        <v>6.9738867300000003</v>
      </c>
      <c r="I234">
        <v>82067.155453695828</v>
      </c>
      <c r="J234" s="82">
        <v>93</v>
      </c>
      <c r="K234">
        <v>98.396435788662274</v>
      </c>
      <c r="L234" t="str">
        <f t="shared" si="6"/>
        <v>OK</v>
      </c>
    </row>
    <row r="235" spans="1:12">
      <c r="A235" s="1">
        <v>48725</v>
      </c>
      <c r="B235" t="s">
        <v>11</v>
      </c>
      <c r="C235">
        <v>91</v>
      </c>
      <c r="D235">
        <f>(automotive_demand_forecasting_dataset56[[#This Row],[Units_Sold]] -$C$4) / $C$5</f>
        <v>-0.84667286055294144</v>
      </c>
      <c r="E235">
        <v>25043.038252718463</v>
      </c>
      <c r="F235">
        <v>3.7898165866067877</v>
      </c>
      <c r="G235">
        <v>2.3241455955679289</v>
      </c>
      <c r="H235">
        <v>4.4106925838236961</v>
      </c>
      <c r="I235">
        <v>116839.67390904254</v>
      </c>
      <c r="J235" s="82">
        <v>87</v>
      </c>
      <c r="K235">
        <v>98.848058716224031</v>
      </c>
      <c r="L235" t="str">
        <f t="shared" si="6"/>
        <v>OK</v>
      </c>
    </row>
    <row r="236" spans="1:12">
      <c r="A236" s="1">
        <v>48755</v>
      </c>
      <c r="B236" t="s">
        <v>14</v>
      </c>
      <c r="C236">
        <v>103</v>
      </c>
      <c r="D236">
        <f>(automotive_demand_forecasting_dataset56[[#This Row],[Units_Sold]] -$C$4) / $C$5</f>
        <v>0.35399770510946621</v>
      </c>
      <c r="E236">
        <v>19233.049431981424</v>
      </c>
      <c r="F236">
        <v>3.5380713799999999</v>
      </c>
      <c r="G236">
        <v>4.1614701657280184</v>
      </c>
      <c r="H236">
        <v>7.3231407083701221</v>
      </c>
      <c r="I236">
        <v>92615.855991051081</v>
      </c>
      <c r="J236" s="82">
        <v>81</v>
      </c>
      <c r="K236">
        <v>74.934288937930361</v>
      </c>
      <c r="L236" t="str">
        <f t="shared" si="6"/>
        <v>OK</v>
      </c>
    </row>
    <row r="237" spans="1:12">
      <c r="A237" s="1">
        <v>48785</v>
      </c>
      <c r="B237" t="s">
        <v>14</v>
      </c>
      <c r="C237">
        <v>86</v>
      </c>
      <c r="D237">
        <f>(automotive_demand_forecasting_dataset56[[#This Row],[Units_Sold]] -$C$4) / $C$5</f>
        <v>-1.3469522629122781</v>
      </c>
      <c r="E237">
        <v>26805.191261552489</v>
      </c>
      <c r="F237">
        <v>4.5778345189999996</v>
      </c>
      <c r="G237">
        <v>2.5208864882959618</v>
      </c>
      <c r="H237">
        <v>6.1129505062331138</v>
      </c>
      <c r="I237">
        <v>41860.235613567173</v>
      </c>
      <c r="J237" s="82">
        <v>84</v>
      </c>
      <c r="K237">
        <v>39.489183358575545</v>
      </c>
      <c r="L237" t="str">
        <f t="shared" si="6"/>
        <v>OK</v>
      </c>
    </row>
    <row r="238" spans="1:12">
      <c r="A238" s="1">
        <v>48815</v>
      </c>
      <c r="B238" t="s">
        <v>14</v>
      </c>
      <c r="C238">
        <v>101</v>
      </c>
      <c r="D238">
        <f>(automotive_demand_forecasting_dataset56[[#This Row],[Units_Sold]] -$C$4) / $C$5</f>
        <v>0.15388594416573159</v>
      </c>
      <c r="E238">
        <v>23384.55103296251</v>
      </c>
      <c r="F238">
        <v>3.3234168535946558</v>
      </c>
      <c r="G238">
        <v>2.7307009057186833</v>
      </c>
      <c r="H238">
        <v>6.7366967027488691</v>
      </c>
      <c r="I238">
        <v>92503.558867563872</v>
      </c>
      <c r="J238" s="82">
        <v>93</v>
      </c>
      <c r="K238">
        <v>83.884467050447924</v>
      </c>
      <c r="L238" t="str">
        <f t="shared" si="6"/>
        <v>OK</v>
      </c>
    </row>
    <row r="239" spans="1:12">
      <c r="A239" s="1">
        <v>48845</v>
      </c>
      <c r="B239" t="s">
        <v>10</v>
      </c>
      <c r="C239">
        <v>101</v>
      </c>
      <c r="D239">
        <f>(automotive_demand_forecasting_dataset56[[#This Row],[Units_Sold]] -$C$4) / $C$5</f>
        <v>0.15388594416573159</v>
      </c>
      <c r="E239">
        <v>38210.075800681843</v>
      </c>
      <c r="F239">
        <v>4.5778345189999996</v>
      </c>
      <c r="G239">
        <v>1.2398352348274198</v>
      </c>
      <c r="H239">
        <v>4.7105985353774358</v>
      </c>
      <c r="I239">
        <v>79229.123583120556</v>
      </c>
      <c r="J239" s="82">
        <v>86</v>
      </c>
      <c r="K239">
        <v>28.562330736883048</v>
      </c>
      <c r="L239" t="str">
        <f t="shared" si="6"/>
        <v>OK</v>
      </c>
    </row>
    <row r="240" spans="1:12">
      <c r="A240" s="1">
        <v>48875</v>
      </c>
      <c r="B240" t="s">
        <v>10</v>
      </c>
      <c r="C240">
        <v>101</v>
      </c>
      <c r="D240">
        <f>(automotive_demand_forecasting_dataset56[[#This Row],[Units_Sold]] -$C$4) / $C$5</f>
        <v>0.15388594416573159</v>
      </c>
      <c r="E240">
        <v>35049.085446713172</v>
      </c>
      <c r="F240">
        <v>3.3522992949304853</v>
      </c>
      <c r="G240">
        <v>1.8836385919605225</v>
      </c>
      <c r="H240">
        <v>6.5254302724799391</v>
      </c>
      <c r="I240">
        <v>67374.483690781082</v>
      </c>
      <c r="J240" s="82">
        <v>81</v>
      </c>
      <c r="K240">
        <v>82.455944333730287</v>
      </c>
      <c r="L240" t="str">
        <f t="shared" si="6"/>
        <v>OK</v>
      </c>
    </row>
    <row r="241" spans="1:12">
      <c r="A241" s="1">
        <v>48905</v>
      </c>
      <c r="B241" t="s">
        <v>10</v>
      </c>
      <c r="C241">
        <v>113</v>
      </c>
      <c r="D241">
        <f>(automotive_demand_forecasting_dataset56[[#This Row],[Units_Sold]] -$C$4) / $C$5</f>
        <v>1.3545565098281394</v>
      </c>
      <c r="E241">
        <v>26559.248274111382</v>
      </c>
      <c r="F241">
        <v>4.5778345189999996</v>
      </c>
      <c r="G241">
        <v>2.1248036196760629</v>
      </c>
      <c r="H241">
        <v>4.1896793195256254</v>
      </c>
      <c r="I241">
        <v>75251.467235548553</v>
      </c>
      <c r="J241" s="82">
        <v>99</v>
      </c>
      <c r="K241">
        <v>92.815689931575719</v>
      </c>
      <c r="L241" t="str">
        <f t="shared" si="6"/>
        <v>OK</v>
      </c>
    </row>
    <row r="242" spans="1:12">
      <c r="A242" s="1">
        <v>48935</v>
      </c>
      <c r="B242" t="s">
        <v>14</v>
      </c>
      <c r="C242">
        <v>87</v>
      </c>
      <c r="D242">
        <f>(automotive_demand_forecasting_dataset56[[#This Row],[Units_Sold]] -$C$4) / $C$5</f>
        <v>-1.2468963824404107</v>
      </c>
      <c r="E242">
        <v>41262.17902672154</v>
      </c>
      <c r="F242">
        <v>4.1587987678039795</v>
      </c>
      <c r="G242">
        <v>2.1822849032437661</v>
      </c>
      <c r="H242">
        <v>6.5682970010038106</v>
      </c>
      <c r="I242">
        <v>102188.1694366594</v>
      </c>
      <c r="J242" s="82">
        <v>86</v>
      </c>
      <c r="K242">
        <v>50.626671581474824</v>
      </c>
      <c r="L242" t="str">
        <f t="shared" si="6"/>
        <v>OK</v>
      </c>
    </row>
    <row r="243" spans="1:12">
      <c r="A243" s="1">
        <v>48965</v>
      </c>
      <c r="B243" t="s">
        <v>11</v>
      </c>
      <c r="C243">
        <v>108</v>
      </c>
      <c r="D243">
        <f>(automotive_demand_forecasting_dataset56[[#This Row],[Units_Sold]] -$C$4) / $C$5</f>
        <v>0.8542771074688027</v>
      </c>
      <c r="E243">
        <v>34908.827434957973</v>
      </c>
      <c r="F243">
        <v>2.9967287173601793</v>
      </c>
      <c r="G243">
        <v>3.7816437950037685</v>
      </c>
      <c r="H243">
        <v>5.7062072077522377</v>
      </c>
      <c r="I243">
        <f>128897.2893</f>
        <v>128897.2893</v>
      </c>
      <c r="J243" s="82">
        <v>85</v>
      </c>
      <c r="K243">
        <v>70.450823598646437</v>
      </c>
      <c r="L243" t="str">
        <f t="shared" si="6"/>
        <v>OK</v>
      </c>
    </row>
    <row r="244" spans="1:12">
      <c r="A244" s="1">
        <v>48995</v>
      </c>
      <c r="B244" t="s">
        <v>10</v>
      </c>
      <c r="C244">
        <v>100</v>
      </c>
      <c r="D244">
        <f>(automotive_demand_forecasting_dataset56[[#This Row],[Units_Sold]] -$C$4) / $C$5</f>
        <v>5.3830063693864283E-2</v>
      </c>
      <c r="E244">
        <v>30949.702720000001</v>
      </c>
      <c r="F244">
        <v>4.0699392805645225</v>
      </c>
      <c r="G244">
        <v>3.0576910607251246</v>
      </c>
      <c r="H244">
        <v>6.1639014639817402</v>
      </c>
      <c r="I244">
        <v>106263.6894772996</v>
      </c>
      <c r="J244" s="82">
        <v>93</v>
      </c>
      <c r="K244">
        <v>54.411418567746104</v>
      </c>
      <c r="L244" t="str">
        <f t="shared" si="6"/>
        <v>OK</v>
      </c>
    </row>
    <row r="245" spans="1:12">
      <c r="A245" s="1">
        <v>49025</v>
      </c>
      <c r="B245" t="s">
        <v>12</v>
      </c>
      <c r="C245">
        <v>87</v>
      </c>
      <c r="D245">
        <f>(automotive_demand_forecasting_dataset56[[#This Row],[Units_Sold]] -$C$4) / $C$5</f>
        <v>-1.2468963824404107</v>
      </c>
      <c r="E245">
        <v>17502.971425632135</v>
      </c>
      <c r="F245">
        <v>4.1585575336699323</v>
      </c>
      <c r="G245">
        <v>1.388542043062968</v>
      </c>
      <c r="H245">
        <v>4.0892864732501781</v>
      </c>
      <c r="I245">
        <v>87869.932235685206</v>
      </c>
      <c r="J245" s="82">
        <v>87</v>
      </c>
      <c r="K245">
        <v>55.021204399050276</v>
      </c>
      <c r="L245" t="str">
        <f t="shared" si="6"/>
        <v>OK</v>
      </c>
    </row>
    <row r="246" spans="1:12">
      <c r="A246" s="1">
        <v>49055</v>
      </c>
      <c r="B246" t="s">
        <v>12</v>
      </c>
      <c r="C246">
        <v>96</v>
      </c>
      <c r="D246">
        <f>(automotive_demand_forecasting_dataset56[[#This Row],[Units_Sold]] -$C$4) / $C$5</f>
        <v>-0.34639345819360495</v>
      </c>
      <c r="E246">
        <v>41454.712862953711</v>
      </c>
      <c r="F246">
        <v>3.4409657365044608</v>
      </c>
      <c r="G246">
        <v>2.7465047784320049</v>
      </c>
      <c r="H246">
        <v>4.4259161892680741</v>
      </c>
      <c r="I246">
        <v>109118.08390341405</v>
      </c>
      <c r="J246" s="82">
        <v>78</v>
      </c>
      <c r="K246">
        <v>65.454227669999995</v>
      </c>
      <c r="L246" t="str">
        <f t="shared" si="6"/>
        <v>OK</v>
      </c>
    </row>
    <row r="247" spans="1:12">
      <c r="A247" s="1">
        <v>49085</v>
      </c>
      <c r="B247" t="s">
        <v>12</v>
      </c>
      <c r="C247">
        <v>97</v>
      </c>
      <c r="D247">
        <f>(automotive_demand_forecasting_dataset56[[#This Row],[Units_Sold]] -$C$4) / $C$5</f>
        <v>-0.24633757772173764</v>
      </c>
      <c r="E247">
        <v>23052.137666182018</v>
      </c>
      <c r="F247">
        <v>2.4390725504957027</v>
      </c>
      <c r="G247">
        <v>2.998221748496785</v>
      </c>
      <c r="H247">
        <v>6.216673861904062</v>
      </c>
      <c r="I247">
        <f>128897.2893</f>
        <v>128897.2893</v>
      </c>
      <c r="J247" s="82">
        <v>75</v>
      </c>
      <c r="K247">
        <v>80.970369636025964</v>
      </c>
      <c r="L247" t="str">
        <f t="shared" si="6"/>
        <v>OK</v>
      </c>
    </row>
    <row r="248" spans="1:12">
      <c r="A248" s="1">
        <v>49115</v>
      </c>
      <c r="B248" t="s">
        <v>13</v>
      </c>
      <c r="C248">
        <v>116</v>
      </c>
      <c r="D248">
        <f>(automotive_demand_forecasting_dataset56[[#This Row],[Units_Sold]] -$C$4) / $C$5</f>
        <v>1.6547241512437412</v>
      </c>
      <c r="E248">
        <v>38106.295579999998</v>
      </c>
      <c r="F248">
        <v>3.1960890064527838</v>
      </c>
      <c r="G248">
        <v>3.6401490385212663</v>
      </c>
      <c r="H248">
        <v>4.3619823949309593</v>
      </c>
      <c r="I248">
        <v>86107.992616737116</v>
      </c>
      <c r="J248" s="82">
        <v>77</v>
      </c>
      <c r="K248">
        <v>94.894125133320415</v>
      </c>
      <c r="L248" t="str">
        <f t="shared" si="6"/>
        <v>OK</v>
      </c>
    </row>
    <row r="249" spans="1:12">
      <c r="A249" s="1">
        <v>49145</v>
      </c>
      <c r="B249" t="s">
        <v>14</v>
      </c>
      <c r="C249">
        <v>100</v>
      </c>
      <c r="D249">
        <f>(automotive_demand_forecasting_dataset56[[#This Row],[Units_Sold]] -$C$4) / $C$5</f>
        <v>5.3830063693864283E-2</v>
      </c>
      <c r="E249">
        <v>35112.852160048198</v>
      </c>
      <c r="F249">
        <v>4.1484972732805545</v>
      </c>
      <c r="G249">
        <f>3.224108373</f>
        <v>3.224108373</v>
      </c>
      <c r="H249">
        <v>6.0558475505189477</v>
      </c>
      <c r="I249">
        <v>76912.746635340314</v>
      </c>
      <c r="J249" s="82">
        <f>111.9136842</f>
        <v>111.91368420000001</v>
      </c>
      <c r="K249">
        <v>95.260068738756885</v>
      </c>
      <c r="L249" t="str">
        <f t="shared" si="6"/>
        <v>OK</v>
      </c>
    </row>
    <row r="250" spans="1:12">
      <c r="A250" s="1">
        <v>49175</v>
      </c>
      <c r="B250" t="s">
        <v>12</v>
      </c>
      <c r="C250">
        <v>97</v>
      </c>
      <c r="D250">
        <f>(automotive_demand_forecasting_dataset56[[#This Row],[Units_Sold]] -$C$4) / $C$5</f>
        <v>-0.24633757772173764</v>
      </c>
      <c r="E250">
        <v>42198.762031696366</v>
      </c>
      <c r="F250">
        <v>3.4885659688505588</v>
      </c>
      <c r="G250">
        <v>1.4849058081721314</v>
      </c>
      <c r="H250">
        <v>5.616047043</v>
      </c>
      <c r="I250">
        <v>64963.423864965618</v>
      </c>
      <c r="J250" s="82">
        <v>90</v>
      </c>
      <c r="K250">
        <v>33.982502789994705</v>
      </c>
      <c r="L250" t="str">
        <f t="shared" si="6"/>
        <v>OK</v>
      </c>
    </row>
    <row r="251" spans="1:12">
      <c r="A251" s="1">
        <v>49205</v>
      </c>
      <c r="B251" t="s">
        <v>14</v>
      </c>
      <c r="C251">
        <v>100</v>
      </c>
      <c r="D251">
        <f>(automotive_demand_forecasting_dataset56[[#This Row],[Units_Sold]] -$C$4) / $C$5</f>
        <v>5.3830063693864283E-2</v>
      </c>
      <c r="E251">
        <v>36921.364092552591</v>
      </c>
      <c r="F251">
        <v>3.0003488838525447</v>
      </c>
      <c r="G251">
        <v>1.6891424887896618</v>
      </c>
      <c r="H251">
        <v>6.5178090552000016</v>
      </c>
      <c r="I251">
        <f>128897.2893</f>
        <v>128897.2893</v>
      </c>
      <c r="J251" s="82">
        <v>97</v>
      </c>
      <c r="K251">
        <v>89.979491972525281</v>
      </c>
      <c r="L251" t="str">
        <f t="shared" si="6"/>
        <v>OK</v>
      </c>
    </row>
    <row r="252" spans="1:12">
      <c r="A252" s="1">
        <v>49235</v>
      </c>
      <c r="B252" t="s">
        <v>12</v>
      </c>
      <c r="C252">
        <v>99</v>
      </c>
      <c r="D252">
        <f>(automotive_demand_forecasting_dataset56[[#This Row],[Units_Sold]] -$C$4) / $C$5</f>
        <v>-4.6225816778003026E-2</v>
      </c>
      <c r="E252">
        <v>32819.545600261801</v>
      </c>
      <c r="F252">
        <v>3.2476125393858912</v>
      </c>
      <c r="G252">
        <v>1.2424221410853837</v>
      </c>
      <c r="H252">
        <v>4.0209720222777889</v>
      </c>
      <c r="I252">
        <v>103161.06979840263</v>
      </c>
      <c r="J252" s="82">
        <v>103</v>
      </c>
      <c r="K252">
        <v>78.994515314169774</v>
      </c>
      <c r="L252" t="str">
        <f t="shared" si="6"/>
        <v>OK</v>
      </c>
    </row>
    <row r="253" spans="1:12">
      <c r="A253" s="1">
        <v>49265</v>
      </c>
      <c r="B253" t="s">
        <v>11</v>
      </c>
      <c r="C253">
        <v>100</v>
      </c>
      <c r="D253">
        <f>(automotive_demand_forecasting_dataset56[[#This Row],[Units_Sold]] -$C$4) / $C$5</f>
        <v>5.3830063693864283E-2</v>
      </c>
      <c r="E253">
        <v>32973.771708326429</v>
      </c>
      <c r="F253">
        <v>3.9203100132522763</v>
      </c>
      <c r="G253">
        <v>2.2659801408930185</v>
      </c>
      <c r="H253">
        <v>6.1627599252154281</v>
      </c>
      <c r="I253">
        <v>98067.526599702207</v>
      </c>
      <c r="J253" s="82">
        <f>111.9136842</f>
        <v>111.91368420000001</v>
      </c>
      <c r="K253">
        <v>40.226992055223143</v>
      </c>
      <c r="L253" t="str">
        <f t="shared" si="6"/>
        <v>OK</v>
      </c>
    </row>
    <row r="254" spans="1:12">
      <c r="A254" s="1">
        <v>49295</v>
      </c>
      <c r="B254" t="s">
        <v>14</v>
      </c>
      <c r="C254">
        <v>100</v>
      </c>
      <c r="D254">
        <f>(automotive_demand_forecasting_dataset56[[#This Row],[Units_Sold]] -$C$4) / $C$5</f>
        <v>5.3830063693864283E-2</v>
      </c>
      <c r="E254">
        <v>34267.077793901539</v>
      </c>
      <c r="F254">
        <v>4.5778345189999996</v>
      </c>
      <c r="G254">
        <v>2.9663583744463344</v>
      </c>
      <c r="H254">
        <v>6.2507571203752015</v>
      </c>
      <c r="I254">
        <v>91680.661441052827</v>
      </c>
      <c r="J254" s="82">
        <v>85</v>
      </c>
      <c r="K254">
        <v>25.382769033721164</v>
      </c>
      <c r="L254" t="str">
        <f t="shared" si="6"/>
        <v>OK</v>
      </c>
    </row>
    <row r="255" spans="1:12">
      <c r="A255" s="1">
        <v>49325</v>
      </c>
      <c r="B255" t="s">
        <v>12</v>
      </c>
      <c r="C255">
        <v>82</v>
      </c>
      <c r="D255">
        <f>(automotive_demand_forecasting_dataset56[[#This Row],[Units_Sold]] -$C$4) / $C$5</f>
        <v>-1.7471757847997473</v>
      </c>
      <c r="E255">
        <v>33794.642948933826</v>
      </c>
      <c r="F255">
        <v>3.380533950415153</v>
      </c>
      <c r="G255">
        <v>2.6520564320000002</v>
      </c>
      <c r="H255">
        <v>4.6638738178845101</v>
      </c>
      <c r="I255">
        <v>81085.078786064376</v>
      </c>
      <c r="J255" s="82">
        <v>98</v>
      </c>
      <c r="K255">
        <v>41.439781350750238</v>
      </c>
      <c r="L255" t="str">
        <f t="shared" si="6"/>
        <v>OK</v>
      </c>
    </row>
    <row r="256" spans="1:12">
      <c r="A256" s="1">
        <v>49355</v>
      </c>
      <c r="B256" t="s">
        <v>10</v>
      </c>
      <c r="C256">
        <v>87</v>
      </c>
      <c r="D256">
        <f>(automotive_demand_forecasting_dataset56[[#This Row],[Units_Sold]] -$C$4) / $C$5</f>
        <v>-1.2468963824404107</v>
      </c>
      <c r="E256">
        <v>31405.95711984688</v>
      </c>
      <c r="F256">
        <v>3.3165877940926562</v>
      </c>
      <c r="G256">
        <v>2.4240489763574771</v>
      </c>
      <c r="H256">
        <v>6.1984318805016727</v>
      </c>
      <c r="I256">
        <v>112164.92383369937</v>
      </c>
      <c r="J256" s="82">
        <v>93</v>
      </c>
      <c r="K256">
        <v>92.97665894252205</v>
      </c>
      <c r="L256" t="str">
        <f t="shared" si="6"/>
        <v>OK</v>
      </c>
    </row>
    <row r="257" spans="1:12">
      <c r="A257" s="1">
        <v>49385</v>
      </c>
      <c r="B257" t="s">
        <v>14</v>
      </c>
      <c r="C257">
        <v>87</v>
      </c>
      <c r="D257">
        <f>(automotive_demand_forecasting_dataset56[[#This Row],[Units_Sold]] -$C$4) / $C$5</f>
        <v>-1.2468963824404107</v>
      </c>
      <c r="E257">
        <v>30521.005519759379</v>
      </c>
      <c r="F257">
        <v>3.304120925478089</v>
      </c>
      <c r="G257">
        <v>2.1801524767451559</v>
      </c>
      <c r="H257">
        <v>5.8125307160002668</v>
      </c>
      <c r="I257">
        <v>73657.361601068304</v>
      </c>
      <c r="J257" s="82">
        <v>69</v>
      </c>
      <c r="K257">
        <v>70.654293991661774</v>
      </c>
      <c r="L257" t="str">
        <f t="shared" si="6"/>
        <v>OK</v>
      </c>
    </row>
    <row r="258" spans="1:12">
      <c r="A258" s="1">
        <v>49415</v>
      </c>
      <c r="B258" t="s">
        <v>13</v>
      </c>
      <c r="C258">
        <v>90</v>
      </c>
      <c r="D258">
        <f>(automotive_demand_forecasting_dataset56[[#This Row],[Units_Sold]] -$C$4) / $C$5</f>
        <v>-0.94672874102480875</v>
      </c>
      <c r="E258">
        <v>29687.034360502388</v>
      </c>
      <c r="F258">
        <v>3.0387949077507486</v>
      </c>
      <c r="G258">
        <v>2.6517579922487404</v>
      </c>
      <c r="H258">
        <v>4.8533897725687138</v>
      </c>
      <c r="I258">
        <v>115520.5582768695</v>
      </c>
      <c r="J258" s="82">
        <v>89</v>
      </c>
      <c r="K258">
        <v>77.684372871829751</v>
      </c>
      <c r="L258" t="str">
        <f t="shared" si="6"/>
        <v>OK</v>
      </c>
    </row>
    <row r="259" spans="1:12">
      <c r="A259" s="1">
        <v>49445</v>
      </c>
      <c r="B259" t="s">
        <v>10</v>
      </c>
      <c r="C259">
        <v>115</v>
      </c>
      <c r="D259">
        <f>(automotive_demand_forecasting_dataset56[[#This Row],[Units_Sold]] -$C$4) / $C$5</f>
        <v>1.554668270771874</v>
      </c>
      <c r="E259">
        <v>26230.17705566662</v>
      </c>
      <c r="F259">
        <v>3.5380713799999999</v>
      </c>
      <c r="G259">
        <v>1.6648570983699771</v>
      </c>
      <c r="H259">
        <f t="shared" ref="H259:H260" si="7">6.97388673</f>
        <v>6.9738867300000003</v>
      </c>
      <c r="I259">
        <v>79955.6596214655</v>
      </c>
      <c r="J259" s="82">
        <v>88</v>
      </c>
      <c r="K259">
        <v>40.572188088727671</v>
      </c>
      <c r="L259" t="str">
        <f t="shared" si="6"/>
        <v>OK</v>
      </c>
    </row>
    <row r="260" spans="1:12">
      <c r="A260" s="1">
        <v>49475</v>
      </c>
      <c r="B260" t="s">
        <v>10</v>
      </c>
      <c r="C260">
        <v>105</v>
      </c>
      <c r="D260">
        <f>(automotive_demand_forecasting_dataset56[[#This Row],[Units_Sold]] -$C$4) / $C$5</f>
        <v>0.55410946605320077</v>
      </c>
      <c r="E260">
        <v>28596.624615666129</v>
      </c>
      <c r="F260">
        <v>3.3388397653943303</v>
      </c>
      <c r="G260">
        <v>4.5895387216947734</v>
      </c>
      <c r="H260">
        <f t="shared" si="7"/>
        <v>6.9738867300000003</v>
      </c>
      <c r="I260">
        <v>84951.295252939308</v>
      </c>
      <c r="J260" s="82">
        <v>90</v>
      </c>
      <c r="K260">
        <v>77.551052445985619</v>
      </c>
      <c r="L260" t="str">
        <f t="shared" si="6"/>
        <v>OK</v>
      </c>
    </row>
    <row r="261" spans="1:12">
      <c r="A261" s="1">
        <v>49505</v>
      </c>
      <c r="B261" t="s">
        <v>13</v>
      </c>
      <c r="C261">
        <v>90</v>
      </c>
      <c r="D261">
        <f>(automotive_demand_forecasting_dataset56[[#This Row],[Units_Sold]] -$C$4) / $C$5</f>
        <v>-0.94672874102480875</v>
      </c>
      <c r="E261">
        <v>21535.21592902307</v>
      </c>
      <c r="F261">
        <v>4.108579260412748</v>
      </c>
      <c r="G261">
        <v>0.89233897288194131</v>
      </c>
      <c r="H261">
        <v>5.9195800567596324</v>
      </c>
      <c r="I261">
        <v>70664.296187686457</v>
      </c>
      <c r="J261" s="82">
        <v>90</v>
      </c>
      <c r="K261">
        <v>65.454227669999995</v>
      </c>
      <c r="L261" t="str">
        <f t="shared" si="6"/>
        <v>OK</v>
      </c>
    </row>
    <row r="262" spans="1:12">
      <c r="A262" s="1">
        <v>49535</v>
      </c>
      <c r="B262" t="s">
        <v>10</v>
      </c>
      <c r="C262">
        <v>89</v>
      </c>
      <c r="D262">
        <f>(automotive_demand_forecasting_dataset56[[#This Row],[Units_Sold]] -$C$4) / $C$5</f>
        <v>-1.0467846214966761</v>
      </c>
      <c r="E262">
        <v>29508.30186602625</v>
      </c>
      <c r="F262">
        <v>4.2606580259612254</v>
      </c>
      <c r="G262">
        <v>2.6847405788957244</v>
      </c>
      <c r="H262">
        <v>3.6222366743655341</v>
      </c>
      <c r="I262">
        <v>89971.957062287271</v>
      </c>
      <c r="J262" s="82">
        <v>105</v>
      </c>
      <c r="K262">
        <v>50.025707661841103</v>
      </c>
      <c r="L262" t="str">
        <f t="shared" si="6"/>
        <v>OK</v>
      </c>
    </row>
    <row r="263" spans="1:12">
      <c r="A263" s="1">
        <v>49565</v>
      </c>
      <c r="B263" t="s">
        <v>10</v>
      </c>
      <c r="C263">
        <v>89</v>
      </c>
      <c r="D263">
        <f>(automotive_demand_forecasting_dataset56[[#This Row],[Units_Sold]] -$C$4) / $C$5</f>
        <v>-1.0467846214966761</v>
      </c>
      <c r="E263">
        <v>25057.044464245413</v>
      </c>
      <c r="F263">
        <v>3.9991554490739802</v>
      </c>
      <c r="G263">
        <v>4.5236062192296398</v>
      </c>
      <c r="H263">
        <v>5.6144130393295697</v>
      </c>
      <c r="I263">
        <v>119506.24916955958</v>
      </c>
      <c r="J263" s="82">
        <v>98</v>
      </c>
      <c r="K263">
        <v>70.1402678833865</v>
      </c>
      <c r="L263" t="str">
        <f t="shared" si="6"/>
        <v>OK</v>
      </c>
    </row>
    <row r="264" spans="1:12">
      <c r="A264" s="1">
        <v>49595</v>
      </c>
      <c r="B264" t="s">
        <v>12</v>
      </c>
      <c r="C264">
        <v>86</v>
      </c>
      <c r="D264">
        <f>(automotive_demand_forecasting_dataset56[[#This Row],[Units_Sold]] -$C$4) / $C$5</f>
        <v>-1.3469522629122781</v>
      </c>
      <c r="E264">
        <v>38106.295579999998</v>
      </c>
      <c r="F264">
        <v>3.2841898436409758</v>
      </c>
      <c r="G264">
        <v>2.5067998445599979</v>
      </c>
      <c r="H264">
        <v>5.1838621407013008</v>
      </c>
      <c r="I264">
        <v>110312.56176887912</v>
      </c>
      <c r="J264" s="82">
        <v>85</v>
      </c>
      <c r="K264">
        <v>31.687725243305618</v>
      </c>
      <c r="L264" t="str">
        <f t="shared" si="6"/>
        <v>OK</v>
      </c>
    </row>
    <row r="265" spans="1:12">
      <c r="A265" s="1">
        <v>49625</v>
      </c>
      <c r="B265" t="s">
        <v>12</v>
      </c>
      <c r="C265">
        <v>91</v>
      </c>
      <c r="D265">
        <f>(automotive_demand_forecasting_dataset56[[#This Row],[Units_Sold]] -$C$4) / $C$5</f>
        <v>-0.84667286055294144</v>
      </c>
      <c r="E265">
        <v>30899.470755767394</v>
      </c>
      <c r="F265">
        <v>3.7018650451683048</v>
      </c>
      <c r="G265">
        <v>2.3099609649985053</v>
      </c>
      <c r="H265">
        <v>6.3149713305258341</v>
      </c>
      <c r="I265">
        <v>119568.4422405607</v>
      </c>
      <c r="J265" s="82">
        <v>101</v>
      </c>
      <c r="K265">
        <v>85.84028595575478</v>
      </c>
      <c r="L265" t="str">
        <f t="shared" si="6"/>
        <v>OK</v>
      </c>
    </row>
    <row r="266" spans="1:12">
      <c r="A266" s="1">
        <v>49655</v>
      </c>
      <c r="B266" t="s">
        <v>14</v>
      </c>
      <c r="C266">
        <v>100</v>
      </c>
      <c r="D266">
        <f>(automotive_demand_forecasting_dataset56[[#This Row],[Units_Sold]] -$C$4) / $C$5</f>
        <v>5.3830063693864283E-2</v>
      </c>
      <c r="E266">
        <v>36960.011431722996</v>
      </c>
      <c r="F266">
        <v>3.4879021968045421</v>
      </c>
      <c r="G266">
        <v>2.1425545771895727</v>
      </c>
      <c r="H266">
        <v>5.1375454006121632</v>
      </c>
      <c r="I266">
        <v>110442.85091867871</v>
      </c>
      <c r="J266" s="82">
        <v>93</v>
      </c>
      <c r="K266">
        <v>38.80250390495349</v>
      </c>
      <c r="L266" t="str">
        <f t="shared" si="6"/>
        <v>OK</v>
      </c>
    </row>
    <row r="267" spans="1:12">
      <c r="A267" s="1">
        <v>49685</v>
      </c>
      <c r="B267" t="s">
        <v>14</v>
      </c>
      <c r="C267">
        <v>104</v>
      </c>
      <c r="D267">
        <f>(automotive_demand_forecasting_dataset56[[#This Row],[Units_Sold]] -$C$4) / $C$5</f>
        <v>0.45405358558133352</v>
      </c>
      <c r="E267">
        <v>34591.583030011563</v>
      </c>
      <c r="F267">
        <v>3.048149069634936</v>
      </c>
      <c r="G267">
        <v>2.3196083182375924</v>
      </c>
      <c r="H267">
        <v>5.10466265638349</v>
      </c>
      <c r="I267">
        <v>77926.60342939262</v>
      </c>
      <c r="J267" s="82">
        <v>99</v>
      </c>
      <c r="K267">
        <v>72.182489025475704</v>
      </c>
      <c r="L267" t="str">
        <f t="shared" ref="L267:L330" si="8">IF(COUNTA(A267:K267)&lt;COLUMNS(A267:K267), "Missing Data", "OK")</f>
        <v>OK</v>
      </c>
    </row>
    <row r="268" spans="1:12">
      <c r="A268" s="1">
        <v>49715</v>
      </c>
      <c r="B268" t="s">
        <v>14</v>
      </c>
      <c r="C268">
        <v>80</v>
      </c>
      <c r="D268">
        <f>(automotive_demand_forecasting_dataset56[[#This Row],[Units_Sold]] -$C$4) / $C$5</f>
        <v>-1.947287545743482</v>
      </c>
      <c r="E268">
        <v>22147.496981884113</v>
      </c>
      <c r="F268">
        <v>3.6621796408608014</v>
      </c>
      <c r="G268">
        <v>3.8728484746765304</v>
      </c>
      <c r="H268">
        <v>6.3782448451459546</v>
      </c>
      <c r="I268">
        <v>93384.215513448857</v>
      </c>
      <c r="J268" s="82">
        <v>87</v>
      </c>
      <c r="K268">
        <v>52.415771406026373</v>
      </c>
      <c r="L268" t="str">
        <f t="shared" si="8"/>
        <v>OK</v>
      </c>
    </row>
    <row r="269" spans="1:12">
      <c r="A269" s="1">
        <v>49745</v>
      </c>
      <c r="B269" t="s">
        <v>12</v>
      </c>
      <c r="C269">
        <v>110</v>
      </c>
      <c r="D269">
        <f>(automotive_demand_forecasting_dataset56[[#This Row],[Units_Sold]] -$C$4) / $C$5</f>
        <v>1.0543888684125373</v>
      </c>
      <c r="E269">
        <v>25051.859317148312</v>
      </c>
      <c r="F269">
        <v>4.5778345189999996</v>
      </c>
      <c r="G269">
        <v>0.28813808867049318</v>
      </c>
      <c r="H269">
        <v>5.9020696349009407</v>
      </c>
      <c r="I269">
        <v>84396.017417650743</v>
      </c>
      <c r="J269" s="82">
        <v>87</v>
      </c>
      <c r="K269">
        <v>67.683487638211773</v>
      </c>
      <c r="L269" t="str">
        <f t="shared" si="8"/>
        <v>OK</v>
      </c>
    </row>
    <row r="270" spans="1:12">
      <c r="A270" s="1">
        <v>49775</v>
      </c>
      <c r="B270" t="s">
        <v>14</v>
      </c>
      <c r="C270">
        <v>90</v>
      </c>
      <c r="D270">
        <f>(automotive_demand_forecasting_dataset56[[#This Row],[Units_Sold]] -$C$4) / $C$5</f>
        <v>-0.94672874102480875</v>
      </c>
      <c r="E270">
        <v>34703.855939941081</v>
      </c>
      <c r="F270">
        <v>4.0938396942307822</v>
      </c>
      <c r="G270">
        <v>4.0334337012963255</v>
      </c>
      <c r="H270">
        <v>5.8793871486193341</v>
      </c>
      <c r="I270">
        <v>126611.4980807808</v>
      </c>
      <c r="J270" s="82">
        <v>89</v>
      </c>
      <c r="K270">
        <f>80.21517797</f>
        <v>80.215177969999999</v>
      </c>
      <c r="L270" t="str">
        <f t="shared" si="8"/>
        <v>OK</v>
      </c>
    </row>
    <row r="271" spans="1:12">
      <c r="A271" s="1">
        <v>49805</v>
      </c>
      <c r="B271" t="s">
        <v>10</v>
      </c>
      <c r="C271">
        <v>96</v>
      </c>
      <c r="D271">
        <f>(automotive_demand_forecasting_dataset56[[#This Row],[Units_Sold]] -$C$4) / $C$5</f>
        <v>-0.34639345819360495</v>
      </c>
      <c r="E271">
        <v>25087.563032308452</v>
      </c>
      <c r="F271">
        <v>3.2676913513508037</v>
      </c>
      <c r="G271">
        <v>1.0760428475498549</v>
      </c>
      <c r="H271">
        <v>6.0631211077702316</v>
      </c>
      <c r="I271">
        <v>76064.227071473768</v>
      </c>
      <c r="J271" s="82">
        <v>86</v>
      </c>
      <c r="K271">
        <v>21.353023993728584</v>
      </c>
      <c r="L271" t="str">
        <f t="shared" si="8"/>
        <v>OK</v>
      </c>
    </row>
    <row r="272" spans="1:12">
      <c r="A272" s="1">
        <v>49835</v>
      </c>
      <c r="B272" t="s">
        <v>12</v>
      </c>
      <c r="C272">
        <v>103</v>
      </c>
      <c r="D272">
        <f>(automotive_demand_forecasting_dataset56[[#This Row],[Units_Sold]] -$C$4) / $C$5</f>
        <v>0.35399770510946621</v>
      </c>
      <c r="E272">
        <v>28876.834250014876</v>
      </c>
      <c r="F272">
        <v>3.6005798279364196</v>
      </c>
      <c r="G272">
        <v>2.233347670765585</v>
      </c>
      <c r="H272">
        <v>3.657313452151473</v>
      </c>
      <c r="I272">
        <v>117873.95378778221</v>
      </c>
      <c r="J272" s="82">
        <v>80</v>
      </c>
      <c r="K272">
        <v>92.765154190424099</v>
      </c>
      <c r="L272" t="str">
        <f t="shared" si="8"/>
        <v>OK</v>
      </c>
    </row>
    <row r="273" spans="1:12">
      <c r="A273" s="1">
        <v>49865</v>
      </c>
      <c r="B273" t="s">
        <v>14</v>
      </c>
      <c r="C273">
        <v>99</v>
      </c>
      <c r="D273">
        <f>(automotive_demand_forecasting_dataset56[[#This Row],[Units_Sold]] -$C$4) / $C$5</f>
        <v>-4.6225816778003026E-2</v>
      </c>
      <c r="E273">
        <v>32750.260495122759</v>
      </c>
      <c r="F273">
        <v>3.6416439357730712</v>
      </c>
      <c r="G273">
        <v>2.0707555797013382</v>
      </c>
      <c r="H273">
        <v>6.408146415984378</v>
      </c>
      <c r="I273">
        <v>117859.07740217539</v>
      </c>
      <c r="J273" s="82">
        <v>91</v>
      </c>
      <c r="K273">
        <v>41.570400701374624</v>
      </c>
      <c r="L273" t="str">
        <f t="shared" si="8"/>
        <v>OK</v>
      </c>
    </row>
    <row r="274" spans="1:12">
      <c r="A274" s="1">
        <v>49895</v>
      </c>
      <c r="B274" t="s">
        <v>10</v>
      </c>
      <c r="C274">
        <v>100</v>
      </c>
      <c r="D274">
        <f>(automotive_demand_forecasting_dataset56[[#This Row],[Units_Sold]] -$C$4) / $C$5</f>
        <v>5.3830063693864283E-2</v>
      </c>
      <c r="E274">
        <v>25158.277725681823</v>
      </c>
      <c r="F274">
        <v>3.3705475131479612</v>
      </c>
      <c r="G274">
        <v>3.0885532697707196</v>
      </c>
      <c r="H274">
        <v>6.2349625528163228</v>
      </c>
      <c r="I274">
        <v>136592.40403432175</v>
      </c>
      <c r="J274" s="82">
        <v>84</v>
      </c>
      <c r="K274">
        <v>85.574160222436731</v>
      </c>
      <c r="L274" t="str">
        <f t="shared" si="8"/>
        <v>OK</v>
      </c>
    </row>
    <row r="275" spans="1:12">
      <c r="A275" s="1">
        <v>49925</v>
      </c>
      <c r="B275" t="s">
        <v>14</v>
      </c>
      <c r="C275">
        <v>106</v>
      </c>
      <c r="D275">
        <f>(automotive_demand_forecasting_dataset56[[#This Row],[Units_Sold]] -$C$4) / $C$5</f>
        <v>0.65416534652506808</v>
      </c>
      <c r="E275">
        <v>30526.877530729798</v>
      </c>
      <c r="F275">
        <v>3.7933469007376375</v>
      </c>
      <c r="G275">
        <v>0.90187564811625243</v>
      </c>
      <c r="H275">
        <v>4.2799802457082032</v>
      </c>
      <c r="I275">
        <v>91806.268147410054</v>
      </c>
      <c r="J275" s="82">
        <v>89</v>
      </c>
      <c r="K275">
        <v>99.948024037776008</v>
      </c>
      <c r="L275" t="str">
        <f t="shared" si="8"/>
        <v>OK</v>
      </c>
    </row>
    <row r="276" spans="1:12">
      <c r="A276" s="1">
        <v>49955</v>
      </c>
      <c r="B276" t="s">
        <v>11</v>
      </c>
      <c r="C276">
        <v>100</v>
      </c>
      <c r="D276">
        <f>(automotive_demand_forecasting_dataset56[[#This Row],[Units_Sold]] -$C$4) / $C$5</f>
        <v>5.3830063693864283E-2</v>
      </c>
      <c r="E276">
        <v>38106.295579999998</v>
      </c>
      <c r="F276">
        <v>3.2625481716887377</v>
      </c>
      <c r="G276">
        <v>2.9621726660819427</v>
      </c>
      <c r="H276">
        <v>5.2071034315909586</v>
      </c>
      <c r="I276">
        <v>114246.44319160325</v>
      </c>
      <c r="J276" s="82">
        <v>113</v>
      </c>
      <c r="K276">
        <v>36.914500639912895</v>
      </c>
      <c r="L276" t="str">
        <f t="shared" si="8"/>
        <v>OK</v>
      </c>
    </row>
    <row r="277" spans="1:12">
      <c r="A277" s="1">
        <v>49985</v>
      </c>
      <c r="B277" t="s">
        <v>14</v>
      </c>
      <c r="C277">
        <v>85</v>
      </c>
      <c r="D277">
        <f>(automotive_demand_forecasting_dataset56[[#This Row],[Units_Sold]] -$C$4) / $C$5</f>
        <v>-1.4470081433841453</v>
      </c>
      <c r="E277">
        <v>26993.161780243932</v>
      </c>
      <c r="F277">
        <v>3.5380713799999999</v>
      </c>
      <c r="G277">
        <v>4.524309623286852</v>
      </c>
      <c r="H277">
        <v>5.4528312548468429</v>
      </c>
      <c r="I277">
        <v>145633.03673077686</v>
      </c>
      <c r="J277" s="82">
        <v>89</v>
      </c>
      <c r="K277">
        <v>41.213659294668446</v>
      </c>
      <c r="L277" t="str">
        <f t="shared" si="8"/>
        <v>OK</v>
      </c>
    </row>
    <row r="278" spans="1:12">
      <c r="A278" s="1">
        <v>50015</v>
      </c>
      <c r="B278" t="s">
        <v>11</v>
      </c>
      <c r="C278">
        <v>101</v>
      </c>
      <c r="D278">
        <f>(automotive_demand_forecasting_dataset56[[#This Row],[Units_Sold]] -$C$4) / $C$5</f>
        <v>0.15388594416573159</v>
      </c>
      <c r="E278">
        <v>31598.909670712685</v>
      </c>
      <c r="F278">
        <v>2.8270101598766257</v>
      </c>
      <c r="G278">
        <v>1.1368259954071895</v>
      </c>
      <c r="H278">
        <v>5.3386038587179208</v>
      </c>
      <c r="I278">
        <v>87647.166461326065</v>
      </c>
      <c r="J278" s="82">
        <v>91</v>
      </c>
      <c r="K278">
        <v>73.028783010773253</v>
      </c>
      <c r="L278" t="str">
        <f t="shared" si="8"/>
        <v>OK</v>
      </c>
    </row>
    <row r="279" spans="1:12">
      <c r="A279" s="1">
        <v>50045</v>
      </c>
      <c r="B279" t="s">
        <v>14</v>
      </c>
      <c r="C279">
        <v>93</v>
      </c>
      <c r="D279">
        <f>(automotive_demand_forecasting_dataset56[[#This Row],[Units_Sold]] -$C$4) / $C$5</f>
        <v>-0.64656109960920682</v>
      </c>
      <c r="E279">
        <v>22035.031332341656</v>
      </c>
      <c r="F279">
        <v>3.5631897897732059</v>
      </c>
      <c r="G279">
        <v>2.6897061676103955</v>
      </c>
      <c r="H279">
        <v>5.9006319598822419</v>
      </c>
      <c r="I279">
        <v>69299.195049352798</v>
      </c>
      <c r="J279" s="82">
        <v>83</v>
      </c>
      <c r="K279">
        <v>97.2358907680497</v>
      </c>
      <c r="L279" t="str">
        <f t="shared" si="8"/>
        <v>OK</v>
      </c>
    </row>
    <row r="280" spans="1:12">
      <c r="A280" s="1">
        <v>50075</v>
      </c>
      <c r="B280" t="s">
        <v>13</v>
      </c>
      <c r="C280">
        <v>91</v>
      </c>
      <c r="D280">
        <f>(automotive_demand_forecasting_dataset56[[#This Row],[Units_Sold]] -$C$4) / $C$5</f>
        <v>-0.84667286055294144</v>
      </c>
      <c r="E280">
        <v>32202.373689801996</v>
      </c>
      <c r="F280">
        <v>4.4694644995291419</v>
      </c>
      <c r="G280">
        <v>1.8380178222033909</v>
      </c>
      <c r="H280">
        <v>7.21764013819742</v>
      </c>
      <c r="I280">
        <v>62399.79932184473</v>
      </c>
      <c r="J280" s="82">
        <v>77</v>
      </c>
      <c r="K280">
        <v>93.265147855259514</v>
      </c>
      <c r="L280" t="str">
        <f t="shared" si="8"/>
        <v>OK</v>
      </c>
    </row>
    <row r="281" spans="1:12">
      <c r="A281" s="1">
        <v>50105</v>
      </c>
      <c r="B281" t="s">
        <v>14</v>
      </c>
      <c r="C281">
        <v>103</v>
      </c>
      <c r="D281">
        <f>(automotive_demand_forecasting_dataset56[[#This Row],[Units_Sold]] -$C$4) / $C$5</f>
        <v>0.35399770510946621</v>
      </c>
      <c r="E281">
        <v>29901.811005366595</v>
      </c>
      <c r="F281">
        <v>2.9998343376972127</v>
      </c>
      <c r="G281">
        <v>2.9258872061930359</v>
      </c>
      <c r="H281">
        <v>6.7981200732073948</v>
      </c>
      <c r="I281">
        <v>114254.24057722662</v>
      </c>
      <c r="J281" s="82">
        <v>95</v>
      </c>
      <c r="K281">
        <v>60.23004160524679</v>
      </c>
      <c r="L281" t="str">
        <f t="shared" si="8"/>
        <v>OK</v>
      </c>
    </row>
    <row r="282" spans="1:12">
      <c r="A282" s="1">
        <v>50135</v>
      </c>
      <c r="B282" t="s">
        <v>12</v>
      </c>
      <c r="C282">
        <v>109</v>
      </c>
      <c r="D282">
        <f>(automotive_demand_forecasting_dataset56[[#This Row],[Units_Sold]] -$C$4) / $C$5</f>
        <v>0.95433298794067001</v>
      </c>
      <c r="E282">
        <v>30949.702720000001</v>
      </c>
      <c r="F282">
        <v>3.1611275147375744</v>
      </c>
      <c r="G282">
        <v>2.519147777415752</v>
      </c>
      <c r="H282">
        <v>3.9253369678823127</v>
      </c>
      <c r="I282">
        <v>62336.995838828327</v>
      </c>
      <c r="J282" s="82">
        <v>91</v>
      </c>
      <c r="K282">
        <v>83.608822602137977</v>
      </c>
      <c r="L282" t="str">
        <f t="shared" si="8"/>
        <v>OK</v>
      </c>
    </row>
    <row r="283" spans="1:12">
      <c r="A283" s="1">
        <v>50165</v>
      </c>
      <c r="B283" t="s">
        <v>12</v>
      </c>
      <c r="C283">
        <v>83</v>
      </c>
      <c r="D283">
        <f>(automotive_demand_forecasting_dataset56[[#This Row],[Units_Sold]] -$C$4) / $C$5</f>
        <v>-1.6471199043278799</v>
      </c>
      <c r="E283">
        <v>31119.570670323308</v>
      </c>
      <c r="F283">
        <v>3.7569539248294577</v>
      </c>
      <c r="G283">
        <v>1.8585130909556904</v>
      </c>
      <c r="H283">
        <v>6.2464839883672587</v>
      </c>
      <c r="I283">
        <v>92553.618941241541</v>
      </c>
      <c r="J283" s="82">
        <v>97</v>
      </c>
      <c r="K283">
        <f>80.21517797</f>
        <v>80.215177969999999</v>
      </c>
      <c r="L283" t="str">
        <f t="shared" si="8"/>
        <v>OK</v>
      </c>
    </row>
    <row r="284" spans="1:12">
      <c r="A284" s="1">
        <v>50195</v>
      </c>
      <c r="B284" t="s">
        <v>11</v>
      </c>
      <c r="C284">
        <v>102</v>
      </c>
      <c r="D284">
        <f>(automotive_demand_forecasting_dataset56[[#This Row],[Units_Sold]] -$C$4) / $C$5</f>
        <v>0.2539418246375989</v>
      </c>
      <c r="E284">
        <v>36820.702149869219</v>
      </c>
      <c r="F284">
        <v>3.5897908909697991</v>
      </c>
      <c r="G284">
        <v>2.9878722848710741</v>
      </c>
      <c r="H284">
        <v>5.616047043</v>
      </c>
      <c r="I284">
        <v>108746.26374077922</v>
      </c>
      <c r="J284" s="82">
        <v>97</v>
      </c>
      <c r="K284">
        <v>98.195054736320984</v>
      </c>
      <c r="L284" t="str">
        <f t="shared" si="8"/>
        <v>OK</v>
      </c>
    </row>
    <row r="285" spans="1:12">
      <c r="A285" s="1">
        <v>50225</v>
      </c>
      <c r="B285" t="s">
        <v>12</v>
      </c>
      <c r="C285">
        <v>98</v>
      </c>
      <c r="D285">
        <f>(automotive_demand_forecasting_dataset56[[#This Row],[Units_Sold]] -$C$4) / $C$5</f>
        <v>-0.14628169724987033</v>
      </c>
      <c r="E285">
        <v>30626.122513239538</v>
      </c>
      <c r="F285">
        <v>3.6753150496367795</v>
      </c>
      <c r="G285">
        <v>4.3043481097867433</v>
      </c>
      <c r="H285">
        <v>5.9641702248270434</v>
      </c>
      <c r="I285">
        <v>103703.51073659828</v>
      </c>
      <c r="J285" s="82">
        <v>85</v>
      </c>
      <c r="K285">
        <v>97.148258722878921</v>
      </c>
      <c r="L285" t="str">
        <f t="shared" si="8"/>
        <v>OK</v>
      </c>
    </row>
    <row r="286" spans="1:12">
      <c r="A286" s="1">
        <v>50255</v>
      </c>
      <c r="B286" t="s">
        <v>10</v>
      </c>
      <c r="C286">
        <v>93</v>
      </c>
      <c r="D286">
        <f>(automotive_demand_forecasting_dataset56[[#This Row],[Units_Sold]] -$C$4) / $C$5</f>
        <v>-0.64656109960920682</v>
      </c>
      <c r="E286">
        <v>27852.972294373736</v>
      </c>
      <c r="F286">
        <v>3.7445935650738318</v>
      </c>
      <c r="G286">
        <v>2.3090962082727011</v>
      </c>
      <c r="H286">
        <f>6.97388673</f>
        <v>6.9738867300000003</v>
      </c>
      <c r="I286">
        <v>108508.89728368344</v>
      </c>
      <c r="J286" s="82">
        <v>77</v>
      </c>
      <c r="K286">
        <v>33.098316630333677</v>
      </c>
      <c r="L286" t="str">
        <f t="shared" si="8"/>
        <v>OK</v>
      </c>
    </row>
    <row r="287" spans="1:12">
      <c r="A287" s="1">
        <v>50285</v>
      </c>
      <c r="B287" t="s">
        <v>13</v>
      </c>
      <c r="C287">
        <v>104</v>
      </c>
      <c r="D287">
        <f>(automotive_demand_forecasting_dataset56[[#This Row],[Units_Sold]] -$C$4) / $C$5</f>
        <v>0.45405358558133352</v>
      </c>
      <c r="E287">
        <v>30611.487515161418</v>
      </c>
      <c r="F287">
        <v>3.5380713799999999</v>
      </c>
      <c r="G287">
        <v>3.2197579421481821</v>
      </c>
      <c r="H287">
        <v>7.9147245348409179</v>
      </c>
      <c r="I287">
        <f>128897.2893</f>
        <v>128897.2893</v>
      </c>
      <c r="J287" s="82">
        <v>100</v>
      </c>
      <c r="K287">
        <v>43.953849984248528</v>
      </c>
      <c r="L287" t="str">
        <f t="shared" si="8"/>
        <v>OK</v>
      </c>
    </row>
    <row r="288" spans="1:12">
      <c r="A288" s="1">
        <v>50315</v>
      </c>
      <c r="B288" t="s">
        <v>13</v>
      </c>
      <c r="C288">
        <v>96</v>
      </c>
      <c r="D288">
        <f>(automotive_demand_forecasting_dataset56[[#This Row],[Units_Sold]] -$C$4) / $C$5</f>
        <v>-0.34639345819360495</v>
      </c>
      <c r="E288">
        <v>32716.490145181939</v>
      </c>
      <c r="F288">
        <v>4.0548499209781115</v>
      </c>
      <c r="G288">
        <f>3.224108373</f>
        <v>3.224108373</v>
      </c>
      <c r="H288">
        <v>6.7284514553283774</v>
      </c>
      <c r="I288">
        <v>125577.31626626787</v>
      </c>
      <c r="J288" s="82">
        <v>87</v>
      </c>
      <c r="K288">
        <v>28.012399800541353</v>
      </c>
      <c r="L288" t="str">
        <f t="shared" si="8"/>
        <v>OK</v>
      </c>
    </row>
    <row r="289" spans="1:12">
      <c r="A289" s="1">
        <v>50345</v>
      </c>
      <c r="B289" t="s">
        <v>10</v>
      </c>
      <c r="C289">
        <v>103</v>
      </c>
      <c r="D289">
        <f>(automotive_demand_forecasting_dataset56[[#This Row],[Units_Sold]] -$C$4) / $C$5</f>
        <v>0.35399770510946621</v>
      </c>
      <c r="E289">
        <v>30244.300351628521</v>
      </c>
      <c r="F289">
        <v>3.7049093284642565</v>
      </c>
      <c r="G289">
        <v>1.5435636231819911</v>
      </c>
      <c r="H289">
        <v>5.7991703147700751</v>
      </c>
      <c r="I289">
        <v>80953.672385224054</v>
      </c>
      <c r="J289" s="82">
        <v>102</v>
      </c>
      <c r="K289">
        <v>41.737407911854376</v>
      </c>
      <c r="L289" t="str">
        <f t="shared" si="8"/>
        <v>OK</v>
      </c>
    </row>
    <row r="290" spans="1:12">
      <c r="A290" s="1">
        <v>50375</v>
      </c>
      <c r="B290" t="s">
        <v>11</v>
      </c>
      <c r="C290">
        <v>85</v>
      </c>
      <c r="D290">
        <f>(automotive_demand_forecasting_dataset56[[#This Row],[Units_Sold]] -$C$4) / $C$5</f>
        <v>-1.4470081433841453</v>
      </c>
      <c r="E290">
        <v>30202.958456019413</v>
      </c>
      <c r="F290">
        <v>3.3793711726907287</v>
      </c>
      <c r="G290">
        <v>2.9724062778803773</v>
      </c>
      <c r="H290">
        <f>6.97388673</f>
        <v>6.9738867300000003</v>
      </c>
      <c r="I290">
        <v>86460.097230829371</v>
      </c>
      <c r="J290" s="82">
        <v>102</v>
      </c>
      <c r="K290">
        <v>85.276463153216525</v>
      </c>
      <c r="L290" t="str">
        <f t="shared" si="8"/>
        <v>OK</v>
      </c>
    </row>
    <row r="291" spans="1:12">
      <c r="A291" s="1">
        <v>50405</v>
      </c>
      <c r="B291" t="s">
        <v>10</v>
      </c>
      <c r="C291">
        <v>92</v>
      </c>
      <c r="D291">
        <f>(automotive_demand_forecasting_dataset56[[#This Row],[Units_Sold]] -$C$4) / $C$5</f>
        <v>-0.74661698008107413</v>
      </c>
      <c r="E291">
        <v>26490.041560966223</v>
      </c>
      <c r="F291">
        <v>4.5778345189999996</v>
      </c>
      <c r="G291">
        <v>3.9841160285359649</v>
      </c>
      <c r="H291">
        <v>5.6738653997162691</v>
      </c>
      <c r="I291">
        <v>84546.811094583521</v>
      </c>
      <c r="J291" s="82">
        <v>98</v>
      </c>
      <c r="K291">
        <v>50.265248573220759</v>
      </c>
      <c r="L291" t="str">
        <f t="shared" si="8"/>
        <v>OK</v>
      </c>
    </row>
    <row r="292" spans="1:12">
      <c r="A292" s="1">
        <v>50435</v>
      </c>
      <c r="B292" t="s">
        <v>10</v>
      </c>
      <c r="C292">
        <v>90</v>
      </c>
      <c r="D292">
        <f>(automotive_demand_forecasting_dataset56[[#This Row],[Units_Sold]] -$C$4) / $C$5</f>
        <v>-0.94672874102480875</v>
      </c>
      <c r="E292">
        <v>26685.495412245258</v>
      </c>
      <c r="F292">
        <v>4.449940967447608</v>
      </c>
      <c r="G292">
        <v>2.8556133487856599</v>
      </c>
      <c r="H292">
        <v>5.5286836519419467</v>
      </c>
      <c r="I292">
        <v>116603.8362372522</v>
      </c>
      <c r="J292" s="82">
        <v>80</v>
      </c>
      <c r="K292">
        <v>27.07175737174067</v>
      </c>
      <c r="L292" t="str">
        <f t="shared" si="8"/>
        <v>OK</v>
      </c>
    </row>
    <row r="293" spans="1:12">
      <c r="A293" s="1">
        <v>50465</v>
      </c>
      <c r="B293" t="s">
        <v>13</v>
      </c>
      <c r="C293">
        <v>83</v>
      </c>
      <c r="D293">
        <f>(automotive_demand_forecasting_dataset56[[#This Row],[Units_Sold]] -$C$4) / $C$5</f>
        <v>-1.6471199043278799</v>
      </c>
      <c r="E293">
        <v>22986.973641001532</v>
      </c>
      <c r="F293">
        <v>3.4336831268087131</v>
      </c>
      <c r="G293">
        <v>2.1869419694768455</v>
      </c>
      <c r="H293">
        <v>5.078302917143521</v>
      </c>
      <c r="I293">
        <v>118007.97176790127</v>
      </c>
      <c r="J293" s="82">
        <v>79</v>
      </c>
      <c r="K293">
        <v>47.378041982312368</v>
      </c>
      <c r="L293" t="str">
        <f t="shared" si="8"/>
        <v>OK</v>
      </c>
    </row>
    <row r="294" spans="1:12">
      <c r="A294" s="1">
        <v>50495</v>
      </c>
      <c r="B294" t="s">
        <v>14</v>
      </c>
      <c r="C294">
        <v>86</v>
      </c>
      <c r="D294">
        <f>(automotive_demand_forecasting_dataset56[[#This Row],[Units_Sold]] -$C$4) / $C$5</f>
        <v>-1.3469522629122781</v>
      </c>
      <c r="E294">
        <v>38747.883715934695</v>
      </c>
      <c r="F294">
        <v>3.0127353476646794</v>
      </c>
      <c r="G294">
        <v>2.4992914054233539</v>
      </c>
      <c r="H294">
        <v>7.3760960305985295</v>
      </c>
      <c r="I294">
        <v>109024.50638637017</v>
      </c>
      <c r="J294" s="82">
        <v>91</v>
      </c>
      <c r="K294">
        <v>98.510666739302408</v>
      </c>
      <c r="L294" t="str">
        <f t="shared" si="8"/>
        <v>OK</v>
      </c>
    </row>
    <row r="295" spans="1:12">
      <c r="A295" s="1">
        <v>50525</v>
      </c>
      <c r="B295" t="s">
        <v>13</v>
      </c>
      <c r="C295">
        <v>110</v>
      </c>
      <c r="D295">
        <f>(automotive_demand_forecasting_dataset56[[#This Row],[Units_Sold]] -$C$4) / $C$5</f>
        <v>1.0543888684125373</v>
      </c>
      <c r="E295">
        <v>23780.683823043575</v>
      </c>
      <c r="F295">
        <v>4.0535403346434862</v>
      </c>
      <c r="G295">
        <v>1.2495922660302825</v>
      </c>
      <c r="H295">
        <v>4.5178856008695982</v>
      </c>
      <c r="I295">
        <v>123669.87333779855</v>
      </c>
      <c r="J295" s="82">
        <v>81</v>
      </c>
      <c r="K295">
        <v>70.374687620736239</v>
      </c>
      <c r="L295" t="str">
        <f t="shared" si="8"/>
        <v>OK</v>
      </c>
    </row>
    <row r="296" spans="1:12">
      <c r="A296" s="1">
        <v>50555</v>
      </c>
      <c r="B296" t="s">
        <v>13</v>
      </c>
      <c r="C296">
        <v>89</v>
      </c>
      <c r="D296">
        <f>(automotive_demand_forecasting_dataset56[[#This Row],[Units_Sold]] -$C$4) / $C$5</f>
        <v>-1.0467846214966761</v>
      </c>
      <c r="E296">
        <v>38106.295579999998</v>
      </c>
      <c r="F296">
        <v>3.4398094180232008</v>
      </c>
      <c r="G296">
        <v>3.1045153263553669</v>
      </c>
      <c r="H296">
        <v>7.3388412696137388</v>
      </c>
      <c r="I296">
        <v>76439.182652472387</v>
      </c>
      <c r="J296" s="82">
        <v>66</v>
      </c>
      <c r="K296">
        <v>53.292875712492616</v>
      </c>
      <c r="L296" t="str">
        <f t="shared" si="8"/>
        <v>OK</v>
      </c>
    </row>
    <row r="297" spans="1:12">
      <c r="A297" s="1">
        <v>50585</v>
      </c>
      <c r="B297" t="s">
        <v>12</v>
      </c>
      <c r="C297">
        <v>118</v>
      </c>
      <c r="D297">
        <f>(automotive_demand_forecasting_dataset56[[#This Row],[Units_Sold]] -$C$4) / $C$5</f>
        <v>1.8548359121874758</v>
      </c>
      <c r="E297">
        <v>30949.702720000001</v>
      </c>
      <c r="F297">
        <v>2.4136652269929817</v>
      </c>
      <c r="G297">
        <v>3.3823330623234091</v>
      </c>
      <c r="H297">
        <v>6.0998369484884458</v>
      </c>
      <c r="I297">
        <v>133344.48223102273</v>
      </c>
      <c r="J297" s="82">
        <v>92</v>
      </c>
      <c r="K297">
        <v>33.323081079781602</v>
      </c>
      <c r="L297" t="str">
        <f t="shared" si="8"/>
        <v>OK</v>
      </c>
    </row>
    <row r="298" spans="1:12">
      <c r="A298" s="1">
        <v>50615</v>
      </c>
      <c r="B298" t="s">
        <v>10</v>
      </c>
      <c r="C298">
        <v>102</v>
      </c>
      <c r="D298">
        <f>(automotive_demand_forecasting_dataset56[[#This Row],[Units_Sold]] -$C$4) / $C$5</f>
        <v>0.2539418246375989</v>
      </c>
      <c r="E298">
        <v>34474.621884722204</v>
      </c>
      <c r="F298">
        <v>3.9237108385752109</v>
      </c>
      <c r="G298">
        <v>2.0479096671669197</v>
      </c>
      <c r="H298">
        <v>3.8208325902376705</v>
      </c>
      <c r="I298">
        <v>130464.77243424517</v>
      </c>
      <c r="J298" s="82">
        <v>95</v>
      </c>
      <c r="K298">
        <v>98.894143782695579</v>
      </c>
      <c r="L298" t="str">
        <f t="shared" si="8"/>
        <v>OK</v>
      </c>
    </row>
    <row r="299" spans="1:12">
      <c r="A299" s="1">
        <v>50645</v>
      </c>
      <c r="B299" t="s">
        <v>13</v>
      </c>
      <c r="C299">
        <v>108</v>
      </c>
      <c r="D299">
        <f>(automotive_demand_forecasting_dataset56[[#This Row],[Units_Sold]] -$C$4) / $C$5</f>
        <v>0.8542771074688027</v>
      </c>
      <c r="E299">
        <v>28525.25160853986</v>
      </c>
      <c r="F299">
        <v>3.2323359070230389</v>
      </c>
      <c r="G299">
        <v>2.0299578522404986</v>
      </c>
      <c r="H299">
        <v>5.616047043</v>
      </c>
      <c r="I299">
        <v>114712.43994491494</v>
      </c>
      <c r="J299" s="82">
        <f>111.9136842</f>
        <v>111.91368420000001</v>
      </c>
      <c r="K299">
        <v>85.667920741050295</v>
      </c>
      <c r="L299" t="str">
        <f t="shared" si="8"/>
        <v>OK</v>
      </c>
    </row>
    <row r="300" spans="1:12">
      <c r="A300" s="1">
        <v>50675</v>
      </c>
      <c r="B300" t="s">
        <v>10</v>
      </c>
      <c r="C300">
        <v>95</v>
      </c>
      <c r="D300">
        <f>(automotive_demand_forecasting_dataset56[[#This Row],[Units_Sold]] -$C$4) / $C$5</f>
        <v>-0.44644933866547226</v>
      </c>
      <c r="E300">
        <v>36238.710363368671</v>
      </c>
      <c r="F300">
        <v>3.4547333588479194</v>
      </c>
      <c r="G300">
        <v>2.7658782296520483</v>
      </c>
      <c r="H300">
        <v>2.9799681908180511</v>
      </c>
      <c r="I300">
        <v>135635.97817542119</v>
      </c>
      <c r="J300" s="82">
        <v>108</v>
      </c>
      <c r="K300">
        <f>80.21517797</f>
        <v>80.215177969999999</v>
      </c>
      <c r="L300" t="str">
        <f t="shared" si="8"/>
        <v>OK</v>
      </c>
    </row>
    <row r="301" spans="1:12">
      <c r="A301" s="1">
        <v>50705</v>
      </c>
      <c r="B301" t="s">
        <v>12</v>
      </c>
      <c r="C301">
        <v>100</v>
      </c>
      <c r="D301">
        <f>(automotive_demand_forecasting_dataset56[[#This Row],[Units_Sold]] -$C$4) / $C$5</f>
        <v>5.3830063693864283E-2</v>
      </c>
      <c r="E301">
        <v>26632.546878780657</v>
      </c>
      <c r="F301">
        <v>3.6659901652845073</v>
      </c>
      <c r="G301">
        <v>2.0632802639594043</v>
      </c>
      <c r="H301">
        <v>6.2506096201972428</v>
      </c>
      <c r="I301">
        <v>66867.535846444516</v>
      </c>
      <c r="J301" s="82">
        <v>83</v>
      </c>
      <c r="K301">
        <v>25.605495657695158</v>
      </c>
      <c r="L301" t="str">
        <f t="shared" si="8"/>
        <v>OK</v>
      </c>
    </row>
    <row r="302" spans="1:12">
      <c r="A302" s="1">
        <v>50735</v>
      </c>
      <c r="B302" t="s">
        <v>10</v>
      </c>
      <c r="C302">
        <v>86</v>
      </c>
      <c r="D302">
        <f>(automotive_demand_forecasting_dataset56[[#This Row],[Units_Sold]] -$C$4) / $C$5</f>
        <v>-1.3469522629122781</v>
      </c>
      <c r="E302">
        <v>31394.970811119008</v>
      </c>
      <c r="F302">
        <v>3.5952498398895334</v>
      </c>
      <c r="G302">
        <v>2.4338673853741777</v>
      </c>
      <c r="H302">
        <v>6.5622777795867897</v>
      </c>
      <c r="I302">
        <v>89511.037274746966</v>
      </c>
      <c r="J302" s="82">
        <v>96</v>
      </c>
      <c r="K302">
        <v>24.530044590204643</v>
      </c>
      <c r="L302" t="str">
        <f t="shared" si="8"/>
        <v>OK</v>
      </c>
    </row>
    <row r="303" spans="1:12">
      <c r="A303" s="1">
        <v>50765</v>
      </c>
      <c r="B303" t="s">
        <v>13</v>
      </c>
      <c r="C303">
        <v>94</v>
      </c>
      <c r="D303">
        <f>(automotive_demand_forecasting_dataset56[[#This Row],[Units_Sold]] -$C$4) / $C$5</f>
        <v>-0.54650521913733952</v>
      </c>
      <c r="E303">
        <v>25823.264733701213</v>
      </c>
      <c r="F303">
        <v>3.8547259085695198</v>
      </c>
      <c r="G303">
        <v>2.6520564320000002</v>
      </c>
      <c r="H303">
        <v>4.7891728532175355</v>
      </c>
      <c r="I303">
        <v>85293.930786360957</v>
      </c>
      <c r="J303" s="82">
        <v>84</v>
      </c>
      <c r="K303">
        <v>29.630251960442706</v>
      </c>
      <c r="L303" t="str">
        <f t="shared" si="8"/>
        <v>OK</v>
      </c>
    </row>
    <row r="304" spans="1:12">
      <c r="A304" s="1">
        <v>50795</v>
      </c>
      <c r="B304" t="s">
        <v>10</v>
      </c>
      <c r="C304">
        <v>88</v>
      </c>
      <c r="D304">
        <f>(automotive_demand_forecasting_dataset56[[#This Row],[Units_Sold]] -$C$4) / $C$5</f>
        <v>-1.1468405019685435</v>
      </c>
      <c r="E304">
        <v>40725.745638866938</v>
      </c>
      <c r="F304">
        <v>3.2822568147150784</v>
      </c>
      <c r="G304">
        <v>2.2529742992540034</v>
      </c>
      <c r="H304">
        <v>5.6482572351466986</v>
      </c>
      <c r="I304">
        <v>114429.58647514686</v>
      </c>
      <c r="J304" s="82">
        <v>92</v>
      </c>
      <c r="K304">
        <v>66.46148668915373</v>
      </c>
      <c r="L304" t="str">
        <f t="shared" si="8"/>
        <v>OK</v>
      </c>
    </row>
    <row r="305" spans="1:12">
      <c r="A305" s="1">
        <v>50825</v>
      </c>
      <c r="B305" t="s">
        <v>12</v>
      </c>
      <c r="C305">
        <v>100</v>
      </c>
      <c r="D305">
        <f>(automotive_demand_forecasting_dataset56[[#This Row],[Units_Sold]] -$C$4) / $C$5</f>
        <v>5.3830063693864283E-2</v>
      </c>
      <c r="E305">
        <v>24062.007904852435</v>
      </c>
      <c r="F305">
        <v>3.7565528990880415</v>
      </c>
      <c r="G305">
        <v>2.6520564320000002</v>
      </c>
      <c r="H305">
        <v>7.8449889205003434</v>
      </c>
      <c r="I305">
        <v>78997.185207957082</v>
      </c>
      <c r="J305" s="82">
        <v>90</v>
      </c>
      <c r="K305">
        <v>94.301073696439389</v>
      </c>
      <c r="L305" t="str">
        <f t="shared" si="8"/>
        <v>OK</v>
      </c>
    </row>
    <row r="306" spans="1:12">
      <c r="A306" s="1">
        <v>50855</v>
      </c>
      <c r="B306" t="s">
        <v>14</v>
      </c>
      <c r="C306">
        <v>95</v>
      </c>
      <c r="D306">
        <f>(automotive_demand_forecasting_dataset56[[#This Row],[Units_Sold]] -$C$4) / $C$5</f>
        <v>-0.44644933866547226</v>
      </c>
      <c r="E306">
        <v>31549.103551135137</v>
      </c>
      <c r="F306">
        <v>3.3702266612080414</v>
      </c>
      <c r="G306">
        <v>1.8524581943648408</v>
      </c>
      <c r="H306">
        <v>4.8931039548856763</v>
      </c>
      <c r="I306">
        <v>115149.90298674972</v>
      </c>
      <c r="J306" s="82">
        <v>98</v>
      </c>
      <c r="K306">
        <v>59.739474240478756</v>
      </c>
      <c r="L306" t="str">
        <f t="shared" si="8"/>
        <v>OK</v>
      </c>
    </row>
    <row r="307" spans="1:12">
      <c r="A307" s="1">
        <v>50885</v>
      </c>
      <c r="B307" t="s">
        <v>10</v>
      </c>
      <c r="C307">
        <v>95</v>
      </c>
      <c r="D307">
        <f>(automotive_demand_forecasting_dataset56[[#This Row],[Units_Sold]] -$C$4) / $C$5</f>
        <v>-0.44644933866547226</v>
      </c>
      <c r="E307">
        <v>33168.884404660494</v>
      </c>
      <c r="F307">
        <v>3.8694052404437516</v>
      </c>
      <c r="G307">
        <v>3.2441919714999368</v>
      </c>
      <c r="H307">
        <v>4.2293108955320795</v>
      </c>
      <c r="I307">
        <v>127410.72287993427</v>
      </c>
      <c r="J307" s="82">
        <v>90</v>
      </c>
      <c r="K307">
        <v>87.435638596495778</v>
      </c>
      <c r="L307" t="str">
        <f t="shared" si="8"/>
        <v>OK</v>
      </c>
    </row>
    <row r="308" spans="1:12">
      <c r="A308" s="1">
        <v>50915</v>
      </c>
      <c r="B308" t="s">
        <v>13</v>
      </c>
      <c r="C308">
        <v>92</v>
      </c>
      <c r="D308">
        <f>(automotive_demand_forecasting_dataset56[[#This Row],[Units_Sold]] -$C$4) / $C$5</f>
        <v>-0.74661698008107413</v>
      </c>
      <c r="E308">
        <v>32068.995487257493</v>
      </c>
      <c r="F308">
        <v>3.8076837420065268</v>
      </c>
      <c r="G308">
        <v>2.3187758267818972</v>
      </c>
      <c r="H308">
        <v>7.2779960829551182</v>
      </c>
      <c r="I308">
        <v>113904.05800167998</v>
      </c>
      <c r="J308" s="82">
        <v>93</v>
      </c>
      <c r="K308">
        <v>55.670929588784624</v>
      </c>
      <c r="L308" t="str">
        <f t="shared" si="8"/>
        <v>OK</v>
      </c>
    </row>
    <row r="309" spans="1:12">
      <c r="A309" s="1">
        <v>50945</v>
      </c>
      <c r="B309" t="s">
        <v>12</v>
      </c>
      <c r="C309">
        <v>108</v>
      </c>
      <c r="D309">
        <f>(automotive_demand_forecasting_dataset56[[#This Row],[Units_Sold]] -$C$4) / $C$5</f>
        <v>0.8542771074688027</v>
      </c>
      <c r="E309">
        <v>29073.561705611457</v>
      </c>
      <c r="F309">
        <v>3.0322806489777023</v>
      </c>
      <c r="G309">
        <v>1.850626961678574</v>
      </c>
      <c r="H309">
        <v>7.855104628636953</v>
      </c>
      <c r="I309">
        <v>105675.02047323002</v>
      </c>
      <c r="J309" s="82">
        <v>90</v>
      </c>
      <c r="K309">
        <v>76.686683661426017</v>
      </c>
      <c r="L309" t="str">
        <f t="shared" si="8"/>
        <v>OK</v>
      </c>
    </row>
    <row r="310" spans="1:12">
      <c r="A310" s="1">
        <v>50975</v>
      </c>
      <c r="B310" t="s">
        <v>13</v>
      </c>
      <c r="C310">
        <v>99</v>
      </c>
      <c r="D310">
        <f>(automotive_demand_forecasting_dataset56[[#This Row],[Units_Sold]] -$C$4) / $C$5</f>
        <v>-4.6225816778003026E-2</v>
      </c>
      <c r="E310">
        <v>29350.896501332871</v>
      </c>
      <c r="F310">
        <v>4.0429910580875159</v>
      </c>
      <c r="G310">
        <f>3.224108373</f>
        <v>3.224108373</v>
      </c>
      <c r="H310">
        <v>5.5044348062174171</v>
      </c>
      <c r="I310">
        <v>80242.533181985025</v>
      </c>
      <c r="J310" s="82">
        <v>85</v>
      </c>
      <c r="K310">
        <v>78.549818982920073</v>
      </c>
      <c r="L310" t="str">
        <f t="shared" si="8"/>
        <v>OK</v>
      </c>
    </row>
    <row r="311" spans="1:12">
      <c r="A311" s="1">
        <v>51005</v>
      </c>
      <c r="B311" t="s">
        <v>13</v>
      </c>
      <c r="C311">
        <v>95</v>
      </c>
      <c r="D311">
        <f>(automotive_demand_forecasting_dataset56[[#This Row],[Units_Sold]] -$C$4) / $C$5</f>
        <v>-0.44644933866547226</v>
      </c>
      <c r="E311">
        <v>30219.057359895549</v>
      </c>
      <c r="F311">
        <v>3.2320182774429762</v>
      </c>
      <c r="G311">
        <v>3.919603004513637</v>
      </c>
      <c r="H311">
        <v>6.7137556424900273</v>
      </c>
      <c r="I311">
        <v>83062.980677492713</v>
      </c>
      <c r="J311" s="82">
        <v>81</v>
      </c>
      <c r="K311">
        <v>33.91709647226709</v>
      </c>
      <c r="L311" t="str">
        <f t="shared" si="8"/>
        <v>OK</v>
      </c>
    </row>
    <row r="312" spans="1:12">
      <c r="A312" s="1">
        <v>51035</v>
      </c>
      <c r="B312" t="s">
        <v>10</v>
      </c>
      <c r="C312">
        <v>86</v>
      </c>
      <c r="D312">
        <f>(automotive_demand_forecasting_dataset56[[#This Row],[Units_Sold]] -$C$4) / $C$5</f>
        <v>-1.3469522629122781</v>
      </c>
      <c r="E312">
        <v>29264.989991857557</v>
      </c>
      <c r="F312">
        <v>3.9040288991405725</v>
      </c>
      <c r="G312">
        <v>1.8995764342612949</v>
      </c>
      <c r="H312">
        <v>7.109771098637057</v>
      </c>
      <c r="I312">
        <v>124992.37810593334</v>
      </c>
      <c r="J312" s="82">
        <v>80</v>
      </c>
      <c r="K312">
        <v>48.897284718064938</v>
      </c>
      <c r="L312" t="str">
        <f t="shared" si="8"/>
        <v>OK</v>
      </c>
    </row>
    <row r="313" spans="1:12">
      <c r="A313" s="1">
        <v>51065</v>
      </c>
      <c r="B313" t="s">
        <v>13</v>
      </c>
      <c r="C313">
        <v>120</v>
      </c>
      <c r="D313">
        <f>(automotive_demand_forecasting_dataset56[[#This Row],[Units_Sold]] -$C$4) / $C$5</f>
        <v>2.0549476731312106</v>
      </c>
      <c r="E313">
        <v>34819.395583974547</v>
      </c>
      <c r="F313">
        <v>3.6836436567006703</v>
      </c>
      <c r="G313">
        <v>0.63346004863938377</v>
      </c>
      <c r="H313">
        <v>4.6090189209539396</v>
      </c>
      <c r="I313">
        <v>115586.98007810664</v>
      </c>
      <c r="J313" s="82">
        <v>88</v>
      </c>
      <c r="K313">
        <v>70.984172523041906</v>
      </c>
      <c r="L313" t="str">
        <f t="shared" si="8"/>
        <v>OK</v>
      </c>
    </row>
    <row r="314" spans="1:12">
      <c r="A314" s="1">
        <v>51095</v>
      </c>
      <c r="B314" t="s">
        <v>10</v>
      </c>
      <c r="C314">
        <v>81</v>
      </c>
      <c r="D314">
        <f>(automotive_demand_forecasting_dataset56[[#This Row],[Units_Sold]] -$C$4) / $C$5</f>
        <v>-1.8472316652716145</v>
      </c>
      <c r="E314">
        <v>41052.61500795676</v>
      </c>
      <c r="F314">
        <v>4.419091838397561</v>
      </c>
      <c r="G314">
        <v>3.5075136898369221</v>
      </c>
      <c r="H314">
        <v>5.616047043</v>
      </c>
      <c r="I314">
        <v>99219.609612449116</v>
      </c>
      <c r="J314" s="82">
        <v>88</v>
      </c>
      <c r="K314">
        <f>80.21517797</f>
        <v>80.215177969999999</v>
      </c>
      <c r="L314" t="str">
        <f t="shared" si="8"/>
        <v>OK</v>
      </c>
    </row>
    <row r="315" spans="1:12">
      <c r="A315" s="1">
        <v>51125</v>
      </c>
      <c r="B315" t="s">
        <v>14</v>
      </c>
      <c r="C315">
        <v>102</v>
      </c>
      <c r="D315">
        <f>(automotive_demand_forecasting_dataset56[[#This Row],[Units_Sold]] -$C$4) / $C$5</f>
        <v>0.2539418246375989</v>
      </c>
      <c r="E315">
        <v>30949.702720000001</v>
      </c>
      <c r="F315">
        <v>3.3882670088140738</v>
      </c>
      <c r="G315">
        <v>1.8153701742399959</v>
      </c>
      <c r="H315">
        <v>6.9770494157856824</v>
      </c>
      <c r="I315">
        <v>91641.809084682187</v>
      </c>
      <c r="J315" s="82">
        <v>92</v>
      </c>
      <c r="K315">
        <v>48.923215021036526</v>
      </c>
      <c r="L315" t="str">
        <f t="shared" si="8"/>
        <v>OK</v>
      </c>
    </row>
    <row r="316" spans="1:12">
      <c r="A316" s="1">
        <v>51155</v>
      </c>
      <c r="B316" t="s">
        <v>13</v>
      </c>
      <c r="C316">
        <v>87</v>
      </c>
      <c r="D316">
        <f>(automotive_demand_forecasting_dataset56[[#This Row],[Units_Sold]] -$C$4) / $C$5</f>
        <v>-1.2468963824404107</v>
      </c>
      <c r="E316">
        <v>23150.985102104612</v>
      </c>
      <c r="F316">
        <v>3.3253416019409014</v>
      </c>
      <c r="G316">
        <v>3.2906255991627686</v>
      </c>
      <c r="H316">
        <v>7.5220171344502109</v>
      </c>
      <c r="I316">
        <v>59483.842537772463</v>
      </c>
      <c r="J316" s="82">
        <v>90</v>
      </c>
      <c r="K316">
        <v>62.783957302495395</v>
      </c>
      <c r="L316" t="str">
        <f t="shared" si="8"/>
        <v>OK</v>
      </c>
    </row>
    <row r="317" spans="1:12">
      <c r="A317" s="1">
        <v>51185</v>
      </c>
      <c r="B317" t="s">
        <v>13</v>
      </c>
      <c r="C317">
        <v>90</v>
      </c>
      <c r="D317">
        <f>(automotive_demand_forecasting_dataset56[[#This Row],[Units_Sold]] -$C$4) / $C$5</f>
        <v>-0.94672874102480875</v>
      </c>
      <c r="E317">
        <v>29558.589758243725</v>
      </c>
      <c r="F317">
        <v>3.4902901970561335</v>
      </c>
      <c r="G317">
        <v>0.52989618228816449</v>
      </c>
      <c r="H317">
        <v>6.1754570322092253</v>
      </c>
      <c r="I317">
        <v>78582.951626311231</v>
      </c>
      <c r="J317" s="82">
        <v>97</v>
      </c>
      <c r="K317">
        <v>99.697959443571094</v>
      </c>
      <c r="L317" t="str">
        <f t="shared" si="8"/>
        <v>OK</v>
      </c>
    </row>
    <row r="318" spans="1:12">
      <c r="A318" s="1">
        <v>51215</v>
      </c>
      <c r="B318" t="s">
        <v>13</v>
      </c>
      <c r="C318">
        <v>89</v>
      </c>
      <c r="D318">
        <f>(automotive_demand_forecasting_dataset56[[#This Row],[Units_Sold]] -$C$4) / $C$5</f>
        <v>-1.0467846214966761</v>
      </c>
      <c r="E318">
        <v>42898.546688271592</v>
      </c>
      <c r="F318">
        <v>3.3484101085828621</v>
      </c>
      <c r="G318">
        <v>3.3925973382993093</v>
      </c>
      <c r="H318">
        <v>4.4442227757975346</v>
      </c>
      <c r="I318">
        <v>138228.38174279447</v>
      </c>
      <c r="J318" s="82">
        <v>89</v>
      </c>
      <c r="K318">
        <f>80.21517797</f>
        <v>80.215177969999999</v>
      </c>
      <c r="L318" t="str">
        <f t="shared" si="8"/>
        <v>OK</v>
      </c>
    </row>
    <row r="319" spans="1:12">
      <c r="A319" s="1">
        <v>51245</v>
      </c>
      <c r="B319" t="s">
        <v>11</v>
      </c>
      <c r="C319">
        <v>105</v>
      </c>
      <c r="D319">
        <f>(automotive_demand_forecasting_dataset56[[#This Row],[Units_Sold]] -$C$4) / $C$5</f>
        <v>0.55410946605320077</v>
      </c>
      <c r="E319">
        <v>25981.627160151347</v>
      </c>
      <c r="F319">
        <v>3.8999709509710252</v>
      </c>
      <c r="G319">
        <v>1.2888280707192188</v>
      </c>
      <c r="H319">
        <f>6.97388673</f>
        <v>6.9738867300000003</v>
      </c>
      <c r="I319">
        <v>74390.888579950668</v>
      </c>
      <c r="J319" s="82">
        <v>106</v>
      </c>
      <c r="K319">
        <v>85.284540569145889</v>
      </c>
      <c r="L319" t="str">
        <f t="shared" si="8"/>
        <v>OK</v>
      </c>
    </row>
    <row r="320" spans="1:12">
      <c r="A320" s="1">
        <v>51275</v>
      </c>
      <c r="B320" t="s">
        <v>11</v>
      </c>
      <c r="C320">
        <v>96</v>
      </c>
      <c r="D320">
        <f>(automotive_demand_forecasting_dataset56[[#This Row],[Units_Sold]] -$C$4) / $C$5</f>
        <v>-0.34639345819360495</v>
      </c>
      <c r="E320">
        <v>38195.584027220335</v>
      </c>
      <c r="F320">
        <v>2.6918446957817062</v>
      </c>
      <c r="G320">
        <v>3.2307641190665244</v>
      </c>
      <c r="H320">
        <v>4.8628349226256429</v>
      </c>
      <c r="I320">
        <v>103789.59642442162</v>
      </c>
      <c r="J320" s="82">
        <v>91</v>
      </c>
      <c r="K320">
        <v>54.565382805329421</v>
      </c>
      <c r="L320" t="str">
        <f t="shared" si="8"/>
        <v>OK</v>
      </c>
    </row>
    <row r="321" spans="1:12">
      <c r="A321" s="1">
        <v>51305</v>
      </c>
      <c r="B321" t="s">
        <v>12</v>
      </c>
      <c r="C321">
        <v>97</v>
      </c>
      <c r="D321">
        <f>(automotive_demand_forecasting_dataset56[[#This Row],[Units_Sold]] -$C$4) / $C$5</f>
        <v>-0.24633757772173764</v>
      </c>
      <c r="E321">
        <v>38388.504070382201</v>
      </c>
      <c r="F321">
        <v>2.9731587904268229</v>
      </c>
      <c r="G321">
        <v>2.514273067836434</v>
      </c>
      <c r="H321">
        <v>5.0978346625942574</v>
      </c>
      <c r="I321">
        <v>120148.87946390397</v>
      </c>
      <c r="J321" s="82">
        <f>111.9136842</f>
        <v>111.91368420000001</v>
      </c>
      <c r="K321">
        <v>83.711257809576708</v>
      </c>
      <c r="L321" t="str">
        <f t="shared" si="8"/>
        <v>OK</v>
      </c>
    </row>
    <row r="322" spans="1:12">
      <c r="A322" s="1">
        <v>51335</v>
      </c>
      <c r="B322" t="s">
        <v>11</v>
      </c>
      <c r="C322">
        <v>98</v>
      </c>
      <c r="D322">
        <f>(automotive_demand_forecasting_dataset56[[#This Row],[Units_Sold]] -$C$4) / $C$5</f>
        <v>-0.14628169724987033</v>
      </c>
      <c r="E322">
        <v>27232.058791460026</v>
      </c>
      <c r="F322">
        <v>2.9660985392104036</v>
      </c>
      <c r="G322">
        <v>1.5460605806033552</v>
      </c>
      <c r="H322">
        <v>5.9108054013875453</v>
      </c>
      <c r="I322">
        <v>74901.546639954147</v>
      </c>
      <c r="J322" s="82">
        <v>93</v>
      </c>
      <c r="K322">
        <v>67.633184129608679</v>
      </c>
      <c r="L322" t="str">
        <f t="shared" si="8"/>
        <v>OK</v>
      </c>
    </row>
    <row r="323" spans="1:12">
      <c r="A323" s="1">
        <v>51365</v>
      </c>
      <c r="B323" t="s">
        <v>12</v>
      </c>
      <c r="C323">
        <v>100</v>
      </c>
      <c r="D323">
        <f>(automotive_demand_forecasting_dataset56[[#This Row],[Units_Sold]] -$C$4) / $C$5</f>
        <v>5.3830063693864283E-2</v>
      </c>
      <c r="E323">
        <v>32844.915395926379</v>
      </c>
      <c r="F323">
        <v>3.9751537959867878</v>
      </c>
      <c r="G323">
        <v>2.0929636870732193</v>
      </c>
      <c r="H323">
        <v>7.3649925048577289</v>
      </c>
      <c r="I323">
        <v>103694.20949562166</v>
      </c>
      <c r="J323" s="82">
        <v>89</v>
      </c>
      <c r="K323">
        <v>90.927635320191868</v>
      </c>
      <c r="L323" t="str">
        <f t="shared" si="8"/>
        <v>OK</v>
      </c>
    </row>
    <row r="324" spans="1:12">
      <c r="A324" s="1">
        <v>51395</v>
      </c>
      <c r="B324" t="s">
        <v>11</v>
      </c>
      <c r="C324">
        <v>108</v>
      </c>
      <c r="D324">
        <f>(automotive_demand_forecasting_dataset56[[#This Row],[Units_Sold]] -$C$4) / $C$5</f>
        <v>0.8542771074688027</v>
      </c>
      <c r="E324">
        <v>38141.983115642688</v>
      </c>
      <c r="F324">
        <v>4.5778345189999996</v>
      </c>
      <c r="G324">
        <v>3.1863184569567009</v>
      </c>
      <c r="H324">
        <v>6.5247711718626684</v>
      </c>
      <c r="I324">
        <v>118758.3107502131</v>
      </c>
      <c r="J324" s="82">
        <v>73</v>
      </c>
      <c r="K324">
        <v>52.875404188008794</v>
      </c>
      <c r="L324" t="str">
        <f t="shared" si="8"/>
        <v>OK</v>
      </c>
    </row>
    <row r="325" spans="1:12">
      <c r="A325" s="1">
        <v>51425</v>
      </c>
      <c r="B325" t="s">
        <v>14</v>
      </c>
      <c r="C325">
        <v>92</v>
      </c>
      <c r="D325">
        <f>(automotive_demand_forecasting_dataset56[[#This Row],[Units_Sold]] -$C$4) / $C$5</f>
        <v>-0.74661698008107413</v>
      </c>
      <c r="E325">
        <v>28104.361295062565</v>
      </c>
      <c r="F325">
        <v>3.4477753907312643</v>
      </c>
      <c r="G325">
        <v>2.6058944531152344</v>
      </c>
      <c r="H325">
        <v>5.9978386004342923</v>
      </c>
      <c r="I325">
        <v>100249.986438145</v>
      </c>
      <c r="J325" s="82">
        <v>101</v>
      </c>
      <c r="K325">
        <v>68.344353585718309</v>
      </c>
      <c r="L325" t="str">
        <f t="shared" si="8"/>
        <v>OK</v>
      </c>
    </row>
    <row r="326" spans="1:12">
      <c r="A326" s="1">
        <v>51455</v>
      </c>
      <c r="B326" t="s">
        <v>12</v>
      </c>
      <c r="C326">
        <v>97</v>
      </c>
      <c r="D326">
        <f>(automotive_demand_forecasting_dataset56[[#This Row],[Units_Sold]] -$C$4) / $C$5</f>
        <v>-0.24633757772173764</v>
      </c>
      <c r="E326">
        <v>28982.098199488191</v>
      </c>
      <c r="F326">
        <v>3.4155891384049948</v>
      </c>
      <c r="G326">
        <v>3.084412980472484</v>
      </c>
      <c r="H326">
        <v>6.0559462361417271</v>
      </c>
      <c r="I326">
        <v>102916.7736</v>
      </c>
      <c r="J326" s="82">
        <v>81</v>
      </c>
      <c r="K326">
        <v>70.401494449506188</v>
      </c>
      <c r="L326" t="str">
        <f t="shared" si="8"/>
        <v>OK</v>
      </c>
    </row>
    <row r="327" spans="1:12">
      <c r="A327" s="1">
        <v>51485</v>
      </c>
      <c r="B327" t="s">
        <v>11</v>
      </c>
      <c r="C327">
        <v>116</v>
      </c>
      <c r="D327">
        <f>(automotive_demand_forecasting_dataset56[[#This Row],[Units_Sold]] -$C$4) / $C$5</f>
        <v>1.6547241512437412</v>
      </c>
      <c r="E327">
        <v>27091.595430256781</v>
      </c>
      <c r="F327">
        <v>3.5350260815565906</v>
      </c>
      <c r="G327">
        <v>4.4764405845154851</v>
      </c>
      <c r="H327">
        <v>5.552217602372159</v>
      </c>
      <c r="I327">
        <v>66628.014822436089</v>
      </c>
      <c r="J327" s="82">
        <v>98</v>
      </c>
      <c r="K327">
        <v>53.390635344037861</v>
      </c>
      <c r="L327" t="str">
        <f t="shared" si="8"/>
        <v>OK</v>
      </c>
    </row>
    <row r="328" spans="1:12">
      <c r="A328" s="1">
        <v>51515</v>
      </c>
      <c r="B328" t="s">
        <v>14</v>
      </c>
      <c r="C328">
        <v>100</v>
      </c>
      <c r="D328">
        <f>(automotive_demand_forecasting_dataset56[[#This Row],[Units_Sold]] -$C$4) / $C$5</f>
        <v>5.3830063693864283E-2</v>
      </c>
      <c r="E328">
        <v>24926.216346535664</v>
      </c>
      <c r="F328">
        <v>4.0809391513040953</v>
      </c>
      <c r="G328">
        <v>0.93575838828894864</v>
      </c>
      <c r="H328">
        <v>6.1697674174222072</v>
      </c>
      <c r="I328">
        <v>121174.57059767758</v>
      </c>
      <c r="J328" s="82">
        <v>92</v>
      </c>
      <c r="K328">
        <v>31.54496349499852</v>
      </c>
      <c r="L328" t="str">
        <f t="shared" si="8"/>
        <v>OK</v>
      </c>
    </row>
    <row r="329" spans="1:12">
      <c r="A329" s="1">
        <v>51545</v>
      </c>
      <c r="B329" t="s">
        <v>11</v>
      </c>
      <c r="C329">
        <v>87</v>
      </c>
      <c r="D329">
        <f>(automotive_demand_forecasting_dataset56[[#This Row],[Units_Sold]] -$C$4) / $C$5</f>
        <v>-1.2468963824404107</v>
      </c>
      <c r="E329">
        <v>26753.612274669966</v>
      </c>
      <c r="F329">
        <v>3.0363234329047128</v>
      </c>
      <c r="G329">
        <v>4.1172125749686241</v>
      </c>
      <c r="H329">
        <v>5.616047043</v>
      </c>
      <c r="I329">
        <v>96543.965252070717</v>
      </c>
      <c r="J329" s="82">
        <f>111.9136842</f>
        <v>111.91368420000001</v>
      </c>
      <c r="K329">
        <v>27.484752552986844</v>
      </c>
      <c r="L329" t="str">
        <f t="shared" si="8"/>
        <v>OK</v>
      </c>
    </row>
    <row r="330" spans="1:12">
      <c r="A330" s="1">
        <v>51575</v>
      </c>
      <c r="B330" t="s">
        <v>10</v>
      </c>
      <c r="C330">
        <v>103</v>
      </c>
      <c r="D330">
        <f>(automotive_demand_forecasting_dataset56[[#This Row],[Units_Sold]] -$C$4) / $C$5</f>
        <v>0.35399770510946621</v>
      </c>
      <c r="E330">
        <v>23880.298666188719</v>
      </c>
      <c r="F330">
        <v>3.6191844913673927</v>
      </c>
      <c r="G330">
        <v>2.6043559375232128</v>
      </c>
      <c r="H330">
        <v>5.144071049116242</v>
      </c>
      <c r="I330">
        <v>115438.4030967335</v>
      </c>
      <c r="J330" s="82">
        <v>101</v>
      </c>
      <c r="K330">
        <v>21.333724047970648</v>
      </c>
      <c r="L330" t="str">
        <f t="shared" si="8"/>
        <v>OK</v>
      </c>
    </row>
    <row r="331" spans="1:12">
      <c r="A331" s="1">
        <v>51605</v>
      </c>
      <c r="B331" t="s">
        <v>10</v>
      </c>
      <c r="C331">
        <v>115</v>
      </c>
      <c r="D331">
        <f>(automotive_demand_forecasting_dataset56[[#This Row],[Units_Sold]] -$C$4) / $C$5</f>
        <v>1.554668270771874</v>
      </c>
      <c r="E331">
        <v>30170.417341296132</v>
      </c>
      <c r="F331">
        <v>3.5380713799999999</v>
      </c>
      <c r="G331">
        <v>1.6012159516768718</v>
      </c>
      <c r="H331">
        <v>5.7895863219001376</v>
      </c>
      <c r="I331">
        <v>108826.14303398492</v>
      </c>
      <c r="J331" s="82">
        <v>67</v>
      </c>
      <c r="K331">
        <v>89.882741139617167</v>
      </c>
      <c r="L331" t="str">
        <f t="shared" ref="L331:L394" si="9">IF(COUNTA(A331:K331)&lt;COLUMNS(A331:K331), "Missing Data", "OK")</f>
        <v>OK</v>
      </c>
    </row>
    <row r="332" spans="1:12">
      <c r="A332" s="1">
        <v>51635</v>
      </c>
      <c r="B332" t="s">
        <v>14</v>
      </c>
      <c r="C332">
        <v>88</v>
      </c>
      <c r="D332">
        <f>(automotive_demand_forecasting_dataset56[[#This Row],[Units_Sold]] -$C$4) / $C$5</f>
        <v>-1.1468405019685435</v>
      </c>
      <c r="E332">
        <v>26150.13384470679</v>
      </c>
      <c r="F332">
        <v>3.7505470849699227</v>
      </c>
      <c r="G332">
        <v>1.1696863742610102</v>
      </c>
      <c r="H332">
        <v>4.1187830996565911</v>
      </c>
      <c r="I332">
        <v>85336.876057800066</v>
      </c>
      <c r="J332" s="82">
        <v>101</v>
      </c>
      <c r="K332">
        <f>80.21517797</f>
        <v>80.215177969999999</v>
      </c>
      <c r="L332" t="str">
        <f t="shared" si="9"/>
        <v>OK</v>
      </c>
    </row>
    <row r="333" spans="1:12">
      <c r="A333" s="1">
        <v>51665</v>
      </c>
      <c r="B333" t="s">
        <v>13</v>
      </c>
      <c r="C333">
        <v>100</v>
      </c>
      <c r="D333">
        <f>(automotive_demand_forecasting_dataset56[[#This Row],[Units_Sold]] -$C$4) / $C$5</f>
        <v>5.3830063693864283E-2</v>
      </c>
      <c r="E333">
        <v>31168.92955895374</v>
      </c>
      <c r="F333">
        <v>3.5947908082993716</v>
      </c>
      <c r="G333">
        <v>2.3108796092229666</v>
      </c>
      <c r="H333">
        <v>5.9635879813738724</v>
      </c>
      <c r="I333">
        <v>104579.9278491868</v>
      </c>
      <c r="J333" s="82">
        <v>88</v>
      </c>
      <c r="K333">
        <v>36.920539942541446</v>
      </c>
      <c r="L333" t="str">
        <f t="shared" si="9"/>
        <v>OK</v>
      </c>
    </row>
    <row r="334" spans="1:12">
      <c r="A334" s="1">
        <v>51695</v>
      </c>
      <c r="B334" t="s">
        <v>13</v>
      </c>
      <c r="C334">
        <v>108</v>
      </c>
      <c r="D334">
        <f>(automotive_demand_forecasting_dataset56[[#This Row],[Units_Sold]] -$C$4) / $C$5</f>
        <v>0.8542771074688027</v>
      </c>
      <c r="E334">
        <v>22220.521768981864</v>
      </c>
      <c r="F334">
        <v>4.0005230462835701</v>
      </c>
      <c r="G334">
        <v>3.4216501119244596</v>
      </c>
      <c r="H334">
        <v>5.2546345348166543</v>
      </c>
      <c r="I334">
        <v>62841.970972034258</v>
      </c>
      <c r="J334" s="82">
        <v>89</v>
      </c>
      <c r="K334">
        <v>78.88283203408524</v>
      </c>
      <c r="L334" t="str">
        <f t="shared" si="9"/>
        <v>OK</v>
      </c>
    </row>
    <row r="335" spans="1:12">
      <c r="A335" s="1">
        <v>51725</v>
      </c>
      <c r="B335" t="s">
        <v>10</v>
      </c>
      <c r="C335">
        <v>100</v>
      </c>
      <c r="D335">
        <f>(automotive_demand_forecasting_dataset56[[#This Row],[Units_Sold]] -$C$4) / $C$5</f>
        <v>5.3830063693864283E-2</v>
      </c>
      <c r="E335">
        <v>31654.401161072285</v>
      </c>
      <c r="F335">
        <v>2.1483838535003814</v>
      </c>
      <c r="G335">
        <v>2.3724508796224657</v>
      </c>
      <c r="H335">
        <v>7.6065708379785875</v>
      </c>
      <c r="I335">
        <v>112064.95001142788</v>
      </c>
      <c r="J335" s="82">
        <v>92</v>
      </c>
      <c r="K335">
        <v>45.60128904699134</v>
      </c>
      <c r="L335" t="str">
        <f t="shared" si="9"/>
        <v>OK</v>
      </c>
    </row>
    <row r="336" spans="1:12">
      <c r="A336" s="1">
        <v>51755</v>
      </c>
      <c r="B336" t="s">
        <v>10</v>
      </c>
      <c r="C336">
        <v>86</v>
      </c>
      <c r="D336">
        <f>(automotive_demand_forecasting_dataset56[[#This Row],[Units_Sold]] -$C$4) / $C$5</f>
        <v>-1.3469522629122781</v>
      </c>
      <c r="E336">
        <v>34167.644808044621</v>
      </c>
      <c r="F336">
        <v>3.8389376597654539</v>
      </c>
      <c r="G336">
        <v>4.011154930247347</v>
      </c>
      <c r="H336">
        <v>7.3876236702578275</v>
      </c>
      <c r="I336">
        <v>105963.16931981052</v>
      </c>
      <c r="J336" s="82">
        <v>85</v>
      </c>
      <c r="K336">
        <v>65.454227669999995</v>
      </c>
      <c r="L336" t="str">
        <f t="shared" si="9"/>
        <v>OK</v>
      </c>
    </row>
    <row r="337" spans="1:12">
      <c r="A337" s="1">
        <v>51785</v>
      </c>
      <c r="B337" t="s">
        <v>13</v>
      </c>
      <c r="C337">
        <v>87</v>
      </c>
      <c r="D337">
        <f>(automotive_demand_forecasting_dataset56[[#This Row],[Units_Sold]] -$C$4) / $C$5</f>
        <v>-1.2468963824404107</v>
      </c>
      <c r="E337">
        <v>20031.321787142722</v>
      </c>
      <c r="F337">
        <v>4.5778345189999996</v>
      </c>
      <c r="G337">
        <v>1.0488243099484411</v>
      </c>
      <c r="H337">
        <v>4.9410333170582046</v>
      </c>
      <c r="I337">
        <v>112773.20337286204</v>
      </c>
      <c r="J337" s="82">
        <v>86</v>
      </c>
      <c r="K337">
        <v>33.000885223796502</v>
      </c>
      <c r="L337" t="str">
        <f t="shared" si="9"/>
        <v>OK</v>
      </c>
    </row>
    <row r="338" spans="1:12">
      <c r="A338" s="1">
        <v>51815</v>
      </c>
      <c r="B338" t="s">
        <v>12</v>
      </c>
      <c r="C338">
        <v>109</v>
      </c>
      <c r="D338">
        <f>(automotive_demand_forecasting_dataset56[[#This Row],[Units_Sold]] -$C$4) / $C$5</f>
        <v>0.95433298794067001</v>
      </c>
      <c r="E338">
        <v>31870.282849237861</v>
      </c>
      <c r="F338">
        <v>2.5846835515717714</v>
      </c>
      <c r="G338">
        <v>2.4879110521539456</v>
      </c>
      <c r="H338">
        <v>5.3189947461199658</v>
      </c>
      <c r="I338">
        <v>121162.366501743</v>
      </c>
      <c r="J338" s="82">
        <v>93</v>
      </c>
      <c r="K338">
        <v>96.779657716957544</v>
      </c>
      <c r="L338" t="str">
        <f t="shared" si="9"/>
        <v>OK</v>
      </c>
    </row>
    <row r="339" spans="1:12">
      <c r="A339" s="1">
        <v>51845</v>
      </c>
      <c r="B339" t="s">
        <v>13</v>
      </c>
      <c r="C339">
        <v>91</v>
      </c>
      <c r="D339">
        <f>(automotive_demand_forecasting_dataset56[[#This Row],[Units_Sold]] -$C$4) / $C$5</f>
        <v>-0.84667286055294144</v>
      </c>
      <c r="E339">
        <v>36138.344962366464</v>
      </c>
      <c r="F339">
        <v>3.7556012997624904</v>
      </c>
      <c r="G339">
        <v>1.2476065555868809</v>
      </c>
      <c r="H339">
        <v>5.4112629212699286</v>
      </c>
      <c r="I339">
        <v>107352.39680419421</v>
      </c>
      <c r="J339" s="82">
        <v>84</v>
      </c>
      <c r="K339">
        <v>88.126512001378984</v>
      </c>
      <c r="L339" t="str">
        <f t="shared" si="9"/>
        <v>OK</v>
      </c>
    </row>
    <row r="340" spans="1:12">
      <c r="A340" s="1">
        <v>51875</v>
      </c>
      <c r="B340" t="s">
        <v>11</v>
      </c>
      <c r="C340">
        <v>107</v>
      </c>
      <c r="D340">
        <f>(automotive_demand_forecasting_dataset56[[#This Row],[Units_Sold]] -$C$4) / $C$5</f>
        <v>0.75422122699693539</v>
      </c>
      <c r="E340">
        <v>23951.794906543972</v>
      </c>
      <c r="F340">
        <v>4.1868292725814786</v>
      </c>
      <c r="G340">
        <v>2.863631882624968</v>
      </c>
      <c r="H340">
        <v>5.616047043</v>
      </c>
      <c r="I340">
        <v>102961.78839596553</v>
      </c>
      <c r="J340" s="82">
        <v>89</v>
      </c>
      <c r="K340">
        <v>89.103169837200255</v>
      </c>
      <c r="L340" t="str">
        <f t="shared" si="9"/>
        <v>OK</v>
      </c>
    </row>
    <row r="341" spans="1:12">
      <c r="A341" s="1">
        <v>51905</v>
      </c>
      <c r="B341" t="s">
        <v>12</v>
      </c>
      <c r="C341">
        <v>106</v>
      </c>
      <c r="D341">
        <f>(automotive_demand_forecasting_dataset56[[#This Row],[Units_Sold]] -$C$4) / $C$5</f>
        <v>0.65416534652506808</v>
      </c>
      <c r="E341">
        <v>38362.861934188521</v>
      </c>
      <c r="F341">
        <v>3.4312757426861542</v>
      </c>
      <c r="G341">
        <v>3.3868873900973004</v>
      </c>
      <c r="H341">
        <v>5.7340299808337525</v>
      </c>
      <c r="I341">
        <v>82378.633266774152</v>
      </c>
      <c r="J341" s="82">
        <v>98</v>
      </c>
      <c r="K341">
        <v>52.541899885760415</v>
      </c>
      <c r="L341" t="str">
        <f t="shared" si="9"/>
        <v>OK</v>
      </c>
    </row>
    <row r="342" spans="1:12">
      <c r="A342" s="1">
        <v>51935</v>
      </c>
      <c r="B342" t="s">
        <v>11</v>
      </c>
      <c r="C342">
        <v>92</v>
      </c>
      <c r="D342">
        <f>(automotive_demand_forecasting_dataset56[[#This Row],[Units_Sold]] -$C$4) / $C$5</f>
        <v>-0.74661698008107413</v>
      </c>
      <c r="E342">
        <v>32095.095046830225</v>
      </c>
      <c r="F342">
        <v>3.9764372736014693</v>
      </c>
      <c r="G342">
        <v>2.079238206318947</v>
      </c>
      <c r="H342">
        <v>4.5900615173348918</v>
      </c>
      <c r="I342">
        <v>85755.584727018984</v>
      </c>
      <c r="J342" s="82">
        <v>85</v>
      </c>
      <c r="K342">
        <v>65.454227669999995</v>
      </c>
      <c r="L342" t="str">
        <f t="shared" si="9"/>
        <v>OK</v>
      </c>
    </row>
    <row r="343" spans="1:12">
      <c r="A343" s="1">
        <v>51965</v>
      </c>
      <c r="B343" t="s">
        <v>10</v>
      </c>
      <c r="C343">
        <v>90</v>
      </c>
      <c r="D343">
        <f>(automotive_demand_forecasting_dataset56[[#This Row],[Units_Sold]] -$C$4) / $C$5</f>
        <v>-0.94672874102480875</v>
      </c>
      <c r="E343">
        <v>26474.940721207957</v>
      </c>
      <c r="F343">
        <v>4.3061391289943227</v>
      </c>
      <c r="G343">
        <v>2.6520564320000002</v>
      </c>
      <c r="H343">
        <v>4.1432615980749681</v>
      </c>
      <c r="I343">
        <v>102916.7736</v>
      </c>
      <c r="J343" s="82">
        <v>70</v>
      </c>
      <c r="K343">
        <v>31.510092431182414</v>
      </c>
      <c r="L343" t="str">
        <f t="shared" si="9"/>
        <v>OK</v>
      </c>
    </row>
    <row r="344" spans="1:12">
      <c r="A344" s="1">
        <v>51995</v>
      </c>
      <c r="B344" t="s">
        <v>12</v>
      </c>
      <c r="C344">
        <v>102</v>
      </c>
      <c r="D344">
        <f>(automotive_demand_forecasting_dataset56[[#This Row],[Units_Sold]] -$C$4) / $C$5</f>
        <v>0.2539418246375989</v>
      </c>
      <c r="E344">
        <v>29721.15461171147</v>
      </c>
      <c r="F344">
        <v>4.1574572267920233</v>
      </c>
      <c r="G344">
        <v>2.6989481467964946</v>
      </c>
      <c r="H344">
        <v>6.2472534686803218</v>
      </c>
      <c r="I344">
        <v>102916.7736</v>
      </c>
      <c r="J344" s="82">
        <v>106</v>
      </c>
      <c r="K344">
        <v>20.689520207342422</v>
      </c>
      <c r="L344" t="str">
        <f t="shared" si="9"/>
        <v>OK</v>
      </c>
    </row>
    <row r="345" spans="1:12">
      <c r="A345" s="1">
        <v>52025</v>
      </c>
      <c r="B345" t="s">
        <v>11</v>
      </c>
      <c r="C345">
        <v>99</v>
      </c>
      <c r="D345">
        <f>(automotive_demand_forecasting_dataset56[[#This Row],[Units_Sold]] -$C$4) / $C$5</f>
        <v>-4.6225816778003026E-2</v>
      </c>
      <c r="E345">
        <v>32791.634562608611</v>
      </c>
      <c r="F345">
        <v>4.3199822646856969</v>
      </c>
      <c r="G345">
        <v>2.9367385517335096</v>
      </c>
      <c r="H345">
        <v>6.2554355010661729</v>
      </c>
      <c r="I345">
        <v>95237.791273758921</v>
      </c>
      <c r="J345" s="82">
        <v>91</v>
      </c>
      <c r="K345">
        <v>21.597834606242252</v>
      </c>
      <c r="L345" t="str">
        <f t="shared" si="9"/>
        <v>OK</v>
      </c>
    </row>
    <row r="346" spans="1:12">
      <c r="A346" s="1">
        <v>52055</v>
      </c>
      <c r="B346" t="s">
        <v>11</v>
      </c>
      <c r="C346">
        <v>88</v>
      </c>
      <c r="D346">
        <f>(automotive_demand_forecasting_dataset56[[#This Row],[Units_Sold]] -$C$4) / $C$5</f>
        <v>-1.1468405019685435</v>
      </c>
      <c r="E346">
        <v>38106.295579999998</v>
      </c>
      <c r="F346">
        <v>3.8710637455359462</v>
      </c>
      <c r="G346">
        <v>2.9042947549616978</v>
      </c>
      <c r="H346">
        <v>4.5348210884080089</v>
      </c>
      <c r="I346">
        <v>100920.05494506548</v>
      </c>
      <c r="J346" s="82">
        <v>86</v>
      </c>
      <c r="K346">
        <v>66.928138992364836</v>
      </c>
      <c r="L346" t="str">
        <f t="shared" si="9"/>
        <v>OK</v>
      </c>
    </row>
    <row r="347" spans="1:12">
      <c r="A347" s="1">
        <v>52085</v>
      </c>
      <c r="B347" t="s">
        <v>12</v>
      </c>
      <c r="C347">
        <v>100</v>
      </c>
      <c r="D347">
        <f>(automotive_demand_forecasting_dataset56[[#This Row],[Units_Sold]] -$C$4) / $C$5</f>
        <v>5.3830063693864283E-2</v>
      </c>
      <c r="E347">
        <v>32693.779962231845</v>
      </c>
      <c r="F347">
        <v>3.5377168194507962</v>
      </c>
      <c r="G347">
        <v>3.7357821918221541</v>
      </c>
      <c r="H347">
        <v>6.5744265169151195</v>
      </c>
      <c r="I347">
        <v>81907.712500124675</v>
      </c>
      <c r="J347" s="82">
        <v>92</v>
      </c>
      <c r="K347">
        <v>56.431592419835262</v>
      </c>
      <c r="L347" t="str">
        <f t="shared" si="9"/>
        <v>OK</v>
      </c>
    </row>
    <row r="348" spans="1:12">
      <c r="A348" s="1">
        <v>52115</v>
      </c>
      <c r="B348" t="s">
        <v>14</v>
      </c>
      <c r="C348">
        <v>100</v>
      </c>
      <c r="D348">
        <f>(automotive_demand_forecasting_dataset56[[#This Row],[Units_Sold]] -$C$4) / $C$5</f>
        <v>5.3830063693864283E-2</v>
      </c>
      <c r="E348">
        <v>25396.632034603168</v>
      </c>
      <c r="F348">
        <v>2.699017094051416</v>
      </c>
      <c r="G348">
        <v>1.4289463203509511</v>
      </c>
      <c r="H348">
        <v>4.7421067250016025</v>
      </c>
      <c r="I348">
        <v>123455.13690534889</v>
      </c>
      <c r="J348" s="82">
        <v>75</v>
      </c>
      <c r="K348">
        <v>61.441227912681583</v>
      </c>
      <c r="L348" t="str">
        <f t="shared" si="9"/>
        <v>OK</v>
      </c>
    </row>
    <row r="349" spans="1:12">
      <c r="A349" s="1">
        <v>52145</v>
      </c>
      <c r="B349" t="s">
        <v>13</v>
      </c>
      <c r="C349">
        <v>106</v>
      </c>
      <c r="D349">
        <f>(automotive_demand_forecasting_dataset56[[#This Row],[Units_Sold]] -$C$4) / $C$5</f>
        <v>0.65416534652506808</v>
      </c>
      <c r="E349">
        <v>30846.80412018039</v>
      </c>
      <c r="F349">
        <v>3.3769687559350259</v>
      </c>
      <c r="G349">
        <v>3.1802161054504494</v>
      </c>
      <c r="H349">
        <v>5.803798285645577</v>
      </c>
      <c r="I349">
        <v>113308.33647383557</v>
      </c>
      <c r="J349" s="82">
        <v>90</v>
      </c>
      <c r="K349">
        <f>80.21517797</f>
        <v>80.215177969999999</v>
      </c>
      <c r="L349" t="str">
        <f t="shared" si="9"/>
        <v>OK</v>
      </c>
    </row>
    <row r="350" spans="1:12">
      <c r="A350" s="1">
        <v>52175</v>
      </c>
      <c r="B350" t="s">
        <v>11</v>
      </c>
      <c r="C350">
        <v>100</v>
      </c>
      <c r="D350">
        <f>(automotive_demand_forecasting_dataset56[[#This Row],[Units_Sold]] -$C$4) / $C$5</f>
        <v>5.3830063693864283E-2</v>
      </c>
      <c r="E350">
        <v>22931.427515475101</v>
      </c>
      <c r="F350">
        <v>3.0783767023419042</v>
      </c>
      <c r="G350">
        <v>3.6925075124779747</v>
      </c>
      <c r="H350">
        <v>5.616047043</v>
      </c>
      <c r="I350">
        <v>138824.34872927499</v>
      </c>
      <c r="J350" s="82">
        <v>93</v>
      </c>
      <c r="K350">
        <v>53.814929572594053</v>
      </c>
      <c r="L350" t="str">
        <f t="shared" si="9"/>
        <v>OK</v>
      </c>
    </row>
    <row r="351" spans="1:12">
      <c r="A351" s="1">
        <v>52205</v>
      </c>
      <c r="B351" t="s">
        <v>13</v>
      </c>
      <c r="C351">
        <v>98</v>
      </c>
      <c r="D351">
        <f>(automotive_demand_forecasting_dataset56[[#This Row],[Units_Sold]] -$C$4) / $C$5</f>
        <v>-0.14628169724987033</v>
      </c>
      <c r="E351">
        <v>29443.8696932565</v>
      </c>
      <c r="F351">
        <v>4.5854713587489071</v>
      </c>
      <c r="G351">
        <v>0.72141241599348316</v>
      </c>
      <c r="H351">
        <v>5.459664922355544</v>
      </c>
      <c r="I351">
        <v>82433.538456405222</v>
      </c>
      <c r="J351" s="82">
        <v>92</v>
      </c>
      <c r="K351">
        <v>77.445452896068872</v>
      </c>
      <c r="L351" t="str">
        <f t="shared" si="9"/>
        <v>OK</v>
      </c>
    </row>
    <row r="352" spans="1:12">
      <c r="A352" s="1">
        <v>52235</v>
      </c>
      <c r="B352" t="s">
        <v>13</v>
      </c>
      <c r="C352">
        <v>119</v>
      </c>
      <c r="D352">
        <f>(automotive_demand_forecasting_dataset56[[#This Row],[Units_Sold]] -$C$4) / $C$5</f>
        <v>1.9548917926593432</v>
      </c>
      <c r="E352">
        <v>30949.702720000001</v>
      </c>
      <c r="F352">
        <v>3.4120570937838317</v>
      </c>
      <c r="G352">
        <v>2.8196518259189771</v>
      </c>
      <c r="H352">
        <v>6.0456890945693615</v>
      </c>
      <c r="I352">
        <v>92439.84201963566</v>
      </c>
      <c r="J352" s="82">
        <v>92</v>
      </c>
      <c r="K352">
        <v>55.41549615739487</v>
      </c>
      <c r="L352" t="str">
        <f t="shared" si="9"/>
        <v>OK</v>
      </c>
    </row>
    <row r="353" spans="1:12">
      <c r="A353" s="1">
        <v>52265</v>
      </c>
      <c r="B353" t="s">
        <v>10</v>
      </c>
      <c r="C353">
        <v>99</v>
      </c>
      <c r="D353">
        <f>(automotive_demand_forecasting_dataset56[[#This Row],[Units_Sold]] -$C$4) / $C$5</f>
        <v>-4.6225816778003026E-2</v>
      </c>
      <c r="E353">
        <v>26322.350287051166</v>
      </c>
      <c r="F353">
        <v>3.5616024033922429</v>
      </c>
      <c r="G353">
        <v>1.9958201689923285</v>
      </c>
      <c r="H353">
        <f>6.97388673</f>
        <v>6.9738867300000003</v>
      </c>
      <c r="I353">
        <v>104628.91845051144</v>
      </c>
      <c r="J353" s="82">
        <f>111.9136842</f>
        <v>111.91368420000001</v>
      </c>
      <c r="K353">
        <v>78.577536504977786</v>
      </c>
      <c r="L353" t="str">
        <f t="shared" si="9"/>
        <v>OK</v>
      </c>
    </row>
    <row r="354" spans="1:12">
      <c r="A354" s="1">
        <v>52295</v>
      </c>
      <c r="B354" t="s">
        <v>13</v>
      </c>
      <c r="C354">
        <v>87</v>
      </c>
      <c r="D354">
        <f>(automotive_demand_forecasting_dataset56[[#This Row],[Units_Sold]] -$C$4) / $C$5</f>
        <v>-1.2468963824404107</v>
      </c>
      <c r="E354">
        <v>36180.465876052185</v>
      </c>
      <c r="F354">
        <v>3.7757426880202338</v>
      </c>
      <c r="G354">
        <v>2.4184773268983539</v>
      </c>
      <c r="H354">
        <v>5.2642400998862833</v>
      </c>
      <c r="I354">
        <v>112929.79075451542</v>
      </c>
      <c r="J354" s="82">
        <v>94</v>
      </c>
      <c r="K354">
        <v>38.641517151746783</v>
      </c>
      <c r="L354" t="str">
        <f t="shared" si="9"/>
        <v>OK</v>
      </c>
    </row>
    <row r="355" spans="1:12">
      <c r="A355" s="1">
        <v>52325</v>
      </c>
      <c r="B355" t="s">
        <v>11</v>
      </c>
      <c r="C355">
        <v>100</v>
      </c>
      <c r="D355">
        <f>(automotive_demand_forecasting_dataset56[[#This Row],[Units_Sold]] -$C$4) / $C$5</f>
        <v>5.3830063693864283E-2</v>
      </c>
      <c r="E355">
        <v>35456.550602971343</v>
      </c>
      <c r="F355">
        <v>3.5218012231862268</v>
      </c>
      <c r="G355">
        <v>2.8476764835383364</v>
      </c>
      <c r="H355">
        <v>5.2529686829435915</v>
      </c>
      <c r="I355">
        <v>95686.647249047353</v>
      </c>
      <c r="J355" s="82">
        <v>93</v>
      </c>
      <c r="K355">
        <v>85.051360358538034</v>
      </c>
      <c r="L355" t="str">
        <f t="shared" si="9"/>
        <v>OK</v>
      </c>
    </row>
    <row r="356" spans="1:12">
      <c r="A356" s="1">
        <v>52355</v>
      </c>
      <c r="B356" t="s">
        <v>10</v>
      </c>
      <c r="C356">
        <v>103</v>
      </c>
      <c r="D356">
        <f>(automotive_demand_forecasting_dataset56[[#This Row],[Units_Sold]] -$C$4) / $C$5</f>
        <v>0.35399770510946621</v>
      </c>
      <c r="E356">
        <v>33045.690604535885</v>
      </c>
      <c r="F356">
        <v>4.3475255202153766</v>
      </c>
      <c r="G356">
        <v>2.0127714358864477</v>
      </c>
      <c r="H356">
        <v>4.6041059841517136</v>
      </c>
      <c r="I356">
        <v>82540.778190925994</v>
      </c>
      <c r="J356" s="82">
        <v>84</v>
      </c>
      <c r="K356">
        <v>67.074499236276182</v>
      </c>
      <c r="L356" t="str">
        <f t="shared" si="9"/>
        <v>OK</v>
      </c>
    </row>
    <row r="357" spans="1:12">
      <c r="A357" s="1">
        <v>52385</v>
      </c>
      <c r="B357" t="s">
        <v>12</v>
      </c>
      <c r="C357">
        <v>79</v>
      </c>
      <c r="D357">
        <f>(automotive_demand_forecasting_dataset56[[#This Row],[Units_Sold]] -$C$4) / $C$5</f>
        <v>-2.0473434262153494</v>
      </c>
      <c r="E357">
        <v>24538.436176637104</v>
      </c>
      <c r="F357">
        <v>3.1886753191327739</v>
      </c>
      <c r="G357">
        <v>1.8242919208383883</v>
      </c>
      <c r="H357">
        <v>5.2878710042610617</v>
      </c>
      <c r="I357">
        <v>117628.15057847142</v>
      </c>
      <c r="J357" s="82">
        <v>90</v>
      </c>
      <c r="K357">
        <v>36.861047954392497</v>
      </c>
      <c r="L357" t="str">
        <f t="shared" si="9"/>
        <v>OK</v>
      </c>
    </row>
    <row r="358" spans="1:12">
      <c r="A358" s="1">
        <v>52415</v>
      </c>
      <c r="B358" t="s">
        <v>11</v>
      </c>
      <c r="C358">
        <v>110</v>
      </c>
      <c r="D358">
        <f>(automotive_demand_forecasting_dataset56[[#This Row],[Units_Sold]] -$C$4) / $C$5</f>
        <v>1.0543888684125373</v>
      </c>
      <c r="E358">
        <v>28417.957751525992</v>
      </c>
      <c r="F358">
        <v>3.5973037276186215</v>
      </c>
      <c r="G358">
        <v>2.5341524174880248</v>
      </c>
      <c r="H358">
        <f>6.97388673</f>
        <v>6.9738867300000003</v>
      </c>
      <c r="I358">
        <v>114422.70725091163</v>
      </c>
      <c r="J358" s="82">
        <v>95</v>
      </c>
      <c r="K358">
        <v>38.937638068306633</v>
      </c>
      <c r="L358" t="str">
        <f t="shared" si="9"/>
        <v>OK</v>
      </c>
    </row>
    <row r="359" spans="1:12">
      <c r="A359" s="1">
        <v>52445</v>
      </c>
      <c r="B359" t="s">
        <v>10</v>
      </c>
      <c r="C359">
        <v>95</v>
      </c>
      <c r="D359">
        <f>(automotive_demand_forecasting_dataset56[[#This Row],[Units_Sold]] -$C$4) / $C$5</f>
        <v>-0.44644933866547226</v>
      </c>
      <c r="E359">
        <v>36065.488499895917</v>
      </c>
      <c r="F359">
        <v>3.1287647071509759</v>
      </c>
      <c r="G359">
        <v>1.4127540611371974</v>
      </c>
      <c r="H359">
        <v>4.9106155034294741</v>
      </c>
      <c r="I359">
        <v>81674.517988725507</v>
      </c>
      <c r="J359" s="82">
        <v>80</v>
      </c>
      <c r="K359">
        <v>70.242437165562961</v>
      </c>
      <c r="L359" t="str">
        <f t="shared" si="9"/>
        <v>OK</v>
      </c>
    </row>
    <row r="360" spans="1:12">
      <c r="A360" s="1">
        <v>52475</v>
      </c>
      <c r="B360" t="s">
        <v>10</v>
      </c>
      <c r="C360">
        <v>101</v>
      </c>
      <c r="D360">
        <f>(automotive_demand_forecasting_dataset56[[#This Row],[Units_Sold]] -$C$4) / $C$5</f>
        <v>0.15388594416573159</v>
      </c>
      <c r="E360">
        <v>30708.584568199523</v>
      </c>
      <c r="F360">
        <v>2.8399887443896472</v>
      </c>
      <c r="G360">
        <v>1.4141748711148145</v>
      </c>
      <c r="H360">
        <v>5.1581494079563948</v>
      </c>
      <c r="I360">
        <v>127108.85602210992</v>
      </c>
      <c r="J360" s="82">
        <v>89</v>
      </c>
      <c r="K360">
        <v>86.395167456995466</v>
      </c>
      <c r="L360" t="str">
        <f t="shared" si="9"/>
        <v>OK</v>
      </c>
    </row>
    <row r="361" spans="1:12">
      <c r="A361" s="1">
        <v>52505</v>
      </c>
      <c r="B361" t="s">
        <v>13</v>
      </c>
      <c r="C361">
        <v>95</v>
      </c>
      <c r="D361">
        <f>(automotive_demand_forecasting_dataset56[[#This Row],[Units_Sold]] -$C$4) / $C$5</f>
        <v>-0.44644933866547226</v>
      </c>
      <c r="E361">
        <v>41596.64769990847</v>
      </c>
      <c r="F361">
        <v>3.1941154545473571</v>
      </c>
      <c r="G361">
        <v>3.1793732829565036</v>
      </c>
      <c r="H361">
        <v>5.1925842970055438</v>
      </c>
      <c r="I361">
        <v>123403.97418393208</v>
      </c>
      <c r="J361" s="82">
        <v>93</v>
      </c>
      <c r="K361">
        <f>80.21517797</f>
        <v>80.215177969999999</v>
      </c>
      <c r="L361" t="str">
        <f t="shared" si="9"/>
        <v>OK</v>
      </c>
    </row>
    <row r="362" spans="1:12">
      <c r="A362" s="1">
        <v>52535</v>
      </c>
      <c r="B362" t="s">
        <v>12</v>
      </c>
      <c r="C362">
        <v>107</v>
      </c>
      <c r="D362">
        <f>(automotive_demand_forecasting_dataset56[[#This Row],[Units_Sold]] -$C$4) / $C$5</f>
        <v>0.75422122699693539</v>
      </c>
      <c r="E362">
        <v>31966.589196971858</v>
      </c>
      <c r="F362">
        <v>3.4814816014757941</v>
      </c>
      <c r="G362">
        <v>1.3512059648413439</v>
      </c>
      <c r="H362">
        <v>5.2102030649550652</v>
      </c>
      <c r="I362">
        <v>102685.92994495586</v>
      </c>
      <c r="J362" s="82">
        <v>85</v>
      </c>
      <c r="K362">
        <v>40.664034330207379</v>
      </c>
      <c r="L362" t="str">
        <f t="shared" si="9"/>
        <v>OK</v>
      </c>
    </row>
    <row r="363" spans="1:12">
      <c r="A363" s="1">
        <v>52565</v>
      </c>
      <c r="B363" t="s">
        <v>11</v>
      </c>
      <c r="C363">
        <v>91</v>
      </c>
      <c r="D363">
        <f>(automotive_demand_forecasting_dataset56[[#This Row],[Units_Sold]] -$C$4) / $C$5</f>
        <v>-0.84667286055294144</v>
      </c>
      <c r="E363">
        <v>38106.295579999998</v>
      </c>
      <c r="F363">
        <v>3.2853488877413701</v>
      </c>
      <c r="G363">
        <v>3.1663125009092119</v>
      </c>
      <c r="H363">
        <v>5.4258829601678453</v>
      </c>
      <c r="I363">
        <v>101591.95724752072</v>
      </c>
      <c r="J363" s="82">
        <v>81</v>
      </c>
      <c r="K363">
        <v>89.360928552848037</v>
      </c>
      <c r="L363" t="str">
        <f t="shared" si="9"/>
        <v>OK</v>
      </c>
    </row>
    <row r="364" spans="1:12">
      <c r="A364" s="1">
        <v>52595</v>
      </c>
      <c r="B364" t="s">
        <v>11</v>
      </c>
      <c r="C364">
        <v>87</v>
      </c>
      <c r="D364">
        <f>(automotive_demand_forecasting_dataset56[[#This Row],[Units_Sold]] -$C$4) / $C$5</f>
        <v>-1.2468963824404107</v>
      </c>
      <c r="E364">
        <v>28454.417678987495</v>
      </c>
      <c r="F364">
        <v>3.153789510063072</v>
      </c>
      <c r="G364">
        <v>2.9625912928539511</v>
      </c>
      <c r="H364">
        <v>6.075329821703277</v>
      </c>
      <c r="I364">
        <v>111081.15542231814</v>
      </c>
      <c r="J364" s="82">
        <v>81</v>
      </c>
      <c r="K364">
        <f>80.21517797</f>
        <v>80.215177969999999</v>
      </c>
      <c r="L364" t="str">
        <f t="shared" si="9"/>
        <v>OK</v>
      </c>
    </row>
    <row r="365" spans="1:12">
      <c r="A365" s="1">
        <v>52625</v>
      </c>
      <c r="B365" t="s">
        <v>13</v>
      </c>
      <c r="C365">
        <v>100</v>
      </c>
      <c r="D365">
        <f>(automotive_demand_forecasting_dataset56[[#This Row],[Units_Sold]] -$C$4) / $C$5</f>
        <v>5.3830063693864283E-2</v>
      </c>
      <c r="E365">
        <v>30667.704523911412</v>
      </c>
      <c r="F365">
        <v>2.7968412681640831</v>
      </c>
      <c r="G365">
        <v>0.77419327120940329</v>
      </c>
      <c r="H365">
        <v>6.5494204889590275</v>
      </c>
      <c r="I365">
        <v>82765.938594874839</v>
      </c>
      <c r="J365" s="82">
        <v>88</v>
      </c>
      <c r="K365">
        <v>55.846838982646119</v>
      </c>
      <c r="L365" t="str">
        <f t="shared" si="9"/>
        <v>OK</v>
      </c>
    </row>
    <row r="366" spans="1:12">
      <c r="A366" s="1">
        <v>52655</v>
      </c>
      <c r="B366" t="s">
        <v>12</v>
      </c>
      <c r="C366">
        <v>117</v>
      </c>
      <c r="D366">
        <f>(automotive_demand_forecasting_dataset56[[#This Row],[Units_Sold]] -$C$4) / $C$5</f>
        <v>1.7547800317156086</v>
      </c>
      <c r="E366">
        <v>29237.650818097281</v>
      </c>
      <c r="F366">
        <v>3.4584472136856528</v>
      </c>
      <c r="G366">
        <f t="shared" ref="G366:G367" si="10">3.224108373</f>
        <v>3.224108373</v>
      </c>
      <c r="H366">
        <v>4.7202817277820799</v>
      </c>
      <c r="I366">
        <v>100600.62958328164</v>
      </c>
      <c r="J366" s="82">
        <v>88</v>
      </c>
      <c r="K366">
        <v>59.032015622344147</v>
      </c>
      <c r="L366" t="str">
        <f t="shared" si="9"/>
        <v>OK</v>
      </c>
    </row>
    <row r="367" spans="1:12">
      <c r="A367" s="1">
        <v>52685</v>
      </c>
      <c r="B367" t="s">
        <v>11</v>
      </c>
      <c r="C367">
        <v>102</v>
      </c>
      <c r="D367">
        <f>(automotive_demand_forecasting_dataset56[[#This Row],[Units_Sold]] -$C$4) / $C$5</f>
        <v>0.2539418246375989</v>
      </c>
      <c r="E367">
        <v>38106.295579999998</v>
      </c>
      <c r="F367">
        <v>2.7476398129844988</v>
      </c>
      <c r="G367">
        <f t="shared" si="10"/>
        <v>3.224108373</v>
      </c>
      <c r="H367">
        <v>4.0561589735330266</v>
      </c>
      <c r="I367">
        <v>56952.329107816389</v>
      </c>
      <c r="J367" s="82">
        <v>103</v>
      </c>
      <c r="K367">
        <f>80.21517797</f>
        <v>80.215177969999999</v>
      </c>
      <c r="L367" t="str">
        <f t="shared" si="9"/>
        <v>OK</v>
      </c>
    </row>
    <row r="368" spans="1:12">
      <c r="A368" s="1">
        <v>52715</v>
      </c>
      <c r="B368" t="s">
        <v>12</v>
      </c>
      <c r="C368">
        <v>88</v>
      </c>
      <c r="D368">
        <f>(automotive_demand_forecasting_dataset56[[#This Row],[Units_Sold]] -$C$4) / $C$5</f>
        <v>-1.1468405019685435</v>
      </c>
      <c r="E368">
        <v>34783.511583972919</v>
      </c>
      <c r="F368">
        <v>3.8800279818448011</v>
      </c>
      <c r="G368">
        <v>1.5188344688603184</v>
      </c>
      <c r="H368">
        <v>4.2495467053082763</v>
      </c>
      <c r="I368">
        <v>117529.11291005871</v>
      </c>
      <c r="J368" s="82">
        <v>91</v>
      </c>
      <c r="K368">
        <v>70.144210405187522</v>
      </c>
      <c r="L368" t="str">
        <f t="shared" si="9"/>
        <v>OK</v>
      </c>
    </row>
    <row r="369" spans="1:12">
      <c r="A369" s="1">
        <v>52745</v>
      </c>
      <c r="B369" t="s">
        <v>11</v>
      </c>
      <c r="C369">
        <v>100</v>
      </c>
      <c r="D369">
        <f>(automotive_demand_forecasting_dataset56[[#This Row],[Units_Sold]] -$C$4) / $C$5</f>
        <v>5.3830063693864283E-2</v>
      </c>
      <c r="E369">
        <v>26070.052697460254</v>
      </c>
      <c r="F369">
        <v>3.5412198764672516</v>
      </c>
      <c r="G369">
        <v>2.0355957376906124</v>
      </c>
      <c r="H369">
        <v>4.9153564945660877</v>
      </c>
      <c r="I369">
        <v>68770.135551162821</v>
      </c>
      <c r="J369" s="82">
        <f>111.9136842</f>
        <v>111.91368420000001</v>
      </c>
      <c r="K369">
        <v>48.699400843431093</v>
      </c>
      <c r="L369" t="str">
        <f t="shared" si="9"/>
        <v>OK</v>
      </c>
    </row>
    <row r="370" spans="1:12">
      <c r="A370" s="1">
        <v>52775</v>
      </c>
      <c r="B370" t="s">
        <v>13</v>
      </c>
      <c r="C370">
        <v>81</v>
      </c>
      <c r="D370">
        <f>(automotive_demand_forecasting_dataset56[[#This Row],[Units_Sold]] -$C$4) / $C$5</f>
        <v>-1.8472316652716145</v>
      </c>
      <c r="E370">
        <v>23343.83523221111</v>
      </c>
      <c r="F370">
        <v>2.7712242502675348</v>
      </c>
      <c r="G370">
        <v>2.9620608932518966</v>
      </c>
      <c r="H370">
        <v>5.0776944186201893</v>
      </c>
      <c r="I370">
        <v>130068.39656857998</v>
      </c>
      <c r="J370" s="82">
        <v>95</v>
      </c>
      <c r="K370">
        <v>99.651614133947945</v>
      </c>
      <c r="L370" t="str">
        <f t="shared" si="9"/>
        <v>OK</v>
      </c>
    </row>
    <row r="371" spans="1:12">
      <c r="A371" s="1">
        <v>52805</v>
      </c>
      <c r="B371" t="s">
        <v>14</v>
      </c>
      <c r="C371">
        <v>91</v>
      </c>
      <c r="D371">
        <f>(automotive_demand_forecasting_dataset56[[#This Row],[Units_Sold]] -$C$4) / $C$5</f>
        <v>-0.84667286055294144</v>
      </c>
      <c r="E371">
        <v>20818.973134483516</v>
      </c>
      <c r="F371">
        <v>3.3453954614750683</v>
      </c>
      <c r="G371">
        <v>3.2833905092825955</v>
      </c>
      <c r="H371">
        <v>4.5760047205630512</v>
      </c>
      <c r="I371">
        <v>93397.598120670998</v>
      </c>
      <c r="J371" s="82">
        <v>109</v>
      </c>
      <c r="K371">
        <v>58.414681220951024</v>
      </c>
      <c r="L371" t="str">
        <f t="shared" si="9"/>
        <v>OK</v>
      </c>
    </row>
    <row r="372" spans="1:12">
      <c r="A372" s="1">
        <v>52835</v>
      </c>
      <c r="B372" t="s">
        <v>11</v>
      </c>
      <c r="C372">
        <v>90</v>
      </c>
      <c r="D372">
        <f>(automotive_demand_forecasting_dataset56[[#This Row],[Units_Sold]] -$C$4) / $C$5</f>
        <v>-0.94672874102480875</v>
      </c>
      <c r="E372">
        <v>32539.956634562717</v>
      </c>
      <c r="F372">
        <v>3.1239217972047086</v>
      </c>
      <c r="G372">
        <f>3.224108373</f>
        <v>3.224108373</v>
      </c>
      <c r="H372">
        <v>3.9446600029001266</v>
      </c>
      <c r="I372">
        <v>95766.66036137646</v>
      </c>
      <c r="J372" s="82">
        <v>85</v>
      </c>
      <c r="K372">
        <v>58.870848495169056</v>
      </c>
      <c r="L372" t="str">
        <f t="shared" si="9"/>
        <v>OK</v>
      </c>
    </row>
    <row r="373" spans="1:12">
      <c r="A373" s="1">
        <v>52865</v>
      </c>
      <c r="B373" t="s">
        <v>10</v>
      </c>
      <c r="C373">
        <v>102</v>
      </c>
      <c r="D373">
        <f>(automotive_demand_forecasting_dataset56[[#This Row],[Units_Sold]] -$C$4) / $C$5</f>
        <v>0.2539418246375989</v>
      </c>
      <c r="E373">
        <v>24483.166969130631</v>
      </c>
      <c r="F373">
        <v>3.6595872552095901</v>
      </c>
      <c r="G373">
        <v>1.9024898053083583</v>
      </c>
      <c r="H373">
        <v>4.9526550070309741</v>
      </c>
      <c r="I373">
        <v>87445.321878309886</v>
      </c>
      <c r="J373" s="82">
        <v>81</v>
      </c>
      <c r="K373">
        <v>65.268142992853754</v>
      </c>
      <c r="L373" t="str">
        <f t="shared" si="9"/>
        <v>OK</v>
      </c>
    </row>
    <row r="374" spans="1:12">
      <c r="A374" s="1">
        <v>52895</v>
      </c>
      <c r="B374" t="s">
        <v>10</v>
      </c>
      <c r="C374">
        <v>109</v>
      </c>
      <c r="D374">
        <f>(automotive_demand_forecasting_dataset56[[#This Row],[Units_Sold]] -$C$4) / $C$5</f>
        <v>0.95433298794067001</v>
      </c>
      <c r="E374">
        <v>19235.547035237585</v>
      </c>
      <c r="F374">
        <v>4.1702252230115722</v>
      </c>
      <c r="G374">
        <v>3.9223698616985079</v>
      </c>
      <c r="H374">
        <v>5.7177119441367656</v>
      </c>
      <c r="I374">
        <v>94239.222521558477</v>
      </c>
      <c r="J374" s="82">
        <v>97</v>
      </c>
      <c r="K374">
        <v>93.340480249499734</v>
      </c>
      <c r="L374" t="str">
        <f t="shared" si="9"/>
        <v>OK</v>
      </c>
    </row>
    <row r="375" spans="1:12">
      <c r="A375" s="1">
        <v>52925</v>
      </c>
      <c r="B375" t="s">
        <v>14</v>
      </c>
      <c r="C375">
        <v>101</v>
      </c>
      <c r="D375">
        <f>(automotive_demand_forecasting_dataset56[[#This Row],[Units_Sold]] -$C$4) / $C$5</f>
        <v>0.15388594416573159</v>
      </c>
      <c r="E375">
        <v>31942.893022654822</v>
      </c>
      <c r="F375">
        <v>2.5624137651771277</v>
      </c>
      <c r="G375">
        <v>4.2388996637975787</v>
      </c>
      <c r="H375">
        <v>6.2140353590026773</v>
      </c>
      <c r="I375">
        <v>128370.62690296074</v>
      </c>
      <c r="J375" s="82">
        <v>87</v>
      </c>
      <c r="K375">
        <v>84.065447988780022</v>
      </c>
      <c r="L375" t="str">
        <f t="shared" si="9"/>
        <v>OK</v>
      </c>
    </row>
    <row r="376" spans="1:12">
      <c r="A376" s="1">
        <v>52955</v>
      </c>
      <c r="B376" t="s">
        <v>11</v>
      </c>
      <c r="C376">
        <v>97</v>
      </c>
      <c r="D376">
        <f>(automotive_demand_forecasting_dataset56[[#This Row],[Units_Sold]] -$C$4) / $C$5</f>
        <v>-0.24633757772173764</v>
      </c>
      <c r="E376">
        <v>42464.997587163954</v>
      </c>
      <c r="F376">
        <v>3.5380713799999999</v>
      </c>
      <c r="G376">
        <v>3.4788580507817954</v>
      </c>
      <c r="H376">
        <v>4.8310923362700144</v>
      </c>
      <c r="I376">
        <v>50243.826869298413</v>
      </c>
      <c r="J376" s="82">
        <v>94</v>
      </c>
      <c r="K376">
        <v>56.090405583827312</v>
      </c>
      <c r="L376" t="str">
        <f t="shared" si="9"/>
        <v>OK</v>
      </c>
    </row>
    <row r="377" spans="1:12">
      <c r="A377" s="1">
        <v>52985</v>
      </c>
      <c r="B377" t="s">
        <v>10</v>
      </c>
      <c r="C377">
        <v>88</v>
      </c>
      <c r="D377">
        <f>(automotive_demand_forecasting_dataset56[[#This Row],[Units_Sold]] -$C$4) / $C$5</f>
        <v>-1.1468405019685435</v>
      </c>
      <c r="E377">
        <v>29969.645442300534</v>
      </c>
      <c r="F377">
        <v>3.41993360221668</v>
      </c>
      <c r="G377">
        <v>2.5853181425650242</v>
      </c>
      <c r="H377">
        <v>5.004402613427879</v>
      </c>
      <c r="I377">
        <v>125539.30772176376</v>
      </c>
      <c r="J377" s="82">
        <v>90</v>
      </c>
      <c r="K377">
        <v>77.495941277823675</v>
      </c>
      <c r="L377" t="str">
        <f t="shared" si="9"/>
        <v>OK</v>
      </c>
    </row>
    <row r="378" spans="1:12">
      <c r="A378" s="1">
        <v>53015</v>
      </c>
      <c r="B378" t="s">
        <v>10</v>
      </c>
      <c r="C378">
        <v>100</v>
      </c>
      <c r="D378">
        <f>(automotive_demand_forecasting_dataset56[[#This Row],[Units_Sold]] -$C$4) / $C$5</f>
        <v>5.3830063693864283E-2</v>
      </c>
      <c r="E378">
        <v>34192.453872258207</v>
      </c>
      <c r="F378">
        <v>3.8356700382252327</v>
      </c>
      <c r="G378">
        <v>1.6917342783590736</v>
      </c>
      <c r="H378">
        <v>4.3879620293832273</v>
      </c>
      <c r="I378">
        <v>106760.46962203416</v>
      </c>
      <c r="J378" s="82">
        <f>111.9136842</f>
        <v>111.91368420000001</v>
      </c>
      <c r="K378">
        <v>66.898839902460935</v>
      </c>
      <c r="L378" t="str">
        <f t="shared" si="9"/>
        <v>OK</v>
      </c>
    </row>
    <row r="379" spans="1:12">
      <c r="A379" s="1">
        <v>53045</v>
      </c>
      <c r="B379" t="s">
        <v>11</v>
      </c>
      <c r="C379">
        <v>104</v>
      </c>
      <c r="D379">
        <f>(automotive_demand_forecasting_dataset56[[#This Row],[Units_Sold]] -$C$4) / $C$5</f>
        <v>0.45405358558133352</v>
      </c>
      <c r="E379">
        <v>30409.146792737825</v>
      </c>
      <c r="F379">
        <v>4.5778345189999996</v>
      </c>
      <c r="G379">
        <v>1.6695555934434347</v>
      </c>
      <c r="H379">
        <v>5.4622729955502685</v>
      </c>
      <c r="I379">
        <v>75859.567042855691</v>
      </c>
      <c r="J379" s="82">
        <v>111</v>
      </c>
      <c r="K379">
        <v>59.389363896099916</v>
      </c>
      <c r="L379" t="str">
        <f t="shared" si="9"/>
        <v>OK</v>
      </c>
    </row>
    <row r="380" spans="1:12">
      <c r="A380" s="1">
        <v>53075</v>
      </c>
      <c r="B380" t="s">
        <v>12</v>
      </c>
      <c r="C380">
        <v>106</v>
      </c>
      <c r="D380">
        <f>(automotive_demand_forecasting_dataset56[[#This Row],[Units_Sold]] -$C$4) / $C$5</f>
        <v>0.65416534652506808</v>
      </c>
      <c r="E380">
        <v>29505.551734044286</v>
      </c>
      <c r="F380">
        <v>3.1240153341305903</v>
      </c>
      <c r="G380">
        <v>3.0225141052657576</v>
      </c>
      <c r="H380">
        <v>4.481885638971022</v>
      </c>
      <c r="I380">
        <v>78493.75213901524</v>
      </c>
      <c r="J380" s="82">
        <v>85</v>
      </c>
      <c r="K380">
        <v>35.385261822748042</v>
      </c>
      <c r="L380" t="str">
        <f t="shared" si="9"/>
        <v>OK</v>
      </c>
    </row>
    <row r="381" spans="1:12">
      <c r="A381" s="1">
        <v>53105</v>
      </c>
      <c r="B381" t="s">
        <v>11</v>
      </c>
      <c r="C381">
        <v>91</v>
      </c>
      <c r="D381">
        <f>(automotive_demand_forecasting_dataset56[[#This Row],[Units_Sold]] -$C$4) / $C$5</f>
        <v>-0.84667286055294144</v>
      </c>
      <c r="E381">
        <v>34595.382414938846</v>
      </c>
      <c r="F381">
        <v>3.3404730321666909</v>
      </c>
      <c r="G381">
        <v>2.9183982208886836</v>
      </c>
      <c r="H381">
        <f>6.97388673</f>
        <v>6.9738867300000003</v>
      </c>
      <c r="I381">
        <v>133527.86054416405</v>
      </c>
      <c r="J381" s="82">
        <v>87</v>
      </c>
      <c r="K381">
        <v>57.114901076391277</v>
      </c>
      <c r="L381" t="str">
        <f t="shared" si="9"/>
        <v>OK</v>
      </c>
    </row>
    <row r="382" spans="1:12">
      <c r="A382" s="1">
        <v>53135</v>
      </c>
      <c r="B382" t="s">
        <v>12</v>
      </c>
      <c r="C382">
        <v>110</v>
      </c>
      <c r="D382">
        <f>(automotive_demand_forecasting_dataset56[[#This Row],[Units_Sold]] -$C$4) / $C$5</f>
        <v>1.0543888684125373</v>
      </c>
      <c r="E382">
        <v>28548.627279056742</v>
      </c>
      <c r="F382">
        <v>3.1019870715982556</v>
      </c>
      <c r="G382">
        <v>3.9015985929464296</v>
      </c>
      <c r="H382">
        <v>3.3569602096790665</v>
      </c>
      <c r="I382">
        <v>81089.862401145379</v>
      </c>
      <c r="J382" s="82">
        <v>88</v>
      </c>
      <c r="K382">
        <v>39.665486961805968</v>
      </c>
      <c r="L382" t="str">
        <f t="shared" si="9"/>
        <v>OK</v>
      </c>
    </row>
    <row r="383" spans="1:12">
      <c r="A383" s="1">
        <v>53165</v>
      </c>
      <c r="B383" t="s">
        <v>14</v>
      </c>
      <c r="C383">
        <v>104</v>
      </c>
      <c r="D383">
        <f>(automotive_demand_forecasting_dataset56[[#This Row],[Units_Sold]] -$C$4) / $C$5</f>
        <v>0.45405358558133352</v>
      </c>
      <c r="E383">
        <v>31336.961570359515</v>
      </c>
      <c r="F383">
        <v>4.038003569299299</v>
      </c>
      <c r="G383">
        <v>3.1504500925361389</v>
      </c>
      <c r="H383">
        <v>5.0684443930570451</v>
      </c>
      <c r="I383">
        <v>76932.989788080813</v>
      </c>
      <c r="J383" s="82">
        <v>82</v>
      </c>
      <c r="K383">
        <v>93.187371988132369</v>
      </c>
      <c r="L383" t="str">
        <f t="shared" si="9"/>
        <v>OK</v>
      </c>
    </row>
    <row r="384" spans="1:12">
      <c r="A384" s="1">
        <v>53195</v>
      </c>
      <c r="B384" t="s">
        <v>13</v>
      </c>
      <c r="C384">
        <v>85</v>
      </c>
      <c r="D384">
        <f>(automotive_demand_forecasting_dataset56[[#This Row],[Units_Sold]] -$C$4) / $C$5</f>
        <v>-1.4470081433841453</v>
      </c>
      <c r="E384">
        <v>31608.489030980068</v>
      </c>
      <c r="F384">
        <v>3.5106558243359709</v>
      </c>
      <c r="G384">
        <v>0.99691969824018201</v>
      </c>
      <c r="H384">
        <v>5.8613288070300902</v>
      </c>
      <c r="I384">
        <v>122746.29084729459</v>
      </c>
      <c r="J384" s="82">
        <v>84</v>
      </c>
      <c r="K384">
        <v>46.832545079707756</v>
      </c>
      <c r="L384" t="str">
        <f t="shared" si="9"/>
        <v>OK</v>
      </c>
    </row>
    <row r="385" spans="1:12">
      <c r="A385" s="1">
        <v>53225</v>
      </c>
      <c r="B385" t="s">
        <v>14</v>
      </c>
      <c r="C385">
        <v>107</v>
      </c>
      <c r="D385">
        <f>(automotive_demand_forecasting_dataset56[[#This Row],[Units_Sold]] -$C$4) / $C$5</f>
        <v>0.75422122699693539</v>
      </c>
      <c r="E385">
        <v>26659.547731784754</v>
      </c>
      <c r="F385">
        <v>4.4505953428765039</v>
      </c>
      <c r="G385">
        <v>3.5519476177229183</v>
      </c>
      <c r="H385">
        <v>5.7206014195870054</v>
      </c>
      <c r="I385">
        <v>106771.05752571828</v>
      </c>
      <c r="J385" s="82">
        <v>79</v>
      </c>
      <c r="K385">
        <v>96.181121162669783</v>
      </c>
      <c r="L385" t="str">
        <f t="shared" si="9"/>
        <v>OK</v>
      </c>
    </row>
    <row r="386" spans="1:12">
      <c r="A386" s="1">
        <v>53255</v>
      </c>
      <c r="B386" t="s">
        <v>13</v>
      </c>
      <c r="C386">
        <v>111</v>
      </c>
      <c r="D386">
        <f>(automotive_demand_forecasting_dataset56[[#This Row],[Units_Sold]] -$C$4) / $C$5</f>
        <v>1.1544447488844047</v>
      </c>
      <c r="E386">
        <v>34960.211747682617</v>
      </c>
      <c r="F386">
        <v>3.4696695930926897</v>
      </c>
      <c r="G386">
        <v>1.501939372685587</v>
      </c>
      <c r="H386">
        <v>5.616047043</v>
      </c>
      <c r="I386">
        <v>81241.488469272022</v>
      </c>
      <c r="J386" s="82">
        <v>87</v>
      </c>
      <c r="K386">
        <v>62.644423207576892</v>
      </c>
      <c r="L386" t="str">
        <f t="shared" si="9"/>
        <v>OK</v>
      </c>
    </row>
    <row r="387" spans="1:12">
      <c r="A387" s="1">
        <v>53285</v>
      </c>
      <c r="B387" t="s">
        <v>10</v>
      </c>
      <c r="C387">
        <v>100</v>
      </c>
      <c r="D387">
        <f>(automotive_demand_forecasting_dataset56[[#This Row],[Units_Sold]] -$C$4) / $C$5</f>
        <v>5.3830063693864283E-2</v>
      </c>
      <c r="E387">
        <v>29125.201216522957</v>
      </c>
      <c r="F387">
        <v>3.1457966165447688</v>
      </c>
      <c r="G387">
        <v>2.1160287280476484</v>
      </c>
      <c r="H387">
        <f>6.97388673</f>
        <v>6.9738867300000003</v>
      </c>
      <c r="I387">
        <v>104332.49950809238</v>
      </c>
      <c r="J387" s="82">
        <v>92</v>
      </c>
      <c r="K387">
        <v>70.523550294092828</v>
      </c>
      <c r="L387" t="str">
        <f t="shared" si="9"/>
        <v>OK</v>
      </c>
    </row>
    <row r="388" spans="1:12">
      <c r="A388" s="1">
        <v>53315</v>
      </c>
      <c r="B388" t="s">
        <v>10</v>
      </c>
      <c r="C388">
        <v>94</v>
      </c>
      <c r="D388">
        <f>(automotive_demand_forecasting_dataset56[[#This Row],[Units_Sold]] -$C$4) / $C$5</f>
        <v>-0.54650521913733952</v>
      </c>
      <c r="E388">
        <v>26221.274202535777</v>
      </c>
      <c r="F388">
        <v>2.7431428036935865</v>
      </c>
      <c r="G388">
        <v>2.7502002062516944</v>
      </c>
      <c r="H388">
        <v>4.295134483789588</v>
      </c>
      <c r="I388">
        <v>79484.946327194455</v>
      </c>
      <c r="J388" s="82">
        <v>79</v>
      </c>
      <c r="K388">
        <v>63.435235559146221</v>
      </c>
      <c r="L388" t="str">
        <f t="shared" si="9"/>
        <v>OK</v>
      </c>
    </row>
    <row r="389" spans="1:12">
      <c r="A389" s="1">
        <v>53345</v>
      </c>
      <c r="B389" t="s">
        <v>10</v>
      </c>
      <c r="C389">
        <v>91</v>
      </c>
      <c r="D389">
        <f>(automotive_demand_forecasting_dataset56[[#This Row],[Units_Sold]] -$C$4) / $C$5</f>
        <v>-0.84667286055294144</v>
      </c>
      <c r="E389">
        <v>32682.549217852018</v>
      </c>
      <c r="F389">
        <v>2.5984301618720274</v>
      </c>
      <c r="G389">
        <v>4.4956674897839646</v>
      </c>
      <c r="H389">
        <v>5.3854429034931126</v>
      </c>
      <c r="I389">
        <v>122016.4279684521</v>
      </c>
      <c r="J389" s="82">
        <v>95</v>
      </c>
      <c r="K389">
        <v>30.350449357336071</v>
      </c>
      <c r="L389" t="str">
        <f t="shared" si="9"/>
        <v>OK</v>
      </c>
    </row>
    <row r="390" spans="1:12">
      <c r="A390" s="1">
        <v>53375</v>
      </c>
      <c r="B390" t="s">
        <v>12</v>
      </c>
      <c r="C390">
        <v>89</v>
      </c>
      <c r="D390">
        <f>(automotive_demand_forecasting_dataset56[[#This Row],[Units_Sold]] -$C$4) / $C$5</f>
        <v>-1.0467846214966761</v>
      </c>
      <c r="E390">
        <v>25507.660091044814</v>
      </c>
      <c r="F390">
        <v>2.7079320284972552</v>
      </c>
      <c r="G390">
        <v>2.6520564320000002</v>
      </c>
      <c r="H390">
        <v>3.368504399840258</v>
      </c>
      <c r="I390">
        <v>121227.41929746268</v>
      </c>
      <c r="J390" s="82">
        <v>96</v>
      </c>
      <c r="K390">
        <v>50.065697520635275</v>
      </c>
      <c r="L390" t="str">
        <f t="shared" si="9"/>
        <v>OK</v>
      </c>
    </row>
    <row r="391" spans="1:12">
      <c r="A391" s="1">
        <v>53405</v>
      </c>
      <c r="B391" t="s">
        <v>13</v>
      </c>
      <c r="C391">
        <v>98</v>
      </c>
      <c r="D391">
        <f>(automotive_demand_forecasting_dataset56[[#This Row],[Units_Sold]] -$C$4) / $C$5</f>
        <v>-0.14628169724987033</v>
      </c>
      <c r="E391">
        <v>30140.90578684564</v>
      </c>
      <c r="F391">
        <v>4.5778345189999996</v>
      </c>
      <c r="G391">
        <v>3.1067230591361827</v>
      </c>
      <c r="H391">
        <v>5.4032803008438872</v>
      </c>
      <c r="I391">
        <v>110640.12397643886</v>
      </c>
      <c r="J391" s="82">
        <v>90</v>
      </c>
      <c r="K391">
        <v>27.931688982209913</v>
      </c>
      <c r="L391" t="str">
        <f t="shared" si="9"/>
        <v>OK</v>
      </c>
    </row>
    <row r="392" spans="1:12">
      <c r="A392" s="1">
        <v>53435</v>
      </c>
      <c r="B392" t="s">
        <v>10</v>
      </c>
      <c r="C392">
        <v>110</v>
      </c>
      <c r="D392">
        <f>(automotive_demand_forecasting_dataset56[[#This Row],[Units_Sold]] -$C$4) / $C$5</f>
        <v>1.0543888684125373</v>
      </c>
      <c r="E392">
        <v>29954.405016778983</v>
      </c>
      <c r="F392">
        <v>3.7543625116149668</v>
      </c>
      <c r="G392">
        <v>2.3168033812796121</v>
      </c>
      <c r="H392">
        <v>4.50033273159909</v>
      </c>
      <c r="I392">
        <v>107233.22122494034</v>
      </c>
      <c r="J392" s="82">
        <v>95</v>
      </c>
      <c r="K392">
        <v>69.836323534670541</v>
      </c>
      <c r="L392" t="str">
        <f t="shared" si="9"/>
        <v>OK</v>
      </c>
    </row>
    <row r="393" spans="1:12">
      <c r="A393" s="1">
        <v>53465</v>
      </c>
      <c r="B393" t="s">
        <v>11</v>
      </c>
      <c r="C393">
        <v>93</v>
      </c>
      <c r="D393">
        <f>(automotive_demand_forecasting_dataset56[[#This Row],[Units_Sold]] -$C$4) / $C$5</f>
        <v>-0.64656109960920682</v>
      </c>
      <c r="E393">
        <v>35429.477829157891</v>
      </c>
      <c r="F393">
        <v>2.7094046489839334</v>
      </c>
      <c r="G393">
        <v>3.0345056484805504</v>
      </c>
      <c r="H393">
        <f>6.97388673</f>
        <v>6.9738867300000003</v>
      </c>
      <c r="I393">
        <v>135223.76249734749</v>
      </c>
      <c r="J393" s="82">
        <f>111.9136842</f>
        <v>111.91368420000001</v>
      </c>
      <c r="K393">
        <v>55.749935616035117</v>
      </c>
      <c r="L393" t="str">
        <f t="shared" si="9"/>
        <v>OK</v>
      </c>
    </row>
    <row r="394" spans="1:12">
      <c r="A394" s="1">
        <v>53495</v>
      </c>
      <c r="B394" t="s">
        <v>13</v>
      </c>
      <c r="C394">
        <v>103</v>
      </c>
      <c r="D394">
        <f>(automotive_demand_forecasting_dataset56[[#This Row],[Units_Sold]] -$C$4) / $C$5</f>
        <v>0.35399770510946621</v>
      </c>
      <c r="E394">
        <v>32373.491164399762</v>
      </c>
      <c r="F394">
        <v>3.9475191570380579</v>
      </c>
      <c r="G394">
        <v>3.3876554258738363</v>
      </c>
      <c r="H394">
        <v>4.8405516704853584</v>
      </c>
      <c r="I394">
        <f>128897.2893</f>
        <v>128897.2893</v>
      </c>
      <c r="J394" s="82">
        <v>96</v>
      </c>
      <c r="K394">
        <v>82.238797725674942</v>
      </c>
      <c r="L394" t="str">
        <f t="shared" si="9"/>
        <v>OK</v>
      </c>
    </row>
    <row r="395" spans="1:12">
      <c r="A395" s="1">
        <v>53525</v>
      </c>
      <c r="B395" t="s">
        <v>13</v>
      </c>
      <c r="C395">
        <v>100</v>
      </c>
      <c r="D395">
        <f>(automotive_demand_forecasting_dataset56[[#This Row],[Units_Sold]] -$C$4) / $C$5</f>
        <v>5.3830063693864283E-2</v>
      </c>
      <c r="E395">
        <v>38106.295579999998</v>
      </c>
      <c r="F395">
        <v>4.5778345189999996</v>
      </c>
      <c r="G395">
        <v>2.1793323744428084</v>
      </c>
      <c r="H395">
        <v>5.3598809010457042</v>
      </c>
      <c r="I395">
        <v>76362.517491583974</v>
      </c>
      <c r="J395" s="82">
        <v>89</v>
      </c>
      <c r="K395">
        <v>37.637638479949587</v>
      </c>
      <c r="L395" t="str">
        <f t="shared" ref="L395:L458" si="11">IF(COUNTA(A395:K395)&lt;COLUMNS(A395:K395), "Missing Data", "OK")</f>
        <v>OK</v>
      </c>
    </row>
    <row r="396" spans="1:12">
      <c r="A396" s="1">
        <v>53555</v>
      </c>
      <c r="B396" t="s">
        <v>12</v>
      </c>
      <c r="C396">
        <v>101</v>
      </c>
      <c r="D396">
        <f>(automotive_demand_forecasting_dataset56[[#This Row],[Units_Sold]] -$C$4) / $C$5</f>
        <v>0.15388594416573159</v>
      </c>
      <c r="E396">
        <v>34088.831496001432</v>
      </c>
      <c r="F396">
        <v>3.5733965059927746</v>
      </c>
      <c r="G396">
        <v>2.6520564320000002</v>
      </c>
      <c r="H396">
        <v>4.7373305903147163</v>
      </c>
      <c r="I396">
        <f>128897.2893</f>
        <v>128897.2893</v>
      </c>
      <c r="J396" s="82">
        <v>87</v>
      </c>
      <c r="K396">
        <v>33.165284674346793</v>
      </c>
      <c r="L396" t="str">
        <f t="shared" si="11"/>
        <v>OK</v>
      </c>
    </row>
    <row r="397" spans="1:12">
      <c r="A397" s="1">
        <v>53585</v>
      </c>
      <c r="B397" t="s">
        <v>14</v>
      </c>
      <c r="C397">
        <v>94</v>
      </c>
      <c r="D397">
        <f>(automotive_demand_forecasting_dataset56[[#This Row],[Units_Sold]] -$C$4) / $C$5</f>
        <v>-0.54650521913733952</v>
      </c>
      <c r="E397">
        <v>30949.702720000001</v>
      </c>
      <c r="F397">
        <v>4.3061103141277126</v>
      </c>
      <c r="G397">
        <v>2.7300707591914022</v>
      </c>
      <c r="H397">
        <v>7.5866216222239977</v>
      </c>
      <c r="I397">
        <v>102916.7736</v>
      </c>
      <c r="J397" s="82">
        <v>96</v>
      </c>
      <c r="K397">
        <v>52.506578477101428</v>
      </c>
      <c r="L397" t="str">
        <f t="shared" si="11"/>
        <v>OK</v>
      </c>
    </row>
    <row r="398" spans="1:12">
      <c r="A398" s="1">
        <v>53615</v>
      </c>
      <c r="B398" t="s">
        <v>12</v>
      </c>
      <c r="C398">
        <v>108</v>
      </c>
      <c r="D398">
        <f>(automotive_demand_forecasting_dataset56[[#This Row],[Units_Sold]] -$C$4) / $C$5</f>
        <v>0.8542771074688027</v>
      </c>
      <c r="E398">
        <v>32789.051531759309</v>
      </c>
      <c r="F398">
        <v>3.9484196579327659</v>
      </c>
      <c r="G398">
        <v>2.9977430890913941</v>
      </c>
      <c r="H398">
        <v>5.1145086806585063</v>
      </c>
      <c r="I398">
        <v>79704.810136282962</v>
      </c>
      <c r="J398" s="82">
        <v>102</v>
      </c>
      <c r="K398">
        <v>94.126830657470492</v>
      </c>
      <c r="L398" t="str">
        <f t="shared" si="11"/>
        <v>OK</v>
      </c>
    </row>
    <row r="399" spans="1:12">
      <c r="A399" s="1">
        <v>53645</v>
      </c>
      <c r="B399" t="s">
        <v>10</v>
      </c>
      <c r="C399">
        <v>113</v>
      </c>
      <c r="D399">
        <f>(automotive_demand_forecasting_dataset56[[#This Row],[Units_Sold]] -$C$4) / $C$5</f>
        <v>1.3545565098281394</v>
      </c>
      <c r="E399">
        <v>30051.763099216903</v>
      </c>
      <c r="F399">
        <v>3.3657346760470839</v>
      </c>
      <c r="G399">
        <v>3.1659242520544613</v>
      </c>
      <c r="H399">
        <v>7.6990684521750419</v>
      </c>
      <c r="I399">
        <v>92770.744666120285</v>
      </c>
      <c r="J399" s="82">
        <v>72</v>
      </c>
      <c r="K399">
        <v>76.833745200992936</v>
      </c>
      <c r="L399" t="str">
        <f t="shared" si="11"/>
        <v>OK</v>
      </c>
    </row>
    <row r="400" spans="1:12">
      <c r="A400" s="1">
        <v>53675</v>
      </c>
      <c r="B400" t="s">
        <v>11</v>
      </c>
      <c r="C400">
        <v>115</v>
      </c>
      <c r="D400">
        <f>(automotive_demand_forecasting_dataset56[[#This Row],[Units_Sold]] -$C$4) / $C$5</f>
        <v>1.554668270771874</v>
      </c>
      <c r="E400">
        <v>23440.818838249201</v>
      </c>
      <c r="F400">
        <v>3.0544038872923562</v>
      </c>
      <c r="G400">
        <v>2.9215866106144555</v>
      </c>
      <c r="H400">
        <v>6.4769821145419195</v>
      </c>
      <c r="I400">
        <f>128897.2893</f>
        <v>128897.2893</v>
      </c>
      <c r="J400" s="82">
        <v>88</v>
      </c>
      <c r="K400">
        <v>53.513889983433494</v>
      </c>
      <c r="L400" t="str">
        <f t="shared" si="11"/>
        <v>OK</v>
      </c>
    </row>
    <row r="401" spans="1:12">
      <c r="A401" s="1">
        <v>53705</v>
      </c>
      <c r="B401" t="s">
        <v>11</v>
      </c>
      <c r="C401">
        <v>98</v>
      </c>
      <c r="D401">
        <f>(automotive_demand_forecasting_dataset56[[#This Row],[Units_Sold]] -$C$4) / $C$5</f>
        <v>-0.14628169724987033</v>
      </c>
      <c r="E401">
        <v>24674.431684623138</v>
      </c>
      <c r="F401">
        <v>2.4240922993353475</v>
      </c>
      <c r="G401">
        <v>3.3389405004696124</v>
      </c>
      <c r="H401">
        <v>6.0784800728024635</v>
      </c>
      <c r="I401">
        <v>98921.903019885212</v>
      </c>
      <c r="J401" s="82">
        <v>81</v>
      </c>
      <c r="K401">
        <v>61.381773580344841</v>
      </c>
      <c r="L401" t="str">
        <f t="shared" si="11"/>
        <v>OK</v>
      </c>
    </row>
    <row r="402" spans="1:12">
      <c r="A402" s="1">
        <v>53735</v>
      </c>
      <c r="B402" t="s">
        <v>10</v>
      </c>
      <c r="C402">
        <v>93</v>
      </c>
      <c r="D402">
        <f>(automotive_demand_forecasting_dataset56[[#This Row],[Units_Sold]] -$C$4) / $C$5</f>
        <v>-0.64656109960920682</v>
      </c>
      <c r="E402">
        <v>28473.876478226663</v>
      </c>
      <c r="F402">
        <v>3.1404233403787898</v>
      </c>
      <c r="G402">
        <v>2.6520564320000002</v>
      </c>
      <c r="H402">
        <v>5.942479776781024</v>
      </c>
      <c r="I402">
        <v>80353.928392453701</v>
      </c>
      <c r="J402" s="82">
        <v>92</v>
      </c>
      <c r="K402">
        <v>26.737040894167869</v>
      </c>
      <c r="L402" t="str">
        <f t="shared" si="11"/>
        <v>OK</v>
      </c>
    </row>
    <row r="403" spans="1:12">
      <c r="A403" s="1">
        <v>53765</v>
      </c>
      <c r="B403" t="s">
        <v>11</v>
      </c>
      <c r="C403">
        <v>104</v>
      </c>
      <c r="D403">
        <f>(automotive_demand_forecasting_dataset56[[#This Row],[Units_Sold]] -$C$4) / $C$5</f>
        <v>0.45405358558133352</v>
      </c>
      <c r="E403">
        <v>26952.438989203583</v>
      </c>
      <c r="F403">
        <v>4.5778345189999996</v>
      </c>
      <c r="G403">
        <v>1.9416982460539693</v>
      </c>
      <c r="H403">
        <v>5.9725567578595022</v>
      </c>
      <c r="I403">
        <v>122437.15712460942</v>
      </c>
      <c r="J403" s="82">
        <f>111.9136842</f>
        <v>111.91368420000001</v>
      </c>
      <c r="K403">
        <v>98.766071710089051</v>
      </c>
      <c r="L403" t="str">
        <f t="shared" si="11"/>
        <v>OK</v>
      </c>
    </row>
    <row r="404" spans="1:12">
      <c r="A404" s="1">
        <v>53795</v>
      </c>
      <c r="B404" t="s">
        <v>12</v>
      </c>
      <c r="C404">
        <v>100</v>
      </c>
      <c r="D404">
        <f>(automotive_demand_forecasting_dataset56[[#This Row],[Units_Sold]] -$C$4) / $C$5</f>
        <v>5.3830063693864283E-2</v>
      </c>
      <c r="E404">
        <v>29065.143485072771</v>
      </c>
      <c r="F404">
        <v>3.0064102364244079</v>
      </c>
      <c r="G404">
        <v>1.3998457670283051</v>
      </c>
      <c r="H404">
        <v>3.1867929047852681</v>
      </c>
      <c r="I404">
        <v>146400.81444034519</v>
      </c>
      <c r="J404" s="82">
        <v>102</v>
      </c>
      <c r="K404">
        <v>73.312584375593516</v>
      </c>
      <c r="L404" t="str">
        <f t="shared" si="11"/>
        <v>OK</v>
      </c>
    </row>
    <row r="405" spans="1:12">
      <c r="A405" s="1">
        <v>53825</v>
      </c>
      <c r="B405" t="s">
        <v>12</v>
      </c>
      <c r="C405">
        <v>89</v>
      </c>
      <c r="D405">
        <f>(automotive_demand_forecasting_dataset56[[#This Row],[Units_Sold]] -$C$4) / $C$5</f>
        <v>-1.0467846214966761</v>
      </c>
      <c r="E405">
        <v>38106.295579999998</v>
      </c>
      <c r="F405">
        <v>3.4343715164538478</v>
      </c>
      <c r="G405">
        <f>3.224108373</f>
        <v>3.224108373</v>
      </c>
      <c r="H405">
        <v>5.1653399270190921</v>
      </c>
      <c r="I405">
        <v>103922.62918047815</v>
      </c>
      <c r="J405" s="82">
        <v>80</v>
      </c>
      <c r="K405">
        <v>42.832325477073795</v>
      </c>
      <c r="L405" t="str">
        <f t="shared" si="11"/>
        <v>OK</v>
      </c>
    </row>
    <row r="406" spans="1:12">
      <c r="A406" s="1">
        <v>53855</v>
      </c>
      <c r="B406" t="s">
        <v>10</v>
      </c>
      <c r="C406">
        <v>86</v>
      </c>
      <c r="D406">
        <f>(automotive_demand_forecasting_dataset56[[#This Row],[Units_Sold]] -$C$4) / $C$5</f>
        <v>-1.3469522629122781</v>
      </c>
      <c r="E406">
        <v>32648.463771783652</v>
      </c>
      <c r="F406">
        <v>3.5384259414793839</v>
      </c>
      <c r="G406">
        <v>3.2789365035121141</v>
      </c>
      <c r="H406">
        <v>6.5141895654211854</v>
      </c>
      <c r="I406">
        <v>81918.634205279988</v>
      </c>
      <c r="J406" s="82">
        <v>84</v>
      </c>
      <c r="K406">
        <f>80.21517797</f>
        <v>80.215177969999999</v>
      </c>
      <c r="L406" t="str">
        <f t="shared" si="11"/>
        <v>OK</v>
      </c>
    </row>
    <row r="407" spans="1:12">
      <c r="A407" s="1">
        <v>53885</v>
      </c>
      <c r="B407" t="s">
        <v>11</v>
      </c>
      <c r="C407">
        <v>93</v>
      </c>
      <c r="D407">
        <f>(automotive_demand_forecasting_dataset56[[#This Row],[Units_Sold]] -$C$4) / $C$5</f>
        <v>-0.64656109960920682</v>
      </c>
      <c r="E407">
        <v>29647.506109704544</v>
      </c>
      <c r="F407">
        <v>3.3875720090959609</v>
      </c>
      <c r="G407">
        <v>2.9577728661518856</v>
      </c>
      <c r="H407">
        <v>5.4413233798310729</v>
      </c>
      <c r="I407">
        <v>69020.789498930506</v>
      </c>
      <c r="J407" s="82">
        <v>89</v>
      </c>
      <c r="K407">
        <v>28.75858928551952</v>
      </c>
      <c r="L407" t="str">
        <f t="shared" si="11"/>
        <v>OK</v>
      </c>
    </row>
    <row r="408" spans="1:12">
      <c r="A408" s="1">
        <v>53915</v>
      </c>
      <c r="B408" t="s">
        <v>13</v>
      </c>
      <c r="C408">
        <v>104</v>
      </c>
      <c r="D408">
        <f>(automotive_demand_forecasting_dataset56[[#This Row],[Units_Sold]] -$C$4) / $C$5</f>
        <v>0.45405358558133352</v>
      </c>
      <c r="E408">
        <v>32432.50821913101</v>
      </c>
      <c r="F408">
        <v>3.1749987095882704</v>
      </c>
      <c r="G408">
        <v>4.1744924333475373</v>
      </c>
      <c r="H408">
        <v>3.8137721838357099</v>
      </c>
      <c r="I408">
        <v>105159.51962442361</v>
      </c>
      <c r="J408" s="82">
        <v>79</v>
      </c>
      <c r="K408">
        <v>97.266933504606683</v>
      </c>
      <c r="L408" t="str">
        <f t="shared" si="11"/>
        <v>OK</v>
      </c>
    </row>
    <row r="409" spans="1:12">
      <c r="A409" s="1">
        <v>53945</v>
      </c>
      <c r="B409" t="s">
        <v>14</v>
      </c>
      <c r="C409">
        <v>91</v>
      </c>
      <c r="D409">
        <f>(automotive_demand_forecasting_dataset56[[#This Row],[Units_Sold]] -$C$4) / $C$5</f>
        <v>-0.84667286055294144</v>
      </c>
      <c r="E409">
        <v>38106.295579999998</v>
      </c>
      <c r="F409">
        <v>4.5778345189999996</v>
      </c>
      <c r="G409">
        <v>2.4944039811709535</v>
      </c>
      <c r="H409">
        <v>5.4371146593070367</v>
      </c>
      <c r="I409">
        <v>122077.54686632515</v>
      </c>
      <c r="J409" s="82">
        <f>111.9136842</f>
        <v>111.91368420000001</v>
      </c>
      <c r="K409">
        <v>33.982799030669277</v>
      </c>
      <c r="L409" t="str">
        <f t="shared" si="11"/>
        <v>OK</v>
      </c>
    </row>
    <row r="410" spans="1:12">
      <c r="A410" s="1">
        <v>53975</v>
      </c>
      <c r="B410" t="s">
        <v>13</v>
      </c>
      <c r="C410">
        <v>113</v>
      </c>
      <c r="D410">
        <f>(automotive_demand_forecasting_dataset56[[#This Row],[Units_Sold]] -$C$4) / $C$5</f>
        <v>1.3545565098281394</v>
      </c>
      <c r="E410">
        <v>20122.667168230644</v>
      </c>
      <c r="F410">
        <v>3.7209703247847044</v>
      </c>
      <c r="G410">
        <v>3.1687416555925125</v>
      </c>
      <c r="H410">
        <v>7.5449266195065894</v>
      </c>
      <c r="I410">
        <v>102916.7736</v>
      </c>
      <c r="J410" s="82">
        <v>80</v>
      </c>
      <c r="K410">
        <v>71.842425444417131</v>
      </c>
      <c r="L410" t="str">
        <f t="shared" si="11"/>
        <v>OK</v>
      </c>
    </row>
    <row r="411" spans="1:12">
      <c r="A411" s="1">
        <v>54005</v>
      </c>
      <c r="B411" t="s">
        <v>12</v>
      </c>
      <c r="C411">
        <v>103</v>
      </c>
      <c r="D411">
        <f>(automotive_demand_forecasting_dataset56[[#This Row],[Units_Sold]] -$C$4) / $C$5</f>
        <v>0.35399770510946621</v>
      </c>
      <c r="E411">
        <v>25303.323030906227</v>
      </c>
      <c r="F411">
        <v>2.9548004612785768</v>
      </c>
      <c r="G411">
        <v>1.4082991238606857</v>
      </c>
      <c r="H411">
        <v>6.9962700586416631</v>
      </c>
      <c r="I411">
        <v>99951.923181622929</v>
      </c>
      <c r="J411" s="82">
        <v>89</v>
      </c>
      <c r="K411">
        <f>80.21517797</f>
        <v>80.215177969999999</v>
      </c>
      <c r="L411" t="str">
        <f t="shared" si="11"/>
        <v>OK</v>
      </c>
    </row>
    <row r="412" spans="1:12">
      <c r="A412" s="1">
        <v>54035</v>
      </c>
      <c r="B412" t="s">
        <v>12</v>
      </c>
      <c r="C412">
        <v>98</v>
      </c>
      <c r="D412">
        <f>(automotive_demand_forecasting_dataset56[[#This Row],[Units_Sold]] -$C$4) / $C$5</f>
        <v>-0.14628169724987033</v>
      </c>
      <c r="E412">
        <v>29279.562221391923</v>
      </c>
      <c r="F412">
        <v>4.2054661898731354</v>
      </c>
      <c r="G412">
        <v>2.112900297525599</v>
      </c>
      <c r="H412">
        <v>5.4255951887607621</v>
      </c>
      <c r="I412">
        <v>88214.566964213882</v>
      </c>
      <c r="J412" s="82">
        <v>75</v>
      </c>
      <c r="K412">
        <v>77.404910611882855</v>
      </c>
      <c r="L412" t="str">
        <f t="shared" si="11"/>
        <v>OK</v>
      </c>
    </row>
    <row r="413" spans="1:12">
      <c r="A413" s="1">
        <v>54065</v>
      </c>
      <c r="B413" t="s">
        <v>12</v>
      </c>
      <c r="C413">
        <v>100</v>
      </c>
      <c r="D413">
        <f>(automotive_demand_forecasting_dataset56[[#This Row],[Units_Sold]] -$C$4) / $C$5</f>
        <v>5.3830063693864283E-2</v>
      </c>
      <c r="E413">
        <v>23951.526285794462</v>
      </c>
      <c r="F413">
        <v>3.4507059338578689</v>
      </c>
      <c r="G413">
        <v>3.1955377575657775</v>
      </c>
      <c r="H413">
        <v>6.6417391324697039</v>
      </c>
      <c r="I413">
        <v>78156.72734563821</v>
      </c>
      <c r="J413" s="82">
        <v>84</v>
      </c>
      <c r="K413">
        <v>82.145709379222481</v>
      </c>
      <c r="L413" t="str">
        <f t="shared" si="11"/>
        <v>OK</v>
      </c>
    </row>
    <row r="414" spans="1:12">
      <c r="A414" s="1">
        <v>54095</v>
      </c>
      <c r="B414" t="s">
        <v>12</v>
      </c>
      <c r="C414">
        <v>89</v>
      </c>
      <c r="D414">
        <f>(automotive_demand_forecasting_dataset56[[#This Row],[Units_Sold]] -$C$4) / $C$5</f>
        <v>-1.0467846214966761</v>
      </c>
      <c r="E414">
        <v>32999.643649981022</v>
      </c>
      <c r="F414">
        <v>3.509424811472424</v>
      </c>
      <c r="G414">
        <v>3.3491021107431438</v>
      </c>
      <c r="H414">
        <v>5.0601915755583375</v>
      </c>
      <c r="I414">
        <v>116695.02652649765</v>
      </c>
      <c r="J414" s="82">
        <v>65</v>
      </c>
      <c r="K414">
        <v>73.873578312914617</v>
      </c>
      <c r="L414" t="str">
        <f t="shared" si="11"/>
        <v>OK</v>
      </c>
    </row>
    <row r="415" spans="1:12">
      <c r="A415" s="1">
        <v>54125</v>
      </c>
      <c r="B415" t="s">
        <v>14</v>
      </c>
      <c r="C415">
        <v>83</v>
      </c>
      <c r="D415">
        <f>(automotive_demand_forecasting_dataset56[[#This Row],[Units_Sold]] -$C$4) / $C$5</f>
        <v>-1.6471199043278799</v>
      </c>
      <c r="E415">
        <v>37653.754161718491</v>
      </c>
      <c r="F415">
        <v>3.8541072116282784</v>
      </c>
      <c r="G415">
        <v>2.2060330523358176</v>
      </c>
      <c r="H415">
        <v>3.4553540958079374</v>
      </c>
      <c r="I415">
        <v>118275.43242771171</v>
      </c>
      <c r="J415" s="82">
        <v>98</v>
      </c>
      <c r="K415">
        <v>69.159956820415402</v>
      </c>
      <c r="L415" t="str">
        <f t="shared" si="11"/>
        <v>OK</v>
      </c>
    </row>
    <row r="416" spans="1:12">
      <c r="A416" s="1">
        <v>54155</v>
      </c>
      <c r="B416" t="s">
        <v>10</v>
      </c>
      <c r="C416">
        <v>92</v>
      </c>
      <c r="D416">
        <f>(automotive_demand_forecasting_dataset56[[#This Row],[Units_Sold]] -$C$4) / $C$5</f>
        <v>-0.74661698008107413</v>
      </c>
      <c r="E416">
        <v>36093.809258486581</v>
      </c>
      <c r="F416">
        <v>3.616608065631751</v>
      </c>
      <c r="G416">
        <v>2.4284007481419332</v>
      </c>
      <c r="H416">
        <v>4.3906408142445343</v>
      </c>
      <c r="I416">
        <v>69085.404266185331</v>
      </c>
      <c r="J416" s="82">
        <v>89</v>
      </c>
      <c r="K416">
        <v>91.397527516160935</v>
      </c>
      <c r="L416" t="str">
        <f t="shared" si="11"/>
        <v>OK</v>
      </c>
    </row>
    <row r="417" spans="1:12">
      <c r="A417" s="1">
        <v>54185</v>
      </c>
      <c r="B417" t="s">
        <v>12</v>
      </c>
      <c r="C417">
        <v>100</v>
      </c>
      <c r="D417">
        <f>(automotive_demand_forecasting_dataset56[[#This Row],[Units_Sold]] -$C$4) / $C$5</f>
        <v>5.3830063693864283E-2</v>
      </c>
      <c r="E417">
        <v>28932.785645348958</v>
      </c>
      <c r="F417">
        <v>3.9765683169566226</v>
      </c>
      <c r="G417">
        <v>0.98212625331919057</v>
      </c>
      <c r="H417">
        <v>7.3754665222098374</v>
      </c>
      <c r="I417">
        <v>131796.77956361367</v>
      </c>
      <c r="J417" s="82">
        <v>88</v>
      </c>
      <c r="K417">
        <v>26.290136879180643</v>
      </c>
      <c r="L417" t="str">
        <f t="shared" si="11"/>
        <v>OK</v>
      </c>
    </row>
    <row r="418" spans="1:12">
      <c r="A418" s="1">
        <v>54215</v>
      </c>
      <c r="B418" t="s">
        <v>11</v>
      </c>
      <c r="C418">
        <v>100</v>
      </c>
      <c r="D418">
        <f>(automotive_demand_forecasting_dataset56[[#This Row],[Units_Sold]] -$C$4) / $C$5</f>
        <v>5.3830063693864283E-2</v>
      </c>
      <c r="E418">
        <v>37453.630684249758</v>
      </c>
      <c r="F418">
        <v>3.6435620826009121</v>
      </c>
      <c r="G418">
        <v>2.1429707991933906</v>
      </c>
      <c r="H418">
        <v>5.1712083018048354</v>
      </c>
      <c r="I418">
        <v>111481.42441788003</v>
      </c>
      <c r="J418" s="82">
        <v>98</v>
      </c>
      <c r="K418">
        <f>80.21517797</f>
        <v>80.215177969999999</v>
      </c>
      <c r="L418" t="str">
        <f t="shared" si="11"/>
        <v>OK</v>
      </c>
    </row>
    <row r="419" spans="1:12">
      <c r="A419" s="1">
        <v>54245</v>
      </c>
      <c r="B419" t="s">
        <v>14</v>
      </c>
      <c r="C419">
        <v>102</v>
      </c>
      <c r="D419">
        <f>(automotive_demand_forecasting_dataset56[[#This Row],[Units_Sold]] -$C$4) / $C$5</f>
        <v>0.2539418246375989</v>
      </c>
      <c r="E419">
        <v>30743.337286010559</v>
      </c>
      <c r="F419">
        <v>3.1937813126797812</v>
      </c>
      <c r="G419">
        <v>3.3903831635197861</v>
      </c>
      <c r="H419">
        <f t="shared" ref="H419:H420" si="12">6.97388673</f>
        <v>6.9738867300000003</v>
      </c>
      <c r="I419">
        <v>127991.89290291586</v>
      </c>
      <c r="J419" s="82">
        <v>88</v>
      </c>
      <c r="K419">
        <v>39.862998370467679</v>
      </c>
      <c r="L419" t="str">
        <f t="shared" si="11"/>
        <v>OK</v>
      </c>
    </row>
    <row r="420" spans="1:12">
      <c r="A420" s="1">
        <v>54275</v>
      </c>
      <c r="B420" t="s">
        <v>12</v>
      </c>
      <c r="C420">
        <v>107</v>
      </c>
      <c r="D420">
        <f>(automotive_demand_forecasting_dataset56[[#This Row],[Units_Sold]] -$C$4) / $C$5</f>
        <v>0.75422122699693539</v>
      </c>
      <c r="E420">
        <v>28314.570144409805</v>
      </c>
      <c r="F420">
        <v>3.6807517626030508</v>
      </c>
      <c r="G420">
        <v>3.0752050161065663</v>
      </c>
      <c r="H420">
        <f t="shared" si="12"/>
        <v>6.9738867300000003</v>
      </c>
      <c r="I420">
        <v>73157.445030297706</v>
      </c>
      <c r="J420" s="82">
        <v>89</v>
      </c>
      <c r="K420">
        <v>99.041116965233726</v>
      </c>
      <c r="L420" t="str">
        <f t="shared" si="11"/>
        <v>OK</v>
      </c>
    </row>
    <row r="421" spans="1:12">
      <c r="A421" s="1">
        <v>54305</v>
      </c>
      <c r="B421" t="s">
        <v>11</v>
      </c>
      <c r="C421">
        <v>103</v>
      </c>
      <c r="D421">
        <f>(automotive_demand_forecasting_dataset56[[#This Row],[Units_Sold]] -$C$4) / $C$5</f>
        <v>0.35399770510946621</v>
      </c>
      <c r="E421">
        <v>30949.702720000001</v>
      </c>
      <c r="F421">
        <v>2.928136896339669</v>
      </c>
      <c r="G421">
        <v>3.0006657213812096</v>
      </c>
      <c r="H421">
        <v>7.784963907487608</v>
      </c>
      <c r="I421">
        <v>72683.516891691223</v>
      </c>
      <c r="J421" s="82">
        <v>103</v>
      </c>
      <c r="K421">
        <v>51.151182373349883</v>
      </c>
      <c r="L421" t="str">
        <f t="shared" si="11"/>
        <v>OK</v>
      </c>
    </row>
    <row r="422" spans="1:12">
      <c r="A422" s="1">
        <v>54335</v>
      </c>
      <c r="B422" t="s">
        <v>12</v>
      </c>
      <c r="C422">
        <v>100</v>
      </c>
      <c r="D422">
        <f>(automotive_demand_forecasting_dataset56[[#This Row],[Units_Sold]] -$C$4) / $C$5</f>
        <v>5.3830063693864283E-2</v>
      </c>
      <c r="E422">
        <v>38106.295579999998</v>
      </c>
      <c r="F422">
        <v>3.5542798528882615</v>
      </c>
      <c r="G422">
        <v>2.5497736871809602</v>
      </c>
      <c r="H422">
        <v>7.4511506984344757</v>
      </c>
      <c r="I422">
        <v>97020.613804654058</v>
      </c>
      <c r="J422" s="82">
        <v>85</v>
      </c>
      <c r="K422">
        <v>78.609015939231895</v>
      </c>
      <c r="L422" t="str">
        <f t="shared" si="11"/>
        <v>OK</v>
      </c>
    </row>
    <row r="423" spans="1:12">
      <c r="A423" s="1">
        <v>54365</v>
      </c>
      <c r="B423" t="s">
        <v>10</v>
      </c>
      <c r="C423">
        <v>100</v>
      </c>
      <c r="D423">
        <f>(automotive_demand_forecasting_dataset56[[#This Row],[Units_Sold]] -$C$4) / $C$5</f>
        <v>5.3830063693864283E-2</v>
      </c>
      <c r="E423">
        <v>28059.115907293857</v>
      </c>
      <c r="F423">
        <v>3.4833850046777695</v>
      </c>
      <c r="G423">
        <v>2.5070631586281764</v>
      </c>
      <c r="H423">
        <v>8.1625362801377612</v>
      </c>
      <c r="I423">
        <v>110055.68853790389</v>
      </c>
      <c r="J423" s="82">
        <v>90</v>
      </c>
      <c r="K423">
        <f>80.21517797</f>
        <v>80.215177969999999</v>
      </c>
      <c r="L423" t="str">
        <f t="shared" si="11"/>
        <v>OK</v>
      </c>
    </row>
    <row r="424" spans="1:12">
      <c r="A424" s="1">
        <v>54395</v>
      </c>
      <c r="B424" t="s">
        <v>14</v>
      </c>
      <c r="C424">
        <v>85</v>
      </c>
      <c r="D424">
        <f>(automotive_demand_forecasting_dataset56[[#This Row],[Units_Sold]] -$C$4) / $C$5</f>
        <v>-1.4470081433841453</v>
      </c>
      <c r="E424">
        <v>30852.08111187744</v>
      </c>
      <c r="F424">
        <v>3.3959415713637302</v>
      </c>
      <c r="G424">
        <v>1.8396788605265528</v>
      </c>
      <c r="H424">
        <v>5.3091457475199384</v>
      </c>
      <c r="I424">
        <v>135927.21645853927</v>
      </c>
      <c r="J424" s="82">
        <v>84</v>
      </c>
      <c r="K424">
        <v>36.966498998190218</v>
      </c>
      <c r="L424" t="str">
        <f t="shared" si="11"/>
        <v>OK</v>
      </c>
    </row>
    <row r="425" spans="1:12">
      <c r="A425" s="1">
        <v>54425</v>
      </c>
      <c r="B425" t="s">
        <v>10</v>
      </c>
      <c r="C425">
        <v>107</v>
      </c>
      <c r="D425">
        <f>(automotive_demand_forecasting_dataset56[[#This Row],[Units_Sold]] -$C$4) / $C$5</f>
        <v>0.75422122699693539</v>
      </c>
      <c r="E425">
        <v>30802.869905249325</v>
      </c>
      <c r="F425">
        <v>3.4357312442805346</v>
      </c>
      <c r="G425">
        <v>3.1988284202025348</v>
      </c>
      <c r="H425">
        <v>5.8547493864965139</v>
      </c>
      <c r="I425">
        <v>114121.57827630264</v>
      </c>
      <c r="J425" s="82">
        <v>78</v>
      </c>
      <c r="K425">
        <v>39.119814416924108</v>
      </c>
      <c r="L425" t="str">
        <f t="shared" si="11"/>
        <v>OK</v>
      </c>
    </row>
    <row r="426" spans="1:12">
      <c r="A426" s="1">
        <v>54455</v>
      </c>
      <c r="B426" t="s">
        <v>14</v>
      </c>
      <c r="C426">
        <v>106</v>
      </c>
      <c r="D426">
        <f>(automotive_demand_forecasting_dataset56[[#This Row],[Units_Sold]] -$C$4) / $C$5</f>
        <v>0.65416534652506808</v>
      </c>
      <c r="E426">
        <v>30015.230100767072</v>
      </c>
      <c r="F426">
        <v>2.5590754772511803</v>
      </c>
      <c r="G426">
        <v>2.9209729443893897</v>
      </c>
      <c r="H426">
        <v>3.6800289406950508</v>
      </c>
      <c r="I426">
        <v>95146.374463759334</v>
      </c>
      <c r="J426" s="82">
        <v>84</v>
      </c>
      <c r="K426">
        <v>42.502765084242725</v>
      </c>
      <c r="L426" t="str">
        <f t="shared" si="11"/>
        <v>OK</v>
      </c>
    </row>
    <row r="427" spans="1:12">
      <c r="A427" s="1">
        <v>54485</v>
      </c>
      <c r="B427" t="s">
        <v>12</v>
      </c>
      <c r="C427">
        <v>92</v>
      </c>
      <c r="D427">
        <f>(automotive_demand_forecasting_dataset56[[#This Row],[Units_Sold]] -$C$4) / $C$5</f>
        <v>-0.74661698008107413</v>
      </c>
      <c r="E427">
        <v>32184.690848731749</v>
      </c>
      <c r="F427">
        <v>3.2256375461295193</v>
      </c>
      <c r="G427">
        <v>2.9920188479927994</v>
      </c>
      <c r="H427">
        <v>7.2723213113419289</v>
      </c>
      <c r="I427">
        <v>79472.615846682165</v>
      </c>
      <c r="J427" s="82">
        <v>70</v>
      </c>
      <c r="K427">
        <v>52.890182260750336</v>
      </c>
      <c r="L427" t="str">
        <f t="shared" si="11"/>
        <v>OK</v>
      </c>
    </row>
    <row r="428" spans="1:12">
      <c r="A428" s="1">
        <v>54515</v>
      </c>
      <c r="B428" t="s">
        <v>12</v>
      </c>
      <c r="C428">
        <v>110</v>
      </c>
      <c r="D428">
        <f>(automotive_demand_forecasting_dataset56[[#This Row],[Units_Sold]] -$C$4) / $C$5</f>
        <v>1.0543888684125373</v>
      </c>
      <c r="E428">
        <v>35953.231373931703</v>
      </c>
      <c r="F428">
        <v>4.5778345189999996</v>
      </c>
      <c r="G428">
        <v>1.9739651573324197</v>
      </c>
      <c r="H428">
        <v>4.0986645384784781</v>
      </c>
      <c r="I428">
        <v>124600.011454383</v>
      </c>
      <c r="J428" s="82">
        <v>74</v>
      </c>
      <c r="K428">
        <v>38.746005252042146</v>
      </c>
      <c r="L428" t="str">
        <f t="shared" si="11"/>
        <v>OK</v>
      </c>
    </row>
    <row r="429" spans="1:12">
      <c r="A429" s="1">
        <v>54545</v>
      </c>
      <c r="B429" t="s">
        <v>14</v>
      </c>
      <c r="C429">
        <v>93</v>
      </c>
      <c r="D429">
        <f>(automotive_demand_forecasting_dataset56[[#This Row],[Units_Sold]] -$C$4) / $C$5</f>
        <v>-0.64656109960920682</v>
      </c>
      <c r="E429">
        <v>34747.770677206616</v>
      </c>
      <c r="F429">
        <v>3.5799281959987002</v>
      </c>
      <c r="G429">
        <v>0.34665708012875562</v>
      </c>
      <c r="H429">
        <v>5.7601306765151552</v>
      </c>
      <c r="I429">
        <v>80705.89148498571</v>
      </c>
      <c r="J429" s="82">
        <v>88</v>
      </c>
      <c r="K429">
        <v>21.572118619747826</v>
      </c>
      <c r="L429" t="str">
        <f t="shared" si="11"/>
        <v>OK</v>
      </c>
    </row>
    <row r="430" spans="1:12">
      <c r="A430" s="1">
        <v>54575</v>
      </c>
      <c r="B430" t="s">
        <v>11</v>
      </c>
      <c r="C430">
        <v>100</v>
      </c>
      <c r="D430">
        <f>(automotive_demand_forecasting_dataset56[[#This Row],[Units_Sold]] -$C$4) / $C$5</f>
        <v>5.3830063693864283E-2</v>
      </c>
      <c r="E430">
        <v>22575.510157750483</v>
      </c>
      <c r="F430">
        <v>2.9861624295370208</v>
      </c>
      <c r="G430">
        <v>3.5971527117536954</v>
      </c>
      <c r="H430">
        <v>4.1832369668405871</v>
      </c>
      <c r="I430">
        <v>132569.37109544643</v>
      </c>
      <c r="J430" s="82">
        <f>111.9136842</f>
        <v>111.91368420000001</v>
      </c>
      <c r="K430">
        <v>90.351444544575642</v>
      </c>
      <c r="L430" t="str">
        <f t="shared" si="11"/>
        <v>OK</v>
      </c>
    </row>
    <row r="431" spans="1:12">
      <c r="A431" s="1">
        <v>54605</v>
      </c>
      <c r="B431" t="s">
        <v>11</v>
      </c>
      <c r="C431">
        <v>117</v>
      </c>
      <c r="D431">
        <f>(automotive_demand_forecasting_dataset56[[#This Row],[Units_Sold]] -$C$4) / $C$5</f>
        <v>1.7547800317156086</v>
      </c>
      <c r="E431">
        <v>17230.394325490226</v>
      </c>
      <c r="F431">
        <v>4.1328539204323507</v>
      </c>
      <c r="G431">
        <v>2.0211625439915957</v>
      </c>
      <c r="H431">
        <v>4.7933598079135651</v>
      </c>
      <c r="I431">
        <v>94312.307007869807</v>
      </c>
      <c r="J431" s="82">
        <v>74</v>
      </c>
      <c r="K431">
        <v>97.248786510470723</v>
      </c>
      <c r="L431" t="str">
        <f t="shared" si="11"/>
        <v>OK</v>
      </c>
    </row>
    <row r="432" spans="1:12">
      <c r="A432" s="1">
        <v>54635</v>
      </c>
      <c r="B432" t="s">
        <v>12</v>
      </c>
      <c r="C432">
        <v>122</v>
      </c>
      <c r="D432">
        <f>(automotive_demand_forecasting_dataset56[[#This Row],[Units_Sold]] -$C$4) / $C$5</f>
        <v>2.255059434074945</v>
      </c>
      <c r="E432">
        <v>34671.599556196365</v>
      </c>
      <c r="F432">
        <v>3.0669125758927498</v>
      </c>
      <c r="G432">
        <v>1.6372242359568794</v>
      </c>
      <c r="H432">
        <v>4.4952850827403594</v>
      </c>
      <c r="I432">
        <v>131811.641452357</v>
      </c>
      <c r="J432" s="82">
        <v>85</v>
      </c>
      <c r="K432">
        <v>65.454227669999995</v>
      </c>
      <c r="L432" t="str">
        <f t="shared" si="11"/>
        <v>OK</v>
      </c>
    </row>
    <row r="433" spans="1:12">
      <c r="A433" s="1">
        <v>54665</v>
      </c>
      <c r="B433" t="s">
        <v>12</v>
      </c>
      <c r="C433">
        <v>90</v>
      </c>
      <c r="D433">
        <f>(automotive_demand_forecasting_dataset56[[#This Row],[Units_Sold]] -$C$4) / $C$5</f>
        <v>-0.94672874102480875</v>
      </c>
      <c r="E433">
        <v>23165.606507922894</v>
      </c>
      <c r="F433">
        <v>3.9847286002633684</v>
      </c>
      <c r="G433">
        <v>3.1934789119139939</v>
      </c>
      <c r="H433">
        <v>4.7705496871890185</v>
      </c>
      <c r="I433">
        <v>113578.62580118557</v>
      </c>
      <c r="J433" s="82">
        <v>105</v>
      </c>
      <c r="K433">
        <v>47.080550354037825</v>
      </c>
      <c r="L433" t="str">
        <f t="shared" si="11"/>
        <v>OK</v>
      </c>
    </row>
    <row r="434" spans="1:12">
      <c r="A434" s="1">
        <v>54695</v>
      </c>
      <c r="B434" t="s">
        <v>10</v>
      </c>
      <c r="C434">
        <v>113</v>
      </c>
      <c r="D434">
        <f>(automotive_demand_forecasting_dataset56[[#This Row],[Units_Sold]] -$C$4) / $C$5</f>
        <v>1.3545565098281394</v>
      </c>
      <c r="E434">
        <v>28876.172990536583</v>
      </c>
      <c r="F434">
        <v>3.7135971809358423</v>
      </c>
      <c r="G434">
        <v>2.1079873600808705</v>
      </c>
      <c r="H434">
        <v>4.853052756221226</v>
      </c>
      <c r="I434">
        <v>97260.090211150833</v>
      </c>
      <c r="J434" s="82">
        <v>75</v>
      </c>
      <c r="K434">
        <v>20.567345021949677</v>
      </c>
      <c r="L434" t="str">
        <f t="shared" si="11"/>
        <v>OK</v>
      </c>
    </row>
    <row r="435" spans="1:12">
      <c r="A435" s="1">
        <v>54725</v>
      </c>
      <c r="B435" t="s">
        <v>12</v>
      </c>
      <c r="C435">
        <v>110</v>
      </c>
      <c r="D435">
        <f>(automotive_demand_forecasting_dataset56[[#This Row],[Units_Sold]] -$C$4) / $C$5</f>
        <v>1.0543888684125373</v>
      </c>
      <c r="E435">
        <v>24149.434869703204</v>
      </c>
      <c r="F435">
        <v>3.1768863450780986</v>
      </c>
      <c r="G435">
        <v>3.5599363840466216</v>
      </c>
      <c r="H435">
        <v>4.8420774460899079</v>
      </c>
      <c r="I435">
        <v>89612.072563477472</v>
      </c>
      <c r="J435" s="82">
        <v>89</v>
      </c>
      <c r="K435">
        <v>65.454227669999995</v>
      </c>
      <c r="L435" t="str">
        <f t="shared" si="11"/>
        <v>OK</v>
      </c>
    </row>
    <row r="436" spans="1:12">
      <c r="A436" s="1">
        <v>54755</v>
      </c>
      <c r="B436" t="s">
        <v>14</v>
      </c>
      <c r="C436">
        <v>106</v>
      </c>
      <c r="D436">
        <f>(automotive_demand_forecasting_dataset56[[#This Row],[Units_Sold]] -$C$4) / $C$5</f>
        <v>0.65416534652506808</v>
      </c>
      <c r="E436">
        <v>20990.097812099899</v>
      </c>
      <c r="F436">
        <v>4.5778345189999996</v>
      </c>
      <c r="G436">
        <v>3.1170059495766975</v>
      </c>
      <c r="H436">
        <v>6.5000006941363688</v>
      </c>
      <c r="I436">
        <f>128897.2893</f>
        <v>128897.2893</v>
      </c>
      <c r="J436" s="82">
        <v>84</v>
      </c>
      <c r="K436">
        <f>80.21517797</f>
        <v>80.215177969999999</v>
      </c>
      <c r="L436" t="str">
        <f t="shared" si="11"/>
        <v>OK</v>
      </c>
    </row>
    <row r="437" spans="1:12">
      <c r="A437" s="1">
        <v>54785</v>
      </c>
      <c r="B437" t="s">
        <v>11</v>
      </c>
      <c r="C437">
        <v>92</v>
      </c>
      <c r="D437">
        <f>(automotive_demand_forecasting_dataset56[[#This Row],[Units_Sold]] -$C$4) / $C$5</f>
        <v>-0.74661698008107413</v>
      </c>
      <c r="E437">
        <v>32707.313641023939</v>
      </c>
      <c r="F437">
        <v>2.9031815841217599</v>
      </c>
      <c r="G437">
        <f>3.224108373</f>
        <v>3.224108373</v>
      </c>
      <c r="H437">
        <v>4.1741646483249761</v>
      </c>
      <c r="I437">
        <v>108566.33384750475</v>
      </c>
      <c r="J437" s="82">
        <v>91</v>
      </c>
      <c r="K437">
        <v>31.728664028800253</v>
      </c>
      <c r="L437" t="str">
        <f t="shared" si="11"/>
        <v>OK</v>
      </c>
    </row>
    <row r="438" spans="1:12">
      <c r="A438" s="1">
        <v>54815</v>
      </c>
      <c r="B438" t="s">
        <v>11</v>
      </c>
      <c r="C438">
        <v>121</v>
      </c>
      <c r="D438">
        <f>(automotive_demand_forecasting_dataset56[[#This Row],[Units_Sold]] -$C$4) / $C$5</f>
        <v>2.1550035536030778</v>
      </c>
      <c r="E438">
        <v>33795.775801513235</v>
      </c>
      <c r="F438">
        <v>3.9595770868050009</v>
      </c>
      <c r="G438">
        <v>1.1340442887994657</v>
      </c>
      <c r="H438">
        <f>6.97388673</f>
        <v>6.9738867300000003</v>
      </c>
      <c r="I438">
        <f>128897.2893</f>
        <v>128897.2893</v>
      </c>
      <c r="J438" s="82">
        <v>101</v>
      </c>
      <c r="K438">
        <v>32.773307949372061</v>
      </c>
      <c r="L438" t="str">
        <f t="shared" si="11"/>
        <v>OK</v>
      </c>
    </row>
    <row r="439" spans="1:12">
      <c r="A439" s="1">
        <v>54845</v>
      </c>
      <c r="B439" t="s">
        <v>10</v>
      </c>
      <c r="C439">
        <v>89</v>
      </c>
      <c r="D439">
        <f>(automotive_demand_forecasting_dataset56[[#This Row],[Units_Sold]] -$C$4) / $C$5</f>
        <v>-1.0467846214966761</v>
      </c>
      <c r="E439">
        <v>27117.447996366402</v>
      </c>
      <c r="F439">
        <v>4.0002911590214891</v>
      </c>
      <c r="G439">
        <v>3.7119439853864007</v>
      </c>
      <c r="H439">
        <v>6.9615509827666697</v>
      </c>
      <c r="I439">
        <v>88123.771838625893</v>
      </c>
      <c r="J439" s="82">
        <v>93</v>
      </c>
      <c r="K439">
        <v>83.206659997715022</v>
      </c>
      <c r="L439" t="str">
        <f t="shared" si="11"/>
        <v>OK</v>
      </c>
    </row>
    <row r="440" spans="1:12">
      <c r="A440" s="1">
        <v>54875</v>
      </c>
      <c r="B440" t="s">
        <v>11</v>
      </c>
      <c r="C440">
        <v>117</v>
      </c>
      <c r="D440">
        <f>(automotive_demand_forecasting_dataset56[[#This Row],[Units_Sold]] -$C$4) / $C$5</f>
        <v>1.7547800317156086</v>
      </c>
      <c r="E440">
        <v>30949.702720000001</v>
      </c>
      <c r="F440">
        <v>3.1646898954616773</v>
      </c>
      <c r="G440">
        <v>2.761250531233856</v>
      </c>
      <c r="H440">
        <v>4.8841643625839248</v>
      </c>
      <c r="I440">
        <v>102916.7736</v>
      </c>
      <c r="J440" s="82">
        <v>91</v>
      </c>
      <c r="K440">
        <v>69.303259868331565</v>
      </c>
      <c r="L440" t="str">
        <f t="shared" si="11"/>
        <v>OK</v>
      </c>
    </row>
    <row r="441" spans="1:12">
      <c r="A441" s="1">
        <v>54905</v>
      </c>
      <c r="B441" t="s">
        <v>11</v>
      </c>
      <c r="C441">
        <v>106</v>
      </c>
      <c r="D441">
        <f>(automotive_demand_forecasting_dataset56[[#This Row],[Units_Sold]] -$C$4) / $C$5</f>
        <v>0.65416534652506808</v>
      </c>
      <c r="E441">
        <v>27268.777758737586</v>
      </c>
      <c r="F441">
        <v>4.5778345189999996</v>
      </c>
      <c r="G441">
        <v>2.1307228607537967</v>
      </c>
      <c r="H441">
        <f>6.97388673</f>
        <v>6.9738867300000003</v>
      </c>
      <c r="I441">
        <v>101571.540594383</v>
      </c>
      <c r="J441" s="82">
        <v>93</v>
      </c>
      <c r="K441">
        <v>23.588844610217361</v>
      </c>
      <c r="L441" t="str">
        <f t="shared" si="11"/>
        <v>OK</v>
      </c>
    </row>
    <row r="442" spans="1:12">
      <c r="A442" s="1">
        <v>54935</v>
      </c>
      <c r="B442" t="s">
        <v>13</v>
      </c>
      <c r="C442">
        <v>121</v>
      </c>
      <c r="D442">
        <f>(automotive_demand_forecasting_dataset56[[#This Row],[Units_Sold]] -$C$4) / $C$5</f>
        <v>2.1550035536030778</v>
      </c>
      <c r="E442">
        <v>31959.020027012732</v>
      </c>
      <c r="F442">
        <v>3.3749767427005235</v>
      </c>
      <c r="G442">
        <v>2.643388467342251</v>
      </c>
      <c r="H442">
        <v>5.2233704497836992</v>
      </c>
      <c r="I442">
        <v>57425.31811170376</v>
      </c>
      <c r="J442" s="82">
        <v>98</v>
      </c>
      <c r="K442">
        <v>69.803759236982529</v>
      </c>
      <c r="L442" t="str">
        <f t="shared" si="11"/>
        <v>OK</v>
      </c>
    </row>
    <row r="443" spans="1:12">
      <c r="A443" s="1">
        <v>54965</v>
      </c>
      <c r="B443" t="s">
        <v>14</v>
      </c>
      <c r="C443">
        <v>95</v>
      </c>
      <c r="D443">
        <f>(automotive_demand_forecasting_dataset56[[#This Row],[Units_Sold]] -$C$4) / $C$5</f>
        <v>-0.44644933866547226</v>
      </c>
      <c r="E443">
        <v>22605.442156129357</v>
      </c>
      <c r="F443">
        <v>3.6443468146399285</v>
      </c>
      <c r="G443">
        <v>0.72376476710168003</v>
      </c>
      <c r="H443">
        <v>6.9156702500328517</v>
      </c>
      <c r="I443">
        <v>109163.36229577397</v>
      </c>
      <c r="J443" s="82">
        <v>87</v>
      </c>
      <c r="K443">
        <v>44.713417827501289</v>
      </c>
      <c r="L443" t="str">
        <f t="shared" si="11"/>
        <v>OK</v>
      </c>
    </row>
    <row r="444" spans="1:12">
      <c r="A444" s="1">
        <v>54995</v>
      </c>
      <c r="B444" t="s">
        <v>13</v>
      </c>
      <c r="C444">
        <v>91</v>
      </c>
      <c r="D444">
        <f>(automotive_demand_forecasting_dataset56[[#This Row],[Units_Sold]] -$C$4) / $C$5</f>
        <v>-0.84667286055294144</v>
      </c>
      <c r="E444">
        <v>30916.799598895777</v>
      </c>
      <c r="F444">
        <v>3.6301609193856104</v>
      </c>
      <c r="G444">
        <v>2.9086528114806707</v>
      </c>
      <c r="H444">
        <v>5.7329291571440288</v>
      </c>
      <c r="I444">
        <v>80405.575505663859</v>
      </c>
      <c r="J444" s="82">
        <v>88</v>
      </c>
      <c r="K444">
        <v>49.498012437667676</v>
      </c>
      <c r="L444" t="str">
        <f t="shared" si="11"/>
        <v>OK</v>
      </c>
    </row>
    <row r="445" spans="1:12">
      <c r="A445" s="1">
        <v>55025</v>
      </c>
      <c r="B445" t="s">
        <v>11</v>
      </c>
      <c r="C445">
        <v>82</v>
      </c>
      <c r="D445">
        <f>(automotive_demand_forecasting_dataset56[[#This Row],[Units_Sold]] -$C$4) / $C$5</f>
        <v>-1.7471757847997473</v>
      </c>
      <c r="E445">
        <v>30949.702720000001</v>
      </c>
      <c r="F445">
        <v>3.432845629264726</v>
      </c>
      <c r="G445">
        <v>1.4706284918179284</v>
      </c>
      <c r="H445">
        <v>4.8625428464708822</v>
      </c>
      <c r="I445">
        <v>76933.351935885104</v>
      </c>
      <c r="J445" s="82">
        <v>89</v>
      </c>
      <c r="K445">
        <v>65.454227669999995</v>
      </c>
      <c r="L445" t="str">
        <f t="shared" si="11"/>
        <v>OK</v>
      </c>
    </row>
    <row r="446" spans="1:12">
      <c r="A446" s="1">
        <v>55055</v>
      </c>
      <c r="B446" t="s">
        <v>10</v>
      </c>
      <c r="C446">
        <v>100</v>
      </c>
      <c r="D446">
        <f>(automotive_demand_forecasting_dataset56[[#This Row],[Units_Sold]] -$C$4) / $C$5</f>
        <v>5.3830063693864283E-2</v>
      </c>
      <c r="E446">
        <v>32896.457498005439</v>
      </c>
      <c r="F446">
        <v>3.9054041365798913</v>
      </c>
      <c r="G446">
        <v>1.1473297141564656</v>
      </c>
      <c r="H446">
        <v>6.0806519814256479</v>
      </c>
      <c r="I446">
        <v>66253.113057785784</v>
      </c>
      <c r="J446" s="82">
        <v>92</v>
      </c>
      <c r="K446">
        <f>80.21517797</f>
        <v>80.215177969999999</v>
      </c>
      <c r="L446" t="str">
        <f t="shared" si="11"/>
        <v>OK</v>
      </c>
    </row>
    <row r="447" spans="1:12">
      <c r="A447" s="1">
        <v>55085</v>
      </c>
      <c r="B447" t="s">
        <v>10</v>
      </c>
      <c r="C447">
        <v>81</v>
      </c>
      <c r="D447">
        <f>(automotive_demand_forecasting_dataset56[[#This Row],[Units_Sold]] -$C$4) / $C$5</f>
        <v>-1.8472316652716145</v>
      </c>
      <c r="E447">
        <v>30597.901842070765</v>
      </c>
      <c r="F447">
        <v>3.8967443602761067</v>
      </c>
      <c r="G447">
        <v>2.6520564320000002</v>
      </c>
      <c r="H447">
        <v>4.1772494201962918</v>
      </c>
      <c r="I447">
        <v>64122.150042642192</v>
      </c>
      <c r="J447" s="82">
        <v>99</v>
      </c>
      <c r="K447">
        <v>52.028530147186451</v>
      </c>
      <c r="L447" t="str">
        <f t="shared" si="11"/>
        <v>OK</v>
      </c>
    </row>
    <row r="448" spans="1:12">
      <c r="A448" s="1">
        <v>55115</v>
      </c>
      <c r="B448" t="s">
        <v>11</v>
      </c>
      <c r="C448">
        <v>101</v>
      </c>
      <c r="D448">
        <f>(automotive_demand_forecasting_dataset56[[#This Row],[Units_Sold]] -$C$4) / $C$5</f>
        <v>0.15388594416573159</v>
      </c>
      <c r="E448">
        <v>25134.655295592223</v>
      </c>
      <c r="F448">
        <v>2.6257340133809097</v>
      </c>
      <c r="G448">
        <v>3.6126883749899252</v>
      </c>
      <c r="H448">
        <v>6.3176314125315374</v>
      </c>
      <c r="I448">
        <v>72891.049937754215</v>
      </c>
      <c r="J448" s="82">
        <v>82</v>
      </c>
      <c r="K448">
        <v>95.772234880508378</v>
      </c>
      <c r="L448" t="str">
        <f t="shared" si="11"/>
        <v>OK</v>
      </c>
    </row>
    <row r="449" spans="1:12">
      <c r="A449" s="1">
        <v>55145</v>
      </c>
      <c r="B449" t="s">
        <v>12</v>
      </c>
      <c r="C449">
        <v>95</v>
      </c>
      <c r="D449">
        <f>(automotive_demand_forecasting_dataset56[[#This Row],[Units_Sold]] -$C$4) / $C$5</f>
        <v>-0.44644933866547226</v>
      </c>
      <c r="E449">
        <v>35982.857508322457</v>
      </c>
      <c r="F449">
        <v>4.1521701214390765</v>
      </c>
      <c r="G449">
        <v>2.6520564320000002</v>
      </c>
      <c r="H449">
        <v>5.9903287692421214</v>
      </c>
      <c r="I449">
        <v>85819.580847390185</v>
      </c>
      <c r="J449" s="82">
        <v>83</v>
      </c>
      <c r="K449">
        <v>52.51701743616578</v>
      </c>
      <c r="L449" t="str">
        <f t="shared" si="11"/>
        <v>OK</v>
      </c>
    </row>
    <row r="450" spans="1:12">
      <c r="A450" s="1">
        <v>55175</v>
      </c>
      <c r="B450" t="s">
        <v>13</v>
      </c>
      <c r="C450">
        <v>114</v>
      </c>
      <c r="D450">
        <f>(automotive_demand_forecasting_dataset56[[#This Row],[Units_Sold]] -$C$4) / $C$5</f>
        <v>1.4546123903000066</v>
      </c>
      <c r="E450">
        <v>29207.352134865148</v>
      </c>
      <c r="F450">
        <v>2.6687540059821631</v>
      </c>
      <c r="G450">
        <v>4.0337277099164996</v>
      </c>
      <c r="H450">
        <v>5.1306298346333392</v>
      </c>
      <c r="I450">
        <v>139065.18275053136</v>
      </c>
      <c r="J450" s="82">
        <v>94</v>
      </c>
      <c r="K450">
        <v>81.746882818408793</v>
      </c>
      <c r="L450" t="str">
        <f t="shared" si="11"/>
        <v>OK</v>
      </c>
    </row>
    <row r="451" spans="1:12">
      <c r="A451" s="1">
        <v>55205</v>
      </c>
      <c r="B451" t="s">
        <v>11</v>
      </c>
      <c r="C451">
        <v>92</v>
      </c>
      <c r="D451">
        <f>(automotive_demand_forecasting_dataset56[[#This Row],[Units_Sold]] -$C$4) / $C$5</f>
        <v>-0.74661698008107413</v>
      </c>
      <c r="E451">
        <v>38106.295579999998</v>
      </c>
      <c r="F451">
        <v>4.0162731021708282</v>
      </c>
      <c r="G451">
        <v>1.9641985369477022</v>
      </c>
      <c r="H451">
        <v>4.4936970418633226</v>
      </c>
      <c r="I451">
        <v>89482.406482095917</v>
      </c>
      <c r="J451" s="82">
        <v>88</v>
      </c>
      <c r="K451">
        <v>58.710181165140725</v>
      </c>
      <c r="L451" t="str">
        <f t="shared" si="11"/>
        <v>OK</v>
      </c>
    </row>
    <row r="452" spans="1:12">
      <c r="A452" s="1">
        <v>55235</v>
      </c>
      <c r="B452" t="s">
        <v>10</v>
      </c>
      <c r="C452">
        <v>113</v>
      </c>
      <c r="D452">
        <f>(automotive_demand_forecasting_dataset56[[#This Row],[Units_Sold]] -$C$4) / $C$5</f>
        <v>1.3545565098281394</v>
      </c>
      <c r="E452">
        <v>25333.660204634019</v>
      </c>
      <c r="F452">
        <v>4.5778345189999996</v>
      </c>
      <c r="G452">
        <v>0.79264204240705327</v>
      </c>
      <c r="H452">
        <v>4.4359828932598511</v>
      </c>
      <c r="I452">
        <v>103555.00212536062</v>
      </c>
      <c r="J452" s="82">
        <v>92</v>
      </c>
      <c r="K452">
        <v>91.802586121766723</v>
      </c>
      <c r="L452" t="str">
        <f t="shared" si="11"/>
        <v>OK</v>
      </c>
    </row>
    <row r="453" spans="1:12">
      <c r="A453" s="1">
        <v>55265</v>
      </c>
      <c r="B453" t="s">
        <v>10</v>
      </c>
      <c r="C453">
        <v>113</v>
      </c>
      <c r="D453">
        <f>(automotive_demand_forecasting_dataset56[[#This Row],[Units_Sold]] -$C$4) / $C$5</f>
        <v>1.3545565098281394</v>
      </c>
      <c r="E453">
        <v>27783.588744042449</v>
      </c>
      <c r="F453">
        <v>2.9545167848924008</v>
      </c>
      <c r="G453">
        <v>1.3834755600513409</v>
      </c>
      <c r="H453">
        <v>6.1417808036150925</v>
      </c>
      <c r="I453">
        <v>108009.62773012658</v>
      </c>
      <c r="J453" s="82">
        <v>78</v>
      </c>
      <c r="K453">
        <v>92.620899492014289</v>
      </c>
      <c r="L453" t="str">
        <f t="shared" si="11"/>
        <v>OK</v>
      </c>
    </row>
    <row r="454" spans="1:12">
      <c r="A454" s="1">
        <v>55295</v>
      </c>
      <c r="B454" t="s">
        <v>13</v>
      </c>
      <c r="C454">
        <v>120</v>
      </c>
      <c r="D454">
        <f>(automotive_demand_forecasting_dataset56[[#This Row],[Units_Sold]] -$C$4) / $C$5</f>
        <v>2.0549476731312106</v>
      </c>
      <c r="E454">
        <v>25575.986429865494</v>
      </c>
      <c r="F454">
        <v>3.2945928560227076</v>
      </c>
      <c r="G454">
        <v>3.7358116200069387</v>
      </c>
      <c r="H454">
        <v>6.9747766029868741</v>
      </c>
      <c r="I454">
        <f>128897.2893</f>
        <v>128897.2893</v>
      </c>
      <c r="J454" s="82">
        <v>102</v>
      </c>
      <c r="K454">
        <v>26.99334462968671</v>
      </c>
      <c r="L454" t="str">
        <f t="shared" si="11"/>
        <v>OK</v>
      </c>
    </row>
    <row r="455" spans="1:12">
      <c r="A455" s="1">
        <v>55325</v>
      </c>
      <c r="B455" t="s">
        <v>14</v>
      </c>
      <c r="C455">
        <v>108</v>
      </c>
      <c r="D455">
        <f>(automotive_demand_forecasting_dataset56[[#This Row],[Units_Sold]] -$C$4) / $C$5</f>
        <v>0.8542771074688027</v>
      </c>
      <c r="E455">
        <v>29135.269700382883</v>
      </c>
      <c r="F455">
        <v>2.9471476657570319</v>
      </c>
      <c r="G455">
        <v>2.3441018220633323</v>
      </c>
      <c r="H455">
        <v>4.7352307035654464</v>
      </c>
      <c r="I455">
        <v>98451.130785480127</v>
      </c>
      <c r="J455" s="82">
        <v>96</v>
      </c>
      <c r="K455">
        <v>94.919466504818061</v>
      </c>
      <c r="L455" t="str">
        <f t="shared" si="11"/>
        <v>OK</v>
      </c>
    </row>
    <row r="456" spans="1:12">
      <c r="A456" s="1">
        <v>55355</v>
      </c>
      <c r="B456" t="s">
        <v>11</v>
      </c>
      <c r="C456">
        <v>99</v>
      </c>
      <c r="D456">
        <f>(automotive_demand_forecasting_dataset56[[#This Row],[Units_Sold]] -$C$4) / $C$5</f>
        <v>-4.6225816778003026E-2</v>
      </c>
      <c r="E456">
        <v>38558.542400711718</v>
      </c>
      <c r="F456">
        <v>3.3925394848556323</v>
      </c>
      <c r="G456">
        <v>1.9517127035093991</v>
      </c>
      <c r="H456">
        <v>6.0500640442617808</v>
      </c>
      <c r="I456">
        <v>76094.1247280151</v>
      </c>
      <c r="J456" s="82">
        <v>75</v>
      </c>
      <c r="K456">
        <v>86.042787321633256</v>
      </c>
      <c r="L456" t="str">
        <f t="shared" si="11"/>
        <v>OK</v>
      </c>
    </row>
    <row r="457" spans="1:12">
      <c r="A457" s="1">
        <v>55385</v>
      </c>
      <c r="B457" t="s">
        <v>11</v>
      </c>
      <c r="C457">
        <v>108</v>
      </c>
      <c r="D457">
        <f>(automotive_demand_forecasting_dataset56[[#This Row],[Units_Sold]] -$C$4) / $C$5</f>
        <v>0.8542771074688027</v>
      </c>
      <c r="E457">
        <v>23140.494285343219</v>
      </c>
      <c r="F457">
        <v>3.3459828579071296</v>
      </c>
      <c r="G457">
        <v>2.6600182258527876</v>
      </c>
      <c r="H457">
        <v>2.9955675776775177</v>
      </c>
      <c r="I457">
        <v>129018.55096558423</v>
      </c>
      <c r="J457" s="82">
        <v>87</v>
      </c>
      <c r="K457">
        <v>83.304857145013358</v>
      </c>
      <c r="L457" t="str">
        <f t="shared" si="11"/>
        <v>OK</v>
      </c>
    </row>
    <row r="458" spans="1:12">
      <c r="A458" s="1">
        <v>55415</v>
      </c>
      <c r="B458" t="s">
        <v>14</v>
      </c>
      <c r="C458">
        <v>98</v>
      </c>
      <c r="D458">
        <f>(automotive_demand_forecasting_dataset56[[#This Row],[Units_Sold]] -$C$4) / $C$5</f>
        <v>-0.14628169724987033</v>
      </c>
      <c r="E458">
        <v>21932.193010616294</v>
      </c>
      <c r="F458">
        <v>3.8898302661346698</v>
      </c>
      <c r="G458">
        <v>3.0017827361675451</v>
      </c>
      <c r="H458">
        <v>4.7984587232113602</v>
      </c>
      <c r="I458">
        <v>136143.93287275769</v>
      </c>
      <c r="J458" s="82">
        <v>90</v>
      </c>
      <c r="K458">
        <v>36.072907174841795</v>
      </c>
      <c r="L458" t="str">
        <f t="shared" si="11"/>
        <v>OK</v>
      </c>
    </row>
    <row r="459" spans="1:12">
      <c r="A459" s="1">
        <v>55445</v>
      </c>
      <c r="B459" t="s">
        <v>13</v>
      </c>
      <c r="C459">
        <v>92</v>
      </c>
      <c r="D459">
        <f>(automotive_demand_forecasting_dataset56[[#This Row],[Units_Sold]] -$C$4) / $C$5</f>
        <v>-0.74661698008107413</v>
      </c>
      <c r="E459">
        <v>37355.85163746804</v>
      </c>
      <c r="F459">
        <v>4.155154373059804</v>
      </c>
      <c r="G459">
        <v>3.6173988159024608</v>
      </c>
      <c r="H459">
        <v>5.4627292805549175</v>
      </c>
      <c r="I459">
        <v>66346.826117546283</v>
      </c>
      <c r="J459" s="82">
        <v>86</v>
      </c>
      <c r="K459">
        <v>84.409536700373195</v>
      </c>
      <c r="L459" t="str">
        <f t="shared" ref="L459:L510" si="13">IF(COUNTA(A459:K459)&lt;COLUMNS(A459:K459), "Missing Data", "OK")</f>
        <v>OK</v>
      </c>
    </row>
    <row r="460" spans="1:12">
      <c r="A460" s="1">
        <v>55475</v>
      </c>
      <c r="B460" t="s">
        <v>13</v>
      </c>
      <c r="C460">
        <v>96</v>
      </c>
      <c r="D460">
        <f>(automotive_demand_forecasting_dataset56[[#This Row],[Units_Sold]] -$C$4) / $C$5</f>
        <v>-0.34639345819360495</v>
      </c>
      <c r="E460">
        <v>28953.381614240669</v>
      </c>
      <c r="F460">
        <v>4.197841905394978</v>
      </c>
      <c r="G460">
        <v>3.948499229892926</v>
      </c>
      <c r="H460">
        <v>4.4083798996217993</v>
      </c>
      <c r="I460">
        <v>79519.428182272415</v>
      </c>
      <c r="J460" s="82">
        <v>85</v>
      </c>
      <c r="K460">
        <v>88.01061877480295</v>
      </c>
      <c r="L460" t="str">
        <f t="shared" si="13"/>
        <v>OK</v>
      </c>
    </row>
    <row r="461" spans="1:12">
      <c r="A461" s="1">
        <v>55505</v>
      </c>
      <c r="B461" t="s">
        <v>10</v>
      </c>
      <c r="C461">
        <v>94</v>
      </c>
      <c r="D461">
        <f>(automotive_demand_forecasting_dataset56[[#This Row],[Units_Sold]] -$C$4) / $C$5</f>
        <v>-0.54650521913733952</v>
      </c>
      <c r="E461">
        <v>26654.636306700417</v>
      </c>
      <c r="F461">
        <v>3.218915986710849</v>
      </c>
      <c r="G461">
        <v>2.6520564320000002</v>
      </c>
      <c r="H461">
        <v>4.3761923502524844</v>
      </c>
      <c r="I461">
        <f>128897.2893</f>
        <v>128897.2893</v>
      </c>
      <c r="J461" s="82">
        <v>95</v>
      </c>
      <c r="K461">
        <v>43.132026756332074</v>
      </c>
      <c r="L461" t="str">
        <f t="shared" si="13"/>
        <v>OK</v>
      </c>
    </row>
    <row r="462" spans="1:12">
      <c r="A462" s="1">
        <v>55535</v>
      </c>
      <c r="B462" t="s">
        <v>14</v>
      </c>
      <c r="C462">
        <v>75</v>
      </c>
      <c r="D462">
        <f>(automotive_demand_forecasting_dataset56[[#This Row],[Units_Sold]] -$C$4) / $C$5</f>
        <v>-2.4475669481028186</v>
      </c>
      <c r="E462">
        <v>35199.52343698038</v>
      </c>
      <c r="F462">
        <v>3.3953890631277361</v>
      </c>
      <c r="G462">
        <v>1.1739523139179617</v>
      </c>
      <c r="H462">
        <v>4.6986645322373368</v>
      </c>
      <c r="I462">
        <v>80709.244101796168</v>
      </c>
      <c r="J462" s="82">
        <v>97</v>
      </c>
      <c r="K462">
        <v>96.180806268985904</v>
      </c>
      <c r="L462" t="str">
        <f t="shared" si="13"/>
        <v>OK</v>
      </c>
    </row>
    <row r="463" spans="1:12">
      <c r="A463" s="1">
        <v>55565</v>
      </c>
      <c r="B463" t="s">
        <v>13</v>
      </c>
      <c r="C463">
        <v>97</v>
      </c>
      <c r="D463">
        <f>(automotive_demand_forecasting_dataset56[[#This Row],[Units_Sold]] -$C$4) / $C$5</f>
        <v>-0.24633757772173764</v>
      </c>
      <c r="E463">
        <v>26971.922301315681</v>
      </c>
      <c r="F463">
        <v>2.658280903889525</v>
      </c>
      <c r="G463">
        <v>2.086534838876724</v>
      </c>
      <c r="H463">
        <v>5.850631273991648</v>
      </c>
      <c r="I463">
        <v>110119.31106911731</v>
      </c>
      <c r="J463" s="82">
        <v>68</v>
      </c>
      <c r="K463">
        <v>23.988811711933138</v>
      </c>
      <c r="L463" t="str">
        <f t="shared" si="13"/>
        <v>OK</v>
      </c>
    </row>
    <row r="464" spans="1:12">
      <c r="A464" s="1">
        <v>55595</v>
      </c>
      <c r="B464" t="s">
        <v>12</v>
      </c>
      <c r="C464">
        <v>100</v>
      </c>
      <c r="D464">
        <f>(automotive_demand_forecasting_dataset56[[#This Row],[Units_Sold]] -$C$4) / $C$5</f>
        <v>5.3830063693864283E-2</v>
      </c>
      <c r="E464">
        <v>38106.295579999998</v>
      </c>
      <c r="F464">
        <v>3.0970649667519057</v>
      </c>
      <c r="G464">
        <v>2.7602805065828862</v>
      </c>
      <c r="H464">
        <v>5.2752051779123503</v>
      </c>
      <c r="I464">
        <v>85434.555951867733</v>
      </c>
      <c r="J464" s="82">
        <v>86</v>
      </c>
      <c r="K464">
        <v>31.992740259771175</v>
      </c>
      <c r="L464" t="str">
        <f t="shared" si="13"/>
        <v>OK</v>
      </c>
    </row>
    <row r="465" spans="1:12">
      <c r="A465" s="1">
        <v>55625</v>
      </c>
      <c r="B465" t="s">
        <v>11</v>
      </c>
      <c r="C465">
        <v>98</v>
      </c>
      <c r="D465">
        <f>(automotive_demand_forecasting_dataset56[[#This Row],[Units_Sold]] -$C$4) / $C$5</f>
        <v>-0.14628169724987033</v>
      </c>
      <c r="E465">
        <v>33389.629356696343</v>
      </c>
      <c r="F465">
        <v>3.9824258165487287</v>
      </c>
      <c r="G465">
        <v>1.5362410737893892</v>
      </c>
      <c r="H465">
        <v>2.8141225200100335</v>
      </c>
      <c r="I465">
        <v>143301.12135613203</v>
      </c>
      <c r="J465" s="82">
        <v>90</v>
      </c>
      <c r="K465">
        <v>63.006491044121148</v>
      </c>
      <c r="L465" t="str">
        <f t="shared" si="13"/>
        <v>OK</v>
      </c>
    </row>
    <row r="466" spans="1:12">
      <c r="A466" s="1">
        <v>55655</v>
      </c>
      <c r="B466" t="s">
        <v>10</v>
      </c>
      <c r="C466">
        <v>121</v>
      </c>
      <c r="D466">
        <f>(automotive_demand_forecasting_dataset56[[#This Row],[Units_Sold]] -$C$4) / $C$5</f>
        <v>2.1550035536030778</v>
      </c>
      <c r="E466">
        <v>27560.442959271488</v>
      </c>
      <c r="F466">
        <v>4.3077914117741161</v>
      </c>
      <c r="G466">
        <v>1.5428490851049572</v>
      </c>
      <c r="H466">
        <v>2.9551598168379205</v>
      </c>
      <c r="I466">
        <v>123810.97188687192</v>
      </c>
      <c r="J466" s="82">
        <v>80</v>
      </c>
      <c r="K466">
        <v>66.063397689784779</v>
      </c>
      <c r="L466" t="str">
        <f t="shared" si="13"/>
        <v>OK</v>
      </c>
    </row>
    <row r="467" spans="1:12">
      <c r="A467" s="1">
        <v>55685</v>
      </c>
      <c r="B467" t="s">
        <v>14</v>
      </c>
      <c r="C467">
        <v>103</v>
      </c>
      <c r="D467">
        <f>(automotive_demand_forecasting_dataset56[[#This Row],[Units_Sold]] -$C$4) / $C$5</f>
        <v>0.35399770510946621</v>
      </c>
      <c r="E467">
        <v>40786.541066327518</v>
      </c>
      <c r="F467">
        <v>4.5778345189999996</v>
      </c>
      <c r="G467">
        <v>2.6520564320000002</v>
      </c>
      <c r="H467">
        <v>4.7717617865713891</v>
      </c>
      <c r="I467">
        <v>104251.4806126443</v>
      </c>
      <c r="J467" s="82">
        <v>88</v>
      </c>
      <c r="K467">
        <v>65.454227669999995</v>
      </c>
      <c r="L467" t="str">
        <f t="shared" si="13"/>
        <v>OK</v>
      </c>
    </row>
    <row r="468" spans="1:12">
      <c r="A468" s="1">
        <v>55715</v>
      </c>
      <c r="B468" t="s">
        <v>10</v>
      </c>
      <c r="C468">
        <v>121</v>
      </c>
      <c r="D468">
        <f>(automotive_demand_forecasting_dataset56[[#This Row],[Units_Sold]] -$C$4) / $C$5</f>
        <v>2.1550035536030778</v>
      </c>
      <c r="E468">
        <v>38106.295579999998</v>
      </c>
      <c r="F468">
        <v>3.5380713799999999</v>
      </c>
      <c r="G468">
        <v>2.4513476484295489</v>
      </c>
      <c r="H468">
        <v>6.0492239032642621</v>
      </c>
      <c r="I468">
        <v>120539.72526639464</v>
      </c>
      <c r="J468" s="82">
        <v>95</v>
      </c>
      <c r="K468">
        <v>21.357530345237315</v>
      </c>
      <c r="L468" t="str">
        <f t="shared" si="13"/>
        <v>OK</v>
      </c>
    </row>
    <row r="469" spans="1:12">
      <c r="A469" s="1">
        <v>55745</v>
      </c>
      <c r="B469" t="s">
        <v>13</v>
      </c>
      <c r="C469">
        <v>103</v>
      </c>
      <c r="D469">
        <f>(automotive_demand_forecasting_dataset56[[#This Row],[Units_Sold]] -$C$4) / $C$5</f>
        <v>0.35399770510946621</v>
      </c>
      <c r="E469">
        <v>33710.476860046532</v>
      </c>
      <c r="F469">
        <v>3.4867971215205364</v>
      </c>
      <c r="G469">
        <v>2.5327969954115863</v>
      </c>
      <c r="H469">
        <v>5.616047043</v>
      </c>
      <c r="I469">
        <v>122118.00848714617</v>
      </c>
      <c r="J469" s="82">
        <v>93</v>
      </c>
      <c r="K469">
        <v>96.829341969770425</v>
      </c>
      <c r="L469" t="str">
        <f t="shared" si="13"/>
        <v>OK</v>
      </c>
    </row>
    <row r="470" spans="1:12">
      <c r="A470" s="1">
        <v>55775</v>
      </c>
      <c r="B470" t="s">
        <v>13</v>
      </c>
      <c r="C470">
        <v>91</v>
      </c>
      <c r="D470">
        <f>(automotive_demand_forecasting_dataset56[[#This Row],[Units_Sold]] -$C$4) / $C$5</f>
        <v>-0.84667286055294144</v>
      </c>
      <c r="E470">
        <v>31496.462902032461</v>
      </c>
      <c r="F470">
        <v>4.5778345189999996</v>
      </c>
      <c r="G470">
        <v>1.7415046652999306</v>
      </c>
      <c r="H470">
        <f>6.97388673</f>
        <v>6.9738867300000003</v>
      </c>
      <c r="I470">
        <v>88721.050238835131</v>
      </c>
      <c r="J470" s="82">
        <v>95</v>
      </c>
      <c r="K470">
        <v>23.567047418731519</v>
      </c>
      <c r="L470" t="str">
        <f t="shared" si="13"/>
        <v>OK</v>
      </c>
    </row>
    <row r="471" spans="1:12">
      <c r="A471" s="1">
        <v>55805</v>
      </c>
      <c r="B471" t="s">
        <v>12</v>
      </c>
      <c r="C471">
        <v>91</v>
      </c>
      <c r="D471">
        <f>(automotive_demand_forecasting_dataset56[[#This Row],[Units_Sold]] -$C$4) / $C$5</f>
        <v>-0.84667286055294144</v>
      </c>
      <c r="E471">
        <v>36508.706446993994</v>
      </c>
      <c r="F471">
        <v>3.0951982400391769</v>
      </c>
      <c r="G471">
        <v>2.2695992857942326</v>
      </c>
      <c r="H471">
        <v>4.8685025721790947</v>
      </c>
      <c r="I471">
        <v>83675.655109160711</v>
      </c>
      <c r="J471" s="82">
        <v>93</v>
      </c>
      <c r="K471">
        <v>31.444956217872189</v>
      </c>
      <c r="L471" t="str">
        <f t="shared" si="13"/>
        <v>OK</v>
      </c>
    </row>
    <row r="472" spans="1:12">
      <c r="A472" s="1">
        <v>55835</v>
      </c>
      <c r="B472" t="s">
        <v>11</v>
      </c>
      <c r="C472">
        <v>100</v>
      </c>
      <c r="D472">
        <f>(automotive_demand_forecasting_dataset56[[#This Row],[Units_Sold]] -$C$4) / $C$5</f>
        <v>5.3830063693864283E-2</v>
      </c>
      <c r="E472">
        <v>37807.555983634265</v>
      </c>
      <c r="F472">
        <v>3.7120305222320447</v>
      </c>
      <c r="G472">
        <v>1.5757668557316955</v>
      </c>
      <c r="H472">
        <v>7.166005333850137</v>
      </c>
      <c r="I472">
        <v>101562.86125939294</v>
      </c>
      <c r="J472" s="82">
        <v>81</v>
      </c>
      <c r="K472">
        <v>21.12116140208456</v>
      </c>
      <c r="L472" t="str">
        <f t="shared" si="13"/>
        <v>OK</v>
      </c>
    </row>
    <row r="473" spans="1:12">
      <c r="A473" s="1">
        <v>55865</v>
      </c>
      <c r="B473" t="s">
        <v>14</v>
      </c>
      <c r="C473">
        <v>97</v>
      </c>
      <c r="D473">
        <f>(automotive_demand_forecasting_dataset56[[#This Row],[Units_Sold]] -$C$4) / $C$5</f>
        <v>-0.24633757772173764</v>
      </c>
      <c r="E473">
        <v>30160.020745328835</v>
      </c>
      <c r="F473">
        <v>3.263080326464542</v>
      </c>
      <c r="G473">
        <v>3.3901984111247869</v>
      </c>
      <c r="H473">
        <v>5.0379738259445634</v>
      </c>
      <c r="I473">
        <v>117232.72248995888</v>
      </c>
      <c r="J473" s="82">
        <v>89</v>
      </c>
      <c r="K473">
        <v>65.348674663527575</v>
      </c>
      <c r="L473" t="str">
        <f t="shared" si="13"/>
        <v>OK</v>
      </c>
    </row>
    <row r="474" spans="1:12">
      <c r="A474" s="1">
        <v>55895</v>
      </c>
      <c r="B474" t="s">
        <v>10</v>
      </c>
      <c r="C474">
        <v>106</v>
      </c>
      <c r="D474">
        <f>(automotive_demand_forecasting_dataset56[[#This Row],[Units_Sold]] -$C$4) / $C$5</f>
        <v>0.65416534652506808</v>
      </c>
      <c r="E474">
        <v>26232.910648269084</v>
      </c>
      <c r="F474">
        <v>3.4927738645608604</v>
      </c>
      <c r="G474">
        <f>3.224108373</f>
        <v>3.224108373</v>
      </c>
      <c r="H474">
        <v>5.9595867816891142</v>
      </c>
      <c r="I474">
        <v>102781.20797306835</v>
      </c>
      <c r="J474" s="82">
        <v>73</v>
      </c>
      <c r="K474">
        <v>94.581350713677779</v>
      </c>
      <c r="L474" t="str">
        <f t="shared" si="13"/>
        <v>OK</v>
      </c>
    </row>
    <row r="475" spans="1:12">
      <c r="A475" s="1">
        <v>55925</v>
      </c>
      <c r="B475" t="s">
        <v>11</v>
      </c>
      <c r="C475">
        <v>110</v>
      </c>
      <c r="D475">
        <f>(automotive_demand_forecasting_dataset56[[#This Row],[Units_Sold]] -$C$4) / $C$5</f>
        <v>1.0543888684125373</v>
      </c>
      <c r="E475">
        <v>32299.860714695584</v>
      </c>
      <c r="F475">
        <v>4.5778345189999996</v>
      </c>
      <c r="G475">
        <v>0.65381213776190616</v>
      </c>
      <c r="H475">
        <v>5.616047043</v>
      </c>
      <c r="I475">
        <v>68460.070356180047</v>
      </c>
      <c r="J475" s="82">
        <v>90</v>
      </c>
      <c r="K475">
        <v>73.275773286437129</v>
      </c>
      <c r="L475" t="str">
        <f t="shared" si="13"/>
        <v>OK</v>
      </c>
    </row>
    <row r="476" spans="1:12">
      <c r="A476" s="1">
        <v>55955</v>
      </c>
      <c r="B476" t="s">
        <v>13</v>
      </c>
      <c r="C476">
        <v>91</v>
      </c>
      <c r="D476">
        <f>(automotive_demand_forecasting_dataset56[[#This Row],[Units_Sold]] -$C$4) / $C$5</f>
        <v>-0.84667286055294144</v>
      </c>
      <c r="E476">
        <v>26611.423151239469</v>
      </c>
      <c r="F476">
        <v>3.5032111349054689</v>
      </c>
      <c r="G476">
        <v>1.57048913980759</v>
      </c>
      <c r="H476">
        <v>2.9433202242313592</v>
      </c>
      <c r="I476">
        <v>83943.511120983152</v>
      </c>
      <c r="J476" s="82">
        <v>91</v>
      </c>
      <c r="K476">
        <v>85.812597478434185</v>
      </c>
      <c r="L476" t="str">
        <f t="shared" si="13"/>
        <v>OK</v>
      </c>
    </row>
    <row r="477" spans="1:12">
      <c r="A477" s="1">
        <v>55985</v>
      </c>
      <c r="B477" t="s">
        <v>11</v>
      </c>
      <c r="C477">
        <v>103</v>
      </c>
      <c r="D477">
        <f>(automotive_demand_forecasting_dataset56[[#This Row],[Units_Sold]] -$C$4) / $C$5</f>
        <v>0.35399770510946621</v>
      </c>
      <c r="E477">
        <v>40066.936237633112</v>
      </c>
      <c r="F477">
        <v>3.2818070547367157</v>
      </c>
      <c r="G477">
        <v>1.0034707449099209</v>
      </c>
      <c r="H477">
        <v>6.4218486599580844</v>
      </c>
      <c r="I477">
        <v>98520.542728112443</v>
      </c>
      <c r="J477" s="82">
        <v>84</v>
      </c>
      <c r="K477">
        <v>21.062496276686407</v>
      </c>
      <c r="L477" t="str">
        <f t="shared" si="13"/>
        <v>OK</v>
      </c>
    </row>
    <row r="478" spans="1:12">
      <c r="A478" s="1">
        <v>56015</v>
      </c>
      <c r="B478" t="s">
        <v>10</v>
      </c>
      <c r="C478">
        <v>84</v>
      </c>
      <c r="D478">
        <f>(automotive_demand_forecasting_dataset56[[#This Row],[Units_Sold]] -$C$4) / $C$5</f>
        <v>-1.5470640238560127</v>
      </c>
      <c r="E478">
        <v>30682.676655413688</v>
      </c>
      <c r="F478">
        <v>3.4451950980370847</v>
      </c>
      <c r="G478">
        <v>1.8499760655931019</v>
      </c>
      <c r="H478">
        <v>5.7584758065475459</v>
      </c>
      <c r="I478">
        <v>98486.687913483402</v>
      </c>
      <c r="J478" s="82">
        <v>81</v>
      </c>
      <c r="K478">
        <v>63.361223878378084</v>
      </c>
      <c r="L478" t="str">
        <f t="shared" si="13"/>
        <v>OK</v>
      </c>
    </row>
    <row r="479" spans="1:12">
      <c r="A479" s="1">
        <v>56045</v>
      </c>
      <c r="B479" t="s">
        <v>11</v>
      </c>
      <c r="C479">
        <v>93</v>
      </c>
      <c r="D479">
        <f>(automotive_demand_forecasting_dataset56[[#This Row],[Units_Sold]] -$C$4) / $C$5</f>
        <v>-0.64656109960920682</v>
      </c>
      <c r="E479">
        <v>28173.392243439455</v>
      </c>
      <c r="F479">
        <v>3.4558185203973322</v>
      </c>
      <c r="G479">
        <v>2.4165620302096391</v>
      </c>
      <c r="H479">
        <v>6.1099223676095074</v>
      </c>
      <c r="I479">
        <v>139450.84353579616</v>
      </c>
      <c r="J479" s="82">
        <v>96</v>
      </c>
      <c r="K479">
        <v>56.765038200441751</v>
      </c>
      <c r="L479" t="str">
        <f t="shared" si="13"/>
        <v>OK</v>
      </c>
    </row>
    <row r="480" spans="1:12">
      <c r="A480" s="1">
        <v>56075</v>
      </c>
      <c r="B480" t="s">
        <v>13</v>
      </c>
      <c r="C480">
        <v>113</v>
      </c>
      <c r="D480">
        <f>(automotive_demand_forecasting_dataset56[[#This Row],[Units_Sold]] -$C$4) / $C$5</f>
        <v>1.3545565098281394</v>
      </c>
      <c r="E480">
        <v>30949.702720000001</v>
      </c>
      <c r="F480">
        <v>3.3149944850589361</v>
      </c>
      <c r="G480">
        <v>1.0503547803014699</v>
      </c>
      <c r="H480">
        <v>5.616047043</v>
      </c>
      <c r="I480">
        <v>72280.24115202004</v>
      </c>
      <c r="J480" s="82">
        <v>86</v>
      </c>
      <c r="K480">
        <v>59.917435537663444</v>
      </c>
      <c r="L480" t="str">
        <f t="shared" si="13"/>
        <v>OK</v>
      </c>
    </row>
    <row r="481" spans="1:12">
      <c r="A481" s="1">
        <v>56105</v>
      </c>
      <c r="B481" t="s">
        <v>11</v>
      </c>
      <c r="C481">
        <v>105</v>
      </c>
      <c r="D481">
        <f>(automotive_demand_forecasting_dataset56[[#This Row],[Units_Sold]] -$C$4) / $C$5</f>
        <v>0.55410946605320077</v>
      </c>
      <c r="E481">
        <v>23264.368552351516</v>
      </c>
      <c r="F481">
        <v>3.370601968666449</v>
      </c>
      <c r="G481">
        <v>1.5781401868746867</v>
      </c>
      <c r="H481">
        <v>5.616047043</v>
      </c>
      <c r="I481">
        <v>110111.78483671749</v>
      </c>
      <c r="J481" s="82">
        <v>99</v>
      </c>
      <c r="K481">
        <v>25.777054826815036</v>
      </c>
      <c r="L481" t="str">
        <f t="shared" si="13"/>
        <v>OK</v>
      </c>
    </row>
    <row r="482" spans="1:12">
      <c r="A482" s="1">
        <v>56135</v>
      </c>
      <c r="B482" t="s">
        <v>14</v>
      </c>
      <c r="C482">
        <v>83</v>
      </c>
      <c r="D482">
        <f>(automotive_demand_forecasting_dataset56[[#This Row],[Units_Sold]] -$C$4) / $C$5</f>
        <v>-1.6471199043278799</v>
      </c>
      <c r="E482">
        <v>25141.929807446744</v>
      </c>
      <c r="F482">
        <v>4.2993235852523588</v>
      </c>
      <c r="G482">
        <v>1.4960426279185015</v>
      </c>
      <c r="H482">
        <v>7.5696359797133299</v>
      </c>
      <c r="I482">
        <v>129782.26216656579</v>
      </c>
      <c r="J482" s="82">
        <v>72</v>
      </c>
      <c r="K482">
        <v>74.754828885544597</v>
      </c>
      <c r="L482" t="str">
        <f t="shared" si="13"/>
        <v>OK</v>
      </c>
    </row>
    <row r="483" spans="1:12">
      <c r="A483" s="1">
        <v>56165</v>
      </c>
      <c r="B483" t="s">
        <v>11</v>
      </c>
      <c r="C483">
        <v>96</v>
      </c>
      <c r="D483">
        <f>(automotive_demand_forecasting_dataset56[[#This Row],[Units_Sold]] -$C$4) / $C$5</f>
        <v>-0.34639345819360495</v>
      </c>
      <c r="E483">
        <v>36002.069539722128</v>
      </c>
      <c r="F483">
        <v>3.7804597239706195</v>
      </c>
      <c r="G483">
        <v>2.707267329398944</v>
      </c>
      <c r="H483">
        <v>5.1550629767195737</v>
      </c>
      <c r="I483">
        <v>145428.99490845593</v>
      </c>
      <c r="J483" s="82">
        <v>83</v>
      </c>
      <c r="K483">
        <v>60.257633188690754</v>
      </c>
      <c r="L483" t="str">
        <f t="shared" si="13"/>
        <v>OK</v>
      </c>
    </row>
    <row r="484" spans="1:12">
      <c r="A484" s="1">
        <v>56195</v>
      </c>
      <c r="B484" t="s">
        <v>14</v>
      </c>
      <c r="C484">
        <v>107</v>
      </c>
      <c r="D484">
        <f>(automotive_demand_forecasting_dataset56[[#This Row],[Units_Sold]] -$C$4) / $C$5</f>
        <v>0.75422122699693539</v>
      </c>
      <c r="E484">
        <v>26715.528605143023</v>
      </c>
      <c r="F484">
        <v>3.3522598409854196</v>
      </c>
      <c r="G484">
        <v>2.5693443370362505</v>
      </c>
      <c r="H484">
        <v>5.8447946852836115</v>
      </c>
      <c r="I484">
        <v>91912.051536320767</v>
      </c>
      <c r="J484" s="82">
        <v>98</v>
      </c>
      <c r="K484">
        <v>81.211907988901118</v>
      </c>
      <c r="L484" t="str">
        <f t="shared" si="13"/>
        <v>OK</v>
      </c>
    </row>
    <row r="485" spans="1:12">
      <c r="A485" s="1">
        <v>56225</v>
      </c>
      <c r="B485" t="s">
        <v>11</v>
      </c>
      <c r="C485">
        <v>83</v>
      </c>
      <c r="D485">
        <f>(automotive_demand_forecasting_dataset56[[#This Row],[Units_Sold]] -$C$4) / $C$5</f>
        <v>-1.6471199043278799</v>
      </c>
      <c r="E485">
        <v>24765.445086590302</v>
      </c>
      <c r="F485">
        <v>3.8484772022553679</v>
      </c>
      <c r="G485">
        <v>1.7782624466627466</v>
      </c>
      <c r="H485">
        <v>5.4453853056385091</v>
      </c>
      <c r="I485">
        <v>109828.589054404</v>
      </c>
      <c r="J485" s="82">
        <v>101</v>
      </c>
      <c r="K485">
        <v>58.823250724937225</v>
      </c>
      <c r="L485" t="str">
        <f t="shared" si="13"/>
        <v>OK</v>
      </c>
    </row>
    <row r="486" spans="1:12">
      <c r="A486" s="1">
        <v>56255</v>
      </c>
      <c r="B486" t="s">
        <v>13</v>
      </c>
      <c r="C486">
        <v>105</v>
      </c>
      <c r="D486">
        <f>(automotive_demand_forecasting_dataset56[[#This Row],[Units_Sold]] -$C$4) / $C$5</f>
        <v>0.55410946605320077</v>
      </c>
      <c r="E486">
        <v>32683.26376263643</v>
      </c>
      <c r="F486">
        <v>3.333090255121995</v>
      </c>
      <c r="G486">
        <v>2.6768208721393978</v>
      </c>
      <c r="H486">
        <v>4.990916399922348</v>
      </c>
      <c r="I486">
        <v>111395.20714397293</v>
      </c>
      <c r="J486" s="82">
        <v>90</v>
      </c>
      <c r="K486">
        <v>31.950530898114565</v>
      </c>
      <c r="L486" t="str">
        <f t="shared" si="13"/>
        <v>OK</v>
      </c>
    </row>
    <row r="487" spans="1:12">
      <c r="A487" s="1">
        <v>56285</v>
      </c>
      <c r="B487" t="s">
        <v>12</v>
      </c>
      <c r="C487">
        <v>112</v>
      </c>
      <c r="D487">
        <f>(automotive_demand_forecasting_dataset56[[#This Row],[Units_Sold]] -$C$4) / $C$5</f>
        <v>1.2545006293562719</v>
      </c>
      <c r="E487">
        <v>35928.520773314987</v>
      </c>
      <c r="F487">
        <v>4.0865623187933204</v>
      </c>
      <c r="G487">
        <v>1.9533199154127345</v>
      </c>
      <c r="H487">
        <v>4.8162004861134893</v>
      </c>
      <c r="I487">
        <v>103909.63463106581</v>
      </c>
      <c r="J487" s="82">
        <v>71</v>
      </c>
      <c r="K487">
        <v>71.860556326225762</v>
      </c>
      <c r="L487" t="str">
        <f t="shared" si="13"/>
        <v>OK</v>
      </c>
    </row>
    <row r="488" spans="1:12">
      <c r="A488" s="1">
        <v>56315</v>
      </c>
      <c r="B488" t="s">
        <v>12</v>
      </c>
      <c r="C488">
        <v>99</v>
      </c>
      <c r="D488">
        <f>(automotive_demand_forecasting_dataset56[[#This Row],[Units_Sold]] -$C$4) / $C$5</f>
        <v>-4.6225816778003026E-2</v>
      </c>
      <c r="E488">
        <v>33594.766553325331</v>
      </c>
      <c r="F488">
        <v>3.6848210960990468</v>
      </c>
      <c r="G488">
        <v>2.2283448896739468</v>
      </c>
      <c r="H488">
        <v>5.8954104826876108</v>
      </c>
      <c r="I488">
        <v>98023.095975213873</v>
      </c>
      <c r="J488" s="82">
        <v>85</v>
      </c>
      <c r="K488">
        <v>33.790908968413298</v>
      </c>
      <c r="L488" t="str">
        <f t="shared" si="13"/>
        <v>OK</v>
      </c>
    </row>
    <row r="489" spans="1:12">
      <c r="A489" s="1">
        <v>56345</v>
      </c>
      <c r="B489" t="s">
        <v>14</v>
      </c>
      <c r="C489">
        <v>111</v>
      </c>
      <c r="D489">
        <f>(automotive_demand_forecasting_dataset56[[#This Row],[Units_Sold]] -$C$4) / $C$5</f>
        <v>1.1544447488844047</v>
      </c>
      <c r="E489">
        <v>34980.238429029079</v>
      </c>
      <c r="F489">
        <v>3.4463489279978856</v>
      </c>
      <c r="G489">
        <v>4.1734520902985368</v>
      </c>
      <c r="H489">
        <v>3.6793915639939851</v>
      </c>
      <c r="I489">
        <v>108719.50779000092</v>
      </c>
      <c r="J489" s="82">
        <v>98</v>
      </c>
      <c r="K489">
        <v>89.791565068385196</v>
      </c>
      <c r="L489" t="str">
        <f t="shared" si="13"/>
        <v>OK</v>
      </c>
    </row>
    <row r="490" spans="1:12">
      <c r="A490" s="1">
        <v>56375</v>
      </c>
      <c r="B490" t="s">
        <v>14</v>
      </c>
      <c r="C490">
        <v>105</v>
      </c>
      <c r="D490">
        <f>(automotive_demand_forecasting_dataset56[[#This Row],[Units_Sold]] -$C$4) / $C$5</f>
        <v>0.55410946605320077</v>
      </c>
      <c r="E490">
        <v>26216.024557152698</v>
      </c>
      <c r="F490">
        <v>3.723858462905139</v>
      </c>
      <c r="G490">
        <v>3.8404610517903479</v>
      </c>
      <c r="H490">
        <v>6.4006950010261185</v>
      </c>
      <c r="I490">
        <v>49355.07829560629</v>
      </c>
      <c r="J490" s="82">
        <v>100</v>
      </c>
      <c r="K490">
        <v>69.049299125539321</v>
      </c>
      <c r="L490" t="str">
        <f t="shared" si="13"/>
        <v>OK</v>
      </c>
    </row>
    <row r="491" spans="1:12">
      <c r="A491" s="1">
        <v>56405</v>
      </c>
      <c r="B491" t="s">
        <v>12</v>
      </c>
      <c r="C491">
        <v>93</v>
      </c>
      <c r="D491">
        <f>(automotive_demand_forecasting_dataset56[[#This Row],[Units_Sold]] -$C$4) / $C$5</f>
        <v>-0.64656109960920682</v>
      </c>
      <c r="E491">
        <v>22890.94666629078</v>
      </c>
      <c r="F491">
        <v>2.7145619239657504</v>
      </c>
      <c r="G491">
        <v>1.2004187630724024</v>
      </c>
      <c r="H491">
        <v>5.0005667141376957</v>
      </c>
      <c r="I491">
        <v>113641.38980125263</v>
      </c>
      <c r="J491" s="82">
        <v>88</v>
      </c>
      <c r="K491">
        <v>32.57631068455634</v>
      </c>
      <c r="L491" t="str">
        <f t="shared" si="13"/>
        <v>OK</v>
      </c>
    </row>
    <row r="492" spans="1:12">
      <c r="A492" s="1">
        <v>56435</v>
      </c>
      <c r="B492" t="s">
        <v>13</v>
      </c>
      <c r="C492">
        <v>109</v>
      </c>
      <c r="D492">
        <f>(automotive_demand_forecasting_dataset56[[#This Row],[Units_Sold]] -$C$4) / $C$5</f>
        <v>0.95433298794067001</v>
      </c>
      <c r="E492">
        <v>37506.668259777434</v>
      </c>
      <c r="F492">
        <v>2.9366162655450974</v>
      </c>
      <c r="G492">
        <v>3.3297324178791747</v>
      </c>
      <c r="H492">
        <v>4.143916793151571</v>
      </c>
      <c r="I492">
        <v>102523.55807323934</v>
      </c>
      <c r="J492" s="82">
        <v>82</v>
      </c>
      <c r="K492">
        <v>96.987044598496539</v>
      </c>
      <c r="L492" t="str">
        <f t="shared" si="13"/>
        <v>OK</v>
      </c>
    </row>
    <row r="493" spans="1:12">
      <c r="A493" s="1">
        <v>56465</v>
      </c>
      <c r="B493" t="s">
        <v>13</v>
      </c>
      <c r="C493">
        <v>106</v>
      </c>
      <c r="D493">
        <f>(automotive_demand_forecasting_dataset56[[#This Row],[Units_Sold]] -$C$4) / $C$5</f>
        <v>0.65416534652506808</v>
      </c>
      <c r="E493">
        <v>28386.60080578932</v>
      </c>
      <c r="F493">
        <v>2.9030374968004722</v>
      </c>
      <c r="G493">
        <v>2.6520564320000002</v>
      </c>
      <c r="H493">
        <v>4.9599845704050232</v>
      </c>
      <c r="I493">
        <v>95550.502064434695</v>
      </c>
      <c r="J493" s="82">
        <v>90</v>
      </c>
      <c r="K493">
        <v>61.469237066825649</v>
      </c>
      <c r="L493" t="str">
        <f t="shared" si="13"/>
        <v>OK</v>
      </c>
    </row>
    <row r="494" spans="1:12">
      <c r="A494" s="1">
        <v>56495</v>
      </c>
      <c r="B494" t="s">
        <v>11</v>
      </c>
      <c r="C494">
        <v>106</v>
      </c>
      <c r="D494">
        <f>(automotive_demand_forecasting_dataset56[[#This Row],[Units_Sold]] -$C$4) / $C$5</f>
        <v>0.65416534652506808</v>
      </c>
      <c r="E494">
        <v>28745.834917724762</v>
      </c>
      <c r="F494">
        <v>3.5714715473818535</v>
      </c>
      <c r="G494">
        <v>1.3517367112473817</v>
      </c>
      <c r="H494">
        <v>7.0085790602350873</v>
      </c>
      <c r="I494">
        <v>140937.24391439115</v>
      </c>
      <c r="J494" s="82">
        <v>79</v>
      </c>
      <c r="K494">
        <v>25.831876149732402</v>
      </c>
      <c r="L494" t="str">
        <f t="shared" si="13"/>
        <v>OK</v>
      </c>
    </row>
    <row r="495" spans="1:12">
      <c r="A495" s="1">
        <v>56525</v>
      </c>
      <c r="B495" t="s">
        <v>14</v>
      </c>
      <c r="C495">
        <v>103</v>
      </c>
      <c r="D495">
        <f>(automotive_demand_forecasting_dataset56[[#This Row],[Units_Sold]] -$C$4) / $C$5</f>
        <v>0.35399770510946621</v>
      </c>
      <c r="E495">
        <v>36640.970709245288</v>
      </c>
      <c r="F495">
        <v>4.3662574997425461</v>
      </c>
      <c r="G495">
        <f>3.224108373</f>
        <v>3.224108373</v>
      </c>
      <c r="H495">
        <v>4.8575978955805326</v>
      </c>
      <c r="I495">
        <v>86501.319624188953</v>
      </c>
      <c r="J495" s="82">
        <v>92</v>
      </c>
      <c r="K495">
        <v>70.146632353205376</v>
      </c>
      <c r="L495" t="str">
        <f t="shared" si="13"/>
        <v>OK</v>
      </c>
    </row>
    <row r="496" spans="1:12">
      <c r="A496" s="1">
        <v>56555</v>
      </c>
      <c r="B496" t="s">
        <v>13</v>
      </c>
      <c r="C496">
        <v>113</v>
      </c>
      <c r="D496">
        <f>(automotive_demand_forecasting_dataset56[[#This Row],[Units_Sold]] -$C$4) / $C$5</f>
        <v>1.3545565098281394</v>
      </c>
      <c r="E496">
        <v>32781.150047003299</v>
      </c>
      <c r="F496">
        <v>4.6156500730963161</v>
      </c>
      <c r="G496">
        <v>4.0379319184125526</v>
      </c>
      <c r="H496">
        <v>5.9301443418515447</v>
      </c>
      <c r="I496">
        <v>91938.480218699391</v>
      </c>
      <c r="J496" s="82">
        <f>111.9136842</f>
        <v>111.91368420000001</v>
      </c>
      <c r="K496">
        <v>40.255912561024815</v>
      </c>
      <c r="L496" t="str">
        <f t="shared" si="13"/>
        <v>OK</v>
      </c>
    </row>
    <row r="497" spans="1:12">
      <c r="A497" s="1">
        <v>56585</v>
      </c>
      <c r="B497" t="s">
        <v>10</v>
      </c>
      <c r="C497">
        <v>111</v>
      </c>
      <c r="D497">
        <f>(automotive_demand_forecasting_dataset56[[#This Row],[Units_Sold]] -$C$4) / $C$5</f>
        <v>1.1544447488844047</v>
      </c>
      <c r="E497">
        <v>30949.702720000001</v>
      </c>
      <c r="F497">
        <v>3.8190255507203785</v>
      </c>
      <c r="G497">
        <v>1.3774551937555861</v>
      </c>
      <c r="H497">
        <v>4.6228524691414323</v>
      </c>
      <c r="I497">
        <v>102916.7736</v>
      </c>
      <c r="J497" s="82">
        <v>92</v>
      </c>
      <c r="K497">
        <v>84.2954761501842</v>
      </c>
      <c r="L497" t="str">
        <f t="shared" si="13"/>
        <v>OK</v>
      </c>
    </row>
    <row r="498" spans="1:12">
      <c r="A498" s="1">
        <v>56615</v>
      </c>
      <c r="B498" t="s">
        <v>11</v>
      </c>
      <c r="C498">
        <v>100</v>
      </c>
      <c r="D498">
        <f>(automotive_demand_forecasting_dataset56[[#This Row],[Units_Sold]] -$C$4) / $C$5</f>
        <v>5.3830063693864283E-2</v>
      </c>
      <c r="E498">
        <v>40825.011724505421</v>
      </c>
      <c r="F498">
        <v>3.7504222374722285</v>
      </c>
      <c r="G498">
        <v>1.5824971789857365</v>
      </c>
      <c r="H498">
        <v>6.4095062199083435</v>
      </c>
      <c r="I498">
        <f>128897.2893</f>
        <v>128897.2893</v>
      </c>
      <c r="J498" s="82">
        <v>92</v>
      </c>
      <c r="K498">
        <v>85.425765885295249</v>
      </c>
      <c r="L498" t="str">
        <f t="shared" si="13"/>
        <v>OK</v>
      </c>
    </row>
    <row r="499" spans="1:12">
      <c r="A499" s="1">
        <v>56645</v>
      </c>
      <c r="B499" t="s">
        <v>11</v>
      </c>
      <c r="C499">
        <v>89</v>
      </c>
      <c r="D499">
        <f>(automotive_demand_forecasting_dataset56[[#This Row],[Units_Sold]] -$C$4) / $C$5</f>
        <v>-1.0467846214966761</v>
      </c>
      <c r="E499">
        <v>26782.408848099287</v>
      </c>
      <c r="F499">
        <v>2.5994711329236306</v>
      </c>
      <c r="G499">
        <v>3.5176614668435024</v>
      </c>
      <c r="H499">
        <f>6.97388673</f>
        <v>6.9738867300000003</v>
      </c>
      <c r="I499">
        <v>88997.69434126922</v>
      </c>
      <c r="J499" s="82">
        <v>90</v>
      </c>
      <c r="K499">
        <v>98.315788468372943</v>
      </c>
      <c r="L499" t="str">
        <f t="shared" si="13"/>
        <v>OK</v>
      </c>
    </row>
    <row r="500" spans="1:12">
      <c r="A500" s="1">
        <v>56675</v>
      </c>
      <c r="B500" t="s">
        <v>12</v>
      </c>
      <c r="C500">
        <v>111</v>
      </c>
      <c r="D500">
        <f>(automotive_demand_forecasting_dataset56[[#This Row],[Units_Sold]] -$C$4) / $C$5</f>
        <v>1.1544447488844047</v>
      </c>
      <c r="E500">
        <v>34639.200640406183</v>
      </c>
      <c r="F500">
        <v>3.2286631001329891</v>
      </c>
      <c r="G500">
        <v>2.7714953108256482</v>
      </c>
      <c r="H500">
        <v>7.7183305999556939</v>
      </c>
      <c r="I500">
        <v>97059.491531382999</v>
      </c>
      <c r="J500" s="82">
        <v>82</v>
      </c>
      <c r="K500">
        <v>60.149562481960295</v>
      </c>
      <c r="L500" t="str">
        <f t="shared" si="13"/>
        <v>OK</v>
      </c>
    </row>
    <row r="501" spans="1:12">
      <c r="A501" s="1">
        <v>56705</v>
      </c>
      <c r="B501" t="s">
        <v>14</v>
      </c>
      <c r="C501">
        <v>104</v>
      </c>
      <c r="D501">
        <f>(automotive_demand_forecasting_dataset56[[#This Row],[Units_Sold]] -$C$4) / $C$5</f>
        <v>0.45405358558133352</v>
      </c>
      <c r="E501">
        <v>38106.295579999998</v>
      </c>
      <c r="F501">
        <v>3.1061081240458805</v>
      </c>
      <c r="G501">
        <v>3.0514762752395233</v>
      </c>
      <c r="H501">
        <v>5.2893232654009417</v>
      </c>
      <c r="I501">
        <v>102916.7736</v>
      </c>
      <c r="J501" s="82">
        <v>90</v>
      </c>
      <c r="K501">
        <v>56.396550378218969</v>
      </c>
      <c r="L501" t="str">
        <f t="shared" si="13"/>
        <v>OK</v>
      </c>
    </row>
    <row r="502" spans="1:12">
      <c r="A502" s="1">
        <v>56735</v>
      </c>
      <c r="B502" t="s">
        <v>13</v>
      </c>
      <c r="C502">
        <v>100</v>
      </c>
      <c r="D502">
        <f>(automotive_demand_forecasting_dataset56[[#This Row],[Units_Sold]] -$C$4) / $C$5</f>
        <v>5.3830063693864283E-2</v>
      </c>
      <c r="E502">
        <v>31342.961394316284</v>
      </c>
      <c r="F502">
        <v>3.1895762008744422</v>
      </c>
      <c r="G502">
        <v>2.8405892164004967</v>
      </c>
      <c r="H502">
        <v>6.3023857657094879</v>
      </c>
      <c r="I502">
        <v>104156.05014706627</v>
      </c>
      <c r="J502" s="82">
        <v>90</v>
      </c>
      <c r="K502">
        <v>65.454227669999995</v>
      </c>
      <c r="L502" t="str">
        <f t="shared" si="13"/>
        <v>OK</v>
      </c>
    </row>
    <row r="503" spans="1:12">
      <c r="A503" s="1">
        <v>56765</v>
      </c>
      <c r="B503" t="s">
        <v>13</v>
      </c>
      <c r="C503">
        <v>109</v>
      </c>
      <c r="D503">
        <f>(automotive_demand_forecasting_dataset56[[#This Row],[Units_Sold]] -$C$4) / $C$5</f>
        <v>0.95433298794067001</v>
      </c>
      <c r="E503">
        <v>37642.342132062658</v>
      </c>
      <c r="F503">
        <v>3.4159280907076051</v>
      </c>
      <c r="G503">
        <v>2.890695920928144</v>
      </c>
      <c r="H503">
        <v>5.6176810474467338</v>
      </c>
      <c r="I503">
        <v>74147.493056954743</v>
      </c>
      <c r="J503" s="82">
        <v>83</v>
      </c>
      <c r="K503">
        <v>30.597652507354127</v>
      </c>
      <c r="L503" t="str">
        <f t="shared" si="13"/>
        <v>OK</v>
      </c>
    </row>
    <row r="504" spans="1:12">
      <c r="A504" s="1">
        <v>56795</v>
      </c>
      <c r="B504" t="s">
        <v>11</v>
      </c>
      <c r="C504">
        <v>108</v>
      </c>
      <c r="D504">
        <f>(automotive_demand_forecasting_dataset56[[#This Row],[Units_Sold]] -$C$4) / $C$5</f>
        <v>0.8542771074688027</v>
      </c>
      <c r="E504">
        <v>32539.178781448118</v>
      </c>
      <c r="F504">
        <v>3.2639547111514364</v>
      </c>
      <c r="G504">
        <v>1.173527871688917</v>
      </c>
      <c r="H504">
        <v>7.0550461382356175</v>
      </c>
      <c r="I504">
        <v>89356.628737456209</v>
      </c>
      <c r="J504" s="82">
        <f>111.9136842</f>
        <v>111.91368420000001</v>
      </c>
      <c r="K504">
        <v>63.753241103449938</v>
      </c>
      <c r="L504" t="str">
        <f t="shared" si="13"/>
        <v>OK</v>
      </c>
    </row>
    <row r="505" spans="1:12">
      <c r="A505" s="1">
        <v>56825</v>
      </c>
      <c r="B505" t="s">
        <v>14</v>
      </c>
      <c r="C505">
        <v>127</v>
      </c>
      <c r="D505">
        <f>(automotive_demand_forecasting_dataset56[[#This Row],[Units_Sold]] -$C$4) / $C$5</f>
        <v>2.7553388364342815</v>
      </c>
      <c r="E505">
        <v>32691.480395248163</v>
      </c>
      <c r="F505">
        <v>2.510350094812106</v>
      </c>
      <c r="G505">
        <v>3.5473177066214481</v>
      </c>
      <c r="H505">
        <v>4.6374011348695232</v>
      </c>
      <c r="I505">
        <v>87852.91133575578</v>
      </c>
      <c r="J505" s="82">
        <v>102</v>
      </c>
      <c r="K505">
        <v>63.699808010468075</v>
      </c>
      <c r="L505" t="str">
        <f t="shared" si="13"/>
        <v>OK</v>
      </c>
    </row>
    <row r="506" spans="1:12">
      <c r="A506" s="1">
        <v>56855</v>
      </c>
      <c r="B506" t="s">
        <v>14</v>
      </c>
      <c r="C506">
        <v>104</v>
      </c>
      <c r="D506">
        <f>(automotive_demand_forecasting_dataset56[[#This Row],[Units_Sold]] -$C$4) / $C$5</f>
        <v>0.45405358558133352</v>
      </c>
      <c r="E506">
        <v>35362.536686549014</v>
      </c>
      <c r="F506">
        <v>3.8739551280587667</v>
      </c>
      <c r="G506">
        <v>3.6695899924277735</v>
      </c>
      <c r="H506">
        <v>6.3940063754527374</v>
      </c>
      <c r="I506">
        <v>98455.579095539084</v>
      </c>
      <c r="J506" s="82">
        <v>76</v>
      </c>
      <c r="K506">
        <v>27.157849824830976</v>
      </c>
      <c r="L506" t="str">
        <f t="shared" si="13"/>
        <v>OK</v>
      </c>
    </row>
    <row r="507" spans="1:12">
      <c r="A507" s="1">
        <v>56885</v>
      </c>
      <c r="B507" t="s">
        <v>14</v>
      </c>
      <c r="C507">
        <v>106</v>
      </c>
      <c r="D507">
        <f>(automotive_demand_forecasting_dataset56[[#This Row],[Units_Sold]] -$C$4) / $C$5</f>
        <v>0.65416534652506808</v>
      </c>
      <c r="E507">
        <v>28175.236352285574</v>
      </c>
      <c r="F507">
        <v>2.9636284871300966</v>
      </c>
      <c r="G507">
        <v>2.2706092559319724</v>
      </c>
      <c r="H507">
        <v>5.2663632446599822</v>
      </c>
      <c r="I507">
        <v>108516.87317259658</v>
      </c>
      <c r="J507" s="82">
        <v>99</v>
      </c>
      <c r="K507">
        <v>53.438726840553088</v>
      </c>
      <c r="L507" t="str">
        <f t="shared" si="13"/>
        <v>OK</v>
      </c>
    </row>
    <row r="508" spans="1:12">
      <c r="A508" s="1">
        <v>56915</v>
      </c>
      <c r="B508" t="s">
        <v>12</v>
      </c>
      <c r="C508">
        <v>94</v>
      </c>
      <c r="D508">
        <f>(automotive_demand_forecasting_dataset56[[#This Row],[Units_Sold]] -$C$4) / $C$5</f>
        <v>-0.54650521913733952</v>
      </c>
      <c r="E508">
        <v>25803.951663304968</v>
      </c>
      <c r="F508">
        <v>3.6196234320555747</v>
      </c>
      <c r="G508">
        <v>2.4565230501861377</v>
      </c>
      <c r="H508">
        <v>5.4229741874698023</v>
      </c>
      <c r="I508">
        <v>108364.11511775944</v>
      </c>
      <c r="J508" s="82">
        <v>77</v>
      </c>
      <c r="K508">
        <v>88.262783885376152</v>
      </c>
      <c r="L508" t="str">
        <f t="shared" si="13"/>
        <v>OK</v>
      </c>
    </row>
    <row r="509" spans="1:12">
      <c r="A509" s="1">
        <v>56945</v>
      </c>
      <c r="B509" t="s">
        <v>13</v>
      </c>
      <c r="C509">
        <v>81</v>
      </c>
      <c r="D509">
        <f>(automotive_demand_forecasting_dataset56[[#This Row],[Units_Sold]] -$C$4) / $C$5</f>
        <v>-1.8472316652716145</v>
      </c>
      <c r="E509">
        <v>24775.954029894834</v>
      </c>
      <c r="F509">
        <v>4.5370413348749867</v>
      </c>
      <c r="G509">
        <v>0.96889249744427786</v>
      </c>
      <c r="H509">
        <v>5.6101029813380476</v>
      </c>
      <c r="I509">
        <v>64479.764919031957</v>
      </c>
      <c r="J509" s="82">
        <v>101</v>
      </c>
      <c r="K509">
        <v>88.492289759572827</v>
      </c>
      <c r="L509" t="str">
        <f t="shared" si="13"/>
        <v>OK</v>
      </c>
    </row>
    <row r="510" spans="1:12">
      <c r="A510" s="1">
        <v>56975</v>
      </c>
      <c r="B510" t="s">
        <v>14</v>
      </c>
      <c r="C510">
        <v>95</v>
      </c>
      <c r="D510">
        <f>(automotive_demand_forecasting_dataset56[[#This Row],[Units_Sold]] -$C$4) / $C$5</f>
        <v>-0.44644933866547226</v>
      </c>
      <c r="E510">
        <v>20168.217053119992</v>
      </c>
      <c r="F510">
        <v>3.0403077042067883</v>
      </c>
      <c r="G510">
        <v>3.0142547560178348</v>
      </c>
      <c r="H510">
        <v>5.8026884757120127</v>
      </c>
      <c r="I510">
        <v>121278.81975121712</v>
      </c>
      <c r="J510" s="82">
        <v>94</v>
      </c>
      <c r="K510">
        <v>27.939013193574482</v>
      </c>
      <c r="L510" t="str">
        <f t="shared" si="13"/>
        <v>OK</v>
      </c>
    </row>
  </sheetData>
  <conditionalFormatting sqref="A10:K510">
    <cfRule type="containsBlanks" dxfId="189" priority="25">
      <formula>LEN(TRIM(A10))=0</formula>
    </cfRule>
  </conditionalFormatting>
  <conditionalFormatting sqref="C10:C510">
    <cfRule type="cellIs" dxfId="188" priority="23" operator="greaterThan">
      <formula>127</formula>
    </cfRule>
  </conditionalFormatting>
  <conditionalFormatting sqref="C11:C510">
    <cfRule type="cellIs" dxfId="187" priority="9" operator="notBetween">
      <formula>75</formula>
      <formula>127</formula>
    </cfRule>
  </conditionalFormatting>
  <conditionalFormatting sqref="D11:D510">
    <cfRule type="cellIs" dxfId="186" priority="1" operator="notBetween">
      <formula>-3</formula>
      <formula>3</formula>
    </cfRule>
    <cfRule type="cellIs" dxfId="185" priority="24" operator="greaterThan">
      <formula>3</formula>
    </cfRule>
  </conditionalFormatting>
  <conditionalFormatting sqref="E11:E510">
    <cfRule type="cellIs" dxfId="184" priority="8" operator="notBetween">
      <formula>17044.78854</formula>
      <formula>42898.54669</formula>
    </cfRule>
    <cfRule type="cellIs" dxfId="183" priority="21" operator="lessThan">
      <formula>15575.63284</formula>
    </cfRule>
    <cfRule type="cellIs" dxfId="182" priority="22" operator="greaterThan">
      <formula>45475.55713</formula>
    </cfRule>
  </conditionalFormatting>
  <conditionalFormatting sqref="F11:F510">
    <cfRule type="cellIs" dxfId="181" priority="7" operator="notBetween">
      <formula>2.130140502</formula>
      <formula>4.966738758</formula>
    </cfRule>
    <cfRule type="cellIs" dxfId="180" priority="19" operator="lessThan">
      <formula>2.130140502</formula>
    </cfRule>
    <cfRule type="cellIs" dxfId="179" priority="20" operator="greaterThan">
      <formula>4.966738758</formula>
    </cfRule>
  </conditionalFormatting>
  <conditionalFormatting sqref="G11:G510">
    <cfRule type="cellIs" dxfId="178" priority="5" operator="notBetween">
      <formula>0.20381907</formula>
      <formula>4.599721789</formula>
    </cfRule>
    <cfRule type="cellIs" dxfId="177" priority="6" operator="notBetween">
      <formula>-0.098660428</formula>
      <formula>5.165898334</formula>
    </cfRule>
    <cfRule type="cellIs" dxfId="176" priority="12" operator="lessThan">
      <formula>-0.062333659</formula>
    </cfRule>
    <cfRule type="cellIs" dxfId="175" priority="13" operator="lessThan">
      <formula>-0.519512156</formula>
    </cfRule>
    <cfRule type="cellIs" dxfId="174" priority="14" operator="greaterThan">
      <formula>5.144343347</formula>
    </cfRule>
    <cfRule type="cellIs" dxfId="173" priority="15" operator="greaterThan">
      <formula>5.609918556</formula>
    </cfRule>
  </conditionalFormatting>
  <conditionalFormatting sqref="H11:H510">
    <cfRule type="cellIs" dxfId="172" priority="2" operator="notBetween">
      <formula>2.803732799</formula>
      <formula>8.356646994</formula>
    </cfRule>
    <cfRule type="cellIs" dxfId="171" priority="10" operator="lessThan">
      <formula>2.8037322799</formula>
    </cfRule>
    <cfRule type="cellIs" dxfId="170" priority="11" operator="greaterThan">
      <formula>8.644951709</formula>
    </cfRule>
  </conditionalFormatting>
  <conditionalFormatting sqref="I11:I510">
    <cfRule type="cellIs" dxfId="169" priority="16" operator="greaterThan">
      <formula>157368.0611</formula>
    </cfRule>
  </conditionalFormatting>
  <conditionalFormatting sqref="J11:J510">
    <cfRule type="cellIs" dxfId="168" priority="3" operator="notBetween">
      <formula>65</formula>
      <formula>113</formula>
    </cfRule>
    <cfRule type="cellIs" priority="4" operator="notBetween">
      <formula>65</formula>
      <formula>113</formula>
    </cfRule>
    <cfRule type="cellIs" dxfId="167" priority="17" operator="greaterThan">
      <formula>115</formula>
    </cfRule>
  </conditionalFormatting>
  <conditionalFormatting sqref="K11:K510">
    <cfRule type="cellIs" dxfId="166" priority="18" operator="greaterThan">
      <formula>99.94802404</formula>
    </cfRule>
  </conditionalFormatting>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2DA6D-BE53-4833-B8DE-7162A0B68EC8}">
  <sheetPr codeName="Sheet10"/>
  <dimension ref="A1:T510"/>
  <sheetViews>
    <sheetView topLeftCell="A19" zoomScaleNormal="100" workbookViewId="0">
      <selection activeCell="F5" sqref="F5"/>
    </sheetView>
  </sheetViews>
  <sheetFormatPr defaultRowHeight="14.4"/>
  <cols>
    <col min="1" max="1" width="10.33203125" bestFit="1" customWidth="1"/>
    <col min="2" max="3" width="14.44140625" bestFit="1" customWidth="1"/>
    <col min="4" max="4" width="9.21875" bestFit="1" customWidth="1"/>
    <col min="5" max="5" width="9.21875" customWidth="1"/>
    <col min="6" max="6" width="12.21875" customWidth="1"/>
    <col min="7" max="7" width="18.109375" bestFit="1" customWidth="1"/>
    <col min="8" max="8" width="12.77734375" customWidth="1"/>
    <col min="9" max="9" width="15.33203125" bestFit="1" customWidth="1"/>
    <col min="10" max="10" width="12" bestFit="1" customWidth="1"/>
    <col min="11" max="11" width="18.88671875" bestFit="1" customWidth="1"/>
    <col min="12" max="12" width="21.44140625" bestFit="1" customWidth="1"/>
    <col min="13" max="13" width="18.33203125" bestFit="1" customWidth="1"/>
    <col min="14" max="14" width="18.109375" bestFit="1" customWidth="1"/>
    <col min="15" max="15" width="22" bestFit="1" customWidth="1"/>
    <col min="16" max="17" width="22" customWidth="1"/>
    <col min="18" max="18" width="19.5546875" bestFit="1" customWidth="1"/>
    <col min="19" max="19" width="13.88671875" bestFit="1" customWidth="1"/>
  </cols>
  <sheetData>
    <row r="1" spans="1:19">
      <c r="H1" s="158" t="s">
        <v>34</v>
      </c>
      <c r="I1" s="158" t="s">
        <v>35</v>
      </c>
      <c r="J1" s="158" t="s">
        <v>4</v>
      </c>
      <c r="K1" s="158" t="s">
        <v>5</v>
      </c>
      <c r="L1" s="158" t="s">
        <v>6</v>
      </c>
      <c r="M1" s="158" t="s">
        <v>7</v>
      </c>
      <c r="N1" s="158" t="s">
        <v>8</v>
      </c>
      <c r="O1" s="158" t="s">
        <v>9</v>
      </c>
      <c r="P1" s="140"/>
      <c r="Q1" s="140"/>
    </row>
    <row r="2" spans="1:19">
      <c r="B2" s="160" t="s">
        <v>24</v>
      </c>
      <c r="C2" s="160"/>
      <c r="D2" s="47"/>
      <c r="E2" s="47"/>
      <c r="H2" s="159"/>
      <c r="I2" s="159"/>
      <c r="J2" s="159"/>
      <c r="K2" s="159"/>
      <c r="L2" s="159"/>
      <c r="M2" s="159"/>
      <c r="N2" s="159"/>
      <c r="O2" s="159"/>
      <c r="P2" s="47"/>
      <c r="Q2" s="47"/>
    </row>
    <row r="3" spans="1:19">
      <c r="B3" s="160"/>
      <c r="C3" s="160"/>
      <c r="D3" s="47"/>
      <c r="E3" s="47"/>
      <c r="H3" s="158" t="s">
        <v>28</v>
      </c>
      <c r="I3" s="159">
        <f>MEDIAN(automotive_demand_forecasting_dataset567[Average_Price])</f>
        <v>30949.702720000001</v>
      </c>
      <c r="J3" s="159">
        <f>MEDIAN(automotive_demand_forecasting_dataset567[Fuel_Price])</f>
        <v>3.5380713799999999</v>
      </c>
      <c r="K3" s="159">
        <f>MEDIAN(automotive_demand_forecasting_dataset567[GDP_Growth_Rate])</f>
        <v>2.6520564320000002</v>
      </c>
      <c r="L3" s="159">
        <f>MEDIAN(automotive_demand_forecasting_dataset567[Unemployment_Rate])</f>
        <v>5.616047043</v>
      </c>
      <c r="M3" s="159">
        <f>MEDIAN(automotive_demand_forecasting_dataset567[Marketing_Spend])</f>
        <v>102894.26616505161</v>
      </c>
      <c r="N3" s="159">
        <f>MEDIAN(automotive_demand_forecasting_dataset567[Competitor_Sales])</f>
        <v>90</v>
      </c>
      <c r="O3" s="159">
        <f>MEDIAN(automotive_demand_forecasting_dataset567[Online_Interest_Index])</f>
        <v>65.401451166763792</v>
      </c>
      <c r="P3" s="47"/>
      <c r="Q3" s="47"/>
    </row>
    <row r="4" spans="1:19">
      <c r="B4" s="160" t="s">
        <v>25</v>
      </c>
      <c r="C4" s="160">
        <f>AVERAGE(automotive_demand_forecasting_dataset567[Units_Sold])</f>
        <v>99.3</v>
      </c>
      <c r="D4" s="47"/>
      <c r="E4" s="47"/>
      <c r="H4" s="158" t="s">
        <v>29</v>
      </c>
      <c r="I4" s="159">
        <f>_xlfn.QUARTILE.EXC(automotive_demand_forecasting_dataset567[Average_Price], 1)</f>
        <v>27210.043664365046</v>
      </c>
      <c r="J4" s="159">
        <f>_xlfn.QUARTILE.EXC(automotive_demand_forecasting_dataset567[Fuel_Price], 1)</f>
        <v>3.2263939346303867</v>
      </c>
      <c r="K4" s="159">
        <f>_xlfn.QUARTILE.EXC(automotive_demand_forecasting_dataset567[GDP_Growth_Rate],1)</f>
        <v>1.9539614360310027</v>
      </c>
      <c r="L4" s="159">
        <f>_xlfn.QUARTILE.EXC(automotive_demand_forecasting_dataset567[Unemployment_Rate], 1)</f>
        <v>4.8334521114299367</v>
      </c>
      <c r="M4" s="159"/>
      <c r="N4" s="159"/>
      <c r="O4" s="159"/>
      <c r="P4" s="47"/>
      <c r="Q4" s="47"/>
    </row>
    <row r="5" spans="1:19">
      <c r="B5" s="160" t="s">
        <v>26</v>
      </c>
      <c r="C5" s="160">
        <f>_xlfn.STDEV.S(automotive_demand_forecasting_dataset567[Units_Sold])</f>
        <v>9.7624079620981199</v>
      </c>
      <c r="D5" s="47"/>
      <c r="E5" s="47"/>
      <c r="H5" s="158" t="s">
        <v>31</v>
      </c>
      <c r="I5" s="159">
        <f>_xlfn.QUARTILE.EXC(automotive_demand_forecasting_dataset567[Average_Price], 3)</f>
        <v>34475.630046284547</v>
      </c>
      <c r="J5" s="159">
        <f>_xlfn.QUARTILE.EXC(automotive_demand_forecasting_dataset567[Fuel_Price], 3)</f>
        <v>3.9050603272200615</v>
      </c>
      <c r="K5" s="159">
        <f>_xlfn.QUARTILE.EXC(automotive_demand_forecasting_dataset567[GDP_Growth_Rate], 3)</f>
        <v>3.1950230461528317</v>
      </c>
      <c r="L5" s="159">
        <f>_xlfn.QUARTILE.EXC(automotive_demand_forecasting_dataset567[Unemployment_Rate], 3)</f>
        <v>6.3169663920301113</v>
      </c>
      <c r="M5" s="159"/>
      <c r="N5" s="159"/>
      <c r="O5" s="159"/>
      <c r="P5" s="47"/>
      <c r="Q5" s="47"/>
    </row>
    <row r="6" spans="1:19">
      <c r="B6" s="160" t="s">
        <v>28</v>
      </c>
      <c r="C6" s="160">
        <f>MEDIAN(automotive_demand_forecasting_dataset567[Units_Sold])</f>
        <v>100</v>
      </c>
      <c r="D6" s="47"/>
      <c r="E6" s="47"/>
      <c r="H6" s="158" t="s">
        <v>30</v>
      </c>
      <c r="I6" s="159">
        <f>I5 -I4</f>
        <v>7265.5863819195001</v>
      </c>
      <c r="J6" s="159">
        <f>J5 - J4</f>
        <v>0.67866639258967476</v>
      </c>
      <c r="K6" s="159">
        <f>K5-K4</f>
        <v>1.241061610121829</v>
      </c>
      <c r="L6" s="159">
        <f>L5-L4</f>
        <v>1.4835142806001747</v>
      </c>
      <c r="M6" s="159"/>
      <c r="N6" s="159"/>
      <c r="O6" s="159"/>
      <c r="P6" s="47"/>
      <c r="Q6" s="47"/>
    </row>
    <row r="7" spans="1:19">
      <c r="B7" s="160" t="s">
        <v>36</v>
      </c>
      <c r="C7" s="160"/>
      <c r="D7" s="47"/>
      <c r="E7" s="47"/>
      <c r="H7" s="158" t="s">
        <v>33</v>
      </c>
      <c r="I7" s="159">
        <f>I4 - 1.5 * I6</f>
        <v>16311.664091485796</v>
      </c>
      <c r="J7" s="159">
        <f>J4 - 1.5 * J6</f>
        <v>2.2083943457458748</v>
      </c>
      <c r="K7" s="159">
        <f>K4 - 1.5 * K6</f>
        <v>9.2369020848259042E-2</v>
      </c>
      <c r="L7" s="159">
        <f>L4 - 1.5 * L6</f>
        <v>2.6081806905296747</v>
      </c>
      <c r="M7" s="159"/>
      <c r="N7" s="159"/>
      <c r="O7" s="159"/>
      <c r="P7" s="47"/>
      <c r="Q7" s="47"/>
    </row>
    <row r="8" spans="1:19">
      <c r="H8" s="158" t="s">
        <v>32</v>
      </c>
      <c r="I8" s="159">
        <f>I5 + 1.5 * I6</f>
        <v>45374.0096191638</v>
      </c>
      <c r="J8" s="159">
        <f>J5 + 1.5 * J6</f>
        <v>4.9230599161045738</v>
      </c>
      <c r="K8" s="159">
        <f>K5 + 1.5 * K6</f>
        <v>5.0566154613355749</v>
      </c>
      <c r="L8" s="159">
        <f>L5 + 1.5 * L6</f>
        <v>8.5422378129303738</v>
      </c>
      <c r="M8" s="159"/>
      <c r="N8" s="159"/>
      <c r="O8" s="159"/>
      <c r="P8" s="47"/>
      <c r="Q8" s="47"/>
    </row>
    <row r="10" spans="1:19">
      <c r="A10" t="s">
        <v>0</v>
      </c>
      <c r="B10" t="s">
        <v>1</v>
      </c>
      <c r="C10" t="s">
        <v>112</v>
      </c>
      <c r="D10" t="s">
        <v>167</v>
      </c>
      <c r="E10" t="s">
        <v>113</v>
      </c>
      <c r="F10" t="s">
        <v>2</v>
      </c>
      <c r="G10" t="s">
        <v>27</v>
      </c>
      <c r="H10" t="s">
        <v>45</v>
      </c>
      <c r="I10" t="s">
        <v>3</v>
      </c>
      <c r="J10" t="s">
        <v>4</v>
      </c>
      <c r="K10" t="s">
        <v>5</v>
      </c>
      <c r="L10" t="s">
        <v>6</v>
      </c>
      <c r="M10" t="s">
        <v>7</v>
      </c>
      <c r="N10" t="s">
        <v>8</v>
      </c>
      <c r="O10" t="s">
        <v>9</v>
      </c>
      <c r="P10" t="s">
        <v>316</v>
      </c>
      <c r="Q10" t="s">
        <v>317</v>
      </c>
      <c r="R10" t="s">
        <v>83</v>
      </c>
      <c r="S10" t="s">
        <v>15</v>
      </c>
    </row>
    <row r="11" spans="1:19">
      <c r="A11" s="1">
        <v>42005</v>
      </c>
      <c r="B11" t="s">
        <v>10</v>
      </c>
      <c r="C11" t="str">
        <f>TEXT(automotive_demand_forecasting_dataset567[[#This Row],[Date]],"mmmm")</f>
        <v>January</v>
      </c>
      <c r="D11" t="str">
        <f>CHOOSE(MATCH(MONTH(A11), {1,4,7,10}), "Winter", "Spring", "Summer", "Autumn")</f>
        <v>Winter</v>
      </c>
      <c r="E11">
        <f>YEAR(automotive_demand_forecasting_dataset567[[#This Row],[Date]])</f>
        <v>2015</v>
      </c>
      <c r="F11">
        <v>96</v>
      </c>
      <c r="G11">
        <f>(automotive_demand_forecasting_dataset567[[#This Row],[Units_Sold]] -$C$4) / $C$5</f>
        <v>-0.33803135587162725</v>
      </c>
      <c r="H11" t="str">
        <f t="shared" ref="H11:H74" ca="1" si="0">CHOOSE(RANDBETWEEN(1,4),"North","South","East","West")</f>
        <v>North</v>
      </c>
      <c r="I11">
        <v>27205.390763642059</v>
      </c>
      <c r="J11">
        <v>4.5281035649701611</v>
      </c>
      <c r="K11">
        <v>2.6520564320000002</v>
      </c>
      <c r="L11">
        <v>6.1864689300569733</v>
      </c>
      <c r="M11">
        <v>97675.419137560835</v>
      </c>
      <c r="N11" s="82">
        <v>99</v>
      </c>
      <c r="O11">
        <v>62.296585590724206</v>
      </c>
      <c r="P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1" t="str">
        <f t="shared" ref="Q11:Q74" ca="1" si="1">CHOOSE(RANDBETWEEN(1,5),"Online","TV","Radio","Print","Billboards")</f>
        <v>TV</v>
      </c>
      <c r="R11">
        <f>automotive_demand_forecasting_dataset567[[#This Row],[Units_Sold]]*automotive_demand_forecasting_dataset567[[#This Row],[Average_Price]]</f>
        <v>2611717.5133096376</v>
      </c>
      <c r="S11" t="str">
        <f t="shared" ref="S11:S74" ca="1" si="2">IF(COUNTA(A11:O11)&lt;COLUMNS(A11:O11), "Missing Data", "OK")</f>
        <v>OK</v>
      </c>
    </row>
    <row r="12" spans="1:19">
      <c r="A12" s="1">
        <v>42035</v>
      </c>
      <c r="B12" t="s">
        <v>10</v>
      </c>
      <c r="C12" t="str">
        <f>TEXT(automotive_demand_forecasting_dataset567[[#This Row],[Date]],"mmmm")</f>
        <v>January</v>
      </c>
      <c r="D12" t="str">
        <f>CHOOSE(MATCH(MONTH(A12), {1,4,7,10}), "Winter", "Spring", "Summer", "Autumn")</f>
        <v>Winter</v>
      </c>
      <c r="E12">
        <f>YEAR(automotive_demand_forecasting_dataset567[[#This Row],[Date]])</f>
        <v>2015</v>
      </c>
      <c r="F12">
        <v>107</v>
      </c>
      <c r="G12">
        <f>(automotive_demand_forecasting_dataset567[[#This Row],[Units_Sold]] -$C$4) / $C$5</f>
        <v>0.78873983036713124</v>
      </c>
      <c r="H12" t="str">
        <f t="shared" ca="1" si="0"/>
        <v>North</v>
      </c>
      <c r="I12">
        <v>31886.059375322606</v>
      </c>
      <c r="J12">
        <v>2.9483958171391587</v>
      </c>
      <c r="K12">
        <v>2.2139957781198891</v>
      </c>
      <c r="L12">
        <v>5.4253707796008266</v>
      </c>
      <c r="M12">
        <v>104294.26366341053</v>
      </c>
      <c r="N12" s="82">
        <v>100</v>
      </c>
      <c r="O12">
        <v>22.750148668138017</v>
      </c>
      <c r="P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2" t="str">
        <f t="shared" ca="1" si="1"/>
        <v>TV</v>
      </c>
      <c r="R12">
        <f>automotive_demand_forecasting_dataset567[[#This Row],[Units_Sold]]*automotive_demand_forecasting_dataset567[[#This Row],[Average_Price]]</f>
        <v>3411808.3531595189</v>
      </c>
      <c r="S12" t="str">
        <f t="shared" ca="1" si="2"/>
        <v>OK</v>
      </c>
    </row>
    <row r="13" spans="1:19">
      <c r="A13" s="1">
        <v>42065</v>
      </c>
      <c r="B13" t="s">
        <v>11</v>
      </c>
      <c r="C13" t="str">
        <f>TEXT(automotive_demand_forecasting_dataset567[[#This Row],[Date]],"mmmm")</f>
        <v>March</v>
      </c>
      <c r="D13" t="str">
        <f>CHOOSE(MATCH(MONTH(A13), {1,4,7,10}), "Winter", "Spring", "Summer", "Autumn")</f>
        <v>Winter</v>
      </c>
      <c r="E13">
        <f>YEAR(automotive_demand_forecasting_dataset567[[#This Row],[Date]])</f>
        <v>2015</v>
      </c>
      <c r="F13">
        <v>88</v>
      </c>
      <c r="G13">
        <f>(automotive_demand_forecasting_dataset567[[#This Row],[Units_Sold]] -$C$4) / $C$5</f>
        <v>-1.1575013094998152</v>
      </c>
      <c r="H13" t="str">
        <f t="shared" ca="1" si="0"/>
        <v>West</v>
      </c>
      <c r="I13">
        <v>38106.295579999998</v>
      </c>
      <c r="J13">
        <v>3.3893731882071139</v>
      </c>
      <c r="K13">
        <v>3.6009596349985711</v>
      </c>
      <c r="L13">
        <v>6.8492240318446029</v>
      </c>
      <c r="M13">
        <v>131562.36115124368</v>
      </c>
      <c r="N13" s="82">
        <v>98</v>
      </c>
      <c r="O13">
        <v>71.117041757862765</v>
      </c>
      <c r="P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3" t="str">
        <f t="shared" ca="1" si="1"/>
        <v>Print</v>
      </c>
      <c r="R13">
        <f>automotive_demand_forecasting_dataset567[[#This Row],[Units_Sold]]*automotive_demand_forecasting_dataset567[[#This Row],[Average_Price]]</f>
        <v>3353354.0110399998</v>
      </c>
      <c r="S13" t="str">
        <f t="shared" ca="1" si="2"/>
        <v>OK</v>
      </c>
    </row>
    <row r="14" spans="1:19">
      <c r="A14" s="1">
        <v>42095</v>
      </c>
      <c r="B14" t="s">
        <v>12</v>
      </c>
      <c r="C14" t="str">
        <f>TEXT(automotive_demand_forecasting_dataset567[[#This Row],[Date]],"mmmm")</f>
        <v>April</v>
      </c>
      <c r="D14" t="str">
        <f>CHOOSE(MATCH(MONTH(A14), {1,4,7,10}), "Winter", "Spring", "Summer", "Autumn")</f>
        <v>Spring</v>
      </c>
      <c r="E14">
        <f>YEAR(automotive_demand_forecasting_dataset567[[#This Row],[Date]])</f>
        <v>2015</v>
      </c>
      <c r="F14">
        <v>103</v>
      </c>
      <c r="G14">
        <f>(automotive_demand_forecasting_dataset567[[#This Row],[Units_Sold]] -$C$4) / $C$5</f>
        <v>0.37900485355303726</v>
      </c>
      <c r="H14" t="str">
        <f t="shared" ca="1" si="0"/>
        <v>East</v>
      </c>
      <c r="I14">
        <v>29671.248694635062</v>
      </c>
      <c r="J14">
        <v>3.3615933500555397</v>
      </c>
      <c r="K14">
        <v>2.6520564320000002</v>
      </c>
      <c r="L14">
        <v>5.0991073228240715</v>
      </c>
      <c r="M14">
        <v>119708.99371230436</v>
      </c>
      <c r="N14" s="82">
        <v>88</v>
      </c>
      <c r="O14">
        <v>26.515777031292735</v>
      </c>
      <c r="P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4" t="str">
        <f t="shared" ca="1" si="1"/>
        <v>TV</v>
      </c>
      <c r="R14">
        <f>automotive_demand_forecasting_dataset567[[#This Row],[Units_Sold]]*automotive_demand_forecasting_dataset567[[#This Row],[Average_Price]]</f>
        <v>3056138.6155474111</v>
      </c>
      <c r="S14" t="str">
        <f t="shared" ca="1" si="2"/>
        <v>OK</v>
      </c>
    </row>
    <row r="15" spans="1:19">
      <c r="A15" s="1">
        <v>42125</v>
      </c>
      <c r="B15" t="s">
        <v>12</v>
      </c>
      <c r="C15" t="str">
        <f>TEXT(automotive_demand_forecasting_dataset567[[#This Row],[Date]],"mmmm")</f>
        <v>May</v>
      </c>
      <c r="D15" t="str">
        <f>CHOOSE(MATCH(MONTH(A15), {1,4,7,10}), "Winter", "Spring", "Summer", "Autumn")</f>
        <v>Spring</v>
      </c>
      <c r="E15">
        <f>YEAR(automotive_demand_forecasting_dataset567[[#This Row],[Date]])</f>
        <v>2015</v>
      </c>
      <c r="F15">
        <v>111</v>
      </c>
      <c r="G15">
        <f>(automotive_demand_forecasting_dataset567[[#This Row],[Units_Sold]] -$C$4) / $C$5</f>
        <v>1.1984748071812252</v>
      </c>
      <c r="H15" t="str">
        <f t="shared" ca="1" si="0"/>
        <v>South</v>
      </c>
      <c r="I15">
        <v>27224.002366534009</v>
      </c>
      <c r="J15">
        <v>3.6537033489045503</v>
      </c>
      <c r="K15">
        <v>1.2704504055475832</v>
      </c>
      <c r="L15">
        <v>6.1775271110723207</v>
      </c>
      <c r="M15">
        <v>117383.09184993793</v>
      </c>
      <c r="N15" s="82">
        <v>91</v>
      </c>
      <c r="O15">
        <v>54.801167547217872</v>
      </c>
      <c r="P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5" t="str">
        <f t="shared" ca="1" si="1"/>
        <v>Online</v>
      </c>
      <c r="R15">
        <f>automotive_demand_forecasting_dataset567[[#This Row],[Units_Sold]]*automotive_demand_forecasting_dataset567[[#This Row],[Average_Price]]</f>
        <v>3021864.2626852752</v>
      </c>
      <c r="S15" t="str">
        <f t="shared" ca="1" si="2"/>
        <v>OK</v>
      </c>
    </row>
    <row r="16" spans="1:19">
      <c r="A16" s="1">
        <v>42155</v>
      </c>
      <c r="B16" t="s">
        <v>12</v>
      </c>
      <c r="C16" t="str">
        <f>TEXT(automotive_demand_forecasting_dataset567[[#This Row],[Date]],"mmmm")</f>
        <v>May</v>
      </c>
      <c r="D16" t="str">
        <f>CHOOSE(MATCH(MONTH(A16), {1,4,7,10}), "Winter", "Spring", "Summer", "Autumn")</f>
        <v>Spring</v>
      </c>
      <c r="E16">
        <f>YEAR(automotive_demand_forecasting_dataset567[[#This Row],[Date]])</f>
        <v>2015</v>
      </c>
      <c r="F16">
        <v>90</v>
      </c>
      <c r="G16">
        <f>(automotive_demand_forecasting_dataset567[[#This Row],[Units_Sold]] -$C$4) / $C$5</f>
        <v>-0.95263382109276828</v>
      </c>
      <c r="H16" t="str">
        <f t="shared" ca="1" si="0"/>
        <v>South</v>
      </c>
      <c r="I16">
        <v>39405.785347202953</v>
      </c>
      <c r="J16">
        <v>3.9078686062696484</v>
      </c>
      <c r="K16">
        <v>2.9966992232365217</v>
      </c>
      <c r="L16">
        <v>4.2764027935694617</v>
      </c>
      <c r="M16">
        <v>90889.209479522586</v>
      </c>
      <c r="N16" s="82">
        <v>82</v>
      </c>
      <c r="O16">
        <v>43.412407813392626</v>
      </c>
      <c r="P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6" t="str">
        <f t="shared" ca="1" si="1"/>
        <v>Billboards</v>
      </c>
      <c r="R16">
        <f>automotive_demand_forecasting_dataset567[[#This Row],[Units_Sold]]*automotive_demand_forecasting_dataset567[[#This Row],[Average_Price]]</f>
        <v>3546520.6812482658</v>
      </c>
      <c r="S16" t="str">
        <f t="shared" ca="1" si="2"/>
        <v>OK</v>
      </c>
    </row>
    <row r="17" spans="1:20">
      <c r="A17" s="1">
        <v>42185</v>
      </c>
      <c r="B17" t="s">
        <v>10</v>
      </c>
      <c r="C17" t="str">
        <f>TEXT(automotive_demand_forecasting_dataset567[[#This Row],[Date]],"mmmm")</f>
        <v>June</v>
      </c>
      <c r="D17" t="str">
        <f>CHOOSE(MATCH(MONTH(A17), {1,4,7,10}), "Winter", "Spring", "Summer", "Autumn")</f>
        <v>Spring</v>
      </c>
      <c r="E17">
        <f>YEAR(automotive_demand_forecasting_dataset567[[#This Row],[Date]])</f>
        <v>2015</v>
      </c>
      <c r="F17">
        <v>94</v>
      </c>
      <c r="G17">
        <f>(automotive_demand_forecasting_dataset567[[#This Row],[Units_Sold]] -$C$4) / $C$5</f>
        <v>-0.5428988442786743</v>
      </c>
      <c r="H17" t="str">
        <f t="shared" ca="1" si="0"/>
        <v>West</v>
      </c>
      <c r="I17">
        <v>22759.93049791878</v>
      </c>
      <c r="J17">
        <v>3.9302367441798727</v>
      </c>
      <c r="K17">
        <v>2.0346895432199466</v>
      </c>
      <c r="L17">
        <v>5.471737418950914</v>
      </c>
      <c r="M17">
        <v>82215.183435433515</v>
      </c>
      <c r="N17" s="82">
        <v>92</v>
      </c>
      <c r="O17">
        <v>65.454227669999995</v>
      </c>
      <c r="P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7" t="str">
        <f t="shared" ca="1" si="1"/>
        <v>Billboards</v>
      </c>
      <c r="R17">
        <f>automotive_demand_forecasting_dataset567[[#This Row],[Units_Sold]]*automotive_demand_forecasting_dataset567[[#This Row],[Average_Price]]</f>
        <v>2139433.4668043652</v>
      </c>
      <c r="S17" t="str">
        <f t="shared" ca="1" si="2"/>
        <v>OK</v>
      </c>
    </row>
    <row r="18" spans="1:20">
      <c r="A18" s="1">
        <v>42215</v>
      </c>
      <c r="B18" t="s">
        <v>13</v>
      </c>
      <c r="C18" t="str">
        <f>TEXT(automotive_demand_forecasting_dataset567[[#This Row],[Date]],"mmmm")</f>
        <v>July</v>
      </c>
      <c r="D18" t="str">
        <f>CHOOSE(MATCH(MONTH(A18), {1,4,7,10}), "Winter", "Spring", "Summer", "Autumn")</f>
        <v>Summer</v>
      </c>
      <c r="E18">
        <f>YEAR(automotive_demand_forecasting_dataset567[[#This Row],[Date]])</f>
        <v>2015</v>
      </c>
      <c r="F18">
        <v>98</v>
      </c>
      <c r="G18">
        <f>(automotive_demand_forecasting_dataset567[[#This Row],[Units_Sold]] -$C$4) / $C$5</f>
        <v>-0.13316386746458025</v>
      </c>
      <c r="H18" t="str">
        <f t="shared" ca="1" si="0"/>
        <v>West</v>
      </c>
      <c r="I18">
        <v>19005.97021689959</v>
      </c>
      <c r="J18">
        <v>3.2084612807155306</v>
      </c>
      <c r="K18">
        <v>2.3940516456958645</v>
      </c>
      <c r="L18">
        <v>5.2907748905165972</v>
      </c>
      <c r="M18">
        <v>119106.01116475507</v>
      </c>
      <c r="N18" s="82">
        <v>71</v>
      </c>
      <c r="O18">
        <v>30.673306841856565</v>
      </c>
      <c r="P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8" t="str">
        <f t="shared" ca="1" si="1"/>
        <v>Billboards</v>
      </c>
      <c r="R18">
        <f>automotive_demand_forecasting_dataset567[[#This Row],[Units_Sold]]*automotive_demand_forecasting_dataset567[[#This Row],[Average_Price]]</f>
        <v>1862585.0812561598</v>
      </c>
      <c r="S18" t="str">
        <f t="shared" ca="1" si="2"/>
        <v>OK</v>
      </c>
    </row>
    <row r="19" spans="1:20">
      <c r="A19" s="1">
        <v>42245</v>
      </c>
      <c r="B19" t="s">
        <v>10</v>
      </c>
      <c r="C19" t="str">
        <f>TEXT(automotive_demand_forecasting_dataset567[[#This Row],[Date]],"mmmm")</f>
        <v>August</v>
      </c>
      <c r="D19" t="str">
        <f>CHOOSE(MATCH(MONTH(A19), {1,4,7,10}), "Winter", "Spring", "Summer", "Autumn")</f>
        <v>Summer</v>
      </c>
      <c r="E19">
        <f>YEAR(automotive_demand_forecasting_dataset567[[#This Row],[Date]])</f>
        <v>2015</v>
      </c>
      <c r="F19">
        <v>103</v>
      </c>
      <c r="G19">
        <f>(automotive_demand_forecasting_dataset567[[#This Row],[Units_Sold]] -$C$4) / $C$5</f>
        <v>0.37900485355303726</v>
      </c>
      <c r="H19" t="str">
        <f t="shared" ca="1" si="0"/>
        <v>West</v>
      </c>
      <c r="I19">
        <v>32200.072250266661</v>
      </c>
      <c r="J19">
        <v>3.4164391431067944</v>
      </c>
      <c r="K19">
        <v>2.6520564320000002</v>
      </c>
      <c r="L19">
        <v>5.7703695064491303</v>
      </c>
      <c r="M19">
        <v>117520.93585059588</v>
      </c>
      <c r="N19" s="82">
        <v>98</v>
      </c>
      <c r="O19">
        <v>75.331472157865448</v>
      </c>
      <c r="P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9" t="str">
        <f t="shared" ca="1" si="1"/>
        <v>Billboards</v>
      </c>
      <c r="R19">
        <f>automotive_demand_forecasting_dataset567[[#This Row],[Units_Sold]]*automotive_demand_forecasting_dataset567[[#This Row],[Average_Price]]</f>
        <v>3316607.4417774663</v>
      </c>
      <c r="S19" t="str">
        <f t="shared" ca="1" si="2"/>
        <v>OK</v>
      </c>
    </row>
    <row r="20" spans="1:20">
      <c r="A20" s="1">
        <v>42275</v>
      </c>
      <c r="B20" t="s">
        <v>13</v>
      </c>
      <c r="C20" t="str">
        <f>TEXT(automotive_demand_forecasting_dataset567[[#This Row],[Date]],"mmmm")</f>
        <v>September</v>
      </c>
      <c r="D20" t="str">
        <f>CHOOSE(MATCH(MONTH(A20), {1,4,7,10}), "Winter", "Spring", "Summer", "Autumn")</f>
        <v>Summer</v>
      </c>
      <c r="E20">
        <f>YEAR(automotive_demand_forecasting_dataset567[[#This Row],[Date]])</f>
        <v>2015</v>
      </c>
      <c r="F20">
        <v>94</v>
      </c>
      <c r="G20">
        <f>(automotive_demand_forecasting_dataset567[[#This Row],[Units_Sold]] -$C$4) / $C$5</f>
        <v>-0.5428988442786743</v>
      </c>
      <c r="H20" t="str">
        <f t="shared" ca="1" si="0"/>
        <v>East</v>
      </c>
      <c r="I20">
        <v>27489.728878236943</v>
      </c>
      <c r="J20">
        <v>3.6412899752441499</v>
      </c>
      <c r="K20">
        <v>0.99702967160484679</v>
      </c>
      <c r="L20">
        <v>5.0565676853999699</v>
      </c>
      <c r="M20">
        <f>128897.2893</f>
        <v>128897.2893</v>
      </c>
      <c r="N20" s="82">
        <v>82</v>
      </c>
      <c r="O20">
        <v>83.600922954277621</v>
      </c>
      <c r="P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0" t="str">
        <f t="shared" ca="1" si="1"/>
        <v>TV</v>
      </c>
      <c r="R20">
        <f>automotive_demand_forecasting_dataset567[[#This Row],[Units_Sold]]*automotive_demand_forecasting_dataset567[[#This Row],[Average_Price]]</f>
        <v>2584034.5145542729</v>
      </c>
      <c r="S20" t="str">
        <f t="shared" ca="1" si="2"/>
        <v>OK</v>
      </c>
    </row>
    <row r="21" spans="1:20">
      <c r="A21" s="1">
        <v>42305</v>
      </c>
      <c r="B21" t="s">
        <v>14</v>
      </c>
      <c r="C21" t="str">
        <f>TEXT(automotive_demand_forecasting_dataset567[[#This Row],[Date]],"mmmm")</f>
        <v>October</v>
      </c>
      <c r="D21" t="str">
        <f>CHOOSE(MATCH(MONTH(A21), {1,4,7,10}), "Winter", "Spring", "Summer", "Autumn")</f>
        <v>Autumn</v>
      </c>
      <c r="E21">
        <f>YEAR(automotive_demand_forecasting_dataset567[[#This Row],[Date]])</f>
        <v>2015</v>
      </c>
      <c r="F21">
        <v>99</v>
      </c>
      <c r="G21">
        <f>(automotive_demand_forecasting_dataset567[[#This Row],[Units_Sold]] -$C$4) / $C$5</f>
        <v>-3.0730123261056761E-2</v>
      </c>
      <c r="H21" s="157" t="str">
        <f t="shared" ca="1" si="0"/>
        <v>East</v>
      </c>
      <c r="I21">
        <v>24893.835914346433</v>
      </c>
      <c r="J21">
        <v>3.3756544369082264</v>
      </c>
      <c r="K21">
        <v>2.6520564320000002</v>
      </c>
      <c r="L21">
        <v>5.3422328851939991</v>
      </c>
      <c r="M21">
        <v>87920.387480615405</v>
      </c>
      <c r="N21" s="82">
        <f>111.9136842</f>
        <v>111.91368420000001</v>
      </c>
      <c r="O21">
        <v>33.068355979452519</v>
      </c>
      <c r="P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1" t="str">
        <f t="shared" ca="1" si="1"/>
        <v>TV</v>
      </c>
      <c r="R21" s="157">
        <f>automotive_demand_forecasting_dataset567[[#This Row],[Units_Sold]]*automotive_demand_forecasting_dataset567[[#This Row],[Average_Price]]</f>
        <v>2464489.7555202967</v>
      </c>
      <c r="S21" t="str">
        <f t="shared" ca="1" si="2"/>
        <v>OK</v>
      </c>
    </row>
    <row r="22" spans="1:20">
      <c r="A22" s="1">
        <v>42335</v>
      </c>
      <c r="B22" t="s">
        <v>10</v>
      </c>
      <c r="C22" t="str">
        <f>TEXT(automotive_demand_forecasting_dataset567[[#This Row],[Date]],"mmmm")</f>
        <v>November</v>
      </c>
      <c r="D22" t="str">
        <f>CHOOSE(MATCH(MONTH(A22), {1,4,7,10}), "Winter", "Spring", "Summer", "Autumn")</f>
        <v>Autumn</v>
      </c>
      <c r="E22">
        <f>YEAR(automotive_demand_forecasting_dataset567[[#This Row],[Date]])</f>
        <v>2015</v>
      </c>
      <c r="F22">
        <v>90</v>
      </c>
      <c r="G22">
        <f>(automotive_demand_forecasting_dataset567[[#This Row],[Units_Sold]] -$C$4) / $C$5</f>
        <v>-0.95263382109276828</v>
      </c>
      <c r="H22" t="str">
        <f t="shared" ca="1" si="0"/>
        <v>North</v>
      </c>
      <c r="I22">
        <v>33541.782236496765</v>
      </c>
      <c r="J22">
        <v>4.3036727880099965</v>
      </c>
      <c r="K22">
        <v>2.9676931717654331</v>
      </c>
      <c r="L22">
        <v>6.4912566057298076</v>
      </c>
      <c r="M22">
        <v>95409.026892793059</v>
      </c>
      <c r="N22" s="82">
        <v>79</v>
      </c>
      <c r="O22">
        <v>28.345046988150571</v>
      </c>
      <c r="P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2" t="str">
        <f t="shared" ca="1" si="1"/>
        <v>TV</v>
      </c>
      <c r="R22">
        <f>automotive_demand_forecasting_dataset567[[#This Row],[Units_Sold]]*automotive_demand_forecasting_dataset567[[#This Row],[Average_Price]]</f>
        <v>3018760.4012847086</v>
      </c>
      <c r="S22" t="str">
        <f t="shared" ca="1" si="2"/>
        <v>OK</v>
      </c>
    </row>
    <row r="23" spans="1:20">
      <c r="A23" s="1">
        <v>42365</v>
      </c>
      <c r="B23" t="s">
        <v>10</v>
      </c>
      <c r="C23" t="str">
        <f>TEXT(automotive_demand_forecasting_dataset567[[#This Row],[Date]],"mmmm")</f>
        <v>December</v>
      </c>
      <c r="D23" t="str">
        <f>CHOOSE(MATCH(MONTH(A23), {1,4,7,10}), "Winter", "Spring", "Summer", "Autumn")</f>
        <v>Autumn</v>
      </c>
      <c r="E23">
        <f>YEAR(automotive_demand_forecasting_dataset567[[#This Row],[Date]])</f>
        <v>2015</v>
      </c>
      <c r="F23">
        <v>100</v>
      </c>
      <c r="G23">
        <f>(automotive_demand_forecasting_dataset567[[#This Row],[Units_Sold]] -$C$4) / $C$5</f>
        <v>7.1703620942466739E-2</v>
      </c>
      <c r="H23" t="str">
        <f t="shared" ca="1" si="0"/>
        <v>East</v>
      </c>
      <c r="I23">
        <v>31219.003568855995</v>
      </c>
      <c r="J23">
        <v>3.7454874758191257</v>
      </c>
      <c r="K23">
        <v>3.5857863249393471</v>
      </c>
      <c r="L23">
        <v>4.9758829153141395</v>
      </c>
      <c r="M23">
        <v>67210.316749491321</v>
      </c>
      <c r="N23" s="82">
        <v>81</v>
      </c>
      <c r="O23">
        <v>31.64123862298873</v>
      </c>
      <c r="P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3" t="str">
        <f t="shared" ca="1" si="1"/>
        <v>Print</v>
      </c>
      <c r="R23">
        <f>automotive_demand_forecasting_dataset567[[#This Row],[Units_Sold]]*automotive_demand_forecasting_dataset567[[#This Row],[Average_Price]]</f>
        <v>3121900.3568855994</v>
      </c>
      <c r="S23" t="str">
        <f t="shared" ca="1" si="2"/>
        <v>OK</v>
      </c>
    </row>
    <row r="24" spans="1:20">
      <c r="A24" s="1">
        <v>42395</v>
      </c>
      <c r="B24" t="s">
        <v>10</v>
      </c>
      <c r="C24" t="str">
        <f>TEXT(automotive_demand_forecasting_dataset567[[#This Row],[Date]],"mmmm")</f>
        <v>January</v>
      </c>
      <c r="D24" t="str">
        <f>CHOOSE(MATCH(MONTH(A24), {1,4,7,10}), "Winter", "Spring", "Summer", "Autumn")</f>
        <v>Winter</v>
      </c>
      <c r="E24">
        <f>YEAR(automotive_demand_forecasting_dataset567[[#This Row],[Date]])</f>
        <v>2016</v>
      </c>
      <c r="F24">
        <v>103</v>
      </c>
      <c r="G24">
        <f>(automotive_demand_forecasting_dataset567[[#This Row],[Units_Sold]] -$C$4) / $C$5</f>
        <v>0.37900485355303726</v>
      </c>
      <c r="H24" t="str">
        <f t="shared" ca="1" si="0"/>
        <v>East</v>
      </c>
      <c r="I24">
        <v>27179.606846316357</v>
      </c>
      <c r="J24">
        <v>3.8674388930249086</v>
      </c>
      <c r="K24">
        <v>2.5979831534708953</v>
      </c>
      <c r="L24">
        <v>5.616047043</v>
      </c>
      <c r="M24">
        <v>92150.57787878254</v>
      </c>
      <c r="N24" s="82">
        <v>90</v>
      </c>
      <c r="O24">
        <v>90.170204951880137</v>
      </c>
      <c r="P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4" t="str">
        <f t="shared" ca="1" si="1"/>
        <v>Print</v>
      </c>
      <c r="R24">
        <f>automotive_demand_forecasting_dataset567[[#This Row],[Units_Sold]]*automotive_demand_forecasting_dataset567[[#This Row],[Average_Price]]</f>
        <v>2799499.5051705847</v>
      </c>
      <c r="S24" t="str">
        <f t="shared" ca="1" si="2"/>
        <v>OK</v>
      </c>
    </row>
    <row r="25" spans="1:20">
      <c r="A25" s="1">
        <v>42425</v>
      </c>
      <c r="B25" t="s">
        <v>12</v>
      </c>
      <c r="C25" t="str">
        <f>TEXT(automotive_demand_forecasting_dataset567[[#This Row],[Date]],"mmmm")</f>
        <v>February</v>
      </c>
      <c r="D25" t="str">
        <f>CHOOSE(MATCH(MONTH(A25), {1,4,7,10}), "Winter", "Spring", "Summer", "Autumn")</f>
        <v>Winter</v>
      </c>
      <c r="E25">
        <f>YEAR(automotive_demand_forecasting_dataset567[[#This Row],[Date]])</f>
        <v>2016</v>
      </c>
      <c r="F25">
        <v>94</v>
      </c>
      <c r="G25">
        <f>(automotive_demand_forecasting_dataset567[[#This Row],[Units_Sold]] -$C$4) / $C$5</f>
        <v>-0.5428988442786743</v>
      </c>
      <c r="H25" t="str">
        <f t="shared" ca="1" si="0"/>
        <v>East</v>
      </c>
      <c r="I25">
        <v>23598.478006645528</v>
      </c>
      <c r="J25">
        <v>3.8314406343337062</v>
      </c>
      <c r="K25">
        <v>2.8080505395041024</v>
      </c>
      <c r="L25">
        <f>6.97388673</f>
        <v>6.9738867300000003</v>
      </c>
      <c r="M25">
        <v>119931.41021158894</v>
      </c>
      <c r="N25" s="82">
        <v>90</v>
      </c>
      <c r="O25">
        <v>62.255140940508497</v>
      </c>
      <c r="P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5" t="str">
        <f t="shared" ca="1" si="1"/>
        <v>Online</v>
      </c>
      <c r="R25">
        <f>automotive_demand_forecasting_dataset567[[#This Row],[Units_Sold]]*automotive_demand_forecasting_dataset567[[#This Row],[Average_Price]]</f>
        <v>2218256.9326246795</v>
      </c>
      <c r="S25" t="str">
        <f t="shared" ca="1" si="2"/>
        <v>OK</v>
      </c>
    </row>
    <row r="26" spans="1:20">
      <c r="A26" s="1">
        <v>42455</v>
      </c>
      <c r="B26" t="s">
        <v>12</v>
      </c>
      <c r="C26" t="str">
        <f>TEXT(automotive_demand_forecasting_dataset567[[#This Row],[Date]],"mmmm")</f>
        <v>March</v>
      </c>
      <c r="D26" t="str">
        <f>CHOOSE(MATCH(MONTH(A26), {1,4,7,10}), "Winter", "Spring", "Summer", "Autumn")</f>
        <v>Winter</v>
      </c>
      <c r="E26">
        <f>YEAR(automotive_demand_forecasting_dataset567[[#This Row],[Date]])</f>
        <v>2016</v>
      </c>
      <c r="F26">
        <v>105</v>
      </c>
      <c r="G26">
        <f>(automotive_demand_forecasting_dataset567[[#This Row],[Units_Sold]] -$C$4) / $C$5</f>
        <v>0.58387234196008431</v>
      </c>
      <c r="H26" t="str">
        <f t="shared" ca="1" si="0"/>
        <v>West</v>
      </c>
      <c r="I26">
        <v>34362.286641400722</v>
      </c>
      <c r="J26">
        <v>4.0867369287426625</v>
      </c>
      <c r="K26">
        <v>2.1083514325782087</v>
      </c>
      <c r="L26">
        <v>7.1577448944285837</v>
      </c>
      <c r="M26">
        <v>102916.7736</v>
      </c>
      <c r="N26" s="82">
        <v>87</v>
      </c>
      <c r="O26">
        <v>57.380879680600209</v>
      </c>
      <c r="P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6" t="str">
        <f t="shared" ca="1" si="1"/>
        <v>Radio</v>
      </c>
      <c r="R26">
        <f>automotive_demand_forecasting_dataset567[[#This Row],[Units_Sold]]*automotive_demand_forecasting_dataset567[[#This Row],[Average_Price]]</f>
        <v>3608040.0973470761</v>
      </c>
      <c r="S26" t="str">
        <f t="shared" ca="1" si="2"/>
        <v>OK</v>
      </c>
    </row>
    <row r="27" spans="1:20">
      <c r="A27" s="1">
        <v>42485</v>
      </c>
      <c r="B27" t="s">
        <v>13</v>
      </c>
      <c r="C27" t="str">
        <f>TEXT(automotive_demand_forecasting_dataset567[[#This Row],[Date]],"mmmm")</f>
        <v>April</v>
      </c>
      <c r="D27" t="str">
        <f>CHOOSE(MATCH(MONTH(A27), {1,4,7,10}), "Winter", "Spring", "Summer", "Autumn")</f>
        <v>Spring</v>
      </c>
      <c r="E27">
        <f>YEAR(automotive_demand_forecasting_dataset567[[#This Row],[Date]])</f>
        <v>2016</v>
      </c>
      <c r="F27">
        <v>86</v>
      </c>
      <c r="G27">
        <f>(automotive_demand_forecasting_dataset567[[#This Row],[Units_Sold]] -$C$4) / $C$5</f>
        <v>-1.3623687979068624</v>
      </c>
      <c r="H27" t="str">
        <f t="shared" ca="1" si="0"/>
        <v>South</v>
      </c>
      <c r="I27">
        <v>33251.005889793305</v>
      </c>
      <c r="J27">
        <v>3.5905107793518534</v>
      </c>
      <c r="K27">
        <v>2.7691269412451072</v>
      </c>
      <c r="L27">
        <v>3.9492847658732577</v>
      </c>
      <c r="M27">
        <v>112809.59590401647</v>
      </c>
      <c r="N27" s="82">
        <v>78</v>
      </c>
      <c r="O27">
        <v>28.53694552818834</v>
      </c>
      <c r="P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7" t="str">
        <f t="shared" ca="1" si="1"/>
        <v>Print</v>
      </c>
      <c r="R27">
        <f>automotive_demand_forecasting_dataset567[[#This Row],[Units_Sold]]*automotive_demand_forecasting_dataset567[[#This Row],[Average_Price]]</f>
        <v>2859586.5065222243</v>
      </c>
      <c r="S27" t="str">
        <f t="shared" ca="1" si="2"/>
        <v>OK</v>
      </c>
    </row>
    <row r="28" spans="1:20">
      <c r="A28" s="1">
        <v>42515</v>
      </c>
      <c r="B28" t="s">
        <v>13</v>
      </c>
      <c r="C28" t="str">
        <f>TEXT(automotive_demand_forecasting_dataset567[[#This Row],[Date]],"mmmm")</f>
        <v>May</v>
      </c>
      <c r="D28" t="str">
        <f>CHOOSE(MATCH(MONTH(A28), {1,4,7,10}), "Winter", "Spring", "Summer", "Autumn")</f>
        <v>Spring</v>
      </c>
      <c r="E28">
        <f>YEAR(automotive_demand_forecasting_dataset567[[#This Row],[Date]])</f>
        <v>2016</v>
      </c>
      <c r="F28">
        <v>92</v>
      </c>
      <c r="G28">
        <f>(automotive_demand_forecasting_dataset567[[#This Row],[Units_Sold]] -$C$4) / $C$5</f>
        <v>-0.74776633268572135</v>
      </c>
      <c r="H28" t="str">
        <f t="shared" ca="1" si="0"/>
        <v>South</v>
      </c>
      <c r="I28">
        <v>29504.120681103086</v>
      </c>
      <c r="J28">
        <v>2.8515840260220768</v>
      </c>
      <c r="K28">
        <v>2.1568077245025896</v>
      </c>
      <c r="L28">
        <v>6.3276493662942332</v>
      </c>
      <c r="M28">
        <v>96189.93788004377</v>
      </c>
      <c r="N28" s="82">
        <v>71</v>
      </c>
      <c r="O28">
        <v>71.964480540556934</v>
      </c>
      <c r="P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8" t="str">
        <f t="shared" ca="1" si="1"/>
        <v>Radio</v>
      </c>
      <c r="R28">
        <f>automotive_demand_forecasting_dataset567[[#This Row],[Units_Sold]]*automotive_demand_forecasting_dataset567[[#This Row],[Average_Price]]</f>
        <v>2714379.1026614839</v>
      </c>
      <c r="S28" t="str">
        <f t="shared" ca="1" si="2"/>
        <v>OK</v>
      </c>
      <c r="T28" s="2"/>
    </row>
    <row r="29" spans="1:20">
      <c r="A29" s="1">
        <v>42545</v>
      </c>
      <c r="B29" t="s">
        <v>10</v>
      </c>
      <c r="C29" t="str">
        <f>TEXT(automotive_demand_forecasting_dataset567[[#This Row],[Date]],"mmmm")</f>
        <v>June</v>
      </c>
      <c r="D29" t="str">
        <f>CHOOSE(MATCH(MONTH(A29), {1,4,7,10}), "Winter", "Spring", "Summer", "Autumn")</f>
        <v>Spring</v>
      </c>
      <c r="E29">
        <f>YEAR(automotive_demand_forecasting_dataset567[[#This Row],[Date]])</f>
        <v>2016</v>
      </c>
      <c r="F29">
        <v>94</v>
      </c>
      <c r="G29">
        <f>(automotive_demand_forecasting_dataset567[[#This Row],[Units_Sold]] -$C$4) / $C$5</f>
        <v>-0.5428988442786743</v>
      </c>
      <c r="H29" t="str">
        <f t="shared" ca="1" si="0"/>
        <v>West</v>
      </c>
      <c r="I29">
        <v>39233.184980238329</v>
      </c>
      <c r="J29">
        <v>3.6998439758763206</v>
      </c>
      <c r="K29">
        <v>3.1215718898560509</v>
      </c>
      <c r="L29">
        <v>4.8964302753383881</v>
      </c>
      <c r="M29">
        <v>106481.14056443122</v>
      </c>
      <c r="N29" s="82">
        <v>92</v>
      </c>
      <c r="O29">
        <v>89.439967351607194</v>
      </c>
      <c r="P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9" t="str">
        <f t="shared" ca="1" si="1"/>
        <v>TV</v>
      </c>
      <c r="R29">
        <f>automotive_demand_forecasting_dataset567[[#This Row],[Units_Sold]]*automotive_demand_forecasting_dataset567[[#This Row],[Average_Price]]</f>
        <v>3687919.3881424027</v>
      </c>
      <c r="S29" t="str">
        <f t="shared" ca="1" si="2"/>
        <v>OK</v>
      </c>
    </row>
    <row r="30" spans="1:20">
      <c r="A30" s="1">
        <v>42575</v>
      </c>
      <c r="B30" t="s">
        <v>13</v>
      </c>
      <c r="C30" t="str">
        <f>TEXT(automotive_demand_forecasting_dataset567[[#This Row],[Date]],"mmmm")</f>
        <v>July</v>
      </c>
      <c r="D30" t="str">
        <f>CHOOSE(MATCH(MONTH(A30), {1,4,7,10}), "Winter", "Spring", "Summer", "Autumn")</f>
        <v>Summer</v>
      </c>
      <c r="E30">
        <f>YEAR(automotive_demand_forecasting_dataset567[[#This Row],[Date]])</f>
        <v>2016</v>
      </c>
      <c r="F30">
        <v>101</v>
      </c>
      <c r="G30">
        <f>(automotive_demand_forecasting_dataset567[[#This Row],[Units_Sold]] -$C$4) / $C$5</f>
        <v>0.17413736514599024</v>
      </c>
      <c r="H30" t="str">
        <f t="shared" ca="1" si="0"/>
        <v>West</v>
      </c>
      <c r="I30">
        <v>24649.576168369236</v>
      </c>
      <c r="J30">
        <v>3.1743215531040856</v>
      </c>
      <c r="K30">
        <v>2.130389663956366</v>
      </c>
      <c r="L30">
        <v>5.8161846583972716</v>
      </c>
      <c r="M30">
        <v>77046.172203686656</v>
      </c>
      <c r="N30" s="82">
        <v>103</v>
      </c>
      <c r="O30">
        <v>86.254869545876232</v>
      </c>
      <c r="P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0" t="str">
        <f t="shared" ca="1" si="1"/>
        <v>TV</v>
      </c>
      <c r="R30">
        <f>automotive_demand_forecasting_dataset567[[#This Row],[Units_Sold]]*automotive_demand_forecasting_dataset567[[#This Row],[Average_Price]]</f>
        <v>2489607.1930052927</v>
      </c>
      <c r="S30" t="str">
        <f t="shared" ca="1" si="2"/>
        <v>OK</v>
      </c>
    </row>
    <row r="31" spans="1:20">
      <c r="A31" s="1">
        <v>42605</v>
      </c>
      <c r="B31" t="s">
        <v>12</v>
      </c>
      <c r="C31" t="str">
        <f>TEXT(automotive_demand_forecasting_dataset567[[#This Row],[Date]],"mmmm")</f>
        <v>August</v>
      </c>
      <c r="D31" t="str">
        <f>CHOOSE(MATCH(MONTH(A31), {1,4,7,10}), "Winter", "Spring", "Summer", "Autumn")</f>
        <v>Summer</v>
      </c>
      <c r="E31">
        <f>YEAR(automotive_demand_forecasting_dataset567[[#This Row],[Date]])</f>
        <v>2016</v>
      </c>
      <c r="F31">
        <v>103</v>
      </c>
      <c r="G31">
        <f>(automotive_demand_forecasting_dataset567[[#This Row],[Units_Sold]] -$C$4) / $C$5</f>
        <v>0.37900485355303726</v>
      </c>
      <c r="H31" t="str">
        <f t="shared" ca="1" si="0"/>
        <v>South</v>
      </c>
      <c r="I31">
        <v>22372.374145376307</v>
      </c>
      <c r="J31">
        <v>3.2356916591251217</v>
      </c>
      <c r="K31">
        <v>2.8771003939021864</v>
      </c>
      <c r="L31">
        <v>5.8530689548161927</v>
      </c>
      <c r="M31">
        <v>102916.7736</v>
      </c>
      <c r="N31" s="82">
        <v>90</v>
      </c>
      <c r="O31">
        <v>70.0843767184641</v>
      </c>
      <c r="P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1" t="str">
        <f t="shared" ca="1" si="1"/>
        <v>Radio</v>
      </c>
      <c r="R31">
        <f>automotive_demand_forecasting_dataset567[[#This Row],[Units_Sold]]*automotive_demand_forecasting_dataset567[[#This Row],[Average_Price]]</f>
        <v>2304354.5369737595</v>
      </c>
      <c r="S31" t="str">
        <f t="shared" ca="1" si="2"/>
        <v>OK</v>
      </c>
    </row>
    <row r="32" spans="1:20">
      <c r="A32" s="1">
        <v>42635</v>
      </c>
      <c r="B32" t="s">
        <v>13</v>
      </c>
      <c r="C32" t="str">
        <f>TEXT(automotive_demand_forecasting_dataset567[[#This Row],[Date]],"mmmm")</f>
        <v>September</v>
      </c>
      <c r="D32" t="str">
        <f>CHOOSE(MATCH(MONTH(A32), {1,4,7,10}), "Winter", "Spring", "Summer", "Autumn")</f>
        <v>Summer</v>
      </c>
      <c r="E32">
        <f>YEAR(automotive_demand_forecasting_dataset567[[#This Row],[Date]])</f>
        <v>2016</v>
      </c>
      <c r="F32">
        <v>84</v>
      </c>
      <c r="G32">
        <f>(automotive_demand_forecasting_dataset567[[#This Row],[Units_Sold]] -$C$4) / $C$5</f>
        <v>-1.5672362863139093</v>
      </c>
      <c r="H32" t="str">
        <f t="shared" ca="1" si="0"/>
        <v>North</v>
      </c>
      <c r="I32">
        <v>26540.459650593777</v>
      </c>
      <c r="J32">
        <v>3.7931820093775466</v>
      </c>
      <c r="K32">
        <v>2.4707371863150218</v>
      </c>
      <c r="L32">
        <v>5.2187106396204133</v>
      </c>
      <c r="M32">
        <v>40177.280581985535</v>
      </c>
      <c r="N32" s="82">
        <v>75</v>
      </c>
      <c r="O32">
        <v>80.215177969999999</v>
      </c>
      <c r="P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2" t="str">
        <f t="shared" ca="1" si="1"/>
        <v>Online</v>
      </c>
      <c r="R32">
        <f>automotive_demand_forecasting_dataset567[[#This Row],[Units_Sold]]*automotive_demand_forecasting_dataset567[[#This Row],[Average_Price]]</f>
        <v>2229398.6106498772</v>
      </c>
      <c r="S32" t="str">
        <f t="shared" ca="1" si="2"/>
        <v>OK</v>
      </c>
    </row>
    <row r="33" spans="1:19">
      <c r="A33" s="1">
        <v>42665</v>
      </c>
      <c r="B33" t="s">
        <v>14</v>
      </c>
      <c r="C33" t="str">
        <f>TEXT(automotive_demand_forecasting_dataset567[[#This Row],[Date]],"mmmm")</f>
        <v>October</v>
      </c>
      <c r="D33" t="str">
        <f>CHOOSE(MATCH(MONTH(A33), {1,4,7,10}), "Winter", "Spring", "Summer", "Autumn")</f>
        <v>Autumn</v>
      </c>
      <c r="E33">
        <f>YEAR(automotive_demand_forecasting_dataset567[[#This Row],[Date]])</f>
        <v>2016</v>
      </c>
      <c r="F33">
        <v>76</v>
      </c>
      <c r="G33">
        <f>(automotive_demand_forecasting_dataset567[[#This Row],[Units_Sold]] -$C$4) / $C$5</f>
        <v>-2.3867062399420975</v>
      </c>
      <c r="H33" s="157" t="str">
        <f t="shared" ca="1" si="0"/>
        <v>South</v>
      </c>
      <c r="I33">
        <v>29772.069918222511</v>
      </c>
      <c r="J33">
        <v>4.1191415357168175</v>
      </c>
      <c r="K33">
        <v>3.6260502507721681</v>
      </c>
      <c r="L33">
        <v>4.5594812012963244</v>
      </c>
      <c r="M33">
        <v>96262.076836760301</v>
      </c>
      <c r="N33" s="82">
        <v>80</v>
      </c>
      <c r="O33">
        <v>28.991762174081039</v>
      </c>
      <c r="P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3" t="str">
        <f t="shared" ca="1" si="1"/>
        <v>Online</v>
      </c>
      <c r="R33" s="157">
        <f>automotive_demand_forecasting_dataset567[[#This Row],[Units_Sold]]*automotive_demand_forecasting_dataset567[[#This Row],[Average_Price]]</f>
        <v>2262677.3137849108</v>
      </c>
      <c r="S33" t="str">
        <f t="shared" ca="1" si="2"/>
        <v>OK</v>
      </c>
    </row>
    <row r="34" spans="1:19">
      <c r="A34" s="1">
        <v>42695</v>
      </c>
      <c r="B34" t="s">
        <v>12</v>
      </c>
      <c r="C34" t="str">
        <f>TEXT(automotive_demand_forecasting_dataset567[[#This Row],[Date]],"mmmm")</f>
        <v>November</v>
      </c>
      <c r="D34" t="str">
        <f>CHOOSE(MATCH(MONTH(A34), {1,4,7,10}), "Winter", "Spring", "Summer", "Autumn")</f>
        <v>Autumn</v>
      </c>
      <c r="E34">
        <f>YEAR(automotive_demand_forecasting_dataset567[[#This Row],[Date]])</f>
        <v>2016</v>
      </c>
      <c r="F34">
        <v>100</v>
      </c>
      <c r="G34">
        <f>(automotive_demand_forecasting_dataset567[[#This Row],[Units_Sold]] -$C$4) / $C$5</f>
        <v>7.1703620942466739E-2</v>
      </c>
      <c r="H34" t="str">
        <f t="shared" ca="1" si="0"/>
        <v>West</v>
      </c>
      <c r="I34">
        <v>31216.697246613458</v>
      </c>
      <c r="J34">
        <v>3.510635788368031</v>
      </c>
      <c r="K34">
        <v>2.448606276411514</v>
      </c>
      <c r="L34">
        <v>4.6713507372204885</v>
      </c>
      <c r="M34">
        <v>67390.535125697206</v>
      </c>
      <c r="N34" s="82">
        <v>94</v>
      </c>
      <c r="O34">
        <v>23.944718968785974</v>
      </c>
      <c r="P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4" t="str">
        <f t="shared" ca="1" si="1"/>
        <v>Online</v>
      </c>
      <c r="R34">
        <f>automotive_demand_forecasting_dataset567[[#This Row],[Units_Sold]]*automotive_demand_forecasting_dataset567[[#This Row],[Average_Price]]</f>
        <v>3121669.7246613456</v>
      </c>
      <c r="S34" t="str">
        <f t="shared" ca="1" si="2"/>
        <v>OK</v>
      </c>
    </row>
    <row r="35" spans="1:19">
      <c r="A35" s="1">
        <v>42725</v>
      </c>
      <c r="B35" t="s">
        <v>14</v>
      </c>
      <c r="C35" t="str">
        <f>TEXT(automotive_demand_forecasting_dataset567[[#This Row],[Date]],"mmmm")</f>
        <v>December</v>
      </c>
      <c r="D35" t="str">
        <f>CHOOSE(MATCH(MONTH(A35), {1,4,7,10}), "Winter", "Spring", "Summer", "Autumn")</f>
        <v>Autumn</v>
      </c>
      <c r="E35">
        <f>YEAR(automotive_demand_forecasting_dataset567[[#This Row],[Date]])</f>
        <v>2016</v>
      </c>
      <c r="F35">
        <v>111</v>
      </c>
      <c r="G35">
        <f>(automotive_demand_forecasting_dataset567[[#This Row],[Units_Sold]] -$C$4) / $C$5</f>
        <v>1.1984748071812252</v>
      </c>
      <c r="H35" s="157" t="str">
        <f t="shared" ca="1" si="0"/>
        <v>West</v>
      </c>
      <c r="I35">
        <v>28793.819710718351</v>
      </c>
      <c r="J35">
        <v>3.6544165062994818</v>
      </c>
      <c r="K35">
        <v>0.72696753179311857</v>
      </c>
      <c r="L35">
        <v>4.4005697014225094</v>
      </c>
      <c r="M35">
        <v>124119.89033093632</v>
      </c>
      <c r="N35" s="82">
        <v>110</v>
      </c>
      <c r="O35">
        <v>40.598337319397544</v>
      </c>
      <c r="P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5" t="str">
        <f t="shared" ca="1" si="1"/>
        <v>Radio</v>
      </c>
      <c r="R35" s="157">
        <f>automotive_demand_forecasting_dataset567[[#This Row],[Units_Sold]]*automotive_demand_forecasting_dataset567[[#This Row],[Average_Price]]</f>
        <v>3196113.9878897369</v>
      </c>
      <c r="S35" t="str">
        <f t="shared" ca="1" si="2"/>
        <v>OK</v>
      </c>
    </row>
    <row r="36" spans="1:19">
      <c r="A36" s="1">
        <v>42755</v>
      </c>
      <c r="B36" t="s">
        <v>13</v>
      </c>
      <c r="C36" t="str">
        <f>TEXT(automotive_demand_forecasting_dataset567[[#This Row],[Date]],"mmmm")</f>
        <v>January</v>
      </c>
      <c r="D36" t="str">
        <f>CHOOSE(MATCH(MONTH(A36), {1,4,7,10}), "Winter", "Spring", "Summer", "Autumn")</f>
        <v>Winter</v>
      </c>
      <c r="E36">
        <f>YEAR(automotive_demand_forecasting_dataset567[[#This Row],[Date]])</f>
        <v>2017</v>
      </c>
      <c r="F36">
        <v>93</v>
      </c>
      <c r="G36">
        <f>(automotive_demand_forecasting_dataset567[[#This Row],[Units_Sold]] -$C$4) / $C$5</f>
        <v>-0.64533258848219777</v>
      </c>
      <c r="H36" t="str">
        <f t="shared" ca="1" si="0"/>
        <v>East</v>
      </c>
      <c r="I36">
        <v>38106.295579999998</v>
      </c>
      <c r="J36">
        <v>4.3511074723176186</v>
      </c>
      <c r="K36">
        <v>3.7619215007139917</v>
      </c>
      <c r="L36">
        <v>4.5018133501234665</v>
      </c>
      <c r="M36">
        <f t="shared" ref="M36:M37" si="3">128897.2893</f>
        <v>128897.2893</v>
      </c>
      <c r="N36" s="82">
        <v>84</v>
      </c>
      <c r="O36">
        <v>30.85291737283022</v>
      </c>
      <c r="P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6" t="str">
        <f t="shared" ca="1" si="1"/>
        <v>Online</v>
      </c>
      <c r="R36">
        <f>automotive_demand_forecasting_dataset567[[#This Row],[Units_Sold]]*automotive_demand_forecasting_dataset567[[#This Row],[Average_Price]]</f>
        <v>3543885.4889399996</v>
      </c>
      <c r="S36" t="str">
        <f t="shared" ca="1" si="2"/>
        <v>OK</v>
      </c>
    </row>
    <row r="37" spans="1:19">
      <c r="A37" s="1">
        <v>42785</v>
      </c>
      <c r="B37" t="s">
        <v>11</v>
      </c>
      <c r="C37" t="str">
        <f>TEXT(automotive_demand_forecasting_dataset567[[#This Row],[Date]],"mmmm")</f>
        <v>February</v>
      </c>
      <c r="D37" t="str">
        <f>CHOOSE(MATCH(MONTH(A37), {1,4,7,10}), "Winter", "Spring", "Summer", "Autumn")</f>
        <v>Winter</v>
      </c>
      <c r="E37">
        <f>YEAR(automotive_demand_forecasting_dataset567[[#This Row],[Date]])</f>
        <v>2017</v>
      </c>
      <c r="F37">
        <v>87</v>
      </c>
      <c r="G37">
        <f>(automotive_demand_forecasting_dataset567[[#This Row],[Units_Sold]] -$C$4) / $C$5</f>
        <v>-1.2599350537033389</v>
      </c>
      <c r="H37" t="str">
        <f t="shared" ca="1" si="0"/>
        <v>East</v>
      </c>
      <c r="I37">
        <v>23742.30287904778</v>
      </c>
      <c r="J37">
        <v>3.6203765897442843</v>
      </c>
      <c r="K37">
        <v>1.5942676991373812</v>
      </c>
      <c r="L37">
        <v>5.4193860519407737</v>
      </c>
      <c r="M37">
        <f t="shared" si="3"/>
        <v>128897.2893</v>
      </c>
      <c r="N37" s="82">
        <v>80</v>
      </c>
      <c r="O37">
        <v>40.803843220194707</v>
      </c>
      <c r="P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7" t="str">
        <f t="shared" ca="1" si="1"/>
        <v>TV</v>
      </c>
      <c r="R37">
        <f>automotive_demand_forecasting_dataset567[[#This Row],[Units_Sold]]*automotive_demand_forecasting_dataset567[[#This Row],[Average_Price]]</f>
        <v>2065580.3504771569</v>
      </c>
      <c r="S37" t="str">
        <f t="shared" ca="1" si="2"/>
        <v>OK</v>
      </c>
    </row>
    <row r="38" spans="1:19">
      <c r="A38" s="1">
        <v>42815</v>
      </c>
      <c r="B38" t="s">
        <v>10</v>
      </c>
      <c r="C38" t="str">
        <f>TEXT(automotive_demand_forecasting_dataset567[[#This Row],[Date]],"mmmm")</f>
        <v>March</v>
      </c>
      <c r="D38" t="str">
        <f>CHOOSE(MATCH(MONTH(A38), {1,4,7,10}), "Winter", "Spring", "Summer", "Autumn")</f>
        <v>Winter</v>
      </c>
      <c r="E38">
        <f>YEAR(automotive_demand_forecasting_dataset567[[#This Row],[Date]])</f>
        <v>2017</v>
      </c>
      <c r="F38">
        <v>108</v>
      </c>
      <c r="G38">
        <f>(automotive_demand_forecasting_dataset567[[#This Row],[Units_Sold]] -$C$4) / $C$5</f>
        <v>0.89117357457065483</v>
      </c>
      <c r="H38" t="str">
        <f t="shared" ca="1" si="0"/>
        <v>North</v>
      </c>
      <c r="I38">
        <v>37218.823020366297</v>
      </c>
      <c r="J38">
        <v>4.8008415570901972</v>
      </c>
      <c r="K38">
        <v>1.8462336613511803</v>
      </c>
      <c r="L38">
        <v>4.6410880130670975</v>
      </c>
      <c r="M38">
        <v>130420.1245431876</v>
      </c>
      <c r="N38" s="82">
        <v>77</v>
      </c>
      <c r="O38">
        <v>50.804644457516936</v>
      </c>
      <c r="P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8" t="str">
        <f t="shared" ca="1" si="1"/>
        <v>Online</v>
      </c>
      <c r="R38">
        <f>automotive_demand_forecasting_dataset567[[#This Row],[Units_Sold]]*automotive_demand_forecasting_dataset567[[#This Row],[Average_Price]]</f>
        <v>4019632.88619956</v>
      </c>
      <c r="S38" t="str">
        <f t="shared" ca="1" si="2"/>
        <v>OK</v>
      </c>
    </row>
    <row r="39" spans="1:19">
      <c r="A39" s="1">
        <v>42845</v>
      </c>
      <c r="B39" t="s">
        <v>12</v>
      </c>
      <c r="C39" t="str">
        <f>TEXT(automotive_demand_forecasting_dataset567[[#This Row],[Date]],"mmmm")</f>
        <v>April</v>
      </c>
      <c r="D39" t="str">
        <f>CHOOSE(MATCH(MONTH(A39), {1,4,7,10}), "Winter", "Spring", "Summer", "Autumn")</f>
        <v>Spring</v>
      </c>
      <c r="E39">
        <f>YEAR(automotive_demand_forecasting_dataset567[[#This Row],[Date]])</f>
        <v>2017</v>
      </c>
      <c r="F39">
        <v>106</v>
      </c>
      <c r="G39">
        <f>(automotive_demand_forecasting_dataset567[[#This Row],[Units_Sold]] -$C$4) / $C$5</f>
        <v>0.68630608616360778</v>
      </c>
      <c r="H39" t="str">
        <f t="shared" ca="1" si="0"/>
        <v>West</v>
      </c>
      <c r="I39">
        <v>29589.244108037157</v>
      </c>
      <c r="J39">
        <v>3.7827548228157721</v>
      </c>
      <c r="K39">
        <v>1.904338705956508</v>
      </c>
      <c r="L39">
        <v>6.3184624788551442</v>
      </c>
      <c r="M39">
        <v>81021.669583503259</v>
      </c>
      <c r="N39" s="82">
        <v>82</v>
      </c>
      <c r="O39">
        <v>95.438622725690848</v>
      </c>
      <c r="P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9" t="str">
        <f t="shared" ca="1" si="1"/>
        <v>Print</v>
      </c>
      <c r="R39">
        <f>automotive_demand_forecasting_dataset567[[#This Row],[Units_Sold]]*automotive_demand_forecasting_dataset567[[#This Row],[Average_Price]]</f>
        <v>3136459.8754519387</v>
      </c>
      <c r="S39" t="str">
        <f t="shared" ca="1" si="2"/>
        <v>OK</v>
      </c>
    </row>
    <row r="40" spans="1:19">
      <c r="A40" s="1">
        <v>42875</v>
      </c>
      <c r="B40" t="s">
        <v>14</v>
      </c>
      <c r="C40" t="str">
        <f>TEXT(automotive_demand_forecasting_dataset567[[#This Row],[Date]],"mmmm")</f>
        <v>May</v>
      </c>
      <c r="D40" t="str">
        <f>CHOOSE(MATCH(MONTH(A40), {1,4,7,10}), "Winter", "Spring", "Summer", "Autumn")</f>
        <v>Spring</v>
      </c>
      <c r="E40">
        <f>YEAR(automotive_demand_forecasting_dataset567[[#This Row],[Date]])</f>
        <v>2017</v>
      </c>
      <c r="F40">
        <v>108</v>
      </c>
      <c r="G40">
        <f>(automotive_demand_forecasting_dataset567[[#This Row],[Units_Sold]] -$C$4) / $C$5</f>
        <v>0.89117357457065483</v>
      </c>
      <c r="H40" s="157" t="str">
        <f t="shared" ca="1" si="0"/>
        <v>South</v>
      </c>
      <c r="I40">
        <v>35586.479157940637</v>
      </c>
      <c r="J40">
        <v>2.619618620422091</v>
      </c>
      <c r="K40">
        <v>3.8744380931708173</v>
      </c>
      <c r="L40">
        <v>7.2846953864031132</v>
      </c>
      <c r="M40">
        <v>134947.26395831117</v>
      </c>
      <c r="N40" s="82">
        <v>111</v>
      </c>
      <c r="O40">
        <v>68.830084782535366</v>
      </c>
      <c r="P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0" t="str">
        <f t="shared" ca="1" si="1"/>
        <v>TV</v>
      </c>
      <c r="R40" s="157">
        <f>automotive_demand_forecasting_dataset567[[#This Row],[Units_Sold]]*automotive_demand_forecasting_dataset567[[#This Row],[Average_Price]]</f>
        <v>3843339.7490575886</v>
      </c>
      <c r="S40" t="str">
        <f t="shared" ca="1" si="2"/>
        <v>OK</v>
      </c>
    </row>
    <row r="41" spans="1:19">
      <c r="A41" s="1">
        <v>42905</v>
      </c>
      <c r="B41" t="s">
        <v>11</v>
      </c>
      <c r="C41" t="str">
        <f>TEXT(automotive_demand_forecasting_dataset567[[#This Row],[Date]],"mmmm")</f>
        <v>June</v>
      </c>
      <c r="D41" t="str">
        <f>CHOOSE(MATCH(MONTH(A41), {1,4,7,10}), "Winter", "Spring", "Summer", "Autumn")</f>
        <v>Spring</v>
      </c>
      <c r="E41">
        <f>YEAR(automotive_demand_forecasting_dataset567[[#This Row],[Date]])</f>
        <v>2017</v>
      </c>
      <c r="F41">
        <v>96</v>
      </c>
      <c r="G41">
        <f>(automotive_demand_forecasting_dataset567[[#This Row],[Units_Sold]] -$C$4) / $C$5</f>
        <v>-0.33803135587162725</v>
      </c>
      <c r="H41" t="str">
        <f t="shared" ca="1" si="0"/>
        <v>West</v>
      </c>
      <c r="I41">
        <v>31713.626731888522</v>
      </c>
      <c r="J41">
        <v>3.876670810552266</v>
      </c>
      <c r="K41">
        <v>0.3643257860213045</v>
      </c>
      <c r="L41">
        <v>4.8039361103559486</v>
      </c>
      <c r="M41">
        <v>118643.83128520769</v>
      </c>
      <c r="N41" s="82">
        <v>87</v>
      </c>
      <c r="O41">
        <v>86.797902854636988</v>
      </c>
      <c r="P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1" t="str">
        <f t="shared" ca="1" si="1"/>
        <v>Billboards</v>
      </c>
      <c r="R41">
        <f>automotive_demand_forecasting_dataset567[[#This Row],[Units_Sold]]*automotive_demand_forecasting_dataset567[[#This Row],[Average_Price]]</f>
        <v>3044508.1662612981</v>
      </c>
      <c r="S41" t="str">
        <f t="shared" ca="1" si="2"/>
        <v>OK</v>
      </c>
    </row>
    <row r="42" spans="1:19">
      <c r="A42" s="1">
        <v>42935</v>
      </c>
      <c r="B42" t="s">
        <v>11</v>
      </c>
      <c r="C42" t="str">
        <f>TEXT(automotive_demand_forecasting_dataset567[[#This Row],[Date]],"mmmm")</f>
        <v>July</v>
      </c>
      <c r="D42" t="str">
        <f>CHOOSE(MATCH(MONTH(A42), {1,4,7,10}), "Winter", "Spring", "Summer", "Autumn")</f>
        <v>Summer</v>
      </c>
      <c r="E42">
        <f>YEAR(automotive_demand_forecasting_dataset567[[#This Row],[Date]])</f>
        <v>2017</v>
      </c>
      <c r="F42">
        <v>113</v>
      </c>
      <c r="G42">
        <f>(automotive_demand_forecasting_dataset567[[#This Row],[Units_Sold]] -$C$4) / $C$5</f>
        <v>1.4033422955882724</v>
      </c>
      <c r="H42" t="str">
        <f t="shared" ca="1" si="0"/>
        <v>North</v>
      </c>
      <c r="I42">
        <v>32283.766095768919</v>
      </c>
      <c r="J42">
        <v>3.6905791924413887</v>
      </c>
      <c r="K42">
        <f t="shared" ref="K42:K43" si="4">3.224108373</f>
        <v>3.224108373</v>
      </c>
      <c r="L42">
        <v>5.7872854006424523</v>
      </c>
      <c r="M42">
        <v>95268.894255621082</v>
      </c>
      <c r="N42" s="82">
        <v>73</v>
      </c>
      <c r="O42">
        <v>76.828120056986577</v>
      </c>
      <c r="P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2" t="str">
        <f t="shared" ca="1" si="1"/>
        <v>Radio</v>
      </c>
      <c r="R42">
        <f>automotive_demand_forecasting_dataset567[[#This Row],[Units_Sold]]*automotive_demand_forecasting_dataset567[[#This Row],[Average_Price]]</f>
        <v>3648065.568821888</v>
      </c>
      <c r="S42" t="str">
        <f t="shared" ca="1" si="2"/>
        <v>OK</v>
      </c>
    </row>
    <row r="43" spans="1:19">
      <c r="A43" s="1">
        <v>42965</v>
      </c>
      <c r="B43" t="s">
        <v>12</v>
      </c>
      <c r="C43" t="str">
        <f>TEXT(automotive_demand_forecasting_dataset567[[#This Row],[Date]],"mmmm")</f>
        <v>August</v>
      </c>
      <c r="D43" t="str">
        <f>CHOOSE(MATCH(MONTH(A43), {1,4,7,10}), "Winter", "Spring", "Summer", "Autumn")</f>
        <v>Summer</v>
      </c>
      <c r="E43">
        <f>YEAR(automotive_demand_forecasting_dataset567[[#This Row],[Date]])</f>
        <v>2017</v>
      </c>
      <c r="F43">
        <v>95</v>
      </c>
      <c r="G43">
        <f>(automotive_demand_forecasting_dataset567[[#This Row],[Units_Sold]] -$C$4) / $C$5</f>
        <v>-0.44046510007515077</v>
      </c>
      <c r="H43" t="str">
        <f t="shared" ca="1" si="0"/>
        <v>East</v>
      </c>
      <c r="I43">
        <v>32848.836401161017</v>
      </c>
      <c r="J43">
        <v>4.1448763770413724</v>
      </c>
      <c r="K43">
        <f t="shared" si="4"/>
        <v>3.224108373</v>
      </c>
      <c r="L43">
        <v>6.0996221323635202</v>
      </c>
      <c r="M43">
        <v>122712.40294365888</v>
      </c>
      <c r="N43" s="82">
        <v>95</v>
      </c>
      <c r="O43">
        <v>29.00025044213054</v>
      </c>
      <c r="P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3" t="str">
        <f t="shared" ca="1" si="1"/>
        <v>Online</v>
      </c>
      <c r="R43">
        <f>automotive_demand_forecasting_dataset567[[#This Row],[Units_Sold]]*automotive_demand_forecasting_dataset567[[#This Row],[Average_Price]]</f>
        <v>3120639.4581102966</v>
      </c>
      <c r="S43" t="str">
        <f t="shared" ca="1" si="2"/>
        <v>OK</v>
      </c>
    </row>
    <row r="44" spans="1:19">
      <c r="A44" s="1">
        <v>42995</v>
      </c>
      <c r="B44" t="s">
        <v>12</v>
      </c>
      <c r="C44" t="str">
        <f>TEXT(automotive_demand_forecasting_dataset567[[#This Row],[Date]],"mmmm")</f>
        <v>September</v>
      </c>
      <c r="D44" t="str">
        <f>CHOOSE(MATCH(MONTH(A44), {1,4,7,10}), "Winter", "Spring", "Summer", "Autumn")</f>
        <v>Summer</v>
      </c>
      <c r="E44">
        <f>YEAR(automotive_demand_forecasting_dataset567[[#This Row],[Date]])</f>
        <v>2017</v>
      </c>
      <c r="F44">
        <v>94</v>
      </c>
      <c r="G44">
        <f>(automotive_demand_forecasting_dataset567[[#This Row],[Units_Sold]] -$C$4) / $C$5</f>
        <v>-0.5428988442786743</v>
      </c>
      <c r="H44" t="str">
        <f t="shared" ca="1" si="0"/>
        <v>West</v>
      </c>
      <c r="I44">
        <v>32238.542800086576</v>
      </c>
      <c r="J44">
        <v>3.8365906756349792</v>
      </c>
      <c r="K44">
        <v>2.7232389141291597</v>
      </c>
      <c r="L44">
        <v>6.0664027251031296</v>
      </c>
      <c r="M44">
        <v>77874.129751767323</v>
      </c>
      <c r="N44" s="82">
        <v>87</v>
      </c>
      <c r="O44">
        <v>78.873632509915907</v>
      </c>
      <c r="P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4" t="str">
        <f t="shared" ca="1" si="1"/>
        <v>Print</v>
      </c>
      <c r="R44">
        <f>automotive_demand_forecasting_dataset567[[#This Row],[Units_Sold]]*automotive_demand_forecasting_dataset567[[#This Row],[Average_Price]]</f>
        <v>3030423.0232081381</v>
      </c>
      <c r="S44" t="str">
        <f t="shared" ca="1" si="2"/>
        <v>OK</v>
      </c>
    </row>
    <row r="45" spans="1:19">
      <c r="A45" s="1">
        <v>43025</v>
      </c>
      <c r="B45" t="s">
        <v>11</v>
      </c>
      <c r="C45" t="str">
        <f>TEXT(automotive_demand_forecasting_dataset567[[#This Row],[Date]],"mmmm")</f>
        <v>October</v>
      </c>
      <c r="D45" t="str">
        <f>CHOOSE(MATCH(MONTH(A45), {1,4,7,10}), "Winter", "Spring", "Summer", "Autumn")</f>
        <v>Autumn</v>
      </c>
      <c r="E45">
        <f>YEAR(automotive_demand_forecasting_dataset567[[#This Row],[Date]])</f>
        <v>2017</v>
      </c>
      <c r="F45">
        <v>107</v>
      </c>
      <c r="G45">
        <f>(automotive_demand_forecasting_dataset567[[#This Row],[Units_Sold]] -$C$4) / $C$5</f>
        <v>0.78873983036713124</v>
      </c>
      <c r="H45" t="str">
        <f t="shared" ca="1" si="0"/>
        <v>East</v>
      </c>
      <c r="I45">
        <v>33213.61379933772</v>
      </c>
      <c r="J45">
        <v>3.430772008008113</v>
      </c>
      <c r="K45">
        <v>2.4451059993837134</v>
      </c>
      <c r="L45">
        <v>5.5911463214993047</v>
      </c>
      <c r="M45">
        <v>83509.716769446532</v>
      </c>
      <c r="N45" s="82">
        <v>88</v>
      </c>
      <c r="O45">
        <v>42.007910524729951</v>
      </c>
      <c r="P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5" t="str">
        <f t="shared" ca="1" si="1"/>
        <v>Billboards</v>
      </c>
      <c r="R45">
        <f>automotive_demand_forecasting_dataset567[[#This Row],[Units_Sold]]*automotive_demand_forecasting_dataset567[[#This Row],[Average_Price]]</f>
        <v>3553856.676529136</v>
      </c>
      <c r="S45" t="str">
        <f t="shared" ca="1" si="2"/>
        <v>OK</v>
      </c>
    </row>
    <row r="46" spans="1:19">
      <c r="A46" s="1">
        <v>43055</v>
      </c>
      <c r="B46" t="s">
        <v>10</v>
      </c>
      <c r="C46" t="str">
        <f>TEXT(automotive_demand_forecasting_dataset567[[#This Row],[Date]],"mmmm")</f>
        <v>November</v>
      </c>
      <c r="D46" t="str">
        <f>CHOOSE(MATCH(MONTH(A46), {1,4,7,10}), "Winter", "Spring", "Summer", "Autumn")</f>
        <v>Autumn</v>
      </c>
      <c r="E46">
        <f>YEAR(automotive_demand_forecasting_dataset567[[#This Row],[Date]])</f>
        <v>2017</v>
      </c>
      <c r="F46">
        <v>114</v>
      </c>
      <c r="G46">
        <f>(automotive_demand_forecasting_dataset567[[#This Row],[Units_Sold]] -$C$4) / $C$5</f>
        <v>1.5057760397917959</v>
      </c>
      <c r="H46" t="str">
        <f t="shared" ca="1" si="0"/>
        <v>North</v>
      </c>
      <c r="I46">
        <v>36645.76265066216</v>
      </c>
      <c r="J46">
        <v>2.887850881855317</v>
      </c>
      <c r="K46">
        <v>2.7855540748576568</v>
      </c>
      <c r="L46">
        <v>6.3912189020316665</v>
      </c>
      <c r="M46">
        <v>102916.7736</v>
      </c>
      <c r="N46" s="82">
        <v>85</v>
      </c>
      <c r="O46">
        <v>80.215177969999999</v>
      </c>
      <c r="P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6" t="str">
        <f t="shared" ca="1" si="1"/>
        <v>Print</v>
      </c>
      <c r="R46">
        <f>automotive_demand_forecasting_dataset567[[#This Row],[Units_Sold]]*automotive_demand_forecasting_dataset567[[#This Row],[Average_Price]]</f>
        <v>4177616.9421754861</v>
      </c>
      <c r="S46" t="str">
        <f t="shared" ca="1" si="2"/>
        <v>OK</v>
      </c>
    </row>
    <row r="47" spans="1:19">
      <c r="A47" s="1">
        <v>43085</v>
      </c>
      <c r="B47" t="s">
        <v>10</v>
      </c>
      <c r="C47" t="str">
        <f>TEXT(automotive_demand_forecasting_dataset567[[#This Row],[Date]],"mmmm")</f>
        <v>December</v>
      </c>
      <c r="D47" t="str">
        <f>CHOOSE(MATCH(MONTH(A47), {1,4,7,10}), "Winter", "Spring", "Summer", "Autumn")</f>
        <v>Autumn</v>
      </c>
      <c r="E47">
        <f>YEAR(automotive_demand_forecasting_dataset567[[#This Row],[Date]])</f>
        <v>2017</v>
      </c>
      <c r="F47">
        <v>86</v>
      </c>
      <c r="G47">
        <f>(automotive_demand_forecasting_dataset567[[#This Row],[Units_Sold]] -$C$4) / $C$5</f>
        <v>-1.3623687979068624</v>
      </c>
      <c r="H47" t="str">
        <f t="shared" ca="1" si="0"/>
        <v>East</v>
      </c>
      <c r="I47">
        <v>30982.605848507352</v>
      </c>
      <c r="J47">
        <v>3.3954883713569872</v>
      </c>
      <c r="K47">
        <v>3.0211224283793383</v>
      </c>
      <c r="L47">
        <v>6.0786987432167887</v>
      </c>
      <c r="M47">
        <v>89420.445838719694</v>
      </c>
      <c r="N47" s="82">
        <v>93</v>
      </c>
      <c r="O47">
        <v>47.276957891439082</v>
      </c>
      <c r="P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7" t="str">
        <f t="shared" ca="1" si="1"/>
        <v>Radio</v>
      </c>
      <c r="R47">
        <f>automotive_demand_forecasting_dataset567[[#This Row],[Units_Sold]]*automotive_demand_forecasting_dataset567[[#This Row],[Average_Price]]</f>
        <v>2664504.102971632</v>
      </c>
      <c r="S47" t="str">
        <f t="shared" ca="1" si="2"/>
        <v>OK</v>
      </c>
    </row>
    <row r="48" spans="1:19">
      <c r="A48" s="1">
        <v>43115</v>
      </c>
      <c r="B48" t="s">
        <v>14</v>
      </c>
      <c r="C48" t="str">
        <f>TEXT(automotive_demand_forecasting_dataset567[[#This Row],[Date]],"mmmm")</f>
        <v>January</v>
      </c>
      <c r="D48" t="str">
        <f>CHOOSE(MATCH(MONTH(A48), {1,4,7,10}), "Winter", "Spring", "Summer", "Autumn")</f>
        <v>Winter</v>
      </c>
      <c r="E48">
        <f>YEAR(automotive_demand_forecasting_dataset567[[#This Row],[Date]])</f>
        <v>2018</v>
      </c>
      <c r="F48">
        <v>100</v>
      </c>
      <c r="G48">
        <f>(automotive_demand_forecasting_dataset567[[#This Row],[Units_Sold]] -$C$4) / $C$5</f>
        <v>7.1703620942466739E-2</v>
      </c>
      <c r="H48" s="157" t="str">
        <f t="shared" ca="1" si="0"/>
        <v>South</v>
      </c>
      <c r="I48">
        <v>33545.018787942565</v>
      </c>
      <c r="J48">
        <v>3.0747397728953501</v>
      </c>
      <c r="K48">
        <v>3.1452155859500599</v>
      </c>
      <c r="L48">
        <v>4.0148050932072428</v>
      </c>
      <c r="M48">
        <v>78868.847144794941</v>
      </c>
      <c r="N48" s="82">
        <v>85</v>
      </c>
      <c r="O48">
        <v>99.813781061172733</v>
      </c>
      <c r="P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8" t="str">
        <f t="shared" ca="1" si="1"/>
        <v>Online</v>
      </c>
      <c r="R48" s="157">
        <f>automotive_demand_forecasting_dataset567[[#This Row],[Units_Sold]]*automotive_demand_forecasting_dataset567[[#This Row],[Average_Price]]</f>
        <v>3354501.8787942566</v>
      </c>
      <c r="S48" t="str">
        <f t="shared" ca="1" si="2"/>
        <v>OK</v>
      </c>
    </row>
    <row r="49" spans="1:19">
      <c r="A49" s="1">
        <v>43145</v>
      </c>
      <c r="B49" t="s">
        <v>10</v>
      </c>
      <c r="C49" t="str">
        <f>TEXT(automotive_demand_forecasting_dataset567[[#This Row],[Date]],"mmmm")</f>
        <v>February</v>
      </c>
      <c r="D49" t="str">
        <f>CHOOSE(MATCH(MONTH(A49), {1,4,7,10}), "Winter", "Spring", "Summer", "Autumn")</f>
        <v>Winter</v>
      </c>
      <c r="E49">
        <f>YEAR(automotive_demand_forecasting_dataset567[[#This Row],[Date]])</f>
        <v>2018</v>
      </c>
      <c r="F49">
        <v>108</v>
      </c>
      <c r="G49">
        <f>(automotive_demand_forecasting_dataset567[[#This Row],[Units_Sold]] -$C$4) / $C$5</f>
        <v>0.89117357457065483</v>
      </c>
      <c r="H49" t="str">
        <f t="shared" ca="1" si="0"/>
        <v>North</v>
      </c>
      <c r="I49">
        <v>29551.321528563865</v>
      </c>
      <c r="J49">
        <v>3.2097382750976386</v>
      </c>
      <c r="K49">
        <v>3.0556044660034485</v>
      </c>
      <c r="L49">
        <v>6.5429872772671276</v>
      </c>
      <c r="M49">
        <v>124461.6613419065</v>
      </c>
      <c r="N49" s="82">
        <v>90</v>
      </c>
      <c r="O49">
        <v>41.084118359742227</v>
      </c>
      <c r="P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9" t="str">
        <f t="shared" ca="1" si="1"/>
        <v>Online</v>
      </c>
      <c r="R49">
        <f>automotive_demand_forecasting_dataset567[[#This Row],[Units_Sold]]*automotive_demand_forecasting_dataset567[[#This Row],[Average_Price]]</f>
        <v>3191542.7250848976</v>
      </c>
      <c r="S49" t="str">
        <f t="shared" ca="1" si="2"/>
        <v>OK</v>
      </c>
    </row>
    <row r="50" spans="1:19">
      <c r="A50" s="1">
        <v>43175</v>
      </c>
      <c r="B50" t="s">
        <v>11</v>
      </c>
      <c r="C50" t="str">
        <f>TEXT(automotive_demand_forecasting_dataset567[[#This Row],[Date]],"mmmm")</f>
        <v>March</v>
      </c>
      <c r="D50" t="str">
        <f>CHOOSE(MATCH(MONTH(A50), {1,4,7,10}), "Winter", "Spring", "Summer", "Autumn")</f>
        <v>Winter</v>
      </c>
      <c r="E50">
        <f>YEAR(automotive_demand_forecasting_dataset567[[#This Row],[Date]])</f>
        <v>2018</v>
      </c>
      <c r="F50">
        <v>101</v>
      </c>
      <c r="G50">
        <f>(automotive_demand_forecasting_dataset567[[#This Row],[Units_Sold]] -$C$4) / $C$5</f>
        <v>0.17413736514599024</v>
      </c>
      <c r="H50" t="str">
        <f t="shared" ca="1" si="0"/>
        <v>South</v>
      </c>
      <c r="I50">
        <v>37200.586077247368</v>
      </c>
      <c r="J50">
        <v>3.5380713799999999</v>
      </c>
      <c r="K50">
        <v>2.5895806812552489</v>
      </c>
      <c r="L50">
        <v>6.56474900472009</v>
      </c>
      <c r="M50">
        <v>94822.91199260336</v>
      </c>
      <c r="N50" s="82">
        <v>80</v>
      </c>
      <c r="O50">
        <v>42.330437661941573</v>
      </c>
      <c r="P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50" t="str">
        <f t="shared" ca="1" si="1"/>
        <v>Print</v>
      </c>
      <c r="R50">
        <f>automotive_demand_forecasting_dataset567[[#This Row],[Units_Sold]]*automotive_demand_forecasting_dataset567[[#This Row],[Average_Price]]</f>
        <v>3757259.1938019842</v>
      </c>
      <c r="S50" t="str">
        <f t="shared" ca="1" si="2"/>
        <v>OK</v>
      </c>
    </row>
    <row r="51" spans="1:19">
      <c r="A51" s="1">
        <v>43205</v>
      </c>
      <c r="B51" t="s">
        <v>11</v>
      </c>
      <c r="C51" t="str">
        <f>TEXT(automotive_demand_forecasting_dataset567[[#This Row],[Date]],"mmmm")</f>
        <v>April</v>
      </c>
      <c r="D51" t="str">
        <f>CHOOSE(MATCH(MONTH(A51), {1,4,7,10}), "Winter", "Spring", "Summer", "Autumn")</f>
        <v>Spring</v>
      </c>
      <c r="E51">
        <f>YEAR(automotive_demand_forecasting_dataset567[[#This Row],[Date]])</f>
        <v>2018</v>
      </c>
      <c r="F51">
        <v>94</v>
      </c>
      <c r="G51">
        <f>(automotive_demand_forecasting_dataset567[[#This Row],[Units_Sold]] -$C$4) / $C$5</f>
        <v>-0.5428988442786743</v>
      </c>
      <c r="H51" t="str">
        <f t="shared" ca="1" si="0"/>
        <v>East</v>
      </c>
      <c r="I51">
        <v>26618.038489703653</v>
      </c>
      <c r="J51">
        <v>4.3349522521757029</v>
      </c>
      <c r="K51">
        <v>2.3026615796926739</v>
      </c>
      <c r="L51">
        <v>4.5840566749857024</v>
      </c>
      <c r="M51">
        <v>107050.09936713759</v>
      </c>
      <c r="N51" s="82">
        <v>95</v>
      </c>
      <c r="O51">
        <v>94.453780444991864</v>
      </c>
      <c r="P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51" t="str">
        <f t="shared" ca="1" si="1"/>
        <v>Online</v>
      </c>
      <c r="R51">
        <f>automotive_demand_forecasting_dataset567[[#This Row],[Units_Sold]]*automotive_demand_forecasting_dataset567[[#This Row],[Average_Price]]</f>
        <v>2502095.6180321435</v>
      </c>
      <c r="S51" t="str">
        <f t="shared" ca="1" si="2"/>
        <v>OK</v>
      </c>
    </row>
    <row r="52" spans="1:19">
      <c r="A52" s="1">
        <v>43235</v>
      </c>
      <c r="B52" t="s">
        <v>13</v>
      </c>
      <c r="C52" t="str">
        <f>TEXT(automotive_demand_forecasting_dataset567[[#This Row],[Date]],"mmmm")</f>
        <v>May</v>
      </c>
      <c r="D52" t="str">
        <f>CHOOSE(MATCH(MONTH(A52), {1,4,7,10}), "Winter", "Spring", "Summer", "Autumn")</f>
        <v>Spring</v>
      </c>
      <c r="E52">
        <f>YEAR(automotive_demand_forecasting_dataset567[[#This Row],[Date]])</f>
        <v>2018</v>
      </c>
      <c r="F52">
        <v>116</v>
      </c>
      <c r="G52">
        <f>(automotive_demand_forecasting_dataset567[[#This Row],[Units_Sold]] -$C$4) / $C$5</f>
        <v>1.7106435281988428</v>
      </c>
      <c r="H52" t="str">
        <f t="shared" ca="1" si="0"/>
        <v>South</v>
      </c>
      <c r="I52">
        <v>39004.702164554081</v>
      </c>
      <c r="J52">
        <v>3.6973357649114904</v>
      </c>
      <c r="K52">
        <f>3.224108373</f>
        <v>3.224108373</v>
      </c>
      <c r="L52">
        <v>5.5455254025371223</v>
      </c>
      <c r="M52">
        <f>128897.2893</f>
        <v>128897.2893</v>
      </c>
      <c r="N52" s="82">
        <v>89</v>
      </c>
      <c r="O52">
        <v>21.971552370905812</v>
      </c>
      <c r="P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52" t="str">
        <f t="shared" ca="1" si="1"/>
        <v>Radio</v>
      </c>
      <c r="R52">
        <f>automotive_demand_forecasting_dataset567[[#This Row],[Units_Sold]]*automotive_demand_forecasting_dataset567[[#This Row],[Average_Price]]</f>
        <v>4524545.451088273</v>
      </c>
      <c r="S52" t="str">
        <f t="shared" ca="1" si="2"/>
        <v>OK</v>
      </c>
    </row>
    <row r="53" spans="1:19">
      <c r="A53" s="1">
        <v>43265</v>
      </c>
      <c r="B53" t="s">
        <v>11</v>
      </c>
      <c r="C53" t="str">
        <f>TEXT(automotive_demand_forecasting_dataset567[[#This Row],[Date]],"mmmm")</f>
        <v>June</v>
      </c>
      <c r="D53" t="str">
        <f>CHOOSE(MATCH(MONTH(A53), {1,4,7,10}), "Winter", "Spring", "Summer", "Autumn")</f>
        <v>Spring</v>
      </c>
      <c r="E53">
        <f>YEAR(automotive_demand_forecasting_dataset567[[#This Row],[Date]])</f>
        <v>2018</v>
      </c>
      <c r="F53">
        <v>97</v>
      </c>
      <c r="G53">
        <f>(automotive_demand_forecasting_dataset567[[#This Row],[Units_Sold]] -$C$4) / $C$5</f>
        <v>-0.23559761166810378</v>
      </c>
      <c r="H53" t="str">
        <f t="shared" ca="1" si="0"/>
        <v>South</v>
      </c>
      <c r="I53">
        <v>29799.210246778282</v>
      </c>
      <c r="J53">
        <v>2.9020584689824078</v>
      </c>
      <c r="K53">
        <v>2.3050917196473191</v>
      </c>
      <c r="L53">
        <v>5.616047043</v>
      </c>
      <c r="M53">
        <v>63587.933989029654</v>
      </c>
      <c r="N53" s="82">
        <v>73</v>
      </c>
      <c r="O53">
        <v>75.735119029855753</v>
      </c>
      <c r="P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53" t="str">
        <f t="shared" ca="1" si="1"/>
        <v>TV</v>
      </c>
      <c r="R53">
        <f>automotive_demand_forecasting_dataset567[[#This Row],[Units_Sold]]*automotive_demand_forecasting_dataset567[[#This Row],[Average_Price]]</f>
        <v>2890523.3939374932</v>
      </c>
      <c r="S53" t="str">
        <f t="shared" ca="1" si="2"/>
        <v>OK</v>
      </c>
    </row>
    <row r="54" spans="1:19">
      <c r="A54" s="1">
        <v>43295</v>
      </c>
      <c r="B54" t="s">
        <v>10</v>
      </c>
      <c r="C54" t="str">
        <f>TEXT(automotive_demand_forecasting_dataset567[[#This Row],[Date]],"mmmm")</f>
        <v>July</v>
      </c>
      <c r="D54" t="str">
        <f>CHOOSE(MATCH(MONTH(A54), {1,4,7,10}), "Winter", "Spring", "Summer", "Autumn")</f>
        <v>Summer</v>
      </c>
      <c r="E54">
        <f>YEAR(automotive_demand_forecasting_dataset567[[#This Row],[Date]])</f>
        <v>2018</v>
      </c>
      <c r="F54">
        <v>100</v>
      </c>
      <c r="G54">
        <f>(automotive_demand_forecasting_dataset567[[#This Row],[Units_Sold]] -$C$4) / $C$5</f>
        <v>7.1703620942466739E-2</v>
      </c>
      <c r="H54" t="str">
        <f t="shared" ca="1" si="0"/>
        <v>East</v>
      </c>
      <c r="I54">
        <v>22846.124489409758</v>
      </c>
      <c r="J54">
        <v>3.7223013341100701</v>
      </c>
      <c r="K54">
        <v>3.6337700968670648</v>
      </c>
      <c r="L54">
        <v>5.2488234165047665</v>
      </c>
      <c r="M54">
        <v>105401.14716782844</v>
      </c>
      <c r="N54" s="82">
        <v>86</v>
      </c>
      <c r="O54">
        <v>78.026111258870259</v>
      </c>
      <c r="P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54" t="str">
        <f t="shared" ca="1" si="1"/>
        <v>Radio</v>
      </c>
      <c r="R54">
        <f>automotive_demand_forecasting_dataset567[[#This Row],[Units_Sold]]*automotive_demand_forecasting_dataset567[[#This Row],[Average_Price]]</f>
        <v>2284612.4489409756</v>
      </c>
      <c r="S54" t="str">
        <f t="shared" ca="1" si="2"/>
        <v>OK</v>
      </c>
    </row>
    <row r="55" spans="1:19">
      <c r="A55" s="1">
        <v>43325</v>
      </c>
      <c r="B55" t="s">
        <v>14</v>
      </c>
      <c r="C55" t="str">
        <f>TEXT(automotive_demand_forecasting_dataset567[[#This Row],[Date]],"mmmm")</f>
        <v>August</v>
      </c>
      <c r="D55" t="str">
        <f>CHOOSE(MATCH(MONTH(A55), {1,4,7,10}), "Winter", "Spring", "Summer", "Autumn")</f>
        <v>Summer</v>
      </c>
      <c r="E55">
        <f>YEAR(automotive_demand_forecasting_dataset567[[#This Row],[Date]])</f>
        <v>2018</v>
      </c>
      <c r="F55">
        <v>94</v>
      </c>
      <c r="G55">
        <f>(automotive_demand_forecasting_dataset567[[#This Row],[Units_Sold]] -$C$4) / $C$5</f>
        <v>-0.5428988442786743</v>
      </c>
      <c r="H55" s="157" t="str">
        <f t="shared" ca="1" si="0"/>
        <v>South</v>
      </c>
      <c r="I55">
        <v>30640.522074553948</v>
      </c>
      <c r="J55">
        <v>4.0983157433228259</v>
      </c>
      <c r="K55">
        <v>3.0935567222808618</v>
      </c>
      <c r="L55">
        <v>6.7875736573192142</v>
      </c>
      <c r="M55">
        <v>61754.900491604465</v>
      </c>
      <c r="N55" s="82">
        <v>82</v>
      </c>
      <c r="O55">
        <v>86.910286192831947</v>
      </c>
      <c r="P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55" t="str">
        <f t="shared" ca="1" si="1"/>
        <v>Billboards</v>
      </c>
      <c r="R55" s="157">
        <f>automotive_demand_forecasting_dataset567[[#This Row],[Units_Sold]]*automotive_demand_forecasting_dataset567[[#This Row],[Average_Price]]</f>
        <v>2880209.075008071</v>
      </c>
      <c r="S55" t="str">
        <f t="shared" ca="1" si="2"/>
        <v>OK</v>
      </c>
    </row>
    <row r="56" spans="1:19">
      <c r="A56" s="1">
        <v>43355</v>
      </c>
      <c r="B56" t="s">
        <v>13</v>
      </c>
      <c r="C56" t="str">
        <f>TEXT(automotive_demand_forecasting_dataset567[[#This Row],[Date]],"mmmm")</f>
        <v>September</v>
      </c>
      <c r="D56" t="str">
        <f>CHOOSE(MATCH(MONTH(A56), {1,4,7,10}), "Winter", "Spring", "Summer", "Autumn")</f>
        <v>Summer</v>
      </c>
      <c r="E56">
        <f>YEAR(automotive_demand_forecasting_dataset567[[#This Row],[Date]])</f>
        <v>2018</v>
      </c>
      <c r="F56">
        <v>118</v>
      </c>
      <c r="G56">
        <f>(automotive_demand_forecasting_dataset567[[#This Row],[Units_Sold]] -$C$4) / $C$5</f>
        <v>1.9155110166058897</v>
      </c>
      <c r="H56" t="str">
        <f t="shared" ca="1" si="0"/>
        <v>North</v>
      </c>
      <c r="I56">
        <v>26594.741712625597</v>
      </c>
      <c r="J56">
        <v>3.195108547840309</v>
      </c>
      <c r="K56">
        <v>2.6520564320000002</v>
      </c>
      <c r="L56">
        <v>8.3366469935432335</v>
      </c>
      <c r="M56">
        <v>98627.319078290631</v>
      </c>
      <c r="N56" s="82">
        <v>80</v>
      </c>
      <c r="O56">
        <v>97.955144851078032</v>
      </c>
      <c r="P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56" t="str">
        <f t="shared" ca="1" si="1"/>
        <v>Print</v>
      </c>
      <c r="R56">
        <f>automotive_demand_forecasting_dataset567[[#This Row],[Units_Sold]]*automotive_demand_forecasting_dataset567[[#This Row],[Average_Price]]</f>
        <v>3138179.5220898204</v>
      </c>
      <c r="S56" t="str">
        <f t="shared" ca="1" si="2"/>
        <v>OK</v>
      </c>
    </row>
    <row r="57" spans="1:19">
      <c r="A57" s="1">
        <v>43385</v>
      </c>
      <c r="B57" t="s">
        <v>10</v>
      </c>
      <c r="C57" t="str">
        <f>TEXT(automotive_demand_forecasting_dataset567[[#This Row],[Date]],"mmmm")</f>
        <v>October</v>
      </c>
      <c r="D57" t="str">
        <f>CHOOSE(MATCH(MONTH(A57), {1,4,7,10}), "Winter", "Spring", "Summer", "Autumn")</f>
        <v>Autumn</v>
      </c>
      <c r="E57">
        <f>YEAR(automotive_demand_forecasting_dataset567[[#This Row],[Date]])</f>
        <v>2018</v>
      </c>
      <c r="F57">
        <v>104</v>
      </c>
      <c r="G57">
        <f>(automotive_demand_forecasting_dataset567[[#This Row],[Units_Sold]] -$C$4) / $C$5</f>
        <v>0.48143859775656078</v>
      </c>
      <c r="H57" t="str">
        <f t="shared" ca="1" si="0"/>
        <v>North</v>
      </c>
      <c r="I57">
        <v>34203.21774494362</v>
      </c>
      <c r="J57">
        <v>3.4329914166635414</v>
      </c>
      <c r="K57">
        <v>3.1559007765297609</v>
      </c>
      <c r="L57">
        <v>4.5568167608380215</v>
      </c>
      <c r="M57">
        <v>72633.699223343792</v>
      </c>
      <c r="N57" s="82">
        <v>85</v>
      </c>
      <c r="O57">
        <v>98.048153532532197</v>
      </c>
      <c r="P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57" t="str">
        <f t="shared" ca="1" si="1"/>
        <v>Print</v>
      </c>
      <c r="R57">
        <f>automotive_demand_forecasting_dataset567[[#This Row],[Units_Sold]]*automotive_demand_forecasting_dataset567[[#This Row],[Average_Price]]</f>
        <v>3557134.6454741363</v>
      </c>
      <c r="S57" t="str">
        <f t="shared" ca="1" si="2"/>
        <v>OK</v>
      </c>
    </row>
    <row r="58" spans="1:19">
      <c r="A58" s="1">
        <v>43415</v>
      </c>
      <c r="B58" t="s">
        <v>14</v>
      </c>
      <c r="C58" t="str">
        <f>TEXT(automotive_demand_forecasting_dataset567[[#This Row],[Date]],"mmmm")</f>
        <v>November</v>
      </c>
      <c r="D58" t="str">
        <f>CHOOSE(MATCH(MONTH(A58), {1,4,7,10}), "Winter", "Spring", "Summer", "Autumn")</f>
        <v>Autumn</v>
      </c>
      <c r="E58">
        <f>YEAR(automotive_demand_forecasting_dataset567[[#This Row],[Date]])</f>
        <v>2018</v>
      </c>
      <c r="F58">
        <v>100</v>
      </c>
      <c r="G58">
        <f>(automotive_demand_forecasting_dataset567[[#This Row],[Units_Sold]] -$C$4) / $C$5</f>
        <v>7.1703620942466739E-2</v>
      </c>
      <c r="H58" s="157" t="str">
        <f t="shared" ca="1" si="0"/>
        <v>North</v>
      </c>
      <c r="I58">
        <v>26736.880103488045</v>
      </c>
      <c r="J58">
        <v>3.5073440973645984</v>
      </c>
      <c r="K58">
        <v>2.6947361947187747</v>
      </c>
      <c r="L58">
        <v>3.8427464762154702</v>
      </c>
      <c r="M58">
        <v>139745.51998461617</v>
      </c>
      <c r="N58" s="82">
        <v>88</v>
      </c>
      <c r="O58">
        <v>25.222140605317112</v>
      </c>
      <c r="P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58" t="str">
        <f t="shared" ca="1" si="1"/>
        <v>TV</v>
      </c>
      <c r="R58" s="157">
        <f>automotive_demand_forecasting_dataset567[[#This Row],[Units_Sold]]*automotive_demand_forecasting_dataset567[[#This Row],[Average_Price]]</f>
        <v>2673688.0103488043</v>
      </c>
      <c r="S58" t="str">
        <f t="shared" ca="1" si="2"/>
        <v>OK</v>
      </c>
    </row>
    <row r="59" spans="1:19">
      <c r="A59" s="1">
        <v>43445</v>
      </c>
      <c r="B59" t="s">
        <v>10</v>
      </c>
      <c r="C59" t="str">
        <f>TEXT(automotive_demand_forecasting_dataset567[[#This Row],[Date]],"mmmm")</f>
        <v>December</v>
      </c>
      <c r="D59" t="str">
        <f>CHOOSE(MATCH(MONTH(A59), {1,4,7,10}), "Winter", "Spring", "Summer", "Autumn")</f>
        <v>Autumn</v>
      </c>
      <c r="E59">
        <f>YEAR(automotive_demand_forecasting_dataset567[[#This Row],[Date]])</f>
        <v>2018</v>
      </c>
      <c r="F59">
        <v>115</v>
      </c>
      <c r="G59">
        <f>(automotive_demand_forecasting_dataset567[[#This Row],[Units_Sold]] -$C$4) / $C$5</f>
        <v>1.6082097839953193</v>
      </c>
      <c r="H59" t="str">
        <f t="shared" ca="1" si="0"/>
        <v>West</v>
      </c>
      <c r="I59">
        <v>27769.082833926102</v>
      </c>
      <c r="J59">
        <v>3.1075508434588799</v>
      </c>
      <c r="K59">
        <v>2.4812912435541028</v>
      </c>
      <c r="L59">
        <v>5.8645823147258511</v>
      </c>
      <c r="M59">
        <v>118227.25444349443</v>
      </c>
      <c r="N59" s="82">
        <v>100</v>
      </c>
      <c r="O59">
        <v>85.747145820232205</v>
      </c>
      <c r="P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59" t="str">
        <f t="shared" ca="1" si="1"/>
        <v>Billboards</v>
      </c>
      <c r="R59">
        <f>automotive_demand_forecasting_dataset567[[#This Row],[Units_Sold]]*automotive_demand_forecasting_dataset567[[#This Row],[Average_Price]]</f>
        <v>3193444.525901502</v>
      </c>
      <c r="S59" t="str">
        <f t="shared" ca="1" si="2"/>
        <v>OK</v>
      </c>
    </row>
    <row r="60" spans="1:19">
      <c r="A60" s="1">
        <v>43475</v>
      </c>
      <c r="B60" t="s">
        <v>13</v>
      </c>
      <c r="C60" t="str">
        <f>TEXT(automotive_demand_forecasting_dataset567[[#This Row],[Date]],"mmmm")</f>
        <v>January</v>
      </c>
      <c r="D60" t="str">
        <f>CHOOSE(MATCH(MONTH(A60), {1,4,7,10}), "Winter", "Spring", "Summer", "Autumn")</f>
        <v>Winter</v>
      </c>
      <c r="E60">
        <f>YEAR(automotive_demand_forecasting_dataset567[[#This Row],[Date]])</f>
        <v>2019</v>
      </c>
      <c r="F60">
        <v>94</v>
      </c>
      <c r="G60">
        <f>(automotive_demand_forecasting_dataset567[[#This Row],[Units_Sold]] -$C$4) / $C$5</f>
        <v>-0.5428988442786743</v>
      </c>
      <c r="H60" t="str">
        <f t="shared" ca="1" si="0"/>
        <v>South</v>
      </c>
      <c r="I60">
        <v>20552.296345272345</v>
      </c>
      <c r="J60">
        <v>3.8241402169219296</v>
      </c>
      <c r="K60">
        <v>2.1114815469111141</v>
      </c>
      <c r="L60">
        <v>6.3658750061513718</v>
      </c>
      <c r="M60">
        <v>102115.07582542961</v>
      </c>
      <c r="N60" s="82">
        <v>102</v>
      </c>
      <c r="O60">
        <v>71.704794692590497</v>
      </c>
      <c r="P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60" t="str">
        <f t="shared" ca="1" si="1"/>
        <v>TV</v>
      </c>
      <c r="R60">
        <f>automotive_demand_forecasting_dataset567[[#This Row],[Units_Sold]]*automotive_demand_forecasting_dataset567[[#This Row],[Average_Price]]</f>
        <v>1931915.8564556004</v>
      </c>
      <c r="S60" t="str">
        <f t="shared" ca="1" si="2"/>
        <v>OK</v>
      </c>
    </row>
    <row r="61" spans="1:19">
      <c r="A61" s="1">
        <v>43505</v>
      </c>
      <c r="B61" t="s">
        <v>11</v>
      </c>
      <c r="C61" t="str">
        <f>TEXT(automotive_demand_forecasting_dataset567[[#This Row],[Date]],"mmmm")</f>
        <v>February</v>
      </c>
      <c r="D61" t="str">
        <f>CHOOSE(MATCH(MONTH(A61), {1,4,7,10}), "Winter", "Spring", "Summer", "Autumn")</f>
        <v>Winter</v>
      </c>
      <c r="E61">
        <f>YEAR(automotive_demand_forecasting_dataset567[[#This Row],[Date]])</f>
        <v>2019</v>
      </c>
      <c r="F61">
        <v>91</v>
      </c>
      <c r="G61">
        <f>(automotive_demand_forecasting_dataset567[[#This Row],[Units_Sold]] -$C$4) / $C$5</f>
        <v>-0.85020007688924482</v>
      </c>
      <c r="H61" t="str">
        <f t="shared" ca="1" si="0"/>
        <v>West</v>
      </c>
      <c r="I61">
        <v>27738.468403754618</v>
      </c>
      <c r="J61">
        <v>3.4395259256961093</v>
      </c>
      <c r="K61">
        <v>3.6241127199860133</v>
      </c>
      <c r="L61">
        <v>5.222960351386277</v>
      </c>
      <c r="M61">
        <v>125274.13355309337</v>
      </c>
      <c r="N61" s="82">
        <v>95</v>
      </c>
      <c r="O61">
        <v>71.787370749847298</v>
      </c>
      <c r="P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61" t="str">
        <f t="shared" ca="1" si="1"/>
        <v>Print</v>
      </c>
      <c r="R61">
        <f>automotive_demand_forecasting_dataset567[[#This Row],[Units_Sold]]*automotive_demand_forecasting_dataset567[[#This Row],[Average_Price]]</f>
        <v>2524200.6247416702</v>
      </c>
      <c r="S61" t="str">
        <f t="shared" ca="1" si="2"/>
        <v>OK</v>
      </c>
    </row>
    <row r="62" spans="1:19">
      <c r="A62" s="1">
        <v>43535</v>
      </c>
      <c r="B62" t="s">
        <v>13</v>
      </c>
      <c r="C62" t="str">
        <f>TEXT(automotive_demand_forecasting_dataset567[[#This Row],[Date]],"mmmm")</f>
        <v>March</v>
      </c>
      <c r="D62" t="str">
        <f>CHOOSE(MATCH(MONTH(A62), {1,4,7,10}), "Winter", "Spring", "Summer", "Autumn")</f>
        <v>Winter</v>
      </c>
      <c r="E62">
        <f>YEAR(automotive_demand_forecasting_dataset567[[#This Row],[Date]])</f>
        <v>2019</v>
      </c>
      <c r="F62">
        <v>110</v>
      </c>
      <c r="G62">
        <f>(automotive_demand_forecasting_dataset567[[#This Row],[Units_Sold]] -$C$4) / $C$5</f>
        <v>1.0960410629777018</v>
      </c>
      <c r="H62" t="str">
        <f t="shared" ca="1" si="0"/>
        <v>East</v>
      </c>
      <c r="I62">
        <v>17880.603366855219</v>
      </c>
      <c r="J62">
        <v>3.7097662219535139</v>
      </c>
      <c r="K62">
        <v>3.4475264621228581</v>
      </c>
      <c r="L62">
        <v>7.2439127959852412</v>
      </c>
      <c r="M62">
        <v>83073.680450685279</v>
      </c>
      <c r="N62" s="82">
        <v>88</v>
      </c>
      <c r="O62">
        <v>30.267994129175584</v>
      </c>
      <c r="P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62" t="str">
        <f t="shared" ca="1" si="1"/>
        <v>Online</v>
      </c>
      <c r="R62">
        <f>automotive_demand_forecasting_dataset567[[#This Row],[Units_Sold]]*automotive_demand_forecasting_dataset567[[#This Row],[Average_Price]]</f>
        <v>1966866.3703540741</v>
      </c>
      <c r="S62" t="str">
        <f t="shared" ca="1" si="2"/>
        <v>OK</v>
      </c>
    </row>
    <row r="63" spans="1:19">
      <c r="A63" s="1">
        <v>43565</v>
      </c>
      <c r="B63" t="s">
        <v>11</v>
      </c>
      <c r="C63" t="str">
        <f>TEXT(automotive_demand_forecasting_dataset567[[#This Row],[Date]],"mmmm")</f>
        <v>April</v>
      </c>
      <c r="D63" t="str">
        <f>CHOOSE(MATCH(MONTH(A63), {1,4,7,10}), "Winter", "Spring", "Summer", "Autumn")</f>
        <v>Spring</v>
      </c>
      <c r="E63">
        <f>YEAR(automotive_demand_forecasting_dataset567[[#This Row],[Date]])</f>
        <v>2019</v>
      </c>
      <c r="F63">
        <v>98</v>
      </c>
      <c r="G63">
        <f>(automotive_demand_forecasting_dataset567[[#This Row],[Units_Sold]] -$C$4) / $C$5</f>
        <v>-0.13316386746458025</v>
      </c>
      <c r="H63" t="str">
        <f t="shared" ca="1" si="0"/>
        <v>East</v>
      </c>
      <c r="I63">
        <v>22080.485882571382</v>
      </c>
      <c r="J63">
        <v>3.0562539110989499</v>
      </c>
      <c r="K63">
        <v>1.7271223321763909</v>
      </c>
      <c r="L63">
        <v>3.8936730403321018</v>
      </c>
      <c r="M63">
        <v>110869.58757340186</v>
      </c>
      <c r="N63" s="82">
        <v>87</v>
      </c>
      <c r="O63">
        <v>80.215177969999999</v>
      </c>
      <c r="P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63" t="str">
        <f t="shared" ca="1" si="1"/>
        <v>Radio</v>
      </c>
      <c r="R63">
        <f>automotive_demand_forecasting_dataset567[[#This Row],[Units_Sold]]*automotive_demand_forecasting_dataset567[[#This Row],[Average_Price]]</f>
        <v>2163887.6164919953</v>
      </c>
      <c r="S63" t="str">
        <f t="shared" ca="1" si="2"/>
        <v>OK</v>
      </c>
    </row>
    <row r="64" spans="1:19">
      <c r="A64" s="1">
        <v>43595</v>
      </c>
      <c r="B64" t="s">
        <v>13</v>
      </c>
      <c r="C64" t="str">
        <f>TEXT(automotive_demand_forecasting_dataset567[[#This Row],[Date]],"mmmm")</f>
        <v>May</v>
      </c>
      <c r="D64" t="str">
        <f>CHOOSE(MATCH(MONTH(A64), {1,4,7,10}), "Winter", "Spring", "Summer", "Autumn")</f>
        <v>Spring</v>
      </c>
      <c r="E64">
        <f>YEAR(automotive_demand_forecasting_dataset567[[#This Row],[Date]])</f>
        <v>2019</v>
      </c>
      <c r="F64">
        <v>86</v>
      </c>
      <c r="G64">
        <f>(automotive_demand_forecasting_dataset567[[#This Row],[Units_Sold]] -$C$4) / $C$5</f>
        <v>-1.3623687979068624</v>
      </c>
      <c r="H64" t="str">
        <f t="shared" ca="1" si="0"/>
        <v>South</v>
      </c>
      <c r="I64">
        <v>33802.073280721488</v>
      </c>
      <c r="J64">
        <v>3.281270849838295</v>
      </c>
      <c r="K64">
        <v>2.907052287124535</v>
      </c>
      <c r="L64">
        <v>6.3315023476379331</v>
      </c>
      <c r="M64">
        <v>103996.20867437427</v>
      </c>
      <c r="N64" s="82">
        <v>95</v>
      </c>
      <c r="O64">
        <v>98.598606448099829</v>
      </c>
      <c r="P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64" t="str">
        <f t="shared" ca="1" si="1"/>
        <v>Billboards</v>
      </c>
      <c r="R64">
        <f>automotive_demand_forecasting_dataset567[[#This Row],[Units_Sold]]*automotive_demand_forecasting_dataset567[[#This Row],[Average_Price]]</f>
        <v>2906978.3021420478</v>
      </c>
      <c r="S64" t="str">
        <f t="shared" ca="1" si="2"/>
        <v>OK</v>
      </c>
    </row>
    <row r="65" spans="1:19">
      <c r="A65" s="1">
        <v>43625</v>
      </c>
      <c r="B65" t="s">
        <v>12</v>
      </c>
      <c r="C65" t="str">
        <f>TEXT(automotive_demand_forecasting_dataset567[[#This Row],[Date]],"mmmm")</f>
        <v>June</v>
      </c>
      <c r="D65" t="str">
        <f>CHOOSE(MATCH(MONTH(A65), {1,4,7,10}), "Winter", "Spring", "Summer", "Autumn")</f>
        <v>Spring</v>
      </c>
      <c r="E65">
        <f>YEAR(automotive_demand_forecasting_dataset567[[#This Row],[Date]])</f>
        <v>2019</v>
      </c>
      <c r="F65">
        <v>121</v>
      </c>
      <c r="G65">
        <f>(automotive_demand_forecasting_dataset567[[#This Row],[Units_Sold]] -$C$4) / $C$5</f>
        <v>2.2228122492164601</v>
      </c>
      <c r="H65" t="str">
        <f t="shared" ca="1" si="0"/>
        <v>South</v>
      </c>
      <c r="I65">
        <v>38106.295579999998</v>
      </c>
      <c r="J65">
        <v>3.8611906789138857</v>
      </c>
      <c r="K65">
        <v>1.5283432654587141</v>
      </c>
      <c r="L65">
        <v>4.7729670150893284</v>
      </c>
      <c r="M65">
        <v>105280.4016266734</v>
      </c>
      <c r="N65" s="82">
        <v>78</v>
      </c>
      <c r="O65">
        <v>65.454227669999995</v>
      </c>
      <c r="P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65" t="str">
        <f t="shared" ca="1" si="1"/>
        <v>TV</v>
      </c>
      <c r="R65">
        <f>automotive_demand_forecasting_dataset567[[#This Row],[Units_Sold]]*automotive_demand_forecasting_dataset567[[#This Row],[Average_Price]]</f>
        <v>4610861.7651800001</v>
      </c>
      <c r="S65" t="str">
        <f t="shared" ca="1" si="2"/>
        <v>OK</v>
      </c>
    </row>
    <row r="66" spans="1:19">
      <c r="A66" s="1">
        <v>43655</v>
      </c>
      <c r="B66" t="s">
        <v>10</v>
      </c>
      <c r="C66" t="str">
        <f>TEXT(automotive_demand_forecasting_dataset567[[#This Row],[Date]],"mmmm")</f>
        <v>July</v>
      </c>
      <c r="D66" t="str">
        <f>CHOOSE(MATCH(MONTH(A66), {1,4,7,10}), "Winter", "Spring", "Summer", "Autumn")</f>
        <v>Summer</v>
      </c>
      <c r="E66">
        <f>YEAR(automotive_demand_forecasting_dataset567[[#This Row],[Date]])</f>
        <v>2019</v>
      </c>
      <c r="F66">
        <v>100</v>
      </c>
      <c r="G66">
        <f>(automotive_demand_forecasting_dataset567[[#This Row],[Units_Sold]] -$C$4) / $C$5</f>
        <v>7.1703620942466739E-2</v>
      </c>
      <c r="H66" t="str">
        <f t="shared" ca="1" si="0"/>
        <v>South</v>
      </c>
      <c r="I66">
        <v>32127.287808924822</v>
      </c>
      <c r="J66">
        <v>3.3135834239541166</v>
      </c>
      <c r="K66">
        <v>1.1203818352110695</v>
      </c>
      <c r="L66">
        <v>7.5632534874487565</v>
      </c>
      <c r="M66">
        <v>125447.07000213536</v>
      </c>
      <c r="N66" s="82">
        <v>90</v>
      </c>
      <c r="O66">
        <v>55.13045286438804</v>
      </c>
      <c r="P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66" t="str">
        <f t="shared" ca="1" si="1"/>
        <v>Billboards</v>
      </c>
      <c r="R66">
        <f>automotive_demand_forecasting_dataset567[[#This Row],[Units_Sold]]*automotive_demand_forecasting_dataset567[[#This Row],[Average_Price]]</f>
        <v>3212728.780892482</v>
      </c>
      <c r="S66" t="str">
        <f t="shared" ca="1" si="2"/>
        <v>OK</v>
      </c>
    </row>
    <row r="67" spans="1:19">
      <c r="A67" s="1">
        <v>43685</v>
      </c>
      <c r="B67" t="s">
        <v>10</v>
      </c>
      <c r="C67" t="str">
        <f>TEXT(automotive_demand_forecasting_dataset567[[#This Row],[Date]],"mmmm")</f>
        <v>August</v>
      </c>
      <c r="D67" t="str">
        <f>CHOOSE(MATCH(MONTH(A67), {1,4,7,10}), "Winter", "Spring", "Summer", "Autumn")</f>
        <v>Summer</v>
      </c>
      <c r="E67">
        <f>YEAR(automotive_demand_forecasting_dataset567[[#This Row],[Date]])</f>
        <v>2019</v>
      </c>
      <c r="F67">
        <v>96</v>
      </c>
      <c r="G67">
        <f>(automotive_demand_forecasting_dataset567[[#This Row],[Units_Sold]] -$C$4) / $C$5</f>
        <v>-0.33803135587162725</v>
      </c>
      <c r="H67" t="str">
        <f t="shared" ca="1" si="0"/>
        <v>East</v>
      </c>
      <c r="I67">
        <v>25165.119284353936</v>
      </c>
      <c r="J67">
        <v>4.3634819256167026</v>
      </c>
      <c r="K67">
        <v>1.873282775410035</v>
      </c>
      <c r="L67">
        <v>7.891018423801742</v>
      </c>
      <c r="M67">
        <v>114649.84205559605</v>
      </c>
      <c r="N67" s="82">
        <v>95</v>
      </c>
      <c r="O67">
        <v>23.195837862887547</v>
      </c>
      <c r="P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67" t="str">
        <f t="shared" ca="1" si="1"/>
        <v>Print</v>
      </c>
      <c r="R67">
        <f>automotive_demand_forecasting_dataset567[[#This Row],[Units_Sold]]*automotive_demand_forecasting_dataset567[[#This Row],[Average_Price]]</f>
        <v>2415851.4512979779</v>
      </c>
      <c r="S67" t="str">
        <f t="shared" ca="1" si="2"/>
        <v>OK</v>
      </c>
    </row>
    <row r="68" spans="1:19">
      <c r="A68" s="1">
        <v>43715</v>
      </c>
      <c r="B68" t="s">
        <v>12</v>
      </c>
      <c r="C68" t="str">
        <f>TEXT(automotive_demand_forecasting_dataset567[[#This Row],[Date]],"mmmm")</f>
        <v>September</v>
      </c>
      <c r="D68" t="str">
        <f>CHOOSE(MATCH(MONTH(A68), {1,4,7,10}), "Winter", "Spring", "Summer", "Autumn")</f>
        <v>Summer</v>
      </c>
      <c r="E68">
        <f>YEAR(automotive_demand_forecasting_dataset567[[#This Row],[Date]])</f>
        <v>2019</v>
      </c>
      <c r="F68">
        <v>100</v>
      </c>
      <c r="G68">
        <f>(automotive_demand_forecasting_dataset567[[#This Row],[Units_Sold]] -$C$4) / $C$5</f>
        <v>7.1703620942466739E-2</v>
      </c>
      <c r="H68" t="str">
        <f t="shared" ca="1" si="0"/>
        <v>East</v>
      </c>
      <c r="I68">
        <v>29761.4432192901</v>
      </c>
      <c r="J68">
        <v>3.300181907192699</v>
      </c>
      <c r="K68">
        <v>3.3623934723827587</v>
      </c>
      <c r="L68">
        <v>4.5800120946599829</v>
      </c>
      <c r="M68">
        <v>105774.47325650047</v>
      </c>
      <c r="N68" s="82">
        <v>88</v>
      </c>
      <c r="O68">
        <v>48.98347920001639</v>
      </c>
      <c r="P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68" t="str">
        <f t="shared" ca="1" si="1"/>
        <v>Radio</v>
      </c>
      <c r="R68">
        <f>automotive_demand_forecasting_dataset567[[#This Row],[Units_Sold]]*automotive_demand_forecasting_dataset567[[#This Row],[Average_Price]]</f>
        <v>2976144.3219290101</v>
      </c>
      <c r="S68" t="str">
        <f t="shared" ca="1" si="2"/>
        <v>OK</v>
      </c>
    </row>
    <row r="69" spans="1:19">
      <c r="A69" s="1">
        <v>43745</v>
      </c>
      <c r="B69" t="s">
        <v>11</v>
      </c>
      <c r="C69" t="str">
        <f>TEXT(automotive_demand_forecasting_dataset567[[#This Row],[Date]],"mmmm")</f>
        <v>October</v>
      </c>
      <c r="D69" t="str">
        <f>CHOOSE(MATCH(MONTH(A69), {1,4,7,10}), "Winter", "Spring", "Summer", "Autumn")</f>
        <v>Autumn</v>
      </c>
      <c r="E69">
        <f>YEAR(automotive_demand_forecasting_dataset567[[#This Row],[Date]])</f>
        <v>2019</v>
      </c>
      <c r="F69">
        <v>100</v>
      </c>
      <c r="G69">
        <f>(automotive_demand_forecasting_dataset567[[#This Row],[Units_Sold]] -$C$4) / $C$5</f>
        <v>7.1703620942466739E-2</v>
      </c>
      <c r="H69" t="str">
        <f t="shared" ca="1" si="0"/>
        <v>West</v>
      </c>
      <c r="I69">
        <v>29981.987304547158</v>
      </c>
      <c r="J69">
        <v>3.612342362875943</v>
      </c>
      <c r="K69">
        <v>3.4531250453760869</v>
      </c>
      <c r="L69">
        <v>4.8405314369097034</v>
      </c>
      <c r="M69">
        <v>66902.251275434071</v>
      </c>
      <c r="N69" s="82">
        <f>111.9136842</f>
        <v>111.91368420000001</v>
      </c>
      <c r="O69">
        <v>86.111224928044422</v>
      </c>
      <c r="P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69" t="str">
        <f t="shared" ca="1" si="1"/>
        <v>TV</v>
      </c>
      <c r="R69">
        <f>automotive_demand_forecasting_dataset567[[#This Row],[Units_Sold]]*automotive_demand_forecasting_dataset567[[#This Row],[Average_Price]]</f>
        <v>2998198.7304547159</v>
      </c>
      <c r="S69" t="str">
        <f t="shared" ca="1" si="2"/>
        <v>OK</v>
      </c>
    </row>
    <row r="70" spans="1:19">
      <c r="A70" s="1">
        <v>43775</v>
      </c>
      <c r="B70" t="s">
        <v>10</v>
      </c>
      <c r="C70" t="str">
        <f>TEXT(automotive_demand_forecasting_dataset567[[#This Row],[Date]],"mmmm")</f>
        <v>November</v>
      </c>
      <c r="D70" t="str">
        <f>CHOOSE(MATCH(MONTH(A70), {1,4,7,10}), "Winter", "Spring", "Summer", "Autumn")</f>
        <v>Autumn</v>
      </c>
      <c r="E70">
        <f>YEAR(automotive_demand_forecasting_dataset567[[#This Row],[Date]])</f>
        <v>2019</v>
      </c>
      <c r="F70">
        <v>93</v>
      </c>
      <c r="G70">
        <f>(automotive_demand_forecasting_dataset567[[#This Row],[Units_Sold]] -$C$4) / $C$5</f>
        <v>-0.64533258848219777</v>
      </c>
      <c r="H70" t="str">
        <f t="shared" ca="1" si="0"/>
        <v>North</v>
      </c>
      <c r="I70">
        <v>24208.176554037287</v>
      </c>
      <c r="J70">
        <v>3.9662954159365449</v>
      </c>
      <c r="K70">
        <v>3.0130854200972932</v>
      </c>
      <c r="L70">
        <v>6.531505464375762</v>
      </c>
      <c r="M70">
        <v>80799.074094410724</v>
      </c>
      <c r="N70" s="82">
        <v>79</v>
      </c>
      <c r="O70">
        <v>76.119928117213277</v>
      </c>
      <c r="P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70" t="str">
        <f t="shared" ca="1" si="1"/>
        <v>Print</v>
      </c>
      <c r="R70">
        <f>automotive_demand_forecasting_dataset567[[#This Row],[Units_Sold]]*automotive_demand_forecasting_dataset567[[#This Row],[Average_Price]]</f>
        <v>2251360.4195254678</v>
      </c>
      <c r="S70" t="str">
        <f t="shared" ca="1" si="2"/>
        <v>OK</v>
      </c>
    </row>
    <row r="71" spans="1:19">
      <c r="A71" s="1">
        <v>43805</v>
      </c>
      <c r="B71" t="s">
        <v>12</v>
      </c>
      <c r="C71" t="str">
        <f>TEXT(automotive_demand_forecasting_dataset567[[#This Row],[Date]],"mmmm")</f>
        <v>December</v>
      </c>
      <c r="D71" t="str">
        <f>CHOOSE(MATCH(MONTH(A71), {1,4,7,10}), "Winter", "Spring", "Summer", "Autumn")</f>
        <v>Autumn</v>
      </c>
      <c r="E71">
        <f>YEAR(automotive_demand_forecasting_dataset567[[#This Row],[Date]])</f>
        <v>2019</v>
      </c>
      <c r="F71">
        <v>103</v>
      </c>
      <c r="G71">
        <f>(automotive_demand_forecasting_dataset567[[#This Row],[Units_Sold]] -$C$4) / $C$5</f>
        <v>0.37900485355303726</v>
      </c>
      <c r="H71" t="str">
        <f t="shared" ca="1" si="0"/>
        <v>North</v>
      </c>
      <c r="I71">
        <v>37516.991508835752</v>
      </c>
      <c r="J71">
        <v>2.7908171335334844</v>
      </c>
      <c r="K71">
        <v>3.225095786847997</v>
      </c>
      <c r="L71">
        <v>5.0354432202525823</v>
      </c>
      <c r="M71">
        <v>97545.821328085513</v>
      </c>
      <c r="N71" s="82">
        <v>91</v>
      </c>
      <c r="O71">
        <v>56.747492447516514</v>
      </c>
      <c r="P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71" t="str">
        <f t="shared" ca="1" si="1"/>
        <v>TV</v>
      </c>
      <c r="R71">
        <f>automotive_demand_forecasting_dataset567[[#This Row],[Units_Sold]]*automotive_demand_forecasting_dataset567[[#This Row],[Average_Price]]</f>
        <v>3864250.1254100823</v>
      </c>
      <c r="S71" t="str">
        <f t="shared" ca="1" si="2"/>
        <v>OK</v>
      </c>
    </row>
    <row r="72" spans="1:19">
      <c r="A72" s="1">
        <v>43835</v>
      </c>
      <c r="B72" t="s">
        <v>10</v>
      </c>
      <c r="C72" t="str">
        <f>TEXT(automotive_demand_forecasting_dataset567[[#This Row],[Date]],"mmmm")</f>
        <v>January</v>
      </c>
      <c r="D72" t="str">
        <f>CHOOSE(MATCH(MONTH(A72), {1,4,7,10}), "Winter", "Spring", "Summer", "Autumn")</f>
        <v>Winter</v>
      </c>
      <c r="E72">
        <f>YEAR(automotive_demand_forecasting_dataset567[[#This Row],[Date]])</f>
        <v>2020</v>
      </c>
      <c r="F72">
        <v>78</v>
      </c>
      <c r="G72">
        <f>(automotive_demand_forecasting_dataset567[[#This Row],[Units_Sold]] -$C$4) / $C$5</f>
        <v>-2.1818387515350506</v>
      </c>
      <c r="H72" t="str">
        <f t="shared" ca="1" si="0"/>
        <v>North</v>
      </c>
      <c r="I72">
        <v>34386.811452878355</v>
      </c>
      <c r="J72">
        <v>2.6195955940096121</v>
      </c>
      <c r="K72">
        <v>3.0161782871149585</v>
      </c>
      <c r="L72">
        <v>5.4455065384813137</v>
      </c>
      <c r="M72">
        <v>101867.44748553302</v>
      </c>
      <c r="N72" s="82">
        <v>81</v>
      </c>
      <c r="O72">
        <v>80.215177969999999</v>
      </c>
      <c r="P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72" t="str">
        <f t="shared" ca="1" si="1"/>
        <v>Print</v>
      </c>
      <c r="R72">
        <f>automotive_demand_forecasting_dataset567[[#This Row],[Units_Sold]]*automotive_demand_forecasting_dataset567[[#This Row],[Average_Price]]</f>
        <v>2682171.2933245115</v>
      </c>
      <c r="S72" t="str">
        <f t="shared" ca="1" si="2"/>
        <v>OK</v>
      </c>
    </row>
    <row r="73" spans="1:19">
      <c r="A73" s="1">
        <v>43865</v>
      </c>
      <c r="B73" t="s">
        <v>14</v>
      </c>
      <c r="C73" t="str">
        <f>TEXT(automotive_demand_forecasting_dataset567[[#This Row],[Date]],"mmmm")</f>
        <v>February</v>
      </c>
      <c r="D73" t="str">
        <f>CHOOSE(MATCH(MONTH(A73), {1,4,7,10}), "Winter", "Spring", "Summer", "Autumn")</f>
        <v>Winter</v>
      </c>
      <c r="E73">
        <f>YEAR(automotive_demand_forecasting_dataset567[[#This Row],[Date]])</f>
        <v>2020</v>
      </c>
      <c r="F73">
        <v>116</v>
      </c>
      <c r="G73">
        <f>(automotive_demand_forecasting_dataset567[[#This Row],[Units_Sold]] -$C$4) / $C$5</f>
        <v>1.7106435281988428</v>
      </c>
      <c r="H73" s="157" t="str">
        <f t="shared" ca="1" si="0"/>
        <v>South</v>
      </c>
      <c r="I73">
        <v>30949.702720000001</v>
      </c>
      <c r="J73">
        <v>2.7371718427149525</v>
      </c>
      <c r="K73">
        <v>1.8585184047770478</v>
      </c>
      <c r="L73">
        <v>5.5304661046508921</v>
      </c>
      <c r="M73">
        <v>77395.925506521526</v>
      </c>
      <c r="N73" s="82">
        <v>98</v>
      </c>
      <c r="O73">
        <v>54.151578225864213</v>
      </c>
      <c r="P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73" t="str">
        <f t="shared" ca="1" si="1"/>
        <v>TV</v>
      </c>
      <c r="R73" s="157">
        <f>automotive_demand_forecasting_dataset567[[#This Row],[Units_Sold]]*automotive_demand_forecasting_dataset567[[#This Row],[Average_Price]]</f>
        <v>3590165.5155199999</v>
      </c>
      <c r="S73" t="str">
        <f t="shared" ca="1" si="2"/>
        <v>OK</v>
      </c>
    </row>
    <row r="74" spans="1:19">
      <c r="A74" s="1">
        <v>43895</v>
      </c>
      <c r="B74" t="s">
        <v>11</v>
      </c>
      <c r="C74" t="str">
        <f>TEXT(automotive_demand_forecasting_dataset567[[#This Row],[Date]],"mmmm")</f>
        <v>March</v>
      </c>
      <c r="D74" t="str">
        <f>CHOOSE(MATCH(MONTH(A74), {1,4,7,10}), "Winter", "Spring", "Summer", "Autumn")</f>
        <v>Winter</v>
      </c>
      <c r="E74">
        <f>YEAR(automotive_demand_forecasting_dataset567[[#This Row],[Date]])</f>
        <v>2020</v>
      </c>
      <c r="F74">
        <v>88</v>
      </c>
      <c r="G74">
        <f>(automotive_demand_forecasting_dataset567[[#This Row],[Units_Sold]] -$C$4) / $C$5</f>
        <v>-1.1575013094998152</v>
      </c>
      <c r="H74" t="str">
        <f t="shared" ca="1" si="0"/>
        <v>South</v>
      </c>
      <c r="I74">
        <v>30134.429194972654</v>
      </c>
      <c r="J74">
        <v>4.1312920517135909</v>
      </c>
      <c r="K74">
        <v>2.9319225446739408</v>
      </c>
      <c r="L74">
        <v>3.1963922125628126</v>
      </c>
      <c r="M74">
        <v>148233.53351156841</v>
      </c>
      <c r="N74" s="82">
        <v>83</v>
      </c>
      <c r="O74">
        <v>57.521995177430682</v>
      </c>
      <c r="P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74" t="str">
        <f t="shared" ca="1" si="1"/>
        <v>Print</v>
      </c>
      <c r="R74">
        <f>automotive_demand_forecasting_dataset567[[#This Row],[Units_Sold]]*automotive_demand_forecasting_dataset567[[#This Row],[Average_Price]]</f>
        <v>2651829.7691575936</v>
      </c>
      <c r="S74" t="str">
        <f t="shared" ca="1" si="2"/>
        <v>OK</v>
      </c>
    </row>
    <row r="75" spans="1:19">
      <c r="A75" s="1">
        <v>43925</v>
      </c>
      <c r="B75" t="s">
        <v>14</v>
      </c>
      <c r="C75" t="str">
        <f>TEXT(automotive_demand_forecasting_dataset567[[#This Row],[Date]],"mmmm")</f>
        <v>April</v>
      </c>
      <c r="D75" t="str">
        <f>CHOOSE(MATCH(MONTH(A75), {1,4,7,10}), "Winter", "Spring", "Summer", "Autumn")</f>
        <v>Spring</v>
      </c>
      <c r="E75">
        <f>YEAR(automotive_demand_forecasting_dataset567[[#This Row],[Date]])</f>
        <v>2020</v>
      </c>
      <c r="F75">
        <v>105</v>
      </c>
      <c r="G75">
        <f>(automotive_demand_forecasting_dataset567[[#This Row],[Units_Sold]] -$C$4) / $C$5</f>
        <v>0.58387234196008431</v>
      </c>
      <c r="H75" s="157" t="str">
        <f t="shared" ref="H75:H138" ca="1" si="5">CHOOSE(RANDBETWEEN(1,4),"North","South","East","West")</f>
        <v>West</v>
      </c>
      <c r="I75">
        <v>31041.914039737763</v>
      </c>
      <c r="J75">
        <v>3.2240709270537766</v>
      </c>
      <c r="K75">
        <v>3.3004095252276824</v>
      </c>
      <c r="L75">
        <v>5.4833947046869156</v>
      </c>
      <c r="M75">
        <v>130327.88110507146</v>
      </c>
      <c r="N75" s="82">
        <f>111.9136842</f>
        <v>111.91368420000001</v>
      </c>
      <c r="O75">
        <v>94.284442631530879</v>
      </c>
      <c r="P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75" t="str">
        <f t="shared" ref="Q75:Q138" ca="1" si="6">CHOOSE(RANDBETWEEN(1,5),"Online","TV","Radio","Print","Billboards")</f>
        <v>Radio</v>
      </c>
      <c r="R75" s="157">
        <f>automotive_demand_forecasting_dataset567[[#This Row],[Units_Sold]]*automotive_demand_forecasting_dataset567[[#This Row],[Average_Price]]</f>
        <v>3259400.974172465</v>
      </c>
      <c r="S75" t="str">
        <f t="shared" ref="S75:S138" ca="1" si="7">IF(COUNTA(A75:O75)&lt;COLUMNS(A75:O75), "Missing Data", "OK")</f>
        <v>OK</v>
      </c>
    </row>
    <row r="76" spans="1:19">
      <c r="A76" s="1">
        <v>43955</v>
      </c>
      <c r="B76" t="s">
        <v>11</v>
      </c>
      <c r="C76" t="str">
        <f>TEXT(automotive_demand_forecasting_dataset567[[#This Row],[Date]],"mmmm")</f>
        <v>May</v>
      </c>
      <c r="D76" t="str">
        <f>CHOOSE(MATCH(MONTH(A76), {1,4,7,10}), "Winter", "Spring", "Summer", "Autumn")</f>
        <v>Spring</v>
      </c>
      <c r="E76">
        <f>YEAR(automotive_demand_forecasting_dataset567[[#This Row],[Date]])</f>
        <v>2020</v>
      </c>
      <c r="F76">
        <v>92</v>
      </c>
      <c r="G76">
        <f>(automotive_demand_forecasting_dataset567[[#This Row],[Units_Sold]] -$C$4) / $C$5</f>
        <v>-0.74776633268572135</v>
      </c>
      <c r="H76" t="str">
        <f t="shared" ca="1" si="5"/>
        <v>South</v>
      </c>
      <c r="I76">
        <v>19791.325657878548</v>
      </c>
      <c r="J76">
        <v>4.7790996428341259</v>
      </c>
      <c r="K76">
        <v>3.2542913298135741</v>
      </c>
      <c r="L76">
        <v>5.616047043</v>
      </c>
      <c r="M76">
        <v>112042.36640784967</v>
      </c>
      <c r="N76" s="82">
        <v>97</v>
      </c>
      <c r="O76">
        <v>71.286888286572747</v>
      </c>
      <c r="P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76" t="str">
        <f t="shared" ca="1" si="6"/>
        <v>Online</v>
      </c>
      <c r="R76">
        <f>automotive_demand_forecasting_dataset567[[#This Row],[Units_Sold]]*automotive_demand_forecasting_dataset567[[#This Row],[Average_Price]]</f>
        <v>1820801.9605248263</v>
      </c>
      <c r="S76" t="str">
        <f t="shared" ca="1" si="7"/>
        <v>OK</v>
      </c>
    </row>
    <row r="77" spans="1:19">
      <c r="A77" s="1">
        <v>43985</v>
      </c>
      <c r="B77" t="s">
        <v>12</v>
      </c>
      <c r="C77" t="str">
        <f>TEXT(automotive_demand_forecasting_dataset567[[#This Row],[Date]],"mmmm")</f>
        <v>June</v>
      </c>
      <c r="D77" t="str">
        <f>CHOOSE(MATCH(MONTH(A77), {1,4,7,10}), "Winter", "Spring", "Summer", "Autumn")</f>
        <v>Spring</v>
      </c>
      <c r="E77">
        <f>YEAR(automotive_demand_forecasting_dataset567[[#This Row],[Date]])</f>
        <v>2020</v>
      </c>
      <c r="F77">
        <v>96</v>
      </c>
      <c r="G77">
        <f>(automotive_demand_forecasting_dataset567[[#This Row],[Units_Sold]] -$C$4) / $C$5</f>
        <v>-0.33803135587162725</v>
      </c>
      <c r="H77" t="str">
        <f t="shared" ca="1" si="5"/>
        <v>West</v>
      </c>
      <c r="I77">
        <v>28764.113087397014</v>
      </c>
      <c r="J77">
        <v>3.2178762006713058</v>
      </c>
      <c r="K77">
        <v>3.6889133714746429</v>
      </c>
      <c r="L77">
        <v>4.9082526131202737</v>
      </c>
      <c r="M77">
        <v>101440.73722567489</v>
      </c>
      <c r="N77" s="82">
        <v>90</v>
      </c>
      <c r="O77">
        <v>44.932233332371908</v>
      </c>
      <c r="P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77" t="str">
        <f t="shared" ca="1" si="6"/>
        <v>Radio</v>
      </c>
      <c r="R77">
        <f>automotive_demand_forecasting_dataset567[[#This Row],[Units_Sold]]*automotive_demand_forecasting_dataset567[[#This Row],[Average_Price]]</f>
        <v>2761354.8563901135</v>
      </c>
      <c r="S77" t="str">
        <f t="shared" ca="1" si="7"/>
        <v>OK</v>
      </c>
    </row>
    <row r="78" spans="1:19">
      <c r="A78" s="1">
        <v>44015</v>
      </c>
      <c r="B78" t="s">
        <v>11</v>
      </c>
      <c r="C78" t="str">
        <f>TEXT(automotive_demand_forecasting_dataset567[[#This Row],[Date]],"mmmm")</f>
        <v>July</v>
      </c>
      <c r="D78" t="str">
        <f>CHOOSE(MATCH(MONTH(A78), {1,4,7,10}), "Winter", "Spring", "Summer", "Autumn")</f>
        <v>Summer</v>
      </c>
      <c r="E78">
        <f>YEAR(automotive_demand_forecasting_dataset567[[#This Row],[Date]])</f>
        <v>2020</v>
      </c>
      <c r="F78">
        <v>104</v>
      </c>
      <c r="G78">
        <f>(automotive_demand_forecasting_dataset567[[#This Row],[Units_Sold]] -$C$4) / $C$5</f>
        <v>0.48143859775656078</v>
      </c>
      <c r="H78" t="str">
        <f t="shared" ca="1" si="5"/>
        <v>South</v>
      </c>
      <c r="I78">
        <v>26590.078760011005</v>
      </c>
      <c r="J78">
        <v>3.5922756515985186</v>
      </c>
      <c r="K78">
        <v>3.2083038472010639</v>
      </c>
      <c r="L78">
        <v>7.2323584041625768</v>
      </c>
      <c r="M78">
        <v>95755.820601976971</v>
      </c>
      <c r="N78" s="82">
        <v>83</v>
      </c>
      <c r="O78">
        <v>62.025461156057709</v>
      </c>
      <c r="P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78" t="str">
        <f t="shared" ca="1" si="6"/>
        <v>Online</v>
      </c>
      <c r="R78">
        <f>automotive_demand_forecasting_dataset567[[#This Row],[Units_Sold]]*automotive_demand_forecasting_dataset567[[#This Row],[Average_Price]]</f>
        <v>2765368.1910411445</v>
      </c>
      <c r="S78" t="str">
        <f t="shared" ca="1" si="7"/>
        <v>OK</v>
      </c>
    </row>
    <row r="79" spans="1:19">
      <c r="A79" s="1">
        <v>44045</v>
      </c>
      <c r="B79" t="s">
        <v>11</v>
      </c>
      <c r="C79" t="str">
        <f>TEXT(automotive_demand_forecasting_dataset567[[#This Row],[Date]],"mmmm")</f>
        <v>August</v>
      </c>
      <c r="D79" t="str">
        <f>CHOOSE(MATCH(MONTH(A79), {1,4,7,10}), "Winter", "Spring", "Summer", "Autumn")</f>
        <v>Summer</v>
      </c>
      <c r="E79">
        <f>YEAR(automotive_demand_forecasting_dataset567[[#This Row],[Date]])</f>
        <v>2020</v>
      </c>
      <c r="F79">
        <v>84</v>
      </c>
      <c r="G79">
        <f>(automotive_demand_forecasting_dataset567[[#This Row],[Units_Sold]] -$C$4) / $C$5</f>
        <v>-1.5672362863139093</v>
      </c>
      <c r="H79" t="str">
        <f t="shared" ca="1" si="5"/>
        <v>East</v>
      </c>
      <c r="I79">
        <v>30949.702720000001</v>
      </c>
      <c r="J79">
        <v>4.2710549762839376</v>
      </c>
      <c r="K79">
        <v>2.851448207541583</v>
      </c>
      <c r="L79">
        <v>3.9921917268648928</v>
      </c>
      <c r="M79">
        <v>80961.630799555292</v>
      </c>
      <c r="N79" s="82">
        <v>93</v>
      </c>
      <c r="O79">
        <v>25.284424625772807</v>
      </c>
      <c r="P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79" t="str">
        <f t="shared" ca="1" si="6"/>
        <v>TV</v>
      </c>
      <c r="R79">
        <f>automotive_demand_forecasting_dataset567[[#This Row],[Units_Sold]]*automotive_demand_forecasting_dataset567[[#This Row],[Average_Price]]</f>
        <v>2599775.0284799999</v>
      </c>
      <c r="S79" t="str">
        <f t="shared" ca="1" si="7"/>
        <v>OK</v>
      </c>
    </row>
    <row r="80" spans="1:19">
      <c r="A80" s="1">
        <v>44075</v>
      </c>
      <c r="B80" t="s">
        <v>12</v>
      </c>
      <c r="C80" t="str">
        <f>TEXT(automotive_demand_forecasting_dataset567[[#This Row],[Date]],"mmmm")</f>
        <v>September</v>
      </c>
      <c r="D80" t="str">
        <f>CHOOSE(MATCH(MONTH(A80), {1,4,7,10}), "Winter", "Spring", "Summer", "Autumn")</f>
        <v>Summer</v>
      </c>
      <c r="E80">
        <f>YEAR(automotive_demand_forecasting_dataset567[[#This Row],[Date]])</f>
        <v>2020</v>
      </c>
      <c r="F80">
        <v>95</v>
      </c>
      <c r="G80">
        <f>(automotive_demand_forecasting_dataset567[[#This Row],[Units_Sold]] -$C$4) / $C$5</f>
        <v>-0.44046510007515077</v>
      </c>
      <c r="H80" t="str">
        <f t="shared" ca="1" si="5"/>
        <v>North</v>
      </c>
      <c r="I80">
        <v>28594.498535570227</v>
      </c>
      <c r="J80">
        <v>4.5030464440795619</v>
      </c>
      <c r="K80">
        <v>3.5701502383164274</v>
      </c>
      <c r="L80">
        <v>5.616047043</v>
      </c>
      <c r="M80">
        <v>101549.61037037725</v>
      </c>
      <c r="N80" s="82">
        <v>84</v>
      </c>
      <c r="O80">
        <v>97.805458851978941</v>
      </c>
      <c r="P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80" t="str">
        <f t="shared" ca="1" si="6"/>
        <v>TV</v>
      </c>
      <c r="R80">
        <f>automotive_demand_forecasting_dataset567[[#This Row],[Units_Sold]]*automotive_demand_forecasting_dataset567[[#This Row],[Average_Price]]</f>
        <v>2716477.3608791716</v>
      </c>
      <c r="S80" t="str">
        <f t="shared" ca="1" si="7"/>
        <v>OK</v>
      </c>
    </row>
    <row r="81" spans="1:19">
      <c r="A81" s="1">
        <v>44105</v>
      </c>
      <c r="B81" t="s">
        <v>11</v>
      </c>
      <c r="C81" t="str">
        <f>TEXT(automotive_demand_forecasting_dataset567[[#This Row],[Date]],"mmmm")</f>
        <v>October</v>
      </c>
      <c r="D81" t="str">
        <f>CHOOSE(MATCH(MONTH(A81), {1,4,7,10}), "Winter", "Spring", "Summer", "Autumn")</f>
        <v>Autumn</v>
      </c>
      <c r="E81">
        <f>YEAR(automotive_demand_forecasting_dataset567[[#This Row],[Date]])</f>
        <v>2020</v>
      </c>
      <c r="F81">
        <v>105</v>
      </c>
      <c r="G81">
        <f>(automotive_demand_forecasting_dataset567[[#This Row],[Units_Sold]] -$C$4) / $C$5</f>
        <v>0.58387234196008431</v>
      </c>
      <c r="H81" t="str">
        <f t="shared" ca="1" si="5"/>
        <v>West</v>
      </c>
      <c r="I81">
        <v>38988.432634247612</v>
      </c>
      <c r="J81">
        <v>4.5307517883181987</v>
      </c>
      <c r="K81">
        <f>3.224108373</f>
        <v>3.224108373</v>
      </c>
      <c r="L81">
        <v>5.1652444836018301</v>
      </c>
      <c r="M81">
        <v>105155.05080285501</v>
      </c>
      <c r="N81" s="82">
        <v>90</v>
      </c>
      <c r="O81">
        <v>48.804792154458084</v>
      </c>
      <c r="P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81" t="str">
        <f t="shared" ca="1" si="6"/>
        <v>Billboards</v>
      </c>
      <c r="R81">
        <f>automotive_demand_forecasting_dataset567[[#This Row],[Units_Sold]]*automotive_demand_forecasting_dataset567[[#This Row],[Average_Price]]</f>
        <v>4093785.4265959994</v>
      </c>
      <c r="S81" t="str">
        <f t="shared" ca="1" si="7"/>
        <v>OK</v>
      </c>
    </row>
    <row r="82" spans="1:19">
      <c r="A82" s="1">
        <v>44135</v>
      </c>
      <c r="B82" t="s">
        <v>10</v>
      </c>
      <c r="C82" t="str">
        <f>TEXT(automotive_demand_forecasting_dataset567[[#This Row],[Date]],"mmmm")</f>
        <v>October</v>
      </c>
      <c r="D82" t="str">
        <f>CHOOSE(MATCH(MONTH(A82), {1,4,7,10}), "Winter", "Spring", "Summer", "Autumn")</f>
        <v>Autumn</v>
      </c>
      <c r="E82">
        <f>YEAR(automotive_demand_forecasting_dataset567[[#This Row],[Date]])</f>
        <v>2020</v>
      </c>
      <c r="F82">
        <v>100</v>
      </c>
      <c r="G82">
        <f>(automotive_demand_forecasting_dataset567[[#This Row],[Units_Sold]] -$C$4) / $C$5</f>
        <v>7.1703620942466739E-2</v>
      </c>
      <c r="H82" t="str">
        <f t="shared" ca="1" si="5"/>
        <v>West</v>
      </c>
      <c r="I82">
        <v>33204.214306335052</v>
      </c>
      <c r="J82">
        <v>4.1041831152965713</v>
      </c>
      <c r="K82">
        <v>1.6181253487722822</v>
      </c>
      <c r="L82">
        <v>5.1642877978049988</v>
      </c>
      <c r="M82">
        <v>75164.788490367515</v>
      </c>
      <c r="N82" s="82">
        <v>97</v>
      </c>
      <c r="O82">
        <v>58.229388393050868</v>
      </c>
      <c r="P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82" t="str">
        <f t="shared" ca="1" si="6"/>
        <v>TV</v>
      </c>
      <c r="R82">
        <f>automotive_demand_forecasting_dataset567[[#This Row],[Units_Sold]]*automotive_demand_forecasting_dataset567[[#This Row],[Average_Price]]</f>
        <v>3320421.4306335053</v>
      </c>
      <c r="S82" t="str">
        <f t="shared" ca="1" si="7"/>
        <v>OK</v>
      </c>
    </row>
    <row r="83" spans="1:19">
      <c r="A83" s="1">
        <v>44165</v>
      </c>
      <c r="B83" t="s">
        <v>13</v>
      </c>
      <c r="C83" t="str">
        <f>TEXT(automotive_demand_forecasting_dataset567[[#This Row],[Date]],"mmmm")</f>
        <v>November</v>
      </c>
      <c r="D83" t="str">
        <f>CHOOSE(MATCH(MONTH(A83), {1,4,7,10}), "Winter", "Spring", "Summer", "Autumn")</f>
        <v>Autumn</v>
      </c>
      <c r="E83">
        <f>YEAR(automotive_demand_forecasting_dataset567[[#This Row],[Date]])</f>
        <v>2020</v>
      </c>
      <c r="F83">
        <v>104</v>
      </c>
      <c r="G83">
        <f>(automotive_demand_forecasting_dataset567[[#This Row],[Units_Sold]] -$C$4) / $C$5</f>
        <v>0.48143859775656078</v>
      </c>
      <c r="H83" t="str">
        <f t="shared" ca="1" si="5"/>
        <v>North</v>
      </c>
      <c r="I83">
        <v>27144.105051086015</v>
      </c>
      <c r="J83">
        <v>4.0120312629057313</v>
      </c>
      <c r="K83">
        <v>2.3369330360562359</v>
      </c>
      <c r="L83">
        <v>6.4484462752620537</v>
      </c>
      <c r="M83">
        <v>106683.52834489795</v>
      </c>
      <c r="N83" s="82">
        <v>92</v>
      </c>
      <c r="O83">
        <v>48.422717938953809</v>
      </c>
      <c r="P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83" t="str">
        <f t="shared" ca="1" si="6"/>
        <v>Radio</v>
      </c>
      <c r="R83">
        <f>automotive_demand_forecasting_dataset567[[#This Row],[Units_Sold]]*automotive_demand_forecasting_dataset567[[#This Row],[Average_Price]]</f>
        <v>2822986.9253129456</v>
      </c>
      <c r="S83" t="str">
        <f t="shared" ca="1" si="7"/>
        <v>OK</v>
      </c>
    </row>
    <row r="84" spans="1:19">
      <c r="A84" s="1">
        <v>44195</v>
      </c>
      <c r="B84" t="s">
        <v>12</v>
      </c>
      <c r="C84" t="str">
        <f>TEXT(automotive_demand_forecasting_dataset567[[#This Row],[Date]],"mmmm")</f>
        <v>December</v>
      </c>
      <c r="D84" t="str">
        <f>CHOOSE(MATCH(MONTH(A84), {1,4,7,10}), "Winter", "Spring", "Summer", "Autumn")</f>
        <v>Autumn</v>
      </c>
      <c r="E84">
        <f>YEAR(automotive_demand_forecasting_dataset567[[#This Row],[Date]])</f>
        <v>2020</v>
      </c>
      <c r="F84">
        <v>106</v>
      </c>
      <c r="G84">
        <f>(automotive_demand_forecasting_dataset567[[#This Row],[Units_Sold]] -$C$4) / $C$5</f>
        <v>0.68630608616360778</v>
      </c>
      <c r="H84" t="str">
        <f t="shared" ca="1" si="5"/>
        <v>South</v>
      </c>
      <c r="I84">
        <v>32862.913906780792</v>
      </c>
      <c r="J84">
        <v>3.7962634746005914</v>
      </c>
      <c r="K84">
        <v>1.7550973551935509</v>
      </c>
      <c r="L84">
        <v>5.9080615534826686</v>
      </c>
      <c r="M84">
        <v>96894.819023505028</v>
      </c>
      <c r="N84" s="82">
        <v>80</v>
      </c>
      <c r="O84">
        <v>74.60093840929602</v>
      </c>
      <c r="P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84" t="str">
        <f t="shared" ca="1" si="6"/>
        <v>Online</v>
      </c>
      <c r="R84">
        <f>automotive_demand_forecasting_dataset567[[#This Row],[Units_Sold]]*automotive_demand_forecasting_dataset567[[#This Row],[Average_Price]]</f>
        <v>3483468.874118764</v>
      </c>
      <c r="S84" t="str">
        <f t="shared" ca="1" si="7"/>
        <v>OK</v>
      </c>
    </row>
    <row r="85" spans="1:19">
      <c r="A85" s="1">
        <v>44225</v>
      </c>
      <c r="B85" t="s">
        <v>13</v>
      </c>
      <c r="C85" t="str">
        <f>TEXT(automotive_demand_forecasting_dataset567[[#This Row],[Date]],"mmmm")</f>
        <v>January</v>
      </c>
      <c r="D85" t="str">
        <f>CHOOSE(MATCH(MONTH(A85), {1,4,7,10}), "Winter", "Spring", "Summer", "Autumn")</f>
        <v>Winter</v>
      </c>
      <c r="E85">
        <f>YEAR(automotive_demand_forecasting_dataset567[[#This Row],[Date]])</f>
        <v>2021</v>
      </c>
      <c r="F85">
        <v>120</v>
      </c>
      <c r="G85">
        <f>(automotive_demand_forecasting_dataset567[[#This Row],[Units_Sold]] -$C$4) / $C$5</f>
        <v>2.1203785050129369</v>
      </c>
      <c r="H85" t="str">
        <f t="shared" ca="1" si="5"/>
        <v>North</v>
      </c>
      <c r="I85">
        <v>36996.777182930011</v>
      </c>
      <c r="J85">
        <v>3.8891805380833189</v>
      </c>
      <c r="K85">
        <v>1.8248217250256185</v>
      </c>
      <c r="L85">
        <v>6.1847355966634368</v>
      </c>
      <c r="M85">
        <v>61843.848842452178</v>
      </c>
      <c r="N85" s="82">
        <v>75</v>
      </c>
      <c r="O85">
        <v>72.978572666367441</v>
      </c>
      <c r="P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85" t="str">
        <f t="shared" ca="1" si="6"/>
        <v>TV</v>
      </c>
      <c r="R85">
        <f>automotive_demand_forecasting_dataset567[[#This Row],[Units_Sold]]*automotive_demand_forecasting_dataset567[[#This Row],[Average_Price]]</f>
        <v>4439613.2619516011</v>
      </c>
      <c r="S85" t="str">
        <f t="shared" ca="1" si="7"/>
        <v>OK</v>
      </c>
    </row>
    <row r="86" spans="1:19">
      <c r="A86" s="1">
        <v>44255</v>
      </c>
      <c r="B86" t="s">
        <v>12</v>
      </c>
      <c r="C86" t="str">
        <f>TEXT(automotive_demand_forecasting_dataset567[[#This Row],[Date]],"mmmm")</f>
        <v>February</v>
      </c>
      <c r="D86" t="str">
        <f>CHOOSE(MATCH(MONTH(A86), {1,4,7,10}), "Winter", "Spring", "Summer", "Autumn")</f>
        <v>Winter</v>
      </c>
      <c r="E86">
        <f>YEAR(automotive_demand_forecasting_dataset567[[#This Row],[Date]])</f>
        <v>2021</v>
      </c>
      <c r="F86">
        <v>100</v>
      </c>
      <c r="G86">
        <f>(automotive_demand_forecasting_dataset567[[#This Row],[Units_Sold]] -$C$4) / $C$5</f>
        <v>7.1703620942466739E-2</v>
      </c>
      <c r="H86" t="str">
        <f t="shared" ca="1" si="5"/>
        <v>East</v>
      </c>
      <c r="I86">
        <v>38106.295579999998</v>
      </c>
      <c r="J86">
        <v>3.2244071418357332</v>
      </c>
      <c r="K86">
        <v>2.3554813292844821</v>
      </c>
      <c r="L86">
        <v>6.6618215926394333</v>
      </c>
      <c r="M86">
        <v>82792.299784409959</v>
      </c>
      <c r="N86" s="82">
        <v>91</v>
      </c>
      <c r="O86">
        <v>77.225784842330853</v>
      </c>
      <c r="P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86" t="str">
        <f t="shared" ca="1" si="6"/>
        <v>TV</v>
      </c>
      <c r="R86">
        <f>automotive_demand_forecasting_dataset567[[#This Row],[Units_Sold]]*automotive_demand_forecasting_dataset567[[#This Row],[Average_Price]]</f>
        <v>3810629.5579999997</v>
      </c>
      <c r="S86" t="str">
        <f t="shared" ca="1" si="7"/>
        <v>OK</v>
      </c>
    </row>
    <row r="87" spans="1:19">
      <c r="A87" s="1">
        <v>44285</v>
      </c>
      <c r="B87" t="s">
        <v>12</v>
      </c>
      <c r="C87" t="str">
        <f>TEXT(automotive_demand_forecasting_dataset567[[#This Row],[Date]],"mmmm")</f>
        <v>March</v>
      </c>
      <c r="D87" t="str">
        <f>CHOOSE(MATCH(MONTH(A87), {1,4,7,10}), "Winter", "Spring", "Summer", "Autumn")</f>
        <v>Winter</v>
      </c>
      <c r="E87">
        <f>YEAR(automotive_demand_forecasting_dataset567[[#This Row],[Date]])</f>
        <v>2021</v>
      </c>
      <c r="F87">
        <v>118</v>
      </c>
      <c r="G87">
        <f>(automotive_demand_forecasting_dataset567[[#This Row],[Units_Sold]] -$C$4) / $C$5</f>
        <v>1.9155110166058897</v>
      </c>
      <c r="H87" t="str">
        <f t="shared" ca="1" si="5"/>
        <v>North</v>
      </c>
      <c r="I87">
        <v>30298.151849600872</v>
      </c>
      <c r="J87">
        <v>3.0909005582888462</v>
      </c>
      <c r="K87">
        <v>1.7075800790000386</v>
      </c>
      <c r="L87">
        <v>5.1024299401800128</v>
      </c>
      <c r="M87">
        <v>91727.889331567116</v>
      </c>
      <c r="N87" s="82">
        <v>91</v>
      </c>
      <c r="O87">
        <v>41.451458368953666</v>
      </c>
      <c r="P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87" t="str">
        <f t="shared" ca="1" si="6"/>
        <v>Online</v>
      </c>
      <c r="R87">
        <f>automotive_demand_forecasting_dataset567[[#This Row],[Units_Sold]]*automotive_demand_forecasting_dataset567[[#This Row],[Average_Price]]</f>
        <v>3575181.918252903</v>
      </c>
      <c r="S87" t="str">
        <f t="shared" ca="1" si="7"/>
        <v>OK</v>
      </c>
    </row>
    <row r="88" spans="1:19">
      <c r="A88" s="1">
        <v>44315</v>
      </c>
      <c r="B88" t="s">
        <v>14</v>
      </c>
      <c r="C88" t="str">
        <f>TEXT(automotive_demand_forecasting_dataset567[[#This Row],[Date]],"mmmm")</f>
        <v>April</v>
      </c>
      <c r="D88" t="str">
        <f>CHOOSE(MATCH(MONTH(A88), {1,4,7,10}), "Winter", "Spring", "Summer", "Autumn")</f>
        <v>Spring</v>
      </c>
      <c r="E88">
        <f>YEAR(automotive_demand_forecasting_dataset567[[#This Row],[Date]])</f>
        <v>2021</v>
      </c>
      <c r="F88">
        <v>92</v>
      </c>
      <c r="G88">
        <f>(automotive_demand_forecasting_dataset567[[#This Row],[Units_Sold]] -$C$4) / $C$5</f>
        <v>-0.74776633268572135</v>
      </c>
      <c r="H88" s="157" t="str">
        <f t="shared" ca="1" si="5"/>
        <v>South</v>
      </c>
      <c r="I88">
        <v>26765.31611147213</v>
      </c>
      <c r="J88">
        <v>3.4983127712945241</v>
      </c>
      <c r="K88">
        <f t="shared" ref="K88:K89" si="8">3.224108373</f>
        <v>3.224108373</v>
      </c>
      <c r="L88">
        <v>4.7653159185906997</v>
      </c>
      <c r="M88">
        <v>137753.75314680382</v>
      </c>
      <c r="N88" s="82">
        <v>81</v>
      </c>
      <c r="O88">
        <v>45.253478493125279</v>
      </c>
      <c r="P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88" t="str">
        <f t="shared" ca="1" si="6"/>
        <v>Print</v>
      </c>
      <c r="R88" s="157">
        <f>automotive_demand_forecasting_dataset567[[#This Row],[Units_Sold]]*automotive_demand_forecasting_dataset567[[#This Row],[Average_Price]]</f>
        <v>2462409.0822554361</v>
      </c>
      <c r="S88" t="str">
        <f t="shared" ca="1" si="7"/>
        <v>OK</v>
      </c>
    </row>
    <row r="89" spans="1:19">
      <c r="A89" s="1">
        <v>44345</v>
      </c>
      <c r="B89" t="s">
        <v>14</v>
      </c>
      <c r="C89" t="str">
        <f>TEXT(automotive_demand_forecasting_dataset567[[#This Row],[Date]],"mmmm")</f>
        <v>May</v>
      </c>
      <c r="D89" t="str">
        <f>CHOOSE(MATCH(MONTH(A89), {1,4,7,10}), "Winter", "Spring", "Summer", "Autumn")</f>
        <v>Spring</v>
      </c>
      <c r="E89">
        <f>YEAR(automotive_demand_forecasting_dataset567[[#This Row],[Date]])</f>
        <v>2021</v>
      </c>
      <c r="F89">
        <v>110</v>
      </c>
      <c r="G89">
        <f>(automotive_demand_forecasting_dataset567[[#This Row],[Units_Sold]] -$C$4) / $C$5</f>
        <v>1.0960410629777018</v>
      </c>
      <c r="H89" s="157" t="str">
        <f t="shared" ca="1" si="5"/>
        <v>North</v>
      </c>
      <c r="I89">
        <v>33491.116568067948</v>
      </c>
      <c r="J89">
        <v>3.4149076887375358</v>
      </c>
      <c r="K89">
        <f t="shared" si="8"/>
        <v>3.224108373</v>
      </c>
      <c r="L89">
        <v>4.1978193681306424</v>
      </c>
      <c r="M89">
        <v>111131.06249067516</v>
      </c>
      <c r="N89" s="82">
        <f>111.9136842</f>
        <v>111.91368420000001</v>
      </c>
      <c r="O89">
        <v>30.020098487696636</v>
      </c>
      <c r="P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89" t="str">
        <f t="shared" ca="1" si="6"/>
        <v>Online</v>
      </c>
      <c r="R89" s="157">
        <f>automotive_demand_forecasting_dataset567[[#This Row],[Units_Sold]]*automotive_demand_forecasting_dataset567[[#This Row],[Average_Price]]</f>
        <v>3684022.8224874744</v>
      </c>
      <c r="S89" t="str">
        <f t="shared" ca="1" si="7"/>
        <v>OK</v>
      </c>
    </row>
    <row r="90" spans="1:19">
      <c r="A90" s="1">
        <v>44375</v>
      </c>
      <c r="B90" t="s">
        <v>11</v>
      </c>
      <c r="C90" t="str">
        <f>TEXT(automotive_demand_forecasting_dataset567[[#This Row],[Date]],"mmmm")</f>
        <v>June</v>
      </c>
      <c r="D90" t="str">
        <f>CHOOSE(MATCH(MONTH(A90), {1,4,7,10}), "Winter", "Spring", "Summer", "Autumn")</f>
        <v>Spring</v>
      </c>
      <c r="E90">
        <f>YEAR(automotive_demand_forecasting_dataset567[[#This Row],[Date]])</f>
        <v>2021</v>
      </c>
      <c r="F90">
        <v>101</v>
      </c>
      <c r="G90">
        <f>(automotive_demand_forecasting_dataset567[[#This Row],[Units_Sold]] -$C$4) / $C$5</f>
        <v>0.17413736514599024</v>
      </c>
      <c r="H90" t="str">
        <f t="shared" ca="1" si="5"/>
        <v>East</v>
      </c>
      <c r="I90">
        <v>31967.426927108747</v>
      </c>
      <c r="J90">
        <v>3.2733859753363626</v>
      </c>
      <c r="K90">
        <v>2.7132937073729386</v>
      </c>
      <c r="L90">
        <v>4.5095073640252537</v>
      </c>
      <c r="M90">
        <v>73290.368618002176</v>
      </c>
      <c r="N90" s="82">
        <v>104</v>
      </c>
      <c r="O90">
        <v>72.440797747689004</v>
      </c>
      <c r="P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90" t="str">
        <f t="shared" ca="1" si="6"/>
        <v>Online</v>
      </c>
      <c r="R90">
        <f>automotive_demand_forecasting_dataset567[[#This Row],[Units_Sold]]*automotive_demand_forecasting_dataset567[[#This Row],[Average_Price]]</f>
        <v>3228710.1196379834</v>
      </c>
      <c r="S90" t="str">
        <f t="shared" ca="1" si="7"/>
        <v>OK</v>
      </c>
    </row>
    <row r="91" spans="1:19">
      <c r="A91" s="1">
        <v>44405</v>
      </c>
      <c r="B91" t="s">
        <v>13</v>
      </c>
      <c r="C91" t="str">
        <f>TEXT(automotive_demand_forecasting_dataset567[[#This Row],[Date]],"mmmm")</f>
        <v>July</v>
      </c>
      <c r="D91" t="str">
        <f>CHOOSE(MATCH(MONTH(A91), {1,4,7,10}), "Winter", "Spring", "Summer", "Autumn")</f>
        <v>Summer</v>
      </c>
      <c r="E91">
        <f>YEAR(automotive_demand_forecasting_dataset567[[#This Row],[Date]])</f>
        <v>2021</v>
      </c>
      <c r="F91">
        <v>84</v>
      </c>
      <c r="G91">
        <f>(automotive_demand_forecasting_dataset567[[#This Row],[Units_Sold]] -$C$4) / $C$5</f>
        <v>-1.5672362863139093</v>
      </c>
      <c r="H91" t="str">
        <f t="shared" ca="1" si="5"/>
        <v>North</v>
      </c>
      <c r="I91">
        <v>34475.966100138663</v>
      </c>
      <c r="J91">
        <v>3.8481937237283574</v>
      </c>
      <c r="K91">
        <v>2.5012054753622244</v>
      </c>
      <c r="L91">
        <v>5.616047043</v>
      </c>
      <c r="M91">
        <v>109720.72578835273</v>
      </c>
      <c r="N91" s="82">
        <v>99</v>
      </c>
      <c r="O91">
        <v>23.183770186852204</v>
      </c>
      <c r="P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91" t="str">
        <f t="shared" ca="1" si="6"/>
        <v>TV</v>
      </c>
      <c r="R91">
        <f>automotive_demand_forecasting_dataset567[[#This Row],[Units_Sold]]*automotive_demand_forecasting_dataset567[[#This Row],[Average_Price]]</f>
        <v>2895981.1524116476</v>
      </c>
      <c r="S91" t="str">
        <f t="shared" ca="1" si="7"/>
        <v>OK</v>
      </c>
    </row>
    <row r="92" spans="1:19">
      <c r="A92" s="1">
        <v>44435</v>
      </c>
      <c r="B92" t="s">
        <v>12</v>
      </c>
      <c r="C92" t="str">
        <f>TEXT(automotive_demand_forecasting_dataset567[[#This Row],[Date]],"mmmm")</f>
        <v>August</v>
      </c>
      <c r="D92" t="str">
        <f>CHOOSE(MATCH(MONTH(A92), {1,4,7,10}), "Winter", "Spring", "Summer", "Autumn")</f>
        <v>Summer</v>
      </c>
      <c r="E92">
        <f>YEAR(automotive_demand_forecasting_dataset567[[#This Row],[Date]])</f>
        <v>2021</v>
      </c>
      <c r="F92">
        <v>115</v>
      </c>
      <c r="G92">
        <f>(automotive_demand_forecasting_dataset567[[#This Row],[Units_Sold]] -$C$4) / $C$5</f>
        <v>1.6082097839953193</v>
      </c>
      <c r="H92" t="str">
        <f t="shared" ca="1" si="5"/>
        <v>North</v>
      </c>
      <c r="I92">
        <v>33175.859008409847</v>
      </c>
      <c r="J92">
        <v>4.5778345189999996</v>
      </c>
      <c r="K92">
        <v>1.6829113689318094</v>
      </c>
      <c r="L92">
        <v>6.9936154968841437</v>
      </c>
      <c r="M92">
        <v>69053.920221232693</v>
      </c>
      <c r="N92" s="82">
        <v>92</v>
      </c>
      <c r="O92">
        <v>67.814586841876718</v>
      </c>
      <c r="P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92" t="str">
        <f t="shared" ca="1" si="6"/>
        <v>TV</v>
      </c>
      <c r="R92">
        <f>automotive_demand_forecasting_dataset567[[#This Row],[Units_Sold]]*automotive_demand_forecasting_dataset567[[#This Row],[Average_Price]]</f>
        <v>3815223.7859671325</v>
      </c>
      <c r="S92" t="str">
        <f t="shared" ca="1" si="7"/>
        <v>OK</v>
      </c>
    </row>
    <row r="93" spans="1:19">
      <c r="A93" s="1">
        <v>44465</v>
      </c>
      <c r="B93" t="s">
        <v>11</v>
      </c>
      <c r="C93" t="str">
        <f>TEXT(automotive_demand_forecasting_dataset567[[#This Row],[Date]],"mmmm")</f>
        <v>September</v>
      </c>
      <c r="D93" t="str">
        <f>CHOOSE(MATCH(MONTH(A93), {1,4,7,10}), "Winter", "Spring", "Summer", "Autumn")</f>
        <v>Summer</v>
      </c>
      <c r="E93">
        <f>YEAR(automotive_demand_forecasting_dataset567[[#This Row],[Date]])</f>
        <v>2021</v>
      </c>
      <c r="F93">
        <v>95</v>
      </c>
      <c r="G93">
        <f>(automotive_demand_forecasting_dataset567[[#This Row],[Units_Sold]] -$C$4) / $C$5</f>
        <v>-0.44046510007515077</v>
      </c>
      <c r="H93" t="str">
        <f t="shared" ca="1" si="5"/>
        <v>West</v>
      </c>
      <c r="I93">
        <v>35247.763576596677</v>
      </c>
      <c r="J93">
        <v>3.5442034431459235</v>
      </c>
      <c r="K93">
        <v>3.1592456684324048</v>
      </c>
      <c r="L93">
        <v>3.8787107605503746</v>
      </c>
      <c r="M93">
        <v>121653.82107774146</v>
      </c>
      <c r="N93" s="82">
        <v>83</v>
      </c>
      <c r="O93">
        <v>89.575670788130708</v>
      </c>
      <c r="P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93" t="str">
        <f t="shared" ca="1" si="6"/>
        <v>Print</v>
      </c>
      <c r="R93">
        <f>automotive_demand_forecasting_dataset567[[#This Row],[Units_Sold]]*automotive_demand_forecasting_dataset567[[#This Row],[Average_Price]]</f>
        <v>3348537.5397766843</v>
      </c>
      <c r="S93" t="str">
        <f t="shared" ca="1" si="7"/>
        <v>OK</v>
      </c>
    </row>
    <row r="94" spans="1:19">
      <c r="A94" s="1">
        <v>44495</v>
      </c>
      <c r="B94" t="s">
        <v>10</v>
      </c>
      <c r="C94" t="str">
        <f>TEXT(automotive_demand_forecasting_dataset567[[#This Row],[Date]],"mmmm")</f>
        <v>October</v>
      </c>
      <c r="D94" t="str">
        <f>CHOOSE(MATCH(MONTH(A94), {1,4,7,10}), "Winter", "Spring", "Summer", "Autumn")</f>
        <v>Autumn</v>
      </c>
      <c r="E94">
        <f>YEAR(automotive_demand_forecasting_dataset567[[#This Row],[Date]])</f>
        <v>2021</v>
      </c>
      <c r="F94">
        <v>114</v>
      </c>
      <c r="G94">
        <f>(automotive_demand_forecasting_dataset567[[#This Row],[Units_Sold]] -$C$4) / $C$5</f>
        <v>1.5057760397917959</v>
      </c>
      <c r="H94" t="str">
        <f t="shared" ca="1" si="5"/>
        <v>North</v>
      </c>
      <c r="I94">
        <v>27323.823942197159</v>
      </c>
      <c r="J94">
        <v>4.2387650405276309</v>
      </c>
      <c r="K94">
        <v>3.4375701376265582</v>
      </c>
      <c r="L94">
        <v>3.9130504519077158</v>
      </c>
      <c r="M94">
        <v>90577.50696364243</v>
      </c>
      <c r="N94" s="82">
        <f>111.9136842</f>
        <v>111.91368420000001</v>
      </c>
      <c r="O94">
        <v>91.266571863170682</v>
      </c>
      <c r="P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94" t="str">
        <f t="shared" ca="1" si="6"/>
        <v>TV</v>
      </c>
      <c r="R94">
        <f>automotive_demand_forecasting_dataset567[[#This Row],[Units_Sold]]*automotive_demand_forecasting_dataset567[[#This Row],[Average_Price]]</f>
        <v>3114915.9294104762</v>
      </c>
      <c r="S94" t="str">
        <f t="shared" ca="1" si="7"/>
        <v>OK</v>
      </c>
    </row>
    <row r="95" spans="1:19">
      <c r="A95" s="1">
        <v>44525</v>
      </c>
      <c r="B95" t="s">
        <v>12</v>
      </c>
      <c r="C95" t="str">
        <f>TEXT(automotive_demand_forecasting_dataset567[[#This Row],[Date]],"mmmm")</f>
        <v>November</v>
      </c>
      <c r="D95" t="str">
        <f>CHOOSE(MATCH(MONTH(A95), {1,4,7,10}), "Winter", "Spring", "Summer", "Autumn")</f>
        <v>Autumn</v>
      </c>
      <c r="E95">
        <f>YEAR(automotive_demand_forecasting_dataset567[[#This Row],[Date]])</f>
        <v>2021</v>
      </c>
      <c r="F95">
        <v>104</v>
      </c>
      <c r="G95">
        <f>(automotive_demand_forecasting_dataset567[[#This Row],[Units_Sold]] -$C$4) / $C$5</f>
        <v>0.48143859775656078</v>
      </c>
      <c r="H95" t="str">
        <f t="shared" ca="1" si="5"/>
        <v>North</v>
      </c>
      <c r="I95">
        <v>36586.970328171628</v>
      </c>
      <c r="J95">
        <v>2.9291554429332476</v>
      </c>
      <c r="K95">
        <v>0.89244013563102587</v>
      </c>
      <c r="L95">
        <f>6.97388673</f>
        <v>6.9738867300000003</v>
      </c>
      <c r="M95">
        <v>98127.276225216585</v>
      </c>
      <c r="N95" s="82">
        <v>91</v>
      </c>
      <c r="O95">
        <v>55.923020829596936</v>
      </c>
      <c r="P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95" t="str">
        <f t="shared" ca="1" si="6"/>
        <v>TV</v>
      </c>
      <c r="R95">
        <f>automotive_demand_forecasting_dataset567[[#This Row],[Units_Sold]]*automotive_demand_forecasting_dataset567[[#This Row],[Average_Price]]</f>
        <v>3805044.9141298495</v>
      </c>
      <c r="S95" t="str">
        <f t="shared" ca="1" si="7"/>
        <v>OK</v>
      </c>
    </row>
    <row r="96" spans="1:19">
      <c r="A96" s="1">
        <v>44555</v>
      </c>
      <c r="B96" t="s">
        <v>10</v>
      </c>
      <c r="C96" t="str">
        <f>TEXT(automotive_demand_forecasting_dataset567[[#This Row],[Date]],"mmmm")</f>
        <v>December</v>
      </c>
      <c r="D96" t="str">
        <f>CHOOSE(MATCH(MONTH(A96), {1,4,7,10}), "Winter", "Spring", "Summer", "Autumn")</f>
        <v>Autumn</v>
      </c>
      <c r="E96">
        <f>YEAR(automotive_demand_forecasting_dataset567[[#This Row],[Date]])</f>
        <v>2021</v>
      </c>
      <c r="F96">
        <v>89</v>
      </c>
      <c r="G96">
        <f>(automotive_demand_forecasting_dataset567[[#This Row],[Units_Sold]] -$C$4) / $C$5</f>
        <v>-1.0550675652962918</v>
      </c>
      <c r="H96" t="str">
        <f t="shared" ca="1" si="5"/>
        <v>West</v>
      </c>
      <c r="I96">
        <v>30987.998023461998</v>
      </c>
      <c r="J96">
        <v>3.4031702703601407</v>
      </c>
      <c r="K96">
        <v>1.7372752214337859</v>
      </c>
      <c r="L96">
        <v>6.1567177568535607</v>
      </c>
      <c r="M96">
        <v>126515.93295084379</v>
      </c>
      <c r="N96" s="82">
        <f>111.9136842</f>
        <v>111.91368420000001</v>
      </c>
      <c r="O96">
        <v>56.744295057045903</v>
      </c>
      <c r="P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96" t="str">
        <f t="shared" ca="1" si="6"/>
        <v>Print</v>
      </c>
      <c r="R96">
        <f>automotive_demand_forecasting_dataset567[[#This Row],[Units_Sold]]*automotive_demand_forecasting_dataset567[[#This Row],[Average_Price]]</f>
        <v>2757931.824088118</v>
      </c>
      <c r="S96" t="str">
        <f t="shared" ca="1" si="7"/>
        <v>OK</v>
      </c>
    </row>
    <row r="97" spans="1:19">
      <c r="A97" s="1">
        <v>44585</v>
      </c>
      <c r="B97" t="s">
        <v>11</v>
      </c>
      <c r="C97" t="str">
        <f>TEXT(automotive_demand_forecasting_dataset567[[#This Row],[Date]],"mmmm")</f>
        <v>January</v>
      </c>
      <c r="D97" t="str">
        <f>CHOOSE(MATCH(MONTH(A97), {1,4,7,10}), "Winter", "Spring", "Summer", "Autumn")</f>
        <v>Winter</v>
      </c>
      <c r="E97">
        <f>YEAR(automotive_demand_forecasting_dataset567[[#This Row],[Date]])</f>
        <v>2022</v>
      </c>
      <c r="F97">
        <v>100</v>
      </c>
      <c r="G97">
        <f>(automotive_demand_forecasting_dataset567[[#This Row],[Units_Sold]] -$C$4) / $C$5</f>
        <v>7.1703620942466739E-2</v>
      </c>
      <c r="H97" t="str">
        <f t="shared" ca="1" si="5"/>
        <v>South</v>
      </c>
      <c r="I97">
        <v>40376.304363126328</v>
      </c>
      <c r="J97">
        <v>3.1415888396985974</v>
      </c>
      <c r="K97">
        <v>1.7308576502127018</v>
      </c>
      <c r="L97">
        <v>6.158660602380837</v>
      </c>
      <c r="M97">
        <v>74256.728628315002</v>
      </c>
      <c r="N97" s="82">
        <v>74</v>
      </c>
      <c r="O97">
        <v>26.157534640641387</v>
      </c>
      <c r="P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97" t="str">
        <f t="shared" ca="1" si="6"/>
        <v>Online</v>
      </c>
      <c r="R97">
        <f>automotive_demand_forecasting_dataset567[[#This Row],[Units_Sold]]*automotive_demand_forecasting_dataset567[[#This Row],[Average_Price]]</f>
        <v>4037630.4363126326</v>
      </c>
      <c r="S97" t="str">
        <f t="shared" ca="1" si="7"/>
        <v>OK</v>
      </c>
    </row>
    <row r="98" spans="1:19">
      <c r="A98" s="1">
        <v>44615</v>
      </c>
      <c r="B98" t="s">
        <v>14</v>
      </c>
      <c r="C98" t="str">
        <f>TEXT(automotive_demand_forecasting_dataset567[[#This Row],[Date]],"mmmm")</f>
        <v>February</v>
      </c>
      <c r="D98" t="str">
        <f>CHOOSE(MATCH(MONTH(A98), {1,4,7,10}), "Winter", "Spring", "Summer", "Autumn")</f>
        <v>Winter</v>
      </c>
      <c r="E98">
        <f>YEAR(automotive_demand_forecasting_dataset567[[#This Row],[Date]])</f>
        <v>2022</v>
      </c>
      <c r="F98">
        <v>85</v>
      </c>
      <c r="G98">
        <f>(automotive_demand_forecasting_dataset567[[#This Row],[Units_Sold]] -$C$4) / $C$5</f>
        <v>-1.4648025421103859</v>
      </c>
      <c r="H98" s="157" t="str">
        <f t="shared" ca="1" si="5"/>
        <v>West</v>
      </c>
      <c r="I98">
        <v>26554.060909552161</v>
      </c>
      <c r="J98">
        <v>2.5667316914634699</v>
      </c>
      <c r="K98">
        <v>1.5600968988911355</v>
      </c>
      <c r="L98">
        <v>5.1940530477355624</v>
      </c>
      <c r="M98">
        <v>72057.636297740173</v>
      </c>
      <c r="N98" s="82">
        <v>80</v>
      </c>
      <c r="O98">
        <v>73.661202035442855</v>
      </c>
      <c r="P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98" t="str">
        <f t="shared" ca="1" si="6"/>
        <v>Radio</v>
      </c>
      <c r="R98" s="157">
        <f>automotive_demand_forecasting_dataset567[[#This Row],[Units_Sold]]*automotive_demand_forecasting_dataset567[[#This Row],[Average_Price]]</f>
        <v>2257095.1773119336</v>
      </c>
      <c r="S98" t="str">
        <f t="shared" ca="1" si="7"/>
        <v>OK</v>
      </c>
    </row>
    <row r="99" spans="1:19">
      <c r="A99" s="1">
        <v>44645</v>
      </c>
      <c r="B99" t="s">
        <v>11</v>
      </c>
      <c r="C99" t="str">
        <f>TEXT(automotive_demand_forecasting_dataset567[[#This Row],[Date]],"mmmm")</f>
        <v>March</v>
      </c>
      <c r="D99" t="str">
        <f>CHOOSE(MATCH(MONTH(A99), {1,4,7,10}), "Winter", "Spring", "Summer", "Autumn")</f>
        <v>Winter</v>
      </c>
      <c r="E99">
        <f>YEAR(automotive_demand_forecasting_dataset567[[#This Row],[Date]])</f>
        <v>2022</v>
      </c>
      <c r="F99">
        <v>101</v>
      </c>
      <c r="G99">
        <f>(automotive_demand_forecasting_dataset567[[#This Row],[Units_Sold]] -$C$4) / $C$5</f>
        <v>0.17413736514599024</v>
      </c>
      <c r="H99" t="str">
        <f t="shared" ca="1" si="5"/>
        <v>East</v>
      </c>
      <c r="I99">
        <v>38679.819015826244</v>
      </c>
      <c r="J99">
        <v>3.4586596570786505</v>
      </c>
      <c r="K99">
        <v>3.3294748419317486</v>
      </c>
      <c r="L99">
        <v>5.3494548879965196</v>
      </c>
      <c r="M99">
        <v>88328.013473079904</v>
      </c>
      <c r="N99" s="82">
        <v>81</v>
      </c>
      <c r="O99">
        <v>85.700753629827645</v>
      </c>
      <c r="P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99" t="str">
        <f t="shared" ca="1" si="6"/>
        <v>Online</v>
      </c>
      <c r="R99">
        <f>automotive_demand_forecasting_dataset567[[#This Row],[Units_Sold]]*automotive_demand_forecasting_dataset567[[#This Row],[Average_Price]]</f>
        <v>3906661.7205984509</v>
      </c>
      <c r="S99" t="str">
        <f t="shared" ca="1" si="7"/>
        <v>OK</v>
      </c>
    </row>
    <row r="100" spans="1:19">
      <c r="A100" s="1">
        <v>44675</v>
      </c>
      <c r="B100" t="s">
        <v>10</v>
      </c>
      <c r="C100" t="str">
        <f>TEXT(automotive_demand_forecasting_dataset567[[#This Row],[Date]],"mmmm")</f>
        <v>April</v>
      </c>
      <c r="D100" t="str">
        <f>CHOOSE(MATCH(MONTH(A100), {1,4,7,10}), "Winter", "Spring", "Summer", "Autumn")</f>
        <v>Spring</v>
      </c>
      <c r="E100">
        <f>YEAR(automotive_demand_forecasting_dataset567[[#This Row],[Date]])</f>
        <v>2022</v>
      </c>
      <c r="F100">
        <v>104</v>
      </c>
      <c r="G100">
        <f>(automotive_demand_forecasting_dataset567[[#This Row],[Units_Sold]] -$C$4) / $C$5</f>
        <v>0.48143859775656078</v>
      </c>
      <c r="H100" t="str">
        <f t="shared" ca="1" si="5"/>
        <v>North</v>
      </c>
      <c r="I100">
        <v>30989.553917313238</v>
      </c>
      <c r="J100">
        <v>3.439126245808358</v>
      </c>
      <c r="K100">
        <v>2.3061738612271965</v>
      </c>
      <c r="L100">
        <v>5.8934554289912287</v>
      </c>
      <c r="M100">
        <v>120767.57702038634</v>
      </c>
      <c r="N100" s="82">
        <v>87</v>
      </c>
      <c r="O100">
        <v>39.572404368377043</v>
      </c>
      <c r="P1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00" t="str">
        <f t="shared" ca="1" si="6"/>
        <v>Billboards</v>
      </c>
      <c r="R100">
        <f>automotive_demand_forecasting_dataset567[[#This Row],[Units_Sold]]*automotive_demand_forecasting_dataset567[[#This Row],[Average_Price]]</f>
        <v>3222913.6074005766</v>
      </c>
      <c r="S100" t="str">
        <f t="shared" ca="1" si="7"/>
        <v>OK</v>
      </c>
    </row>
    <row r="101" spans="1:19">
      <c r="A101" s="1">
        <v>44705</v>
      </c>
      <c r="B101" t="s">
        <v>12</v>
      </c>
      <c r="C101" t="str">
        <f>TEXT(automotive_demand_forecasting_dataset567[[#This Row],[Date]],"mmmm")</f>
        <v>May</v>
      </c>
      <c r="D101" t="str">
        <f>CHOOSE(MATCH(MONTH(A101), {1,4,7,10}), "Winter", "Spring", "Summer", "Autumn")</f>
        <v>Spring</v>
      </c>
      <c r="E101">
        <f>YEAR(automotive_demand_forecasting_dataset567[[#This Row],[Date]])</f>
        <v>2022</v>
      </c>
      <c r="F101">
        <v>106</v>
      </c>
      <c r="G101">
        <f>(automotive_demand_forecasting_dataset567[[#This Row],[Units_Sold]] -$C$4) / $C$5</f>
        <v>0.68630608616360778</v>
      </c>
      <c r="H101" t="str">
        <f t="shared" ca="1" si="5"/>
        <v>South</v>
      </c>
      <c r="I101">
        <v>38106.295579999998</v>
      </c>
      <c r="J101">
        <v>4.2567248716210653</v>
      </c>
      <c r="K101">
        <v>2.2354851586893894</v>
      </c>
      <c r="L101">
        <v>5.6030716075519962</v>
      </c>
      <c r="M101">
        <v>69613.078490463144</v>
      </c>
      <c r="N101" s="82">
        <v>95</v>
      </c>
      <c r="O101">
        <v>53.704070530669171</v>
      </c>
      <c r="P1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01" t="str">
        <f t="shared" ca="1" si="6"/>
        <v>Billboards</v>
      </c>
      <c r="R101">
        <f>automotive_demand_forecasting_dataset567[[#This Row],[Units_Sold]]*automotive_demand_forecasting_dataset567[[#This Row],[Average_Price]]</f>
        <v>4039267.3314799997</v>
      </c>
      <c r="S101" t="str">
        <f t="shared" ca="1" si="7"/>
        <v>OK</v>
      </c>
    </row>
    <row r="102" spans="1:19">
      <c r="A102" s="1">
        <v>44735</v>
      </c>
      <c r="B102" t="s">
        <v>13</v>
      </c>
      <c r="C102" t="str">
        <f>TEXT(automotive_demand_forecasting_dataset567[[#This Row],[Date]],"mmmm")</f>
        <v>June</v>
      </c>
      <c r="D102" t="str">
        <f>CHOOSE(MATCH(MONTH(A102), {1,4,7,10}), "Winter", "Spring", "Summer", "Autumn")</f>
        <v>Spring</v>
      </c>
      <c r="E102">
        <f>YEAR(automotive_demand_forecasting_dataset567[[#This Row],[Date]])</f>
        <v>2022</v>
      </c>
      <c r="F102">
        <v>95</v>
      </c>
      <c r="G102">
        <f>(automotive_demand_forecasting_dataset567[[#This Row],[Units_Sold]] -$C$4) / $C$5</f>
        <v>-0.44046510007515077</v>
      </c>
      <c r="H102" t="str">
        <f t="shared" ca="1" si="5"/>
        <v>East</v>
      </c>
      <c r="I102">
        <v>27580.570829728393</v>
      </c>
      <c r="J102">
        <v>3.8154058422773889</v>
      </c>
      <c r="K102">
        <v>0.49613763559324653</v>
      </c>
      <c r="L102">
        <v>2.836839552702958</v>
      </c>
      <c r="M102">
        <v>43356.888037788623</v>
      </c>
      <c r="N102" s="82">
        <v>108</v>
      </c>
      <c r="O102">
        <v>87.107146941221629</v>
      </c>
      <c r="P1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02" t="str">
        <f t="shared" ca="1" si="6"/>
        <v>TV</v>
      </c>
      <c r="R102">
        <f>automotive_demand_forecasting_dataset567[[#This Row],[Units_Sold]]*automotive_demand_forecasting_dataset567[[#This Row],[Average_Price]]</f>
        <v>2620154.2288241973</v>
      </c>
      <c r="S102" t="str">
        <f t="shared" ca="1" si="7"/>
        <v>OK</v>
      </c>
    </row>
    <row r="103" spans="1:19">
      <c r="A103" s="1">
        <v>44765</v>
      </c>
      <c r="B103" t="s">
        <v>11</v>
      </c>
      <c r="C103" t="str">
        <f>TEXT(automotive_demand_forecasting_dataset567[[#This Row],[Date]],"mmmm")</f>
        <v>July</v>
      </c>
      <c r="D103" t="str">
        <f>CHOOSE(MATCH(MONTH(A103), {1,4,7,10}), "Winter", "Spring", "Summer", "Autumn")</f>
        <v>Summer</v>
      </c>
      <c r="E103">
        <f>YEAR(automotive_demand_forecasting_dataset567[[#This Row],[Date]])</f>
        <v>2022</v>
      </c>
      <c r="F103">
        <v>104</v>
      </c>
      <c r="G103">
        <f>(automotive_demand_forecasting_dataset567[[#This Row],[Units_Sold]] -$C$4) / $C$5</f>
        <v>0.48143859775656078</v>
      </c>
      <c r="H103" t="str">
        <f t="shared" ca="1" si="5"/>
        <v>West</v>
      </c>
      <c r="I103">
        <v>28398.2634590284</v>
      </c>
      <c r="J103">
        <v>2.9879065878353974</v>
      </c>
      <c r="K103">
        <v>3.1354180302092263</v>
      </c>
      <c r="L103">
        <v>5.2242404433097676</v>
      </c>
      <c r="M103">
        <v>90976.822831820027</v>
      </c>
      <c r="N103" s="82">
        <v>79</v>
      </c>
      <c r="O103">
        <v>90.169637412983036</v>
      </c>
      <c r="P1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03" t="str">
        <f t="shared" ca="1" si="6"/>
        <v>Billboards</v>
      </c>
      <c r="R103">
        <f>automotive_demand_forecasting_dataset567[[#This Row],[Units_Sold]]*automotive_demand_forecasting_dataset567[[#This Row],[Average_Price]]</f>
        <v>2953419.3997389534</v>
      </c>
      <c r="S103" t="str">
        <f t="shared" ca="1" si="7"/>
        <v>OK</v>
      </c>
    </row>
    <row r="104" spans="1:19">
      <c r="A104" s="1">
        <v>44795</v>
      </c>
      <c r="B104" t="s">
        <v>12</v>
      </c>
      <c r="C104" t="str">
        <f>TEXT(automotive_demand_forecasting_dataset567[[#This Row],[Date]],"mmmm")</f>
        <v>August</v>
      </c>
      <c r="D104" t="str">
        <f>CHOOSE(MATCH(MONTH(A104), {1,4,7,10}), "Winter", "Spring", "Summer", "Autumn")</f>
        <v>Summer</v>
      </c>
      <c r="E104">
        <f>YEAR(automotive_demand_forecasting_dataset567[[#This Row],[Date]])</f>
        <v>2022</v>
      </c>
      <c r="F104">
        <v>105</v>
      </c>
      <c r="G104">
        <f>(automotive_demand_forecasting_dataset567[[#This Row],[Units_Sold]] -$C$4) / $C$5</f>
        <v>0.58387234196008431</v>
      </c>
      <c r="H104" t="str">
        <f t="shared" ca="1" si="5"/>
        <v>North</v>
      </c>
      <c r="I104">
        <v>32120.829732009581</v>
      </c>
      <c r="J104">
        <v>4.427046283167094</v>
      </c>
      <c r="K104">
        <v>1.2607416051465274</v>
      </c>
      <c r="L104">
        <v>4.478312278887624</v>
      </c>
      <c r="M104">
        <f>128897.2893</f>
        <v>128897.2893</v>
      </c>
      <c r="N104" s="82">
        <v>89</v>
      </c>
      <c r="O104">
        <v>39.454398421138073</v>
      </c>
      <c r="P1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04" t="str">
        <f t="shared" ca="1" si="6"/>
        <v>TV</v>
      </c>
      <c r="R104">
        <f>automotive_demand_forecasting_dataset567[[#This Row],[Units_Sold]]*automotive_demand_forecasting_dataset567[[#This Row],[Average_Price]]</f>
        <v>3372687.1218610061</v>
      </c>
      <c r="S104" t="str">
        <f t="shared" ca="1" si="7"/>
        <v>OK</v>
      </c>
    </row>
    <row r="105" spans="1:19">
      <c r="A105" s="1">
        <v>44825</v>
      </c>
      <c r="B105" t="s">
        <v>14</v>
      </c>
      <c r="C105" t="str">
        <f>TEXT(automotive_demand_forecasting_dataset567[[#This Row],[Date]],"mmmm")</f>
        <v>September</v>
      </c>
      <c r="D105" t="str">
        <f>CHOOSE(MATCH(MONTH(A105), {1,4,7,10}), "Winter", "Spring", "Summer", "Autumn")</f>
        <v>Summer</v>
      </c>
      <c r="E105">
        <f>YEAR(automotive_demand_forecasting_dataset567[[#This Row],[Date]])</f>
        <v>2022</v>
      </c>
      <c r="F105">
        <v>84</v>
      </c>
      <c r="G105">
        <f>(automotive_demand_forecasting_dataset567[[#This Row],[Units_Sold]] -$C$4) / $C$5</f>
        <v>-1.5672362863139093</v>
      </c>
      <c r="H105" s="157" t="str">
        <f t="shared" ca="1" si="5"/>
        <v>West</v>
      </c>
      <c r="I105">
        <v>32614.177440177496</v>
      </c>
      <c r="J105">
        <v>4.1105168477626766</v>
      </c>
      <c r="K105">
        <v>2.5599326302663283</v>
      </c>
      <c r="L105">
        <v>5.7102537026902143</v>
      </c>
      <c r="M105">
        <v>124005.23499477659</v>
      </c>
      <c r="N105" s="82">
        <v>95</v>
      </c>
      <c r="O105">
        <v>64.045650763309141</v>
      </c>
      <c r="P1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05" t="str">
        <f t="shared" ca="1" si="6"/>
        <v>Print</v>
      </c>
      <c r="R105" s="157">
        <f>automotive_demand_forecasting_dataset567[[#This Row],[Units_Sold]]*automotive_demand_forecasting_dataset567[[#This Row],[Average_Price]]</f>
        <v>2739590.9049749095</v>
      </c>
      <c r="S105" t="str">
        <f t="shared" ca="1" si="7"/>
        <v>OK</v>
      </c>
    </row>
    <row r="106" spans="1:19">
      <c r="A106" s="1">
        <v>44855</v>
      </c>
      <c r="B106" t="s">
        <v>14</v>
      </c>
      <c r="C106" t="str">
        <f>TEXT(automotive_demand_forecasting_dataset567[[#This Row],[Date]],"mmmm")</f>
        <v>October</v>
      </c>
      <c r="D106" t="str">
        <f>CHOOSE(MATCH(MONTH(A106), {1,4,7,10}), "Winter", "Spring", "Summer", "Autumn")</f>
        <v>Autumn</v>
      </c>
      <c r="E106">
        <f>YEAR(automotive_demand_forecasting_dataset567[[#This Row],[Date]])</f>
        <v>2022</v>
      </c>
      <c r="F106">
        <v>93</v>
      </c>
      <c r="G106">
        <f>(automotive_demand_forecasting_dataset567[[#This Row],[Units_Sold]] -$C$4) / $C$5</f>
        <v>-0.64533258848219777</v>
      </c>
      <c r="H106" s="157" t="str">
        <f t="shared" ca="1" si="5"/>
        <v>North</v>
      </c>
      <c r="I106">
        <v>27131.499980307104</v>
      </c>
      <c r="J106">
        <v>3.7910488517343079</v>
      </c>
      <c r="K106">
        <v>2.7773769379581918</v>
      </c>
      <c r="L106">
        <v>5.616047043</v>
      </c>
      <c r="M106">
        <v>90736.77275829202</v>
      </c>
      <c r="N106" s="82">
        <v>96</v>
      </c>
      <c r="O106">
        <v>35.399452050866167</v>
      </c>
      <c r="P1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06" t="str">
        <f t="shared" ca="1" si="6"/>
        <v>TV</v>
      </c>
      <c r="R106" s="157">
        <f>automotive_demand_forecasting_dataset567[[#This Row],[Units_Sold]]*automotive_demand_forecasting_dataset567[[#This Row],[Average_Price]]</f>
        <v>2523229.4981685607</v>
      </c>
      <c r="S106" t="str">
        <f t="shared" ca="1" si="7"/>
        <v>OK</v>
      </c>
    </row>
    <row r="107" spans="1:19">
      <c r="A107" s="1">
        <v>44885</v>
      </c>
      <c r="B107" t="s">
        <v>14</v>
      </c>
      <c r="C107" t="str">
        <f>TEXT(automotive_demand_forecasting_dataset567[[#This Row],[Date]],"mmmm")</f>
        <v>November</v>
      </c>
      <c r="D107" t="str">
        <f>CHOOSE(MATCH(MONTH(A107), {1,4,7,10}), "Winter", "Spring", "Summer", "Autumn")</f>
        <v>Autumn</v>
      </c>
      <c r="E107">
        <f>YEAR(automotive_demand_forecasting_dataset567[[#This Row],[Date]])</f>
        <v>2022</v>
      </c>
      <c r="F107">
        <v>115</v>
      </c>
      <c r="G107">
        <f>(automotive_demand_forecasting_dataset567[[#This Row],[Units_Sold]] -$C$4) / $C$5</f>
        <v>1.6082097839953193</v>
      </c>
      <c r="H107" s="157" t="str">
        <f t="shared" ca="1" si="5"/>
        <v>North</v>
      </c>
      <c r="I107">
        <v>29878.227038695084</v>
      </c>
      <c r="J107">
        <v>3.3867579505750842</v>
      </c>
      <c r="K107">
        <v>3.8606585958386512</v>
      </c>
      <c r="L107">
        <v>5.9409779985691653</v>
      </c>
      <c r="M107">
        <v>91771.467857679949</v>
      </c>
      <c r="N107" s="82">
        <v>103</v>
      </c>
      <c r="O107">
        <v>28.150301131164525</v>
      </c>
      <c r="P1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07" t="str">
        <f t="shared" ca="1" si="6"/>
        <v>Print</v>
      </c>
      <c r="R107" s="157">
        <f>automotive_demand_forecasting_dataset567[[#This Row],[Units_Sold]]*automotive_demand_forecasting_dataset567[[#This Row],[Average_Price]]</f>
        <v>3435996.1094499347</v>
      </c>
      <c r="S107" t="str">
        <f t="shared" ca="1" si="7"/>
        <v>OK</v>
      </c>
    </row>
    <row r="108" spans="1:19">
      <c r="A108" s="1">
        <v>44915</v>
      </c>
      <c r="B108" t="s">
        <v>12</v>
      </c>
      <c r="C108" t="str">
        <f>TEXT(automotive_demand_forecasting_dataset567[[#This Row],[Date]],"mmmm")</f>
        <v>December</v>
      </c>
      <c r="D108" t="str">
        <f>CHOOSE(MATCH(MONTH(A108), {1,4,7,10}), "Winter", "Spring", "Summer", "Autumn")</f>
        <v>Autumn</v>
      </c>
      <c r="E108">
        <f>YEAR(automotive_demand_forecasting_dataset567[[#This Row],[Date]])</f>
        <v>2022</v>
      </c>
      <c r="F108">
        <v>109</v>
      </c>
      <c r="G108">
        <f>(automotive_demand_forecasting_dataset567[[#This Row],[Units_Sold]] -$C$4) / $C$5</f>
        <v>0.99360731877417829</v>
      </c>
      <c r="H108" t="str">
        <f t="shared" ca="1" si="5"/>
        <v>East</v>
      </c>
      <c r="I108">
        <v>40711.351793059323</v>
      </c>
      <c r="J108">
        <v>3.0202803816382602</v>
      </c>
      <c r="K108">
        <v>1.1911796008808879</v>
      </c>
      <c r="L108">
        <v>5.1237643765931224</v>
      </c>
      <c r="M108">
        <v>123078.01468511495</v>
      </c>
      <c r="N108" s="82">
        <v>82</v>
      </c>
      <c r="O108">
        <v>92.889640111356599</v>
      </c>
      <c r="P1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08" t="str">
        <f t="shared" ca="1" si="6"/>
        <v>Radio</v>
      </c>
      <c r="R108">
        <f>automotive_demand_forecasting_dataset567[[#This Row],[Units_Sold]]*automotive_demand_forecasting_dataset567[[#This Row],[Average_Price]]</f>
        <v>4437537.3454434657</v>
      </c>
      <c r="S108" t="str">
        <f t="shared" ca="1" si="7"/>
        <v>OK</v>
      </c>
    </row>
    <row r="109" spans="1:19">
      <c r="A109" s="1">
        <v>44945</v>
      </c>
      <c r="B109" t="s">
        <v>11</v>
      </c>
      <c r="C109" t="str">
        <f>TEXT(automotive_demand_forecasting_dataset567[[#This Row],[Date]],"mmmm")</f>
        <v>January</v>
      </c>
      <c r="D109" t="str">
        <f>CHOOSE(MATCH(MONTH(A109), {1,4,7,10}), "Winter", "Spring", "Summer", "Autumn")</f>
        <v>Winter</v>
      </c>
      <c r="E109">
        <f>YEAR(automotive_demand_forecasting_dataset567[[#This Row],[Date]])</f>
        <v>2023</v>
      </c>
      <c r="F109">
        <v>102</v>
      </c>
      <c r="G109">
        <f>(automotive_demand_forecasting_dataset567[[#This Row],[Units_Sold]] -$C$4) / $C$5</f>
        <v>0.27657110934951373</v>
      </c>
      <c r="H109" t="str">
        <f t="shared" ca="1" si="5"/>
        <v>South</v>
      </c>
      <c r="I109">
        <v>38637.715850503555</v>
      </c>
      <c r="J109">
        <v>3.3138966119644735</v>
      </c>
      <c r="K109">
        <v>2.6520564320000002</v>
      </c>
      <c r="L109">
        <v>6.6061618023727027</v>
      </c>
      <c r="M109">
        <v>62605.166006091589</v>
      </c>
      <c r="N109" s="82">
        <v>83</v>
      </c>
      <c r="O109">
        <v>85.640600338568731</v>
      </c>
      <c r="P1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09" t="str">
        <f t="shared" ca="1" si="6"/>
        <v>Billboards</v>
      </c>
      <c r="R109">
        <f>automotive_demand_forecasting_dataset567[[#This Row],[Units_Sold]]*automotive_demand_forecasting_dataset567[[#This Row],[Average_Price]]</f>
        <v>3941047.0167513625</v>
      </c>
      <c r="S109" t="str">
        <f t="shared" ca="1" si="7"/>
        <v>OK</v>
      </c>
    </row>
    <row r="110" spans="1:19">
      <c r="A110" s="1">
        <v>44975</v>
      </c>
      <c r="B110" t="s">
        <v>12</v>
      </c>
      <c r="C110" t="str">
        <f>TEXT(automotive_demand_forecasting_dataset567[[#This Row],[Date]],"mmmm")</f>
        <v>February</v>
      </c>
      <c r="D110" t="str">
        <f>CHOOSE(MATCH(MONTH(A110), {1,4,7,10}), "Winter", "Spring", "Summer", "Autumn")</f>
        <v>Winter</v>
      </c>
      <c r="E110">
        <f>YEAR(automotive_demand_forecasting_dataset567[[#This Row],[Date]])</f>
        <v>2023</v>
      </c>
      <c r="F110">
        <v>100</v>
      </c>
      <c r="G110">
        <f>(automotive_demand_forecasting_dataset567[[#This Row],[Units_Sold]] -$C$4) / $C$5</f>
        <v>7.1703620942466739E-2</v>
      </c>
      <c r="H110" t="str">
        <f t="shared" ca="1" si="5"/>
        <v>South</v>
      </c>
      <c r="I110">
        <v>32181.618348370161</v>
      </c>
      <c r="J110">
        <v>4.0443743098520928</v>
      </c>
      <c r="K110">
        <v>2.683849544753695</v>
      </c>
      <c r="L110">
        <v>6.0792254646510555</v>
      </c>
      <c r="M110">
        <v>92229.584496339812</v>
      </c>
      <c r="N110" s="82">
        <v>78</v>
      </c>
      <c r="O110">
        <v>80.802792144253914</v>
      </c>
      <c r="P1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10" t="str">
        <f t="shared" ca="1" si="6"/>
        <v>Radio</v>
      </c>
      <c r="R110">
        <f>automotive_demand_forecasting_dataset567[[#This Row],[Units_Sold]]*automotive_demand_forecasting_dataset567[[#This Row],[Average_Price]]</f>
        <v>3218161.8348370162</v>
      </c>
      <c r="S110" t="str">
        <f t="shared" ca="1" si="7"/>
        <v>OK</v>
      </c>
    </row>
    <row r="111" spans="1:19">
      <c r="A111" s="1">
        <v>45005</v>
      </c>
      <c r="B111" t="s">
        <v>12</v>
      </c>
      <c r="C111" t="str">
        <f>TEXT(automotive_demand_forecasting_dataset567[[#This Row],[Date]],"mmmm")</f>
        <v>March</v>
      </c>
      <c r="D111" t="str">
        <f>CHOOSE(MATCH(MONTH(A111), {1,4,7,10}), "Winter", "Spring", "Summer", "Autumn")</f>
        <v>Winter</v>
      </c>
      <c r="E111">
        <f>YEAR(automotive_demand_forecasting_dataset567[[#This Row],[Date]])</f>
        <v>2023</v>
      </c>
      <c r="F111">
        <v>93</v>
      </c>
      <c r="G111">
        <f>(automotive_demand_forecasting_dataset567[[#This Row],[Units_Sold]] -$C$4) / $C$5</f>
        <v>-0.64533258848219777</v>
      </c>
      <c r="H111" t="str">
        <f t="shared" ca="1" si="5"/>
        <v>West</v>
      </c>
      <c r="I111">
        <v>30190.017390841</v>
      </c>
      <c r="J111">
        <v>4.4422931529673049</v>
      </c>
      <c r="K111">
        <v>4.3005111815108537</v>
      </c>
      <c r="L111">
        <v>6.0041133885422093</v>
      </c>
      <c r="M111">
        <v>103808.47779850116</v>
      </c>
      <c r="N111" s="82">
        <v>90</v>
      </c>
      <c r="O111">
        <v>23.901305505051234</v>
      </c>
      <c r="P1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11" t="str">
        <f t="shared" ca="1" si="6"/>
        <v>Billboards</v>
      </c>
      <c r="R111">
        <f>automotive_demand_forecasting_dataset567[[#This Row],[Units_Sold]]*automotive_demand_forecasting_dataset567[[#This Row],[Average_Price]]</f>
        <v>2807671.6173482127</v>
      </c>
      <c r="S111" t="str">
        <f t="shared" ca="1" si="7"/>
        <v>OK</v>
      </c>
    </row>
    <row r="112" spans="1:19">
      <c r="A112" s="1">
        <v>45035</v>
      </c>
      <c r="B112" t="s">
        <v>13</v>
      </c>
      <c r="C112" t="str">
        <f>TEXT(automotive_demand_forecasting_dataset567[[#This Row],[Date]],"mmmm")</f>
        <v>April</v>
      </c>
      <c r="D112" t="str">
        <f>CHOOSE(MATCH(MONTH(A112), {1,4,7,10}), "Winter", "Spring", "Summer", "Autumn")</f>
        <v>Spring</v>
      </c>
      <c r="E112">
        <f>YEAR(automotive_demand_forecasting_dataset567[[#This Row],[Date]])</f>
        <v>2023</v>
      </c>
      <c r="F112">
        <v>100</v>
      </c>
      <c r="G112">
        <f>(automotive_demand_forecasting_dataset567[[#This Row],[Units_Sold]] -$C$4) / $C$5</f>
        <v>7.1703620942466739E-2</v>
      </c>
      <c r="H112" t="str">
        <f t="shared" ca="1" si="5"/>
        <v>North</v>
      </c>
      <c r="I112">
        <v>30600.156633591305</v>
      </c>
      <c r="J112">
        <v>4.2716217641360945</v>
      </c>
      <c r="K112">
        <v>3.7389463529394371</v>
      </c>
      <c r="L112">
        <v>6.2282207118588051</v>
      </c>
      <c r="M112">
        <v>108984.37442570069</v>
      </c>
      <c r="N112" s="82">
        <v>90</v>
      </c>
      <c r="O112">
        <v>87.49830341682059</v>
      </c>
      <c r="P1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12" t="str">
        <f t="shared" ca="1" si="6"/>
        <v>Online</v>
      </c>
      <c r="R112">
        <f>automotive_demand_forecasting_dataset567[[#This Row],[Units_Sold]]*automotive_demand_forecasting_dataset567[[#This Row],[Average_Price]]</f>
        <v>3060015.6633591303</v>
      </c>
      <c r="S112" t="str">
        <f t="shared" ca="1" si="7"/>
        <v>OK</v>
      </c>
    </row>
    <row r="113" spans="1:19">
      <c r="A113" s="1">
        <v>45065</v>
      </c>
      <c r="B113" t="s">
        <v>13</v>
      </c>
      <c r="C113" t="str">
        <f>TEXT(automotive_demand_forecasting_dataset567[[#This Row],[Date]],"mmmm")</f>
        <v>May</v>
      </c>
      <c r="D113" t="str">
        <f>CHOOSE(MATCH(MONTH(A113), {1,4,7,10}), "Winter", "Spring", "Summer", "Autumn")</f>
        <v>Spring</v>
      </c>
      <c r="E113">
        <f>YEAR(automotive_demand_forecasting_dataset567[[#This Row],[Date]])</f>
        <v>2023</v>
      </c>
      <c r="F113">
        <v>117</v>
      </c>
      <c r="G113">
        <f>(automotive_demand_forecasting_dataset567[[#This Row],[Units_Sold]] -$C$4) / $C$5</f>
        <v>1.8130772724023663</v>
      </c>
      <c r="H113" t="str">
        <f t="shared" ca="1" si="5"/>
        <v>West</v>
      </c>
      <c r="I113">
        <v>33067.589863652087</v>
      </c>
      <c r="J113">
        <v>3.2555752891068628</v>
      </c>
      <c r="K113">
        <v>2.7096594152746256</v>
      </c>
      <c r="L113">
        <v>7.9678522777954495</v>
      </c>
      <c r="M113">
        <v>102916.7736</v>
      </c>
      <c r="N113" s="82">
        <v>98</v>
      </c>
      <c r="O113">
        <v>55.043526072430701</v>
      </c>
      <c r="P1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13" t="str">
        <f t="shared" ca="1" si="6"/>
        <v>TV</v>
      </c>
      <c r="R113">
        <f>automotive_demand_forecasting_dataset567[[#This Row],[Units_Sold]]*automotive_demand_forecasting_dataset567[[#This Row],[Average_Price]]</f>
        <v>3868908.0140472944</v>
      </c>
      <c r="S113" t="str">
        <f t="shared" ca="1" si="7"/>
        <v>OK</v>
      </c>
    </row>
    <row r="114" spans="1:19">
      <c r="A114" s="1">
        <v>45095</v>
      </c>
      <c r="B114" t="s">
        <v>11</v>
      </c>
      <c r="C114" t="str">
        <f>TEXT(automotive_demand_forecasting_dataset567[[#This Row],[Date]],"mmmm")</f>
        <v>June</v>
      </c>
      <c r="D114" t="str">
        <f>CHOOSE(MATCH(MONTH(A114), {1,4,7,10}), "Winter", "Spring", "Summer", "Autumn")</f>
        <v>Spring</v>
      </c>
      <c r="E114">
        <f>YEAR(automotive_demand_forecasting_dataset567[[#This Row],[Date]])</f>
        <v>2023</v>
      </c>
      <c r="F114">
        <v>98</v>
      </c>
      <c r="G114">
        <f>(automotive_demand_forecasting_dataset567[[#This Row],[Units_Sold]] -$C$4) / $C$5</f>
        <v>-0.13316386746458025</v>
      </c>
      <c r="H114" t="str">
        <f t="shared" ca="1" si="5"/>
        <v>East</v>
      </c>
      <c r="I114">
        <v>24886.037174007972</v>
      </c>
      <c r="J114">
        <v>2.9401912833554942</v>
      </c>
      <c r="K114">
        <v>2.0083638143679527</v>
      </c>
      <c r="L114">
        <v>4.1429338776089013</v>
      </c>
      <c r="M114">
        <v>100688.82023411682</v>
      </c>
      <c r="N114" s="82">
        <v>87</v>
      </c>
      <c r="O114">
        <v>47.391609863668769</v>
      </c>
      <c r="P1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14" t="str">
        <f t="shared" ca="1" si="6"/>
        <v>TV</v>
      </c>
      <c r="R114">
        <f>automotive_demand_forecasting_dataset567[[#This Row],[Units_Sold]]*automotive_demand_forecasting_dataset567[[#This Row],[Average_Price]]</f>
        <v>2438831.643052781</v>
      </c>
      <c r="S114" t="str">
        <f t="shared" ca="1" si="7"/>
        <v>OK</v>
      </c>
    </row>
    <row r="115" spans="1:19">
      <c r="A115" s="1">
        <v>45125</v>
      </c>
      <c r="B115" t="s">
        <v>13</v>
      </c>
      <c r="C115" t="str">
        <f>TEXT(automotive_demand_forecasting_dataset567[[#This Row],[Date]],"mmmm")</f>
        <v>July</v>
      </c>
      <c r="D115" t="str">
        <f>CHOOSE(MATCH(MONTH(A115), {1,4,7,10}), "Winter", "Spring", "Summer", "Autumn")</f>
        <v>Summer</v>
      </c>
      <c r="E115">
        <f>YEAR(automotive_demand_forecasting_dataset567[[#This Row],[Date]])</f>
        <v>2023</v>
      </c>
      <c r="F115">
        <v>94</v>
      </c>
      <c r="G115">
        <f>(automotive_demand_forecasting_dataset567[[#This Row],[Units_Sold]] -$C$4) / $C$5</f>
        <v>-0.5428988442786743</v>
      </c>
      <c r="H115" t="str">
        <f t="shared" ca="1" si="5"/>
        <v>East</v>
      </c>
      <c r="I115">
        <v>28713.117312883274</v>
      </c>
      <c r="J115">
        <v>3.5704431234556018</v>
      </c>
      <c r="K115">
        <v>3.3071225966373103</v>
      </c>
      <c r="L115">
        <v>6.0683584921737452</v>
      </c>
      <c r="M115">
        <v>50233.452931740212</v>
      </c>
      <c r="N115" s="82">
        <v>108</v>
      </c>
      <c r="O115">
        <v>63.718108882030116</v>
      </c>
      <c r="P1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15" t="str">
        <f t="shared" ca="1" si="6"/>
        <v>Online</v>
      </c>
      <c r="R115">
        <f>automotive_demand_forecasting_dataset567[[#This Row],[Units_Sold]]*automotive_demand_forecasting_dataset567[[#This Row],[Average_Price]]</f>
        <v>2699033.0274110278</v>
      </c>
      <c r="S115" t="str">
        <f t="shared" ca="1" si="7"/>
        <v>OK</v>
      </c>
    </row>
    <row r="116" spans="1:19">
      <c r="A116" s="1">
        <v>45155</v>
      </c>
      <c r="B116" t="s">
        <v>14</v>
      </c>
      <c r="C116" t="str">
        <f>TEXT(automotive_demand_forecasting_dataset567[[#This Row],[Date]],"mmmm")</f>
        <v>August</v>
      </c>
      <c r="D116" t="str">
        <f>CHOOSE(MATCH(MONTH(A116), {1,4,7,10}), "Winter", "Spring", "Summer", "Autumn")</f>
        <v>Summer</v>
      </c>
      <c r="E116">
        <f>YEAR(automotive_demand_forecasting_dataset567[[#This Row],[Date]])</f>
        <v>2023</v>
      </c>
      <c r="F116">
        <v>112</v>
      </c>
      <c r="G116">
        <f>(automotive_demand_forecasting_dataset567[[#This Row],[Units_Sold]] -$C$4) / $C$5</f>
        <v>1.3009085513847487</v>
      </c>
      <c r="H116" s="157" t="str">
        <f t="shared" ca="1" si="5"/>
        <v>South</v>
      </c>
      <c r="I116">
        <v>21657.079630612054</v>
      </c>
      <c r="J116">
        <v>2.6157803172185741</v>
      </c>
      <c r="K116">
        <f>3.224108373</f>
        <v>3.224108373</v>
      </c>
      <c r="L116">
        <v>4.3883426440221545</v>
      </c>
      <c r="M116">
        <v>86835.031753323041</v>
      </c>
      <c r="N116" s="82">
        <v>98</v>
      </c>
      <c r="O116">
        <v>27.308259417884464</v>
      </c>
      <c r="P1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16" t="str">
        <f t="shared" ca="1" si="6"/>
        <v>Online</v>
      </c>
      <c r="R116" s="157">
        <f>automotive_demand_forecasting_dataset567[[#This Row],[Units_Sold]]*automotive_demand_forecasting_dataset567[[#This Row],[Average_Price]]</f>
        <v>2425592.9186285501</v>
      </c>
      <c r="S116" t="str">
        <f t="shared" ca="1" si="7"/>
        <v>OK</v>
      </c>
    </row>
    <row r="117" spans="1:19">
      <c r="A117" s="1">
        <v>45185</v>
      </c>
      <c r="B117" t="s">
        <v>13</v>
      </c>
      <c r="C117" t="str">
        <f>TEXT(automotive_demand_forecasting_dataset567[[#This Row],[Date]],"mmmm")</f>
        <v>September</v>
      </c>
      <c r="D117" t="str">
        <f>CHOOSE(MATCH(MONTH(A117), {1,4,7,10}), "Winter", "Spring", "Summer", "Autumn")</f>
        <v>Summer</v>
      </c>
      <c r="E117">
        <f>YEAR(automotive_demand_forecasting_dataset567[[#This Row],[Date]])</f>
        <v>2023</v>
      </c>
      <c r="F117">
        <v>89</v>
      </c>
      <c r="G117">
        <f>(automotive_demand_forecasting_dataset567[[#This Row],[Units_Sold]] -$C$4) / $C$5</f>
        <v>-1.0550675652962918</v>
      </c>
      <c r="H117" t="str">
        <f t="shared" ca="1" si="5"/>
        <v>East</v>
      </c>
      <c r="I117">
        <v>31996.115613026395</v>
      </c>
      <c r="J117">
        <v>3.6615838570923906</v>
      </c>
      <c r="K117">
        <v>2.9763577693562193</v>
      </c>
      <c r="L117">
        <v>6.1666151756106977</v>
      </c>
      <c r="M117">
        <v>109070.17425108935</v>
      </c>
      <c r="N117" s="82">
        <v>87</v>
      </c>
      <c r="O117">
        <v>80.53172394819191</v>
      </c>
      <c r="P1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17" t="str">
        <f t="shared" ca="1" si="6"/>
        <v>Radio</v>
      </c>
      <c r="R117">
        <f>automotive_demand_forecasting_dataset567[[#This Row],[Units_Sold]]*automotive_demand_forecasting_dataset567[[#This Row],[Average_Price]]</f>
        <v>2847654.289559349</v>
      </c>
      <c r="S117" t="str">
        <f t="shared" ca="1" si="7"/>
        <v>OK</v>
      </c>
    </row>
    <row r="118" spans="1:19">
      <c r="A118" s="1">
        <v>45215</v>
      </c>
      <c r="B118" t="s">
        <v>14</v>
      </c>
      <c r="C118" t="str">
        <f>TEXT(automotive_demand_forecasting_dataset567[[#This Row],[Date]],"mmmm")</f>
        <v>October</v>
      </c>
      <c r="D118" t="str">
        <f>CHOOSE(MATCH(MONTH(A118), {1,4,7,10}), "Winter", "Spring", "Summer", "Autumn")</f>
        <v>Autumn</v>
      </c>
      <c r="E118">
        <f>YEAR(automotive_demand_forecasting_dataset567[[#This Row],[Date]])</f>
        <v>2023</v>
      </c>
      <c r="F118">
        <v>119</v>
      </c>
      <c r="G118">
        <f>(automotive_demand_forecasting_dataset567[[#This Row],[Units_Sold]] -$C$4) / $C$5</f>
        <v>2.0179447608094132</v>
      </c>
      <c r="H118" s="157" t="str">
        <f t="shared" ca="1" si="5"/>
        <v>South</v>
      </c>
      <c r="I118">
        <v>33235.979698513707</v>
      </c>
      <c r="J118">
        <v>3.4261987068506659</v>
      </c>
      <c r="K118">
        <v>3.0054701591666269</v>
      </c>
      <c r="L118">
        <v>4.3975761862166873</v>
      </c>
      <c r="M118">
        <v>80354.119314906406</v>
      </c>
      <c r="N118" s="82">
        <v>95</v>
      </c>
      <c r="O118">
        <v>66.594806151063665</v>
      </c>
      <c r="P1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18" t="str">
        <f t="shared" ca="1" si="6"/>
        <v>TV</v>
      </c>
      <c r="R118" s="157">
        <f>automotive_demand_forecasting_dataset567[[#This Row],[Units_Sold]]*automotive_demand_forecasting_dataset567[[#This Row],[Average_Price]]</f>
        <v>3955081.5841231314</v>
      </c>
      <c r="S118" t="str">
        <f t="shared" ca="1" si="7"/>
        <v>OK</v>
      </c>
    </row>
    <row r="119" spans="1:19">
      <c r="A119" s="1">
        <v>45245</v>
      </c>
      <c r="B119" t="s">
        <v>11</v>
      </c>
      <c r="C119" t="str">
        <f>TEXT(automotive_demand_forecasting_dataset567[[#This Row],[Date]],"mmmm")</f>
        <v>November</v>
      </c>
      <c r="D119" t="str">
        <f>CHOOSE(MATCH(MONTH(A119), {1,4,7,10}), "Winter", "Spring", "Summer", "Autumn")</f>
        <v>Autumn</v>
      </c>
      <c r="E119">
        <f>YEAR(automotive_demand_forecasting_dataset567[[#This Row],[Date]])</f>
        <v>2023</v>
      </c>
      <c r="F119">
        <v>102</v>
      </c>
      <c r="G119">
        <f>(automotive_demand_forecasting_dataset567[[#This Row],[Units_Sold]] -$C$4) / $C$5</f>
        <v>0.27657110934951373</v>
      </c>
      <c r="H119" t="str">
        <f t="shared" ca="1" si="5"/>
        <v>North</v>
      </c>
      <c r="I119">
        <v>27584.067688503128</v>
      </c>
      <c r="J119">
        <v>3.266981749065879</v>
      </c>
      <c r="K119">
        <v>3.56020990749888</v>
      </c>
      <c r="L119">
        <v>4.9991598236738986</v>
      </c>
      <c r="M119">
        <f>128897.2893</f>
        <v>128897.2893</v>
      </c>
      <c r="N119" s="82">
        <v>92</v>
      </c>
      <c r="O119">
        <v>34.927207749853402</v>
      </c>
      <c r="P1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19" t="str">
        <f t="shared" ca="1" si="6"/>
        <v>Radio</v>
      </c>
      <c r="R119">
        <f>automotive_demand_forecasting_dataset567[[#This Row],[Units_Sold]]*automotive_demand_forecasting_dataset567[[#This Row],[Average_Price]]</f>
        <v>2813574.9042273192</v>
      </c>
      <c r="S119" t="str">
        <f t="shared" ca="1" si="7"/>
        <v>OK</v>
      </c>
    </row>
    <row r="120" spans="1:19">
      <c r="A120" s="1">
        <v>45275</v>
      </c>
      <c r="B120" t="s">
        <v>12</v>
      </c>
      <c r="C120" t="str">
        <f>TEXT(automotive_demand_forecasting_dataset567[[#This Row],[Date]],"mmmm")</f>
        <v>December</v>
      </c>
      <c r="D120" t="str">
        <f>CHOOSE(MATCH(MONTH(A120), {1,4,7,10}), "Winter", "Spring", "Summer", "Autumn")</f>
        <v>Autumn</v>
      </c>
      <c r="E120">
        <f>YEAR(automotive_demand_forecasting_dataset567[[#This Row],[Date]])</f>
        <v>2023</v>
      </c>
      <c r="F120">
        <v>87</v>
      </c>
      <c r="G120">
        <f>(automotive_demand_forecasting_dataset567[[#This Row],[Units_Sold]] -$C$4) / $C$5</f>
        <v>-1.2599350537033389</v>
      </c>
      <c r="H120" t="str">
        <f t="shared" ca="1" si="5"/>
        <v>South</v>
      </c>
      <c r="I120">
        <v>37869.933816450168</v>
      </c>
      <c r="J120">
        <v>2.7026484663666022</v>
      </c>
      <c r="K120">
        <f>3.224108373</f>
        <v>3.224108373</v>
      </c>
      <c r="L120">
        <v>5.1458921029145124</v>
      </c>
      <c r="M120">
        <v>108937.45001605396</v>
      </c>
      <c r="N120" s="82">
        <v>90</v>
      </c>
      <c r="O120">
        <v>35.058575981523646</v>
      </c>
      <c r="P1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20" t="str">
        <f t="shared" ca="1" si="6"/>
        <v>Online</v>
      </c>
      <c r="R120">
        <f>automotive_demand_forecasting_dataset567[[#This Row],[Units_Sold]]*automotive_demand_forecasting_dataset567[[#This Row],[Average_Price]]</f>
        <v>3294684.2420311645</v>
      </c>
      <c r="S120" t="str">
        <f t="shared" ca="1" si="7"/>
        <v>OK</v>
      </c>
    </row>
    <row r="121" spans="1:19">
      <c r="A121" s="1">
        <v>45305</v>
      </c>
      <c r="B121" t="s">
        <v>12</v>
      </c>
      <c r="C121" t="str">
        <f>TEXT(automotive_demand_forecasting_dataset567[[#This Row],[Date]],"mmmm")</f>
        <v>January</v>
      </c>
      <c r="D121" t="str">
        <f>CHOOSE(MATCH(MONTH(A121), {1,4,7,10}), "Winter", "Spring", "Summer", "Autumn")</f>
        <v>Winter</v>
      </c>
      <c r="E121">
        <f>YEAR(automotive_demand_forecasting_dataset567[[#This Row],[Date]])</f>
        <v>2024</v>
      </c>
      <c r="F121">
        <v>113</v>
      </c>
      <c r="G121">
        <f>(automotive_demand_forecasting_dataset567[[#This Row],[Units_Sold]] -$C$4) / $C$5</f>
        <v>1.4033422955882724</v>
      </c>
      <c r="H121" t="str">
        <f t="shared" ca="1" si="5"/>
        <v>West</v>
      </c>
      <c r="I121">
        <v>23871.171684988294</v>
      </c>
      <c r="J121">
        <v>3.7568000532848584</v>
      </c>
      <c r="K121">
        <v>2.892415967178767</v>
      </c>
      <c r="L121">
        <v>6.6709800632136513</v>
      </c>
      <c r="M121">
        <v>93149.015982844707</v>
      </c>
      <c r="N121" s="82">
        <v>88</v>
      </c>
      <c r="O121">
        <v>34.739892125813938</v>
      </c>
      <c r="P1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21" t="str">
        <f t="shared" ca="1" si="6"/>
        <v>Online</v>
      </c>
      <c r="R121">
        <f>automotive_demand_forecasting_dataset567[[#This Row],[Units_Sold]]*automotive_demand_forecasting_dataset567[[#This Row],[Average_Price]]</f>
        <v>2697442.400403677</v>
      </c>
      <c r="S121" t="str">
        <f t="shared" ca="1" si="7"/>
        <v>OK</v>
      </c>
    </row>
    <row r="122" spans="1:19">
      <c r="A122" s="1">
        <v>45335</v>
      </c>
      <c r="B122" t="s">
        <v>13</v>
      </c>
      <c r="C122" t="str">
        <f>TEXT(automotive_demand_forecasting_dataset567[[#This Row],[Date]],"mmmm")</f>
        <v>February</v>
      </c>
      <c r="D122" t="str">
        <f>CHOOSE(MATCH(MONTH(A122), {1,4,7,10}), "Winter", "Spring", "Summer", "Autumn")</f>
        <v>Winter</v>
      </c>
      <c r="E122">
        <f>YEAR(automotive_demand_forecasting_dataset567[[#This Row],[Date]])</f>
        <v>2024</v>
      </c>
      <c r="F122">
        <v>106</v>
      </c>
      <c r="G122">
        <f>(automotive_demand_forecasting_dataset567[[#This Row],[Units_Sold]] -$C$4) / $C$5</f>
        <v>0.68630608616360778</v>
      </c>
      <c r="H122" t="str">
        <f t="shared" ca="1" si="5"/>
        <v>North</v>
      </c>
      <c r="I122">
        <v>22678.125598950901</v>
      </c>
      <c r="J122">
        <v>3.2336495801690441</v>
      </c>
      <c r="K122">
        <v>1.9910363742925012</v>
      </c>
      <c r="L122">
        <v>6.6021453327308963</v>
      </c>
      <c r="M122">
        <v>103409.27541993142</v>
      </c>
      <c r="N122" s="82">
        <f>111.9136842</f>
        <v>111.91368420000001</v>
      </c>
      <c r="O122">
        <v>24.560191004154717</v>
      </c>
      <c r="P1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22" t="str">
        <f t="shared" ca="1" si="6"/>
        <v>Radio</v>
      </c>
      <c r="R122">
        <f>automotive_demand_forecasting_dataset567[[#This Row],[Units_Sold]]*automotive_demand_forecasting_dataset567[[#This Row],[Average_Price]]</f>
        <v>2403881.3134887954</v>
      </c>
      <c r="S122" t="str">
        <f t="shared" ca="1" si="7"/>
        <v>OK</v>
      </c>
    </row>
    <row r="123" spans="1:19">
      <c r="A123" s="1">
        <v>45365</v>
      </c>
      <c r="B123" t="s">
        <v>14</v>
      </c>
      <c r="C123" t="str">
        <f>TEXT(automotive_demand_forecasting_dataset567[[#This Row],[Date]],"mmmm")</f>
        <v>March</v>
      </c>
      <c r="D123" t="str">
        <f>CHOOSE(MATCH(MONTH(A123), {1,4,7,10}), "Winter", "Spring", "Summer", "Autumn")</f>
        <v>Winter</v>
      </c>
      <c r="E123">
        <f>YEAR(automotive_demand_forecasting_dataset567[[#This Row],[Date]])</f>
        <v>2024</v>
      </c>
      <c r="F123">
        <v>96</v>
      </c>
      <c r="G123">
        <f>(automotive_demand_forecasting_dataset567[[#This Row],[Units_Sold]] -$C$4) / $C$5</f>
        <v>-0.33803135587162725</v>
      </c>
      <c r="H123" s="157" t="str">
        <f t="shared" ca="1" si="5"/>
        <v>North</v>
      </c>
      <c r="I123">
        <v>38106.295579999998</v>
      </c>
      <c r="J123">
        <v>2.9150415821448559</v>
      </c>
      <c r="K123">
        <v>2.4744256878080058</v>
      </c>
      <c r="L123">
        <f>6.97388673</f>
        <v>6.9738867300000003</v>
      </c>
      <c r="M123">
        <v>80745.348694307759</v>
      </c>
      <c r="N123" s="82">
        <v>87</v>
      </c>
      <c r="O123">
        <v>67.023875949734787</v>
      </c>
      <c r="P1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23" t="str">
        <f t="shared" ca="1" si="6"/>
        <v>Print</v>
      </c>
      <c r="R123" s="157">
        <f>automotive_demand_forecasting_dataset567[[#This Row],[Units_Sold]]*automotive_demand_forecasting_dataset567[[#This Row],[Average_Price]]</f>
        <v>3658204.3756799996</v>
      </c>
      <c r="S123" t="str">
        <f t="shared" ca="1" si="7"/>
        <v>OK</v>
      </c>
    </row>
    <row r="124" spans="1:19">
      <c r="A124" s="1">
        <v>45395</v>
      </c>
      <c r="B124" t="s">
        <v>10</v>
      </c>
      <c r="C124" t="str">
        <f>TEXT(automotive_demand_forecasting_dataset567[[#This Row],[Date]],"mmmm")</f>
        <v>April</v>
      </c>
      <c r="D124" t="str">
        <f>CHOOSE(MATCH(MONTH(A124), {1,4,7,10}), "Winter", "Spring", "Summer", "Autumn")</f>
        <v>Spring</v>
      </c>
      <c r="E124">
        <f>YEAR(automotive_demand_forecasting_dataset567[[#This Row],[Date]])</f>
        <v>2024</v>
      </c>
      <c r="F124">
        <v>110</v>
      </c>
      <c r="G124">
        <f>(automotive_demand_forecasting_dataset567[[#This Row],[Units_Sold]] -$C$4) / $C$5</f>
        <v>1.0960410629777018</v>
      </c>
      <c r="H124" t="str">
        <f t="shared" ca="1" si="5"/>
        <v>South</v>
      </c>
      <c r="I124">
        <v>35235.49151306077</v>
      </c>
      <c r="J124">
        <v>3.5380713799999999</v>
      </c>
      <c r="K124">
        <v>0.73092409511088174</v>
      </c>
      <c r="L124">
        <v>5.5659209331998181</v>
      </c>
      <c r="M124">
        <v>95867.774406079072</v>
      </c>
      <c r="N124" s="82">
        <v>81</v>
      </c>
      <c r="O124">
        <v>87.227854207080654</v>
      </c>
      <c r="P1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24" t="str">
        <f t="shared" ca="1" si="6"/>
        <v>Print</v>
      </c>
      <c r="R124">
        <f>automotive_demand_forecasting_dataset567[[#This Row],[Units_Sold]]*automotive_demand_forecasting_dataset567[[#This Row],[Average_Price]]</f>
        <v>3875904.0664366847</v>
      </c>
      <c r="S124" t="str">
        <f t="shared" ca="1" si="7"/>
        <v>OK</v>
      </c>
    </row>
    <row r="125" spans="1:19">
      <c r="A125" s="1">
        <v>45425</v>
      </c>
      <c r="B125" t="s">
        <v>10</v>
      </c>
      <c r="C125" t="str">
        <f>TEXT(automotive_demand_forecasting_dataset567[[#This Row],[Date]],"mmmm")</f>
        <v>May</v>
      </c>
      <c r="D125" t="str">
        <f>CHOOSE(MATCH(MONTH(A125), {1,4,7,10}), "Winter", "Spring", "Summer", "Autumn")</f>
        <v>Spring</v>
      </c>
      <c r="E125">
        <f>YEAR(automotive_demand_forecasting_dataset567[[#This Row],[Date]])</f>
        <v>2024</v>
      </c>
      <c r="F125">
        <v>100</v>
      </c>
      <c r="G125">
        <f>(automotive_demand_forecasting_dataset567[[#This Row],[Units_Sold]] -$C$4) / $C$5</f>
        <v>7.1703620942466739E-2</v>
      </c>
      <c r="H125" t="str">
        <f t="shared" ca="1" si="5"/>
        <v>South</v>
      </c>
      <c r="I125">
        <v>38419.638457289344</v>
      </c>
      <c r="J125">
        <v>3.4862425474746819</v>
      </c>
      <c r="K125">
        <v>1.8052868689109418</v>
      </c>
      <c r="L125">
        <v>4.6485041743009932</v>
      </c>
      <c r="M125">
        <v>102916.7736</v>
      </c>
      <c r="N125" s="82">
        <v>105</v>
      </c>
      <c r="O125">
        <v>21.399857118991086</v>
      </c>
      <c r="P1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25" t="str">
        <f t="shared" ca="1" si="6"/>
        <v>Billboards</v>
      </c>
      <c r="R125">
        <f>automotive_demand_forecasting_dataset567[[#This Row],[Units_Sold]]*automotive_demand_forecasting_dataset567[[#This Row],[Average_Price]]</f>
        <v>3841963.8457289343</v>
      </c>
      <c r="S125" t="str">
        <f t="shared" ca="1" si="7"/>
        <v>OK</v>
      </c>
    </row>
    <row r="126" spans="1:19">
      <c r="A126" s="1">
        <v>45455</v>
      </c>
      <c r="B126" t="s">
        <v>10</v>
      </c>
      <c r="C126" t="str">
        <f>TEXT(automotive_demand_forecasting_dataset567[[#This Row],[Date]],"mmmm")</f>
        <v>June</v>
      </c>
      <c r="D126" t="str">
        <f>CHOOSE(MATCH(MONTH(A126), {1,4,7,10}), "Winter", "Spring", "Summer", "Autumn")</f>
        <v>Spring</v>
      </c>
      <c r="E126">
        <f>YEAR(automotive_demand_forecasting_dataset567[[#This Row],[Date]])</f>
        <v>2024</v>
      </c>
      <c r="F126">
        <v>100</v>
      </c>
      <c r="G126">
        <f>(automotive_demand_forecasting_dataset567[[#This Row],[Units_Sold]] -$C$4) / $C$5</f>
        <v>7.1703620942466739E-2</v>
      </c>
      <c r="H126" t="str">
        <f t="shared" ca="1" si="5"/>
        <v>South</v>
      </c>
      <c r="I126">
        <v>27705.578685655299</v>
      </c>
      <c r="J126">
        <v>4.3861257983348718</v>
      </c>
      <c r="K126">
        <v>2.0907175618868958</v>
      </c>
      <c r="L126">
        <v>3.9897941071895984</v>
      </c>
      <c r="M126">
        <v>103139.45921936868</v>
      </c>
      <c r="N126" s="82">
        <v>101</v>
      </c>
      <c r="O126">
        <v>23.920371597701884</v>
      </c>
      <c r="P1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26" t="str">
        <f t="shared" ca="1" si="6"/>
        <v>Print</v>
      </c>
      <c r="R126">
        <f>automotive_demand_forecasting_dataset567[[#This Row],[Units_Sold]]*automotive_demand_forecasting_dataset567[[#This Row],[Average_Price]]</f>
        <v>2770557.8685655301</v>
      </c>
      <c r="S126" t="str">
        <f t="shared" ca="1" si="7"/>
        <v>OK</v>
      </c>
    </row>
    <row r="127" spans="1:19">
      <c r="A127" s="1">
        <v>45485</v>
      </c>
      <c r="B127" t="s">
        <v>12</v>
      </c>
      <c r="C127" t="str">
        <f>TEXT(automotive_demand_forecasting_dataset567[[#This Row],[Date]],"mmmm")</f>
        <v>July</v>
      </c>
      <c r="D127" t="str">
        <f>CHOOSE(MATCH(MONTH(A127), {1,4,7,10}), "Winter", "Spring", "Summer", "Autumn")</f>
        <v>Summer</v>
      </c>
      <c r="E127">
        <f>YEAR(automotive_demand_forecasting_dataset567[[#This Row],[Date]])</f>
        <v>2024</v>
      </c>
      <c r="F127">
        <v>106</v>
      </c>
      <c r="G127">
        <f>(automotive_demand_forecasting_dataset567[[#This Row],[Units_Sold]] -$C$4) / $C$5</f>
        <v>0.68630608616360778</v>
      </c>
      <c r="H127" t="str">
        <f t="shared" ca="1" si="5"/>
        <v>South</v>
      </c>
      <c r="I127">
        <v>35393.404167156477</v>
      </c>
      <c r="J127">
        <v>4.3306296072739352</v>
      </c>
      <c r="K127">
        <v>1.9759116020654075</v>
      </c>
      <c r="L127">
        <v>5.2395795394907552</v>
      </c>
      <c r="M127">
        <v>88269.374608721293</v>
      </c>
      <c r="N127" s="82">
        <v>113</v>
      </c>
      <c r="O127">
        <v>65.82162213495566</v>
      </c>
      <c r="P1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27" t="str">
        <f t="shared" ca="1" si="6"/>
        <v>Online</v>
      </c>
      <c r="R127">
        <f>automotive_demand_forecasting_dataset567[[#This Row],[Units_Sold]]*automotive_demand_forecasting_dataset567[[#This Row],[Average_Price]]</f>
        <v>3751700.8417185866</v>
      </c>
      <c r="S127" t="str">
        <f t="shared" ca="1" si="7"/>
        <v>OK</v>
      </c>
    </row>
    <row r="128" spans="1:19">
      <c r="A128" s="1">
        <v>45515</v>
      </c>
      <c r="B128" t="s">
        <v>12</v>
      </c>
      <c r="C128" t="str">
        <f>TEXT(automotive_demand_forecasting_dataset567[[#This Row],[Date]],"mmmm")</f>
        <v>August</v>
      </c>
      <c r="D128" t="str">
        <f>CHOOSE(MATCH(MONTH(A128), {1,4,7,10}), "Winter", "Spring", "Summer", "Autumn")</f>
        <v>Summer</v>
      </c>
      <c r="E128">
        <f>YEAR(automotive_demand_forecasting_dataset567[[#This Row],[Date]])</f>
        <v>2024</v>
      </c>
      <c r="F128">
        <v>114</v>
      </c>
      <c r="G128">
        <f>(automotive_demand_forecasting_dataset567[[#This Row],[Units_Sold]] -$C$4) / $C$5</f>
        <v>1.5057760397917959</v>
      </c>
      <c r="H128" t="str">
        <f t="shared" ca="1" si="5"/>
        <v>West</v>
      </c>
      <c r="I128">
        <v>29807.457652496465</v>
      </c>
      <c r="J128">
        <v>3.2714518717068639</v>
      </c>
      <c r="K128">
        <v>2.652354872033722</v>
      </c>
      <c r="L128">
        <v>5.1298206538530167</v>
      </c>
      <c r="M128">
        <v>104484.32808581585</v>
      </c>
      <c r="N128" s="82">
        <v>85</v>
      </c>
      <c r="O128">
        <v>85.559654830884185</v>
      </c>
      <c r="P1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28" t="str">
        <f t="shared" ca="1" si="6"/>
        <v>Radio</v>
      </c>
      <c r="R128">
        <f>automotive_demand_forecasting_dataset567[[#This Row],[Units_Sold]]*automotive_demand_forecasting_dataset567[[#This Row],[Average_Price]]</f>
        <v>3398050.1723845969</v>
      </c>
      <c r="S128" t="str">
        <f t="shared" ca="1" si="7"/>
        <v>OK</v>
      </c>
    </row>
    <row r="129" spans="1:19">
      <c r="A129" s="1">
        <v>45545</v>
      </c>
      <c r="B129" t="s">
        <v>14</v>
      </c>
      <c r="C129" t="str">
        <f>TEXT(automotive_demand_forecasting_dataset567[[#This Row],[Date]],"mmmm")</f>
        <v>September</v>
      </c>
      <c r="D129" t="str">
        <f>CHOOSE(MATCH(MONTH(A129), {1,4,7,10}), "Winter", "Spring", "Summer", "Autumn")</f>
        <v>Summer</v>
      </c>
      <c r="E129">
        <f>YEAR(automotive_demand_forecasting_dataset567[[#This Row],[Date]])</f>
        <v>2024</v>
      </c>
      <c r="F129">
        <v>96</v>
      </c>
      <c r="G129">
        <f>(automotive_demand_forecasting_dataset567[[#This Row],[Units_Sold]] -$C$4) / $C$5</f>
        <v>-0.33803135587162725</v>
      </c>
      <c r="H129" s="157" t="str">
        <f t="shared" ca="1" si="5"/>
        <v>West</v>
      </c>
      <c r="I129">
        <v>29136.863500295902</v>
      </c>
      <c r="J129">
        <v>3.1988939698191099</v>
      </c>
      <c r="K129">
        <f>3.224108373</f>
        <v>3.224108373</v>
      </c>
      <c r="L129">
        <v>5.616047043</v>
      </c>
      <c r="M129">
        <v>114292.19581273236</v>
      </c>
      <c r="N129" s="82">
        <v>90</v>
      </c>
      <c r="O129">
        <v>46.139111245490689</v>
      </c>
      <c r="P1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29" t="str">
        <f t="shared" ca="1" si="6"/>
        <v>Billboards</v>
      </c>
      <c r="R129" s="157">
        <f>automotive_demand_forecasting_dataset567[[#This Row],[Units_Sold]]*automotive_demand_forecasting_dataset567[[#This Row],[Average_Price]]</f>
        <v>2797138.8960284065</v>
      </c>
      <c r="S129" t="str">
        <f t="shared" ca="1" si="7"/>
        <v>OK</v>
      </c>
    </row>
    <row r="130" spans="1:19">
      <c r="A130" s="1">
        <v>45575</v>
      </c>
      <c r="B130" t="s">
        <v>13</v>
      </c>
      <c r="C130" t="str">
        <f>TEXT(automotive_demand_forecasting_dataset567[[#This Row],[Date]],"mmmm")</f>
        <v>October</v>
      </c>
      <c r="D130" t="str">
        <f>CHOOSE(MATCH(MONTH(A130), {1,4,7,10}), "Winter", "Spring", "Summer", "Autumn")</f>
        <v>Autumn</v>
      </c>
      <c r="E130">
        <f>YEAR(automotive_demand_forecasting_dataset567[[#This Row],[Date]])</f>
        <v>2024</v>
      </c>
      <c r="F130">
        <v>102</v>
      </c>
      <c r="G130">
        <f>(automotive_demand_forecasting_dataset567[[#This Row],[Units_Sold]] -$C$4) / $C$5</f>
        <v>0.27657110934951373</v>
      </c>
      <c r="H130" t="str">
        <f t="shared" ca="1" si="5"/>
        <v>North</v>
      </c>
      <c r="I130">
        <v>34418.299687433362</v>
      </c>
      <c r="J130">
        <v>3.734387128037512</v>
      </c>
      <c r="K130">
        <v>3.6210306673244714</v>
      </c>
      <c r="L130">
        <v>6.0195517904328355</v>
      </c>
      <c r="M130">
        <v>59001.174428450438</v>
      </c>
      <c r="N130" s="82">
        <v>83</v>
      </c>
      <c r="O130">
        <v>47.969151904617775</v>
      </c>
      <c r="P1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30" t="str">
        <f t="shared" ca="1" si="6"/>
        <v>TV</v>
      </c>
      <c r="R130">
        <f>automotive_demand_forecasting_dataset567[[#This Row],[Units_Sold]]*automotive_demand_forecasting_dataset567[[#This Row],[Average_Price]]</f>
        <v>3510666.568118203</v>
      </c>
      <c r="S130" t="str">
        <f t="shared" ca="1" si="7"/>
        <v>OK</v>
      </c>
    </row>
    <row r="131" spans="1:19">
      <c r="A131" s="1">
        <v>45605</v>
      </c>
      <c r="B131" t="s">
        <v>10</v>
      </c>
      <c r="C131" t="str">
        <f>TEXT(automotive_demand_forecasting_dataset567[[#This Row],[Date]],"mmmm")</f>
        <v>November</v>
      </c>
      <c r="D131" t="str">
        <f>CHOOSE(MATCH(MONTH(A131), {1,4,7,10}), "Winter", "Spring", "Summer", "Autumn")</f>
        <v>Autumn</v>
      </c>
      <c r="E131">
        <f>YEAR(automotive_demand_forecasting_dataset567[[#This Row],[Date]])</f>
        <v>2024</v>
      </c>
      <c r="F131">
        <v>100</v>
      </c>
      <c r="G131">
        <f>(automotive_demand_forecasting_dataset567[[#This Row],[Units_Sold]] -$C$4) / $C$5</f>
        <v>7.1703620942466739E-2</v>
      </c>
      <c r="H131" t="str">
        <f t="shared" ca="1" si="5"/>
        <v>South</v>
      </c>
      <c r="I131">
        <v>33261.614392067095</v>
      </c>
      <c r="J131">
        <v>3.5380713799999999</v>
      </c>
      <c r="K131">
        <v>2.5002070649181971</v>
      </c>
      <c r="L131">
        <v>3.8468589990949154</v>
      </c>
      <c r="M131">
        <v>123181.48129911795</v>
      </c>
      <c r="N131" s="82">
        <v>99</v>
      </c>
      <c r="O131">
        <v>67.70771979974208</v>
      </c>
      <c r="P1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31" t="str">
        <f t="shared" ca="1" si="6"/>
        <v>Online</v>
      </c>
      <c r="R131">
        <f>automotive_demand_forecasting_dataset567[[#This Row],[Units_Sold]]*automotive_demand_forecasting_dataset567[[#This Row],[Average_Price]]</f>
        <v>3326161.4392067096</v>
      </c>
      <c r="S131" t="str">
        <f t="shared" ca="1" si="7"/>
        <v>OK</v>
      </c>
    </row>
    <row r="132" spans="1:19">
      <c r="A132" s="1">
        <v>45635</v>
      </c>
      <c r="B132" t="s">
        <v>14</v>
      </c>
      <c r="C132" t="str">
        <f>TEXT(automotive_demand_forecasting_dataset567[[#This Row],[Date]],"mmmm")</f>
        <v>December</v>
      </c>
      <c r="D132" t="str">
        <f>CHOOSE(MATCH(MONTH(A132), {1,4,7,10}), "Winter", "Spring", "Summer", "Autumn")</f>
        <v>Autumn</v>
      </c>
      <c r="E132">
        <f>YEAR(automotive_demand_forecasting_dataset567[[#This Row],[Date]])</f>
        <v>2024</v>
      </c>
      <c r="F132">
        <v>93</v>
      </c>
      <c r="G132">
        <f>(automotive_demand_forecasting_dataset567[[#This Row],[Units_Sold]] -$C$4) / $C$5</f>
        <v>-0.64533258848219777</v>
      </c>
      <c r="H132" s="157" t="str">
        <f t="shared" ca="1" si="5"/>
        <v>North</v>
      </c>
      <c r="I132">
        <v>22118.039215078752</v>
      </c>
      <c r="J132">
        <v>3.6508959499097329</v>
      </c>
      <c r="K132">
        <v>2.4906996788613855</v>
      </c>
      <c r="L132">
        <v>4.8222711949948689</v>
      </c>
      <c r="M132">
        <v>93274.905226378556</v>
      </c>
      <c r="N132" s="82">
        <v>84</v>
      </c>
      <c r="O132">
        <v>41.937031129931761</v>
      </c>
      <c r="P1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32" t="str">
        <f t="shared" ca="1" si="6"/>
        <v>TV</v>
      </c>
      <c r="R132" s="157">
        <f>automotive_demand_forecasting_dataset567[[#This Row],[Units_Sold]]*automotive_demand_forecasting_dataset567[[#This Row],[Average_Price]]</f>
        <v>2056977.647002324</v>
      </c>
      <c r="S132" t="str">
        <f t="shared" ca="1" si="7"/>
        <v>OK</v>
      </c>
    </row>
    <row r="133" spans="1:19">
      <c r="A133" s="1">
        <v>45665</v>
      </c>
      <c r="B133" t="s">
        <v>14</v>
      </c>
      <c r="C133" t="str">
        <f>TEXT(automotive_demand_forecasting_dataset567[[#This Row],[Date]],"mmmm")</f>
        <v>January</v>
      </c>
      <c r="D133" t="str">
        <f>CHOOSE(MATCH(MONTH(A133), {1,4,7,10}), "Winter", "Spring", "Summer", "Autumn")</f>
        <v>Winter</v>
      </c>
      <c r="E133">
        <f>YEAR(automotive_demand_forecasting_dataset567[[#This Row],[Date]])</f>
        <v>2025</v>
      </c>
      <c r="F133">
        <v>100</v>
      </c>
      <c r="G133">
        <f>(automotive_demand_forecasting_dataset567[[#This Row],[Units_Sold]] -$C$4) / $C$5</f>
        <v>7.1703620942466739E-2</v>
      </c>
      <c r="H133" s="157" t="str">
        <f t="shared" ca="1" si="5"/>
        <v>East</v>
      </c>
      <c r="I133">
        <v>37382.701748629479</v>
      </c>
      <c r="J133">
        <v>3.5380713799999999</v>
      </c>
      <c r="K133">
        <v>2.172105283487082</v>
      </c>
      <c r="L133">
        <v>6.7256599545152778</v>
      </c>
      <c r="M133">
        <v>108509.79866480461</v>
      </c>
      <c r="N133" s="82">
        <f>111.9136842</f>
        <v>111.91368420000001</v>
      </c>
      <c r="O133">
        <v>22.128669286214731</v>
      </c>
      <c r="P1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33" t="str">
        <f t="shared" ca="1" si="6"/>
        <v>Print</v>
      </c>
      <c r="R133" s="157">
        <f>automotive_demand_forecasting_dataset567[[#This Row],[Units_Sold]]*automotive_demand_forecasting_dataset567[[#This Row],[Average_Price]]</f>
        <v>3738270.1748629478</v>
      </c>
      <c r="S133" t="str">
        <f t="shared" ca="1" si="7"/>
        <v>OK</v>
      </c>
    </row>
    <row r="134" spans="1:19">
      <c r="A134" s="1">
        <v>45695</v>
      </c>
      <c r="B134" t="s">
        <v>13</v>
      </c>
      <c r="C134" t="str">
        <f>TEXT(automotive_demand_forecasting_dataset567[[#This Row],[Date]],"mmmm")</f>
        <v>February</v>
      </c>
      <c r="D134" t="str">
        <f>CHOOSE(MATCH(MONTH(A134), {1,4,7,10}), "Winter", "Spring", "Summer", "Autumn")</f>
        <v>Winter</v>
      </c>
      <c r="E134">
        <f>YEAR(automotive_demand_forecasting_dataset567[[#This Row],[Date]])</f>
        <v>2025</v>
      </c>
      <c r="F134">
        <v>111</v>
      </c>
      <c r="G134">
        <f>(automotive_demand_forecasting_dataset567[[#This Row],[Units_Sold]] -$C$4) / $C$5</f>
        <v>1.1984748071812252</v>
      </c>
      <c r="H134" t="str">
        <f t="shared" ca="1" si="5"/>
        <v>East</v>
      </c>
      <c r="I134">
        <v>36900.456770737255</v>
      </c>
      <c r="J134">
        <v>4.1134666119421537</v>
      </c>
      <c r="K134">
        <v>2.6551906838589789</v>
      </c>
      <c r="L134">
        <v>8.0061313274439101</v>
      </c>
      <c r="M134">
        <v>123944.93847290456</v>
      </c>
      <c r="N134" s="82">
        <v>78</v>
      </c>
      <c r="O134">
        <v>78.818281448127692</v>
      </c>
      <c r="P1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34" t="str">
        <f t="shared" ca="1" si="6"/>
        <v>TV</v>
      </c>
      <c r="R134">
        <f>automotive_demand_forecasting_dataset567[[#This Row],[Units_Sold]]*automotive_demand_forecasting_dataset567[[#This Row],[Average_Price]]</f>
        <v>4095950.7015518355</v>
      </c>
      <c r="S134" t="str">
        <f t="shared" ca="1" si="7"/>
        <v>OK</v>
      </c>
    </row>
    <row r="135" spans="1:19">
      <c r="A135" s="1">
        <v>45725</v>
      </c>
      <c r="B135" t="s">
        <v>14</v>
      </c>
      <c r="C135" t="str">
        <f>TEXT(automotive_demand_forecasting_dataset567[[#This Row],[Date]],"mmmm")</f>
        <v>March</v>
      </c>
      <c r="D135" t="str">
        <f>CHOOSE(MATCH(MONTH(A135), {1,4,7,10}), "Winter", "Spring", "Summer", "Autumn")</f>
        <v>Winter</v>
      </c>
      <c r="E135">
        <f>YEAR(automotive_demand_forecasting_dataset567[[#This Row],[Date]])</f>
        <v>2025</v>
      </c>
      <c r="F135">
        <v>87</v>
      </c>
      <c r="G135">
        <f>(automotive_demand_forecasting_dataset567[[#This Row],[Units_Sold]] -$C$4) / $C$5</f>
        <v>-1.2599350537033389</v>
      </c>
      <c r="H135" s="157" t="str">
        <f t="shared" ca="1" si="5"/>
        <v>South</v>
      </c>
      <c r="I135">
        <v>38106.295579999998</v>
      </c>
      <c r="J135">
        <v>3.4499229617600236</v>
      </c>
      <c r="K135">
        <v>3.3250982646676346</v>
      </c>
      <c r="L135">
        <v>3.5968200253144502</v>
      </c>
      <c r="M135">
        <v>72566.526055390685</v>
      </c>
      <c r="N135" s="82">
        <v>110</v>
      </c>
      <c r="O135">
        <v>80.215177969999999</v>
      </c>
      <c r="P1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35" t="str">
        <f t="shared" ca="1" si="6"/>
        <v>Billboards</v>
      </c>
      <c r="R135" s="157">
        <f>automotive_demand_forecasting_dataset567[[#This Row],[Units_Sold]]*automotive_demand_forecasting_dataset567[[#This Row],[Average_Price]]</f>
        <v>3315247.7154599996</v>
      </c>
      <c r="S135" t="str">
        <f t="shared" ca="1" si="7"/>
        <v>OK</v>
      </c>
    </row>
    <row r="136" spans="1:19">
      <c r="A136" s="1">
        <v>45755</v>
      </c>
      <c r="B136" t="s">
        <v>13</v>
      </c>
      <c r="C136" t="str">
        <f>TEXT(automotive_demand_forecasting_dataset567[[#This Row],[Date]],"mmmm")</f>
        <v>April</v>
      </c>
      <c r="D136" t="str">
        <f>CHOOSE(MATCH(MONTH(A136), {1,4,7,10}), "Winter", "Spring", "Summer", "Autumn")</f>
        <v>Spring</v>
      </c>
      <c r="E136">
        <f>YEAR(automotive_demand_forecasting_dataset567[[#This Row],[Date]])</f>
        <v>2025</v>
      </c>
      <c r="F136">
        <v>100</v>
      </c>
      <c r="G136">
        <f>(automotive_demand_forecasting_dataset567[[#This Row],[Units_Sold]] -$C$4) / $C$5</f>
        <v>7.1703620942466739E-2</v>
      </c>
      <c r="H136" t="str">
        <f t="shared" ca="1" si="5"/>
        <v>North</v>
      </c>
      <c r="I136">
        <v>31979.017667187047</v>
      </c>
      <c r="J136">
        <v>3.398163124911517</v>
      </c>
      <c r="K136">
        <v>1.6328697842890998</v>
      </c>
      <c r="L136">
        <v>3.2440907378331461</v>
      </c>
      <c r="M136">
        <v>85811.17995144907</v>
      </c>
      <c r="N136" s="82">
        <v>85</v>
      </c>
      <c r="O136">
        <v>66.460479924452727</v>
      </c>
      <c r="P1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36" t="str">
        <f t="shared" ca="1" si="6"/>
        <v>Online</v>
      </c>
      <c r="R136">
        <f>automotive_demand_forecasting_dataset567[[#This Row],[Units_Sold]]*automotive_demand_forecasting_dataset567[[#This Row],[Average_Price]]</f>
        <v>3197901.7667187047</v>
      </c>
      <c r="S136" t="str">
        <f t="shared" ca="1" si="7"/>
        <v>OK</v>
      </c>
    </row>
    <row r="137" spans="1:19">
      <c r="A137" s="1">
        <v>45785</v>
      </c>
      <c r="B137" t="s">
        <v>11</v>
      </c>
      <c r="C137" t="str">
        <f>TEXT(automotive_demand_forecasting_dataset567[[#This Row],[Date]],"mmmm")</f>
        <v>May</v>
      </c>
      <c r="D137" t="str">
        <f>CHOOSE(MATCH(MONTH(A137), {1,4,7,10}), "Winter", "Spring", "Summer", "Autumn")</f>
        <v>Spring</v>
      </c>
      <c r="E137">
        <f>YEAR(automotive_demand_forecasting_dataset567[[#This Row],[Date]])</f>
        <v>2025</v>
      </c>
      <c r="F137">
        <v>104</v>
      </c>
      <c r="G137">
        <f>(automotive_demand_forecasting_dataset567[[#This Row],[Units_Sold]] -$C$4) / $C$5</f>
        <v>0.48143859775656078</v>
      </c>
      <c r="H137" t="str">
        <f t="shared" ca="1" si="5"/>
        <v>South</v>
      </c>
      <c r="I137">
        <v>32470.150931413693</v>
      </c>
      <c r="J137">
        <v>4.5778345189999996</v>
      </c>
      <c r="K137">
        <v>1.8418835109247433</v>
      </c>
      <c r="L137">
        <v>7.7451582104461387</v>
      </c>
      <c r="M137">
        <v>102916.7736</v>
      </c>
      <c r="N137" s="82">
        <v>94</v>
      </c>
      <c r="O137">
        <v>79.334730319345852</v>
      </c>
      <c r="P1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37" t="str">
        <f t="shared" ca="1" si="6"/>
        <v>Billboards</v>
      </c>
      <c r="R137">
        <f>automotive_demand_forecasting_dataset567[[#This Row],[Units_Sold]]*automotive_demand_forecasting_dataset567[[#This Row],[Average_Price]]</f>
        <v>3376895.6968670241</v>
      </c>
      <c r="S137" t="str">
        <f t="shared" ca="1" si="7"/>
        <v>OK</v>
      </c>
    </row>
    <row r="138" spans="1:19">
      <c r="A138" s="1">
        <v>45815</v>
      </c>
      <c r="B138" t="s">
        <v>13</v>
      </c>
      <c r="C138" t="str">
        <f>TEXT(automotive_demand_forecasting_dataset567[[#This Row],[Date]],"mmmm")</f>
        <v>June</v>
      </c>
      <c r="D138" t="str">
        <f>CHOOSE(MATCH(MONTH(A138), {1,4,7,10}), "Winter", "Spring", "Summer", "Autumn")</f>
        <v>Spring</v>
      </c>
      <c r="E138">
        <f>YEAR(automotive_demand_forecasting_dataset567[[#This Row],[Date]])</f>
        <v>2025</v>
      </c>
      <c r="F138">
        <v>78</v>
      </c>
      <c r="G138">
        <f>(automotive_demand_forecasting_dataset567[[#This Row],[Units_Sold]] -$C$4) / $C$5</f>
        <v>-2.1818387515350506</v>
      </c>
      <c r="H138" t="str">
        <f t="shared" ca="1" si="5"/>
        <v>East</v>
      </c>
      <c r="I138">
        <v>30949.702720000001</v>
      </c>
      <c r="J138">
        <v>3.0865598229800701</v>
      </c>
      <c r="K138">
        <v>2.1962739712233352</v>
      </c>
      <c r="L138">
        <v>5.9675370128450851</v>
      </c>
      <c r="M138">
        <v>84324.92957751143</v>
      </c>
      <c r="N138" s="82">
        <v>77</v>
      </c>
      <c r="O138">
        <v>74.018467004963</v>
      </c>
      <c r="P1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38" t="str">
        <f t="shared" ca="1" si="6"/>
        <v>Billboards</v>
      </c>
      <c r="R138">
        <f>automotive_demand_forecasting_dataset567[[#This Row],[Units_Sold]]*automotive_demand_forecasting_dataset567[[#This Row],[Average_Price]]</f>
        <v>2414076.8121600002</v>
      </c>
      <c r="S138" t="str">
        <f t="shared" ca="1" si="7"/>
        <v>OK</v>
      </c>
    </row>
    <row r="139" spans="1:19">
      <c r="A139" s="1">
        <v>45845</v>
      </c>
      <c r="B139" t="s">
        <v>10</v>
      </c>
      <c r="C139" t="str">
        <f>TEXT(automotive_demand_forecasting_dataset567[[#This Row],[Date]],"mmmm")</f>
        <v>July</v>
      </c>
      <c r="D139" t="str">
        <f>CHOOSE(MATCH(MONTH(A139), {1,4,7,10}), "Winter", "Spring", "Summer", "Autumn")</f>
        <v>Summer</v>
      </c>
      <c r="E139">
        <f>YEAR(automotive_demand_forecasting_dataset567[[#This Row],[Date]])</f>
        <v>2025</v>
      </c>
      <c r="F139">
        <v>101</v>
      </c>
      <c r="G139">
        <f>(automotive_demand_forecasting_dataset567[[#This Row],[Units_Sold]] -$C$4) / $C$5</f>
        <v>0.17413736514599024</v>
      </c>
      <c r="H139" t="str">
        <f t="shared" ref="H139:H202" ca="1" si="9">CHOOSE(RANDBETWEEN(1,4),"North","South","East","West")</f>
        <v>East</v>
      </c>
      <c r="I139">
        <v>27248.474230772899</v>
      </c>
      <c r="J139">
        <v>3.3867605540492365</v>
      </c>
      <c r="K139">
        <v>1.1541290765267851</v>
      </c>
      <c r="L139">
        <v>4.4580487217483604</v>
      </c>
      <c r="M139">
        <v>134698.73151673615</v>
      </c>
      <c r="N139" s="82">
        <v>99</v>
      </c>
      <c r="O139">
        <v>36.470559054265692</v>
      </c>
      <c r="P1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39" t="str">
        <f t="shared" ref="Q139:Q202" ca="1" si="10">CHOOSE(RANDBETWEEN(1,5),"Online","TV","Radio","Print","Billboards")</f>
        <v>Billboards</v>
      </c>
      <c r="R139">
        <f>automotive_demand_forecasting_dataset567[[#This Row],[Units_Sold]]*automotive_demand_forecasting_dataset567[[#This Row],[Average_Price]]</f>
        <v>2752095.8973080628</v>
      </c>
      <c r="S139" t="str">
        <f t="shared" ref="S139:S202" ca="1" si="11">IF(COUNTA(A139:O139)&lt;COLUMNS(A139:O139), "Missing Data", "OK")</f>
        <v>OK</v>
      </c>
    </row>
    <row r="140" spans="1:19">
      <c r="A140" s="1">
        <v>45875</v>
      </c>
      <c r="B140" t="s">
        <v>10</v>
      </c>
      <c r="C140" t="str">
        <f>TEXT(automotive_demand_forecasting_dataset567[[#This Row],[Date]],"mmmm")</f>
        <v>August</v>
      </c>
      <c r="D140" t="str">
        <f>CHOOSE(MATCH(MONTH(A140), {1,4,7,10}), "Winter", "Spring", "Summer", "Autumn")</f>
        <v>Summer</v>
      </c>
      <c r="E140">
        <f>YEAR(automotive_demand_forecasting_dataset567[[#This Row],[Date]])</f>
        <v>2025</v>
      </c>
      <c r="F140">
        <v>100</v>
      </c>
      <c r="G140">
        <f>(automotive_demand_forecasting_dataset567[[#This Row],[Units_Sold]] -$C$4) / $C$5</f>
        <v>7.1703620942466739E-2</v>
      </c>
      <c r="H140" t="str">
        <f t="shared" ca="1" si="9"/>
        <v>West</v>
      </c>
      <c r="I140">
        <v>26641.883160309742</v>
      </c>
      <c r="J140">
        <v>3.6836827534080889</v>
      </c>
      <c r="K140">
        <v>1.6807421402785021</v>
      </c>
      <c r="L140">
        <v>6.1415549033469219</v>
      </c>
      <c r="M140">
        <f>128897.2893</f>
        <v>128897.2893</v>
      </c>
      <c r="N140" s="82">
        <v>85</v>
      </c>
      <c r="O140">
        <v>48.198483755468089</v>
      </c>
      <c r="P1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40" t="str">
        <f t="shared" ca="1" si="10"/>
        <v>TV</v>
      </c>
      <c r="R140">
        <f>automotive_demand_forecasting_dataset567[[#This Row],[Units_Sold]]*automotive_demand_forecasting_dataset567[[#This Row],[Average_Price]]</f>
        <v>2664188.316030974</v>
      </c>
      <c r="S140" t="str">
        <f t="shared" ca="1" si="11"/>
        <v>OK</v>
      </c>
    </row>
    <row r="141" spans="1:19">
      <c r="A141" s="1">
        <v>45905</v>
      </c>
      <c r="B141" t="s">
        <v>13</v>
      </c>
      <c r="C141" t="str">
        <f>TEXT(automotive_demand_forecasting_dataset567[[#This Row],[Date]],"mmmm")</f>
        <v>September</v>
      </c>
      <c r="D141" t="str">
        <f>CHOOSE(MATCH(MONTH(A141), {1,4,7,10}), "Winter", "Spring", "Summer", "Autumn")</f>
        <v>Summer</v>
      </c>
      <c r="E141">
        <f>YEAR(automotive_demand_forecasting_dataset567[[#This Row],[Date]])</f>
        <v>2025</v>
      </c>
      <c r="F141">
        <v>109</v>
      </c>
      <c r="G141">
        <f>(automotive_demand_forecasting_dataset567[[#This Row],[Units_Sold]] -$C$4) / $C$5</f>
        <v>0.99360731877417829</v>
      </c>
      <c r="H141" t="str">
        <f t="shared" ca="1" si="9"/>
        <v>East</v>
      </c>
      <c r="I141">
        <v>29872.229645042775</v>
      </c>
      <c r="J141">
        <v>3.9567923131166247</v>
      </c>
      <c r="K141">
        <v>2.0237791264553411</v>
      </c>
      <c r="L141">
        <v>5.616047043</v>
      </c>
      <c r="M141">
        <v>88889.064410262668</v>
      </c>
      <c r="N141" s="82">
        <v>97</v>
      </c>
      <c r="O141">
        <v>30.08881133429</v>
      </c>
      <c r="P1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41" t="str">
        <f t="shared" ca="1" si="10"/>
        <v>Radio</v>
      </c>
      <c r="R141">
        <f>automotive_demand_forecasting_dataset567[[#This Row],[Units_Sold]]*automotive_demand_forecasting_dataset567[[#This Row],[Average_Price]]</f>
        <v>3256073.0313096624</v>
      </c>
      <c r="S141" t="str">
        <f t="shared" ca="1" si="11"/>
        <v>OK</v>
      </c>
    </row>
    <row r="142" spans="1:19">
      <c r="A142" s="1">
        <v>45935</v>
      </c>
      <c r="B142" t="s">
        <v>11</v>
      </c>
      <c r="C142" t="str">
        <f>TEXT(automotive_demand_forecasting_dataset567[[#This Row],[Date]],"mmmm")</f>
        <v>October</v>
      </c>
      <c r="D142" t="str">
        <f>CHOOSE(MATCH(MONTH(A142), {1,4,7,10}), "Winter", "Spring", "Summer", "Autumn")</f>
        <v>Autumn</v>
      </c>
      <c r="E142">
        <f>YEAR(automotive_demand_forecasting_dataset567[[#This Row],[Date]])</f>
        <v>2025</v>
      </c>
      <c r="F142">
        <v>98</v>
      </c>
      <c r="G142">
        <f>(automotive_demand_forecasting_dataset567[[#This Row],[Units_Sold]] -$C$4) / $C$5</f>
        <v>-0.13316386746458025</v>
      </c>
      <c r="H142" t="str">
        <f t="shared" ca="1" si="9"/>
        <v>West</v>
      </c>
      <c r="I142">
        <v>35863.645096296823</v>
      </c>
      <c r="J142">
        <v>3.0984105246598275</v>
      </c>
      <c r="K142">
        <v>3.3743891807127273</v>
      </c>
      <c r="L142">
        <v>5.504050607916593</v>
      </c>
      <c r="M142">
        <v>104087.78063205954</v>
      </c>
      <c r="N142" s="82">
        <f>111.9136842</f>
        <v>111.91368420000001</v>
      </c>
      <c r="O142">
        <v>30.388561073430481</v>
      </c>
      <c r="P1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42" t="str">
        <f t="shared" ca="1" si="10"/>
        <v>Print</v>
      </c>
      <c r="R142">
        <f>automotive_demand_forecasting_dataset567[[#This Row],[Units_Sold]]*automotive_demand_forecasting_dataset567[[#This Row],[Average_Price]]</f>
        <v>3514637.2194370888</v>
      </c>
      <c r="S142" t="str">
        <f t="shared" ca="1" si="11"/>
        <v>OK</v>
      </c>
    </row>
    <row r="143" spans="1:19">
      <c r="A143" s="1">
        <v>45965</v>
      </c>
      <c r="B143" t="s">
        <v>11</v>
      </c>
      <c r="C143" t="str">
        <f>TEXT(automotive_demand_forecasting_dataset567[[#This Row],[Date]],"mmmm")</f>
        <v>November</v>
      </c>
      <c r="D143" t="str">
        <f>CHOOSE(MATCH(MONTH(A143), {1,4,7,10}), "Winter", "Spring", "Summer", "Autumn")</f>
        <v>Autumn</v>
      </c>
      <c r="E143">
        <f>YEAR(automotive_demand_forecasting_dataset567[[#This Row],[Date]])</f>
        <v>2025</v>
      </c>
      <c r="F143">
        <v>111</v>
      </c>
      <c r="G143">
        <f>(automotive_demand_forecasting_dataset567[[#This Row],[Units_Sold]] -$C$4) / $C$5</f>
        <v>1.1984748071812252</v>
      </c>
      <c r="H143" t="str">
        <f t="shared" ca="1" si="9"/>
        <v>West</v>
      </c>
      <c r="I143">
        <v>32718.000772972162</v>
      </c>
      <c r="J143">
        <v>4.5778345189999996</v>
      </c>
      <c r="K143">
        <v>2.7625613290019251</v>
      </c>
      <c r="L143">
        <v>5.893385407411702</v>
      </c>
      <c r="M143">
        <v>75957.009478478227</v>
      </c>
      <c r="N143" s="82">
        <v>102</v>
      </c>
      <c r="O143">
        <v>74.095659708523129</v>
      </c>
      <c r="P1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43" t="str">
        <f t="shared" ca="1" si="10"/>
        <v>Print</v>
      </c>
      <c r="R143">
        <f>automotive_demand_forecasting_dataset567[[#This Row],[Units_Sold]]*automotive_demand_forecasting_dataset567[[#This Row],[Average_Price]]</f>
        <v>3631698.0857999101</v>
      </c>
      <c r="S143" t="str">
        <f t="shared" ca="1" si="11"/>
        <v>OK</v>
      </c>
    </row>
    <row r="144" spans="1:19">
      <c r="A144" s="1">
        <v>45995</v>
      </c>
      <c r="B144" t="s">
        <v>10</v>
      </c>
      <c r="C144" t="str">
        <f>TEXT(automotive_demand_forecasting_dataset567[[#This Row],[Date]],"mmmm")</f>
        <v>December</v>
      </c>
      <c r="D144" t="str">
        <f>CHOOSE(MATCH(MONTH(A144), {1,4,7,10}), "Winter", "Spring", "Summer", "Autumn")</f>
        <v>Autumn</v>
      </c>
      <c r="E144">
        <f>YEAR(automotive_demand_forecasting_dataset567[[#This Row],[Date]])</f>
        <v>2025</v>
      </c>
      <c r="F144">
        <v>97</v>
      </c>
      <c r="G144">
        <f>(automotive_demand_forecasting_dataset567[[#This Row],[Units_Sold]] -$C$4) / $C$5</f>
        <v>-0.23559761166810378</v>
      </c>
      <c r="H144" t="str">
        <f t="shared" ca="1" si="9"/>
        <v>West</v>
      </c>
      <c r="I144">
        <v>28146.928339569469</v>
      </c>
      <c r="J144">
        <v>3.3644381994787156</v>
      </c>
      <c r="K144">
        <v>2.6935899113675443</v>
      </c>
      <c r="L144">
        <v>6.6091241674453958</v>
      </c>
      <c r="M144">
        <f>128897.2893</f>
        <v>128897.2893</v>
      </c>
      <c r="N144" s="82">
        <v>96</v>
      </c>
      <c r="O144">
        <v>88.688008558599861</v>
      </c>
      <c r="P1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44" t="str">
        <f t="shared" ca="1" si="10"/>
        <v>Online</v>
      </c>
      <c r="R144">
        <f>automotive_demand_forecasting_dataset567[[#This Row],[Units_Sold]]*automotive_demand_forecasting_dataset567[[#This Row],[Average_Price]]</f>
        <v>2730252.0489382385</v>
      </c>
      <c r="S144" t="str">
        <f t="shared" ca="1" si="11"/>
        <v>OK</v>
      </c>
    </row>
    <row r="145" spans="1:19">
      <c r="A145" s="1">
        <v>46025</v>
      </c>
      <c r="B145" t="s">
        <v>11</v>
      </c>
      <c r="C145" t="str">
        <f>TEXT(automotive_demand_forecasting_dataset567[[#This Row],[Date]],"mmmm")</f>
        <v>January</v>
      </c>
      <c r="D145" t="str">
        <f>CHOOSE(MATCH(MONTH(A145), {1,4,7,10}), "Winter", "Spring", "Summer", "Autumn")</f>
        <v>Winter</v>
      </c>
      <c r="E145">
        <f>YEAR(automotive_demand_forecasting_dataset567[[#This Row],[Date]])</f>
        <v>2026</v>
      </c>
      <c r="F145">
        <v>88</v>
      </c>
      <c r="G145">
        <f>(automotive_demand_forecasting_dataset567[[#This Row],[Units_Sold]] -$C$4) / $C$5</f>
        <v>-1.1575013094998152</v>
      </c>
      <c r="H145" t="str">
        <f t="shared" ca="1" si="9"/>
        <v>South</v>
      </c>
      <c r="I145">
        <v>33858.493553241722</v>
      </c>
      <c r="J145">
        <v>3.489316352825782</v>
      </c>
      <c r="K145">
        <v>3.3508979621679722</v>
      </c>
      <c r="L145">
        <v>4.2833248572489548</v>
      </c>
      <c r="M145">
        <v>106349.06522500351</v>
      </c>
      <c r="N145" s="82">
        <v>95</v>
      </c>
      <c r="O145">
        <v>97.018606708891127</v>
      </c>
      <c r="P1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45" t="str">
        <f t="shared" ca="1" si="10"/>
        <v>TV</v>
      </c>
      <c r="R145">
        <f>automotive_demand_forecasting_dataset567[[#This Row],[Units_Sold]]*automotive_demand_forecasting_dataset567[[#This Row],[Average_Price]]</f>
        <v>2979547.4326852714</v>
      </c>
      <c r="S145" t="str">
        <f t="shared" ca="1" si="11"/>
        <v>OK</v>
      </c>
    </row>
    <row r="146" spans="1:19">
      <c r="A146" s="1">
        <v>46055</v>
      </c>
      <c r="B146" t="s">
        <v>14</v>
      </c>
      <c r="C146" t="str">
        <f>TEXT(automotive_demand_forecasting_dataset567[[#This Row],[Date]],"mmmm")</f>
        <v>February</v>
      </c>
      <c r="D146" t="str">
        <f>CHOOSE(MATCH(MONTH(A146), {1,4,7,10}), "Winter", "Spring", "Summer", "Autumn")</f>
        <v>Winter</v>
      </c>
      <c r="E146">
        <f>YEAR(automotive_demand_forecasting_dataset567[[#This Row],[Date]])</f>
        <v>2026</v>
      </c>
      <c r="F146">
        <v>101</v>
      </c>
      <c r="G146">
        <f>(automotive_demand_forecasting_dataset567[[#This Row],[Units_Sold]] -$C$4) / $C$5</f>
        <v>0.17413736514599024</v>
      </c>
      <c r="H146" s="157" t="str">
        <f t="shared" ca="1" si="9"/>
        <v>North</v>
      </c>
      <c r="I146">
        <v>30949.702720000001</v>
      </c>
      <c r="J146">
        <v>3.1263941604260883</v>
      </c>
      <c r="K146">
        <v>2.3626282116006032</v>
      </c>
      <c r="L146">
        <v>5.6028245936840309</v>
      </c>
      <c r="M146">
        <v>93342.79191234977</v>
      </c>
      <c r="N146" s="82">
        <v>103</v>
      </c>
      <c r="O146">
        <v>70.267769403955555</v>
      </c>
      <c r="P1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46" t="str">
        <f t="shared" ca="1" si="10"/>
        <v>Radio</v>
      </c>
      <c r="R146" s="157">
        <f>automotive_demand_forecasting_dataset567[[#This Row],[Units_Sold]]*automotive_demand_forecasting_dataset567[[#This Row],[Average_Price]]</f>
        <v>3125919.9747200003</v>
      </c>
      <c r="S146" t="str">
        <f t="shared" ca="1" si="11"/>
        <v>OK</v>
      </c>
    </row>
    <row r="147" spans="1:19">
      <c r="A147" s="1">
        <v>46085</v>
      </c>
      <c r="B147" t="s">
        <v>12</v>
      </c>
      <c r="C147" t="str">
        <f>TEXT(automotive_demand_forecasting_dataset567[[#This Row],[Date]],"mmmm")</f>
        <v>March</v>
      </c>
      <c r="D147" t="str">
        <f>CHOOSE(MATCH(MONTH(A147), {1,4,7,10}), "Winter", "Spring", "Summer", "Autumn")</f>
        <v>Winter</v>
      </c>
      <c r="E147">
        <f>YEAR(automotive_demand_forecasting_dataset567[[#This Row],[Date]])</f>
        <v>2026</v>
      </c>
      <c r="F147">
        <v>105</v>
      </c>
      <c r="G147">
        <f>(automotive_demand_forecasting_dataset567[[#This Row],[Units_Sold]] -$C$4) / $C$5</f>
        <v>0.58387234196008431</v>
      </c>
      <c r="H147" t="str">
        <f t="shared" ca="1" si="9"/>
        <v>East</v>
      </c>
      <c r="I147">
        <v>35743.828501860517</v>
      </c>
      <c r="J147">
        <v>2.287879869863529</v>
      </c>
      <c r="K147">
        <v>2.8904648499288896</v>
      </c>
      <c r="L147">
        <v>4.3894904487284956</v>
      </c>
      <c r="M147">
        <v>98132.262822001037</v>
      </c>
      <c r="N147" s="82">
        <v>89</v>
      </c>
      <c r="O147">
        <v>34.728105868876554</v>
      </c>
      <c r="P1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47" t="str">
        <f t="shared" ca="1" si="10"/>
        <v>Print</v>
      </c>
      <c r="R147">
        <f>automotive_demand_forecasting_dataset567[[#This Row],[Units_Sold]]*automotive_demand_forecasting_dataset567[[#This Row],[Average_Price]]</f>
        <v>3753101.9926953544</v>
      </c>
      <c r="S147" t="str">
        <f t="shared" ca="1" si="11"/>
        <v>OK</v>
      </c>
    </row>
    <row r="148" spans="1:19">
      <c r="A148" s="1">
        <v>46115</v>
      </c>
      <c r="B148" t="s">
        <v>14</v>
      </c>
      <c r="C148" t="str">
        <f>TEXT(automotive_demand_forecasting_dataset567[[#This Row],[Date]],"mmmm")</f>
        <v>April</v>
      </c>
      <c r="D148" t="str">
        <f>CHOOSE(MATCH(MONTH(A148), {1,4,7,10}), "Winter", "Spring", "Summer", "Autumn")</f>
        <v>Spring</v>
      </c>
      <c r="E148">
        <f>YEAR(automotive_demand_forecasting_dataset567[[#This Row],[Date]])</f>
        <v>2026</v>
      </c>
      <c r="F148">
        <v>102</v>
      </c>
      <c r="G148">
        <f>(automotive_demand_forecasting_dataset567[[#This Row],[Units_Sold]] -$C$4) / $C$5</f>
        <v>0.27657110934951373</v>
      </c>
      <c r="H148" s="157" t="str">
        <f t="shared" ca="1" si="9"/>
        <v>North</v>
      </c>
      <c r="I148">
        <v>21301.4311061095</v>
      </c>
      <c r="J148">
        <v>3.9420226981805246</v>
      </c>
      <c r="K148">
        <v>2.3967782470675036</v>
      </c>
      <c r="L148">
        <v>5.8064605068091808</v>
      </c>
      <c r="M148">
        <v>89413.357751032585</v>
      </c>
      <c r="N148" s="82">
        <v>87</v>
      </c>
      <c r="O148">
        <v>28.452027635914455</v>
      </c>
      <c r="P1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48" t="str">
        <f t="shared" ca="1" si="10"/>
        <v>Online</v>
      </c>
      <c r="R148" s="157">
        <f>automotive_demand_forecasting_dataset567[[#This Row],[Units_Sold]]*automotive_demand_forecasting_dataset567[[#This Row],[Average_Price]]</f>
        <v>2172745.9728231691</v>
      </c>
      <c r="S148" t="str">
        <f t="shared" ca="1" si="11"/>
        <v>OK</v>
      </c>
    </row>
    <row r="149" spans="1:19">
      <c r="A149" s="1">
        <v>46145</v>
      </c>
      <c r="B149" t="s">
        <v>10</v>
      </c>
      <c r="C149" t="str">
        <f>TEXT(automotive_demand_forecasting_dataset567[[#This Row],[Date]],"mmmm")</f>
        <v>May</v>
      </c>
      <c r="D149" t="str">
        <f>CHOOSE(MATCH(MONTH(A149), {1,4,7,10}), "Winter", "Spring", "Summer", "Autumn")</f>
        <v>Spring</v>
      </c>
      <c r="E149">
        <f>YEAR(automotive_demand_forecasting_dataset567[[#This Row],[Date]])</f>
        <v>2026</v>
      </c>
      <c r="F149">
        <v>98</v>
      </c>
      <c r="G149">
        <f>(automotive_demand_forecasting_dataset567[[#This Row],[Units_Sold]] -$C$4) / $C$5</f>
        <v>-0.13316386746458025</v>
      </c>
      <c r="H149" t="str">
        <f t="shared" ca="1" si="9"/>
        <v>East</v>
      </c>
      <c r="I149">
        <v>28187.795292984338</v>
      </c>
      <c r="J149">
        <v>3.8684219485462168</v>
      </c>
      <c r="K149">
        <v>2.7653623493996284</v>
      </c>
      <c r="L149">
        <v>4.4255844131643709</v>
      </c>
      <c r="M149">
        <v>69710.593816384659</v>
      </c>
      <c r="N149" s="82">
        <v>101</v>
      </c>
      <c r="O149">
        <v>85.028077722940623</v>
      </c>
      <c r="P1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49" t="str">
        <f t="shared" ca="1" si="10"/>
        <v>Print</v>
      </c>
      <c r="R149">
        <f>automotive_demand_forecasting_dataset567[[#This Row],[Units_Sold]]*automotive_demand_forecasting_dataset567[[#This Row],[Average_Price]]</f>
        <v>2762403.9387124651</v>
      </c>
      <c r="S149" t="str">
        <f t="shared" ca="1" si="11"/>
        <v>OK</v>
      </c>
    </row>
    <row r="150" spans="1:19">
      <c r="A150" s="1">
        <v>46175</v>
      </c>
      <c r="B150" t="s">
        <v>11</v>
      </c>
      <c r="C150" t="str">
        <f>TEXT(automotive_demand_forecasting_dataset567[[#This Row],[Date]],"mmmm")</f>
        <v>June</v>
      </c>
      <c r="D150" t="str">
        <f>CHOOSE(MATCH(MONTH(A150), {1,4,7,10}), "Winter", "Spring", "Summer", "Autumn")</f>
        <v>Spring</v>
      </c>
      <c r="E150">
        <f>YEAR(automotive_demand_forecasting_dataset567[[#This Row],[Date]])</f>
        <v>2026</v>
      </c>
      <c r="F150">
        <v>96</v>
      </c>
      <c r="G150">
        <f>(automotive_demand_forecasting_dataset567[[#This Row],[Units_Sold]] -$C$4) / $C$5</f>
        <v>-0.33803135587162725</v>
      </c>
      <c r="H150" t="str">
        <f t="shared" ca="1" si="9"/>
        <v>West</v>
      </c>
      <c r="I150">
        <v>24401.650526869282</v>
      </c>
      <c r="J150">
        <v>3.5380713799999999</v>
      </c>
      <c r="K150">
        <v>1.9172413423884178</v>
      </c>
      <c r="L150">
        <f>6.97388673</f>
        <v>6.9738867300000003</v>
      </c>
      <c r="M150">
        <v>106431.86422678478</v>
      </c>
      <c r="N150" s="82">
        <v>80</v>
      </c>
      <c r="O150">
        <v>66.300518108799935</v>
      </c>
      <c r="P1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50" t="str">
        <f t="shared" ca="1" si="10"/>
        <v>Radio</v>
      </c>
      <c r="R150">
        <f>automotive_demand_forecasting_dataset567[[#This Row],[Units_Sold]]*automotive_demand_forecasting_dataset567[[#This Row],[Average_Price]]</f>
        <v>2342558.4505794509</v>
      </c>
      <c r="S150" t="str">
        <f t="shared" ca="1" si="11"/>
        <v>OK</v>
      </c>
    </row>
    <row r="151" spans="1:19">
      <c r="A151" s="1">
        <v>46205</v>
      </c>
      <c r="B151" t="s">
        <v>13</v>
      </c>
      <c r="C151" t="str">
        <f>TEXT(automotive_demand_forecasting_dataset567[[#This Row],[Date]],"mmmm")</f>
        <v>July</v>
      </c>
      <c r="D151" t="str">
        <f>CHOOSE(MATCH(MONTH(A151), {1,4,7,10}), "Winter", "Spring", "Summer", "Autumn")</f>
        <v>Summer</v>
      </c>
      <c r="E151">
        <f>YEAR(automotive_demand_forecasting_dataset567[[#This Row],[Date]])</f>
        <v>2026</v>
      </c>
      <c r="F151">
        <v>76</v>
      </c>
      <c r="G151">
        <f>(automotive_demand_forecasting_dataset567[[#This Row],[Units_Sold]] -$C$4) / $C$5</f>
        <v>-2.3867062399420975</v>
      </c>
      <c r="H151" t="str">
        <f t="shared" ca="1" si="9"/>
        <v>West</v>
      </c>
      <c r="I151">
        <v>23526.59262139547</v>
      </c>
      <c r="J151">
        <v>3.5380713799999999</v>
      </c>
      <c r="K151">
        <v>2.6520564320000002</v>
      </c>
      <c r="L151">
        <v>4.3050215262517249</v>
      </c>
      <c r="M151">
        <v>135098.66143294482</v>
      </c>
      <c r="N151" s="82">
        <v>90</v>
      </c>
      <c r="O151">
        <v>69.462801681097588</v>
      </c>
      <c r="P1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51" t="str">
        <f t="shared" ca="1" si="10"/>
        <v>Print</v>
      </c>
      <c r="R151">
        <f>automotive_demand_forecasting_dataset567[[#This Row],[Units_Sold]]*automotive_demand_forecasting_dataset567[[#This Row],[Average_Price]]</f>
        <v>1788021.0392260556</v>
      </c>
      <c r="S151" t="str">
        <f t="shared" ca="1" si="11"/>
        <v>OK</v>
      </c>
    </row>
    <row r="152" spans="1:19">
      <c r="A152" s="1">
        <v>46235</v>
      </c>
      <c r="B152" t="s">
        <v>12</v>
      </c>
      <c r="C152" t="str">
        <f>TEXT(automotive_demand_forecasting_dataset567[[#This Row],[Date]],"mmmm")</f>
        <v>August</v>
      </c>
      <c r="D152" t="str">
        <f>CHOOSE(MATCH(MONTH(A152), {1,4,7,10}), "Winter", "Spring", "Summer", "Autumn")</f>
        <v>Summer</v>
      </c>
      <c r="E152">
        <f>YEAR(automotive_demand_forecasting_dataset567[[#This Row],[Date]])</f>
        <v>2026</v>
      </c>
      <c r="F152">
        <v>112</v>
      </c>
      <c r="G152">
        <f>(automotive_demand_forecasting_dataset567[[#This Row],[Units_Sold]] -$C$4) / $C$5</f>
        <v>1.3009085513847487</v>
      </c>
      <c r="H152" t="str">
        <f t="shared" ca="1" si="9"/>
        <v>West</v>
      </c>
      <c r="I152">
        <v>35804.133936892598</v>
      </c>
      <c r="J152">
        <v>4.5778345189999996</v>
      </c>
      <c r="K152">
        <v>2.3657208378136958</v>
      </c>
      <c r="L152">
        <v>6.2813634901883884</v>
      </c>
      <c r="M152">
        <v>100368.03261566877</v>
      </c>
      <c r="N152" s="82">
        <v>89</v>
      </c>
      <c r="O152">
        <v>82.516967100376746</v>
      </c>
      <c r="P1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52" t="str">
        <f t="shared" ca="1" si="10"/>
        <v>Print</v>
      </c>
      <c r="R152">
        <f>automotive_demand_forecasting_dataset567[[#This Row],[Units_Sold]]*automotive_demand_forecasting_dataset567[[#This Row],[Average_Price]]</f>
        <v>4010063.0009319708</v>
      </c>
      <c r="S152" t="str">
        <f t="shared" ca="1" si="11"/>
        <v>OK</v>
      </c>
    </row>
    <row r="153" spans="1:19">
      <c r="A153" s="1">
        <v>46265</v>
      </c>
      <c r="B153" t="s">
        <v>13</v>
      </c>
      <c r="C153" t="str">
        <f>TEXT(automotive_demand_forecasting_dataset567[[#This Row],[Date]],"mmmm")</f>
        <v>August</v>
      </c>
      <c r="D153" t="str">
        <f>CHOOSE(MATCH(MONTH(A153), {1,4,7,10}), "Winter", "Spring", "Summer", "Autumn")</f>
        <v>Summer</v>
      </c>
      <c r="E153">
        <f>YEAR(automotive_demand_forecasting_dataset567[[#This Row],[Date]])</f>
        <v>2026</v>
      </c>
      <c r="F153">
        <v>99</v>
      </c>
      <c r="G153">
        <f>(automotive_demand_forecasting_dataset567[[#This Row],[Units_Sold]] -$C$4) / $C$5</f>
        <v>-3.0730123261056761E-2</v>
      </c>
      <c r="H153" t="str">
        <f t="shared" ca="1" si="9"/>
        <v>North</v>
      </c>
      <c r="I153">
        <v>27661.493993440545</v>
      </c>
      <c r="J153">
        <v>2.7187270715567289</v>
      </c>
      <c r="K153">
        <v>3.9227481360999401</v>
      </c>
      <c r="L153">
        <v>6.5301413399879982</v>
      </c>
      <c r="M153">
        <f>128897.2893</f>
        <v>128897.2893</v>
      </c>
      <c r="N153" s="82">
        <v>100</v>
      </c>
      <c r="O153">
        <v>76.262178218596119</v>
      </c>
      <c r="P1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53" t="str">
        <f t="shared" ca="1" si="10"/>
        <v>Radio</v>
      </c>
      <c r="R153">
        <f>automotive_demand_forecasting_dataset567[[#This Row],[Units_Sold]]*automotive_demand_forecasting_dataset567[[#This Row],[Average_Price]]</f>
        <v>2738487.9053506139</v>
      </c>
      <c r="S153" t="str">
        <f t="shared" ca="1" si="11"/>
        <v>OK</v>
      </c>
    </row>
    <row r="154" spans="1:19">
      <c r="A154" s="1">
        <v>46295</v>
      </c>
      <c r="B154" t="s">
        <v>10</v>
      </c>
      <c r="C154" t="str">
        <f>TEXT(automotive_demand_forecasting_dataset567[[#This Row],[Date]],"mmmm")</f>
        <v>September</v>
      </c>
      <c r="D154" t="str">
        <f>CHOOSE(MATCH(MONTH(A154), {1,4,7,10}), "Winter", "Spring", "Summer", "Autumn")</f>
        <v>Summer</v>
      </c>
      <c r="E154">
        <f>YEAR(automotive_demand_forecasting_dataset567[[#This Row],[Date]])</f>
        <v>2026</v>
      </c>
      <c r="F154">
        <v>100</v>
      </c>
      <c r="G154">
        <f>(automotive_demand_forecasting_dataset567[[#This Row],[Units_Sold]] -$C$4) / $C$5</f>
        <v>7.1703620942466739E-2</v>
      </c>
      <c r="H154" t="str">
        <f t="shared" ca="1" si="9"/>
        <v>South</v>
      </c>
      <c r="I154">
        <v>31732.519408653578</v>
      </c>
      <c r="J154">
        <v>3.2354736613268527</v>
      </c>
      <c r="K154">
        <v>3.4262154022415925</v>
      </c>
      <c r="L154">
        <v>5.2184553160511031</v>
      </c>
      <c r="M154">
        <v>113854.45510233719</v>
      </c>
      <c r="N154" s="82">
        <v>76</v>
      </c>
      <c r="O154">
        <v>86.756660228487732</v>
      </c>
      <c r="P1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54" t="str">
        <f t="shared" ca="1" si="10"/>
        <v>TV</v>
      </c>
      <c r="R154">
        <f>automotive_demand_forecasting_dataset567[[#This Row],[Units_Sold]]*automotive_demand_forecasting_dataset567[[#This Row],[Average_Price]]</f>
        <v>3173251.9408653579</v>
      </c>
      <c r="S154" t="str">
        <f t="shared" ca="1" si="11"/>
        <v>OK</v>
      </c>
    </row>
    <row r="155" spans="1:19">
      <c r="A155" s="1">
        <v>46325</v>
      </c>
      <c r="B155" t="s">
        <v>11</v>
      </c>
      <c r="C155" t="str">
        <f>TEXT(automotive_demand_forecasting_dataset567[[#This Row],[Date]],"mmmm")</f>
        <v>October</v>
      </c>
      <c r="D155" t="str">
        <f>CHOOSE(MATCH(MONTH(A155), {1,4,7,10}), "Winter", "Spring", "Summer", "Autumn")</f>
        <v>Autumn</v>
      </c>
      <c r="E155">
        <f>YEAR(automotive_demand_forecasting_dataset567[[#This Row],[Date]])</f>
        <v>2026</v>
      </c>
      <c r="F155">
        <v>89</v>
      </c>
      <c r="G155">
        <f>(automotive_demand_forecasting_dataset567[[#This Row],[Units_Sold]] -$C$4) / $C$5</f>
        <v>-1.0550675652962918</v>
      </c>
      <c r="H155" t="str">
        <f t="shared" ca="1" si="9"/>
        <v>North</v>
      </c>
      <c r="I155">
        <v>29765.397105604079</v>
      </c>
      <c r="J155">
        <v>3.8971323398109137</v>
      </c>
      <c r="K155">
        <v>3.4653974845911706</v>
      </c>
      <c r="L155">
        <v>5.5458855939520344</v>
      </c>
      <c r="M155">
        <v>74613.390069066023</v>
      </c>
      <c r="N155" s="82">
        <v>95</v>
      </c>
      <c r="O155">
        <v>24.497112436790278</v>
      </c>
      <c r="P1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55" t="str">
        <f t="shared" ca="1" si="10"/>
        <v>Radio</v>
      </c>
      <c r="R155">
        <f>automotive_demand_forecasting_dataset567[[#This Row],[Units_Sold]]*automotive_demand_forecasting_dataset567[[#This Row],[Average_Price]]</f>
        <v>2649120.3423987632</v>
      </c>
      <c r="S155" t="str">
        <f t="shared" ca="1" si="11"/>
        <v>OK</v>
      </c>
    </row>
    <row r="156" spans="1:19">
      <c r="A156" s="1">
        <v>46355</v>
      </c>
      <c r="B156" t="s">
        <v>13</v>
      </c>
      <c r="C156" t="str">
        <f>TEXT(automotive_demand_forecasting_dataset567[[#This Row],[Date]],"mmmm")</f>
        <v>November</v>
      </c>
      <c r="D156" t="str">
        <f>CHOOSE(MATCH(MONTH(A156), {1,4,7,10}), "Winter", "Spring", "Summer", "Autumn")</f>
        <v>Autumn</v>
      </c>
      <c r="E156">
        <f>YEAR(automotive_demand_forecasting_dataset567[[#This Row],[Date]])</f>
        <v>2026</v>
      </c>
      <c r="F156">
        <v>100</v>
      </c>
      <c r="G156">
        <f>(automotive_demand_forecasting_dataset567[[#This Row],[Units_Sold]] -$C$4) / $C$5</f>
        <v>7.1703620942466739E-2</v>
      </c>
      <c r="H156" t="str">
        <f t="shared" ca="1" si="9"/>
        <v>North</v>
      </c>
      <c r="I156">
        <v>32385.204136115608</v>
      </c>
      <c r="J156">
        <v>2.8728552884153755</v>
      </c>
      <c r="K156">
        <v>3.7361307218062176</v>
      </c>
      <c r="L156">
        <v>3.7616903024397468</v>
      </c>
      <c r="M156">
        <v>134050.2931625921</v>
      </c>
      <c r="N156" s="82">
        <v>86</v>
      </c>
      <c r="O156">
        <v>79.801650939720389</v>
      </c>
      <c r="P1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56" t="str">
        <f t="shared" ca="1" si="10"/>
        <v>Print</v>
      </c>
      <c r="R156">
        <f>automotive_demand_forecasting_dataset567[[#This Row],[Units_Sold]]*automotive_demand_forecasting_dataset567[[#This Row],[Average_Price]]</f>
        <v>3238520.4136115606</v>
      </c>
      <c r="S156" t="str">
        <f t="shared" ca="1" si="11"/>
        <v>OK</v>
      </c>
    </row>
    <row r="157" spans="1:19">
      <c r="A157" s="1">
        <v>46385</v>
      </c>
      <c r="B157" t="s">
        <v>13</v>
      </c>
      <c r="C157" t="str">
        <f>TEXT(automotive_demand_forecasting_dataset567[[#This Row],[Date]],"mmmm")</f>
        <v>December</v>
      </c>
      <c r="D157" t="str">
        <f>CHOOSE(MATCH(MONTH(A157), {1,4,7,10}), "Winter", "Spring", "Summer", "Autumn")</f>
        <v>Autumn</v>
      </c>
      <c r="E157">
        <f>YEAR(automotive_demand_forecasting_dataset567[[#This Row],[Date]])</f>
        <v>2026</v>
      </c>
      <c r="F157">
        <v>104</v>
      </c>
      <c r="G157">
        <f>(automotive_demand_forecasting_dataset567[[#This Row],[Units_Sold]] -$C$4) / $C$5</f>
        <v>0.48143859775656078</v>
      </c>
      <c r="H157" t="str">
        <f t="shared" ca="1" si="9"/>
        <v>West</v>
      </c>
      <c r="I157">
        <v>30384.109455301277</v>
      </c>
      <c r="J157">
        <v>3.5380713799999999</v>
      </c>
      <c r="K157">
        <v>2.5886575909614375</v>
      </c>
      <c r="L157">
        <v>5.1403880223918552</v>
      </c>
      <c r="M157">
        <v>104046.57592845603</v>
      </c>
      <c r="N157" s="82">
        <v>96</v>
      </c>
      <c r="O157">
        <v>88.068220585767634</v>
      </c>
      <c r="P1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57" t="str">
        <f t="shared" ca="1" si="10"/>
        <v>Print</v>
      </c>
      <c r="R157">
        <f>automotive_demand_forecasting_dataset567[[#This Row],[Units_Sold]]*automotive_demand_forecasting_dataset567[[#This Row],[Average_Price]]</f>
        <v>3159947.383351333</v>
      </c>
      <c r="S157" t="str">
        <f t="shared" ca="1" si="11"/>
        <v>OK</v>
      </c>
    </row>
    <row r="158" spans="1:19">
      <c r="A158" s="1">
        <v>46415</v>
      </c>
      <c r="B158" t="s">
        <v>12</v>
      </c>
      <c r="C158" t="str">
        <f>TEXT(automotive_demand_forecasting_dataset567[[#This Row],[Date]],"mmmm")</f>
        <v>January</v>
      </c>
      <c r="D158" t="str">
        <f>CHOOSE(MATCH(MONTH(A158), {1,4,7,10}), "Winter", "Spring", "Summer", "Autumn")</f>
        <v>Winter</v>
      </c>
      <c r="E158">
        <f>YEAR(automotive_demand_forecasting_dataset567[[#This Row],[Date]])</f>
        <v>2027</v>
      </c>
      <c r="F158">
        <v>96</v>
      </c>
      <c r="G158">
        <f>(automotive_demand_forecasting_dataset567[[#This Row],[Units_Sold]] -$C$4) / $C$5</f>
        <v>-0.33803135587162725</v>
      </c>
      <c r="H158" t="str">
        <f t="shared" ca="1" si="9"/>
        <v>South</v>
      </c>
      <c r="I158">
        <v>23585.038879057152</v>
      </c>
      <c r="J158">
        <v>2.8217090976882977</v>
      </c>
      <c r="K158">
        <v>2.6973157074055956</v>
      </c>
      <c r="L158">
        <v>5.4397544595499063</v>
      </c>
      <c r="M158">
        <v>132637.13798178217</v>
      </c>
      <c r="N158" s="82">
        <v>87</v>
      </c>
      <c r="O158">
        <v>42.890803396665149</v>
      </c>
      <c r="P1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58" t="str">
        <f t="shared" ca="1" si="10"/>
        <v>Billboards</v>
      </c>
      <c r="R158">
        <f>automotive_demand_forecasting_dataset567[[#This Row],[Units_Sold]]*automotive_demand_forecasting_dataset567[[#This Row],[Average_Price]]</f>
        <v>2264163.7323894864</v>
      </c>
      <c r="S158" t="str">
        <f t="shared" ca="1" si="11"/>
        <v>OK</v>
      </c>
    </row>
    <row r="159" spans="1:19">
      <c r="A159" s="1">
        <v>46445</v>
      </c>
      <c r="B159" t="s">
        <v>12</v>
      </c>
      <c r="C159" t="str">
        <f>TEXT(automotive_demand_forecasting_dataset567[[#This Row],[Date]],"mmmm")</f>
        <v>February</v>
      </c>
      <c r="D159" t="str">
        <f>CHOOSE(MATCH(MONTH(A159), {1,4,7,10}), "Winter", "Spring", "Summer", "Autumn")</f>
        <v>Winter</v>
      </c>
      <c r="E159">
        <f>YEAR(automotive_demand_forecasting_dataset567[[#This Row],[Date]])</f>
        <v>2027</v>
      </c>
      <c r="F159">
        <v>100</v>
      </c>
      <c r="G159">
        <f>(automotive_demand_forecasting_dataset567[[#This Row],[Units_Sold]] -$C$4) / $C$5</f>
        <v>7.1703620942466739E-2</v>
      </c>
      <c r="H159" t="str">
        <f t="shared" ca="1" si="9"/>
        <v>East</v>
      </c>
      <c r="I159">
        <v>34981.334097235696</v>
      </c>
      <c r="J159">
        <v>3.7332149912167631</v>
      </c>
      <c r="K159">
        <v>1.8823481045656498</v>
      </c>
      <c r="L159">
        <v>5.616047043</v>
      </c>
      <c r="M159">
        <v>85339.340089520207</v>
      </c>
      <c r="N159" s="82">
        <v>95</v>
      </c>
      <c r="O159">
        <v>71.235781919460237</v>
      </c>
      <c r="P1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59" t="str">
        <f t="shared" ca="1" si="10"/>
        <v>Billboards</v>
      </c>
      <c r="R159">
        <f>automotive_demand_forecasting_dataset567[[#This Row],[Units_Sold]]*automotive_demand_forecasting_dataset567[[#This Row],[Average_Price]]</f>
        <v>3498133.4097235696</v>
      </c>
      <c r="S159" t="str">
        <f t="shared" ca="1" si="11"/>
        <v>OK</v>
      </c>
    </row>
    <row r="160" spans="1:19">
      <c r="A160" s="1">
        <v>46475</v>
      </c>
      <c r="B160" t="s">
        <v>11</v>
      </c>
      <c r="C160" t="str">
        <f>TEXT(automotive_demand_forecasting_dataset567[[#This Row],[Date]],"mmmm")</f>
        <v>March</v>
      </c>
      <c r="D160" t="str">
        <f>CHOOSE(MATCH(MONTH(A160), {1,4,7,10}), "Winter", "Spring", "Summer", "Autumn")</f>
        <v>Winter</v>
      </c>
      <c r="E160">
        <f>YEAR(automotive_demand_forecasting_dataset567[[#This Row],[Date]])</f>
        <v>2027</v>
      </c>
      <c r="F160">
        <v>105</v>
      </c>
      <c r="G160">
        <f>(automotive_demand_forecasting_dataset567[[#This Row],[Units_Sold]] -$C$4) / $C$5</f>
        <v>0.58387234196008431</v>
      </c>
      <c r="H160" t="str">
        <f t="shared" ca="1" si="9"/>
        <v>East</v>
      </c>
      <c r="I160">
        <v>27531.217084193438</v>
      </c>
      <c r="J160">
        <v>3.4821792588512581</v>
      </c>
      <c r="K160">
        <v>2.1839271439729502</v>
      </c>
      <c r="L160">
        <v>4.1656395690710042</v>
      </c>
      <c r="M160">
        <v>136361.2384511565</v>
      </c>
      <c r="N160" s="82">
        <v>83</v>
      </c>
      <c r="O160">
        <v>45.132965106957769</v>
      </c>
      <c r="P1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60" t="str">
        <f t="shared" ca="1" si="10"/>
        <v>Print</v>
      </c>
      <c r="R160">
        <f>automotive_demand_forecasting_dataset567[[#This Row],[Units_Sold]]*automotive_demand_forecasting_dataset567[[#This Row],[Average_Price]]</f>
        <v>2890777.793840311</v>
      </c>
      <c r="S160" t="str">
        <f t="shared" ca="1" si="11"/>
        <v>OK</v>
      </c>
    </row>
    <row r="161" spans="1:19">
      <c r="A161" s="1">
        <v>46505</v>
      </c>
      <c r="B161" t="s">
        <v>12</v>
      </c>
      <c r="C161" t="str">
        <f>TEXT(automotive_demand_forecasting_dataset567[[#This Row],[Date]],"mmmm")</f>
        <v>April</v>
      </c>
      <c r="D161" t="str">
        <f>CHOOSE(MATCH(MONTH(A161), {1,4,7,10}), "Winter", "Spring", "Summer", "Autumn")</f>
        <v>Spring</v>
      </c>
      <c r="E161">
        <f>YEAR(automotive_demand_forecasting_dataset567[[#This Row],[Date]])</f>
        <v>2027</v>
      </c>
      <c r="F161">
        <v>81</v>
      </c>
      <c r="G161">
        <f>(automotive_demand_forecasting_dataset567[[#This Row],[Units_Sold]] -$C$4) / $C$5</f>
        <v>-1.87453751892448</v>
      </c>
      <c r="H161" t="str">
        <f t="shared" ca="1" si="9"/>
        <v>North</v>
      </c>
      <c r="I161">
        <v>22217.090506701243</v>
      </c>
      <c r="J161">
        <v>2.6924340920472454</v>
      </c>
      <c r="K161">
        <v>3.1157711497711418</v>
      </c>
      <c r="L161">
        <v>7.2570126865029252</v>
      </c>
      <c r="M161">
        <v>115503.10988069566</v>
      </c>
      <c r="N161" s="82">
        <v>109</v>
      </c>
      <c r="O161">
        <v>96.637685318596326</v>
      </c>
      <c r="P1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61" t="str">
        <f t="shared" ca="1" si="10"/>
        <v>Billboards</v>
      </c>
      <c r="R161">
        <f>automotive_demand_forecasting_dataset567[[#This Row],[Units_Sold]]*automotive_demand_forecasting_dataset567[[#This Row],[Average_Price]]</f>
        <v>1799584.3310428006</v>
      </c>
      <c r="S161" t="str">
        <f t="shared" ca="1" si="11"/>
        <v>OK</v>
      </c>
    </row>
    <row r="162" spans="1:19">
      <c r="A162" s="1">
        <v>46535</v>
      </c>
      <c r="B162" t="s">
        <v>13</v>
      </c>
      <c r="C162" t="str">
        <f>TEXT(automotive_demand_forecasting_dataset567[[#This Row],[Date]],"mmmm")</f>
        <v>May</v>
      </c>
      <c r="D162" t="str">
        <f>CHOOSE(MATCH(MONTH(A162), {1,4,7,10}), "Winter", "Spring", "Summer", "Autumn")</f>
        <v>Spring</v>
      </c>
      <c r="E162">
        <f>YEAR(automotive_demand_forecasting_dataset567[[#This Row],[Date]])</f>
        <v>2027</v>
      </c>
      <c r="F162">
        <v>120</v>
      </c>
      <c r="G162">
        <f>(automotive_demand_forecasting_dataset567[[#This Row],[Units_Sold]] -$C$4) / $C$5</f>
        <v>2.1203785050129369</v>
      </c>
      <c r="H162" t="str">
        <f t="shared" ca="1" si="9"/>
        <v>West</v>
      </c>
      <c r="I162">
        <v>27859.424195170439</v>
      </c>
      <c r="J162">
        <v>4.082369677228586</v>
      </c>
      <c r="K162">
        <v>3.7038844371688162</v>
      </c>
      <c r="L162">
        <v>6.6962305281589698</v>
      </c>
      <c r="M162">
        <v>111060.80171704717</v>
      </c>
      <c r="N162" s="82">
        <v>98</v>
      </c>
      <c r="O162">
        <v>22.673885794840302</v>
      </c>
      <c r="P1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62" t="str">
        <f t="shared" ca="1" si="10"/>
        <v>Billboards</v>
      </c>
      <c r="R162">
        <f>automotive_demand_forecasting_dataset567[[#This Row],[Units_Sold]]*automotive_demand_forecasting_dataset567[[#This Row],[Average_Price]]</f>
        <v>3343130.9034204525</v>
      </c>
      <c r="S162" t="str">
        <f t="shared" ca="1" si="11"/>
        <v>OK</v>
      </c>
    </row>
    <row r="163" spans="1:19">
      <c r="A163" s="1">
        <v>46565</v>
      </c>
      <c r="B163" t="s">
        <v>13</v>
      </c>
      <c r="C163" t="str">
        <f>TEXT(automotive_demand_forecasting_dataset567[[#This Row],[Date]],"mmmm")</f>
        <v>June</v>
      </c>
      <c r="D163" t="str">
        <f>CHOOSE(MATCH(MONTH(A163), {1,4,7,10}), "Winter", "Spring", "Summer", "Autumn")</f>
        <v>Spring</v>
      </c>
      <c r="E163">
        <f>YEAR(automotive_demand_forecasting_dataset567[[#This Row],[Date]])</f>
        <v>2027</v>
      </c>
      <c r="F163">
        <v>97</v>
      </c>
      <c r="G163">
        <f>(automotive_demand_forecasting_dataset567[[#This Row],[Units_Sold]] -$C$4) / $C$5</f>
        <v>-0.23559761166810378</v>
      </c>
      <c r="H163" t="str">
        <f t="shared" ca="1" si="9"/>
        <v>North</v>
      </c>
      <c r="I163">
        <v>37503.798953171558</v>
      </c>
      <c r="J163">
        <v>3.1327042116009753</v>
      </c>
      <c r="K163">
        <v>2.6520564320000002</v>
      </c>
      <c r="L163">
        <v>5.8367636853881635</v>
      </c>
      <c r="M163">
        <v>104680.48908706296</v>
      </c>
      <c r="N163" s="82">
        <v>78</v>
      </c>
      <c r="O163">
        <v>66.383427506636394</v>
      </c>
      <c r="P1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63" t="str">
        <f t="shared" ca="1" si="10"/>
        <v>Billboards</v>
      </c>
      <c r="R163">
        <f>automotive_demand_forecasting_dataset567[[#This Row],[Units_Sold]]*automotive_demand_forecasting_dataset567[[#This Row],[Average_Price]]</f>
        <v>3637868.4984576409</v>
      </c>
      <c r="S163" t="str">
        <f t="shared" ca="1" si="11"/>
        <v>OK</v>
      </c>
    </row>
    <row r="164" spans="1:19">
      <c r="A164" s="1">
        <v>46595</v>
      </c>
      <c r="B164" t="s">
        <v>10</v>
      </c>
      <c r="C164" t="str">
        <f>TEXT(automotive_demand_forecasting_dataset567[[#This Row],[Date]],"mmmm")</f>
        <v>July</v>
      </c>
      <c r="D164" t="str">
        <f>CHOOSE(MATCH(MONTH(A164), {1,4,7,10}), "Winter", "Spring", "Summer", "Autumn")</f>
        <v>Summer</v>
      </c>
      <c r="E164">
        <f>YEAR(automotive_demand_forecasting_dataset567[[#This Row],[Date]])</f>
        <v>2027</v>
      </c>
      <c r="F164">
        <v>99</v>
      </c>
      <c r="G164">
        <f>(automotive_demand_forecasting_dataset567[[#This Row],[Units_Sold]] -$C$4) / $C$5</f>
        <v>-3.0730123261056761E-2</v>
      </c>
      <c r="H164" t="str">
        <f t="shared" ca="1" si="9"/>
        <v>North</v>
      </c>
      <c r="I164">
        <v>34251.108710567467</v>
      </c>
      <c r="J164">
        <v>3.0948737814928093</v>
      </c>
      <c r="K164">
        <v>2.0498107351485886</v>
      </c>
      <c r="L164">
        <v>7.6103445810341599</v>
      </c>
      <c r="M164">
        <v>95029.427638511013</v>
      </c>
      <c r="N164" s="82">
        <v>91</v>
      </c>
      <c r="O164">
        <v>33.320283763961207</v>
      </c>
      <c r="P1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64" t="str">
        <f t="shared" ca="1" si="10"/>
        <v>Online</v>
      </c>
      <c r="R164">
        <f>automotive_demand_forecasting_dataset567[[#This Row],[Units_Sold]]*automotive_demand_forecasting_dataset567[[#This Row],[Average_Price]]</f>
        <v>3390859.7623461792</v>
      </c>
      <c r="S164" t="str">
        <f t="shared" ca="1" si="11"/>
        <v>OK</v>
      </c>
    </row>
    <row r="165" spans="1:19">
      <c r="A165" s="1">
        <v>46625</v>
      </c>
      <c r="B165" t="s">
        <v>13</v>
      </c>
      <c r="C165" t="str">
        <f>TEXT(automotive_demand_forecasting_dataset567[[#This Row],[Date]],"mmmm")</f>
        <v>August</v>
      </c>
      <c r="D165" t="str">
        <f>CHOOSE(MATCH(MONTH(A165), {1,4,7,10}), "Winter", "Spring", "Summer", "Autumn")</f>
        <v>Summer</v>
      </c>
      <c r="E165">
        <f>YEAR(automotive_demand_forecasting_dataset567[[#This Row],[Date]])</f>
        <v>2027</v>
      </c>
      <c r="F165">
        <v>120</v>
      </c>
      <c r="G165">
        <f>(automotive_demand_forecasting_dataset567[[#This Row],[Units_Sold]] -$C$4) / $C$5</f>
        <v>2.1203785050129369</v>
      </c>
      <c r="H165" t="str">
        <f t="shared" ca="1" si="9"/>
        <v>South</v>
      </c>
      <c r="I165">
        <v>28256.739327960706</v>
      </c>
      <c r="J165">
        <v>3.6002845986154712</v>
      </c>
      <c r="K165">
        <v>2.5005279588565972</v>
      </c>
      <c r="L165">
        <v>5.9465265671282355</v>
      </c>
      <c r="M165">
        <v>124010.63316947746</v>
      </c>
      <c r="N165" s="82">
        <v>86</v>
      </c>
      <c r="O165">
        <v>80.215177969999999</v>
      </c>
      <c r="P1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65" t="str">
        <f t="shared" ca="1" si="10"/>
        <v>Radio</v>
      </c>
      <c r="R165">
        <f>automotive_demand_forecasting_dataset567[[#This Row],[Units_Sold]]*automotive_demand_forecasting_dataset567[[#This Row],[Average_Price]]</f>
        <v>3390808.7193552847</v>
      </c>
      <c r="S165" t="str">
        <f t="shared" ca="1" si="11"/>
        <v>OK</v>
      </c>
    </row>
    <row r="166" spans="1:19">
      <c r="A166" s="1">
        <v>46655</v>
      </c>
      <c r="B166" t="s">
        <v>11</v>
      </c>
      <c r="C166" t="str">
        <f>TEXT(automotive_demand_forecasting_dataset567[[#This Row],[Date]],"mmmm")</f>
        <v>September</v>
      </c>
      <c r="D166" t="str">
        <f>CHOOSE(MATCH(MONTH(A166), {1,4,7,10}), "Winter", "Spring", "Summer", "Autumn")</f>
        <v>Summer</v>
      </c>
      <c r="E166">
        <f>YEAR(automotive_demand_forecasting_dataset567[[#This Row],[Date]])</f>
        <v>2027</v>
      </c>
      <c r="F166">
        <v>90</v>
      </c>
      <c r="G166">
        <f>(automotive_demand_forecasting_dataset567[[#This Row],[Units_Sold]] -$C$4) / $C$5</f>
        <v>-0.95263382109276828</v>
      </c>
      <c r="H166" t="str">
        <f t="shared" ca="1" si="9"/>
        <v>South</v>
      </c>
      <c r="I166">
        <v>28253.711478407855</v>
      </c>
      <c r="J166">
        <v>4.0743186747143572</v>
      </c>
      <c r="K166">
        <v>3.1012067489291146</v>
      </c>
      <c r="L166">
        <v>5.9669910348015147</v>
      </c>
      <c r="M166">
        <v>102807.19739696094</v>
      </c>
      <c r="N166" s="82">
        <v>86</v>
      </c>
      <c r="O166">
        <v>34.071222673492969</v>
      </c>
      <c r="P1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66" t="str">
        <f t="shared" ca="1" si="10"/>
        <v>Billboards</v>
      </c>
      <c r="R166">
        <f>automotive_demand_forecasting_dataset567[[#This Row],[Units_Sold]]*automotive_demand_forecasting_dataset567[[#This Row],[Average_Price]]</f>
        <v>2542834.0330567071</v>
      </c>
      <c r="S166" t="str">
        <f t="shared" ca="1" si="11"/>
        <v>OK</v>
      </c>
    </row>
    <row r="167" spans="1:19">
      <c r="A167" s="1">
        <v>46685</v>
      </c>
      <c r="B167" t="s">
        <v>14</v>
      </c>
      <c r="C167" t="str">
        <f>TEXT(automotive_demand_forecasting_dataset567[[#This Row],[Date]],"mmmm")</f>
        <v>October</v>
      </c>
      <c r="D167" t="str">
        <f>CHOOSE(MATCH(MONTH(A167), {1,4,7,10}), "Winter", "Spring", "Summer", "Autumn")</f>
        <v>Autumn</v>
      </c>
      <c r="E167">
        <f>YEAR(automotive_demand_forecasting_dataset567[[#This Row],[Date]])</f>
        <v>2027</v>
      </c>
      <c r="F167">
        <v>85</v>
      </c>
      <c r="G167">
        <f>(automotive_demand_forecasting_dataset567[[#This Row],[Units_Sold]] -$C$4) / $C$5</f>
        <v>-1.4648025421103859</v>
      </c>
      <c r="H167" s="157" t="str">
        <f t="shared" ca="1" si="9"/>
        <v>North</v>
      </c>
      <c r="I167">
        <v>28391.824743913086</v>
      </c>
      <c r="J167">
        <v>2.9920890905108015</v>
      </c>
      <c r="K167">
        <v>1.0561451838664582</v>
      </c>
      <c r="L167">
        <v>5.4362552163789459</v>
      </c>
      <c r="M167">
        <v>60658.605928256955</v>
      </c>
      <c r="N167" s="82">
        <v>88</v>
      </c>
      <c r="O167">
        <v>38.830660951868609</v>
      </c>
      <c r="P1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67" t="str">
        <f t="shared" ca="1" si="10"/>
        <v>TV</v>
      </c>
      <c r="R167" s="157">
        <f>automotive_demand_forecasting_dataset567[[#This Row],[Units_Sold]]*automotive_demand_forecasting_dataset567[[#This Row],[Average_Price]]</f>
        <v>2413305.1032326124</v>
      </c>
      <c r="S167" t="str">
        <f t="shared" ca="1" si="11"/>
        <v>OK</v>
      </c>
    </row>
    <row r="168" spans="1:19">
      <c r="A168" s="1">
        <v>46715</v>
      </c>
      <c r="B168" t="s">
        <v>10</v>
      </c>
      <c r="C168" t="str">
        <f>TEXT(automotive_demand_forecasting_dataset567[[#This Row],[Date]],"mmmm")</f>
        <v>November</v>
      </c>
      <c r="D168" t="str">
        <f>CHOOSE(MATCH(MONTH(A168), {1,4,7,10}), "Winter", "Spring", "Summer", "Autumn")</f>
        <v>Autumn</v>
      </c>
      <c r="E168">
        <f>YEAR(automotive_demand_forecasting_dataset567[[#This Row],[Date]])</f>
        <v>2027</v>
      </c>
      <c r="F168">
        <v>84</v>
      </c>
      <c r="G168">
        <f>(automotive_demand_forecasting_dataset567[[#This Row],[Units_Sold]] -$C$4) / $C$5</f>
        <v>-1.5672362863139093</v>
      </c>
      <c r="H168" t="str">
        <f t="shared" ca="1" si="9"/>
        <v>East</v>
      </c>
      <c r="I168">
        <v>40383.739917804203</v>
      </c>
      <c r="J168">
        <v>3.5308399249239857</v>
      </c>
      <c r="K168">
        <v>2.6520564320000002</v>
      </c>
      <c r="L168">
        <v>6.9682826589023534</v>
      </c>
      <c r="M168">
        <v>77656.270765859954</v>
      </c>
      <c r="N168" s="82">
        <v>90</v>
      </c>
      <c r="O168">
        <v>59.549664883660647</v>
      </c>
      <c r="P1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68" t="str">
        <f t="shared" ca="1" si="10"/>
        <v>Print</v>
      </c>
      <c r="R168">
        <f>automotive_demand_forecasting_dataset567[[#This Row],[Units_Sold]]*automotive_demand_forecasting_dataset567[[#This Row],[Average_Price]]</f>
        <v>3392234.1530955532</v>
      </c>
      <c r="S168" t="str">
        <f t="shared" ca="1" si="11"/>
        <v>OK</v>
      </c>
    </row>
    <row r="169" spans="1:19">
      <c r="A169" s="1">
        <v>46745</v>
      </c>
      <c r="B169" t="s">
        <v>10</v>
      </c>
      <c r="C169" t="str">
        <f>TEXT(automotive_demand_forecasting_dataset567[[#This Row],[Date]],"mmmm")</f>
        <v>December</v>
      </c>
      <c r="D169" t="str">
        <f>CHOOSE(MATCH(MONTH(A169), {1,4,7,10}), "Winter", "Spring", "Summer", "Autumn")</f>
        <v>Autumn</v>
      </c>
      <c r="E169">
        <f>YEAR(automotive_demand_forecasting_dataset567[[#This Row],[Date]])</f>
        <v>2027</v>
      </c>
      <c r="F169">
        <v>100</v>
      </c>
      <c r="G169">
        <f>(automotive_demand_forecasting_dataset567[[#This Row],[Units_Sold]] -$C$4) / $C$5</f>
        <v>7.1703620942466739E-2</v>
      </c>
      <c r="H169" t="str">
        <f t="shared" ca="1" si="9"/>
        <v>North</v>
      </c>
      <c r="I169">
        <v>31909.677261157765</v>
      </c>
      <c r="J169">
        <v>3.7144082501652864</v>
      </c>
      <c r="K169">
        <v>1.9494631505084166</v>
      </c>
      <c r="L169">
        <v>6.8157630805730607</v>
      </c>
      <c r="M169">
        <v>96283.08495614506</v>
      </c>
      <c r="N169" s="82">
        <v>83</v>
      </c>
      <c r="O169">
        <v>93.186795999750245</v>
      </c>
      <c r="P1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69" t="str">
        <f t="shared" ca="1" si="10"/>
        <v>Radio</v>
      </c>
      <c r="R169">
        <f>automotive_demand_forecasting_dataset567[[#This Row],[Units_Sold]]*automotive_demand_forecasting_dataset567[[#This Row],[Average_Price]]</f>
        <v>3190967.7261157767</v>
      </c>
      <c r="S169" t="str">
        <f t="shared" ca="1" si="11"/>
        <v>OK</v>
      </c>
    </row>
    <row r="170" spans="1:19">
      <c r="A170" s="1">
        <v>46775</v>
      </c>
      <c r="B170" t="s">
        <v>11</v>
      </c>
      <c r="C170" t="str">
        <f>TEXT(automotive_demand_forecasting_dataset567[[#This Row],[Date]],"mmmm")</f>
        <v>January</v>
      </c>
      <c r="D170" t="str">
        <f>CHOOSE(MATCH(MONTH(A170), {1,4,7,10}), "Winter", "Spring", "Summer", "Autumn")</f>
        <v>Winter</v>
      </c>
      <c r="E170">
        <f>YEAR(automotive_demand_forecasting_dataset567[[#This Row],[Date]])</f>
        <v>2028</v>
      </c>
      <c r="F170">
        <v>112</v>
      </c>
      <c r="G170">
        <f>(automotive_demand_forecasting_dataset567[[#This Row],[Units_Sold]] -$C$4) / $C$5</f>
        <v>1.3009085513847487</v>
      </c>
      <c r="H170" t="str">
        <f t="shared" ca="1" si="9"/>
        <v>West</v>
      </c>
      <c r="I170">
        <v>32150.20823595535</v>
      </c>
      <c r="J170">
        <v>3.8465528036315719</v>
      </c>
      <c r="K170">
        <v>1.2792875740858414</v>
      </c>
      <c r="L170">
        <v>4.7491872550045446</v>
      </c>
      <c r="M170">
        <v>106199.9796633111</v>
      </c>
      <c r="N170" s="82">
        <f>111.9136842</f>
        <v>111.91368420000001</v>
      </c>
      <c r="O170">
        <v>36.937149771837667</v>
      </c>
      <c r="P1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70" t="str">
        <f t="shared" ca="1" si="10"/>
        <v>Online</v>
      </c>
      <c r="R170">
        <f>automotive_demand_forecasting_dataset567[[#This Row],[Units_Sold]]*automotive_demand_forecasting_dataset567[[#This Row],[Average_Price]]</f>
        <v>3600823.322426999</v>
      </c>
      <c r="S170" t="str">
        <f t="shared" ca="1" si="11"/>
        <v>OK</v>
      </c>
    </row>
    <row r="171" spans="1:19">
      <c r="A171" s="1">
        <v>46805</v>
      </c>
      <c r="B171" t="s">
        <v>11</v>
      </c>
      <c r="C171" t="str">
        <f>TEXT(automotive_demand_forecasting_dataset567[[#This Row],[Date]],"mmmm")</f>
        <v>February</v>
      </c>
      <c r="D171" t="str">
        <f>CHOOSE(MATCH(MONTH(A171), {1,4,7,10}), "Winter", "Spring", "Summer", "Autumn")</f>
        <v>Winter</v>
      </c>
      <c r="E171">
        <f>YEAR(automotive_demand_forecasting_dataset567[[#This Row],[Date]])</f>
        <v>2028</v>
      </c>
      <c r="F171">
        <v>110</v>
      </c>
      <c r="G171">
        <f>(automotive_demand_forecasting_dataset567[[#This Row],[Units_Sold]] -$C$4) / $C$5</f>
        <v>1.0960410629777018</v>
      </c>
      <c r="H171" t="str">
        <f t="shared" ca="1" si="9"/>
        <v>West</v>
      </c>
      <c r="I171">
        <v>35151.417270159211</v>
      </c>
      <c r="J171">
        <v>3.5882207776386128</v>
      </c>
      <c r="K171">
        <v>1.991859802352689</v>
      </c>
      <c r="L171">
        <v>3.9169033664814794</v>
      </c>
      <c r="M171">
        <v>98868.230222002079</v>
      </c>
      <c r="N171" s="82">
        <v>88</v>
      </c>
      <c r="O171">
        <v>31.539201689448284</v>
      </c>
      <c r="P1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71" t="str">
        <f t="shared" ca="1" si="10"/>
        <v>Print</v>
      </c>
      <c r="R171">
        <f>automotive_demand_forecasting_dataset567[[#This Row],[Units_Sold]]*automotive_demand_forecasting_dataset567[[#This Row],[Average_Price]]</f>
        <v>3866655.899717513</v>
      </c>
      <c r="S171" t="str">
        <f t="shared" ca="1" si="11"/>
        <v>OK</v>
      </c>
    </row>
    <row r="172" spans="1:19">
      <c r="A172" s="1">
        <v>46835</v>
      </c>
      <c r="B172" t="s">
        <v>12</v>
      </c>
      <c r="C172" t="str">
        <f>TEXT(automotive_demand_forecasting_dataset567[[#This Row],[Date]],"mmmm")</f>
        <v>March</v>
      </c>
      <c r="D172" t="str">
        <f>CHOOSE(MATCH(MONTH(A172), {1,4,7,10}), "Winter", "Spring", "Summer", "Autumn")</f>
        <v>Winter</v>
      </c>
      <c r="E172">
        <f>YEAR(automotive_demand_forecasting_dataset567[[#This Row],[Date]])</f>
        <v>2028</v>
      </c>
      <c r="F172">
        <v>86</v>
      </c>
      <c r="G172">
        <f>(automotive_demand_forecasting_dataset567[[#This Row],[Units_Sold]] -$C$4) / $C$5</f>
        <v>-1.3623687979068624</v>
      </c>
      <c r="H172" t="str">
        <f t="shared" ca="1" si="9"/>
        <v>West</v>
      </c>
      <c r="I172">
        <v>31193.945795132568</v>
      </c>
      <c r="J172">
        <v>3.3164860804583389</v>
      </c>
      <c r="K172">
        <v>2.3522196811825284</v>
      </c>
      <c r="L172">
        <v>5.2564232351252116</v>
      </c>
      <c r="M172">
        <v>124379.41579587327</v>
      </c>
      <c r="N172" s="82">
        <v>99</v>
      </c>
      <c r="O172">
        <v>80.718146548322451</v>
      </c>
      <c r="P1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72" t="str">
        <f t="shared" ca="1" si="10"/>
        <v>TV</v>
      </c>
      <c r="R172">
        <f>automotive_demand_forecasting_dataset567[[#This Row],[Units_Sold]]*automotive_demand_forecasting_dataset567[[#This Row],[Average_Price]]</f>
        <v>2682679.3383814008</v>
      </c>
      <c r="S172" t="str">
        <f t="shared" ca="1" si="11"/>
        <v>OK</v>
      </c>
    </row>
    <row r="173" spans="1:19">
      <c r="A173" s="1">
        <v>46865</v>
      </c>
      <c r="B173" t="s">
        <v>10</v>
      </c>
      <c r="C173" t="str">
        <f>TEXT(automotive_demand_forecasting_dataset567[[#This Row],[Date]],"mmmm")</f>
        <v>April</v>
      </c>
      <c r="D173" t="str">
        <f>CHOOSE(MATCH(MONTH(A173), {1,4,7,10}), "Winter", "Spring", "Summer", "Autumn")</f>
        <v>Spring</v>
      </c>
      <c r="E173">
        <f>YEAR(automotive_demand_forecasting_dataset567[[#This Row],[Date]])</f>
        <v>2028</v>
      </c>
      <c r="F173">
        <v>104</v>
      </c>
      <c r="G173">
        <f>(automotive_demand_forecasting_dataset567[[#This Row],[Units_Sold]] -$C$4) / $C$5</f>
        <v>0.48143859775656078</v>
      </c>
      <c r="H173" t="str">
        <f t="shared" ca="1" si="9"/>
        <v>West</v>
      </c>
      <c r="I173">
        <v>30949.702720000001</v>
      </c>
      <c r="J173">
        <v>3.0862048896756402</v>
      </c>
      <c r="K173">
        <v>2.0467515909769864</v>
      </c>
      <c r="L173">
        <v>4.5399537227228244</v>
      </c>
      <c r="M173">
        <v>60977.9627192275</v>
      </c>
      <c r="N173" s="82">
        <v>100</v>
      </c>
      <c r="O173">
        <v>60.04956258671448</v>
      </c>
      <c r="P1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73" t="str">
        <f t="shared" ca="1" si="10"/>
        <v>Print</v>
      </c>
      <c r="R173">
        <f>automotive_demand_forecasting_dataset567[[#This Row],[Units_Sold]]*automotive_demand_forecasting_dataset567[[#This Row],[Average_Price]]</f>
        <v>3218769.0828800001</v>
      </c>
      <c r="S173" t="str">
        <f t="shared" ca="1" si="11"/>
        <v>OK</v>
      </c>
    </row>
    <row r="174" spans="1:19">
      <c r="A174" s="1">
        <v>46895</v>
      </c>
      <c r="B174" t="s">
        <v>12</v>
      </c>
      <c r="C174" t="str">
        <f>TEXT(automotive_demand_forecasting_dataset567[[#This Row],[Date]],"mmmm")</f>
        <v>May</v>
      </c>
      <c r="D174" t="str">
        <f>CHOOSE(MATCH(MONTH(A174), {1,4,7,10}), "Winter", "Spring", "Summer", "Autumn")</f>
        <v>Spring</v>
      </c>
      <c r="E174">
        <f>YEAR(automotive_demand_forecasting_dataset567[[#This Row],[Date]])</f>
        <v>2028</v>
      </c>
      <c r="F174">
        <v>107</v>
      </c>
      <c r="G174">
        <f>(automotive_demand_forecasting_dataset567[[#This Row],[Units_Sold]] -$C$4) / $C$5</f>
        <v>0.78873983036713124</v>
      </c>
      <c r="H174" t="str">
        <f t="shared" ca="1" si="9"/>
        <v>West</v>
      </c>
      <c r="I174">
        <v>29018.250754575107</v>
      </c>
      <c r="J174">
        <v>3.5380713799999999</v>
      </c>
      <c r="K174">
        <v>3.9524675344707454</v>
      </c>
      <c r="L174">
        <v>5.4237705104615737</v>
      </c>
      <c r="M174">
        <v>102871.7587301032</v>
      </c>
      <c r="N174" s="82">
        <v>88</v>
      </c>
      <c r="O174">
        <v>92.942808990541707</v>
      </c>
      <c r="P1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74" t="str">
        <f t="shared" ca="1" si="10"/>
        <v>Online</v>
      </c>
      <c r="R174">
        <f>automotive_demand_forecasting_dataset567[[#This Row],[Units_Sold]]*automotive_demand_forecasting_dataset567[[#This Row],[Average_Price]]</f>
        <v>3104952.8307395363</v>
      </c>
      <c r="S174" t="str">
        <f t="shared" ca="1" si="11"/>
        <v>OK</v>
      </c>
    </row>
    <row r="175" spans="1:19">
      <c r="A175" s="1">
        <v>46925</v>
      </c>
      <c r="B175" t="s">
        <v>13</v>
      </c>
      <c r="C175" t="str">
        <f>TEXT(automotive_demand_forecasting_dataset567[[#This Row],[Date]],"mmmm")</f>
        <v>June</v>
      </c>
      <c r="D175" t="str">
        <f>CHOOSE(MATCH(MONTH(A175), {1,4,7,10}), "Winter", "Spring", "Summer", "Autumn")</f>
        <v>Spring</v>
      </c>
      <c r="E175">
        <f>YEAR(automotive_demand_forecasting_dataset567[[#This Row],[Date]])</f>
        <v>2028</v>
      </c>
      <c r="F175">
        <v>93</v>
      </c>
      <c r="G175">
        <f>(automotive_demand_forecasting_dataset567[[#This Row],[Units_Sold]] -$C$4) / $C$5</f>
        <v>-0.64533258848219777</v>
      </c>
      <c r="H175" t="str">
        <f t="shared" ca="1" si="9"/>
        <v>North</v>
      </c>
      <c r="I175">
        <v>29641.993702929682</v>
      </c>
      <c r="J175">
        <v>2.9639304940071964</v>
      </c>
      <c r="K175">
        <v>2.8267447646023198</v>
      </c>
      <c r="L175">
        <v>6.9849257616209668</v>
      </c>
      <c r="M175">
        <v>63640.415492256907</v>
      </c>
      <c r="N175" s="82">
        <v>83</v>
      </c>
      <c r="O175">
        <v>31.729164572787383</v>
      </c>
      <c r="P1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75" t="str">
        <f t="shared" ca="1" si="10"/>
        <v>Online</v>
      </c>
      <c r="R175">
        <f>automotive_demand_forecasting_dataset567[[#This Row],[Units_Sold]]*automotive_demand_forecasting_dataset567[[#This Row],[Average_Price]]</f>
        <v>2756705.4143724605</v>
      </c>
      <c r="S175" t="str">
        <f t="shared" ca="1" si="11"/>
        <v>OK</v>
      </c>
    </row>
    <row r="176" spans="1:19">
      <c r="A176" s="1">
        <v>46955</v>
      </c>
      <c r="B176" t="s">
        <v>10</v>
      </c>
      <c r="C176" t="str">
        <f>TEXT(automotive_demand_forecasting_dataset567[[#This Row],[Date]],"mmmm")</f>
        <v>July</v>
      </c>
      <c r="D176" t="str">
        <f>CHOOSE(MATCH(MONTH(A176), {1,4,7,10}), "Winter", "Spring", "Summer", "Autumn")</f>
        <v>Summer</v>
      </c>
      <c r="E176">
        <f>YEAR(automotive_demand_forecasting_dataset567[[#This Row],[Date]])</f>
        <v>2028</v>
      </c>
      <c r="F176">
        <v>108</v>
      </c>
      <c r="G176">
        <f>(automotive_demand_forecasting_dataset567[[#This Row],[Units_Sold]] -$C$4) / $C$5</f>
        <v>0.89117357457065483</v>
      </c>
      <c r="H176" t="str">
        <f t="shared" ca="1" si="9"/>
        <v>South</v>
      </c>
      <c r="I176">
        <v>29813.888817450792</v>
      </c>
      <c r="J176">
        <v>3.5380713799999999</v>
      </c>
      <c r="K176">
        <v>2.8004743596108286</v>
      </c>
      <c r="L176">
        <v>4.9512380138958516</v>
      </c>
      <c r="M176">
        <v>115194.24590968336</v>
      </c>
      <c r="N176" s="82">
        <v>90</v>
      </c>
      <c r="O176">
        <v>71.674231441843148</v>
      </c>
      <c r="P1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76" t="str">
        <f t="shared" ca="1" si="10"/>
        <v>Radio</v>
      </c>
      <c r="R176">
        <f>automotive_demand_forecasting_dataset567[[#This Row],[Units_Sold]]*automotive_demand_forecasting_dataset567[[#This Row],[Average_Price]]</f>
        <v>3219899.9922846854</v>
      </c>
      <c r="S176" t="str">
        <f t="shared" ca="1" si="11"/>
        <v>OK</v>
      </c>
    </row>
    <row r="177" spans="1:19">
      <c r="A177" s="1">
        <v>46985</v>
      </c>
      <c r="B177" t="s">
        <v>10</v>
      </c>
      <c r="C177" t="str">
        <f>TEXT(automotive_demand_forecasting_dataset567[[#This Row],[Date]],"mmmm")</f>
        <v>August</v>
      </c>
      <c r="D177" t="str">
        <f>CHOOSE(MATCH(MONTH(A177), {1,4,7,10}), "Winter", "Spring", "Summer", "Autumn")</f>
        <v>Summer</v>
      </c>
      <c r="E177">
        <f>YEAR(automotive_demand_forecasting_dataset567[[#This Row],[Date]])</f>
        <v>2028</v>
      </c>
      <c r="F177">
        <v>96</v>
      </c>
      <c r="G177">
        <f>(automotive_demand_forecasting_dataset567[[#This Row],[Units_Sold]] -$C$4) / $C$5</f>
        <v>-0.33803135587162725</v>
      </c>
      <c r="H177" t="str">
        <f t="shared" ca="1" si="9"/>
        <v>South</v>
      </c>
      <c r="I177">
        <v>33638.147718184897</v>
      </c>
      <c r="J177">
        <v>3.7182799020788337</v>
      </c>
      <c r="K177">
        <v>3.122207144043402</v>
      </c>
      <c r="L177">
        <v>5.4486119424261101</v>
      </c>
      <c r="M177">
        <v>98110.825711159938</v>
      </c>
      <c r="N177" s="82">
        <v>88</v>
      </c>
      <c r="O177">
        <v>38.630331692145205</v>
      </c>
      <c r="P1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77" t="str">
        <f t="shared" ca="1" si="10"/>
        <v>Online</v>
      </c>
      <c r="R177">
        <f>automotive_demand_forecasting_dataset567[[#This Row],[Units_Sold]]*automotive_demand_forecasting_dataset567[[#This Row],[Average_Price]]</f>
        <v>3229262.1809457503</v>
      </c>
      <c r="S177" t="str">
        <f t="shared" ca="1" si="11"/>
        <v>OK</v>
      </c>
    </row>
    <row r="178" spans="1:19">
      <c r="A178" s="1">
        <v>47015</v>
      </c>
      <c r="B178" t="s">
        <v>14</v>
      </c>
      <c r="C178" t="str">
        <f>TEXT(automotive_demand_forecasting_dataset567[[#This Row],[Date]],"mmmm")</f>
        <v>September</v>
      </c>
      <c r="D178" t="str">
        <f>CHOOSE(MATCH(MONTH(A178), {1,4,7,10}), "Winter", "Spring", "Summer", "Autumn")</f>
        <v>Summer</v>
      </c>
      <c r="E178">
        <f>YEAR(automotive_demand_forecasting_dataset567[[#This Row],[Date]])</f>
        <v>2028</v>
      </c>
      <c r="F178">
        <v>95</v>
      </c>
      <c r="G178">
        <f>(automotive_demand_forecasting_dataset567[[#This Row],[Units_Sold]] -$C$4) / $C$5</f>
        <v>-0.44046510007515077</v>
      </c>
      <c r="H178" s="157" t="str">
        <f t="shared" ca="1" si="9"/>
        <v>North</v>
      </c>
      <c r="I178">
        <v>30259.729429036499</v>
      </c>
      <c r="J178">
        <v>3.9519674205430975</v>
      </c>
      <c r="K178">
        <v>1.3611668822192309</v>
      </c>
      <c r="L178">
        <v>5.5696272817700745</v>
      </c>
      <c r="M178">
        <f>128897.2893</f>
        <v>128897.2893</v>
      </c>
      <c r="N178" s="82">
        <v>86</v>
      </c>
      <c r="O178">
        <v>32.540834292131144</v>
      </c>
      <c r="P1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78" t="str">
        <f t="shared" ca="1" si="10"/>
        <v>Radio</v>
      </c>
      <c r="R178" s="157">
        <f>automotive_demand_forecasting_dataset567[[#This Row],[Units_Sold]]*automotive_demand_forecasting_dataset567[[#This Row],[Average_Price]]</f>
        <v>2874674.2957584672</v>
      </c>
      <c r="S178" t="str">
        <f t="shared" ca="1" si="11"/>
        <v>OK</v>
      </c>
    </row>
    <row r="179" spans="1:19">
      <c r="A179" s="1">
        <v>47045</v>
      </c>
      <c r="B179" t="s">
        <v>10</v>
      </c>
      <c r="C179" t="str">
        <f>TEXT(automotive_demand_forecasting_dataset567[[#This Row],[Date]],"mmmm")</f>
        <v>October</v>
      </c>
      <c r="D179" t="str">
        <f>CHOOSE(MATCH(MONTH(A179), {1,4,7,10}), "Winter", "Spring", "Summer", "Autumn")</f>
        <v>Autumn</v>
      </c>
      <c r="E179">
        <f>YEAR(automotive_demand_forecasting_dataset567[[#This Row],[Date]])</f>
        <v>2028</v>
      </c>
      <c r="F179">
        <v>112</v>
      </c>
      <c r="G179">
        <f>(automotive_demand_forecasting_dataset567[[#This Row],[Units_Sold]] -$C$4) / $C$5</f>
        <v>1.3009085513847487</v>
      </c>
      <c r="H179" t="str">
        <f t="shared" ca="1" si="9"/>
        <v>West</v>
      </c>
      <c r="I179">
        <v>33663.200386077893</v>
      </c>
      <c r="J179">
        <v>2.318533782229081</v>
      </c>
      <c r="K179">
        <v>3.5391117874202687</v>
      </c>
      <c r="L179">
        <v>6.5181170586463413</v>
      </c>
      <c r="M179">
        <v>82722.340788204674</v>
      </c>
      <c r="N179" s="82">
        <v>81</v>
      </c>
      <c r="O179">
        <v>74.67435321258165</v>
      </c>
      <c r="P1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79" t="str">
        <f t="shared" ca="1" si="10"/>
        <v>Billboards</v>
      </c>
      <c r="R179">
        <f>automotive_demand_forecasting_dataset567[[#This Row],[Units_Sold]]*automotive_demand_forecasting_dataset567[[#This Row],[Average_Price]]</f>
        <v>3770278.443240724</v>
      </c>
      <c r="S179" t="str">
        <f t="shared" ca="1" si="11"/>
        <v>OK</v>
      </c>
    </row>
    <row r="180" spans="1:19">
      <c r="A180" s="1">
        <v>47075</v>
      </c>
      <c r="B180" t="s">
        <v>13</v>
      </c>
      <c r="C180" t="str">
        <f>TEXT(automotive_demand_forecasting_dataset567[[#This Row],[Date]],"mmmm")</f>
        <v>November</v>
      </c>
      <c r="D180" t="str">
        <f>CHOOSE(MATCH(MONTH(A180), {1,4,7,10}), "Winter", "Spring", "Summer", "Autumn")</f>
        <v>Autumn</v>
      </c>
      <c r="E180">
        <f>YEAR(automotive_demand_forecasting_dataset567[[#This Row],[Date]])</f>
        <v>2028</v>
      </c>
      <c r="F180">
        <v>108</v>
      </c>
      <c r="G180">
        <f>(automotive_demand_forecasting_dataset567[[#This Row],[Units_Sold]] -$C$4) / $C$5</f>
        <v>0.89117357457065483</v>
      </c>
      <c r="H180" t="str">
        <f t="shared" ca="1" si="9"/>
        <v>West</v>
      </c>
      <c r="I180">
        <v>29596.417099457089</v>
      </c>
      <c r="J180">
        <v>2.9951346476450311</v>
      </c>
      <c r="K180">
        <f>3.224108373</f>
        <v>3.224108373</v>
      </c>
      <c r="L180">
        <v>2.8037327992184737</v>
      </c>
      <c r="M180">
        <v>125589.29863315502</v>
      </c>
      <c r="N180" s="82">
        <v>82</v>
      </c>
      <c r="O180">
        <v>67.49476959269866</v>
      </c>
      <c r="P1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80" t="str">
        <f t="shared" ca="1" si="10"/>
        <v>Radio</v>
      </c>
      <c r="R180">
        <f>automotive_demand_forecasting_dataset567[[#This Row],[Units_Sold]]*automotive_demand_forecasting_dataset567[[#This Row],[Average_Price]]</f>
        <v>3196413.0467413655</v>
      </c>
      <c r="S180" t="str">
        <f t="shared" ca="1" si="11"/>
        <v>OK</v>
      </c>
    </row>
    <row r="181" spans="1:19">
      <c r="A181" s="1">
        <v>47105</v>
      </c>
      <c r="B181" t="s">
        <v>12</v>
      </c>
      <c r="C181" t="str">
        <f>TEXT(automotive_demand_forecasting_dataset567[[#This Row],[Date]],"mmmm")</f>
        <v>December</v>
      </c>
      <c r="D181" t="str">
        <f>CHOOSE(MATCH(MONTH(A181), {1,4,7,10}), "Winter", "Spring", "Summer", "Autumn")</f>
        <v>Autumn</v>
      </c>
      <c r="E181">
        <f>YEAR(automotive_demand_forecasting_dataset567[[#This Row],[Date]])</f>
        <v>2028</v>
      </c>
      <c r="F181">
        <v>85</v>
      </c>
      <c r="G181">
        <f>(automotive_demand_forecasting_dataset567[[#This Row],[Units_Sold]] -$C$4) / $C$5</f>
        <v>-1.4648025421103859</v>
      </c>
      <c r="H181" t="str">
        <f t="shared" ca="1" si="9"/>
        <v>West</v>
      </c>
      <c r="I181">
        <v>30393.175951580452</v>
      </c>
      <c r="J181">
        <v>3.8095771305025989</v>
      </c>
      <c r="K181">
        <v>3.1704806172412123</v>
      </c>
      <c r="L181">
        <v>4.771959646281644</v>
      </c>
      <c r="M181">
        <v>120834.49328117703</v>
      </c>
      <c r="N181" s="82">
        <v>106</v>
      </c>
      <c r="O181">
        <v>80.3861966689865</v>
      </c>
      <c r="P1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81" t="str">
        <f t="shared" ca="1" si="10"/>
        <v>Online</v>
      </c>
      <c r="R181">
        <f>automotive_demand_forecasting_dataset567[[#This Row],[Units_Sold]]*automotive_demand_forecasting_dataset567[[#This Row],[Average_Price]]</f>
        <v>2583419.9558843384</v>
      </c>
      <c r="S181" t="str">
        <f t="shared" ca="1" si="11"/>
        <v>OK</v>
      </c>
    </row>
    <row r="182" spans="1:19">
      <c r="A182" s="1">
        <v>47135</v>
      </c>
      <c r="B182" t="s">
        <v>12</v>
      </c>
      <c r="C182" t="str">
        <f>TEXT(automotive_demand_forecasting_dataset567[[#This Row],[Date]],"mmmm")</f>
        <v>January</v>
      </c>
      <c r="D182" t="str">
        <f>CHOOSE(MATCH(MONTH(A182), {1,4,7,10}), "Winter", "Spring", "Summer", "Autumn")</f>
        <v>Winter</v>
      </c>
      <c r="E182">
        <f>YEAR(automotive_demand_forecasting_dataset567[[#This Row],[Date]])</f>
        <v>2029</v>
      </c>
      <c r="F182">
        <v>100</v>
      </c>
      <c r="G182">
        <f>(automotive_demand_forecasting_dataset567[[#This Row],[Units_Sold]] -$C$4) / $C$5</f>
        <v>7.1703620942466739E-2</v>
      </c>
      <c r="H182" t="str">
        <f t="shared" ca="1" si="9"/>
        <v>South</v>
      </c>
      <c r="I182">
        <v>20008.996577339462</v>
      </c>
      <c r="J182">
        <v>3.5380713799999999</v>
      </c>
      <c r="K182">
        <v>1.4281427669598445</v>
      </c>
      <c r="L182">
        <v>5.7535404307353675</v>
      </c>
      <c r="M182">
        <v>111670.88606023775</v>
      </c>
      <c r="N182" s="82">
        <v>97</v>
      </c>
      <c r="O182">
        <v>44.757006115694587</v>
      </c>
      <c r="P1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82" t="str">
        <f t="shared" ca="1" si="10"/>
        <v>TV</v>
      </c>
      <c r="R182">
        <f>automotive_demand_forecasting_dataset567[[#This Row],[Units_Sold]]*automotive_demand_forecasting_dataset567[[#This Row],[Average_Price]]</f>
        <v>2000899.6577339461</v>
      </c>
      <c r="S182" t="str">
        <f t="shared" ca="1" si="11"/>
        <v>OK</v>
      </c>
    </row>
    <row r="183" spans="1:19">
      <c r="A183" s="1">
        <v>47165</v>
      </c>
      <c r="B183" t="s">
        <v>14</v>
      </c>
      <c r="C183" t="str">
        <f>TEXT(automotive_demand_forecasting_dataset567[[#This Row],[Date]],"mmmm")</f>
        <v>February</v>
      </c>
      <c r="D183" t="str">
        <f>CHOOSE(MATCH(MONTH(A183), {1,4,7,10}), "Winter", "Spring", "Summer", "Autumn")</f>
        <v>Winter</v>
      </c>
      <c r="E183">
        <f>YEAR(automotive_demand_forecasting_dataset567[[#This Row],[Date]])</f>
        <v>2029</v>
      </c>
      <c r="F183">
        <v>95</v>
      </c>
      <c r="G183">
        <f>(automotive_demand_forecasting_dataset567[[#This Row],[Units_Sold]] -$C$4) / $C$5</f>
        <v>-0.44046510007515077</v>
      </c>
      <c r="H183" s="157" t="str">
        <f t="shared" ca="1" si="9"/>
        <v>North</v>
      </c>
      <c r="I183">
        <v>34581.638373512411</v>
      </c>
      <c r="J183">
        <v>3.5103968538377042</v>
      </c>
      <c r="K183">
        <v>0.94624123398393567</v>
      </c>
      <c r="L183">
        <f>6.97388673</f>
        <v>6.9738867300000003</v>
      </c>
      <c r="M183">
        <f>128897.2893</f>
        <v>128897.2893</v>
      </c>
      <c r="N183" s="82">
        <v>77</v>
      </c>
      <c r="O183">
        <v>55.837732510575194</v>
      </c>
      <c r="P1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83" t="str">
        <f t="shared" ca="1" si="10"/>
        <v>Online</v>
      </c>
      <c r="R183" s="157">
        <f>automotive_demand_forecasting_dataset567[[#This Row],[Units_Sold]]*automotive_demand_forecasting_dataset567[[#This Row],[Average_Price]]</f>
        <v>3285255.6454836791</v>
      </c>
      <c r="S183" t="str">
        <f t="shared" ca="1" si="11"/>
        <v>OK</v>
      </c>
    </row>
    <row r="184" spans="1:19">
      <c r="A184" s="1">
        <v>47195</v>
      </c>
      <c r="B184" t="s">
        <v>13</v>
      </c>
      <c r="C184" t="str">
        <f>TEXT(automotive_demand_forecasting_dataset567[[#This Row],[Date]],"mmmm")</f>
        <v>March</v>
      </c>
      <c r="D184" t="str">
        <f>CHOOSE(MATCH(MONTH(A184), {1,4,7,10}), "Winter", "Spring", "Summer", "Autumn")</f>
        <v>Winter</v>
      </c>
      <c r="E184">
        <f>YEAR(automotive_demand_forecasting_dataset567[[#This Row],[Date]])</f>
        <v>2029</v>
      </c>
      <c r="F184">
        <v>97</v>
      </c>
      <c r="G184">
        <f>(automotive_demand_forecasting_dataset567[[#This Row],[Units_Sold]] -$C$4) / $C$5</f>
        <v>-0.23559761166810378</v>
      </c>
      <c r="H184" t="str">
        <f t="shared" ca="1" si="9"/>
        <v>North</v>
      </c>
      <c r="I184">
        <v>31732.442379489963</v>
      </c>
      <c r="J184">
        <v>3.1359985293854327</v>
      </c>
      <c r="K184">
        <v>3.3178896580250288</v>
      </c>
      <c r="L184">
        <v>4.9097170629925539</v>
      </c>
      <c r="M184">
        <v>111597.14570590264</v>
      </c>
      <c r="N184" s="82">
        <v>88</v>
      </c>
      <c r="O184">
        <v>52.437734106433481</v>
      </c>
      <c r="P1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84" t="str">
        <f t="shared" ca="1" si="10"/>
        <v>TV</v>
      </c>
      <c r="R184">
        <f>automotive_demand_forecasting_dataset567[[#This Row],[Units_Sold]]*automotive_demand_forecasting_dataset567[[#This Row],[Average_Price]]</f>
        <v>3078046.9108105265</v>
      </c>
      <c r="S184" t="str">
        <f t="shared" ca="1" si="11"/>
        <v>OK</v>
      </c>
    </row>
    <row r="185" spans="1:19">
      <c r="A185" s="1">
        <v>47225</v>
      </c>
      <c r="B185" t="s">
        <v>12</v>
      </c>
      <c r="C185" t="str">
        <f>TEXT(automotive_demand_forecasting_dataset567[[#This Row],[Date]],"mmmm")</f>
        <v>April</v>
      </c>
      <c r="D185" t="str">
        <f>CHOOSE(MATCH(MONTH(A185), {1,4,7,10}), "Winter", "Spring", "Summer", "Autumn")</f>
        <v>Spring</v>
      </c>
      <c r="E185">
        <f>YEAR(automotive_demand_forecasting_dataset567[[#This Row],[Date]])</f>
        <v>2029</v>
      </c>
      <c r="F185">
        <v>116</v>
      </c>
      <c r="G185">
        <f>(automotive_demand_forecasting_dataset567[[#This Row],[Units_Sold]] -$C$4) / $C$5</f>
        <v>1.7106435281988428</v>
      </c>
      <c r="H185" t="str">
        <f t="shared" ca="1" si="9"/>
        <v>West</v>
      </c>
      <c r="I185">
        <v>34990.050549298263</v>
      </c>
      <c r="J185">
        <v>3.4085517794475799</v>
      </c>
      <c r="K185">
        <v>2.8764095260975164</v>
      </c>
      <c r="L185">
        <v>3.2481367527497511</v>
      </c>
      <c r="M185">
        <v>85862.148640253028</v>
      </c>
      <c r="N185" s="82">
        <v>90</v>
      </c>
      <c r="O185">
        <v>65.454227669999995</v>
      </c>
      <c r="P1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85" t="str">
        <f t="shared" ca="1" si="10"/>
        <v>TV</v>
      </c>
      <c r="R185">
        <f>automotive_demand_forecasting_dataset567[[#This Row],[Units_Sold]]*automotive_demand_forecasting_dataset567[[#This Row],[Average_Price]]</f>
        <v>4058845.8637185986</v>
      </c>
      <c r="S185" t="str">
        <f t="shared" ca="1" si="11"/>
        <v>OK</v>
      </c>
    </row>
    <row r="186" spans="1:19">
      <c r="A186" s="1">
        <v>47255</v>
      </c>
      <c r="B186" t="s">
        <v>11</v>
      </c>
      <c r="C186" t="str">
        <f>TEXT(automotive_demand_forecasting_dataset567[[#This Row],[Date]],"mmmm")</f>
        <v>May</v>
      </c>
      <c r="D186" t="str">
        <f>CHOOSE(MATCH(MONTH(A186), {1,4,7,10}), "Winter", "Spring", "Summer", "Autumn")</f>
        <v>Spring</v>
      </c>
      <c r="E186">
        <f>YEAR(automotive_demand_forecasting_dataset567[[#This Row],[Date]])</f>
        <v>2029</v>
      </c>
      <c r="F186">
        <v>95</v>
      </c>
      <c r="G186">
        <f>(automotive_demand_forecasting_dataset567[[#This Row],[Units_Sold]] -$C$4) / $C$5</f>
        <v>-0.44046510007515077</v>
      </c>
      <c r="H186" t="str">
        <f t="shared" ca="1" si="9"/>
        <v>North</v>
      </c>
      <c r="I186">
        <v>30949.702720000001</v>
      </c>
      <c r="J186">
        <v>4.1874382095740925</v>
      </c>
      <c r="K186">
        <v>1.5979484456424897</v>
      </c>
      <c r="L186">
        <v>6.2436537351593637</v>
      </c>
      <c r="M186">
        <v>117111.11318041425</v>
      </c>
      <c r="N186" s="82">
        <v>86</v>
      </c>
      <c r="O186">
        <v>43.379916539151033</v>
      </c>
      <c r="P1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86" t="str">
        <f t="shared" ca="1" si="10"/>
        <v>Online</v>
      </c>
      <c r="R186">
        <f>automotive_demand_forecasting_dataset567[[#This Row],[Units_Sold]]*automotive_demand_forecasting_dataset567[[#This Row],[Average_Price]]</f>
        <v>2940221.7584000002</v>
      </c>
      <c r="S186" t="str">
        <f t="shared" ca="1" si="11"/>
        <v>OK</v>
      </c>
    </row>
    <row r="187" spans="1:19">
      <c r="A187" s="1">
        <v>47285</v>
      </c>
      <c r="B187" t="s">
        <v>13</v>
      </c>
      <c r="C187" t="str">
        <f>TEXT(automotive_demand_forecasting_dataset567[[#This Row],[Date]],"mmmm")</f>
        <v>June</v>
      </c>
      <c r="D187" t="str">
        <f>CHOOSE(MATCH(MONTH(A187), {1,4,7,10}), "Winter", "Spring", "Summer", "Autumn")</f>
        <v>Spring</v>
      </c>
      <c r="E187">
        <f>YEAR(automotive_demand_forecasting_dataset567[[#This Row],[Date]])</f>
        <v>2029</v>
      </c>
      <c r="F187">
        <v>123</v>
      </c>
      <c r="G187">
        <f>(automotive_demand_forecasting_dataset567[[#This Row],[Units_Sold]] -$C$4) / $C$5</f>
        <v>2.4276797376235075</v>
      </c>
      <c r="H187" t="str">
        <f t="shared" ca="1" si="9"/>
        <v>West</v>
      </c>
      <c r="I187">
        <v>40441.87352390364</v>
      </c>
      <c r="J187">
        <v>3.1770179104377325</v>
      </c>
      <c r="K187">
        <v>1.6303369187253056</v>
      </c>
      <c r="L187">
        <v>4.7375651334092446</v>
      </c>
      <c r="M187">
        <v>132989.61788647843</v>
      </c>
      <c r="N187" s="82">
        <v>96</v>
      </c>
      <c r="O187">
        <v>43.58537906774135</v>
      </c>
      <c r="P1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87" t="str">
        <f t="shared" ca="1" si="10"/>
        <v>TV</v>
      </c>
      <c r="R187">
        <f>automotive_demand_forecasting_dataset567[[#This Row],[Units_Sold]]*automotive_demand_forecasting_dataset567[[#This Row],[Average_Price]]</f>
        <v>4974350.4434401477</v>
      </c>
      <c r="S187" t="str">
        <f t="shared" ca="1" si="11"/>
        <v>OK</v>
      </c>
    </row>
    <row r="188" spans="1:19">
      <c r="A188" s="1">
        <v>47315</v>
      </c>
      <c r="B188" t="s">
        <v>13</v>
      </c>
      <c r="C188" t="str">
        <f>TEXT(automotive_demand_forecasting_dataset567[[#This Row],[Date]],"mmmm")</f>
        <v>July</v>
      </c>
      <c r="D188" t="str">
        <f>CHOOSE(MATCH(MONTH(A188), {1,4,7,10}), "Winter", "Spring", "Summer", "Autumn")</f>
        <v>Summer</v>
      </c>
      <c r="E188">
        <f>YEAR(automotive_demand_forecasting_dataset567[[#This Row],[Date]])</f>
        <v>2029</v>
      </c>
      <c r="F188">
        <v>104</v>
      </c>
      <c r="G188">
        <f>(automotive_demand_forecasting_dataset567[[#This Row],[Units_Sold]] -$C$4) / $C$5</f>
        <v>0.48143859775656078</v>
      </c>
      <c r="H188" t="str">
        <f t="shared" ca="1" si="9"/>
        <v>North</v>
      </c>
      <c r="I188">
        <v>29302.051859224131</v>
      </c>
      <c r="J188">
        <v>3.1004039966748733</v>
      </c>
      <c r="K188">
        <v>3.6254347844147694</v>
      </c>
      <c r="L188">
        <v>4.0724000090915666</v>
      </c>
      <c r="M188">
        <v>121412.21119958372</v>
      </c>
      <c r="N188" s="82">
        <v>82</v>
      </c>
      <c r="O188">
        <v>80.215177969999999</v>
      </c>
      <c r="P1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88" t="str">
        <f t="shared" ca="1" si="10"/>
        <v>TV</v>
      </c>
      <c r="R188">
        <f>automotive_demand_forecasting_dataset567[[#This Row],[Units_Sold]]*automotive_demand_forecasting_dataset567[[#This Row],[Average_Price]]</f>
        <v>3047413.3933593095</v>
      </c>
      <c r="S188" t="str">
        <f t="shared" ca="1" si="11"/>
        <v>OK</v>
      </c>
    </row>
    <row r="189" spans="1:19">
      <c r="A189" s="1">
        <v>47345</v>
      </c>
      <c r="B189" t="s">
        <v>14</v>
      </c>
      <c r="C189" t="str">
        <f>TEXT(automotive_demand_forecasting_dataset567[[#This Row],[Date]],"mmmm")</f>
        <v>August</v>
      </c>
      <c r="D189" t="str">
        <f>CHOOSE(MATCH(MONTH(A189), {1,4,7,10}), "Winter", "Spring", "Summer", "Autumn")</f>
        <v>Summer</v>
      </c>
      <c r="E189">
        <f>YEAR(automotive_demand_forecasting_dataset567[[#This Row],[Date]])</f>
        <v>2029</v>
      </c>
      <c r="F189">
        <v>94</v>
      </c>
      <c r="G189">
        <f>(automotive_demand_forecasting_dataset567[[#This Row],[Units_Sold]] -$C$4) / $C$5</f>
        <v>-0.5428988442786743</v>
      </c>
      <c r="H189" s="157" t="str">
        <f t="shared" ca="1" si="9"/>
        <v>South</v>
      </c>
      <c r="I189">
        <v>35540.914083687581</v>
      </c>
      <c r="J189">
        <v>3.258628238908984</v>
      </c>
      <c r="K189">
        <v>1.3105881071326722</v>
      </c>
      <c r="L189">
        <v>4.750785532344131</v>
      </c>
      <c r="M189">
        <v>85407.950603851816</v>
      </c>
      <c r="N189" s="82">
        <v>80</v>
      </c>
      <c r="O189">
        <v>65.16752650322573</v>
      </c>
      <c r="P1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89" t="str">
        <f t="shared" ca="1" si="10"/>
        <v>Billboards</v>
      </c>
      <c r="R189" s="157">
        <f>automotive_demand_forecasting_dataset567[[#This Row],[Units_Sold]]*automotive_demand_forecasting_dataset567[[#This Row],[Average_Price]]</f>
        <v>3340845.9238666329</v>
      </c>
      <c r="S189" t="str">
        <f t="shared" ca="1" si="11"/>
        <v>OK</v>
      </c>
    </row>
    <row r="190" spans="1:19">
      <c r="A190" s="1">
        <v>47375</v>
      </c>
      <c r="B190" t="s">
        <v>12</v>
      </c>
      <c r="C190" t="str">
        <f>TEXT(automotive_demand_forecasting_dataset567[[#This Row],[Date]],"mmmm")</f>
        <v>September</v>
      </c>
      <c r="D190" t="str">
        <f>CHOOSE(MATCH(MONTH(A190), {1,4,7,10}), "Winter", "Spring", "Summer", "Autumn")</f>
        <v>Summer</v>
      </c>
      <c r="E190">
        <f>YEAR(automotive_demand_forecasting_dataset567[[#This Row],[Date]])</f>
        <v>2029</v>
      </c>
      <c r="F190">
        <v>105</v>
      </c>
      <c r="G190">
        <f>(automotive_demand_forecasting_dataset567[[#This Row],[Units_Sold]] -$C$4) / $C$5</f>
        <v>0.58387234196008431</v>
      </c>
      <c r="H190" t="str">
        <f t="shared" ca="1" si="9"/>
        <v>North</v>
      </c>
      <c r="I190">
        <v>24800.470364372348</v>
      </c>
      <c r="J190">
        <v>3.0233356958706437</v>
      </c>
      <c r="K190">
        <v>4.1426729532559632</v>
      </c>
      <c r="L190">
        <v>5.2785695708129809</v>
      </c>
      <c r="M190">
        <v>102916.7736</v>
      </c>
      <c r="N190" s="82">
        <v>87</v>
      </c>
      <c r="O190">
        <v>40.185819541099619</v>
      </c>
      <c r="P1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90" t="str">
        <f t="shared" ca="1" si="10"/>
        <v>TV</v>
      </c>
      <c r="R190">
        <f>automotive_demand_forecasting_dataset567[[#This Row],[Units_Sold]]*automotive_demand_forecasting_dataset567[[#This Row],[Average_Price]]</f>
        <v>2604049.3882590965</v>
      </c>
      <c r="S190" t="str">
        <f t="shared" ca="1" si="11"/>
        <v>OK</v>
      </c>
    </row>
    <row r="191" spans="1:19">
      <c r="A191" s="1">
        <v>47405</v>
      </c>
      <c r="B191" t="s">
        <v>13</v>
      </c>
      <c r="C191" t="str">
        <f>TEXT(automotive_demand_forecasting_dataset567[[#This Row],[Date]],"mmmm")</f>
        <v>October</v>
      </c>
      <c r="D191" t="str">
        <f>CHOOSE(MATCH(MONTH(A191), {1,4,7,10}), "Winter", "Spring", "Summer", "Autumn")</f>
        <v>Autumn</v>
      </c>
      <c r="E191">
        <f>YEAR(automotive_demand_forecasting_dataset567[[#This Row],[Date]])</f>
        <v>2029</v>
      </c>
      <c r="F191">
        <v>109</v>
      </c>
      <c r="G191">
        <f>(automotive_demand_forecasting_dataset567[[#This Row],[Units_Sold]] -$C$4) / $C$5</f>
        <v>0.99360731877417829</v>
      </c>
      <c r="H191" t="str">
        <f t="shared" ca="1" si="9"/>
        <v>West</v>
      </c>
      <c r="I191">
        <v>33063.869525312846</v>
      </c>
      <c r="J191">
        <v>3.561335157997398</v>
      </c>
      <c r="K191">
        <v>2.6520564320000002</v>
      </c>
      <c r="L191">
        <v>4.7743064025541448</v>
      </c>
      <c r="M191">
        <v>74137.169124827051</v>
      </c>
      <c r="N191" s="82">
        <v>85</v>
      </c>
      <c r="O191">
        <v>93.223195230341915</v>
      </c>
      <c r="P1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91" t="str">
        <f t="shared" ca="1" si="10"/>
        <v>Radio</v>
      </c>
      <c r="R191">
        <f>automotive_demand_forecasting_dataset567[[#This Row],[Units_Sold]]*automotive_demand_forecasting_dataset567[[#This Row],[Average_Price]]</f>
        <v>3603961.7782591004</v>
      </c>
      <c r="S191" t="str">
        <f t="shared" ca="1" si="11"/>
        <v>OK</v>
      </c>
    </row>
    <row r="192" spans="1:19">
      <c r="A192" s="1">
        <v>47435</v>
      </c>
      <c r="B192" t="s">
        <v>12</v>
      </c>
      <c r="C192" t="str">
        <f>TEXT(automotive_demand_forecasting_dataset567[[#This Row],[Date]],"mmmm")</f>
        <v>November</v>
      </c>
      <c r="D192" t="str">
        <f>CHOOSE(MATCH(MONTH(A192), {1,4,7,10}), "Winter", "Spring", "Summer", "Autumn")</f>
        <v>Autumn</v>
      </c>
      <c r="E192">
        <f>YEAR(automotive_demand_forecasting_dataset567[[#This Row],[Date]])</f>
        <v>2029</v>
      </c>
      <c r="F192">
        <v>84</v>
      </c>
      <c r="G192">
        <f>(automotive_demand_forecasting_dataset567[[#This Row],[Units_Sold]] -$C$4) / $C$5</f>
        <v>-1.5672362863139093</v>
      </c>
      <c r="H192" t="str">
        <f t="shared" ca="1" si="9"/>
        <v>South</v>
      </c>
      <c r="I192">
        <v>24732.922184131719</v>
      </c>
      <c r="J192">
        <v>4.3123392292347802</v>
      </c>
      <c r="K192">
        <v>3.1383919256083832</v>
      </c>
      <c r="L192">
        <v>2.8533207314811171</v>
      </c>
      <c r="M192">
        <v>111447.80622351351</v>
      </c>
      <c r="N192" s="82">
        <v>95</v>
      </c>
      <c r="O192">
        <v>41.254845189301079</v>
      </c>
      <c r="P1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92" t="str">
        <f t="shared" ca="1" si="10"/>
        <v>TV</v>
      </c>
      <c r="R192">
        <f>automotive_demand_forecasting_dataset567[[#This Row],[Units_Sold]]*automotive_demand_forecasting_dataset567[[#This Row],[Average_Price]]</f>
        <v>2077565.4634670643</v>
      </c>
      <c r="S192" t="str">
        <f t="shared" ca="1" si="11"/>
        <v>OK</v>
      </c>
    </row>
    <row r="193" spans="1:19">
      <c r="A193" s="1">
        <v>47465</v>
      </c>
      <c r="B193" t="s">
        <v>11</v>
      </c>
      <c r="C193" t="str">
        <f>TEXT(automotive_demand_forecasting_dataset567[[#This Row],[Date]],"mmmm")</f>
        <v>December</v>
      </c>
      <c r="D193" t="str">
        <f>CHOOSE(MATCH(MONTH(A193), {1,4,7,10}), "Winter", "Spring", "Summer", "Autumn")</f>
        <v>Autumn</v>
      </c>
      <c r="E193">
        <f>YEAR(automotive_demand_forecasting_dataset567[[#This Row],[Date]])</f>
        <v>2029</v>
      </c>
      <c r="F193">
        <v>79</v>
      </c>
      <c r="G193">
        <f>(automotive_demand_forecasting_dataset567[[#This Row],[Units_Sold]] -$C$4) / $C$5</f>
        <v>-2.0794050073315269</v>
      </c>
      <c r="H193" t="str">
        <f t="shared" ca="1" si="9"/>
        <v>West</v>
      </c>
      <c r="I193">
        <v>26881.155196520973</v>
      </c>
      <c r="J193">
        <v>3.6615396365580146</v>
      </c>
      <c r="K193">
        <v>2.1713815242510153</v>
      </c>
      <c r="L193">
        <v>6.5764794362645587</v>
      </c>
      <c r="M193">
        <v>109012.06825725078</v>
      </c>
      <c r="N193" s="82">
        <v>97</v>
      </c>
      <c r="O193">
        <v>91.66525852481557</v>
      </c>
      <c r="P1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93" t="str">
        <f t="shared" ca="1" si="10"/>
        <v>Online</v>
      </c>
      <c r="R193">
        <f>automotive_demand_forecasting_dataset567[[#This Row],[Units_Sold]]*automotive_demand_forecasting_dataset567[[#This Row],[Average_Price]]</f>
        <v>2123611.2605251567</v>
      </c>
      <c r="S193" t="str">
        <f t="shared" ca="1" si="11"/>
        <v>OK</v>
      </c>
    </row>
    <row r="194" spans="1:19">
      <c r="A194" s="1">
        <v>47495</v>
      </c>
      <c r="B194" t="s">
        <v>14</v>
      </c>
      <c r="C194" t="str">
        <f>TEXT(automotive_demand_forecasting_dataset567[[#This Row],[Date]],"mmmm")</f>
        <v>January</v>
      </c>
      <c r="D194" t="str">
        <f>CHOOSE(MATCH(MONTH(A194), {1,4,7,10}), "Winter", "Spring", "Summer", "Autumn")</f>
        <v>Winter</v>
      </c>
      <c r="E194">
        <f>YEAR(automotive_demand_forecasting_dataset567[[#This Row],[Date]])</f>
        <v>2030</v>
      </c>
      <c r="F194">
        <v>98</v>
      </c>
      <c r="G194">
        <f>(automotive_demand_forecasting_dataset567[[#This Row],[Units_Sold]] -$C$4) / $C$5</f>
        <v>-0.13316386746458025</v>
      </c>
      <c r="H194" s="157" t="str">
        <f t="shared" ca="1" si="9"/>
        <v>North</v>
      </c>
      <c r="I194">
        <v>39570.156769333931</v>
      </c>
      <c r="J194">
        <v>3.3738232489368563</v>
      </c>
      <c r="K194">
        <v>3.1031874310823433</v>
      </c>
      <c r="L194">
        <v>7.0298500495344669</v>
      </c>
      <c r="M194">
        <v>62603.673209356719</v>
      </c>
      <c r="N194" s="82">
        <v>102</v>
      </c>
      <c r="O194">
        <v>28.278005091726772</v>
      </c>
      <c r="P1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94" t="str">
        <f t="shared" ca="1" si="10"/>
        <v>Billboards</v>
      </c>
      <c r="R194" s="157">
        <f>automotive_demand_forecasting_dataset567[[#This Row],[Units_Sold]]*automotive_demand_forecasting_dataset567[[#This Row],[Average_Price]]</f>
        <v>3877875.3633947251</v>
      </c>
      <c r="S194" t="str">
        <f t="shared" ca="1" si="11"/>
        <v>OK</v>
      </c>
    </row>
    <row r="195" spans="1:19">
      <c r="A195" s="1">
        <v>47525</v>
      </c>
      <c r="B195" t="s">
        <v>11</v>
      </c>
      <c r="C195" t="str">
        <f>TEXT(automotive_demand_forecasting_dataset567[[#This Row],[Date]],"mmmm")</f>
        <v>February</v>
      </c>
      <c r="D195" t="str">
        <f>CHOOSE(MATCH(MONTH(A195), {1,4,7,10}), "Winter", "Spring", "Summer", "Autumn")</f>
        <v>Winter</v>
      </c>
      <c r="E195">
        <f>YEAR(automotive_demand_forecasting_dataset567[[#This Row],[Date]])</f>
        <v>2030</v>
      </c>
      <c r="F195">
        <v>96</v>
      </c>
      <c r="G195">
        <f>(automotive_demand_forecasting_dataset567[[#This Row],[Units_Sold]] -$C$4) / $C$5</f>
        <v>-0.33803135587162725</v>
      </c>
      <c r="H195" t="str">
        <f t="shared" ca="1" si="9"/>
        <v>North</v>
      </c>
      <c r="I195">
        <v>29046.587996183269</v>
      </c>
      <c r="J195">
        <v>3.354094365542228</v>
      </c>
      <c r="K195">
        <v>1.9558859978858074</v>
      </c>
      <c r="L195">
        <v>6.2818263896074065</v>
      </c>
      <c r="M195">
        <v>76764.323121752721</v>
      </c>
      <c r="N195" s="82">
        <v>96</v>
      </c>
      <c r="O195">
        <v>72.525016191972185</v>
      </c>
      <c r="P1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95" t="str">
        <f t="shared" ca="1" si="10"/>
        <v>TV</v>
      </c>
      <c r="R195">
        <f>automotive_demand_forecasting_dataset567[[#This Row],[Units_Sold]]*automotive_demand_forecasting_dataset567[[#This Row],[Average_Price]]</f>
        <v>2788472.4476335938</v>
      </c>
      <c r="S195" t="str">
        <f t="shared" ca="1" si="11"/>
        <v>OK</v>
      </c>
    </row>
    <row r="196" spans="1:19">
      <c r="A196" s="1">
        <v>47555</v>
      </c>
      <c r="B196" t="s">
        <v>14</v>
      </c>
      <c r="C196" t="str">
        <f>TEXT(automotive_demand_forecasting_dataset567[[#This Row],[Date]],"mmmm")</f>
        <v>March</v>
      </c>
      <c r="D196" t="str">
        <f>CHOOSE(MATCH(MONTH(A196), {1,4,7,10}), "Winter", "Spring", "Summer", "Autumn")</f>
        <v>Winter</v>
      </c>
      <c r="E196">
        <f>YEAR(automotive_demand_forecasting_dataset567[[#This Row],[Date]])</f>
        <v>2030</v>
      </c>
      <c r="F196">
        <v>88</v>
      </c>
      <c r="G196">
        <f>(automotive_demand_forecasting_dataset567[[#This Row],[Units_Sold]] -$C$4) / $C$5</f>
        <v>-1.1575013094998152</v>
      </c>
      <c r="H196" s="157" t="str">
        <f t="shared" ca="1" si="9"/>
        <v>West</v>
      </c>
      <c r="I196">
        <v>31087.164365898614</v>
      </c>
      <c r="J196">
        <v>2.7184045956516716</v>
      </c>
      <c r="K196">
        <v>2.3372070939277059</v>
      </c>
      <c r="L196">
        <v>4.1347771954902202</v>
      </c>
      <c r="M196">
        <v>94337.222065124661</v>
      </c>
      <c r="N196" s="82">
        <v>82</v>
      </c>
      <c r="O196">
        <v>65.454227669999995</v>
      </c>
      <c r="P1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96" t="str">
        <f t="shared" ca="1" si="10"/>
        <v>Print</v>
      </c>
      <c r="R196" s="157">
        <f>automotive_demand_forecasting_dataset567[[#This Row],[Units_Sold]]*automotive_demand_forecasting_dataset567[[#This Row],[Average_Price]]</f>
        <v>2735670.4641990783</v>
      </c>
      <c r="S196" t="str">
        <f t="shared" ca="1" si="11"/>
        <v>OK</v>
      </c>
    </row>
    <row r="197" spans="1:19">
      <c r="A197" s="1">
        <v>47585</v>
      </c>
      <c r="B197" t="s">
        <v>13</v>
      </c>
      <c r="C197" t="str">
        <f>TEXT(automotive_demand_forecasting_dataset567[[#This Row],[Date]],"mmmm")</f>
        <v>April</v>
      </c>
      <c r="D197" t="str">
        <f>CHOOSE(MATCH(MONTH(A197), {1,4,7,10}), "Winter", "Spring", "Summer", "Autumn")</f>
        <v>Spring</v>
      </c>
      <c r="E197">
        <f>YEAR(automotive_demand_forecasting_dataset567[[#This Row],[Date]])</f>
        <v>2030</v>
      </c>
      <c r="F197">
        <v>103</v>
      </c>
      <c r="G197">
        <f>(automotive_demand_forecasting_dataset567[[#This Row],[Units_Sold]] -$C$4) / $C$5</f>
        <v>0.37900485355303726</v>
      </c>
      <c r="H197" t="str">
        <f t="shared" ca="1" si="9"/>
        <v>North</v>
      </c>
      <c r="I197">
        <v>34350.338653443774</v>
      </c>
      <c r="J197">
        <v>3.9415548885735796</v>
      </c>
      <c r="K197">
        <v>2.5409191753957212</v>
      </c>
      <c r="L197">
        <v>5.2582101592629789</v>
      </c>
      <c r="M197">
        <v>93982.805057183476</v>
      </c>
      <c r="N197" s="82">
        <v>85</v>
      </c>
      <c r="O197">
        <v>33.499955071858366</v>
      </c>
      <c r="P1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97" t="str">
        <f t="shared" ca="1" si="10"/>
        <v>TV</v>
      </c>
      <c r="R197">
        <f>automotive_demand_forecasting_dataset567[[#This Row],[Units_Sold]]*automotive_demand_forecasting_dataset567[[#This Row],[Average_Price]]</f>
        <v>3538084.8813047088</v>
      </c>
      <c r="S197" t="str">
        <f t="shared" ca="1" si="11"/>
        <v>OK</v>
      </c>
    </row>
    <row r="198" spans="1:19">
      <c r="A198" s="1">
        <v>47615</v>
      </c>
      <c r="B198" t="s">
        <v>14</v>
      </c>
      <c r="C198" t="str">
        <f>TEXT(automotive_demand_forecasting_dataset567[[#This Row],[Date]],"mmmm")</f>
        <v>May</v>
      </c>
      <c r="D198" t="str">
        <f>CHOOSE(MATCH(MONTH(A198), {1,4,7,10}), "Winter", "Spring", "Summer", "Autumn")</f>
        <v>Spring</v>
      </c>
      <c r="E198">
        <f>YEAR(automotive_demand_forecasting_dataset567[[#This Row],[Date]])</f>
        <v>2030</v>
      </c>
      <c r="F198">
        <v>83</v>
      </c>
      <c r="G198">
        <f>(automotive_demand_forecasting_dataset567[[#This Row],[Units_Sold]] -$C$4) / $C$5</f>
        <v>-1.6696700305174328</v>
      </c>
      <c r="H198" s="157" t="str">
        <f t="shared" ca="1" si="9"/>
        <v>North</v>
      </c>
      <c r="I198">
        <v>32478.409439863022</v>
      </c>
      <c r="J198">
        <v>3.4610814014935989</v>
      </c>
      <c r="K198">
        <v>1.4978125442185273</v>
      </c>
      <c r="L198">
        <v>5.4921744217246502</v>
      </c>
      <c r="M198">
        <v>75810.461291623898</v>
      </c>
      <c r="N198" s="82">
        <v>82</v>
      </c>
      <c r="O198">
        <v>97.466156807940393</v>
      </c>
      <c r="P1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98" t="str">
        <f t="shared" ca="1" si="10"/>
        <v>Radio</v>
      </c>
      <c r="R198" s="157">
        <f>automotive_demand_forecasting_dataset567[[#This Row],[Units_Sold]]*automotive_demand_forecasting_dataset567[[#This Row],[Average_Price]]</f>
        <v>2695707.9835086307</v>
      </c>
      <c r="S198" t="str">
        <f t="shared" ca="1" si="11"/>
        <v>OK</v>
      </c>
    </row>
    <row r="199" spans="1:19">
      <c r="A199" s="1">
        <v>47645</v>
      </c>
      <c r="B199" t="s">
        <v>10</v>
      </c>
      <c r="C199" t="str">
        <f>TEXT(automotive_demand_forecasting_dataset567[[#This Row],[Date]],"mmmm")</f>
        <v>June</v>
      </c>
      <c r="D199" t="str">
        <f>CHOOSE(MATCH(MONTH(A199), {1,4,7,10}), "Winter", "Spring", "Summer", "Autumn")</f>
        <v>Spring</v>
      </c>
      <c r="E199">
        <f>YEAR(automotive_demand_forecasting_dataset567[[#This Row],[Date]])</f>
        <v>2030</v>
      </c>
      <c r="F199">
        <v>82</v>
      </c>
      <c r="G199">
        <f>(automotive_demand_forecasting_dataset567[[#This Row],[Units_Sold]] -$C$4) / $C$5</f>
        <v>-1.7721037747209563</v>
      </c>
      <c r="H199" t="str">
        <f t="shared" ca="1" si="9"/>
        <v>West</v>
      </c>
      <c r="I199">
        <v>30752.094525717883</v>
      </c>
      <c r="J199">
        <v>3.4097600432046873</v>
      </c>
      <c r="K199">
        <v>3.2408243454201258</v>
      </c>
      <c r="L199">
        <v>6.2185532674742925</v>
      </c>
      <c r="M199">
        <v>107779.57458704368</v>
      </c>
      <c r="N199" s="82">
        <f>111.9136842</f>
        <v>111.91368420000001</v>
      </c>
      <c r="O199">
        <v>56.230668833240934</v>
      </c>
      <c r="P1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99" t="str">
        <f t="shared" ca="1" si="10"/>
        <v>Radio</v>
      </c>
      <c r="R199">
        <f>automotive_demand_forecasting_dataset567[[#This Row],[Units_Sold]]*automotive_demand_forecasting_dataset567[[#This Row],[Average_Price]]</f>
        <v>2521671.7511088662</v>
      </c>
      <c r="S199" t="str">
        <f t="shared" ca="1" si="11"/>
        <v>OK</v>
      </c>
    </row>
    <row r="200" spans="1:19">
      <c r="A200" s="1">
        <v>47675</v>
      </c>
      <c r="B200" t="s">
        <v>12</v>
      </c>
      <c r="C200" t="str">
        <f>TEXT(automotive_demand_forecasting_dataset567[[#This Row],[Date]],"mmmm")</f>
        <v>July</v>
      </c>
      <c r="D200" t="str">
        <f>CHOOSE(MATCH(MONTH(A200), {1,4,7,10}), "Winter", "Spring", "Summer", "Autumn")</f>
        <v>Summer</v>
      </c>
      <c r="E200">
        <f>YEAR(automotive_demand_forecasting_dataset567[[#This Row],[Date]])</f>
        <v>2030</v>
      </c>
      <c r="F200">
        <v>106</v>
      </c>
      <c r="G200">
        <f>(automotive_demand_forecasting_dataset567[[#This Row],[Units_Sold]] -$C$4) / $C$5</f>
        <v>0.68630608616360778</v>
      </c>
      <c r="H200" t="str">
        <f t="shared" ca="1" si="9"/>
        <v>West</v>
      </c>
      <c r="I200">
        <v>31824.805012331126</v>
      </c>
      <c r="J200">
        <v>3.5380713799999999</v>
      </c>
      <c r="K200">
        <v>1.9867864335284149</v>
      </c>
      <c r="L200">
        <v>6.3020085864616968</v>
      </c>
      <c r="M200">
        <v>105029.47217881025</v>
      </c>
      <c r="N200" s="82">
        <v>91</v>
      </c>
      <c r="O200">
        <v>80.215177969999999</v>
      </c>
      <c r="P2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00" t="str">
        <f t="shared" ca="1" si="10"/>
        <v>Online</v>
      </c>
      <c r="R200">
        <f>automotive_demand_forecasting_dataset567[[#This Row],[Units_Sold]]*automotive_demand_forecasting_dataset567[[#This Row],[Average_Price]]</f>
        <v>3373429.3313070992</v>
      </c>
      <c r="S200" t="str">
        <f t="shared" ca="1" si="11"/>
        <v>OK</v>
      </c>
    </row>
    <row r="201" spans="1:19">
      <c r="A201" s="1">
        <v>47705</v>
      </c>
      <c r="B201" t="s">
        <v>12</v>
      </c>
      <c r="C201" t="str">
        <f>TEXT(automotive_demand_forecasting_dataset567[[#This Row],[Date]],"mmmm")</f>
        <v>August</v>
      </c>
      <c r="D201" t="str">
        <f>CHOOSE(MATCH(MONTH(A201), {1,4,7,10}), "Winter", "Spring", "Summer", "Autumn")</f>
        <v>Summer</v>
      </c>
      <c r="E201">
        <f>YEAR(automotive_demand_forecasting_dataset567[[#This Row],[Date]])</f>
        <v>2030</v>
      </c>
      <c r="F201">
        <v>96</v>
      </c>
      <c r="G201">
        <f>(automotive_demand_forecasting_dataset567[[#This Row],[Units_Sold]] -$C$4) / $C$5</f>
        <v>-0.33803135587162725</v>
      </c>
      <c r="H201" t="str">
        <f t="shared" ca="1" si="9"/>
        <v>North</v>
      </c>
      <c r="I201">
        <v>42017.077926191378</v>
      </c>
      <c r="J201">
        <v>3.6493764541828431</v>
      </c>
      <c r="K201">
        <v>2.2714000846599816</v>
      </c>
      <c r="L201">
        <v>4.6189914414658055</v>
      </c>
      <c r="M201">
        <v>96114.61736042962</v>
      </c>
      <c r="N201" s="82">
        <v>88</v>
      </c>
      <c r="O201">
        <v>74.145603490403758</v>
      </c>
      <c r="P2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01" t="str">
        <f t="shared" ca="1" si="10"/>
        <v>TV</v>
      </c>
      <c r="R201">
        <f>automotive_demand_forecasting_dataset567[[#This Row],[Units_Sold]]*automotive_demand_forecasting_dataset567[[#This Row],[Average_Price]]</f>
        <v>4033639.480914372</v>
      </c>
      <c r="S201" t="str">
        <f t="shared" ca="1" si="11"/>
        <v>OK</v>
      </c>
    </row>
    <row r="202" spans="1:19">
      <c r="A202" s="1">
        <v>47735</v>
      </c>
      <c r="B202" t="s">
        <v>10</v>
      </c>
      <c r="C202" t="str">
        <f>TEXT(automotive_demand_forecasting_dataset567[[#This Row],[Date]],"mmmm")</f>
        <v>September</v>
      </c>
      <c r="D202" t="str">
        <f>CHOOSE(MATCH(MONTH(A202), {1,4,7,10}), "Winter", "Spring", "Summer", "Autumn")</f>
        <v>Summer</v>
      </c>
      <c r="E202">
        <f>YEAR(automotive_demand_forecasting_dataset567[[#This Row],[Date]])</f>
        <v>2030</v>
      </c>
      <c r="F202">
        <v>96</v>
      </c>
      <c r="G202">
        <f>(automotive_demand_forecasting_dataset567[[#This Row],[Units_Sold]] -$C$4) / $C$5</f>
        <v>-0.33803135587162725</v>
      </c>
      <c r="H202" t="str">
        <f t="shared" ca="1" si="9"/>
        <v>South</v>
      </c>
      <c r="I202">
        <v>29711.906014832071</v>
      </c>
      <c r="J202">
        <v>3.1241044749524081</v>
      </c>
      <c r="K202">
        <v>1.5056506253914876</v>
      </c>
      <c r="L202">
        <v>5.5983946676962724</v>
      </c>
      <c r="M202">
        <v>84884.169996832745</v>
      </c>
      <c r="N202" s="82">
        <v>90</v>
      </c>
      <c r="O202">
        <v>44.12694958988412</v>
      </c>
      <c r="P2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02" t="str">
        <f t="shared" ca="1" si="10"/>
        <v>TV</v>
      </c>
      <c r="R202">
        <f>automotive_demand_forecasting_dataset567[[#This Row],[Units_Sold]]*automotive_demand_forecasting_dataset567[[#This Row],[Average_Price]]</f>
        <v>2852342.9774238789</v>
      </c>
      <c r="S202" t="str">
        <f t="shared" ca="1" si="11"/>
        <v>OK</v>
      </c>
    </row>
    <row r="203" spans="1:19">
      <c r="A203" s="1">
        <v>47765</v>
      </c>
      <c r="B203" t="s">
        <v>11</v>
      </c>
      <c r="C203" t="str">
        <f>TEXT(automotive_demand_forecasting_dataset567[[#This Row],[Date]],"mmmm")</f>
        <v>October</v>
      </c>
      <c r="D203" t="str">
        <f>CHOOSE(MATCH(MONTH(A203), {1,4,7,10}), "Winter", "Spring", "Summer", "Autumn")</f>
        <v>Autumn</v>
      </c>
      <c r="E203">
        <f>YEAR(automotive_demand_forecasting_dataset567[[#This Row],[Date]])</f>
        <v>2030</v>
      </c>
      <c r="F203">
        <v>109</v>
      </c>
      <c r="G203">
        <f>(automotive_demand_forecasting_dataset567[[#This Row],[Units_Sold]] -$C$4) / $C$5</f>
        <v>0.99360731877417829</v>
      </c>
      <c r="H203" t="str">
        <f t="shared" ref="H203:H266" ca="1" si="12">CHOOSE(RANDBETWEEN(1,4),"North","South","East","West")</f>
        <v>West</v>
      </c>
      <c r="I203">
        <v>31005.495233574838</v>
      </c>
      <c r="J203">
        <v>3.2868212018972285</v>
      </c>
      <c r="K203">
        <v>2.6520564320000002</v>
      </c>
      <c r="L203">
        <v>6.0487364855382895</v>
      </c>
      <c r="M203">
        <v>120974.14252833127</v>
      </c>
      <c r="N203" s="82">
        <v>90</v>
      </c>
      <c r="O203">
        <v>35.064201993368513</v>
      </c>
      <c r="P2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03" t="str">
        <f t="shared" ref="Q203:Q266" ca="1" si="13">CHOOSE(RANDBETWEEN(1,5),"Online","TV","Radio","Print","Billboards")</f>
        <v>TV</v>
      </c>
      <c r="R203">
        <f>automotive_demand_forecasting_dataset567[[#This Row],[Units_Sold]]*automotive_demand_forecasting_dataset567[[#This Row],[Average_Price]]</f>
        <v>3379598.9804596575</v>
      </c>
      <c r="S203" t="str">
        <f t="shared" ref="S203:S266" ca="1" si="14">IF(COUNTA(A203:O203)&lt;COLUMNS(A203:O203), "Missing Data", "OK")</f>
        <v>OK</v>
      </c>
    </row>
    <row r="204" spans="1:19">
      <c r="A204" s="1">
        <v>47795</v>
      </c>
      <c r="B204" t="s">
        <v>10</v>
      </c>
      <c r="C204" t="str">
        <f>TEXT(automotive_demand_forecasting_dataset567[[#This Row],[Date]],"mmmm")</f>
        <v>November</v>
      </c>
      <c r="D204" t="str">
        <f>CHOOSE(MATCH(MONTH(A204), {1,4,7,10}), "Winter", "Spring", "Summer", "Autumn")</f>
        <v>Autumn</v>
      </c>
      <c r="E204">
        <f>YEAR(automotive_demand_forecasting_dataset567[[#This Row],[Date]])</f>
        <v>2030</v>
      </c>
      <c r="F204">
        <v>98</v>
      </c>
      <c r="G204">
        <f>(automotive_demand_forecasting_dataset567[[#This Row],[Units_Sold]] -$C$4) / $C$5</f>
        <v>-0.13316386746458025</v>
      </c>
      <c r="H204" t="str">
        <f t="shared" ca="1" si="12"/>
        <v>East</v>
      </c>
      <c r="I204">
        <v>35253.271980038058</v>
      </c>
      <c r="J204">
        <v>4.0742228545983776</v>
      </c>
      <c r="K204">
        <v>2.3089722373998312</v>
      </c>
      <c r="L204">
        <v>7.2469867865761195</v>
      </c>
      <c r="M204">
        <v>133108.1422617659</v>
      </c>
      <c r="N204" s="82">
        <v>84</v>
      </c>
      <c r="O204">
        <v>44.298803698007951</v>
      </c>
      <c r="P2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04" t="str">
        <f t="shared" ca="1" si="13"/>
        <v>Online</v>
      </c>
      <c r="R204">
        <f>automotive_demand_forecasting_dataset567[[#This Row],[Units_Sold]]*automotive_demand_forecasting_dataset567[[#This Row],[Average_Price]]</f>
        <v>3454820.6540437299</v>
      </c>
      <c r="S204" t="str">
        <f t="shared" ca="1" si="14"/>
        <v>OK</v>
      </c>
    </row>
    <row r="205" spans="1:19">
      <c r="A205" s="1">
        <v>47825</v>
      </c>
      <c r="B205" t="s">
        <v>13</v>
      </c>
      <c r="C205" t="str">
        <f>TEXT(automotive_demand_forecasting_dataset567[[#This Row],[Date]],"mmmm")</f>
        <v>December</v>
      </c>
      <c r="D205" t="str">
        <f>CHOOSE(MATCH(MONTH(A205), {1,4,7,10}), "Winter", "Spring", "Summer", "Autumn")</f>
        <v>Autumn</v>
      </c>
      <c r="E205">
        <f>YEAR(automotive_demand_forecasting_dataset567[[#This Row],[Date]])</f>
        <v>2030</v>
      </c>
      <c r="F205">
        <v>86</v>
      </c>
      <c r="G205">
        <f>(automotive_demand_forecasting_dataset567[[#This Row],[Units_Sold]] -$C$4) / $C$5</f>
        <v>-1.3623687979068624</v>
      </c>
      <c r="H205" t="str">
        <f t="shared" ca="1" si="12"/>
        <v>East</v>
      </c>
      <c r="I205">
        <v>35527.629664789922</v>
      </c>
      <c r="J205">
        <v>3.5566352052688823</v>
      </c>
      <c r="K205">
        <v>2.6520564320000002</v>
      </c>
      <c r="L205">
        <v>6.3454078477896676</v>
      </c>
      <c r="M205">
        <f>128897.2893</f>
        <v>128897.2893</v>
      </c>
      <c r="N205" s="82">
        <v>79</v>
      </c>
      <c r="O205">
        <v>27.441392741013999</v>
      </c>
      <c r="P2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05" t="str">
        <f t="shared" ca="1" si="13"/>
        <v>Radio</v>
      </c>
      <c r="R205">
        <f>automotive_demand_forecasting_dataset567[[#This Row],[Units_Sold]]*automotive_demand_forecasting_dataset567[[#This Row],[Average_Price]]</f>
        <v>3055376.1511719334</v>
      </c>
      <c r="S205" t="str">
        <f t="shared" ca="1" si="14"/>
        <v>OK</v>
      </c>
    </row>
    <row r="206" spans="1:19">
      <c r="A206" s="1">
        <v>47855</v>
      </c>
      <c r="B206" t="s">
        <v>13</v>
      </c>
      <c r="C206" t="str">
        <f>TEXT(automotive_demand_forecasting_dataset567[[#This Row],[Date]],"mmmm")</f>
        <v>January</v>
      </c>
      <c r="D206" t="str">
        <f>CHOOSE(MATCH(MONTH(A206), {1,4,7,10}), "Winter", "Spring", "Summer", "Autumn")</f>
        <v>Winter</v>
      </c>
      <c r="E206">
        <f>YEAR(automotive_demand_forecasting_dataset567[[#This Row],[Date]])</f>
        <v>2031</v>
      </c>
      <c r="F206">
        <v>79</v>
      </c>
      <c r="G206">
        <f>(automotive_demand_forecasting_dataset567[[#This Row],[Units_Sold]] -$C$4) / $C$5</f>
        <v>-2.0794050073315269</v>
      </c>
      <c r="H206" t="str">
        <f t="shared" ca="1" si="12"/>
        <v>West</v>
      </c>
      <c r="I206">
        <v>35935.1515278019</v>
      </c>
      <c r="J206">
        <v>2.7808610108413165</v>
      </c>
      <c r="K206">
        <v>3.2846042878980239</v>
      </c>
      <c r="L206">
        <v>6.4468680248506232</v>
      </c>
      <c r="M206">
        <v>87756.661656903583</v>
      </c>
      <c r="N206" s="82">
        <v>77</v>
      </c>
      <c r="O206">
        <v>31.509437307466381</v>
      </c>
      <c r="P2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06" t="str">
        <f t="shared" ca="1" si="13"/>
        <v>Billboards</v>
      </c>
      <c r="R206">
        <f>automotive_demand_forecasting_dataset567[[#This Row],[Units_Sold]]*automotive_demand_forecasting_dataset567[[#This Row],[Average_Price]]</f>
        <v>2838876.9706963501</v>
      </c>
      <c r="S206" t="str">
        <f t="shared" ca="1" si="14"/>
        <v>OK</v>
      </c>
    </row>
    <row r="207" spans="1:19">
      <c r="A207" s="1">
        <v>47885</v>
      </c>
      <c r="B207" t="s">
        <v>12</v>
      </c>
      <c r="C207" t="str">
        <f>TEXT(automotive_demand_forecasting_dataset567[[#This Row],[Date]],"mmmm")</f>
        <v>February</v>
      </c>
      <c r="D207" t="str">
        <f>CHOOSE(MATCH(MONTH(A207), {1,4,7,10}), "Winter", "Spring", "Summer", "Autumn")</f>
        <v>Winter</v>
      </c>
      <c r="E207">
        <f>YEAR(automotive_demand_forecasting_dataset567[[#This Row],[Date]])</f>
        <v>2031</v>
      </c>
      <c r="F207">
        <v>86</v>
      </c>
      <c r="G207">
        <f>(automotive_demand_forecasting_dataset567[[#This Row],[Units_Sold]] -$C$4) / $C$5</f>
        <v>-1.3623687979068624</v>
      </c>
      <c r="H207" t="str">
        <f t="shared" ca="1" si="12"/>
        <v>East</v>
      </c>
      <c r="I207">
        <v>38106.295579999998</v>
      </c>
      <c r="J207">
        <v>3.9596144672876017</v>
      </c>
      <c r="K207">
        <f>3.224108373</f>
        <v>3.224108373</v>
      </c>
      <c r="L207">
        <v>5.6005919535152335</v>
      </c>
      <c r="M207">
        <v>109824.15330823993</v>
      </c>
      <c r="N207" s="82">
        <v>77</v>
      </c>
      <c r="O207">
        <v>28.37283522771849</v>
      </c>
      <c r="P2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07" t="str">
        <f t="shared" ca="1" si="13"/>
        <v>Billboards</v>
      </c>
      <c r="R207">
        <f>automotive_demand_forecasting_dataset567[[#This Row],[Units_Sold]]*automotive_demand_forecasting_dataset567[[#This Row],[Average_Price]]</f>
        <v>3277141.4198799999</v>
      </c>
      <c r="S207" t="str">
        <f t="shared" ca="1" si="14"/>
        <v>OK</v>
      </c>
    </row>
    <row r="208" spans="1:19">
      <c r="A208" s="1">
        <v>47915</v>
      </c>
      <c r="B208" t="s">
        <v>13</v>
      </c>
      <c r="C208" t="str">
        <f>TEXT(automotive_demand_forecasting_dataset567[[#This Row],[Date]],"mmmm")</f>
        <v>March</v>
      </c>
      <c r="D208" t="str">
        <f>CHOOSE(MATCH(MONTH(A208), {1,4,7,10}), "Winter", "Spring", "Summer", "Autumn")</f>
        <v>Winter</v>
      </c>
      <c r="E208">
        <f>YEAR(automotive_demand_forecasting_dataset567[[#This Row],[Date]])</f>
        <v>2031</v>
      </c>
      <c r="F208">
        <v>108</v>
      </c>
      <c r="G208">
        <f>(automotive_demand_forecasting_dataset567[[#This Row],[Units_Sold]] -$C$4) / $C$5</f>
        <v>0.89117357457065483</v>
      </c>
      <c r="H208" t="str">
        <f t="shared" ca="1" si="12"/>
        <v>East</v>
      </c>
      <c r="I208">
        <v>24284.97543634758</v>
      </c>
      <c r="J208">
        <v>3.1659279572305028</v>
      </c>
      <c r="K208">
        <v>2.2371091707917321</v>
      </c>
      <c r="L208">
        <v>7.1925509742442042</v>
      </c>
      <c r="M208">
        <v>92839.41240506027</v>
      </c>
      <c r="N208" s="82">
        <v>105</v>
      </c>
      <c r="O208">
        <v>53.835483499324617</v>
      </c>
      <c r="P2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08" t="str">
        <f t="shared" ca="1" si="13"/>
        <v>Billboards</v>
      </c>
      <c r="R208">
        <f>automotive_demand_forecasting_dataset567[[#This Row],[Units_Sold]]*automotive_demand_forecasting_dataset567[[#This Row],[Average_Price]]</f>
        <v>2622777.3471255386</v>
      </c>
      <c r="S208" t="str">
        <f t="shared" ca="1" si="14"/>
        <v>OK</v>
      </c>
    </row>
    <row r="209" spans="1:19">
      <c r="A209" s="1">
        <v>47945</v>
      </c>
      <c r="B209" t="s">
        <v>12</v>
      </c>
      <c r="C209" t="str">
        <f>TEXT(automotive_demand_forecasting_dataset567[[#This Row],[Date]],"mmmm")</f>
        <v>April</v>
      </c>
      <c r="D209" t="str">
        <f>CHOOSE(MATCH(MONTH(A209), {1,4,7,10}), "Winter", "Spring", "Summer", "Autumn")</f>
        <v>Spring</v>
      </c>
      <c r="E209">
        <f>YEAR(automotive_demand_forecasting_dataset567[[#This Row],[Date]])</f>
        <v>2031</v>
      </c>
      <c r="F209">
        <v>100</v>
      </c>
      <c r="G209">
        <f>(automotive_demand_forecasting_dataset567[[#This Row],[Units_Sold]] -$C$4) / $C$5</f>
        <v>7.1703620942466739E-2</v>
      </c>
      <c r="H209" t="str">
        <f t="shared" ca="1" si="12"/>
        <v>East</v>
      </c>
      <c r="I209">
        <v>38167.15766150548</v>
      </c>
      <c r="J209">
        <v>4.4366488881087731</v>
      </c>
      <c r="K209">
        <v>2.5224658928120465</v>
      </c>
      <c r="L209">
        <v>5.9917153551513973</v>
      </c>
      <c r="M209">
        <v>97212.055986735315</v>
      </c>
      <c r="N209" s="82">
        <v>100</v>
      </c>
      <c r="O209">
        <v>83.646270100606912</v>
      </c>
      <c r="P2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09" t="str">
        <f t="shared" ca="1" si="13"/>
        <v>TV</v>
      </c>
      <c r="R209">
        <f>automotive_demand_forecasting_dataset567[[#This Row],[Units_Sold]]*automotive_demand_forecasting_dataset567[[#This Row],[Average_Price]]</f>
        <v>3816715.7661505481</v>
      </c>
      <c r="S209" t="str">
        <f t="shared" ca="1" si="14"/>
        <v>OK</v>
      </c>
    </row>
    <row r="210" spans="1:19">
      <c r="A210" s="1">
        <v>47975</v>
      </c>
      <c r="B210" t="s">
        <v>10</v>
      </c>
      <c r="C210" t="str">
        <f>TEXT(automotive_demand_forecasting_dataset567[[#This Row],[Date]],"mmmm")</f>
        <v>May</v>
      </c>
      <c r="D210" t="str">
        <f>CHOOSE(MATCH(MONTH(A210), {1,4,7,10}), "Winter", "Spring", "Summer", "Autumn")</f>
        <v>Spring</v>
      </c>
      <c r="E210">
        <f>YEAR(automotive_demand_forecasting_dataset567[[#This Row],[Date]])</f>
        <v>2031</v>
      </c>
      <c r="F210">
        <v>93</v>
      </c>
      <c r="G210">
        <f>(automotive_demand_forecasting_dataset567[[#This Row],[Units_Sold]] -$C$4) / $C$5</f>
        <v>-0.64533258848219777</v>
      </c>
      <c r="H210" t="str">
        <f t="shared" ca="1" si="12"/>
        <v>West</v>
      </c>
      <c r="I210">
        <v>24268.27303490656</v>
      </c>
      <c r="J210">
        <v>4.0400240328573247</v>
      </c>
      <c r="K210">
        <f>3.224108373</f>
        <v>3.224108373</v>
      </c>
      <c r="L210">
        <f>6.97388673</f>
        <v>6.9738867300000003</v>
      </c>
      <c r="M210">
        <v>114793.06303449343</v>
      </c>
      <c r="N210" s="82">
        <v>82</v>
      </c>
      <c r="O210">
        <v>31.310684337307215</v>
      </c>
      <c r="P2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10" t="str">
        <f t="shared" ca="1" si="13"/>
        <v>Online</v>
      </c>
      <c r="R210">
        <f>automotive_demand_forecasting_dataset567[[#This Row],[Units_Sold]]*automotive_demand_forecasting_dataset567[[#This Row],[Average_Price]]</f>
        <v>2256949.3922463101</v>
      </c>
      <c r="S210" t="str">
        <f t="shared" ca="1" si="14"/>
        <v>OK</v>
      </c>
    </row>
    <row r="211" spans="1:19">
      <c r="A211" s="1">
        <v>48005</v>
      </c>
      <c r="B211" t="s">
        <v>10</v>
      </c>
      <c r="C211" t="str">
        <f>TEXT(automotive_demand_forecasting_dataset567[[#This Row],[Date]],"mmmm")</f>
        <v>June</v>
      </c>
      <c r="D211" t="str">
        <f>CHOOSE(MATCH(MONTH(A211), {1,4,7,10}), "Winter", "Spring", "Summer", "Autumn")</f>
        <v>Spring</v>
      </c>
      <c r="E211">
        <f>YEAR(automotive_demand_forecasting_dataset567[[#This Row],[Date]])</f>
        <v>2031</v>
      </c>
      <c r="F211">
        <v>82</v>
      </c>
      <c r="G211">
        <f>(automotive_demand_forecasting_dataset567[[#This Row],[Units_Sold]] -$C$4) / $C$5</f>
        <v>-1.7721037747209563</v>
      </c>
      <c r="H211" t="str">
        <f t="shared" ca="1" si="12"/>
        <v>West</v>
      </c>
      <c r="I211">
        <v>31513.177326195168</v>
      </c>
      <c r="J211">
        <v>3.2763390521706244</v>
      </c>
      <c r="K211">
        <v>1.3191871846911551</v>
      </c>
      <c r="L211">
        <v>7.1840439641502289</v>
      </c>
      <c r="M211">
        <v>61812.87824985414</v>
      </c>
      <c r="N211" s="82">
        <v>105</v>
      </c>
      <c r="O211">
        <v>30.425634653786872</v>
      </c>
      <c r="P2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11" t="str">
        <f t="shared" ca="1" si="13"/>
        <v>TV</v>
      </c>
      <c r="R211">
        <f>automotive_demand_forecasting_dataset567[[#This Row],[Units_Sold]]*automotive_demand_forecasting_dataset567[[#This Row],[Average_Price]]</f>
        <v>2584080.5407480039</v>
      </c>
      <c r="S211" t="str">
        <f t="shared" ca="1" si="14"/>
        <v>OK</v>
      </c>
    </row>
    <row r="212" spans="1:19">
      <c r="A212" s="1">
        <v>48035</v>
      </c>
      <c r="B212" t="s">
        <v>10</v>
      </c>
      <c r="C212" t="str">
        <f>TEXT(automotive_demand_forecasting_dataset567[[#This Row],[Date]],"mmmm")</f>
        <v>July</v>
      </c>
      <c r="D212" t="str">
        <f>CHOOSE(MATCH(MONTH(A212), {1,4,7,10}), "Winter", "Spring", "Summer", "Autumn")</f>
        <v>Summer</v>
      </c>
      <c r="E212">
        <f>YEAR(automotive_demand_forecasting_dataset567[[#This Row],[Date]])</f>
        <v>2031</v>
      </c>
      <c r="F212">
        <v>104</v>
      </c>
      <c r="G212">
        <f>(automotive_demand_forecasting_dataset567[[#This Row],[Units_Sold]] -$C$4) / $C$5</f>
        <v>0.48143859775656078</v>
      </c>
      <c r="H212" t="str">
        <f t="shared" ca="1" si="12"/>
        <v>East</v>
      </c>
      <c r="I212">
        <v>26228.62074990321</v>
      </c>
      <c r="J212">
        <v>4.1405081808675561</v>
      </c>
      <c r="K212">
        <v>3.6143216946688721</v>
      </c>
      <c r="L212">
        <v>5.616047043</v>
      </c>
      <c r="M212">
        <v>126366.04649705338</v>
      </c>
      <c r="N212" s="82">
        <v>103</v>
      </c>
      <c r="O212">
        <v>71.474315961386452</v>
      </c>
      <c r="P2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12" t="str">
        <f t="shared" ca="1" si="13"/>
        <v>TV</v>
      </c>
      <c r="R212">
        <f>automotive_demand_forecasting_dataset567[[#This Row],[Units_Sold]]*automotive_demand_forecasting_dataset567[[#This Row],[Average_Price]]</f>
        <v>2727776.557989934</v>
      </c>
      <c r="S212" t="str">
        <f t="shared" ca="1" si="14"/>
        <v>OK</v>
      </c>
    </row>
    <row r="213" spans="1:19">
      <c r="A213" s="1">
        <v>48065</v>
      </c>
      <c r="B213" t="s">
        <v>12</v>
      </c>
      <c r="C213" t="str">
        <f>TEXT(automotive_demand_forecasting_dataset567[[#This Row],[Date]],"mmmm")</f>
        <v>August</v>
      </c>
      <c r="D213" t="str">
        <f>CHOOSE(MATCH(MONTH(A213), {1,4,7,10}), "Winter", "Spring", "Summer", "Autumn")</f>
        <v>Summer</v>
      </c>
      <c r="E213">
        <f>YEAR(automotive_demand_forecasting_dataset567[[#This Row],[Date]])</f>
        <v>2031</v>
      </c>
      <c r="F213">
        <v>99</v>
      </c>
      <c r="G213">
        <f>(automotive_demand_forecasting_dataset567[[#This Row],[Units_Sold]] -$C$4) / $C$5</f>
        <v>-3.0730123261056761E-2</v>
      </c>
      <c r="H213" t="str">
        <f t="shared" ca="1" si="12"/>
        <v>North</v>
      </c>
      <c r="I213">
        <v>29679.308267035038</v>
      </c>
      <c r="J213">
        <v>3.5339277552637016</v>
      </c>
      <c r="K213">
        <v>3.2153813154412441</v>
      </c>
      <c r="L213">
        <v>4.968347174645821</v>
      </c>
      <c r="M213">
        <v>101453.61048658683</v>
      </c>
      <c r="N213" s="82">
        <v>84</v>
      </c>
      <c r="O213">
        <v>35.7746385574453</v>
      </c>
      <c r="P2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13" t="str">
        <f t="shared" ca="1" si="13"/>
        <v>Billboards</v>
      </c>
      <c r="R213">
        <f>automotive_demand_forecasting_dataset567[[#This Row],[Units_Sold]]*automotive_demand_forecasting_dataset567[[#This Row],[Average_Price]]</f>
        <v>2938251.5184364687</v>
      </c>
      <c r="S213" t="str">
        <f t="shared" ca="1" si="14"/>
        <v>OK</v>
      </c>
    </row>
    <row r="214" spans="1:19">
      <c r="A214" s="1">
        <v>48095</v>
      </c>
      <c r="B214" t="s">
        <v>10</v>
      </c>
      <c r="C214" t="str">
        <f>TEXT(automotive_demand_forecasting_dataset567[[#This Row],[Date]],"mmmm")</f>
        <v>September</v>
      </c>
      <c r="D214" t="str">
        <f>CHOOSE(MATCH(MONTH(A214), {1,4,7,10}), "Winter", "Spring", "Summer", "Autumn")</f>
        <v>Summer</v>
      </c>
      <c r="E214">
        <f>YEAR(automotive_demand_forecasting_dataset567[[#This Row],[Date]])</f>
        <v>2031</v>
      </c>
      <c r="F214">
        <v>102</v>
      </c>
      <c r="G214">
        <f>(automotive_demand_forecasting_dataset567[[#This Row],[Units_Sold]] -$C$4) / $C$5</f>
        <v>0.27657110934951373</v>
      </c>
      <c r="H214" t="str">
        <f t="shared" ca="1" si="12"/>
        <v>North</v>
      </c>
      <c r="I214">
        <v>31643.812051517401</v>
      </c>
      <c r="J214">
        <v>3.9263868375611097</v>
      </c>
      <c r="K214">
        <v>3.2181857257079347</v>
      </c>
      <c r="L214">
        <v>4.9246084391209077</v>
      </c>
      <c r="M214">
        <v>91770.137108756389</v>
      </c>
      <c r="N214" s="82">
        <v>90</v>
      </c>
      <c r="O214">
        <v>27.808803048719327</v>
      </c>
      <c r="P2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14" t="str">
        <f t="shared" ca="1" si="13"/>
        <v>Online</v>
      </c>
      <c r="R214">
        <f>automotive_demand_forecasting_dataset567[[#This Row],[Units_Sold]]*automotive_demand_forecasting_dataset567[[#This Row],[Average_Price]]</f>
        <v>3227668.8292547748</v>
      </c>
      <c r="S214" t="str">
        <f t="shared" ca="1" si="14"/>
        <v>OK</v>
      </c>
    </row>
    <row r="215" spans="1:19">
      <c r="A215" s="1">
        <v>48125</v>
      </c>
      <c r="B215" t="s">
        <v>10</v>
      </c>
      <c r="C215" t="str">
        <f>TEXT(automotive_demand_forecasting_dataset567[[#This Row],[Date]],"mmmm")</f>
        <v>October</v>
      </c>
      <c r="D215" t="str">
        <f>CHOOSE(MATCH(MONTH(A215), {1,4,7,10}), "Winter", "Spring", "Summer", "Autumn")</f>
        <v>Autumn</v>
      </c>
      <c r="E215">
        <f>YEAR(automotive_demand_forecasting_dataset567[[#This Row],[Date]])</f>
        <v>2031</v>
      </c>
      <c r="F215">
        <v>76</v>
      </c>
      <c r="G215">
        <f>(automotive_demand_forecasting_dataset567[[#This Row],[Units_Sold]] -$C$4) / $C$5</f>
        <v>-2.3867062399420975</v>
      </c>
      <c r="H215" t="str">
        <f t="shared" ca="1" si="12"/>
        <v>East</v>
      </c>
      <c r="I215">
        <v>38106.295579999998</v>
      </c>
      <c r="J215">
        <v>3.7423664086472375</v>
      </c>
      <c r="K215">
        <v>2.9384757388097271</v>
      </c>
      <c r="L215">
        <v>5.8558906541689142</v>
      </c>
      <c r="M215">
        <v>98215.31691557102</v>
      </c>
      <c r="N215" s="82">
        <v>91</v>
      </c>
      <c r="O215">
        <v>33.347886256446209</v>
      </c>
      <c r="P2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15" t="str">
        <f t="shared" ca="1" si="13"/>
        <v>Print</v>
      </c>
      <c r="R215">
        <f>automotive_demand_forecasting_dataset567[[#This Row],[Units_Sold]]*automotive_demand_forecasting_dataset567[[#This Row],[Average_Price]]</f>
        <v>2896078.4640799998</v>
      </c>
      <c r="S215" t="str">
        <f t="shared" ca="1" si="14"/>
        <v>OK</v>
      </c>
    </row>
    <row r="216" spans="1:19">
      <c r="A216" s="1">
        <v>48155</v>
      </c>
      <c r="B216" t="s">
        <v>11</v>
      </c>
      <c r="C216" t="str">
        <f>TEXT(automotive_demand_forecasting_dataset567[[#This Row],[Date]],"mmmm")</f>
        <v>November</v>
      </c>
      <c r="D216" t="str">
        <f>CHOOSE(MATCH(MONTH(A216), {1,4,7,10}), "Winter", "Spring", "Summer", "Autumn")</f>
        <v>Autumn</v>
      </c>
      <c r="E216">
        <f>YEAR(automotive_demand_forecasting_dataset567[[#This Row],[Date]])</f>
        <v>2031</v>
      </c>
      <c r="F216">
        <v>99</v>
      </c>
      <c r="G216">
        <f>(automotive_demand_forecasting_dataset567[[#This Row],[Units_Sold]] -$C$4) / $C$5</f>
        <v>-3.0730123261056761E-2</v>
      </c>
      <c r="H216" t="str">
        <f t="shared" ca="1" si="12"/>
        <v>North</v>
      </c>
      <c r="I216">
        <v>32109.603771176422</v>
      </c>
      <c r="J216">
        <v>3.0768216725045634</v>
      </c>
      <c r="K216">
        <v>2.51961665769399</v>
      </c>
      <c r="L216">
        <v>6.0558217543211015</v>
      </c>
      <c r="M216">
        <v>99248.587100410368</v>
      </c>
      <c r="N216" s="82">
        <v>95</v>
      </c>
      <c r="O216">
        <v>93.898511670142085</v>
      </c>
      <c r="P2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16" t="str">
        <f t="shared" ca="1" si="13"/>
        <v>Print</v>
      </c>
      <c r="R216">
        <f>automotive_demand_forecasting_dataset567[[#This Row],[Units_Sold]]*automotive_demand_forecasting_dataset567[[#This Row],[Average_Price]]</f>
        <v>3178850.773346466</v>
      </c>
      <c r="S216" t="str">
        <f t="shared" ca="1" si="14"/>
        <v>OK</v>
      </c>
    </row>
    <row r="217" spans="1:19">
      <c r="A217" s="1">
        <v>48185</v>
      </c>
      <c r="B217" t="s">
        <v>10</v>
      </c>
      <c r="C217" t="str">
        <f>TEXT(automotive_demand_forecasting_dataset567[[#This Row],[Date]],"mmmm")</f>
        <v>December</v>
      </c>
      <c r="D217" t="str">
        <f>CHOOSE(MATCH(MONTH(A217), {1,4,7,10}), "Winter", "Spring", "Summer", "Autumn")</f>
        <v>Autumn</v>
      </c>
      <c r="E217">
        <f>YEAR(automotive_demand_forecasting_dataset567[[#This Row],[Date]])</f>
        <v>2031</v>
      </c>
      <c r="F217">
        <v>93</v>
      </c>
      <c r="G217">
        <f>(automotive_demand_forecasting_dataset567[[#This Row],[Units_Sold]] -$C$4) / $C$5</f>
        <v>-0.64533258848219777</v>
      </c>
      <c r="H217" t="str">
        <f t="shared" ca="1" si="12"/>
        <v>South</v>
      </c>
      <c r="I217">
        <v>38068.556345293233</v>
      </c>
      <c r="J217">
        <v>3.1782250838412689</v>
      </c>
      <c r="K217">
        <v>3.17286123596682</v>
      </c>
      <c r="L217">
        <v>5.736750718757448</v>
      </c>
      <c r="M217">
        <v>65375.973931101493</v>
      </c>
      <c r="N217" s="82">
        <v>85</v>
      </c>
      <c r="O217">
        <v>85.71770022209526</v>
      </c>
      <c r="P2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17" t="str">
        <f t="shared" ca="1" si="13"/>
        <v>Billboards</v>
      </c>
      <c r="R217">
        <f>automotive_demand_forecasting_dataset567[[#This Row],[Units_Sold]]*automotive_demand_forecasting_dataset567[[#This Row],[Average_Price]]</f>
        <v>3540375.7401122707</v>
      </c>
      <c r="S217" t="str">
        <f t="shared" ca="1" si="14"/>
        <v>OK</v>
      </c>
    </row>
    <row r="218" spans="1:19">
      <c r="A218" s="1">
        <v>48215</v>
      </c>
      <c r="B218" t="s">
        <v>13</v>
      </c>
      <c r="C218" t="str">
        <f>TEXT(automotive_demand_forecasting_dataset567[[#This Row],[Date]],"mmmm")</f>
        <v>January</v>
      </c>
      <c r="D218" t="str">
        <f>CHOOSE(MATCH(MONTH(A218), {1,4,7,10}), "Winter", "Spring", "Summer", "Autumn")</f>
        <v>Winter</v>
      </c>
      <c r="E218">
        <f>YEAR(automotive_demand_forecasting_dataset567[[#This Row],[Date]])</f>
        <v>2032</v>
      </c>
      <c r="F218">
        <v>99</v>
      </c>
      <c r="G218">
        <f>(automotive_demand_forecasting_dataset567[[#This Row],[Units_Sold]] -$C$4) / $C$5</f>
        <v>-3.0730123261056761E-2</v>
      </c>
      <c r="H218" t="str">
        <f t="shared" ca="1" si="12"/>
        <v>North</v>
      </c>
      <c r="I218">
        <v>32267.671507569899</v>
      </c>
      <c r="J218">
        <v>4.0149804087905805</v>
      </c>
      <c r="K218">
        <v>3.0918141337413783</v>
      </c>
      <c r="L218">
        <f>6.97388673</f>
        <v>6.9738867300000003</v>
      </c>
      <c r="M218">
        <v>129898.76454906471</v>
      </c>
      <c r="N218" s="82">
        <v>99</v>
      </c>
      <c r="O218">
        <v>48.325164988407529</v>
      </c>
      <c r="P2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18" t="str">
        <f t="shared" ca="1" si="13"/>
        <v>Print</v>
      </c>
      <c r="R218">
        <f>automotive_demand_forecasting_dataset567[[#This Row],[Units_Sold]]*automotive_demand_forecasting_dataset567[[#This Row],[Average_Price]]</f>
        <v>3194499.4792494201</v>
      </c>
      <c r="S218" t="str">
        <f t="shared" ca="1" si="14"/>
        <v>OK</v>
      </c>
    </row>
    <row r="219" spans="1:19">
      <c r="A219" s="1">
        <v>48245</v>
      </c>
      <c r="B219" t="s">
        <v>12</v>
      </c>
      <c r="C219" t="str">
        <f>TEXT(automotive_demand_forecasting_dataset567[[#This Row],[Date]],"mmmm")</f>
        <v>February</v>
      </c>
      <c r="D219" t="str">
        <f>CHOOSE(MATCH(MONTH(A219), {1,4,7,10}), "Winter", "Spring", "Summer", "Autumn")</f>
        <v>Winter</v>
      </c>
      <c r="E219">
        <f>YEAR(automotive_demand_forecasting_dataset567[[#This Row],[Date]])</f>
        <v>2032</v>
      </c>
      <c r="F219">
        <v>102</v>
      </c>
      <c r="G219">
        <f>(automotive_demand_forecasting_dataset567[[#This Row],[Units_Sold]] -$C$4) / $C$5</f>
        <v>0.27657110934951373</v>
      </c>
      <c r="H219" t="str">
        <f t="shared" ca="1" si="12"/>
        <v>South</v>
      </c>
      <c r="I219">
        <v>28779.216823546758</v>
      </c>
      <c r="J219">
        <v>3.3326123339467295</v>
      </c>
      <c r="K219">
        <f>3.224108373</f>
        <v>3.224108373</v>
      </c>
      <c r="L219">
        <v>7.5399488494916564</v>
      </c>
      <c r="M219">
        <v>100826.51264541237</v>
      </c>
      <c r="N219" s="82">
        <v>94</v>
      </c>
      <c r="O219">
        <v>72.465661386191428</v>
      </c>
      <c r="P2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19" t="str">
        <f t="shared" ca="1" si="13"/>
        <v>Online</v>
      </c>
      <c r="R219">
        <f>automotive_demand_forecasting_dataset567[[#This Row],[Units_Sold]]*automotive_demand_forecasting_dataset567[[#This Row],[Average_Price]]</f>
        <v>2935480.1160017694</v>
      </c>
      <c r="S219" t="str">
        <f t="shared" ca="1" si="14"/>
        <v>OK</v>
      </c>
    </row>
    <row r="220" spans="1:19">
      <c r="A220" s="1">
        <v>48275</v>
      </c>
      <c r="B220" t="s">
        <v>11</v>
      </c>
      <c r="C220" t="str">
        <f>TEXT(automotive_demand_forecasting_dataset567[[#This Row],[Date]],"mmmm")</f>
        <v>March</v>
      </c>
      <c r="D220" t="str">
        <f>CHOOSE(MATCH(MONTH(A220), {1,4,7,10}), "Winter", "Spring", "Summer", "Autumn")</f>
        <v>Winter</v>
      </c>
      <c r="E220">
        <f>YEAR(automotive_demand_forecasting_dataset567[[#This Row],[Date]])</f>
        <v>2032</v>
      </c>
      <c r="F220">
        <v>106</v>
      </c>
      <c r="G220">
        <f>(automotive_demand_forecasting_dataset567[[#This Row],[Units_Sold]] -$C$4) / $C$5</f>
        <v>0.68630608616360778</v>
      </c>
      <c r="H220" t="str">
        <f t="shared" ca="1" si="12"/>
        <v>South</v>
      </c>
      <c r="I220">
        <v>34820.435841441787</v>
      </c>
      <c r="J220">
        <v>3.2981757683790018</v>
      </c>
      <c r="K220">
        <v>1.926398227103099</v>
      </c>
      <c r="L220">
        <v>6.7858517826818625</v>
      </c>
      <c r="M220">
        <v>108860.04260894751</v>
      </c>
      <c r="N220" s="82">
        <v>91</v>
      </c>
      <c r="O220">
        <v>62.982053893443045</v>
      </c>
      <c r="P2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20" t="str">
        <f t="shared" ca="1" si="13"/>
        <v>Billboards</v>
      </c>
      <c r="R220">
        <f>automotive_demand_forecasting_dataset567[[#This Row],[Units_Sold]]*automotive_demand_forecasting_dataset567[[#This Row],[Average_Price]]</f>
        <v>3690966.1991928294</v>
      </c>
      <c r="S220" t="str">
        <f t="shared" ca="1" si="14"/>
        <v>OK</v>
      </c>
    </row>
    <row r="221" spans="1:19">
      <c r="A221" s="1">
        <v>48305</v>
      </c>
      <c r="B221" t="s">
        <v>14</v>
      </c>
      <c r="C221" t="str">
        <f>TEXT(automotive_demand_forecasting_dataset567[[#This Row],[Date]],"mmmm")</f>
        <v>April</v>
      </c>
      <c r="D221" t="str">
        <f>CHOOSE(MATCH(MONTH(A221), {1,4,7,10}), "Winter", "Spring", "Summer", "Autumn")</f>
        <v>Spring</v>
      </c>
      <c r="E221">
        <f>YEAR(automotive_demand_forecasting_dataset567[[#This Row],[Date]])</f>
        <v>2032</v>
      </c>
      <c r="F221">
        <v>94</v>
      </c>
      <c r="G221">
        <f>(automotive_demand_forecasting_dataset567[[#This Row],[Units_Sold]] -$C$4) / $C$5</f>
        <v>-0.5428988442786743</v>
      </c>
      <c r="H221" s="157" t="str">
        <f t="shared" ca="1" si="12"/>
        <v>South</v>
      </c>
      <c r="I221">
        <v>35947.352444623204</v>
      </c>
      <c r="J221">
        <v>3.0224387103253236</v>
      </c>
      <c r="K221">
        <v>2.6018562952619866</v>
      </c>
      <c r="L221">
        <v>5.7287627095180289</v>
      </c>
      <c r="M221">
        <v>119030.99541148086</v>
      </c>
      <c r="N221" s="82">
        <v>87</v>
      </c>
      <c r="O221">
        <v>74.16994107860512</v>
      </c>
      <c r="P2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21" t="str">
        <f t="shared" ca="1" si="13"/>
        <v>Billboards</v>
      </c>
      <c r="R221" s="157">
        <f>automotive_demand_forecasting_dataset567[[#This Row],[Units_Sold]]*automotive_demand_forecasting_dataset567[[#This Row],[Average_Price]]</f>
        <v>3379051.1297945813</v>
      </c>
      <c r="S221" t="str">
        <f t="shared" ca="1" si="14"/>
        <v>OK</v>
      </c>
    </row>
    <row r="222" spans="1:19">
      <c r="A222" s="1">
        <v>48335</v>
      </c>
      <c r="B222" t="s">
        <v>12</v>
      </c>
      <c r="C222" t="str">
        <f>TEXT(automotive_demand_forecasting_dataset567[[#This Row],[Date]],"mmmm")</f>
        <v>May</v>
      </c>
      <c r="D222" t="str">
        <f>CHOOSE(MATCH(MONTH(A222), {1,4,7,10}), "Winter", "Spring", "Summer", "Autumn")</f>
        <v>Spring</v>
      </c>
      <c r="E222">
        <f>YEAR(automotive_demand_forecasting_dataset567[[#This Row],[Date]])</f>
        <v>2032</v>
      </c>
      <c r="F222">
        <v>105</v>
      </c>
      <c r="G222">
        <f>(automotive_demand_forecasting_dataset567[[#This Row],[Units_Sold]] -$C$4) / $C$5</f>
        <v>0.58387234196008431</v>
      </c>
      <c r="H222" t="str">
        <f t="shared" ca="1" si="12"/>
        <v>North</v>
      </c>
      <c r="I222">
        <v>23861.960924315037</v>
      </c>
      <c r="J222">
        <v>3.7117995327967304</v>
      </c>
      <c r="K222">
        <v>4.0490201514951876</v>
      </c>
      <c r="L222">
        <v>6.6295726969209801</v>
      </c>
      <c r="M222">
        <v>79576.750848793992</v>
      </c>
      <c r="N222" s="82">
        <v>66</v>
      </c>
      <c r="O222">
        <v>74.613692197020754</v>
      </c>
      <c r="P2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22" t="str">
        <f t="shared" ca="1" si="13"/>
        <v>Print</v>
      </c>
      <c r="R222">
        <f>automotive_demand_forecasting_dataset567[[#This Row],[Units_Sold]]*automotive_demand_forecasting_dataset567[[#This Row],[Average_Price]]</f>
        <v>2505505.8970530787</v>
      </c>
      <c r="S222" t="str">
        <f t="shared" ca="1" si="14"/>
        <v>OK</v>
      </c>
    </row>
    <row r="223" spans="1:19">
      <c r="A223" s="1">
        <v>48365</v>
      </c>
      <c r="B223" t="s">
        <v>13</v>
      </c>
      <c r="C223" t="str">
        <f>TEXT(automotive_demand_forecasting_dataset567[[#This Row],[Date]],"mmmm")</f>
        <v>May</v>
      </c>
      <c r="D223" t="str">
        <f>CHOOSE(MATCH(MONTH(A223), {1,4,7,10}), "Winter", "Spring", "Summer", "Autumn")</f>
        <v>Spring</v>
      </c>
      <c r="E223">
        <f>YEAR(automotive_demand_forecasting_dataset567[[#This Row],[Date]])</f>
        <v>2032</v>
      </c>
      <c r="F223">
        <v>100</v>
      </c>
      <c r="G223">
        <f>(automotive_demand_forecasting_dataset567[[#This Row],[Units_Sold]] -$C$4) / $C$5</f>
        <v>7.1703620942466739E-2</v>
      </c>
      <c r="H223" t="str">
        <f t="shared" ca="1" si="12"/>
        <v>West</v>
      </c>
      <c r="I223">
        <v>32987.000349249291</v>
      </c>
      <c r="J223">
        <v>4.5312624596215727</v>
      </c>
      <c r="K223">
        <f>3.224108373</f>
        <v>3.224108373</v>
      </c>
      <c r="L223">
        <v>4.2609713157669526</v>
      </c>
      <c r="M223">
        <v>109469.43798070456</v>
      </c>
      <c r="N223" s="82">
        <v>86</v>
      </c>
      <c r="O223">
        <v>70.298721204799435</v>
      </c>
      <c r="P2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23" t="str">
        <f t="shared" ca="1" si="13"/>
        <v>TV</v>
      </c>
      <c r="R223">
        <f>automotive_demand_forecasting_dataset567[[#This Row],[Units_Sold]]*automotive_demand_forecasting_dataset567[[#This Row],[Average_Price]]</f>
        <v>3298700.034924929</v>
      </c>
      <c r="S223" t="str">
        <f t="shared" ca="1" si="14"/>
        <v>OK</v>
      </c>
    </row>
    <row r="224" spans="1:19">
      <c r="A224" s="1">
        <v>48395</v>
      </c>
      <c r="B224" t="s">
        <v>12</v>
      </c>
      <c r="C224" t="str">
        <f>TEXT(automotive_demand_forecasting_dataset567[[#This Row],[Date]],"mmmm")</f>
        <v>June</v>
      </c>
      <c r="D224" t="str">
        <f>CHOOSE(MATCH(MONTH(A224), {1,4,7,10}), "Winter", "Spring", "Summer", "Autumn")</f>
        <v>Spring</v>
      </c>
      <c r="E224">
        <f>YEAR(automotive_demand_forecasting_dataset567[[#This Row],[Date]])</f>
        <v>2032</v>
      </c>
      <c r="F224">
        <v>122</v>
      </c>
      <c r="G224">
        <f>(automotive_demand_forecasting_dataset567[[#This Row],[Units_Sold]] -$C$4) / $C$5</f>
        <v>2.3252459934199838</v>
      </c>
      <c r="H224" t="str">
        <f t="shared" ca="1" si="12"/>
        <v>South</v>
      </c>
      <c r="I224">
        <v>33505.863711554492</v>
      </c>
      <c r="J224">
        <v>2.9662335428728634</v>
      </c>
      <c r="K224">
        <v>1.03247473424756</v>
      </c>
      <c r="L224">
        <v>5.9775124599361709</v>
      </c>
      <c r="M224">
        <v>94647.17818202413</v>
      </c>
      <c r="N224" s="82">
        <v>80</v>
      </c>
      <c r="O224">
        <v>41.288109482984687</v>
      </c>
      <c r="P2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24" t="str">
        <f t="shared" ca="1" si="13"/>
        <v>Radio</v>
      </c>
      <c r="R224">
        <f>automotive_demand_forecasting_dataset567[[#This Row],[Units_Sold]]*automotive_demand_forecasting_dataset567[[#This Row],[Average_Price]]</f>
        <v>4087715.372809648</v>
      </c>
      <c r="S224" t="str">
        <f t="shared" ca="1" si="14"/>
        <v>OK</v>
      </c>
    </row>
    <row r="225" spans="1:19">
      <c r="A225" s="1">
        <v>48425</v>
      </c>
      <c r="B225" t="s">
        <v>13</v>
      </c>
      <c r="C225" t="str">
        <f>TEXT(automotive_demand_forecasting_dataset567[[#This Row],[Date]],"mmmm")</f>
        <v>July</v>
      </c>
      <c r="D225" t="str">
        <f>CHOOSE(MATCH(MONTH(A225), {1,4,7,10}), "Winter", "Spring", "Summer", "Autumn")</f>
        <v>Summer</v>
      </c>
      <c r="E225">
        <f>YEAR(automotive_demand_forecasting_dataset567[[#This Row],[Date]])</f>
        <v>2032</v>
      </c>
      <c r="F225">
        <v>103</v>
      </c>
      <c r="G225">
        <f>(automotive_demand_forecasting_dataset567[[#This Row],[Units_Sold]] -$C$4) / $C$5</f>
        <v>0.37900485355303726</v>
      </c>
      <c r="H225" t="str">
        <f t="shared" ca="1" si="12"/>
        <v>North</v>
      </c>
      <c r="I225">
        <v>28512.182483200042</v>
      </c>
      <c r="J225">
        <v>3.5121097283363789</v>
      </c>
      <c r="K225">
        <v>2.6647608412365167</v>
      </c>
      <c r="L225">
        <f>6.97388673</f>
        <v>6.9738867300000003</v>
      </c>
      <c r="M225">
        <v>116935.41550432987</v>
      </c>
      <c r="N225" s="82">
        <v>111</v>
      </c>
      <c r="O225">
        <v>23.120513661025448</v>
      </c>
      <c r="P2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25" t="str">
        <f t="shared" ca="1" si="13"/>
        <v>Radio</v>
      </c>
      <c r="R225">
        <f>automotive_demand_forecasting_dataset567[[#This Row],[Units_Sold]]*automotive_demand_forecasting_dataset567[[#This Row],[Average_Price]]</f>
        <v>2936754.7957696044</v>
      </c>
      <c r="S225" t="str">
        <f t="shared" ca="1" si="14"/>
        <v>OK</v>
      </c>
    </row>
    <row r="226" spans="1:19">
      <c r="A226" s="1">
        <v>48455</v>
      </c>
      <c r="B226" t="s">
        <v>13</v>
      </c>
      <c r="C226" t="str">
        <f>TEXT(automotive_demand_forecasting_dataset567[[#This Row],[Date]],"mmmm")</f>
        <v>August</v>
      </c>
      <c r="D226" t="str">
        <f>CHOOSE(MATCH(MONTH(A226), {1,4,7,10}), "Winter", "Spring", "Summer", "Autumn")</f>
        <v>Summer</v>
      </c>
      <c r="E226">
        <f>YEAR(automotive_demand_forecasting_dataset567[[#This Row],[Date]])</f>
        <v>2032</v>
      </c>
      <c r="F226">
        <v>119</v>
      </c>
      <c r="G226">
        <f>(automotive_demand_forecasting_dataset567[[#This Row],[Units_Sold]] -$C$4) / $C$5</f>
        <v>2.0179447608094132</v>
      </c>
      <c r="H226" t="str">
        <f t="shared" ca="1" si="12"/>
        <v>East</v>
      </c>
      <c r="I226">
        <v>36878.534066558095</v>
      </c>
      <c r="J226">
        <v>4.2061102777077144</v>
      </c>
      <c r="K226">
        <f>3.224108373</f>
        <v>3.224108373</v>
      </c>
      <c r="L226">
        <v>5.2383449255291517</v>
      </c>
      <c r="M226">
        <f>128897.2893</f>
        <v>128897.2893</v>
      </c>
      <c r="N226" s="82">
        <v>98</v>
      </c>
      <c r="O226">
        <v>65.454227669999995</v>
      </c>
      <c r="P2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26" t="str">
        <f t="shared" ca="1" si="13"/>
        <v>TV</v>
      </c>
      <c r="R226">
        <f>automotive_demand_forecasting_dataset567[[#This Row],[Units_Sold]]*automotive_demand_forecasting_dataset567[[#This Row],[Average_Price]]</f>
        <v>4388545.5539204134</v>
      </c>
      <c r="S226" t="str">
        <f t="shared" ca="1" si="14"/>
        <v>OK</v>
      </c>
    </row>
    <row r="227" spans="1:19">
      <c r="A227" s="1">
        <v>48485</v>
      </c>
      <c r="B227" t="s">
        <v>14</v>
      </c>
      <c r="C227" t="str">
        <f>TEXT(automotive_demand_forecasting_dataset567[[#This Row],[Date]],"mmmm")</f>
        <v>September</v>
      </c>
      <c r="D227" t="str">
        <f>CHOOSE(MATCH(MONTH(A227), {1,4,7,10}), "Winter", "Spring", "Summer", "Autumn")</f>
        <v>Summer</v>
      </c>
      <c r="E227">
        <f>YEAR(automotive_demand_forecasting_dataset567[[#This Row],[Date]])</f>
        <v>2032</v>
      </c>
      <c r="F227">
        <v>76</v>
      </c>
      <c r="G227">
        <f>(automotive_demand_forecasting_dataset567[[#This Row],[Units_Sold]] -$C$4) / $C$5</f>
        <v>-2.3867062399420975</v>
      </c>
      <c r="H227" s="157" t="str">
        <f t="shared" ca="1" si="12"/>
        <v>East</v>
      </c>
      <c r="I227">
        <v>29249.722064837366</v>
      </c>
      <c r="J227">
        <v>3.4601793043771423</v>
      </c>
      <c r="K227">
        <v>2.6733416643704082</v>
      </c>
      <c r="L227">
        <v>4.4828392856570982</v>
      </c>
      <c r="M227">
        <v>98018.113995174615</v>
      </c>
      <c r="N227" s="82">
        <v>98</v>
      </c>
      <c r="O227">
        <v>91.277910775256302</v>
      </c>
      <c r="P2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27" t="str">
        <f t="shared" ca="1" si="13"/>
        <v>TV</v>
      </c>
      <c r="R227" s="157">
        <f>automotive_demand_forecasting_dataset567[[#This Row],[Units_Sold]]*automotive_demand_forecasting_dataset567[[#This Row],[Average_Price]]</f>
        <v>2222978.8769276398</v>
      </c>
      <c r="S227" t="str">
        <f t="shared" ca="1" si="14"/>
        <v>OK</v>
      </c>
    </row>
    <row r="228" spans="1:19">
      <c r="A228" s="1">
        <v>48515</v>
      </c>
      <c r="B228" t="s">
        <v>12</v>
      </c>
      <c r="C228" t="str">
        <f>TEXT(automotive_demand_forecasting_dataset567[[#This Row],[Date]],"mmmm")</f>
        <v>October</v>
      </c>
      <c r="D228" t="str">
        <f>CHOOSE(MATCH(MONTH(A228), {1,4,7,10}), "Winter", "Spring", "Summer", "Autumn")</f>
        <v>Autumn</v>
      </c>
      <c r="E228">
        <f>YEAR(automotive_demand_forecasting_dataset567[[#This Row],[Date]])</f>
        <v>2032</v>
      </c>
      <c r="F228">
        <v>96</v>
      </c>
      <c r="G228">
        <f>(automotive_demand_forecasting_dataset567[[#This Row],[Units_Sold]] -$C$4) / $C$5</f>
        <v>-0.33803135587162725</v>
      </c>
      <c r="H228" t="str">
        <f t="shared" ca="1" si="12"/>
        <v>East</v>
      </c>
      <c r="I228">
        <v>38106.295579999998</v>
      </c>
      <c r="J228">
        <v>3.726185898124867</v>
      </c>
      <c r="K228">
        <v>2.7439531979085001</v>
      </c>
      <c r="L228">
        <v>4.7174933336883269</v>
      </c>
      <c r="M228">
        <v>87943.586884320772</v>
      </c>
      <c r="N228" s="82">
        <v>93</v>
      </c>
      <c r="O228">
        <v>65.559780681486075</v>
      </c>
      <c r="P2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28" t="str">
        <f t="shared" ca="1" si="13"/>
        <v>Print</v>
      </c>
      <c r="R228">
        <f>automotive_demand_forecasting_dataset567[[#This Row],[Units_Sold]]*automotive_demand_forecasting_dataset567[[#This Row],[Average_Price]]</f>
        <v>3658204.3756799996</v>
      </c>
      <c r="S228" t="str">
        <f t="shared" ca="1" si="14"/>
        <v>OK</v>
      </c>
    </row>
    <row r="229" spans="1:19">
      <c r="A229" s="1">
        <v>48545</v>
      </c>
      <c r="B229" t="s">
        <v>14</v>
      </c>
      <c r="C229" t="str">
        <f>TEXT(automotive_demand_forecasting_dataset567[[#This Row],[Date]],"mmmm")</f>
        <v>November</v>
      </c>
      <c r="D229" t="str">
        <f>CHOOSE(MATCH(MONTH(A229), {1,4,7,10}), "Winter", "Spring", "Summer", "Autumn")</f>
        <v>Autumn</v>
      </c>
      <c r="E229">
        <f>YEAR(automotive_demand_forecasting_dataset567[[#This Row],[Date]])</f>
        <v>2032</v>
      </c>
      <c r="F229">
        <v>103</v>
      </c>
      <c r="G229">
        <f>(automotive_demand_forecasting_dataset567[[#This Row],[Units_Sold]] -$C$4) / $C$5</f>
        <v>0.37900485355303726</v>
      </c>
      <c r="H229" s="157" t="str">
        <f t="shared" ca="1" si="12"/>
        <v>East</v>
      </c>
      <c r="I229">
        <v>29134.640878580652</v>
      </c>
      <c r="J229">
        <v>4.5778345189999996</v>
      </c>
      <c r="K229">
        <v>2.2767977453651951</v>
      </c>
      <c r="L229">
        <v>4.1924403551891345</v>
      </c>
      <c r="M229">
        <v>108645.25901268311</v>
      </c>
      <c r="N229" s="82">
        <v>106</v>
      </c>
      <c r="O229">
        <v>86.591283336152628</v>
      </c>
      <c r="P2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29" t="str">
        <f t="shared" ca="1" si="13"/>
        <v>Billboards</v>
      </c>
      <c r="R229" s="157">
        <f>automotive_demand_forecasting_dataset567[[#This Row],[Units_Sold]]*automotive_demand_forecasting_dataset567[[#This Row],[Average_Price]]</f>
        <v>3000868.010493807</v>
      </c>
      <c r="S229" t="str">
        <f t="shared" ca="1" si="14"/>
        <v>OK</v>
      </c>
    </row>
    <row r="230" spans="1:19">
      <c r="A230" s="1">
        <v>48575</v>
      </c>
      <c r="B230" t="s">
        <v>14</v>
      </c>
      <c r="C230" t="str">
        <f>TEXT(automotive_demand_forecasting_dataset567[[#This Row],[Date]],"mmmm")</f>
        <v>December</v>
      </c>
      <c r="D230" t="str">
        <f>CHOOSE(MATCH(MONTH(A230), {1,4,7,10}), "Winter", "Spring", "Summer", "Autumn")</f>
        <v>Autumn</v>
      </c>
      <c r="E230">
        <f>YEAR(automotive_demand_forecasting_dataset567[[#This Row],[Date]])</f>
        <v>2032</v>
      </c>
      <c r="F230">
        <v>111</v>
      </c>
      <c r="G230">
        <f>(automotive_demand_forecasting_dataset567[[#This Row],[Units_Sold]] -$C$4) / $C$5</f>
        <v>1.1984748071812252</v>
      </c>
      <c r="H230" s="157" t="str">
        <f t="shared" ca="1" si="12"/>
        <v>South</v>
      </c>
      <c r="I230">
        <v>30077.895237907338</v>
      </c>
      <c r="J230">
        <v>3.7141535486038242</v>
      </c>
      <c r="K230">
        <v>3.9898634386020824</v>
      </c>
      <c r="L230">
        <v>5.616047043</v>
      </c>
      <c r="M230">
        <v>109400.88374736405</v>
      </c>
      <c r="N230" s="82">
        <v>93</v>
      </c>
      <c r="O230">
        <v>80.215177969999999</v>
      </c>
      <c r="P2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30" t="str">
        <f t="shared" ca="1" si="13"/>
        <v>TV</v>
      </c>
      <c r="R230" s="157">
        <f>automotive_demand_forecasting_dataset567[[#This Row],[Units_Sold]]*automotive_demand_forecasting_dataset567[[#This Row],[Average_Price]]</f>
        <v>3338646.3714077147</v>
      </c>
      <c r="S230" t="str">
        <f t="shared" ca="1" si="14"/>
        <v>OK</v>
      </c>
    </row>
    <row r="231" spans="1:19">
      <c r="A231" s="1">
        <v>48605</v>
      </c>
      <c r="B231" t="s">
        <v>12</v>
      </c>
      <c r="C231" t="str">
        <f>TEXT(automotive_demand_forecasting_dataset567[[#This Row],[Date]],"mmmm")</f>
        <v>January</v>
      </c>
      <c r="D231" t="str">
        <f>CHOOSE(MATCH(MONTH(A231), {1,4,7,10}), "Winter", "Spring", "Summer", "Autumn")</f>
        <v>Winter</v>
      </c>
      <c r="E231">
        <f>YEAR(automotive_demand_forecasting_dataset567[[#This Row],[Date]])</f>
        <v>2033</v>
      </c>
      <c r="F231">
        <v>97</v>
      </c>
      <c r="G231">
        <f>(automotive_demand_forecasting_dataset567[[#This Row],[Units_Sold]] -$C$4) / $C$5</f>
        <v>-0.23559761166810378</v>
      </c>
      <c r="H231" t="str">
        <f t="shared" ca="1" si="12"/>
        <v>East</v>
      </c>
      <c r="I231">
        <v>24518.624565523991</v>
      </c>
      <c r="J231">
        <v>3.4064278674977255</v>
      </c>
      <c r="K231">
        <v>0.89909602152348445</v>
      </c>
      <c r="L231">
        <v>5.0553902816919649</v>
      </c>
      <c r="M231">
        <v>85847.48210355948</v>
      </c>
      <c r="N231" s="82">
        <v>72</v>
      </c>
      <c r="O231">
        <v>33.089296331062101</v>
      </c>
      <c r="P2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31" t="str">
        <f t="shared" ca="1" si="13"/>
        <v>Billboards</v>
      </c>
      <c r="R231">
        <f>automotive_demand_forecasting_dataset567[[#This Row],[Units_Sold]]*automotive_demand_forecasting_dataset567[[#This Row],[Average_Price]]</f>
        <v>2378306.5828558272</v>
      </c>
      <c r="S231" t="str">
        <f t="shared" ca="1" si="14"/>
        <v>OK</v>
      </c>
    </row>
    <row r="232" spans="1:19">
      <c r="A232" s="1">
        <v>48635</v>
      </c>
      <c r="B232" t="s">
        <v>10</v>
      </c>
      <c r="C232" t="str">
        <f>TEXT(automotive_demand_forecasting_dataset567[[#This Row],[Date]],"mmmm")</f>
        <v>February</v>
      </c>
      <c r="D232" t="str">
        <f>CHOOSE(MATCH(MONTH(A232), {1,4,7,10}), "Winter", "Spring", "Summer", "Autumn")</f>
        <v>Winter</v>
      </c>
      <c r="E232">
        <f>YEAR(automotive_demand_forecasting_dataset567[[#This Row],[Date]])</f>
        <v>2033</v>
      </c>
      <c r="F232">
        <v>112</v>
      </c>
      <c r="G232">
        <f>(automotive_demand_forecasting_dataset567[[#This Row],[Units_Sold]] -$C$4) / $C$5</f>
        <v>1.3009085513847487</v>
      </c>
      <c r="H232" t="str">
        <f t="shared" ca="1" si="12"/>
        <v>North</v>
      </c>
      <c r="I232">
        <v>22799.745587028527</v>
      </c>
      <c r="J232">
        <v>3.9928649978399315</v>
      </c>
      <c r="K232">
        <v>1.6715029752197541</v>
      </c>
      <c r="L232">
        <v>3.8133195769856298</v>
      </c>
      <c r="M232">
        <v>85756.522716479129</v>
      </c>
      <c r="N232" s="82">
        <v>85</v>
      </c>
      <c r="O232">
        <v>65.454227669999995</v>
      </c>
      <c r="P2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32" t="str">
        <f t="shared" ca="1" si="13"/>
        <v>Online</v>
      </c>
      <c r="R232">
        <f>automotive_demand_forecasting_dataset567[[#This Row],[Units_Sold]]*automotive_demand_forecasting_dataset567[[#This Row],[Average_Price]]</f>
        <v>2553571.5057471949</v>
      </c>
      <c r="S232" t="str">
        <f t="shared" ca="1" si="14"/>
        <v>OK</v>
      </c>
    </row>
    <row r="233" spans="1:19">
      <c r="A233" s="1">
        <v>48665</v>
      </c>
      <c r="B233" t="s">
        <v>10</v>
      </c>
      <c r="C233" t="str">
        <f>TEXT(automotive_demand_forecasting_dataset567[[#This Row],[Date]],"mmmm")</f>
        <v>March</v>
      </c>
      <c r="D233" t="str">
        <f>CHOOSE(MATCH(MONTH(A233), {1,4,7,10}), "Winter", "Spring", "Summer", "Autumn")</f>
        <v>Winter</v>
      </c>
      <c r="E233">
        <f>YEAR(automotive_demand_forecasting_dataset567[[#This Row],[Date]])</f>
        <v>2033</v>
      </c>
      <c r="F233">
        <v>99</v>
      </c>
      <c r="G233">
        <f>(automotive_demand_forecasting_dataset567[[#This Row],[Units_Sold]] -$C$4) / $C$5</f>
        <v>-3.0730123261056761E-2</v>
      </c>
      <c r="H233" t="str">
        <f t="shared" ca="1" si="12"/>
        <v>West</v>
      </c>
      <c r="I233">
        <v>37972.525316124862</v>
      </c>
      <c r="J233">
        <v>4.0936930257823754</v>
      </c>
      <c r="K233">
        <v>2.3967452398509526</v>
      </c>
      <c r="L233">
        <v>5.5187420007395236</v>
      </c>
      <c r="M233">
        <v>97786.692628853416</v>
      </c>
      <c r="N233" s="82">
        <v>86</v>
      </c>
      <c r="O233">
        <v>73.943485896001974</v>
      </c>
      <c r="P2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33" t="str">
        <f t="shared" ca="1" si="13"/>
        <v>TV</v>
      </c>
      <c r="R233">
        <f>automotive_demand_forecasting_dataset567[[#This Row],[Units_Sold]]*automotive_demand_forecasting_dataset567[[#This Row],[Average_Price]]</f>
        <v>3759280.0062963613</v>
      </c>
      <c r="S233" t="str">
        <f t="shared" ca="1" si="14"/>
        <v>OK</v>
      </c>
    </row>
    <row r="234" spans="1:19">
      <c r="A234" s="1">
        <v>48695</v>
      </c>
      <c r="B234" t="s">
        <v>14</v>
      </c>
      <c r="C234" t="str">
        <f>TEXT(automotive_demand_forecasting_dataset567[[#This Row],[Date]],"mmmm")</f>
        <v>April</v>
      </c>
      <c r="D234" t="str">
        <f>CHOOSE(MATCH(MONTH(A234), {1,4,7,10}), "Winter", "Spring", "Summer", "Autumn")</f>
        <v>Spring</v>
      </c>
      <c r="E234">
        <f>YEAR(automotive_demand_forecasting_dataset567[[#This Row],[Date]])</f>
        <v>2033</v>
      </c>
      <c r="F234">
        <v>124</v>
      </c>
      <c r="G234">
        <f>(automotive_demand_forecasting_dataset567[[#This Row],[Units_Sold]] -$C$4) / $C$5</f>
        <v>2.5301134818270308</v>
      </c>
      <c r="H234" s="157" t="str">
        <f t="shared" ca="1" si="12"/>
        <v>West</v>
      </c>
      <c r="I234">
        <v>25765.193258408362</v>
      </c>
      <c r="J234">
        <v>4.7947818210093072</v>
      </c>
      <c r="K234">
        <v>0.85681118884583274</v>
      </c>
      <c r="L234">
        <f>6.97388673</f>
        <v>6.9738867300000003</v>
      </c>
      <c r="M234">
        <v>82067.155453695828</v>
      </c>
      <c r="N234" s="82">
        <v>93</v>
      </c>
      <c r="O234">
        <v>98.396435788662274</v>
      </c>
      <c r="P2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34" t="str">
        <f t="shared" ca="1" si="13"/>
        <v>Print</v>
      </c>
      <c r="R234" s="157">
        <f>automotive_demand_forecasting_dataset567[[#This Row],[Units_Sold]]*automotive_demand_forecasting_dataset567[[#This Row],[Average_Price]]</f>
        <v>3194883.964042637</v>
      </c>
      <c r="S234" t="str">
        <f t="shared" ca="1" si="14"/>
        <v>OK</v>
      </c>
    </row>
    <row r="235" spans="1:19">
      <c r="A235" s="1">
        <v>48725</v>
      </c>
      <c r="B235" t="s">
        <v>11</v>
      </c>
      <c r="C235" t="str">
        <f>TEXT(automotive_demand_forecasting_dataset567[[#This Row],[Date]],"mmmm")</f>
        <v>May</v>
      </c>
      <c r="D235" t="str">
        <f>CHOOSE(MATCH(MONTH(A235), {1,4,7,10}), "Winter", "Spring", "Summer", "Autumn")</f>
        <v>Spring</v>
      </c>
      <c r="E235">
        <f>YEAR(automotive_demand_forecasting_dataset567[[#This Row],[Date]])</f>
        <v>2033</v>
      </c>
      <c r="F235">
        <v>91</v>
      </c>
      <c r="G235">
        <f>(automotive_demand_forecasting_dataset567[[#This Row],[Units_Sold]] -$C$4) / $C$5</f>
        <v>-0.85020007688924482</v>
      </c>
      <c r="H235" t="str">
        <f t="shared" ca="1" si="12"/>
        <v>West</v>
      </c>
      <c r="I235">
        <v>25043.038252718463</v>
      </c>
      <c r="J235">
        <v>3.7898165866067877</v>
      </c>
      <c r="K235">
        <v>2.3241455955679289</v>
      </c>
      <c r="L235">
        <v>4.4106925838236961</v>
      </c>
      <c r="M235">
        <v>116839.67390904254</v>
      </c>
      <c r="N235" s="82">
        <v>87</v>
      </c>
      <c r="O235">
        <v>98.848058716224031</v>
      </c>
      <c r="P2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35" t="str">
        <f t="shared" ca="1" si="13"/>
        <v>TV</v>
      </c>
      <c r="R235">
        <f>automotive_demand_forecasting_dataset567[[#This Row],[Units_Sold]]*automotive_demand_forecasting_dataset567[[#This Row],[Average_Price]]</f>
        <v>2278916.4809973803</v>
      </c>
      <c r="S235" t="str">
        <f t="shared" ca="1" si="14"/>
        <v>OK</v>
      </c>
    </row>
    <row r="236" spans="1:19">
      <c r="A236" s="1">
        <v>48755</v>
      </c>
      <c r="B236" t="s">
        <v>14</v>
      </c>
      <c r="C236" t="str">
        <f>TEXT(automotive_demand_forecasting_dataset567[[#This Row],[Date]],"mmmm")</f>
        <v>June</v>
      </c>
      <c r="D236" t="str">
        <f>CHOOSE(MATCH(MONTH(A236), {1,4,7,10}), "Winter", "Spring", "Summer", "Autumn")</f>
        <v>Spring</v>
      </c>
      <c r="E236">
        <f>YEAR(automotive_demand_forecasting_dataset567[[#This Row],[Date]])</f>
        <v>2033</v>
      </c>
      <c r="F236">
        <v>103</v>
      </c>
      <c r="G236">
        <f>(automotive_demand_forecasting_dataset567[[#This Row],[Units_Sold]] -$C$4) / $C$5</f>
        <v>0.37900485355303726</v>
      </c>
      <c r="H236" s="157" t="str">
        <f t="shared" ca="1" si="12"/>
        <v>North</v>
      </c>
      <c r="I236">
        <v>19233.049431981424</v>
      </c>
      <c r="J236">
        <v>3.5380713799999999</v>
      </c>
      <c r="K236">
        <v>4.1614701657280184</v>
      </c>
      <c r="L236">
        <v>7.3231407083701221</v>
      </c>
      <c r="M236">
        <v>92615.855991051081</v>
      </c>
      <c r="N236" s="82">
        <v>81</v>
      </c>
      <c r="O236">
        <v>74.934288937930361</v>
      </c>
      <c r="P2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36" t="str">
        <f t="shared" ca="1" si="13"/>
        <v>Online</v>
      </c>
      <c r="R236" s="157">
        <f>automotive_demand_forecasting_dataset567[[#This Row],[Units_Sold]]*automotive_demand_forecasting_dataset567[[#This Row],[Average_Price]]</f>
        <v>1981004.0914940867</v>
      </c>
      <c r="S236" t="str">
        <f t="shared" ca="1" si="14"/>
        <v>OK</v>
      </c>
    </row>
    <row r="237" spans="1:19">
      <c r="A237" s="1">
        <v>48785</v>
      </c>
      <c r="B237" t="s">
        <v>14</v>
      </c>
      <c r="C237" t="str">
        <f>TEXT(automotive_demand_forecasting_dataset567[[#This Row],[Date]],"mmmm")</f>
        <v>July</v>
      </c>
      <c r="D237" t="str">
        <f>CHOOSE(MATCH(MONTH(A237), {1,4,7,10}), "Winter", "Spring", "Summer", "Autumn")</f>
        <v>Summer</v>
      </c>
      <c r="E237">
        <f>YEAR(automotive_demand_forecasting_dataset567[[#This Row],[Date]])</f>
        <v>2033</v>
      </c>
      <c r="F237">
        <v>86</v>
      </c>
      <c r="G237">
        <f>(automotive_demand_forecasting_dataset567[[#This Row],[Units_Sold]] -$C$4) / $C$5</f>
        <v>-1.3623687979068624</v>
      </c>
      <c r="H237" s="157" t="str">
        <f t="shared" ca="1" si="12"/>
        <v>West</v>
      </c>
      <c r="I237">
        <v>26805.191261552489</v>
      </c>
      <c r="J237">
        <v>4.5778345189999996</v>
      </c>
      <c r="K237">
        <v>2.5208864882959618</v>
      </c>
      <c r="L237">
        <v>6.1129505062331138</v>
      </c>
      <c r="M237">
        <v>41860.235613567173</v>
      </c>
      <c r="N237" s="82">
        <v>84</v>
      </c>
      <c r="O237">
        <v>39.489183358575545</v>
      </c>
      <c r="P2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37" t="str">
        <f t="shared" ca="1" si="13"/>
        <v>Print</v>
      </c>
      <c r="R237" s="157">
        <f>automotive_demand_forecasting_dataset567[[#This Row],[Units_Sold]]*automotive_demand_forecasting_dataset567[[#This Row],[Average_Price]]</f>
        <v>2305246.4484935142</v>
      </c>
      <c r="S237" t="str">
        <f t="shared" ca="1" si="14"/>
        <v>OK</v>
      </c>
    </row>
    <row r="238" spans="1:19">
      <c r="A238" s="1">
        <v>48815</v>
      </c>
      <c r="B238" t="s">
        <v>14</v>
      </c>
      <c r="C238" t="str">
        <f>TEXT(automotive_demand_forecasting_dataset567[[#This Row],[Date]],"mmmm")</f>
        <v>August</v>
      </c>
      <c r="D238" t="str">
        <f>CHOOSE(MATCH(MONTH(A238), {1,4,7,10}), "Winter", "Spring", "Summer", "Autumn")</f>
        <v>Summer</v>
      </c>
      <c r="E238">
        <f>YEAR(automotive_demand_forecasting_dataset567[[#This Row],[Date]])</f>
        <v>2033</v>
      </c>
      <c r="F238">
        <v>101</v>
      </c>
      <c r="G238">
        <f>(automotive_demand_forecasting_dataset567[[#This Row],[Units_Sold]] -$C$4) / $C$5</f>
        <v>0.17413736514599024</v>
      </c>
      <c r="H238" s="157" t="str">
        <f t="shared" ca="1" si="12"/>
        <v>North</v>
      </c>
      <c r="I238">
        <v>23384.55103296251</v>
      </c>
      <c r="J238">
        <v>3.3234168535946558</v>
      </c>
      <c r="K238">
        <v>2.7307009057186833</v>
      </c>
      <c r="L238">
        <v>6.7366967027488691</v>
      </c>
      <c r="M238">
        <v>92503.558867563872</v>
      </c>
      <c r="N238" s="82">
        <v>93</v>
      </c>
      <c r="O238">
        <v>83.884467050447924</v>
      </c>
      <c r="P2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38" t="str">
        <f t="shared" ca="1" si="13"/>
        <v>Billboards</v>
      </c>
      <c r="R238" s="157">
        <f>automotive_demand_forecasting_dataset567[[#This Row],[Units_Sold]]*automotive_demand_forecasting_dataset567[[#This Row],[Average_Price]]</f>
        <v>2361839.6543292133</v>
      </c>
      <c r="S238" t="str">
        <f t="shared" ca="1" si="14"/>
        <v>OK</v>
      </c>
    </row>
    <row r="239" spans="1:19">
      <c r="A239" s="1">
        <v>48845</v>
      </c>
      <c r="B239" t="s">
        <v>10</v>
      </c>
      <c r="C239" t="str">
        <f>TEXT(automotive_demand_forecasting_dataset567[[#This Row],[Date]],"mmmm")</f>
        <v>September</v>
      </c>
      <c r="D239" t="str">
        <f>CHOOSE(MATCH(MONTH(A239), {1,4,7,10}), "Winter", "Spring", "Summer", "Autumn")</f>
        <v>Summer</v>
      </c>
      <c r="E239">
        <f>YEAR(automotive_demand_forecasting_dataset567[[#This Row],[Date]])</f>
        <v>2033</v>
      </c>
      <c r="F239">
        <v>101</v>
      </c>
      <c r="G239">
        <f>(automotive_demand_forecasting_dataset567[[#This Row],[Units_Sold]] -$C$4) / $C$5</f>
        <v>0.17413736514599024</v>
      </c>
      <c r="H239" t="str">
        <f t="shared" ca="1" si="12"/>
        <v>West</v>
      </c>
      <c r="I239">
        <v>38210.075800681843</v>
      </c>
      <c r="J239">
        <v>4.5778345189999996</v>
      </c>
      <c r="K239">
        <v>1.2398352348274198</v>
      </c>
      <c r="L239">
        <v>4.7105985353774358</v>
      </c>
      <c r="M239">
        <v>79229.123583120556</v>
      </c>
      <c r="N239" s="82">
        <v>86</v>
      </c>
      <c r="O239">
        <v>28.562330736883048</v>
      </c>
      <c r="P2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39" t="str">
        <f t="shared" ca="1" si="13"/>
        <v>Print</v>
      </c>
      <c r="R239">
        <f>automotive_demand_forecasting_dataset567[[#This Row],[Units_Sold]]*automotive_demand_forecasting_dataset567[[#This Row],[Average_Price]]</f>
        <v>3859217.655868866</v>
      </c>
      <c r="S239" t="str">
        <f t="shared" ca="1" si="14"/>
        <v>OK</v>
      </c>
    </row>
    <row r="240" spans="1:19">
      <c r="A240" s="1">
        <v>48875</v>
      </c>
      <c r="B240" t="s">
        <v>10</v>
      </c>
      <c r="C240" t="str">
        <f>TEXT(automotive_demand_forecasting_dataset567[[#This Row],[Date]],"mmmm")</f>
        <v>October</v>
      </c>
      <c r="D240" t="str">
        <f>CHOOSE(MATCH(MONTH(A240), {1,4,7,10}), "Winter", "Spring", "Summer", "Autumn")</f>
        <v>Autumn</v>
      </c>
      <c r="E240">
        <f>YEAR(automotive_demand_forecasting_dataset567[[#This Row],[Date]])</f>
        <v>2033</v>
      </c>
      <c r="F240">
        <v>101</v>
      </c>
      <c r="G240">
        <f>(automotive_demand_forecasting_dataset567[[#This Row],[Units_Sold]] -$C$4) / $C$5</f>
        <v>0.17413736514599024</v>
      </c>
      <c r="H240" t="str">
        <f t="shared" ca="1" si="12"/>
        <v>West</v>
      </c>
      <c r="I240">
        <v>35049.085446713172</v>
      </c>
      <c r="J240">
        <v>3.3522992949304853</v>
      </c>
      <c r="K240">
        <v>1.8836385919605225</v>
      </c>
      <c r="L240">
        <v>6.5254302724799391</v>
      </c>
      <c r="M240">
        <v>67374.483690781082</v>
      </c>
      <c r="N240" s="82">
        <v>81</v>
      </c>
      <c r="O240">
        <v>82.455944333730287</v>
      </c>
      <c r="P2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40" t="str">
        <f t="shared" ca="1" si="13"/>
        <v>Online</v>
      </c>
      <c r="R240">
        <f>automotive_demand_forecasting_dataset567[[#This Row],[Units_Sold]]*automotive_demand_forecasting_dataset567[[#This Row],[Average_Price]]</f>
        <v>3539957.6301180306</v>
      </c>
      <c r="S240" t="str">
        <f t="shared" ca="1" si="14"/>
        <v>OK</v>
      </c>
    </row>
    <row r="241" spans="1:19">
      <c r="A241" s="1">
        <v>48905</v>
      </c>
      <c r="B241" t="s">
        <v>10</v>
      </c>
      <c r="C241" t="str">
        <f>TEXT(automotive_demand_forecasting_dataset567[[#This Row],[Date]],"mmmm")</f>
        <v>November</v>
      </c>
      <c r="D241" t="str">
        <f>CHOOSE(MATCH(MONTH(A241), {1,4,7,10}), "Winter", "Spring", "Summer", "Autumn")</f>
        <v>Autumn</v>
      </c>
      <c r="E241">
        <f>YEAR(automotive_demand_forecasting_dataset567[[#This Row],[Date]])</f>
        <v>2033</v>
      </c>
      <c r="F241">
        <v>113</v>
      </c>
      <c r="G241">
        <f>(automotive_demand_forecasting_dataset567[[#This Row],[Units_Sold]] -$C$4) / $C$5</f>
        <v>1.4033422955882724</v>
      </c>
      <c r="H241" t="str">
        <f t="shared" ca="1" si="12"/>
        <v>West</v>
      </c>
      <c r="I241">
        <v>26559.248274111382</v>
      </c>
      <c r="J241">
        <v>4.5778345189999996</v>
      </c>
      <c r="K241">
        <v>2.1248036196760629</v>
      </c>
      <c r="L241">
        <v>4.1896793195256254</v>
      </c>
      <c r="M241">
        <v>75251.467235548553</v>
      </c>
      <c r="N241" s="82">
        <v>99</v>
      </c>
      <c r="O241">
        <v>92.815689931575719</v>
      </c>
      <c r="P2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41" t="str">
        <f t="shared" ca="1" si="13"/>
        <v>TV</v>
      </c>
      <c r="R241">
        <f>automotive_demand_forecasting_dataset567[[#This Row],[Units_Sold]]*automotive_demand_forecasting_dataset567[[#This Row],[Average_Price]]</f>
        <v>3001195.0549745862</v>
      </c>
      <c r="S241" t="str">
        <f t="shared" ca="1" si="14"/>
        <v>OK</v>
      </c>
    </row>
    <row r="242" spans="1:19">
      <c r="A242" s="1">
        <v>48935</v>
      </c>
      <c r="B242" t="s">
        <v>14</v>
      </c>
      <c r="C242" t="str">
        <f>TEXT(automotive_demand_forecasting_dataset567[[#This Row],[Date]],"mmmm")</f>
        <v>December</v>
      </c>
      <c r="D242" t="str">
        <f>CHOOSE(MATCH(MONTH(A242), {1,4,7,10}), "Winter", "Spring", "Summer", "Autumn")</f>
        <v>Autumn</v>
      </c>
      <c r="E242">
        <f>YEAR(automotive_demand_forecasting_dataset567[[#This Row],[Date]])</f>
        <v>2033</v>
      </c>
      <c r="F242">
        <v>87</v>
      </c>
      <c r="G242">
        <f>(automotive_demand_forecasting_dataset567[[#This Row],[Units_Sold]] -$C$4) / $C$5</f>
        <v>-1.2599350537033389</v>
      </c>
      <c r="H242" s="157" t="str">
        <f t="shared" ca="1" si="12"/>
        <v>East</v>
      </c>
      <c r="I242">
        <v>41262.17902672154</v>
      </c>
      <c r="J242">
        <v>4.1587987678039795</v>
      </c>
      <c r="K242">
        <v>2.1822849032437661</v>
      </c>
      <c r="L242">
        <v>6.5682970010038106</v>
      </c>
      <c r="M242">
        <v>102188.1694366594</v>
      </c>
      <c r="N242" s="82">
        <v>86</v>
      </c>
      <c r="O242">
        <v>50.626671581474824</v>
      </c>
      <c r="P2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42" t="str">
        <f t="shared" ca="1" si="13"/>
        <v>TV</v>
      </c>
      <c r="R242" s="157">
        <f>automotive_demand_forecasting_dataset567[[#This Row],[Units_Sold]]*automotive_demand_forecasting_dataset567[[#This Row],[Average_Price]]</f>
        <v>3589809.5753247738</v>
      </c>
      <c r="S242" t="str">
        <f t="shared" ca="1" si="14"/>
        <v>OK</v>
      </c>
    </row>
    <row r="243" spans="1:19">
      <c r="A243" s="1">
        <v>48965</v>
      </c>
      <c r="B243" t="s">
        <v>11</v>
      </c>
      <c r="C243" t="str">
        <f>TEXT(automotive_demand_forecasting_dataset567[[#This Row],[Date]],"mmmm")</f>
        <v>January</v>
      </c>
      <c r="D243" t="str">
        <f>CHOOSE(MATCH(MONTH(A243), {1,4,7,10}), "Winter", "Spring", "Summer", "Autumn")</f>
        <v>Winter</v>
      </c>
      <c r="E243">
        <f>YEAR(automotive_demand_forecasting_dataset567[[#This Row],[Date]])</f>
        <v>2034</v>
      </c>
      <c r="F243">
        <v>108</v>
      </c>
      <c r="G243">
        <f>(automotive_demand_forecasting_dataset567[[#This Row],[Units_Sold]] -$C$4) / $C$5</f>
        <v>0.89117357457065483</v>
      </c>
      <c r="H243" t="str">
        <f t="shared" ca="1" si="12"/>
        <v>South</v>
      </c>
      <c r="I243">
        <v>34908.827434957973</v>
      </c>
      <c r="J243">
        <v>2.9967287173601793</v>
      </c>
      <c r="K243">
        <v>3.7816437950037685</v>
      </c>
      <c r="L243">
        <v>5.7062072077522377</v>
      </c>
      <c r="M243">
        <f>128897.2893</f>
        <v>128897.2893</v>
      </c>
      <c r="N243" s="82">
        <v>85</v>
      </c>
      <c r="O243">
        <v>70.450823598646437</v>
      </c>
      <c r="P2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43" t="str">
        <f t="shared" ca="1" si="13"/>
        <v>TV</v>
      </c>
      <c r="R243">
        <f>automotive_demand_forecasting_dataset567[[#This Row],[Units_Sold]]*automotive_demand_forecasting_dataset567[[#This Row],[Average_Price]]</f>
        <v>3770153.3629754609</v>
      </c>
      <c r="S243" t="str">
        <f t="shared" ca="1" si="14"/>
        <v>OK</v>
      </c>
    </row>
    <row r="244" spans="1:19">
      <c r="A244" s="1">
        <v>48995</v>
      </c>
      <c r="B244" t="s">
        <v>10</v>
      </c>
      <c r="C244" t="str">
        <f>TEXT(automotive_demand_forecasting_dataset567[[#This Row],[Date]],"mmmm")</f>
        <v>February</v>
      </c>
      <c r="D244" t="str">
        <f>CHOOSE(MATCH(MONTH(A244), {1,4,7,10}), "Winter", "Spring", "Summer", "Autumn")</f>
        <v>Winter</v>
      </c>
      <c r="E244">
        <f>YEAR(automotive_demand_forecasting_dataset567[[#This Row],[Date]])</f>
        <v>2034</v>
      </c>
      <c r="F244">
        <v>100</v>
      </c>
      <c r="G244">
        <f>(automotive_demand_forecasting_dataset567[[#This Row],[Units_Sold]] -$C$4) / $C$5</f>
        <v>7.1703620942466739E-2</v>
      </c>
      <c r="H244" t="str">
        <f t="shared" ca="1" si="12"/>
        <v>South</v>
      </c>
      <c r="I244">
        <v>30949.702720000001</v>
      </c>
      <c r="J244">
        <v>4.0699392805645225</v>
      </c>
      <c r="K244">
        <v>3.0576910607251246</v>
      </c>
      <c r="L244">
        <v>6.1639014639817402</v>
      </c>
      <c r="M244">
        <v>106263.6894772996</v>
      </c>
      <c r="N244" s="82">
        <v>93</v>
      </c>
      <c r="O244">
        <v>54.411418567746104</v>
      </c>
      <c r="P2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44" t="str">
        <f t="shared" ca="1" si="13"/>
        <v>Online</v>
      </c>
      <c r="R244">
        <f>automotive_demand_forecasting_dataset567[[#This Row],[Units_Sold]]*automotive_demand_forecasting_dataset567[[#This Row],[Average_Price]]</f>
        <v>3094970.2719999999</v>
      </c>
      <c r="S244" t="str">
        <f t="shared" ca="1" si="14"/>
        <v>OK</v>
      </c>
    </row>
    <row r="245" spans="1:19">
      <c r="A245" s="1">
        <v>49025</v>
      </c>
      <c r="B245" t="s">
        <v>12</v>
      </c>
      <c r="C245" t="str">
        <f>TEXT(automotive_demand_forecasting_dataset567[[#This Row],[Date]],"mmmm")</f>
        <v>March</v>
      </c>
      <c r="D245" t="str">
        <f>CHOOSE(MATCH(MONTH(A245), {1,4,7,10}), "Winter", "Spring", "Summer", "Autumn")</f>
        <v>Winter</v>
      </c>
      <c r="E245">
        <f>YEAR(automotive_demand_forecasting_dataset567[[#This Row],[Date]])</f>
        <v>2034</v>
      </c>
      <c r="F245">
        <v>87</v>
      </c>
      <c r="G245">
        <f>(automotive_demand_forecasting_dataset567[[#This Row],[Units_Sold]] -$C$4) / $C$5</f>
        <v>-1.2599350537033389</v>
      </c>
      <c r="H245" t="str">
        <f t="shared" ca="1" si="12"/>
        <v>West</v>
      </c>
      <c r="I245">
        <v>17502.971425632135</v>
      </c>
      <c r="J245">
        <v>4.1585575336699323</v>
      </c>
      <c r="K245">
        <v>1.388542043062968</v>
      </c>
      <c r="L245">
        <v>4.0892864732501781</v>
      </c>
      <c r="M245">
        <v>87869.932235685206</v>
      </c>
      <c r="N245" s="82">
        <v>87</v>
      </c>
      <c r="O245">
        <v>55.021204399050276</v>
      </c>
      <c r="P2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45" t="str">
        <f t="shared" ca="1" si="13"/>
        <v>Online</v>
      </c>
      <c r="R245">
        <f>automotive_demand_forecasting_dataset567[[#This Row],[Units_Sold]]*automotive_demand_forecasting_dataset567[[#This Row],[Average_Price]]</f>
        <v>1522758.5140299958</v>
      </c>
      <c r="S245" t="str">
        <f t="shared" ca="1" si="14"/>
        <v>OK</v>
      </c>
    </row>
    <row r="246" spans="1:19">
      <c r="A246" s="1">
        <v>49055</v>
      </c>
      <c r="B246" t="s">
        <v>12</v>
      </c>
      <c r="C246" t="str">
        <f>TEXT(automotive_demand_forecasting_dataset567[[#This Row],[Date]],"mmmm")</f>
        <v>April</v>
      </c>
      <c r="D246" t="str">
        <f>CHOOSE(MATCH(MONTH(A246), {1,4,7,10}), "Winter", "Spring", "Summer", "Autumn")</f>
        <v>Spring</v>
      </c>
      <c r="E246">
        <f>YEAR(automotive_demand_forecasting_dataset567[[#This Row],[Date]])</f>
        <v>2034</v>
      </c>
      <c r="F246">
        <v>96</v>
      </c>
      <c r="G246">
        <f>(automotive_demand_forecasting_dataset567[[#This Row],[Units_Sold]] -$C$4) / $C$5</f>
        <v>-0.33803135587162725</v>
      </c>
      <c r="H246" t="str">
        <f t="shared" ca="1" si="12"/>
        <v>West</v>
      </c>
      <c r="I246">
        <v>41454.712862953711</v>
      </c>
      <c r="J246">
        <v>3.4409657365044608</v>
      </c>
      <c r="K246">
        <v>2.7465047784320049</v>
      </c>
      <c r="L246">
        <v>4.4259161892680741</v>
      </c>
      <c r="M246">
        <v>109118.08390341405</v>
      </c>
      <c r="N246" s="82">
        <v>78</v>
      </c>
      <c r="O246">
        <v>65.454227669999995</v>
      </c>
      <c r="P2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46" t="str">
        <f t="shared" ca="1" si="13"/>
        <v>Radio</v>
      </c>
      <c r="R246">
        <f>automotive_demand_forecasting_dataset567[[#This Row],[Units_Sold]]*automotive_demand_forecasting_dataset567[[#This Row],[Average_Price]]</f>
        <v>3979652.434843556</v>
      </c>
      <c r="S246" t="str">
        <f t="shared" ca="1" si="14"/>
        <v>OK</v>
      </c>
    </row>
    <row r="247" spans="1:19">
      <c r="A247" s="1">
        <v>49085</v>
      </c>
      <c r="B247" t="s">
        <v>12</v>
      </c>
      <c r="C247" t="str">
        <f>TEXT(automotive_demand_forecasting_dataset567[[#This Row],[Date]],"mmmm")</f>
        <v>May</v>
      </c>
      <c r="D247" t="str">
        <f>CHOOSE(MATCH(MONTH(A247), {1,4,7,10}), "Winter", "Spring", "Summer", "Autumn")</f>
        <v>Spring</v>
      </c>
      <c r="E247">
        <f>YEAR(automotive_demand_forecasting_dataset567[[#This Row],[Date]])</f>
        <v>2034</v>
      </c>
      <c r="F247">
        <v>97</v>
      </c>
      <c r="G247">
        <f>(automotive_demand_forecasting_dataset567[[#This Row],[Units_Sold]] -$C$4) / $C$5</f>
        <v>-0.23559761166810378</v>
      </c>
      <c r="H247" t="str">
        <f t="shared" ca="1" si="12"/>
        <v>West</v>
      </c>
      <c r="I247">
        <v>23052.137666182018</v>
      </c>
      <c r="J247">
        <v>2.4390725504957027</v>
      </c>
      <c r="K247">
        <v>2.998221748496785</v>
      </c>
      <c r="L247">
        <v>6.216673861904062</v>
      </c>
      <c r="M247">
        <f>128897.2893</f>
        <v>128897.2893</v>
      </c>
      <c r="N247" s="82">
        <v>75</v>
      </c>
      <c r="O247">
        <v>80.970369636025964</v>
      </c>
      <c r="P2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47" t="str">
        <f t="shared" ca="1" si="13"/>
        <v>TV</v>
      </c>
      <c r="R247">
        <f>automotive_demand_forecasting_dataset567[[#This Row],[Units_Sold]]*automotive_demand_forecasting_dataset567[[#This Row],[Average_Price]]</f>
        <v>2236057.3536196556</v>
      </c>
      <c r="S247" t="str">
        <f t="shared" ca="1" si="14"/>
        <v>OK</v>
      </c>
    </row>
    <row r="248" spans="1:19">
      <c r="A248" s="1">
        <v>49115</v>
      </c>
      <c r="B248" t="s">
        <v>13</v>
      </c>
      <c r="C248" t="str">
        <f>TEXT(automotive_demand_forecasting_dataset567[[#This Row],[Date]],"mmmm")</f>
        <v>June</v>
      </c>
      <c r="D248" t="str">
        <f>CHOOSE(MATCH(MONTH(A248), {1,4,7,10}), "Winter", "Spring", "Summer", "Autumn")</f>
        <v>Spring</v>
      </c>
      <c r="E248">
        <f>YEAR(automotive_demand_forecasting_dataset567[[#This Row],[Date]])</f>
        <v>2034</v>
      </c>
      <c r="F248">
        <v>116</v>
      </c>
      <c r="G248">
        <f>(automotive_demand_forecasting_dataset567[[#This Row],[Units_Sold]] -$C$4) / $C$5</f>
        <v>1.7106435281988428</v>
      </c>
      <c r="H248" t="str">
        <f t="shared" ca="1" si="12"/>
        <v>South</v>
      </c>
      <c r="I248">
        <v>38106.295579999998</v>
      </c>
      <c r="J248">
        <v>3.1960890064527838</v>
      </c>
      <c r="K248">
        <v>3.6401490385212663</v>
      </c>
      <c r="L248">
        <v>4.3619823949309593</v>
      </c>
      <c r="M248">
        <v>86107.992616737116</v>
      </c>
      <c r="N248" s="82">
        <v>77</v>
      </c>
      <c r="O248">
        <v>94.894125133320415</v>
      </c>
      <c r="P2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48" t="str">
        <f t="shared" ca="1" si="13"/>
        <v>Online</v>
      </c>
      <c r="R248">
        <f>automotive_demand_forecasting_dataset567[[#This Row],[Units_Sold]]*automotive_demand_forecasting_dataset567[[#This Row],[Average_Price]]</f>
        <v>4420330.2872799998</v>
      </c>
      <c r="S248" t="str">
        <f t="shared" ca="1" si="14"/>
        <v>OK</v>
      </c>
    </row>
    <row r="249" spans="1:19">
      <c r="A249" s="1">
        <v>49145</v>
      </c>
      <c r="B249" t="s">
        <v>14</v>
      </c>
      <c r="C249" t="str">
        <f>TEXT(automotive_demand_forecasting_dataset567[[#This Row],[Date]],"mmmm")</f>
        <v>July</v>
      </c>
      <c r="D249" t="str">
        <f>CHOOSE(MATCH(MONTH(A249), {1,4,7,10}), "Winter", "Spring", "Summer", "Autumn")</f>
        <v>Summer</v>
      </c>
      <c r="E249">
        <f>YEAR(automotive_demand_forecasting_dataset567[[#This Row],[Date]])</f>
        <v>2034</v>
      </c>
      <c r="F249">
        <v>100</v>
      </c>
      <c r="G249">
        <f>(automotive_demand_forecasting_dataset567[[#This Row],[Units_Sold]] -$C$4) / $C$5</f>
        <v>7.1703620942466739E-2</v>
      </c>
      <c r="H249" s="157" t="str">
        <f t="shared" ca="1" si="12"/>
        <v>West</v>
      </c>
      <c r="I249">
        <v>35112.852160048198</v>
      </c>
      <c r="J249">
        <v>4.1484972732805545</v>
      </c>
      <c r="K249">
        <f>3.224108373</f>
        <v>3.224108373</v>
      </c>
      <c r="L249">
        <v>6.0558475505189477</v>
      </c>
      <c r="M249">
        <v>76912.746635340314</v>
      </c>
      <c r="N249" s="82">
        <f>111.9136842</f>
        <v>111.91368420000001</v>
      </c>
      <c r="O249">
        <v>95.260068738756885</v>
      </c>
      <c r="P2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49" t="str">
        <f t="shared" ca="1" si="13"/>
        <v>Print</v>
      </c>
      <c r="R249" s="157">
        <f>automotive_demand_forecasting_dataset567[[#This Row],[Units_Sold]]*automotive_demand_forecasting_dataset567[[#This Row],[Average_Price]]</f>
        <v>3511285.2160048196</v>
      </c>
      <c r="S249" t="str">
        <f t="shared" ca="1" si="14"/>
        <v>OK</v>
      </c>
    </row>
    <row r="250" spans="1:19">
      <c r="A250" s="1">
        <v>49175</v>
      </c>
      <c r="B250" t="s">
        <v>12</v>
      </c>
      <c r="C250" t="str">
        <f>TEXT(automotive_demand_forecasting_dataset567[[#This Row],[Date]],"mmmm")</f>
        <v>August</v>
      </c>
      <c r="D250" t="str">
        <f>CHOOSE(MATCH(MONTH(A250), {1,4,7,10}), "Winter", "Spring", "Summer", "Autumn")</f>
        <v>Summer</v>
      </c>
      <c r="E250">
        <f>YEAR(automotive_demand_forecasting_dataset567[[#This Row],[Date]])</f>
        <v>2034</v>
      </c>
      <c r="F250">
        <v>97</v>
      </c>
      <c r="G250">
        <f>(automotive_demand_forecasting_dataset567[[#This Row],[Units_Sold]] -$C$4) / $C$5</f>
        <v>-0.23559761166810378</v>
      </c>
      <c r="H250" t="str">
        <f t="shared" ca="1" si="12"/>
        <v>South</v>
      </c>
      <c r="I250">
        <v>42198.762031696366</v>
      </c>
      <c r="J250">
        <v>3.4885659688505588</v>
      </c>
      <c r="K250">
        <v>1.4849058081721314</v>
      </c>
      <c r="L250">
        <v>5.616047043</v>
      </c>
      <c r="M250">
        <v>64963.423864965618</v>
      </c>
      <c r="N250" s="82">
        <v>90</v>
      </c>
      <c r="O250">
        <v>33.982502789994705</v>
      </c>
      <c r="P2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50" t="str">
        <f t="shared" ca="1" si="13"/>
        <v>Online</v>
      </c>
      <c r="R250">
        <f>automotive_demand_forecasting_dataset567[[#This Row],[Units_Sold]]*automotive_demand_forecasting_dataset567[[#This Row],[Average_Price]]</f>
        <v>4093279.9170745476</v>
      </c>
      <c r="S250" t="str">
        <f t="shared" ca="1" si="14"/>
        <v>OK</v>
      </c>
    </row>
    <row r="251" spans="1:19">
      <c r="A251" s="1">
        <v>49205</v>
      </c>
      <c r="B251" t="s">
        <v>14</v>
      </c>
      <c r="C251" t="str">
        <f>TEXT(automotive_demand_forecasting_dataset567[[#This Row],[Date]],"mmmm")</f>
        <v>September</v>
      </c>
      <c r="D251" t="str">
        <f>CHOOSE(MATCH(MONTH(A251), {1,4,7,10}), "Winter", "Spring", "Summer", "Autumn")</f>
        <v>Summer</v>
      </c>
      <c r="E251">
        <f>YEAR(automotive_demand_forecasting_dataset567[[#This Row],[Date]])</f>
        <v>2034</v>
      </c>
      <c r="F251">
        <v>100</v>
      </c>
      <c r="G251">
        <f>(automotive_demand_forecasting_dataset567[[#This Row],[Units_Sold]] -$C$4) / $C$5</f>
        <v>7.1703620942466739E-2</v>
      </c>
      <c r="H251" s="157" t="str">
        <f t="shared" ca="1" si="12"/>
        <v>West</v>
      </c>
      <c r="I251">
        <v>36921.364092552591</v>
      </c>
      <c r="J251">
        <v>3.0003488838525447</v>
      </c>
      <c r="K251">
        <v>1.6891424887896618</v>
      </c>
      <c r="L251">
        <v>6.5178090552000016</v>
      </c>
      <c r="M251">
        <f>128897.2893</f>
        <v>128897.2893</v>
      </c>
      <c r="N251" s="82">
        <v>97</v>
      </c>
      <c r="O251">
        <v>89.979491972525281</v>
      </c>
      <c r="P2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51" t="str">
        <f t="shared" ca="1" si="13"/>
        <v>Billboards</v>
      </c>
      <c r="R251" s="157">
        <f>automotive_demand_forecasting_dataset567[[#This Row],[Units_Sold]]*automotive_demand_forecasting_dataset567[[#This Row],[Average_Price]]</f>
        <v>3692136.4092552592</v>
      </c>
      <c r="S251" t="str">
        <f t="shared" ca="1" si="14"/>
        <v>OK</v>
      </c>
    </row>
    <row r="252" spans="1:19">
      <c r="A252" s="1">
        <v>49235</v>
      </c>
      <c r="B252" t="s">
        <v>12</v>
      </c>
      <c r="C252" t="str">
        <f>TEXT(automotive_demand_forecasting_dataset567[[#This Row],[Date]],"mmmm")</f>
        <v>October</v>
      </c>
      <c r="D252" t="str">
        <f>CHOOSE(MATCH(MONTH(A252), {1,4,7,10}), "Winter", "Spring", "Summer", "Autumn")</f>
        <v>Autumn</v>
      </c>
      <c r="E252">
        <f>YEAR(automotive_demand_forecasting_dataset567[[#This Row],[Date]])</f>
        <v>2034</v>
      </c>
      <c r="F252">
        <v>99</v>
      </c>
      <c r="G252">
        <f>(automotive_demand_forecasting_dataset567[[#This Row],[Units_Sold]] -$C$4) / $C$5</f>
        <v>-3.0730123261056761E-2</v>
      </c>
      <c r="H252" t="str">
        <f t="shared" ca="1" si="12"/>
        <v>North</v>
      </c>
      <c r="I252">
        <v>32819.545600261801</v>
      </c>
      <c r="J252">
        <v>3.2476125393858912</v>
      </c>
      <c r="K252">
        <v>1.2424221410853837</v>
      </c>
      <c r="L252">
        <v>4.0209720222777889</v>
      </c>
      <c r="M252">
        <v>103161.06979840263</v>
      </c>
      <c r="N252" s="82">
        <v>103</v>
      </c>
      <c r="O252">
        <v>78.994515314169774</v>
      </c>
      <c r="P2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52" t="str">
        <f t="shared" ca="1" si="13"/>
        <v>Online</v>
      </c>
      <c r="R252">
        <f>automotive_demand_forecasting_dataset567[[#This Row],[Units_Sold]]*automotive_demand_forecasting_dataset567[[#This Row],[Average_Price]]</f>
        <v>3249135.0144259185</v>
      </c>
      <c r="S252" t="str">
        <f t="shared" ca="1" si="14"/>
        <v>OK</v>
      </c>
    </row>
    <row r="253" spans="1:19">
      <c r="A253" s="1">
        <v>49265</v>
      </c>
      <c r="B253" t="s">
        <v>11</v>
      </c>
      <c r="C253" t="str">
        <f>TEXT(automotive_demand_forecasting_dataset567[[#This Row],[Date]],"mmmm")</f>
        <v>November</v>
      </c>
      <c r="D253" t="str">
        <f>CHOOSE(MATCH(MONTH(A253), {1,4,7,10}), "Winter", "Spring", "Summer", "Autumn")</f>
        <v>Autumn</v>
      </c>
      <c r="E253">
        <f>YEAR(automotive_demand_forecasting_dataset567[[#This Row],[Date]])</f>
        <v>2034</v>
      </c>
      <c r="F253">
        <v>100</v>
      </c>
      <c r="G253">
        <f>(automotive_demand_forecasting_dataset567[[#This Row],[Units_Sold]] -$C$4) / $C$5</f>
        <v>7.1703620942466739E-2</v>
      </c>
      <c r="H253" t="str">
        <f t="shared" ca="1" si="12"/>
        <v>North</v>
      </c>
      <c r="I253">
        <v>32973.771708326429</v>
      </c>
      <c r="J253">
        <v>3.9203100132522763</v>
      </c>
      <c r="K253">
        <v>2.2659801408930185</v>
      </c>
      <c r="L253">
        <v>6.1627599252154281</v>
      </c>
      <c r="M253">
        <v>98067.526599702207</v>
      </c>
      <c r="N253" s="82">
        <f>111.9136842</f>
        <v>111.91368420000001</v>
      </c>
      <c r="O253">
        <v>40.226992055223143</v>
      </c>
      <c r="P2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53" t="str">
        <f t="shared" ca="1" si="13"/>
        <v>Billboards</v>
      </c>
      <c r="R253">
        <f>automotive_demand_forecasting_dataset567[[#This Row],[Units_Sold]]*automotive_demand_forecasting_dataset567[[#This Row],[Average_Price]]</f>
        <v>3297377.1708326428</v>
      </c>
      <c r="S253" t="str">
        <f t="shared" ca="1" si="14"/>
        <v>OK</v>
      </c>
    </row>
    <row r="254" spans="1:19">
      <c r="A254" s="1">
        <v>49295</v>
      </c>
      <c r="B254" t="s">
        <v>14</v>
      </c>
      <c r="C254" t="str">
        <f>TEXT(automotive_demand_forecasting_dataset567[[#This Row],[Date]],"mmmm")</f>
        <v>December</v>
      </c>
      <c r="D254" t="str">
        <f>CHOOSE(MATCH(MONTH(A254), {1,4,7,10}), "Winter", "Spring", "Summer", "Autumn")</f>
        <v>Autumn</v>
      </c>
      <c r="E254">
        <f>YEAR(automotive_demand_forecasting_dataset567[[#This Row],[Date]])</f>
        <v>2034</v>
      </c>
      <c r="F254">
        <v>100</v>
      </c>
      <c r="G254">
        <f>(automotive_demand_forecasting_dataset567[[#This Row],[Units_Sold]] -$C$4) / $C$5</f>
        <v>7.1703620942466739E-2</v>
      </c>
      <c r="H254" s="157" t="str">
        <f t="shared" ca="1" si="12"/>
        <v>West</v>
      </c>
      <c r="I254">
        <v>34267.077793901539</v>
      </c>
      <c r="J254">
        <v>4.5778345189999996</v>
      </c>
      <c r="K254">
        <v>2.9663583744463344</v>
      </c>
      <c r="L254">
        <v>6.2507571203752015</v>
      </c>
      <c r="M254">
        <v>91680.661441052827</v>
      </c>
      <c r="N254" s="82">
        <v>85</v>
      </c>
      <c r="O254">
        <v>25.382769033721164</v>
      </c>
      <c r="P2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54" t="str">
        <f t="shared" ca="1" si="13"/>
        <v>Online</v>
      </c>
      <c r="R254" s="157">
        <f>automotive_demand_forecasting_dataset567[[#This Row],[Units_Sold]]*automotive_demand_forecasting_dataset567[[#This Row],[Average_Price]]</f>
        <v>3426707.7793901539</v>
      </c>
      <c r="S254" t="str">
        <f t="shared" ca="1" si="14"/>
        <v>OK</v>
      </c>
    </row>
    <row r="255" spans="1:19">
      <c r="A255" s="1">
        <v>49325</v>
      </c>
      <c r="B255" t="s">
        <v>12</v>
      </c>
      <c r="C255" t="str">
        <f>TEXT(automotive_demand_forecasting_dataset567[[#This Row],[Date]],"mmmm")</f>
        <v>January</v>
      </c>
      <c r="D255" t="str">
        <f>CHOOSE(MATCH(MONTH(A255), {1,4,7,10}), "Winter", "Spring", "Summer", "Autumn")</f>
        <v>Winter</v>
      </c>
      <c r="E255">
        <f>YEAR(automotive_demand_forecasting_dataset567[[#This Row],[Date]])</f>
        <v>2035</v>
      </c>
      <c r="F255">
        <v>82</v>
      </c>
      <c r="G255">
        <f>(automotive_demand_forecasting_dataset567[[#This Row],[Units_Sold]] -$C$4) / $C$5</f>
        <v>-1.7721037747209563</v>
      </c>
      <c r="H255" t="str">
        <f t="shared" ca="1" si="12"/>
        <v>South</v>
      </c>
      <c r="I255">
        <v>33794.642948933826</v>
      </c>
      <c r="J255">
        <v>3.380533950415153</v>
      </c>
      <c r="K255">
        <v>2.6520564320000002</v>
      </c>
      <c r="L255">
        <v>4.6638738178845101</v>
      </c>
      <c r="M255">
        <v>81085.078786064376</v>
      </c>
      <c r="N255" s="82">
        <v>98</v>
      </c>
      <c r="O255">
        <v>41.439781350750238</v>
      </c>
      <c r="P2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55" t="str">
        <f t="shared" ca="1" si="13"/>
        <v>Radio</v>
      </c>
      <c r="R255">
        <f>automotive_demand_forecasting_dataset567[[#This Row],[Units_Sold]]*automotive_demand_forecasting_dataset567[[#This Row],[Average_Price]]</f>
        <v>2771160.7218125737</v>
      </c>
      <c r="S255" t="str">
        <f t="shared" ca="1" si="14"/>
        <v>OK</v>
      </c>
    </row>
    <row r="256" spans="1:19">
      <c r="A256" s="1">
        <v>49355</v>
      </c>
      <c r="B256" t="s">
        <v>10</v>
      </c>
      <c r="C256" t="str">
        <f>TEXT(automotive_demand_forecasting_dataset567[[#This Row],[Date]],"mmmm")</f>
        <v>February</v>
      </c>
      <c r="D256" t="str">
        <f>CHOOSE(MATCH(MONTH(A256), {1,4,7,10}), "Winter", "Spring", "Summer", "Autumn")</f>
        <v>Winter</v>
      </c>
      <c r="E256">
        <f>YEAR(automotive_demand_forecasting_dataset567[[#This Row],[Date]])</f>
        <v>2035</v>
      </c>
      <c r="F256">
        <v>87</v>
      </c>
      <c r="G256">
        <f>(automotive_demand_forecasting_dataset567[[#This Row],[Units_Sold]] -$C$4) / $C$5</f>
        <v>-1.2599350537033389</v>
      </c>
      <c r="H256" t="str">
        <f t="shared" ca="1" si="12"/>
        <v>East</v>
      </c>
      <c r="I256">
        <v>31405.95711984688</v>
      </c>
      <c r="J256">
        <v>3.3165877940926562</v>
      </c>
      <c r="K256">
        <v>2.4240489763574771</v>
      </c>
      <c r="L256">
        <v>6.1984318805016727</v>
      </c>
      <c r="M256">
        <v>112164.92383369937</v>
      </c>
      <c r="N256" s="82">
        <v>93</v>
      </c>
      <c r="O256">
        <v>92.97665894252205</v>
      </c>
      <c r="P2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56" t="str">
        <f t="shared" ca="1" si="13"/>
        <v>TV</v>
      </c>
      <c r="R256">
        <f>automotive_demand_forecasting_dataset567[[#This Row],[Units_Sold]]*automotive_demand_forecasting_dataset567[[#This Row],[Average_Price]]</f>
        <v>2732318.2694266788</v>
      </c>
      <c r="S256" t="str">
        <f t="shared" ca="1" si="14"/>
        <v>OK</v>
      </c>
    </row>
    <row r="257" spans="1:19">
      <c r="A257" s="1">
        <v>49385</v>
      </c>
      <c r="B257" t="s">
        <v>14</v>
      </c>
      <c r="C257" t="str">
        <f>TEXT(automotive_demand_forecasting_dataset567[[#This Row],[Date]],"mmmm")</f>
        <v>March</v>
      </c>
      <c r="D257" t="str">
        <f>CHOOSE(MATCH(MONTH(A257), {1,4,7,10}), "Winter", "Spring", "Summer", "Autumn")</f>
        <v>Winter</v>
      </c>
      <c r="E257">
        <f>YEAR(automotive_demand_forecasting_dataset567[[#This Row],[Date]])</f>
        <v>2035</v>
      </c>
      <c r="F257">
        <v>87</v>
      </c>
      <c r="G257">
        <f>(automotive_demand_forecasting_dataset567[[#This Row],[Units_Sold]] -$C$4) / $C$5</f>
        <v>-1.2599350537033389</v>
      </c>
      <c r="H257" s="157" t="str">
        <f t="shared" ca="1" si="12"/>
        <v>South</v>
      </c>
      <c r="I257">
        <v>30521.005519759379</v>
      </c>
      <c r="J257">
        <v>3.304120925478089</v>
      </c>
      <c r="K257">
        <v>2.1801524767451559</v>
      </c>
      <c r="L257">
        <v>5.8125307160002668</v>
      </c>
      <c r="M257">
        <v>73657.361601068304</v>
      </c>
      <c r="N257" s="82">
        <v>69</v>
      </c>
      <c r="O257">
        <v>70.654293991661774</v>
      </c>
      <c r="P2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57" t="str">
        <f t="shared" ca="1" si="13"/>
        <v>Billboards</v>
      </c>
      <c r="R257" s="157">
        <f>automotive_demand_forecasting_dataset567[[#This Row],[Units_Sold]]*automotive_demand_forecasting_dataset567[[#This Row],[Average_Price]]</f>
        <v>2655327.4802190661</v>
      </c>
      <c r="S257" t="str">
        <f t="shared" ca="1" si="14"/>
        <v>OK</v>
      </c>
    </row>
    <row r="258" spans="1:19">
      <c r="A258" s="1">
        <v>49415</v>
      </c>
      <c r="B258" t="s">
        <v>13</v>
      </c>
      <c r="C258" t="str">
        <f>TEXT(automotive_demand_forecasting_dataset567[[#This Row],[Date]],"mmmm")</f>
        <v>April</v>
      </c>
      <c r="D258" t="str">
        <f>CHOOSE(MATCH(MONTH(A258), {1,4,7,10}), "Winter", "Spring", "Summer", "Autumn")</f>
        <v>Spring</v>
      </c>
      <c r="E258">
        <f>YEAR(automotive_demand_forecasting_dataset567[[#This Row],[Date]])</f>
        <v>2035</v>
      </c>
      <c r="F258">
        <v>90</v>
      </c>
      <c r="G258">
        <f>(automotive_demand_forecasting_dataset567[[#This Row],[Units_Sold]] -$C$4) / $C$5</f>
        <v>-0.95263382109276828</v>
      </c>
      <c r="H258" t="str">
        <f t="shared" ca="1" si="12"/>
        <v>East</v>
      </c>
      <c r="I258">
        <v>29687.034360502388</v>
      </c>
      <c r="J258">
        <v>3.0387949077507486</v>
      </c>
      <c r="K258">
        <v>2.6517579922487404</v>
      </c>
      <c r="L258">
        <v>4.8533897725687138</v>
      </c>
      <c r="M258">
        <v>115520.5582768695</v>
      </c>
      <c r="N258" s="82">
        <v>89</v>
      </c>
      <c r="O258">
        <v>77.684372871829751</v>
      </c>
      <c r="P2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58" t="str">
        <f t="shared" ca="1" si="13"/>
        <v>Billboards</v>
      </c>
      <c r="R258">
        <f>automotive_demand_forecasting_dataset567[[#This Row],[Units_Sold]]*automotive_demand_forecasting_dataset567[[#This Row],[Average_Price]]</f>
        <v>2671833.0924452147</v>
      </c>
      <c r="S258" t="str">
        <f t="shared" ca="1" si="14"/>
        <v>OK</v>
      </c>
    </row>
    <row r="259" spans="1:19">
      <c r="A259" s="1">
        <v>49445</v>
      </c>
      <c r="B259" t="s">
        <v>10</v>
      </c>
      <c r="C259" t="str">
        <f>TEXT(automotive_demand_forecasting_dataset567[[#This Row],[Date]],"mmmm")</f>
        <v>May</v>
      </c>
      <c r="D259" t="str">
        <f>CHOOSE(MATCH(MONTH(A259), {1,4,7,10}), "Winter", "Spring", "Summer", "Autumn")</f>
        <v>Spring</v>
      </c>
      <c r="E259">
        <f>YEAR(automotive_demand_forecasting_dataset567[[#This Row],[Date]])</f>
        <v>2035</v>
      </c>
      <c r="F259">
        <v>115</v>
      </c>
      <c r="G259">
        <f>(automotive_demand_forecasting_dataset567[[#This Row],[Units_Sold]] -$C$4) / $C$5</f>
        <v>1.6082097839953193</v>
      </c>
      <c r="H259" t="str">
        <f t="shared" ca="1" si="12"/>
        <v>North</v>
      </c>
      <c r="I259">
        <v>26230.17705566662</v>
      </c>
      <c r="J259">
        <v>3.5380713799999999</v>
      </c>
      <c r="K259">
        <v>1.6648570983699771</v>
      </c>
      <c r="L259">
        <f t="shared" ref="L259:L260" si="15">6.97388673</f>
        <v>6.9738867300000003</v>
      </c>
      <c r="M259">
        <v>79955.6596214655</v>
      </c>
      <c r="N259" s="82">
        <v>88</v>
      </c>
      <c r="O259">
        <v>40.572188088727671</v>
      </c>
      <c r="P2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59" t="str">
        <f t="shared" ca="1" si="13"/>
        <v>Online</v>
      </c>
      <c r="R259">
        <f>automotive_demand_forecasting_dataset567[[#This Row],[Units_Sold]]*automotive_demand_forecasting_dataset567[[#This Row],[Average_Price]]</f>
        <v>3016470.3614016613</v>
      </c>
      <c r="S259" t="str">
        <f t="shared" ca="1" si="14"/>
        <v>OK</v>
      </c>
    </row>
    <row r="260" spans="1:19">
      <c r="A260" s="1">
        <v>49475</v>
      </c>
      <c r="B260" t="s">
        <v>10</v>
      </c>
      <c r="C260" t="str">
        <f>TEXT(automotive_demand_forecasting_dataset567[[#This Row],[Date]],"mmmm")</f>
        <v>June</v>
      </c>
      <c r="D260" t="str">
        <f>CHOOSE(MATCH(MONTH(A260), {1,4,7,10}), "Winter", "Spring", "Summer", "Autumn")</f>
        <v>Spring</v>
      </c>
      <c r="E260">
        <f>YEAR(automotive_demand_forecasting_dataset567[[#This Row],[Date]])</f>
        <v>2035</v>
      </c>
      <c r="F260">
        <v>105</v>
      </c>
      <c r="G260">
        <f>(automotive_demand_forecasting_dataset567[[#This Row],[Units_Sold]] -$C$4) / $C$5</f>
        <v>0.58387234196008431</v>
      </c>
      <c r="H260" t="str">
        <f t="shared" ca="1" si="12"/>
        <v>North</v>
      </c>
      <c r="I260">
        <v>28596.624615666129</v>
      </c>
      <c r="J260">
        <v>3.3388397653943303</v>
      </c>
      <c r="K260">
        <v>4.5895387216947734</v>
      </c>
      <c r="L260">
        <f t="shared" si="15"/>
        <v>6.9738867300000003</v>
      </c>
      <c r="M260">
        <v>84951.295252939308</v>
      </c>
      <c r="N260" s="82">
        <v>90</v>
      </c>
      <c r="O260">
        <v>77.551052445985619</v>
      </c>
      <c r="P2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60" t="str">
        <f t="shared" ca="1" si="13"/>
        <v>Online</v>
      </c>
      <c r="R260">
        <f>automotive_demand_forecasting_dataset567[[#This Row],[Units_Sold]]*automotive_demand_forecasting_dataset567[[#This Row],[Average_Price]]</f>
        <v>3002645.5846449435</v>
      </c>
      <c r="S260" t="str">
        <f t="shared" ca="1" si="14"/>
        <v>OK</v>
      </c>
    </row>
    <row r="261" spans="1:19">
      <c r="A261" s="1">
        <v>49505</v>
      </c>
      <c r="B261" t="s">
        <v>13</v>
      </c>
      <c r="C261" t="str">
        <f>TEXT(automotive_demand_forecasting_dataset567[[#This Row],[Date]],"mmmm")</f>
        <v>July</v>
      </c>
      <c r="D261" t="str">
        <f>CHOOSE(MATCH(MONTH(A261), {1,4,7,10}), "Winter", "Spring", "Summer", "Autumn")</f>
        <v>Summer</v>
      </c>
      <c r="E261">
        <f>YEAR(automotive_demand_forecasting_dataset567[[#This Row],[Date]])</f>
        <v>2035</v>
      </c>
      <c r="F261">
        <v>90</v>
      </c>
      <c r="G261">
        <f>(automotive_demand_forecasting_dataset567[[#This Row],[Units_Sold]] -$C$4) / $C$5</f>
        <v>-0.95263382109276828</v>
      </c>
      <c r="H261" t="str">
        <f t="shared" ca="1" si="12"/>
        <v>West</v>
      </c>
      <c r="I261">
        <v>21535.21592902307</v>
      </c>
      <c r="J261">
        <v>4.108579260412748</v>
      </c>
      <c r="K261">
        <v>0.89233897288194131</v>
      </c>
      <c r="L261">
        <v>5.9195800567596324</v>
      </c>
      <c r="M261">
        <v>70664.296187686457</v>
      </c>
      <c r="N261" s="82">
        <v>90</v>
      </c>
      <c r="O261">
        <v>65.454227669999995</v>
      </c>
      <c r="P2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61" t="str">
        <f t="shared" ca="1" si="13"/>
        <v>TV</v>
      </c>
      <c r="R261">
        <f>automotive_demand_forecasting_dataset567[[#This Row],[Units_Sold]]*automotive_demand_forecasting_dataset567[[#This Row],[Average_Price]]</f>
        <v>1938169.4336120763</v>
      </c>
      <c r="S261" t="str">
        <f t="shared" ca="1" si="14"/>
        <v>OK</v>
      </c>
    </row>
    <row r="262" spans="1:19">
      <c r="A262" s="1">
        <v>49535</v>
      </c>
      <c r="B262" t="s">
        <v>10</v>
      </c>
      <c r="C262" t="str">
        <f>TEXT(automotive_demand_forecasting_dataset567[[#This Row],[Date]],"mmmm")</f>
        <v>August</v>
      </c>
      <c r="D262" t="str">
        <f>CHOOSE(MATCH(MONTH(A262), {1,4,7,10}), "Winter", "Spring", "Summer", "Autumn")</f>
        <v>Summer</v>
      </c>
      <c r="E262">
        <f>YEAR(automotive_demand_forecasting_dataset567[[#This Row],[Date]])</f>
        <v>2035</v>
      </c>
      <c r="F262">
        <v>89</v>
      </c>
      <c r="G262">
        <f>(automotive_demand_forecasting_dataset567[[#This Row],[Units_Sold]] -$C$4) / $C$5</f>
        <v>-1.0550675652962918</v>
      </c>
      <c r="H262" t="str">
        <f t="shared" ca="1" si="12"/>
        <v>North</v>
      </c>
      <c r="I262">
        <v>29508.30186602625</v>
      </c>
      <c r="J262">
        <v>4.2606580259612254</v>
      </c>
      <c r="K262">
        <v>2.6847405788957244</v>
      </c>
      <c r="L262">
        <v>3.6222366743655341</v>
      </c>
      <c r="M262">
        <v>89971.957062287271</v>
      </c>
      <c r="N262" s="82">
        <v>105</v>
      </c>
      <c r="O262">
        <v>50.025707661841103</v>
      </c>
      <c r="P2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62" t="str">
        <f t="shared" ca="1" si="13"/>
        <v>Print</v>
      </c>
      <c r="R262">
        <f>automotive_demand_forecasting_dataset567[[#This Row],[Units_Sold]]*automotive_demand_forecasting_dataset567[[#This Row],[Average_Price]]</f>
        <v>2626238.8660763362</v>
      </c>
      <c r="S262" t="str">
        <f t="shared" ca="1" si="14"/>
        <v>OK</v>
      </c>
    </row>
    <row r="263" spans="1:19">
      <c r="A263" s="1">
        <v>49565</v>
      </c>
      <c r="B263" t="s">
        <v>10</v>
      </c>
      <c r="C263" t="str">
        <f>TEXT(automotive_demand_forecasting_dataset567[[#This Row],[Date]],"mmmm")</f>
        <v>September</v>
      </c>
      <c r="D263" t="str">
        <f>CHOOSE(MATCH(MONTH(A263), {1,4,7,10}), "Winter", "Spring", "Summer", "Autumn")</f>
        <v>Summer</v>
      </c>
      <c r="E263">
        <f>YEAR(automotive_demand_forecasting_dataset567[[#This Row],[Date]])</f>
        <v>2035</v>
      </c>
      <c r="F263">
        <v>89</v>
      </c>
      <c r="G263">
        <f>(automotive_demand_forecasting_dataset567[[#This Row],[Units_Sold]] -$C$4) / $C$5</f>
        <v>-1.0550675652962918</v>
      </c>
      <c r="H263" t="str">
        <f t="shared" ca="1" si="12"/>
        <v>South</v>
      </c>
      <c r="I263">
        <v>25057.044464245413</v>
      </c>
      <c r="J263">
        <v>3.9991554490739802</v>
      </c>
      <c r="K263">
        <v>4.5236062192296398</v>
      </c>
      <c r="L263">
        <v>5.6144130393295697</v>
      </c>
      <c r="M263">
        <v>119506.24916955958</v>
      </c>
      <c r="N263" s="82">
        <v>98</v>
      </c>
      <c r="O263">
        <v>70.1402678833865</v>
      </c>
      <c r="P2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63" t="str">
        <f t="shared" ca="1" si="13"/>
        <v>Billboards</v>
      </c>
      <c r="R263">
        <f>automotive_demand_forecasting_dataset567[[#This Row],[Units_Sold]]*automotive_demand_forecasting_dataset567[[#This Row],[Average_Price]]</f>
        <v>2230076.9573178417</v>
      </c>
      <c r="S263" t="str">
        <f t="shared" ca="1" si="14"/>
        <v>OK</v>
      </c>
    </row>
    <row r="264" spans="1:19">
      <c r="A264" s="1">
        <v>49595</v>
      </c>
      <c r="B264" t="s">
        <v>12</v>
      </c>
      <c r="C264" t="str">
        <f>TEXT(automotive_demand_forecasting_dataset567[[#This Row],[Date]],"mmmm")</f>
        <v>October</v>
      </c>
      <c r="D264" t="str">
        <f>CHOOSE(MATCH(MONTH(A264), {1,4,7,10}), "Winter", "Spring", "Summer", "Autumn")</f>
        <v>Autumn</v>
      </c>
      <c r="E264">
        <f>YEAR(automotive_demand_forecasting_dataset567[[#This Row],[Date]])</f>
        <v>2035</v>
      </c>
      <c r="F264">
        <v>86</v>
      </c>
      <c r="G264">
        <f>(automotive_demand_forecasting_dataset567[[#This Row],[Units_Sold]] -$C$4) / $C$5</f>
        <v>-1.3623687979068624</v>
      </c>
      <c r="H264" t="str">
        <f t="shared" ca="1" si="12"/>
        <v>North</v>
      </c>
      <c r="I264">
        <v>38106.295579999998</v>
      </c>
      <c r="J264">
        <v>3.2841898436409758</v>
      </c>
      <c r="K264">
        <v>2.5067998445599979</v>
      </c>
      <c r="L264">
        <v>5.1838621407013008</v>
      </c>
      <c r="M264">
        <v>110312.56176887912</v>
      </c>
      <c r="N264" s="82">
        <v>85</v>
      </c>
      <c r="O264">
        <v>31.687725243305618</v>
      </c>
      <c r="P2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64" t="str">
        <f t="shared" ca="1" si="13"/>
        <v>Online</v>
      </c>
      <c r="R264">
        <f>automotive_demand_forecasting_dataset567[[#This Row],[Units_Sold]]*automotive_demand_forecasting_dataset567[[#This Row],[Average_Price]]</f>
        <v>3277141.4198799999</v>
      </c>
      <c r="S264" t="str">
        <f t="shared" ca="1" si="14"/>
        <v>OK</v>
      </c>
    </row>
    <row r="265" spans="1:19">
      <c r="A265" s="1">
        <v>49625</v>
      </c>
      <c r="B265" t="s">
        <v>12</v>
      </c>
      <c r="C265" t="str">
        <f>TEXT(automotive_demand_forecasting_dataset567[[#This Row],[Date]],"mmmm")</f>
        <v>November</v>
      </c>
      <c r="D265" t="str">
        <f>CHOOSE(MATCH(MONTH(A265), {1,4,7,10}), "Winter", "Spring", "Summer", "Autumn")</f>
        <v>Autumn</v>
      </c>
      <c r="E265">
        <f>YEAR(automotive_demand_forecasting_dataset567[[#This Row],[Date]])</f>
        <v>2035</v>
      </c>
      <c r="F265">
        <v>91</v>
      </c>
      <c r="G265">
        <f>(automotive_demand_forecasting_dataset567[[#This Row],[Units_Sold]] -$C$4) / $C$5</f>
        <v>-0.85020007688924482</v>
      </c>
      <c r="H265" t="str">
        <f t="shared" ca="1" si="12"/>
        <v>South</v>
      </c>
      <c r="I265">
        <v>30899.470755767394</v>
      </c>
      <c r="J265">
        <v>3.7018650451683048</v>
      </c>
      <c r="K265">
        <v>2.3099609649985053</v>
      </c>
      <c r="L265">
        <v>6.3149713305258341</v>
      </c>
      <c r="M265">
        <v>119568.4422405607</v>
      </c>
      <c r="N265" s="82">
        <v>101</v>
      </c>
      <c r="O265">
        <v>85.84028595575478</v>
      </c>
      <c r="P2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65" t="str">
        <f t="shared" ca="1" si="13"/>
        <v>Online</v>
      </c>
      <c r="R265">
        <f>automotive_demand_forecasting_dataset567[[#This Row],[Units_Sold]]*automotive_demand_forecasting_dataset567[[#This Row],[Average_Price]]</f>
        <v>2811851.8387748329</v>
      </c>
      <c r="S265" t="str">
        <f t="shared" ca="1" si="14"/>
        <v>OK</v>
      </c>
    </row>
    <row r="266" spans="1:19">
      <c r="A266" s="1">
        <v>49655</v>
      </c>
      <c r="B266" t="s">
        <v>14</v>
      </c>
      <c r="C266" t="str">
        <f>TEXT(automotive_demand_forecasting_dataset567[[#This Row],[Date]],"mmmm")</f>
        <v>December</v>
      </c>
      <c r="D266" t="str">
        <f>CHOOSE(MATCH(MONTH(A266), {1,4,7,10}), "Winter", "Spring", "Summer", "Autumn")</f>
        <v>Autumn</v>
      </c>
      <c r="E266">
        <f>YEAR(automotive_demand_forecasting_dataset567[[#This Row],[Date]])</f>
        <v>2035</v>
      </c>
      <c r="F266">
        <v>100</v>
      </c>
      <c r="G266">
        <f>(automotive_demand_forecasting_dataset567[[#This Row],[Units_Sold]] -$C$4) / $C$5</f>
        <v>7.1703620942466739E-2</v>
      </c>
      <c r="H266" s="157" t="str">
        <f t="shared" ca="1" si="12"/>
        <v>North</v>
      </c>
      <c r="I266">
        <v>36960.011431722996</v>
      </c>
      <c r="J266">
        <v>3.4879021968045421</v>
      </c>
      <c r="K266">
        <v>2.1425545771895727</v>
      </c>
      <c r="L266">
        <v>5.1375454006121632</v>
      </c>
      <c r="M266">
        <v>110442.85091867871</v>
      </c>
      <c r="N266" s="82">
        <v>93</v>
      </c>
      <c r="O266">
        <v>38.80250390495349</v>
      </c>
      <c r="P2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66" t="str">
        <f t="shared" ca="1" si="13"/>
        <v>Online</v>
      </c>
      <c r="R266" s="157">
        <f>automotive_demand_forecasting_dataset567[[#This Row],[Units_Sold]]*automotive_demand_forecasting_dataset567[[#This Row],[Average_Price]]</f>
        <v>3696001.1431722995</v>
      </c>
      <c r="S266" t="str">
        <f t="shared" ca="1" si="14"/>
        <v>OK</v>
      </c>
    </row>
    <row r="267" spans="1:19">
      <c r="A267" s="1">
        <v>49685</v>
      </c>
      <c r="B267" t="s">
        <v>14</v>
      </c>
      <c r="C267" t="str">
        <f>TEXT(automotive_demand_forecasting_dataset567[[#This Row],[Date]],"mmmm")</f>
        <v>January</v>
      </c>
      <c r="D267" t="str">
        <f>CHOOSE(MATCH(MONTH(A267), {1,4,7,10}), "Winter", "Spring", "Summer", "Autumn")</f>
        <v>Winter</v>
      </c>
      <c r="E267">
        <f>YEAR(automotive_demand_forecasting_dataset567[[#This Row],[Date]])</f>
        <v>2036</v>
      </c>
      <c r="F267">
        <v>104</v>
      </c>
      <c r="G267">
        <f>(automotive_demand_forecasting_dataset567[[#This Row],[Units_Sold]] -$C$4) / $C$5</f>
        <v>0.48143859775656078</v>
      </c>
      <c r="H267" s="157" t="str">
        <f t="shared" ref="H267:H330" ca="1" si="16">CHOOSE(RANDBETWEEN(1,4),"North","South","East","West")</f>
        <v>East</v>
      </c>
      <c r="I267">
        <v>34591.583030011563</v>
      </c>
      <c r="J267">
        <v>3.048149069634936</v>
      </c>
      <c r="K267">
        <v>2.3196083182375924</v>
      </c>
      <c r="L267">
        <v>5.10466265638349</v>
      </c>
      <c r="M267">
        <v>77926.60342939262</v>
      </c>
      <c r="N267" s="82">
        <v>99</v>
      </c>
      <c r="O267">
        <v>72.182489025475704</v>
      </c>
      <c r="P2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67" t="str">
        <f t="shared" ref="Q267:Q330" ca="1" si="17">CHOOSE(RANDBETWEEN(1,5),"Online","TV","Radio","Print","Billboards")</f>
        <v>Online</v>
      </c>
      <c r="R267" s="157">
        <f>automotive_demand_forecasting_dataset567[[#This Row],[Units_Sold]]*automotive_demand_forecasting_dataset567[[#This Row],[Average_Price]]</f>
        <v>3597524.6351212026</v>
      </c>
      <c r="S267" t="str">
        <f t="shared" ref="S267:S330" ca="1" si="18">IF(COUNTA(A267:O267)&lt;COLUMNS(A267:O267), "Missing Data", "OK")</f>
        <v>OK</v>
      </c>
    </row>
    <row r="268" spans="1:19">
      <c r="A268" s="1">
        <v>49715</v>
      </c>
      <c r="B268" t="s">
        <v>14</v>
      </c>
      <c r="C268" t="str">
        <f>TEXT(automotive_demand_forecasting_dataset567[[#This Row],[Date]],"mmmm")</f>
        <v>February</v>
      </c>
      <c r="D268" t="str">
        <f>CHOOSE(MATCH(MONTH(A268), {1,4,7,10}), "Winter", "Spring", "Summer", "Autumn")</f>
        <v>Winter</v>
      </c>
      <c r="E268">
        <f>YEAR(automotive_demand_forecasting_dataset567[[#This Row],[Date]])</f>
        <v>2036</v>
      </c>
      <c r="F268">
        <v>80</v>
      </c>
      <c r="G268">
        <f>(automotive_demand_forecasting_dataset567[[#This Row],[Units_Sold]] -$C$4) / $C$5</f>
        <v>-1.9769712631280034</v>
      </c>
      <c r="H268" s="157" t="str">
        <f t="shared" ca="1" si="16"/>
        <v>East</v>
      </c>
      <c r="I268">
        <v>22147.496981884113</v>
      </c>
      <c r="J268">
        <v>3.6621796408608014</v>
      </c>
      <c r="K268">
        <v>3.8728484746765304</v>
      </c>
      <c r="L268">
        <v>6.3782448451459546</v>
      </c>
      <c r="M268">
        <v>93384.215513448857</v>
      </c>
      <c r="N268" s="82">
        <v>87</v>
      </c>
      <c r="O268">
        <v>52.415771406026373</v>
      </c>
      <c r="P2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68" t="str">
        <f t="shared" ca="1" si="17"/>
        <v>Radio</v>
      </c>
      <c r="R268" s="157">
        <f>automotive_demand_forecasting_dataset567[[#This Row],[Units_Sold]]*automotive_demand_forecasting_dataset567[[#This Row],[Average_Price]]</f>
        <v>1771799.7585507291</v>
      </c>
      <c r="S268" t="str">
        <f t="shared" ca="1" si="18"/>
        <v>OK</v>
      </c>
    </row>
    <row r="269" spans="1:19">
      <c r="A269" s="1">
        <v>49745</v>
      </c>
      <c r="B269" t="s">
        <v>12</v>
      </c>
      <c r="C269" t="str">
        <f>TEXT(automotive_demand_forecasting_dataset567[[#This Row],[Date]],"mmmm")</f>
        <v>March</v>
      </c>
      <c r="D269" t="str">
        <f>CHOOSE(MATCH(MONTH(A269), {1,4,7,10}), "Winter", "Spring", "Summer", "Autumn")</f>
        <v>Winter</v>
      </c>
      <c r="E269">
        <f>YEAR(automotive_demand_forecasting_dataset567[[#This Row],[Date]])</f>
        <v>2036</v>
      </c>
      <c r="F269">
        <v>110</v>
      </c>
      <c r="G269">
        <f>(automotive_demand_forecasting_dataset567[[#This Row],[Units_Sold]] -$C$4) / $C$5</f>
        <v>1.0960410629777018</v>
      </c>
      <c r="H269" t="str">
        <f t="shared" ca="1" si="16"/>
        <v>West</v>
      </c>
      <c r="I269">
        <v>25051.859317148312</v>
      </c>
      <c r="J269">
        <v>4.5778345189999996</v>
      </c>
      <c r="K269">
        <v>0.28813808867049318</v>
      </c>
      <c r="L269">
        <v>5.9020696349009407</v>
      </c>
      <c r="M269">
        <v>84396.017417650743</v>
      </c>
      <c r="N269" s="82">
        <v>87</v>
      </c>
      <c r="O269">
        <v>67.683487638211773</v>
      </c>
      <c r="P2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69" t="str">
        <f t="shared" ca="1" si="17"/>
        <v>Print</v>
      </c>
      <c r="R269">
        <f>automotive_demand_forecasting_dataset567[[#This Row],[Units_Sold]]*automotive_demand_forecasting_dataset567[[#This Row],[Average_Price]]</f>
        <v>2755704.5248863143</v>
      </c>
      <c r="S269" t="str">
        <f t="shared" ca="1" si="18"/>
        <v>OK</v>
      </c>
    </row>
    <row r="270" spans="1:19">
      <c r="A270" s="1">
        <v>49775</v>
      </c>
      <c r="B270" t="s">
        <v>14</v>
      </c>
      <c r="C270" t="str">
        <f>TEXT(automotive_demand_forecasting_dataset567[[#This Row],[Date]],"mmmm")</f>
        <v>April</v>
      </c>
      <c r="D270" t="str">
        <f>CHOOSE(MATCH(MONTH(A270), {1,4,7,10}), "Winter", "Spring", "Summer", "Autumn")</f>
        <v>Spring</v>
      </c>
      <c r="E270">
        <f>YEAR(automotive_demand_forecasting_dataset567[[#This Row],[Date]])</f>
        <v>2036</v>
      </c>
      <c r="F270">
        <v>90</v>
      </c>
      <c r="G270">
        <f>(automotive_demand_forecasting_dataset567[[#This Row],[Units_Sold]] -$C$4) / $C$5</f>
        <v>-0.95263382109276828</v>
      </c>
      <c r="H270" s="157" t="str">
        <f t="shared" ca="1" si="16"/>
        <v>North</v>
      </c>
      <c r="I270">
        <v>34703.855939941081</v>
      </c>
      <c r="J270">
        <v>4.0938396942307822</v>
      </c>
      <c r="K270">
        <v>4.0334337012963255</v>
      </c>
      <c r="L270">
        <v>5.8793871486193341</v>
      </c>
      <c r="M270">
        <v>126611.4980807808</v>
      </c>
      <c r="N270" s="82">
        <v>89</v>
      </c>
      <c r="O270">
        <v>80.215177969999999</v>
      </c>
      <c r="P2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70" t="str">
        <f t="shared" ca="1" si="17"/>
        <v>Radio</v>
      </c>
      <c r="R270" s="157">
        <f>automotive_demand_forecasting_dataset567[[#This Row],[Units_Sold]]*automotive_demand_forecasting_dataset567[[#This Row],[Average_Price]]</f>
        <v>3123347.0345946974</v>
      </c>
      <c r="S270" t="str">
        <f t="shared" ca="1" si="18"/>
        <v>OK</v>
      </c>
    </row>
    <row r="271" spans="1:19">
      <c r="A271" s="1">
        <v>49805</v>
      </c>
      <c r="B271" t="s">
        <v>10</v>
      </c>
      <c r="C271" t="str">
        <f>TEXT(automotive_demand_forecasting_dataset567[[#This Row],[Date]],"mmmm")</f>
        <v>May</v>
      </c>
      <c r="D271" t="str">
        <f>CHOOSE(MATCH(MONTH(A271), {1,4,7,10}), "Winter", "Spring", "Summer", "Autumn")</f>
        <v>Spring</v>
      </c>
      <c r="E271">
        <f>YEAR(automotive_demand_forecasting_dataset567[[#This Row],[Date]])</f>
        <v>2036</v>
      </c>
      <c r="F271">
        <v>96</v>
      </c>
      <c r="G271">
        <f>(automotive_demand_forecasting_dataset567[[#This Row],[Units_Sold]] -$C$4) / $C$5</f>
        <v>-0.33803135587162725</v>
      </c>
      <c r="H271" t="str">
        <f t="shared" ca="1" si="16"/>
        <v>West</v>
      </c>
      <c r="I271">
        <v>25087.563032308452</v>
      </c>
      <c r="J271">
        <v>3.2676913513508037</v>
      </c>
      <c r="K271">
        <v>1.0760428475498549</v>
      </c>
      <c r="L271">
        <v>6.0631211077702316</v>
      </c>
      <c r="M271">
        <v>76064.227071473768</v>
      </c>
      <c r="N271" s="82">
        <v>86</v>
      </c>
      <c r="O271">
        <v>21.353023993728584</v>
      </c>
      <c r="P2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71" t="str">
        <f t="shared" ca="1" si="17"/>
        <v>Billboards</v>
      </c>
      <c r="R271">
        <f>automotive_demand_forecasting_dataset567[[#This Row],[Units_Sold]]*automotive_demand_forecasting_dataset567[[#This Row],[Average_Price]]</f>
        <v>2408406.0511016115</v>
      </c>
      <c r="S271" t="str">
        <f t="shared" ca="1" si="18"/>
        <v>OK</v>
      </c>
    </row>
    <row r="272" spans="1:19">
      <c r="A272" s="1">
        <v>49835</v>
      </c>
      <c r="B272" t="s">
        <v>12</v>
      </c>
      <c r="C272" t="str">
        <f>TEXT(automotive_demand_forecasting_dataset567[[#This Row],[Date]],"mmmm")</f>
        <v>June</v>
      </c>
      <c r="D272" t="str">
        <f>CHOOSE(MATCH(MONTH(A272), {1,4,7,10}), "Winter", "Spring", "Summer", "Autumn")</f>
        <v>Spring</v>
      </c>
      <c r="E272">
        <f>YEAR(automotive_demand_forecasting_dataset567[[#This Row],[Date]])</f>
        <v>2036</v>
      </c>
      <c r="F272">
        <v>103</v>
      </c>
      <c r="G272">
        <f>(automotive_demand_forecasting_dataset567[[#This Row],[Units_Sold]] -$C$4) / $C$5</f>
        <v>0.37900485355303726</v>
      </c>
      <c r="H272" t="str">
        <f t="shared" ca="1" si="16"/>
        <v>South</v>
      </c>
      <c r="I272">
        <v>28876.834250014876</v>
      </c>
      <c r="J272">
        <v>3.6005798279364196</v>
      </c>
      <c r="K272">
        <v>2.233347670765585</v>
      </c>
      <c r="L272">
        <v>3.657313452151473</v>
      </c>
      <c r="M272">
        <v>117873.95378778221</v>
      </c>
      <c r="N272" s="82">
        <v>80</v>
      </c>
      <c r="O272">
        <v>92.765154190424099</v>
      </c>
      <c r="P2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72" t="str">
        <f t="shared" ca="1" si="17"/>
        <v>TV</v>
      </c>
      <c r="R272">
        <f>automotive_demand_forecasting_dataset567[[#This Row],[Units_Sold]]*automotive_demand_forecasting_dataset567[[#This Row],[Average_Price]]</f>
        <v>2974313.9277515323</v>
      </c>
      <c r="S272" t="str">
        <f t="shared" ca="1" si="18"/>
        <v>OK</v>
      </c>
    </row>
    <row r="273" spans="1:19">
      <c r="A273" s="1">
        <v>49865</v>
      </c>
      <c r="B273" t="s">
        <v>14</v>
      </c>
      <c r="C273" t="str">
        <f>TEXT(automotive_demand_forecasting_dataset567[[#This Row],[Date]],"mmmm")</f>
        <v>July</v>
      </c>
      <c r="D273" t="str">
        <f>CHOOSE(MATCH(MONTH(A273), {1,4,7,10}), "Winter", "Spring", "Summer", "Autumn")</f>
        <v>Summer</v>
      </c>
      <c r="E273">
        <f>YEAR(automotive_demand_forecasting_dataset567[[#This Row],[Date]])</f>
        <v>2036</v>
      </c>
      <c r="F273">
        <v>99</v>
      </c>
      <c r="G273">
        <f>(automotive_demand_forecasting_dataset567[[#This Row],[Units_Sold]] -$C$4) / $C$5</f>
        <v>-3.0730123261056761E-2</v>
      </c>
      <c r="H273" s="157" t="str">
        <f t="shared" ca="1" si="16"/>
        <v>North</v>
      </c>
      <c r="I273">
        <v>32750.260495122759</v>
      </c>
      <c r="J273">
        <v>3.6416439357730712</v>
      </c>
      <c r="K273">
        <v>2.0707555797013382</v>
      </c>
      <c r="L273">
        <v>6.408146415984378</v>
      </c>
      <c r="M273">
        <v>117859.07740217539</v>
      </c>
      <c r="N273" s="82">
        <v>91</v>
      </c>
      <c r="O273">
        <v>41.570400701374624</v>
      </c>
      <c r="P2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73" t="str">
        <f t="shared" ca="1" si="17"/>
        <v>Billboards</v>
      </c>
      <c r="R273" s="157">
        <f>automotive_demand_forecasting_dataset567[[#This Row],[Units_Sold]]*automotive_demand_forecasting_dataset567[[#This Row],[Average_Price]]</f>
        <v>3242275.789017153</v>
      </c>
      <c r="S273" t="str">
        <f t="shared" ca="1" si="18"/>
        <v>OK</v>
      </c>
    </row>
    <row r="274" spans="1:19">
      <c r="A274" s="1">
        <v>49895</v>
      </c>
      <c r="B274" t="s">
        <v>10</v>
      </c>
      <c r="C274" t="str">
        <f>TEXT(automotive_demand_forecasting_dataset567[[#This Row],[Date]],"mmmm")</f>
        <v>August</v>
      </c>
      <c r="D274" t="str">
        <f>CHOOSE(MATCH(MONTH(A274), {1,4,7,10}), "Winter", "Spring", "Summer", "Autumn")</f>
        <v>Summer</v>
      </c>
      <c r="E274">
        <f>YEAR(automotive_demand_forecasting_dataset567[[#This Row],[Date]])</f>
        <v>2036</v>
      </c>
      <c r="F274">
        <v>100</v>
      </c>
      <c r="G274">
        <f>(automotive_demand_forecasting_dataset567[[#This Row],[Units_Sold]] -$C$4) / $C$5</f>
        <v>7.1703620942466739E-2</v>
      </c>
      <c r="H274" t="str">
        <f t="shared" ca="1" si="16"/>
        <v>West</v>
      </c>
      <c r="I274">
        <v>25158.277725681823</v>
      </c>
      <c r="J274">
        <v>3.3705475131479612</v>
      </c>
      <c r="K274">
        <v>3.0885532697707196</v>
      </c>
      <c r="L274">
        <v>6.2349625528163228</v>
      </c>
      <c r="M274">
        <v>136592.40403432175</v>
      </c>
      <c r="N274" s="82">
        <v>84</v>
      </c>
      <c r="O274">
        <v>85.574160222436731</v>
      </c>
      <c r="P2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74" t="str">
        <f t="shared" ca="1" si="17"/>
        <v>Radio</v>
      </c>
      <c r="R274">
        <f>automotive_demand_forecasting_dataset567[[#This Row],[Units_Sold]]*automotive_demand_forecasting_dataset567[[#This Row],[Average_Price]]</f>
        <v>2515827.7725681821</v>
      </c>
      <c r="S274" t="str">
        <f t="shared" ca="1" si="18"/>
        <v>OK</v>
      </c>
    </row>
    <row r="275" spans="1:19">
      <c r="A275" s="1">
        <v>49925</v>
      </c>
      <c r="B275" t="s">
        <v>14</v>
      </c>
      <c r="C275" t="str">
        <f>TEXT(automotive_demand_forecasting_dataset567[[#This Row],[Date]],"mmmm")</f>
        <v>September</v>
      </c>
      <c r="D275" t="str">
        <f>CHOOSE(MATCH(MONTH(A275), {1,4,7,10}), "Winter", "Spring", "Summer", "Autumn")</f>
        <v>Summer</v>
      </c>
      <c r="E275">
        <f>YEAR(automotive_demand_forecasting_dataset567[[#This Row],[Date]])</f>
        <v>2036</v>
      </c>
      <c r="F275">
        <v>106</v>
      </c>
      <c r="G275">
        <f>(automotive_demand_forecasting_dataset567[[#This Row],[Units_Sold]] -$C$4) / $C$5</f>
        <v>0.68630608616360778</v>
      </c>
      <c r="H275" s="157" t="str">
        <f t="shared" ca="1" si="16"/>
        <v>North</v>
      </c>
      <c r="I275">
        <v>30526.877530729798</v>
      </c>
      <c r="J275">
        <v>3.7933469007376375</v>
      </c>
      <c r="K275">
        <v>0.90187564811625243</v>
      </c>
      <c r="L275">
        <v>4.2799802457082032</v>
      </c>
      <c r="M275">
        <v>91806.268147410054</v>
      </c>
      <c r="N275" s="82">
        <v>89</v>
      </c>
      <c r="O275">
        <v>99.948024037776008</v>
      </c>
      <c r="P2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75" t="str">
        <f t="shared" ca="1" si="17"/>
        <v>Billboards</v>
      </c>
      <c r="R275" s="157">
        <f>automotive_demand_forecasting_dataset567[[#This Row],[Units_Sold]]*automotive_demand_forecasting_dataset567[[#This Row],[Average_Price]]</f>
        <v>3235849.0182573586</v>
      </c>
      <c r="S275" t="str">
        <f t="shared" ca="1" si="18"/>
        <v>OK</v>
      </c>
    </row>
    <row r="276" spans="1:19">
      <c r="A276" s="1">
        <v>49955</v>
      </c>
      <c r="B276" t="s">
        <v>11</v>
      </c>
      <c r="C276" t="str">
        <f>TEXT(automotive_demand_forecasting_dataset567[[#This Row],[Date]],"mmmm")</f>
        <v>October</v>
      </c>
      <c r="D276" t="str">
        <f>CHOOSE(MATCH(MONTH(A276), {1,4,7,10}), "Winter", "Spring", "Summer", "Autumn")</f>
        <v>Autumn</v>
      </c>
      <c r="E276">
        <f>YEAR(automotive_demand_forecasting_dataset567[[#This Row],[Date]])</f>
        <v>2036</v>
      </c>
      <c r="F276">
        <v>100</v>
      </c>
      <c r="G276">
        <f>(automotive_demand_forecasting_dataset567[[#This Row],[Units_Sold]] -$C$4) / $C$5</f>
        <v>7.1703620942466739E-2</v>
      </c>
      <c r="H276" t="str">
        <f t="shared" ca="1" si="16"/>
        <v>West</v>
      </c>
      <c r="I276">
        <v>38106.295579999998</v>
      </c>
      <c r="J276">
        <v>3.2625481716887377</v>
      </c>
      <c r="K276">
        <v>2.9621726660819427</v>
      </c>
      <c r="L276">
        <v>5.2071034315909586</v>
      </c>
      <c r="M276">
        <v>114246.44319160325</v>
      </c>
      <c r="N276" s="82">
        <v>113</v>
      </c>
      <c r="O276">
        <v>36.914500639912895</v>
      </c>
      <c r="P2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76" t="str">
        <f t="shared" ca="1" si="17"/>
        <v>Online</v>
      </c>
      <c r="R276">
        <f>automotive_demand_forecasting_dataset567[[#This Row],[Units_Sold]]*automotive_demand_forecasting_dataset567[[#This Row],[Average_Price]]</f>
        <v>3810629.5579999997</v>
      </c>
      <c r="S276" t="str">
        <f t="shared" ca="1" si="18"/>
        <v>OK</v>
      </c>
    </row>
    <row r="277" spans="1:19">
      <c r="A277" s="1">
        <v>49985</v>
      </c>
      <c r="B277" t="s">
        <v>14</v>
      </c>
      <c r="C277" t="str">
        <f>TEXT(automotive_demand_forecasting_dataset567[[#This Row],[Date]],"mmmm")</f>
        <v>November</v>
      </c>
      <c r="D277" t="str">
        <f>CHOOSE(MATCH(MONTH(A277), {1,4,7,10}), "Winter", "Spring", "Summer", "Autumn")</f>
        <v>Autumn</v>
      </c>
      <c r="E277">
        <f>YEAR(automotive_demand_forecasting_dataset567[[#This Row],[Date]])</f>
        <v>2036</v>
      </c>
      <c r="F277">
        <v>85</v>
      </c>
      <c r="G277">
        <f>(automotive_demand_forecasting_dataset567[[#This Row],[Units_Sold]] -$C$4) / $C$5</f>
        <v>-1.4648025421103859</v>
      </c>
      <c r="H277" s="157" t="str">
        <f t="shared" ca="1" si="16"/>
        <v>South</v>
      </c>
      <c r="I277">
        <v>26993.161780243932</v>
      </c>
      <c r="J277">
        <v>3.5380713799999999</v>
      </c>
      <c r="K277">
        <v>4.524309623286852</v>
      </c>
      <c r="L277">
        <v>5.4528312548468429</v>
      </c>
      <c r="M277">
        <v>145633.03673077686</v>
      </c>
      <c r="N277" s="82">
        <v>89</v>
      </c>
      <c r="O277">
        <v>41.213659294668446</v>
      </c>
      <c r="P2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77" t="str">
        <f t="shared" ca="1" si="17"/>
        <v>Radio</v>
      </c>
      <c r="R277" s="157">
        <f>automotive_demand_forecasting_dataset567[[#This Row],[Units_Sold]]*automotive_demand_forecasting_dataset567[[#This Row],[Average_Price]]</f>
        <v>2294418.7513207342</v>
      </c>
      <c r="S277" t="str">
        <f t="shared" ca="1" si="18"/>
        <v>OK</v>
      </c>
    </row>
    <row r="278" spans="1:19">
      <c r="A278" s="1">
        <v>50015</v>
      </c>
      <c r="B278" t="s">
        <v>11</v>
      </c>
      <c r="C278" t="str">
        <f>TEXT(automotive_demand_forecasting_dataset567[[#This Row],[Date]],"mmmm")</f>
        <v>December</v>
      </c>
      <c r="D278" t="str">
        <f>CHOOSE(MATCH(MONTH(A278), {1,4,7,10}), "Winter", "Spring", "Summer", "Autumn")</f>
        <v>Autumn</v>
      </c>
      <c r="E278">
        <f>YEAR(automotive_demand_forecasting_dataset567[[#This Row],[Date]])</f>
        <v>2036</v>
      </c>
      <c r="F278">
        <v>101</v>
      </c>
      <c r="G278">
        <f>(automotive_demand_forecasting_dataset567[[#This Row],[Units_Sold]] -$C$4) / $C$5</f>
        <v>0.17413736514599024</v>
      </c>
      <c r="H278" t="str">
        <f t="shared" ca="1" si="16"/>
        <v>East</v>
      </c>
      <c r="I278">
        <v>31598.909670712685</v>
      </c>
      <c r="J278">
        <v>2.8270101598766257</v>
      </c>
      <c r="K278">
        <v>1.1368259954071895</v>
      </c>
      <c r="L278">
        <v>5.3386038587179208</v>
      </c>
      <c r="M278">
        <v>87647.166461326065</v>
      </c>
      <c r="N278" s="82">
        <v>91</v>
      </c>
      <c r="O278">
        <v>73.028783010773253</v>
      </c>
      <c r="P2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78" t="str">
        <f t="shared" ca="1" si="17"/>
        <v>Online</v>
      </c>
      <c r="R278">
        <f>automotive_demand_forecasting_dataset567[[#This Row],[Units_Sold]]*automotive_demand_forecasting_dataset567[[#This Row],[Average_Price]]</f>
        <v>3191489.8767419811</v>
      </c>
      <c r="S278" t="str">
        <f t="shared" ca="1" si="18"/>
        <v>OK</v>
      </c>
    </row>
    <row r="279" spans="1:19">
      <c r="A279" s="1">
        <v>50045</v>
      </c>
      <c r="B279" t="s">
        <v>14</v>
      </c>
      <c r="C279" t="str">
        <f>TEXT(automotive_demand_forecasting_dataset567[[#This Row],[Date]],"mmmm")</f>
        <v>January</v>
      </c>
      <c r="D279" t="str">
        <f>CHOOSE(MATCH(MONTH(A279), {1,4,7,10}), "Winter", "Spring", "Summer", "Autumn")</f>
        <v>Winter</v>
      </c>
      <c r="E279">
        <f>YEAR(automotive_demand_forecasting_dataset567[[#This Row],[Date]])</f>
        <v>2037</v>
      </c>
      <c r="F279">
        <v>93</v>
      </c>
      <c r="G279">
        <f>(automotive_demand_forecasting_dataset567[[#This Row],[Units_Sold]] -$C$4) / $C$5</f>
        <v>-0.64533258848219777</v>
      </c>
      <c r="H279" s="157" t="str">
        <f t="shared" ca="1" si="16"/>
        <v>North</v>
      </c>
      <c r="I279">
        <v>22035.031332341656</v>
      </c>
      <c r="J279">
        <v>3.5631897897732059</v>
      </c>
      <c r="K279">
        <v>2.6897061676103955</v>
      </c>
      <c r="L279">
        <v>5.9006319598822419</v>
      </c>
      <c r="M279">
        <v>69299.195049352798</v>
      </c>
      <c r="N279" s="82">
        <v>83</v>
      </c>
      <c r="O279">
        <v>97.2358907680497</v>
      </c>
      <c r="P2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79" t="str">
        <f t="shared" ca="1" si="17"/>
        <v>Online</v>
      </c>
      <c r="R279" s="157">
        <f>automotive_demand_forecasting_dataset567[[#This Row],[Units_Sold]]*automotive_demand_forecasting_dataset567[[#This Row],[Average_Price]]</f>
        <v>2049257.913907774</v>
      </c>
      <c r="S279" t="str">
        <f t="shared" ca="1" si="18"/>
        <v>OK</v>
      </c>
    </row>
    <row r="280" spans="1:19">
      <c r="A280" s="1">
        <v>50075</v>
      </c>
      <c r="B280" t="s">
        <v>13</v>
      </c>
      <c r="C280" t="str">
        <f>TEXT(automotive_demand_forecasting_dataset567[[#This Row],[Date]],"mmmm")</f>
        <v>February</v>
      </c>
      <c r="D280" t="str">
        <f>CHOOSE(MATCH(MONTH(A280), {1,4,7,10}), "Winter", "Spring", "Summer", "Autumn")</f>
        <v>Winter</v>
      </c>
      <c r="E280">
        <f>YEAR(automotive_demand_forecasting_dataset567[[#This Row],[Date]])</f>
        <v>2037</v>
      </c>
      <c r="F280">
        <v>91</v>
      </c>
      <c r="G280">
        <f>(automotive_demand_forecasting_dataset567[[#This Row],[Units_Sold]] -$C$4) / $C$5</f>
        <v>-0.85020007688924482</v>
      </c>
      <c r="H280" t="str">
        <f t="shared" ca="1" si="16"/>
        <v>West</v>
      </c>
      <c r="I280">
        <v>32202.373689801996</v>
      </c>
      <c r="J280">
        <v>4.4694644995291419</v>
      </c>
      <c r="K280">
        <v>1.8380178222033909</v>
      </c>
      <c r="L280">
        <v>7.21764013819742</v>
      </c>
      <c r="M280">
        <v>62399.79932184473</v>
      </c>
      <c r="N280" s="82">
        <v>77</v>
      </c>
      <c r="O280">
        <v>93.265147855259514</v>
      </c>
      <c r="P2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80" t="str">
        <f t="shared" ca="1" si="17"/>
        <v>Online</v>
      </c>
      <c r="R280">
        <f>automotive_demand_forecasting_dataset567[[#This Row],[Units_Sold]]*automotive_demand_forecasting_dataset567[[#This Row],[Average_Price]]</f>
        <v>2930416.0057719816</v>
      </c>
      <c r="S280" t="str">
        <f t="shared" ca="1" si="18"/>
        <v>OK</v>
      </c>
    </row>
    <row r="281" spans="1:19">
      <c r="A281" s="1">
        <v>50105</v>
      </c>
      <c r="B281" t="s">
        <v>14</v>
      </c>
      <c r="C281" t="str">
        <f>TEXT(automotive_demand_forecasting_dataset567[[#This Row],[Date]],"mmmm")</f>
        <v>March</v>
      </c>
      <c r="D281" t="str">
        <f>CHOOSE(MATCH(MONTH(A281), {1,4,7,10}), "Winter", "Spring", "Summer", "Autumn")</f>
        <v>Winter</v>
      </c>
      <c r="E281">
        <f>YEAR(automotive_demand_forecasting_dataset567[[#This Row],[Date]])</f>
        <v>2037</v>
      </c>
      <c r="F281">
        <v>103</v>
      </c>
      <c r="G281">
        <f>(automotive_demand_forecasting_dataset567[[#This Row],[Units_Sold]] -$C$4) / $C$5</f>
        <v>0.37900485355303726</v>
      </c>
      <c r="H281" s="157" t="str">
        <f t="shared" ca="1" si="16"/>
        <v>North</v>
      </c>
      <c r="I281">
        <v>29901.811005366595</v>
      </c>
      <c r="J281">
        <v>2.9998343376972127</v>
      </c>
      <c r="K281">
        <v>2.9258872061930359</v>
      </c>
      <c r="L281">
        <v>6.7981200732073948</v>
      </c>
      <c r="M281">
        <v>114254.24057722662</v>
      </c>
      <c r="N281" s="82">
        <v>95</v>
      </c>
      <c r="O281">
        <v>60.23004160524679</v>
      </c>
      <c r="P2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81" t="str">
        <f t="shared" ca="1" si="17"/>
        <v>Radio</v>
      </c>
      <c r="R281" s="157">
        <f>automotive_demand_forecasting_dataset567[[#This Row],[Units_Sold]]*automotive_demand_forecasting_dataset567[[#This Row],[Average_Price]]</f>
        <v>3079886.5335527593</v>
      </c>
      <c r="S281" t="str">
        <f t="shared" ca="1" si="18"/>
        <v>OK</v>
      </c>
    </row>
    <row r="282" spans="1:19">
      <c r="A282" s="1">
        <v>50135</v>
      </c>
      <c r="B282" t="s">
        <v>12</v>
      </c>
      <c r="C282" t="str">
        <f>TEXT(automotive_demand_forecasting_dataset567[[#This Row],[Date]],"mmmm")</f>
        <v>April</v>
      </c>
      <c r="D282" t="str">
        <f>CHOOSE(MATCH(MONTH(A282), {1,4,7,10}), "Winter", "Spring", "Summer", "Autumn")</f>
        <v>Spring</v>
      </c>
      <c r="E282">
        <f>YEAR(automotive_demand_forecasting_dataset567[[#This Row],[Date]])</f>
        <v>2037</v>
      </c>
      <c r="F282">
        <v>109</v>
      </c>
      <c r="G282">
        <f>(automotive_demand_forecasting_dataset567[[#This Row],[Units_Sold]] -$C$4) / $C$5</f>
        <v>0.99360731877417829</v>
      </c>
      <c r="H282" t="str">
        <f t="shared" ca="1" si="16"/>
        <v>West</v>
      </c>
      <c r="I282">
        <v>30949.702720000001</v>
      </c>
      <c r="J282">
        <v>3.1611275147375744</v>
      </c>
      <c r="K282">
        <v>2.519147777415752</v>
      </c>
      <c r="L282">
        <v>3.9253369678823127</v>
      </c>
      <c r="M282">
        <v>62336.995838828327</v>
      </c>
      <c r="N282" s="82">
        <v>91</v>
      </c>
      <c r="O282">
        <v>83.608822602137977</v>
      </c>
      <c r="P2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82" t="str">
        <f t="shared" ca="1" si="17"/>
        <v>Online</v>
      </c>
      <c r="R282">
        <f>automotive_demand_forecasting_dataset567[[#This Row],[Units_Sold]]*automotive_demand_forecasting_dataset567[[#This Row],[Average_Price]]</f>
        <v>3373517.5964800003</v>
      </c>
      <c r="S282" t="str">
        <f t="shared" ca="1" si="18"/>
        <v>OK</v>
      </c>
    </row>
    <row r="283" spans="1:19">
      <c r="A283" s="1">
        <v>50165</v>
      </c>
      <c r="B283" t="s">
        <v>12</v>
      </c>
      <c r="C283" t="str">
        <f>TEXT(automotive_demand_forecasting_dataset567[[#This Row],[Date]],"mmmm")</f>
        <v>May</v>
      </c>
      <c r="D283" t="str">
        <f>CHOOSE(MATCH(MONTH(A283), {1,4,7,10}), "Winter", "Spring", "Summer", "Autumn")</f>
        <v>Spring</v>
      </c>
      <c r="E283">
        <f>YEAR(automotive_demand_forecasting_dataset567[[#This Row],[Date]])</f>
        <v>2037</v>
      </c>
      <c r="F283">
        <v>83</v>
      </c>
      <c r="G283">
        <f>(automotive_demand_forecasting_dataset567[[#This Row],[Units_Sold]] -$C$4) / $C$5</f>
        <v>-1.6696700305174328</v>
      </c>
      <c r="H283" t="str">
        <f t="shared" ca="1" si="16"/>
        <v>East</v>
      </c>
      <c r="I283">
        <v>31119.570670323308</v>
      </c>
      <c r="J283">
        <v>3.7569539248294577</v>
      </c>
      <c r="K283">
        <v>1.8585130909556904</v>
      </c>
      <c r="L283">
        <v>6.2464839883672587</v>
      </c>
      <c r="M283">
        <v>92553.618941241541</v>
      </c>
      <c r="N283" s="82">
        <v>97</v>
      </c>
      <c r="O283">
        <v>80.215177969999999</v>
      </c>
      <c r="P2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83" t="str">
        <f t="shared" ca="1" si="17"/>
        <v>Radio</v>
      </c>
      <c r="R283">
        <f>automotive_demand_forecasting_dataset567[[#This Row],[Units_Sold]]*automotive_demand_forecasting_dataset567[[#This Row],[Average_Price]]</f>
        <v>2582924.3656368344</v>
      </c>
      <c r="S283" t="str">
        <f t="shared" ca="1" si="18"/>
        <v>OK</v>
      </c>
    </row>
    <row r="284" spans="1:19">
      <c r="A284" s="1">
        <v>50195</v>
      </c>
      <c r="B284" t="s">
        <v>11</v>
      </c>
      <c r="C284" t="str">
        <f>TEXT(automotive_demand_forecasting_dataset567[[#This Row],[Date]],"mmmm")</f>
        <v>June</v>
      </c>
      <c r="D284" t="str">
        <f>CHOOSE(MATCH(MONTH(A284), {1,4,7,10}), "Winter", "Spring", "Summer", "Autumn")</f>
        <v>Spring</v>
      </c>
      <c r="E284">
        <f>YEAR(automotive_demand_forecasting_dataset567[[#This Row],[Date]])</f>
        <v>2037</v>
      </c>
      <c r="F284">
        <v>102</v>
      </c>
      <c r="G284">
        <f>(automotive_demand_forecasting_dataset567[[#This Row],[Units_Sold]] -$C$4) / $C$5</f>
        <v>0.27657110934951373</v>
      </c>
      <c r="H284" t="str">
        <f t="shared" ca="1" si="16"/>
        <v>West</v>
      </c>
      <c r="I284">
        <v>36820.702149869219</v>
      </c>
      <c r="J284">
        <v>3.5897908909697991</v>
      </c>
      <c r="K284">
        <v>2.9878722848710741</v>
      </c>
      <c r="L284">
        <v>5.616047043</v>
      </c>
      <c r="M284">
        <v>108746.26374077922</v>
      </c>
      <c r="N284" s="82">
        <v>97</v>
      </c>
      <c r="O284">
        <v>98.195054736320984</v>
      </c>
      <c r="P2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84" t="str">
        <f t="shared" ca="1" si="17"/>
        <v>Billboards</v>
      </c>
      <c r="R284">
        <f>automotive_demand_forecasting_dataset567[[#This Row],[Units_Sold]]*automotive_demand_forecasting_dataset567[[#This Row],[Average_Price]]</f>
        <v>3755711.6192866606</v>
      </c>
      <c r="S284" t="str">
        <f t="shared" ca="1" si="18"/>
        <v>OK</v>
      </c>
    </row>
    <row r="285" spans="1:19">
      <c r="A285" s="1">
        <v>50225</v>
      </c>
      <c r="B285" t="s">
        <v>12</v>
      </c>
      <c r="C285" t="str">
        <f>TEXT(automotive_demand_forecasting_dataset567[[#This Row],[Date]],"mmmm")</f>
        <v>July</v>
      </c>
      <c r="D285" t="str">
        <f>CHOOSE(MATCH(MONTH(A285), {1,4,7,10}), "Winter", "Spring", "Summer", "Autumn")</f>
        <v>Summer</v>
      </c>
      <c r="E285">
        <f>YEAR(automotive_demand_forecasting_dataset567[[#This Row],[Date]])</f>
        <v>2037</v>
      </c>
      <c r="F285">
        <v>98</v>
      </c>
      <c r="G285">
        <f>(automotive_demand_forecasting_dataset567[[#This Row],[Units_Sold]] -$C$4) / $C$5</f>
        <v>-0.13316386746458025</v>
      </c>
      <c r="H285" t="str">
        <f t="shared" ca="1" si="16"/>
        <v>North</v>
      </c>
      <c r="I285">
        <v>30626.122513239538</v>
      </c>
      <c r="J285">
        <v>3.6753150496367795</v>
      </c>
      <c r="K285">
        <v>4.3043481097867433</v>
      </c>
      <c r="L285">
        <v>5.9641702248270434</v>
      </c>
      <c r="M285">
        <v>103703.51073659828</v>
      </c>
      <c r="N285" s="82">
        <v>85</v>
      </c>
      <c r="O285">
        <v>97.148258722878921</v>
      </c>
      <c r="P2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85" t="str">
        <f t="shared" ca="1" si="17"/>
        <v>Online</v>
      </c>
      <c r="R285">
        <f>automotive_demand_forecasting_dataset567[[#This Row],[Units_Sold]]*automotive_demand_forecasting_dataset567[[#This Row],[Average_Price]]</f>
        <v>3001360.0062974747</v>
      </c>
      <c r="S285" t="str">
        <f t="shared" ca="1" si="18"/>
        <v>OK</v>
      </c>
    </row>
    <row r="286" spans="1:19">
      <c r="A286" s="1">
        <v>50255</v>
      </c>
      <c r="B286" t="s">
        <v>10</v>
      </c>
      <c r="C286" t="str">
        <f>TEXT(automotive_demand_forecasting_dataset567[[#This Row],[Date]],"mmmm")</f>
        <v>August</v>
      </c>
      <c r="D286" t="str">
        <f>CHOOSE(MATCH(MONTH(A286), {1,4,7,10}), "Winter", "Spring", "Summer", "Autumn")</f>
        <v>Summer</v>
      </c>
      <c r="E286">
        <f>YEAR(automotive_demand_forecasting_dataset567[[#This Row],[Date]])</f>
        <v>2037</v>
      </c>
      <c r="F286">
        <v>93</v>
      </c>
      <c r="G286">
        <f>(automotive_demand_forecasting_dataset567[[#This Row],[Units_Sold]] -$C$4) / $C$5</f>
        <v>-0.64533258848219777</v>
      </c>
      <c r="H286" t="str">
        <f t="shared" ca="1" si="16"/>
        <v>West</v>
      </c>
      <c r="I286">
        <v>27852.972294373736</v>
      </c>
      <c r="J286">
        <v>3.7445935650738318</v>
      </c>
      <c r="K286">
        <v>2.3090962082727011</v>
      </c>
      <c r="L286">
        <f>6.97388673</f>
        <v>6.9738867300000003</v>
      </c>
      <c r="M286">
        <v>108508.89728368344</v>
      </c>
      <c r="N286" s="82">
        <v>77</v>
      </c>
      <c r="O286">
        <v>33.098316630333677</v>
      </c>
      <c r="P2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86" t="str">
        <f t="shared" ca="1" si="17"/>
        <v>Billboards</v>
      </c>
      <c r="R286">
        <f>automotive_demand_forecasting_dataset567[[#This Row],[Units_Sold]]*automotive_demand_forecasting_dataset567[[#This Row],[Average_Price]]</f>
        <v>2590326.4233767577</v>
      </c>
      <c r="S286" t="str">
        <f t="shared" ca="1" si="18"/>
        <v>OK</v>
      </c>
    </row>
    <row r="287" spans="1:19">
      <c r="A287" s="1">
        <v>50285</v>
      </c>
      <c r="B287" t="s">
        <v>13</v>
      </c>
      <c r="C287" t="str">
        <f>TEXT(automotive_demand_forecasting_dataset567[[#This Row],[Date]],"mmmm")</f>
        <v>September</v>
      </c>
      <c r="D287" t="str">
        <f>CHOOSE(MATCH(MONTH(A287), {1,4,7,10}), "Winter", "Spring", "Summer", "Autumn")</f>
        <v>Summer</v>
      </c>
      <c r="E287">
        <f>YEAR(automotive_demand_forecasting_dataset567[[#This Row],[Date]])</f>
        <v>2037</v>
      </c>
      <c r="F287">
        <v>104</v>
      </c>
      <c r="G287">
        <f>(automotive_demand_forecasting_dataset567[[#This Row],[Units_Sold]] -$C$4) / $C$5</f>
        <v>0.48143859775656078</v>
      </c>
      <c r="H287" t="str">
        <f t="shared" ca="1" si="16"/>
        <v>West</v>
      </c>
      <c r="I287">
        <v>30611.487515161418</v>
      </c>
      <c r="J287">
        <v>3.5380713799999999</v>
      </c>
      <c r="K287">
        <v>3.2197579421481821</v>
      </c>
      <c r="L287">
        <v>7.9147245348409179</v>
      </c>
      <c r="M287">
        <f>128897.2893</f>
        <v>128897.2893</v>
      </c>
      <c r="N287" s="82">
        <v>100</v>
      </c>
      <c r="O287">
        <v>43.953849984248528</v>
      </c>
      <c r="P2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87" t="str">
        <f t="shared" ca="1" si="17"/>
        <v>Billboards</v>
      </c>
      <c r="R287">
        <f>automotive_demand_forecasting_dataset567[[#This Row],[Units_Sold]]*automotive_demand_forecasting_dataset567[[#This Row],[Average_Price]]</f>
        <v>3183594.7015767875</v>
      </c>
      <c r="S287" t="str">
        <f t="shared" ca="1" si="18"/>
        <v>OK</v>
      </c>
    </row>
    <row r="288" spans="1:19">
      <c r="A288" s="1">
        <v>50315</v>
      </c>
      <c r="B288" t="s">
        <v>13</v>
      </c>
      <c r="C288" t="str">
        <f>TEXT(automotive_demand_forecasting_dataset567[[#This Row],[Date]],"mmmm")</f>
        <v>October</v>
      </c>
      <c r="D288" t="str">
        <f>CHOOSE(MATCH(MONTH(A288), {1,4,7,10}), "Winter", "Spring", "Summer", "Autumn")</f>
        <v>Autumn</v>
      </c>
      <c r="E288">
        <f>YEAR(automotive_demand_forecasting_dataset567[[#This Row],[Date]])</f>
        <v>2037</v>
      </c>
      <c r="F288">
        <v>96</v>
      </c>
      <c r="G288">
        <f>(automotive_demand_forecasting_dataset567[[#This Row],[Units_Sold]] -$C$4) / $C$5</f>
        <v>-0.33803135587162725</v>
      </c>
      <c r="H288" t="str">
        <f t="shared" ca="1" si="16"/>
        <v>South</v>
      </c>
      <c r="I288">
        <v>32716.490145181939</v>
      </c>
      <c r="J288">
        <v>4.0548499209781115</v>
      </c>
      <c r="K288">
        <f>3.224108373</f>
        <v>3.224108373</v>
      </c>
      <c r="L288">
        <v>6.7284514553283774</v>
      </c>
      <c r="M288">
        <v>125577.31626626787</v>
      </c>
      <c r="N288" s="82">
        <v>87</v>
      </c>
      <c r="O288">
        <v>28.012399800541353</v>
      </c>
      <c r="P2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88" t="str">
        <f t="shared" ca="1" si="17"/>
        <v>Radio</v>
      </c>
      <c r="R288">
        <f>automotive_demand_forecasting_dataset567[[#This Row],[Units_Sold]]*automotive_demand_forecasting_dataset567[[#This Row],[Average_Price]]</f>
        <v>3140783.0539374659</v>
      </c>
      <c r="S288" t="str">
        <f t="shared" ca="1" si="18"/>
        <v>OK</v>
      </c>
    </row>
    <row r="289" spans="1:19">
      <c r="A289" s="1">
        <v>50345</v>
      </c>
      <c r="B289" t="s">
        <v>10</v>
      </c>
      <c r="C289" t="str">
        <f>TEXT(automotive_demand_forecasting_dataset567[[#This Row],[Date]],"mmmm")</f>
        <v>November</v>
      </c>
      <c r="D289" t="str">
        <f>CHOOSE(MATCH(MONTH(A289), {1,4,7,10}), "Winter", "Spring", "Summer", "Autumn")</f>
        <v>Autumn</v>
      </c>
      <c r="E289">
        <f>YEAR(automotive_demand_forecasting_dataset567[[#This Row],[Date]])</f>
        <v>2037</v>
      </c>
      <c r="F289">
        <v>103</v>
      </c>
      <c r="G289">
        <f>(automotive_demand_forecasting_dataset567[[#This Row],[Units_Sold]] -$C$4) / $C$5</f>
        <v>0.37900485355303726</v>
      </c>
      <c r="H289" t="str">
        <f t="shared" ca="1" si="16"/>
        <v>South</v>
      </c>
      <c r="I289">
        <v>30244.300351628521</v>
      </c>
      <c r="J289">
        <v>3.7049093284642565</v>
      </c>
      <c r="K289">
        <v>1.5435636231819911</v>
      </c>
      <c r="L289">
        <v>5.7991703147700751</v>
      </c>
      <c r="M289">
        <v>80953.672385224054</v>
      </c>
      <c r="N289" s="82">
        <v>102</v>
      </c>
      <c r="O289">
        <v>41.737407911854376</v>
      </c>
      <c r="P2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89" t="str">
        <f t="shared" ca="1" si="17"/>
        <v>TV</v>
      </c>
      <c r="R289">
        <f>automotive_demand_forecasting_dataset567[[#This Row],[Units_Sold]]*automotive_demand_forecasting_dataset567[[#This Row],[Average_Price]]</f>
        <v>3115162.9362177378</v>
      </c>
      <c r="S289" t="str">
        <f t="shared" ca="1" si="18"/>
        <v>OK</v>
      </c>
    </row>
    <row r="290" spans="1:19">
      <c r="A290" s="1">
        <v>50375</v>
      </c>
      <c r="B290" t="s">
        <v>11</v>
      </c>
      <c r="C290" t="str">
        <f>TEXT(automotive_demand_forecasting_dataset567[[#This Row],[Date]],"mmmm")</f>
        <v>December</v>
      </c>
      <c r="D290" t="str">
        <f>CHOOSE(MATCH(MONTH(A290), {1,4,7,10}), "Winter", "Spring", "Summer", "Autumn")</f>
        <v>Autumn</v>
      </c>
      <c r="E290">
        <f>YEAR(automotive_demand_forecasting_dataset567[[#This Row],[Date]])</f>
        <v>2037</v>
      </c>
      <c r="F290">
        <v>85</v>
      </c>
      <c r="G290">
        <f>(automotive_demand_forecasting_dataset567[[#This Row],[Units_Sold]] -$C$4) / $C$5</f>
        <v>-1.4648025421103859</v>
      </c>
      <c r="H290" t="str">
        <f t="shared" ca="1" si="16"/>
        <v>East</v>
      </c>
      <c r="I290">
        <v>30202.958456019413</v>
      </c>
      <c r="J290">
        <v>3.3793711726907287</v>
      </c>
      <c r="K290">
        <v>2.9724062778803773</v>
      </c>
      <c r="L290">
        <f>6.97388673</f>
        <v>6.9738867300000003</v>
      </c>
      <c r="M290">
        <v>86460.097230829371</v>
      </c>
      <c r="N290" s="82">
        <v>102</v>
      </c>
      <c r="O290">
        <v>85.276463153216525</v>
      </c>
      <c r="P2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90" t="str">
        <f t="shared" ca="1" si="17"/>
        <v>Radio</v>
      </c>
      <c r="R290">
        <f>automotive_demand_forecasting_dataset567[[#This Row],[Units_Sold]]*automotive_demand_forecasting_dataset567[[#This Row],[Average_Price]]</f>
        <v>2567251.4687616499</v>
      </c>
      <c r="S290" t="str">
        <f t="shared" ca="1" si="18"/>
        <v>OK</v>
      </c>
    </row>
    <row r="291" spans="1:19">
      <c r="A291" s="1">
        <v>50405</v>
      </c>
      <c r="B291" t="s">
        <v>10</v>
      </c>
      <c r="C291" t="str">
        <f>TEXT(automotive_demand_forecasting_dataset567[[#This Row],[Date]],"mmmm")</f>
        <v>December</v>
      </c>
      <c r="D291" t="str">
        <f>CHOOSE(MATCH(MONTH(A291), {1,4,7,10}), "Winter", "Spring", "Summer", "Autumn")</f>
        <v>Autumn</v>
      </c>
      <c r="E291">
        <f>YEAR(automotive_demand_forecasting_dataset567[[#This Row],[Date]])</f>
        <v>2037</v>
      </c>
      <c r="F291">
        <v>92</v>
      </c>
      <c r="G291">
        <f>(automotive_demand_forecasting_dataset567[[#This Row],[Units_Sold]] -$C$4) / $C$5</f>
        <v>-0.74776633268572135</v>
      </c>
      <c r="H291" t="str">
        <f t="shared" ca="1" si="16"/>
        <v>North</v>
      </c>
      <c r="I291">
        <v>26490.041560966223</v>
      </c>
      <c r="J291">
        <v>4.5778345189999996</v>
      </c>
      <c r="K291">
        <v>3.9841160285359649</v>
      </c>
      <c r="L291">
        <v>5.6738653997162691</v>
      </c>
      <c r="M291">
        <v>84546.811094583521</v>
      </c>
      <c r="N291" s="82">
        <v>98</v>
      </c>
      <c r="O291">
        <v>50.265248573220759</v>
      </c>
      <c r="P2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91" t="str">
        <f t="shared" ca="1" si="17"/>
        <v>TV</v>
      </c>
      <c r="R291">
        <f>automotive_demand_forecasting_dataset567[[#This Row],[Units_Sold]]*automotive_demand_forecasting_dataset567[[#This Row],[Average_Price]]</f>
        <v>2437083.8236088925</v>
      </c>
      <c r="S291" t="str">
        <f t="shared" ca="1" si="18"/>
        <v>OK</v>
      </c>
    </row>
    <row r="292" spans="1:19">
      <c r="A292" s="1">
        <v>50435</v>
      </c>
      <c r="B292" t="s">
        <v>10</v>
      </c>
      <c r="C292" t="str">
        <f>TEXT(automotive_demand_forecasting_dataset567[[#This Row],[Date]],"mmmm")</f>
        <v>January</v>
      </c>
      <c r="D292" t="str">
        <f>CHOOSE(MATCH(MONTH(A292), {1,4,7,10}), "Winter", "Spring", "Summer", "Autumn")</f>
        <v>Winter</v>
      </c>
      <c r="E292">
        <f>YEAR(automotive_demand_forecasting_dataset567[[#This Row],[Date]])</f>
        <v>2038</v>
      </c>
      <c r="F292">
        <v>90</v>
      </c>
      <c r="G292">
        <f>(automotive_demand_forecasting_dataset567[[#This Row],[Units_Sold]] -$C$4) / $C$5</f>
        <v>-0.95263382109276828</v>
      </c>
      <c r="H292" t="str">
        <f t="shared" ca="1" si="16"/>
        <v>East</v>
      </c>
      <c r="I292">
        <v>26685.495412245258</v>
      </c>
      <c r="J292">
        <v>4.449940967447608</v>
      </c>
      <c r="K292">
        <v>2.8556133487856599</v>
      </c>
      <c r="L292">
        <v>5.5286836519419467</v>
      </c>
      <c r="M292">
        <v>116603.8362372522</v>
      </c>
      <c r="N292" s="82">
        <v>80</v>
      </c>
      <c r="O292">
        <v>27.07175737174067</v>
      </c>
      <c r="P2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92" t="str">
        <f t="shared" ca="1" si="17"/>
        <v>Print</v>
      </c>
      <c r="R292">
        <f>automotive_demand_forecasting_dataset567[[#This Row],[Units_Sold]]*automotive_demand_forecasting_dataset567[[#This Row],[Average_Price]]</f>
        <v>2401694.5871020732</v>
      </c>
      <c r="S292" t="str">
        <f t="shared" ca="1" si="18"/>
        <v>OK</v>
      </c>
    </row>
    <row r="293" spans="1:19">
      <c r="A293" s="1">
        <v>50465</v>
      </c>
      <c r="B293" t="s">
        <v>13</v>
      </c>
      <c r="C293" t="str">
        <f>TEXT(automotive_demand_forecasting_dataset567[[#This Row],[Date]],"mmmm")</f>
        <v>March</v>
      </c>
      <c r="D293" t="str">
        <f>CHOOSE(MATCH(MONTH(A293), {1,4,7,10}), "Winter", "Spring", "Summer", "Autumn")</f>
        <v>Winter</v>
      </c>
      <c r="E293">
        <f>YEAR(automotive_demand_forecasting_dataset567[[#This Row],[Date]])</f>
        <v>2038</v>
      </c>
      <c r="F293">
        <v>83</v>
      </c>
      <c r="G293">
        <f>(automotive_demand_forecasting_dataset567[[#This Row],[Units_Sold]] -$C$4) / $C$5</f>
        <v>-1.6696700305174328</v>
      </c>
      <c r="H293" t="str">
        <f t="shared" ca="1" si="16"/>
        <v>West</v>
      </c>
      <c r="I293">
        <v>22986.973641001532</v>
      </c>
      <c r="J293">
        <v>3.4336831268087131</v>
      </c>
      <c r="K293">
        <v>2.1869419694768455</v>
      </c>
      <c r="L293">
        <v>5.078302917143521</v>
      </c>
      <c r="M293">
        <v>118007.97176790127</v>
      </c>
      <c r="N293" s="82">
        <v>79</v>
      </c>
      <c r="O293">
        <v>47.378041982312368</v>
      </c>
      <c r="P2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93" t="str">
        <f t="shared" ca="1" si="17"/>
        <v>Online</v>
      </c>
      <c r="R293">
        <f>automotive_demand_forecasting_dataset567[[#This Row],[Units_Sold]]*automotive_demand_forecasting_dataset567[[#This Row],[Average_Price]]</f>
        <v>1907918.8122031272</v>
      </c>
      <c r="S293" t="str">
        <f t="shared" ca="1" si="18"/>
        <v>OK</v>
      </c>
    </row>
    <row r="294" spans="1:19">
      <c r="A294" s="1">
        <v>50495</v>
      </c>
      <c r="B294" t="s">
        <v>14</v>
      </c>
      <c r="C294" t="str">
        <f>TEXT(automotive_demand_forecasting_dataset567[[#This Row],[Date]],"mmmm")</f>
        <v>March</v>
      </c>
      <c r="D294" t="str">
        <f>CHOOSE(MATCH(MONTH(A294), {1,4,7,10}), "Winter", "Spring", "Summer", "Autumn")</f>
        <v>Winter</v>
      </c>
      <c r="E294">
        <f>YEAR(automotive_demand_forecasting_dataset567[[#This Row],[Date]])</f>
        <v>2038</v>
      </c>
      <c r="F294">
        <v>86</v>
      </c>
      <c r="G294">
        <f>(automotive_demand_forecasting_dataset567[[#This Row],[Units_Sold]] -$C$4) / $C$5</f>
        <v>-1.3623687979068624</v>
      </c>
      <c r="H294" s="157" t="str">
        <f t="shared" ca="1" si="16"/>
        <v>North</v>
      </c>
      <c r="I294">
        <v>38747.883715934695</v>
      </c>
      <c r="J294">
        <v>3.0127353476646794</v>
      </c>
      <c r="K294">
        <v>2.4992914054233539</v>
      </c>
      <c r="L294">
        <v>7.3760960305985295</v>
      </c>
      <c r="M294">
        <v>109024.50638637017</v>
      </c>
      <c r="N294" s="82">
        <v>91</v>
      </c>
      <c r="O294">
        <v>98.510666739302408</v>
      </c>
      <c r="P2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94" t="str">
        <f t="shared" ca="1" si="17"/>
        <v>Online</v>
      </c>
      <c r="R294" s="157">
        <f>automotive_demand_forecasting_dataset567[[#This Row],[Units_Sold]]*automotive_demand_forecasting_dataset567[[#This Row],[Average_Price]]</f>
        <v>3332317.9995703837</v>
      </c>
      <c r="S294" t="str">
        <f t="shared" ca="1" si="18"/>
        <v>OK</v>
      </c>
    </row>
    <row r="295" spans="1:19">
      <c r="A295" s="1">
        <v>50525</v>
      </c>
      <c r="B295" t="s">
        <v>13</v>
      </c>
      <c r="C295" t="str">
        <f>TEXT(automotive_demand_forecasting_dataset567[[#This Row],[Date]],"mmmm")</f>
        <v>April</v>
      </c>
      <c r="D295" t="str">
        <f>CHOOSE(MATCH(MONTH(A295), {1,4,7,10}), "Winter", "Spring", "Summer", "Autumn")</f>
        <v>Spring</v>
      </c>
      <c r="E295">
        <f>YEAR(automotive_demand_forecasting_dataset567[[#This Row],[Date]])</f>
        <v>2038</v>
      </c>
      <c r="F295">
        <v>110</v>
      </c>
      <c r="G295">
        <f>(automotive_demand_forecasting_dataset567[[#This Row],[Units_Sold]] -$C$4) / $C$5</f>
        <v>1.0960410629777018</v>
      </c>
      <c r="H295" t="str">
        <f t="shared" ca="1" si="16"/>
        <v>North</v>
      </c>
      <c r="I295">
        <v>23780.683823043575</v>
      </c>
      <c r="J295">
        <v>4.0535403346434862</v>
      </c>
      <c r="K295">
        <v>1.2495922660302825</v>
      </c>
      <c r="L295">
        <v>4.5178856008695982</v>
      </c>
      <c r="M295">
        <v>123669.87333779855</v>
      </c>
      <c r="N295" s="82">
        <v>81</v>
      </c>
      <c r="O295">
        <v>70.374687620736239</v>
      </c>
      <c r="P2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95" t="str">
        <f t="shared" ca="1" si="17"/>
        <v>Radio</v>
      </c>
      <c r="R295">
        <f>automotive_demand_forecasting_dataset567[[#This Row],[Units_Sold]]*automotive_demand_forecasting_dataset567[[#This Row],[Average_Price]]</f>
        <v>2615875.2205347931</v>
      </c>
      <c r="S295" t="str">
        <f t="shared" ca="1" si="18"/>
        <v>OK</v>
      </c>
    </row>
    <row r="296" spans="1:19">
      <c r="A296" s="1">
        <v>50555</v>
      </c>
      <c r="B296" t="s">
        <v>13</v>
      </c>
      <c r="C296" t="str">
        <f>TEXT(automotive_demand_forecasting_dataset567[[#This Row],[Date]],"mmmm")</f>
        <v>May</v>
      </c>
      <c r="D296" t="str">
        <f>CHOOSE(MATCH(MONTH(A296), {1,4,7,10}), "Winter", "Spring", "Summer", "Autumn")</f>
        <v>Spring</v>
      </c>
      <c r="E296">
        <f>YEAR(automotive_demand_forecasting_dataset567[[#This Row],[Date]])</f>
        <v>2038</v>
      </c>
      <c r="F296">
        <v>89</v>
      </c>
      <c r="G296">
        <f>(automotive_demand_forecasting_dataset567[[#This Row],[Units_Sold]] -$C$4) / $C$5</f>
        <v>-1.0550675652962918</v>
      </c>
      <c r="H296" t="str">
        <f t="shared" ca="1" si="16"/>
        <v>West</v>
      </c>
      <c r="I296">
        <v>38106.295579999998</v>
      </c>
      <c r="J296">
        <v>3.4398094180232008</v>
      </c>
      <c r="K296">
        <v>3.1045153263553669</v>
      </c>
      <c r="L296">
        <v>7.3388412696137388</v>
      </c>
      <c r="M296">
        <v>76439.182652472387</v>
      </c>
      <c r="N296" s="82">
        <v>66</v>
      </c>
      <c r="O296">
        <v>53.292875712492616</v>
      </c>
      <c r="P2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96" t="str">
        <f t="shared" ca="1" si="17"/>
        <v>TV</v>
      </c>
      <c r="R296">
        <f>automotive_demand_forecasting_dataset567[[#This Row],[Units_Sold]]*automotive_demand_forecasting_dataset567[[#This Row],[Average_Price]]</f>
        <v>3391460.3066199999</v>
      </c>
      <c r="S296" t="str">
        <f t="shared" ca="1" si="18"/>
        <v>OK</v>
      </c>
    </row>
    <row r="297" spans="1:19">
      <c r="A297" s="1">
        <v>50585</v>
      </c>
      <c r="B297" t="s">
        <v>12</v>
      </c>
      <c r="C297" t="str">
        <f>TEXT(automotive_demand_forecasting_dataset567[[#This Row],[Date]],"mmmm")</f>
        <v>June</v>
      </c>
      <c r="D297" t="str">
        <f>CHOOSE(MATCH(MONTH(A297), {1,4,7,10}), "Winter", "Spring", "Summer", "Autumn")</f>
        <v>Spring</v>
      </c>
      <c r="E297">
        <f>YEAR(automotive_demand_forecasting_dataset567[[#This Row],[Date]])</f>
        <v>2038</v>
      </c>
      <c r="F297">
        <v>118</v>
      </c>
      <c r="G297">
        <f>(automotive_demand_forecasting_dataset567[[#This Row],[Units_Sold]] -$C$4) / $C$5</f>
        <v>1.9155110166058897</v>
      </c>
      <c r="H297" t="str">
        <f t="shared" ca="1" si="16"/>
        <v>South</v>
      </c>
      <c r="I297">
        <v>30949.702720000001</v>
      </c>
      <c r="J297">
        <v>2.4136652269929817</v>
      </c>
      <c r="K297">
        <v>3.3823330623234091</v>
      </c>
      <c r="L297">
        <v>6.0998369484884458</v>
      </c>
      <c r="M297">
        <v>133344.48223102273</v>
      </c>
      <c r="N297" s="82">
        <v>92</v>
      </c>
      <c r="O297">
        <v>33.323081079781602</v>
      </c>
      <c r="P2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97" t="str">
        <f t="shared" ca="1" si="17"/>
        <v>TV</v>
      </c>
      <c r="R297">
        <f>automotive_demand_forecasting_dataset567[[#This Row],[Units_Sold]]*automotive_demand_forecasting_dataset567[[#This Row],[Average_Price]]</f>
        <v>3652064.9209600003</v>
      </c>
      <c r="S297" t="str">
        <f t="shared" ca="1" si="18"/>
        <v>OK</v>
      </c>
    </row>
    <row r="298" spans="1:19">
      <c r="A298" s="1">
        <v>50615</v>
      </c>
      <c r="B298" t="s">
        <v>10</v>
      </c>
      <c r="C298" t="str">
        <f>TEXT(automotive_demand_forecasting_dataset567[[#This Row],[Date]],"mmmm")</f>
        <v>July</v>
      </c>
      <c r="D298" t="str">
        <f>CHOOSE(MATCH(MONTH(A298), {1,4,7,10}), "Winter", "Spring", "Summer", "Autumn")</f>
        <v>Summer</v>
      </c>
      <c r="E298">
        <f>YEAR(automotive_demand_forecasting_dataset567[[#This Row],[Date]])</f>
        <v>2038</v>
      </c>
      <c r="F298">
        <v>102</v>
      </c>
      <c r="G298">
        <f>(automotive_demand_forecasting_dataset567[[#This Row],[Units_Sold]] -$C$4) / $C$5</f>
        <v>0.27657110934951373</v>
      </c>
      <c r="H298" t="str">
        <f t="shared" ca="1" si="16"/>
        <v>West</v>
      </c>
      <c r="I298">
        <v>34474.621884722204</v>
      </c>
      <c r="J298">
        <v>3.9237108385752109</v>
      </c>
      <c r="K298">
        <v>2.0479096671669197</v>
      </c>
      <c r="L298">
        <v>3.8208325902376705</v>
      </c>
      <c r="M298">
        <v>130464.77243424517</v>
      </c>
      <c r="N298" s="82">
        <v>95</v>
      </c>
      <c r="O298">
        <v>98.894143782695579</v>
      </c>
      <c r="P2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98" t="str">
        <f t="shared" ca="1" si="17"/>
        <v>Online</v>
      </c>
      <c r="R298">
        <f>automotive_demand_forecasting_dataset567[[#This Row],[Units_Sold]]*automotive_demand_forecasting_dataset567[[#This Row],[Average_Price]]</f>
        <v>3516411.4322416647</v>
      </c>
      <c r="S298" t="str">
        <f t="shared" ca="1" si="18"/>
        <v>OK</v>
      </c>
    </row>
    <row r="299" spans="1:19">
      <c r="A299" s="1">
        <v>50645</v>
      </c>
      <c r="B299" t="s">
        <v>13</v>
      </c>
      <c r="C299" t="str">
        <f>TEXT(automotive_demand_forecasting_dataset567[[#This Row],[Date]],"mmmm")</f>
        <v>August</v>
      </c>
      <c r="D299" t="str">
        <f>CHOOSE(MATCH(MONTH(A299), {1,4,7,10}), "Winter", "Spring", "Summer", "Autumn")</f>
        <v>Summer</v>
      </c>
      <c r="E299">
        <f>YEAR(automotive_demand_forecasting_dataset567[[#This Row],[Date]])</f>
        <v>2038</v>
      </c>
      <c r="F299">
        <v>108</v>
      </c>
      <c r="G299">
        <f>(automotive_demand_forecasting_dataset567[[#This Row],[Units_Sold]] -$C$4) / $C$5</f>
        <v>0.89117357457065483</v>
      </c>
      <c r="H299" t="str">
        <f t="shared" ca="1" si="16"/>
        <v>South</v>
      </c>
      <c r="I299">
        <v>28525.25160853986</v>
      </c>
      <c r="J299">
        <v>3.2323359070230389</v>
      </c>
      <c r="K299">
        <v>2.0299578522404986</v>
      </c>
      <c r="L299">
        <v>5.616047043</v>
      </c>
      <c r="M299">
        <v>114712.43994491494</v>
      </c>
      <c r="N299" s="82">
        <f>111.9136842</f>
        <v>111.91368420000001</v>
      </c>
      <c r="O299">
        <v>85.667920741050295</v>
      </c>
      <c r="P2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99" t="str">
        <f t="shared" ca="1" si="17"/>
        <v>Online</v>
      </c>
      <c r="R299">
        <f>automotive_demand_forecasting_dataset567[[#This Row],[Units_Sold]]*automotive_demand_forecasting_dataset567[[#This Row],[Average_Price]]</f>
        <v>3080727.1737223049</v>
      </c>
      <c r="S299" t="str">
        <f t="shared" ca="1" si="18"/>
        <v>OK</v>
      </c>
    </row>
    <row r="300" spans="1:19">
      <c r="A300" s="1">
        <v>50675</v>
      </c>
      <c r="B300" t="s">
        <v>10</v>
      </c>
      <c r="C300" t="str">
        <f>TEXT(automotive_demand_forecasting_dataset567[[#This Row],[Date]],"mmmm")</f>
        <v>September</v>
      </c>
      <c r="D300" t="str">
        <f>CHOOSE(MATCH(MONTH(A300), {1,4,7,10}), "Winter", "Spring", "Summer", "Autumn")</f>
        <v>Summer</v>
      </c>
      <c r="E300">
        <f>YEAR(automotive_demand_forecasting_dataset567[[#This Row],[Date]])</f>
        <v>2038</v>
      </c>
      <c r="F300">
        <v>95</v>
      </c>
      <c r="G300">
        <f>(automotive_demand_forecasting_dataset567[[#This Row],[Units_Sold]] -$C$4) / $C$5</f>
        <v>-0.44046510007515077</v>
      </c>
      <c r="H300" t="str">
        <f t="shared" ca="1" si="16"/>
        <v>West</v>
      </c>
      <c r="I300">
        <v>36238.710363368671</v>
      </c>
      <c r="J300">
        <v>3.4547333588479194</v>
      </c>
      <c r="K300">
        <v>2.7658782296520483</v>
      </c>
      <c r="L300">
        <v>2.9799681908180511</v>
      </c>
      <c r="M300">
        <v>135635.97817542119</v>
      </c>
      <c r="N300" s="82">
        <v>108</v>
      </c>
      <c r="O300">
        <v>80.215177969999999</v>
      </c>
      <c r="P3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00" t="str">
        <f t="shared" ca="1" si="17"/>
        <v>Radio</v>
      </c>
      <c r="R300">
        <f>automotive_demand_forecasting_dataset567[[#This Row],[Units_Sold]]*automotive_demand_forecasting_dataset567[[#This Row],[Average_Price]]</f>
        <v>3442677.4845200237</v>
      </c>
      <c r="S300" t="str">
        <f t="shared" ca="1" si="18"/>
        <v>OK</v>
      </c>
    </row>
    <row r="301" spans="1:19">
      <c r="A301" s="1">
        <v>50705</v>
      </c>
      <c r="B301" t="s">
        <v>12</v>
      </c>
      <c r="C301" t="str">
        <f>TEXT(automotive_demand_forecasting_dataset567[[#This Row],[Date]],"mmmm")</f>
        <v>October</v>
      </c>
      <c r="D301" t="str">
        <f>CHOOSE(MATCH(MONTH(A301), {1,4,7,10}), "Winter", "Spring", "Summer", "Autumn")</f>
        <v>Autumn</v>
      </c>
      <c r="E301">
        <f>YEAR(automotive_demand_forecasting_dataset567[[#This Row],[Date]])</f>
        <v>2038</v>
      </c>
      <c r="F301">
        <v>100</v>
      </c>
      <c r="G301">
        <f>(automotive_demand_forecasting_dataset567[[#This Row],[Units_Sold]] -$C$4) / $C$5</f>
        <v>7.1703620942466739E-2</v>
      </c>
      <c r="H301" t="str">
        <f t="shared" ca="1" si="16"/>
        <v>East</v>
      </c>
      <c r="I301">
        <v>26632.546878780657</v>
      </c>
      <c r="J301">
        <v>3.6659901652845073</v>
      </c>
      <c r="K301">
        <v>2.0632802639594043</v>
      </c>
      <c r="L301">
        <v>6.2506096201972428</v>
      </c>
      <c r="M301">
        <v>66867.535846444516</v>
      </c>
      <c r="N301" s="82">
        <v>83</v>
      </c>
      <c r="O301">
        <v>25.605495657695158</v>
      </c>
      <c r="P3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01" t="str">
        <f t="shared" ca="1" si="17"/>
        <v>Billboards</v>
      </c>
      <c r="R301">
        <f>automotive_demand_forecasting_dataset567[[#This Row],[Units_Sold]]*automotive_demand_forecasting_dataset567[[#This Row],[Average_Price]]</f>
        <v>2663254.6878780657</v>
      </c>
      <c r="S301" t="str">
        <f t="shared" ca="1" si="18"/>
        <v>OK</v>
      </c>
    </row>
    <row r="302" spans="1:19">
      <c r="A302" s="1">
        <v>50735</v>
      </c>
      <c r="B302" t="s">
        <v>10</v>
      </c>
      <c r="C302" t="str">
        <f>TEXT(automotive_demand_forecasting_dataset567[[#This Row],[Date]],"mmmm")</f>
        <v>November</v>
      </c>
      <c r="D302" t="str">
        <f>CHOOSE(MATCH(MONTH(A302), {1,4,7,10}), "Winter", "Spring", "Summer", "Autumn")</f>
        <v>Autumn</v>
      </c>
      <c r="E302">
        <f>YEAR(automotive_demand_forecasting_dataset567[[#This Row],[Date]])</f>
        <v>2038</v>
      </c>
      <c r="F302">
        <v>86</v>
      </c>
      <c r="G302">
        <f>(automotive_demand_forecasting_dataset567[[#This Row],[Units_Sold]] -$C$4) / $C$5</f>
        <v>-1.3623687979068624</v>
      </c>
      <c r="H302" t="str">
        <f t="shared" ca="1" si="16"/>
        <v>South</v>
      </c>
      <c r="I302">
        <v>31394.970811119008</v>
      </c>
      <c r="J302">
        <v>3.5952498398895334</v>
      </c>
      <c r="K302">
        <v>2.4338673853741777</v>
      </c>
      <c r="L302">
        <v>6.5622777795867897</v>
      </c>
      <c r="M302">
        <v>89511.037274746966</v>
      </c>
      <c r="N302" s="82">
        <v>96</v>
      </c>
      <c r="O302">
        <v>24.530044590204643</v>
      </c>
      <c r="P3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02" t="str">
        <f t="shared" ca="1" si="17"/>
        <v>Billboards</v>
      </c>
      <c r="R302">
        <f>automotive_demand_forecasting_dataset567[[#This Row],[Units_Sold]]*automotive_demand_forecasting_dataset567[[#This Row],[Average_Price]]</f>
        <v>2699967.4897562349</v>
      </c>
      <c r="S302" t="str">
        <f t="shared" ca="1" si="18"/>
        <v>OK</v>
      </c>
    </row>
    <row r="303" spans="1:19">
      <c r="A303" s="1">
        <v>50765</v>
      </c>
      <c r="B303" t="s">
        <v>13</v>
      </c>
      <c r="C303" t="str">
        <f>TEXT(automotive_demand_forecasting_dataset567[[#This Row],[Date]],"mmmm")</f>
        <v>December</v>
      </c>
      <c r="D303" t="str">
        <f>CHOOSE(MATCH(MONTH(A303), {1,4,7,10}), "Winter", "Spring", "Summer", "Autumn")</f>
        <v>Autumn</v>
      </c>
      <c r="E303">
        <f>YEAR(automotive_demand_forecasting_dataset567[[#This Row],[Date]])</f>
        <v>2038</v>
      </c>
      <c r="F303">
        <v>94</v>
      </c>
      <c r="G303">
        <f>(automotive_demand_forecasting_dataset567[[#This Row],[Units_Sold]] -$C$4) / $C$5</f>
        <v>-0.5428988442786743</v>
      </c>
      <c r="H303" t="str">
        <f t="shared" ca="1" si="16"/>
        <v>South</v>
      </c>
      <c r="I303">
        <v>25823.264733701213</v>
      </c>
      <c r="J303">
        <v>3.8547259085695198</v>
      </c>
      <c r="K303">
        <v>2.6520564320000002</v>
      </c>
      <c r="L303">
        <v>4.7891728532175355</v>
      </c>
      <c r="M303">
        <v>85293.930786360957</v>
      </c>
      <c r="N303" s="82">
        <v>84</v>
      </c>
      <c r="O303">
        <v>29.630251960442706</v>
      </c>
      <c r="P3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03" t="str">
        <f t="shared" ca="1" si="17"/>
        <v>TV</v>
      </c>
      <c r="R303">
        <f>automotive_demand_forecasting_dataset567[[#This Row],[Units_Sold]]*automotive_demand_forecasting_dataset567[[#This Row],[Average_Price]]</f>
        <v>2427386.8849679139</v>
      </c>
      <c r="S303" t="str">
        <f t="shared" ca="1" si="18"/>
        <v>OK</v>
      </c>
    </row>
    <row r="304" spans="1:19">
      <c r="A304" s="1">
        <v>50795</v>
      </c>
      <c r="B304" t="s">
        <v>10</v>
      </c>
      <c r="C304" t="str">
        <f>TEXT(automotive_demand_forecasting_dataset567[[#This Row],[Date]],"mmmm")</f>
        <v>January</v>
      </c>
      <c r="D304" t="str">
        <f>CHOOSE(MATCH(MONTH(A304), {1,4,7,10}), "Winter", "Spring", "Summer", "Autumn")</f>
        <v>Winter</v>
      </c>
      <c r="E304">
        <f>YEAR(automotive_demand_forecasting_dataset567[[#This Row],[Date]])</f>
        <v>2039</v>
      </c>
      <c r="F304">
        <v>88</v>
      </c>
      <c r="G304">
        <f>(automotive_demand_forecasting_dataset567[[#This Row],[Units_Sold]] -$C$4) / $C$5</f>
        <v>-1.1575013094998152</v>
      </c>
      <c r="H304" t="str">
        <f t="shared" ca="1" si="16"/>
        <v>North</v>
      </c>
      <c r="I304">
        <v>40725.745638866938</v>
      </c>
      <c r="J304">
        <v>3.2822568147150784</v>
      </c>
      <c r="K304">
        <v>2.2529742992540034</v>
      </c>
      <c r="L304">
        <v>5.6482572351466986</v>
      </c>
      <c r="M304">
        <v>114429.58647514686</v>
      </c>
      <c r="N304" s="82">
        <v>92</v>
      </c>
      <c r="O304">
        <v>66.46148668915373</v>
      </c>
      <c r="P3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04" t="str">
        <f t="shared" ca="1" si="17"/>
        <v>Online</v>
      </c>
      <c r="R304">
        <f>automotive_demand_forecasting_dataset567[[#This Row],[Units_Sold]]*automotive_demand_forecasting_dataset567[[#This Row],[Average_Price]]</f>
        <v>3583865.6162202908</v>
      </c>
      <c r="S304" t="str">
        <f t="shared" ca="1" si="18"/>
        <v>OK</v>
      </c>
    </row>
    <row r="305" spans="1:19">
      <c r="A305" s="1">
        <v>50825</v>
      </c>
      <c r="B305" t="s">
        <v>12</v>
      </c>
      <c r="C305" t="str">
        <f>TEXT(automotive_demand_forecasting_dataset567[[#This Row],[Date]],"mmmm")</f>
        <v>February</v>
      </c>
      <c r="D305" t="str">
        <f>CHOOSE(MATCH(MONTH(A305), {1,4,7,10}), "Winter", "Spring", "Summer", "Autumn")</f>
        <v>Winter</v>
      </c>
      <c r="E305">
        <f>YEAR(automotive_demand_forecasting_dataset567[[#This Row],[Date]])</f>
        <v>2039</v>
      </c>
      <c r="F305">
        <v>100</v>
      </c>
      <c r="G305">
        <f>(automotive_demand_forecasting_dataset567[[#This Row],[Units_Sold]] -$C$4) / $C$5</f>
        <v>7.1703620942466739E-2</v>
      </c>
      <c r="H305" t="str">
        <f t="shared" ca="1" si="16"/>
        <v>South</v>
      </c>
      <c r="I305">
        <v>24062.007904852435</v>
      </c>
      <c r="J305">
        <v>3.7565528990880415</v>
      </c>
      <c r="K305">
        <v>2.6520564320000002</v>
      </c>
      <c r="L305">
        <v>7.8449889205003434</v>
      </c>
      <c r="M305">
        <v>78997.185207957082</v>
      </c>
      <c r="N305" s="82">
        <v>90</v>
      </c>
      <c r="O305">
        <v>94.301073696439389</v>
      </c>
      <c r="P3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05" t="str">
        <f t="shared" ca="1" si="17"/>
        <v>Print</v>
      </c>
      <c r="R305">
        <f>automotive_demand_forecasting_dataset567[[#This Row],[Units_Sold]]*automotive_demand_forecasting_dataset567[[#This Row],[Average_Price]]</f>
        <v>2406200.7904852433</v>
      </c>
      <c r="S305" t="str">
        <f t="shared" ca="1" si="18"/>
        <v>OK</v>
      </c>
    </row>
    <row r="306" spans="1:19">
      <c r="A306" s="1">
        <v>50855</v>
      </c>
      <c r="B306" t="s">
        <v>14</v>
      </c>
      <c r="C306" t="str">
        <f>TEXT(automotive_demand_forecasting_dataset567[[#This Row],[Date]],"mmmm")</f>
        <v>March</v>
      </c>
      <c r="D306" t="str">
        <f>CHOOSE(MATCH(MONTH(A306), {1,4,7,10}), "Winter", "Spring", "Summer", "Autumn")</f>
        <v>Winter</v>
      </c>
      <c r="E306">
        <f>YEAR(automotive_demand_forecasting_dataset567[[#This Row],[Date]])</f>
        <v>2039</v>
      </c>
      <c r="F306">
        <v>95</v>
      </c>
      <c r="G306">
        <f>(automotive_demand_forecasting_dataset567[[#This Row],[Units_Sold]] -$C$4) / $C$5</f>
        <v>-0.44046510007515077</v>
      </c>
      <c r="H306" s="157" t="str">
        <f t="shared" ca="1" si="16"/>
        <v>South</v>
      </c>
      <c r="I306">
        <v>31549.103551135137</v>
      </c>
      <c r="J306">
        <v>3.3702266612080414</v>
      </c>
      <c r="K306">
        <v>1.8524581943648408</v>
      </c>
      <c r="L306">
        <v>4.8931039548856763</v>
      </c>
      <c r="M306">
        <v>115149.90298674972</v>
      </c>
      <c r="N306" s="82">
        <v>98</v>
      </c>
      <c r="O306">
        <v>59.739474240478756</v>
      </c>
      <c r="P3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06" t="str">
        <f t="shared" ca="1" si="17"/>
        <v>Online</v>
      </c>
      <c r="R306" s="157">
        <f>automotive_demand_forecasting_dataset567[[#This Row],[Units_Sold]]*automotive_demand_forecasting_dataset567[[#This Row],[Average_Price]]</f>
        <v>2997164.8373578382</v>
      </c>
      <c r="S306" t="str">
        <f t="shared" ca="1" si="18"/>
        <v>OK</v>
      </c>
    </row>
    <row r="307" spans="1:19">
      <c r="A307" s="1">
        <v>50885</v>
      </c>
      <c r="B307" t="s">
        <v>10</v>
      </c>
      <c r="C307" t="str">
        <f>TEXT(automotive_demand_forecasting_dataset567[[#This Row],[Date]],"mmmm")</f>
        <v>April</v>
      </c>
      <c r="D307" t="str">
        <f>CHOOSE(MATCH(MONTH(A307), {1,4,7,10}), "Winter", "Spring", "Summer", "Autumn")</f>
        <v>Spring</v>
      </c>
      <c r="E307">
        <f>YEAR(automotive_demand_forecasting_dataset567[[#This Row],[Date]])</f>
        <v>2039</v>
      </c>
      <c r="F307">
        <v>95</v>
      </c>
      <c r="G307">
        <f>(automotive_demand_forecasting_dataset567[[#This Row],[Units_Sold]] -$C$4) / $C$5</f>
        <v>-0.44046510007515077</v>
      </c>
      <c r="H307" t="str">
        <f t="shared" ca="1" si="16"/>
        <v>West</v>
      </c>
      <c r="I307">
        <v>33168.884404660494</v>
      </c>
      <c r="J307">
        <v>3.8694052404437516</v>
      </c>
      <c r="K307">
        <v>3.2441919714999368</v>
      </c>
      <c r="L307">
        <v>4.2293108955320795</v>
      </c>
      <c r="M307">
        <v>127410.72287993427</v>
      </c>
      <c r="N307" s="82">
        <v>90</v>
      </c>
      <c r="O307">
        <v>87.435638596495778</v>
      </c>
      <c r="P3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07" t="str">
        <f t="shared" ca="1" si="17"/>
        <v>Radio</v>
      </c>
      <c r="R307">
        <f>automotive_demand_forecasting_dataset567[[#This Row],[Units_Sold]]*automotive_demand_forecasting_dataset567[[#This Row],[Average_Price]]</f>
        <v>3151044.0184427467</v>
      </c>
      <c r="S307" t="str">
        <f t="shared" ca="1" si="18"/>
        <v>OK</v>
      </c>
    </row>
    <row r="308" spans="1:19">
      <c r="A308" s="1">
        <v>50915</v>
      </c>
      <c r="B308" t="s">
        <v>13</v>
      </c>
      <c r="C308" t="str">
        <f>TEXT(automotive_demand_forecasting_dataset567[[#This Row],[Date]],"mmmm")</f>
        <v>May</v>
      </c>
      <c r="D308" t="str">
        <f>CHOOSE(MATCH(MONTH(A308), {1,4,7,10}), "Winter", "Spring", "Summer", "Autumn")</f>
        <v>Spring</v>
      </c>
      <c r="E308">
        <f>YEAR(automotive_demand_forecasting_dataset567[[#This Row],[Date]])</f>
        <v>2039</v>
      </c>
      <c r="F308">
        <v>92</v>
      </c>
      <c r="G308">
        <f>(automotive_demand_forecasting_dataset567[[#This Row],[Units_Sold]] -$C$4) / $C$5</f>
        <v>-0.74776633268572135</v>
      </c>
      <c r="H308" t="str">
        <f t="shared" ca="1" si="16"/>
        <v>South</v>
      </c>
      <c r="I308">
        <v>32068.995487257493</v>
      </c>
      <c r="J308">
        <v>3.8076837420065268</v>
      </c>
      <c r="K308">
        <v>2.3187758267818972</v>
      </c>
      <c r="L308">
        <v>7.2779960829551182</v>
      </c>
      <c r="M308">
        <v>113904.05800167998</v>
      </c>
      <c r="N308" s="82">
        <v>93</v>
      </c>
      <c r="O308">
        <v>55.670929588784624</v>
      </c>
      <c r="P3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08" t="str">
        <f t="shared" ca="1" si="17"/>
        <v>Radio</v>
      </c>
      <c r="R308">
        <f>automotive_demand_forecasting_dataset567[[#This Row],[Units_Sold]]*automotive_demand_forecasting_dataset567[[#This Row],[Average_Price]]</f>
        <v>2950347.5848276895</v>
      </c>
      <c r="S308" t="str">
        <f t="shared" ca="1" si="18"/>
        <v>OK</v>
      </c>
    </row>
    <row r="309" spans="1:19">
      <c r="A309" s="1">
        <v>50945</v>
      </c>
      <c r="B309" t="s">
        <v>12</v>
      </c>
      <c r="C309" t="str">
        <f>TEXT(automotive_demand_forecasting_dataset567[[#This Row],[Date]],"mmmm")</f>
        <v>June</v>
      </c>
      <c r="D309" t="str">
        <f>CHOOSE(MATCH(MONTH(A309), {1,4,7,10}), "Winter", "Spring", "Summer", "Autumn")</f>
        <v>Spring</v>
      </c>
      <c r="E309">
        <f>YEAR(automotive_demand_forecasting_dataset567[[#This Row],[Date]])</f>
        <v>2039</v>
      </c>
      <c r="F309">
        <v>108</v>
      </c>
      <c r="G309">
        <f>(automotive_demand_forecasting_dataset567[[#This Row],[Units_Sold]] -$C$4) / $C$5</f>
        <v>0.89117357457065483</v>
      </c>
      <c r="H309" t="str">
        <f t="shared" ca="1" si="16"/>
        <v>West</v>
      </c>
      <c r="I309">
        <v>29073.561705611457</v>
      </c>
      <c r="J309">
        <v>3.0322806489777023</v>
      </c>
      <c r="K309">
        <v>1.850626961678574</v>
      </c>
      <c r="L309">
        <v>7.855104628636953</v>
      </c>
      <c r="M309">
        <v>105675.02047323002</v>
      </c>
      <c r="N309" s="82">
        <v>90</v>
      </c>
      <c r="O309">
        <v>76.686683661426017</v>
      </c>
      <c r="P3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09" t="str">
        <f t="shared" ca="1" si="17"/>
        <v>Billboards</v>
      </c>
      <c r="R309">
        <f>automotive_demand_forecasting_dataset567[[#This Row],[Units_Sold]]*automotive_demand_forecasting_dataset567[[#This Row],[Average_Price]]</f>
        <v>3139944.6642060373</v>
      </c>
      <c r="S309" t="str">
        <f t="shared" ca="1" si="18"/>
        <v>OK</v>
      </c>
    </row>
    <row r="310" spans="1:19">
      <c r="A310" s="1">
        <v>50975</v>
      </c>
      <c r="B310" t="s">
        <v>13</v>
      </c>
      <c r="C310" t="str">
        <f>TEXT(automotive_demand_forecasting_dataset567[[#This Row],[Date]],"mmmm")</f>
        <v>July</v>
      </c>
      <c r="D310" t="str">
        <f>CHOOSE(MATCH(MONTH(A310), {1,4,7,10}), "Winter", "Spring", "Summer", "Autumn")</f>
        <v>Summer</v>
      </c>
      <c r="E310">
        <f>YEAR(automotive_demand_forecasting_dataset567[[#This Row],[Date]])</f>
        <v>2039</v>
      </c>
      <c r="F310">
        <v>99</v>
      </c>
      <c r="G310">
        <f>(automotive_demand_forecasting_dataset567[[#This Row],[Units_Sold]] -$C$4) / $C$5</f>
        <v>-3.0730123261056761E-2</v>
      </c>
      <c r="H310" t="str">
        <f t="shared" ca="1" si="16"/>
        <v>East</v>
      </c>
      <c r="I310">
        <v>29350.896501332871</v>
      </c>
      <c r="J310">
        <v>4.0429910580875159</v>
      </c>
      <c r="K310">
        <f>3.224108373</f>
        <v>3.224108373</v>
      </c>
      <c r="L310">
        <v>5.5044348062174171</v>
      </c>
      <c r="M310">
        <v>80242.533181985025</v>
      </c>
      <c r="N310" s="82">
        <v>85</v>
      </c>
      <c r="O310">
        <v>78.549818982920073</v>
      </c>
      <c r="P3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10" t="str">
        <f t="shared" ca="1" si="17"/>
        <v>Online</v>
      </c>
      <c r="R310">
        <f>automotive_demand_forecasting_dataset567[[#This Row],[Units_Sold]]*automotive_demand_forecasting_dataset567[[#This Row],[Average_Price]]</f>
        <v>2905738.7536319541</v>
      </c>
      <c r="S310" t="str">
        <f t="shared" ca="1" si="18"/>
        <v>OK</v>
      </c>
    </row>
    <row r="311" spans="1:19">
      <c r="A311" s="1">
        <v>51005</v>
      </c>
      <c r="B311" t="s">
        <v>13</v>
      </c>
      <c r="C311" t="str">
        <f>TEXT(automotive_demand_forecasting_dataset567[[#This Row],[Date]],"mmmm")</f>
        <v>August</v>
      </c>
      <c r="D311" t="str">
        <f>CHOOSE(MATCH(MONTH(A311), {1,4,7,10}), "Winter", "Spring", "Summer", "Autumn")</f>
        <v>Summer</v>
      </c>
      <c r="E311">
        <f>YEAR(automotive_demand_forecasting_dataset567[[#This Row],[Date]])</f>
        <v>2039</v>
      </c>
      <c r="F311">
        <v>95</v>
      </c>
      <c r="G311">
        <f>(automotive_demand_forecasting_dataset567[[#This Row],[Units_Sold]] -$C$4) / $C$5</f>
        <v>-0.44046510007515077</v>
      </c>
      <c r="H311" t="str">
        <f t="shared" ca="1" si="16"/>
        <v>East</v>
      </c>
      <c r="I311">
        <v>30219.057359895549</v>
      </c>
      <c r="J311">
        <v>3.2320182774429762</v>
      </c>
      <c r="K311">
        <v>3.919603004513637</v>
      </c>
      <c r="L311">
        <v>6.7137556424900273</v>
      </c>
      <c r="M311">
        <v>83062.980677492713</v>
      </c>
      <c r="N311" s="82">
        <v>81</v>
      </c>
      <c r="O311">
        <v>33.91709647226709</v>
      </c>
      <c r="P3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11" t="str">
        <f t="shared" ca="1" si="17"/>
        <v>Online</v>
      </c>
      <c r="R311">
        <f>automotive_demand_forecasting_dataset567[[#This Row],[Units_Sold]]*automotive_demand_forecasting_dataset567[[#This Row],[Average_Price]]</f>
        <v>2870810.4491900774</v>
      </c>
      <c r="S311" t="str">
        <f t="shared" ca="1" si="18"/>
        <v>OK</v>
      </c>
    </row>
    <row r="312" spans="1:19">
      <c r="A312" s="1">
        <v>51035</v>
      </c>
      <c r="B312" t="s">
        <v>10</v>
      </c>
      <c r="C312" t="str">
        <f>TEXT(automotive_demand_forecasting_dataset567[[#This Row],[Date]],"mmmm")</f>
        <v>September</v>
      </c>
      <c r="D312" t="str">
        <f>CHOOSE(MATCH(MONTH(A312), {1,4,7,10}), "Winter", "Spring", "Summer", "Autumn")</f>
        <v>Summer</v>
      </c>
      <c r="E312">
        <f>YEAR(automotive_demand_forecasting_dataset567[[#This Row],[Date]])</f>
        <v>2039</v>
      </c>
      <c r="F312">
        <v>86</v>
      </c>
      <c r="G312">
        <f>(automotive_demand_forecasting_dataset567[[#This Row],[Units_Sold]] -$C$4) / $C$5</f>
        <v>-1.3623687979068624</v>
      </c>
      <c r="H312" t="str">
        <f t="shared" ca="1" si="16"/>
        <v>South</v>
      </c>
      <c r="I312">
        <v>29264.989991857557</v>
      </c>
      <c r="J312">
        <v>3.9040288991405725</v>
      </c>
      <c r="K312">
        <v>1.8995764342612949</v>
      </c>
      <c r="L312">
        <v>7.109771098637057</v>
      </c>
      <c r="M312">
        <v>124992.37810593334</v>
      </c>
      <c r="N312" s="82">
        <v>80</v>
      </c>
      <c r="O312">
        <v>48.897284718064938</v>
      </c>
      <c r="P3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12" t="str">
        <f t="shared" ca="1" si="17"/>
        <v>TV</v>
      </c>
      <c r="R312">
        <f>automotive_demand_forecasting_dataset567[[#This Row],[Units_Sold]]*automotive_demand_forecasting_dataset567[[#This Row],[Average_Price]]</f>
        <v>2516789.1392997499</v>
      </c>
      <c r="S312" t="str">
        <f t="shared" ca="1" si="18"/>
        <v>OK</v>
      </c>
    </row>
    <row r="313" spans="1:19">
      <c r="A313" s="1">
        <v>51065</v>
      </c>
      <c r="B313" t="s">
        <v>13</v>
      </c>
      <c r="C313" t="str">
        <f>TEXT(automotive_demand_forecasting_dataset567[[#This Row],[Date]],"mmmm")</f>
        <v>October</v>
      </c>
      <c r="D313" t="str">
        <f>CHOOSE(MATCH(MONTH(A313), {1,4,7,10}), "Winter", "Spring", "Summer", "Autumn")</f>
        <v>Autumn</v>
      </c>
      <c r="E313">
        <f>YEAR(automotive_demand_forecasting_dataset567[[#This Row],[Date]])</f>
        <v>2039</v>
      </c>
      <c r="F313">
        <v>120</v>
      </c>
      <c r="G313">
        <f>(automotive_demand_forecasting_dataset567[[#This Row],[Units_Sold]] -$C$4) / $C$5</f>
        <v>2.1203785050129369</v>
      </c>
      <c r="H313" t="str">
        <f t="shared" ca="1" si="16"/>
        <v>South</v>
      </c>
      <c r="I313">
        <v>34819.395583974547</v>
      </c>
      <c r="J313">
        <v>3.6836436567006703</v>
      </c>
      <c r="K313">
        <v>0.63346004863938377</v>
      </c>
      <c r="L313">
        <v>4.6090189209539396</v>
      </c>
      <c r="M313">
        <v>115586.98007810664</v>
      </c>
      <c r="N313" s="82">
        <v>88</v>
      </c>
      <c r="O313">
        <v>70.984172523041906</v>
      </c>
      <c r="P3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13" t="str">
        <f t="shared" ca="1" si="17"/>
        <v>TV</v>
      </c>
      <c r="R313">
        <f>automotive_demand_forecasting_dataset567[[#This Row],[Units_Sold]]*automotive_demand_forecasting_dataset567[[#This Row],[Average_Price]]</f>
        <v>4178327.4700769456</v>
      </c>
      <c r="S313" t="str">
        <f t="shared" ca="1" si="18"/>
        <v>OK</v>
      </c>
    </row>
    <row r="314" spans="1:19">
      <c r="A314" s="1">
        <v>51095</v>
      </c>
      <c r="B314" t="s">
        <v>10</v>
      </c>
      <c r="C314" t="str">
        <f>TEXT(automotive_demand_forecasting_dataset567[[#This Row],[Date]],"mmmm")</f>
        <v>November</v>
      </c>
      <c r="D314" t="str">
        <f>CHOOSE(MATCH(MONTH(A314), {1,4,7,10}), "Winter", "Spring", "Summer", "Autumn")</f>
        <v>Autumn</v>
      </c>
      <c r="E314">
        <f>YEAR(automotive_demand_forecasting_dataset567[[#This Row],[Date]])</f>
        <v>2039</v>
      </c>
      <c r="F314">
        <v>81</v>
      </c>
      <c r="G314">
        <f>(automotive_demand_forecasting_dataset567[[#This Row],[Units_Sold]] -$C$4) / $C$5</f>
        <v>-1.87453751892448</v>
      </c>
      <c r="H314" t="str">
        <f t="shared" ca="1" si="16"/>
        <v>South</v>
      </c>
      <c r="I314">
        <v>41052.61500795676</v>
      </c>
      <c r="J314">
        <v>4.419091838397561</v>
      </c>
      <c r="K314">
        <v>3.5075136898369221</v>
      </c>
      <c r="L314">
        <v>5.616047043</v>
      </c>
      <c r="M314">
        <v>99219.609612449116</v>
      </c>
      <c r="N314" s="82">
        <v>88</v>
      </c>
      <c r="O314">
        <v>80.215177969999999</v>
      </c>
      <c r="P3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14" t="str">
        <f t="shared" ca="1" si="17"/>
        <v>TV</v>
      </c>
      <c r="R314">
        <f>automotive_demand_forecasting_dataset567[[#This Row],[Units_Sold]]*automotive_demand_forecasting_dataset567[[#This Row],[Average_Price]]</f>
        <v>3325261.8156444975</v>
      </c>
      <c r="S314" t="str">
        <f t="shared" ca="1" si="18"/>
        <v>OK</v>
      </c>
    </row>
    <row r="315" spans="1:19">
      <c r="A315" s="1">
        <v>51125</v>
      </c>
      <c r="B315" t="s">
        <v>14</v>
      </c>
      <c r="C315" t="str">
        <f>TEXT(automotive_demand_forecasting_dataset567[[#This Row],[Date]],"mmmm")</f>
        <v>December</v>
      </c>
      <c r="D315" t="str">
        <f>CHOOSE(MATCH(MONTH(A315), {1,4,7,10}), "Winter", "Spring", "Summer", "Autumn")</f>
        <v>Autumn</v>
      </c>
      <c r="E315">
        <f>YEAR(automotive_demand_forecasting_dataset567[[#This Row],[Date]])</f>
        <v>2039</v>
      </c>
      <c r="F315">
        <v>102</v>
      </c>
      <c r="G315">
        <f>(automotive_demand_forecasting_dataset567[[#This Row],[Units_Sold]] -$C$4) / $C$5</f>
        <v>0.27657110934951373</v>
      </c>
      <c r="H315" s="157" t="str">
        <f t="shared" ca="1" si="16"/>
        <v>North</v>
      </c>
      <c r="I315">
        <v>30949.702720000001</v>
      </c>
      <c r="J315">
        <v>3.3882670088140738</v>
      </c>
      <c r="K315">
        <v>1.8153701742399959</v>
      </c>
      <c r="L315">
        <v>6.9770494157856824</v>
      </c>
      <c r="M315">
        <v>91641.809084682187</v>
      </c>
      <c r="N315" s="82">
        <v>92</v>
      </c>
      <c r="O315">
        <v>48.923215021036526</v>
      </c>
      <c r="P3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15" t="str">
        <f t="shared" ca="1" si="17"/>
        <v>Print</v>
      </c>
      <c r="R315" s="157">
        <f>automotive_demand_forecasting_dataset567[[#This Row],[Units_Sold]]*automotive_demand_forecasting_dataset567[[#This Row],[Average_Price]]</f>
        <v>3156869.6774400002</v>
      </c>
      <c r="S315" t="str">
        <f t="shared" ca="1" si="18"/>
        <v>OK</v>
      </c>
    </row>
    <row r="316" spans="1:19">
      <c r="A316" s="1">
        <v>51155</v>
      </c>
      <c r="B316" t="s">
        <v>13</v>
      </c>
      <c r="C316" t="str">
        <f>TEXT(automotive_demand_forecasting_dataset567[[#This Row],[Date]],"mmmm")</f>
        <v>January</v>
      </c>
      <c r="D316" t="str">
        <f>CHOOSE(MATCH(MONTH(A316), {1,4,7,10}), "Winter", "Spring", "Summer", "Autumn")</f>
        <v>Winter</v>
      </c>
      <c r="E316">
        <f>YEAR(automotive_demand_forecasting_dataset567[[#This Row],[Date]])</f>
        <v>2040</v>
      </c>
      <c r="F316">
        <v>87</v>
      </c>
      <c r="G316">
        <f>(automotive_demand_forecasting_dataset567[[#This Row],[Units_Sold]] -$C$4) / $C$5</f>
        <v>-1.2599350537033389</v>
      </c>
      <c r="H316" t="str">
        <f t="shared" ca="1" si="16"/>
        <v>South</v>
      </c>
      <c r="I316">
        <v>23150.985102104612</v>
      </c>
      <c r="J316">
        <v>3.3253416019409014</v>
      </c>
      <c r="K316">
        <v>3.2906255991627686</v>
      </c>
      <c r="L316">
        <v>7.5220171344502109</v>
      </c>
      <c r="M316">
        <v>59483.842537772463</v>
      </c>
      <c r="N316" s="82">
        <v>90</v>
      </c>
      <c r="O316">
        <v>62.783957302495395</v>
      </c>
      <c r="P3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16" t="str">
        <f t="shared" ca="1" si="17"/>
        <v>Print</v>
      </c>
      <c r="R316">
        <f>automotive_demand_forecasting_dataset567[[#This Row],[Units_Sold]]*automotive_demand_forecasting_dataset567[[#This Row],[Average_Price]]</f>
        <v>2014135.7038831012</v>
      </c>
      <c r="S316" t="str">
        <f t="shared" ca="1" si="18"/>
        <v>OK</v>
      </c>
    </row>
    <row r="317" spans="1:19">
      <c r="A317" s="1">
        <v>51185</v>
      </c>
      <c r="B317" t="s">
        <v>13</v>
      </c>
      <c r="C317" t="str">
        <f>TEXT(automotive_demand_forecasting_dataset567[[#This Row],[Date]],"mmmm")</f>
        <v>February</v>
      </c>
      <c r="D317" t="str">
        <f>CHOOSE(MATCH(MONTH(A317), {1,4,7,10}), "Winter", "Spring", "Summer", "Autumn")</f>
        <v>Winter</v>
      </c>
      <c r="E317">
        <f>YEAR(automotive_demand_forecasting_dataset567[[#This Row],[Date]])</f>
        <v>2040</v>
      </c>
      <c r="F317">
        <v>90</v>
      </c>
      <c r="G317">
        <f>(automotive_demand_forecasting_dataset567[[#This Row],[Units_Sold]] -$C$4) / $C$5</f>
        <v>-0.95263382109276828</v>
      </c>
      <c r="H317" t="str">
        <f t="shared" ca="1" si="16"/>
        <v>North</v>
      </c>
      <c r="I317">
        <v>29558.589758243725</v>
      </c>
      <c r="J317">
        <v>3.4902901970561335</v>
      </c>
      <c r="K317">
        <v>0.52989618228816449</v>
      </c>
      <c r="L317">
        <v>6.1754570322092253</v>
      </c>
      <c r="M317">
        <v>78582.951626311231</v>
      </c>
      <c r="N317" s="82">
        <v>97</v>
      </c>
      <c r="O317">
        <v>99.697959443571094</v>
      </c>
      <c r="P3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17" t="str">
        <f t="shared" ca="1" si="17"/>
        <v>Billboards</v>
      </c>
      <c r="R317">
        <f>automotive_demand_forecasting_dataset567[[#This Row],[Units_Sold]]*automotive_demand_forecasting_dataset567[[#This Row],[Average_Price]]</f>
        <v>2660273.078241935</v>
      </c>
      <c r="S317" t="str">
        <f t="shared" ca="1" si="18"/>
        <v>OK</v>
      </c>
    </row>
    <row r="318" spans="1:19">
      <c r="A318" s="1">
        <v>51215</v>
      </c>
      <c r="B318" t="s">
        <v>13</v>
      </c>
      <c r="C318" t="str">
        <f>TEXT(automotive_demand_forecasting_dataset567[[#This Row],[Date]],"mmmm")</f>
        <v>March</v>
      </c>
      <c r="D318" t="str">
        <f>CHOOSE(MATCH(MONTH(A318), {1,4,7,10}), "Winter", "Spring", "Summer", "Autumn")</f>
        <v>Winter</v>
      </c>
      <c r="E318">
        <f>YEAR(automotive_demand_forecasting_dataset567[[#This Row],[Date]])</f>
        <v>2040</v>
      </c>
      <c r="F318">
        <v>89</v>
      </c>
      <c r="G318">
        <f>(automotive_demand_forecasting_dataset567[[#This Row],[Units_Sold]] -$C$4) / $C$5</f>
        <v>-1.0550675652962918</v>
      </c>
      <c r="H318" t="str">
        <f t="shared" ca="1" si="16"/>
        <v>East</v>
      </c>
      <c r="I318">
        <v>42898.546688271592</v>
      </c>
      <c r="J318">
        <v>3.3484101085828621</v>
      </c>
      <c r="K318">
        <v>3.3925973382993093</v>
      </c>
      <c r="L318">
        <v>4.4442227757975346</v>
      </c>
      <c r="M318">
        <v>138228.38174279447</v>
      </c>
      <c r="N318" s="82">
        <v>89</v>
      </c>
      <c r="O318">
        <v>80.215177969999999</v>
      </c>
      <c r="P3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18" t="str">
        <f t="shared" ca="1" si="17"/>
        <v>Online</v>
      </c>
      <c r="R318">
        <f>automotive_demand_forecasting_dataset567[[#This Row],[Units_Sold]]*automotive_demand_forecasting_dataset567[[#This Row],[Average_Price]]</f>
        <v>3817970.6552561717</v>
      </c>
      <c r="S318" t="str">
        <f t="shared" ca="1" si="18"/>
        <v>OK</v>
      </c>
    </row>
    <row r="319" spans="1:19">
      <c r="A319" s="1">
        <v>51245</v>
      </c>
      <c r="B319" t="s">
        <v>11</v>
      </c>
      <c r="C319" t="str">
        <f>TEXT(automotive_demand_forecasting_dataset567[[#This Row],[Date]],"mmmm")</f>
        <v>April</v>
      </c>
      <c r="D319" t="str">
        <f>CHOOSE(MATCH(MONTH(A319), {1,4,7,10}), "Winter", "Spring", "Summer", "Autumn")</f>
        <v>Spring</v>
      </c>
      <c r="E319">
        <f>YEAR(automotive_demand_forecasting_dataset567[[#This Row],[Date]])</f>
        <v>2040</v>
      </c>
      <c r="F319">
        <v>105</v>
      </c>
      <c r="G319">
        <f>(automotive_demand_forecasting_dataset567[[#This Row],[Units_Sold]] -$C$4) / $C$5</f>
        <v>0.58387234196008431</v>
      </c>
      <c r="H319" t="str">
        <f t="shared" ca="1" si="16"/>
        <v>West</v>
      </c>
      <c r="I319">
        <v>25981.627160151347</v>
      </c>
      <c r="J319">
        <v>3.8999709509710252</v>
      </c>
      <c r="K319">
        <v>1.2888280707192188</v>
      </c>
      <c r="L319">
        <f>6.97388673</f>
        <v>6.9738867300000003</v>
      </c>
      <c r="M319">
        <v>74390.888579950668</v>
      </c>
      <c r="N319" s="82">
        <v>106</v>
      </c>
      <c r="O319">
        <v>85.284540569145889</v>
      </c>
      <c r="P3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19" t="str">
        <f t="shared" ca="1" si="17"/>
        <v>Print</v>
      </c>
      <c r="R319">
        <f>automotive_demand_forecasting_dataset567[[#This Row],[Units_Sold]]*automotive_demand_forecasting_dataset567[[#This Row],[Average_Price]]</f>
        <v>2728070.8518158915</v>
      </c>
      <c r="S319" t="str">
        <f t="shared" ca="1" si="18"/>
        <v>OK</v>
      </c>
    </row>
    <row r="320" spans="1:19">
      <c r="A320" s="1">
        <v>51275</v>
      </c>
      <c r="B320" t="s">
        <v>11</v>
      </c>
      <c r="C320" t="str">
        <f>TEXT(automotive_demand_forecasting_dataset567[[#This Row],[Date]],"mmmm")</f>
        <v>May</v>
      </c>
      <c r="D320" t="str">
        <f>CHOOSE(MATCH(MONTH(A320), {1,4,7,10}), "Winter", "Spring", "Summer", "Autumn")</f>
        <v>Spring</v>
      </c>
      <c r="E320">
        <f>YEAR(automotive_demand_forecasting_dataset567[[#This Row],[Date]])</f>
        <v>2040</v>
      </c>
      <c r="F320">
        <v>96</v>
      </c>
      <c r="G320">
        <f>(automotive_demand_forecasting_dataset567[[#This Row],[Units_Sold]] -$C$4) / $C$5</f>
        <v>-0.33803135587162725</v>
      </c>
      <c r="H320" t="str">
        <f t="shared" ca="1" si="16"/>
        <v>South</v>
      </c>
      <c r="I320">
        <v>38195.584027220335</v>
      </c>
      <c r="J320">
        <v>2.6918446957817062</v>
      </c>
      <c r="K320">
        <v>3.2307641190665244</v>
      </c>
      <c r="L320">
        <v>4.8628349226256429</v>
      </c>
      <c r="M320">
        <v>103789.59642442162</v>
      </c>
      <c r="N320" s="82">
        <v>91</v>
      </c>
      <c r="O320">
        <v>54.565382805329421</v>
      </c>
      <c r="P3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20" t="str">
        <f t="shared" ca="1" si="17"/>
        <v>TV</v>
      </c>
      <c r="R320">
        <f>automotive_demand_forecasting_dataset567[[#This Row],[Units_Sold]]*automotive_demand_forecasting_dataset567[[#This Row],[Average_Price]]</f>
        <v>3666776.0666131522</v>
      </c>
      <c r="S320" t="str">
        <f t="shared" ca="1" si="18"/>
        <v>OK</v>
      </c>
    </row>
    <row r="321" spans="1:19">
      <c r="A321" s="1">
        <v>51305</v>
      </c>
      <c r="B321" t="s">
        <v>12</v>
      </c>
      <c r="C321" t="str">
        <f>TEXT(automotive_demand_forecasting_dataset567[[#This Row],[Date]],"mmmm")</f>
        <v>June</v>
      </c>
      <c r="D321" t="str">
        <f>CHOOSE(MATCH(MONTH(A321), {1,4,7,10}), "Winter", "Spring", "Summer", "Autumn")</f>
        <v>Spring</v>
      </c>
      <c r="E321">
        <f>YEAR(automotive_demand_forecasting_dataset567[[#This Row],[Date]])</f>
        <v>2040</v>
      </c>
      <c r="F321">
        <v>97</v>
      </c>
      <c r="G321">
        <f>(automotive_demand_forecasting_dataset567[[#This Row],[Units_Sold]] -$C$4) / $C$5</f>
        <v>-0.23559761166810378</v>
      </c>
      <c r="H321" t="str">
        <f t="shared" ca="1" si="16"/>
        <v>East</v>
      </c>
      <c r="I321">
        <v>38388.504070382201</v>
      </c>
      <c r="J321">
        <v>2.9731587904268229</v>
      </c>
      <c r="K321">
        <v>2.514273067836434</v>
      </c>
      <c r="L321">
        <v>5.0978346625942574</v>
      </c>
      <c r="M321">
        <v>120148.87946390397</v>
      </c>
      <c r="N321" s="82">
        <f>111.9136842</f>
        <v>111.91368420000001</v>
      </c>
      <c r="O321">
        <v>83.711257809576708</v>
      </c>
      <c r="P3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21" t="str">
        <f t="shared" ca="1" si="17"/>
        <v>Online</v>
      </c>
      <c r="R321">
        <f>automotive_demand_forecasting_dataset567[[#This Row],[Units_Sold]]*automotive_demand_forecasting_dataset567[[#This Row],[Average_Price]]</f>
        <v>3723684.8948270734</v>
      </c>
      <c r="S321" t="str">
        <f t="shared" ca="1" si="18"/>
        <v>OK</v>
      </c>
    </row>
    <row r="322" spans="1:19">
      <c r="A322" s="1">
        <v>51335</v>
      </c>
      <c r="B322" t="s">
        <v>11</v>
      </c>
      <c r="C322" t="str">
        <f>TEXT(automotive_demand_forecasting_dataset567[[#This Row],[Date]],"mmmm")</f>
        <v>July</v>
      </c>
      <c r="D322" t="str">
        <f>CHOOSE(MATCH(MONTH(A322), {1,4,7,10}), "Winter", "Spring", "Summer", "Autumn")</f>
        <v>Summer</v>
      </c>
      <c r="E322">
        <f>YEAR(automotive_demand_forecasting_dataset567[[#This Row],[Date]])</f>
        <v>2040</v>
      </c>
      <c r="F322">
        <v>98</v>
      </c>
      <c r="G322">
        <f>(automotive_demand_forecasting_dataset567[[#This Row],[Units_Sold]] -$C$4) / $C$5</f>
        <v>-0.13316386746458025</v>
      </c>
      <c r="H322" t="str">
        <f t="shared" ca="1" si="16"/>
        <v>West</v>
      </c>
      <c r="I322">
        <v>27232.058791460026</v>
      </c>
      <c r="J322">
        <v>2.9660985392104036</v>
      </c>
      <c r="K322">
        <v>1.5460605806033552</v>
      </c>
      <c r="L322">
        <v>5.9108054013875453</v>
      </c>
      <c r="M322">
        <v>74901.546639954147</v>
      </c>
      <c r="N322" s="82">
        <v>93</v>
      </c>
      <c r="O322">
        <v>67.633184129608679</v>
      </c>
      <c r="P3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22" t="str">
        <f t="shared" ca="1" si="17"/>
        <v>Print</v>
      </c>
      <c r="R322">
        <f>automotive_demand_forecasting_dataset567[[#This Row],[Units_Sold]]*automotive_demand_forecasting_dataset567[[#This Row],[Average_Price]]</f>
        <v>2668741.7615630827</v>
      </c>
      <c r="S322" t="str">
        <f t="shared" ca="1" si="18"/>
        <v>OK</v>
      </c>
    </row>
    <row r="323" spans="1:19">
      <c r="A323" s="1">
        <v>51365</v>
      </c>
      <c r="B323" t="s">
        <v>12</v>
      </c>
      <c r="C323" t="str">
        <f>TEXT(automotive_demand_forecasting_dataset567[[#This Row],[Date]],"mmmm")</f>
        <v>August</v>
      </c>
      <c r="D323" t="str">
        <f>CHOOSE(MATCH(MONTH(A323), {1,4,7,10}), "Winter", "Spring", "Summer", "Autumn")</f>
        <v>Summer</v>
      </c>
      <c r="E323">
        <f>YEAR(automotive_demand_forecasting_dataset567[[#This Row],[Date]])</f>
        <v>2040</v>
      </c>
      <c r="F323">
        <v>100</v>
      </c>
      <c r="G323">
        <f>(automotive_demand_forecasting_dataset567[[#This Row],[Units_Sold]] -$C$4) / $C$5</f>
        <v>7.1703620942466739E-2</v>
      </c>
      <c r="H323" t="str">
        <f t="shared" ca="1" si="16"/>
        <v>East</v>
      </c>
      <c r="I323">
        <v>32844.915395926379</v>
      </c>
      <c r="J323">
        <v>3.9751537959867878</v>
      </c>
      <c r="K323">
        <v>2.0929636870732193</v>
      </c>
      <c r="L323">
        <v>7.3649925048577289</v>
      </c>
      <c r="M323">
        <v>103694.20949562166</v>
      </c>
      <c r="N323" s="82">
        <v>89</v>
      </c>
      <c r="O323">
        <v>90.927635320191868</v>
      </c>
      <c r="P3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23" t="str">
        <f t="shared" ca="1" si="17"/>
        <v>Online</v>
      </c>
      <c r="R323">
        <f>automotive_demand_forecasting_dataset567[[#This Row],[Units_Sold]]*automotive_demand_forecasting_dataset567[[#This Row],[Average_Price]]</f>
        <v>3284491.5395926377</v>
      </c>
      <c r="S323" t="str">
        <f t="shared" ca="1" si="18"/>
        <v>OK</v>
      </c>
    </row>
    <row r="324" spans="1:19">
      <c r="A324" s="1">
        <v>51395</v>
      </c>
      <c r="B324" t="s">
        <v>11</v>
      </c>
      <c r="C324" t="str">
        <f>TEXT(automotive_demand_forecasting_dataset567[[#This Row],[Date]],"mmmm")</f>
        <v>September</v>
      </c>
      <c r="D324" t="str">
        <f>CHOOSE(MATCH(MONTH(A324), {1,4,7,10}), "Winter", "Spring", "Summer", "Autumn")</f>
        <v>Summer</v>
      </c>
      <c r="E324">
        <f>YEAR(automotive_demand_forecasting_dataset567[[#This Row],[Date]])</f>
        <v>2040</v>
      </c>
      <c r="F324">
        <v>108</v>
      </c>
      <c r="G324">
        <f>(automotive_demand_forecasting_dataset567[[#This Row],[Units_Sold]] -$C$4) / $C$5</f>
        <v>0.89117357457065483</v>
      </c>
      <c r="H324" t="str">
        <f t="shared" ca="1" si="16"/>
        <v>South</v>
      </c>
      <c r="I324">
        <v>38141.983115642688</v>
      </c>
      <c r="J324">
        <v>4.5778345189999996</v>
      </c>
      <c r="K324">
        <v>3.1863184569567009</v>
      </c>
      <c r="L324">
        <v>6.5247711718626684</v>
      </c>
      <c r="M324">
        <v>118758.3107502131</v>
      </c>
      <c r="N324" s="82">
        <v>73</v>
      </c>
      <c r="O324">
        <v>52.875404188008794</v>
      </c>
      <c r="P3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24" t="str">
        <f t="shared" ca="1" si="17"/>
        <v>TV</v>
      </c>
      <c r="R324">
        <f>automotive_demand_forecasting_dataset567[[#This Row],[Units_Sold]]*automotive_demand_forecasting_dataset567[[#This Row],[Average_Price]]</f>
        <v>4119334.1764894105</v>
      </c>
      <c r="S324" t="str">
        <f t="shared" ca="1" si="18"/>
        <v>OK</v>
      </c>
    </row>
    <row r="325" spans="1:19">
      <c r="A325" s="1">
        <v>51425</v>
      </c>
      <c r="B325" t="s">
        <v>14</v>
      </c>
      <c r="C325" t="str">
        <f>TEXT(automotive_demand_forecasting_dataset567[[#This Row],[Date]],"mmmm")</f>
        <v>October</v>
      </c>
      <c r="D325" t="str">
        <f>CHOOSE(MATCH(MONTH(A325), {1,4,7,10}), "Winter", "Spring", "Summer", "Autumn")</f>
        <v>Autumn</v>
      </c>
      <c r="E325">
        <f>YEAR(automotive_demand_forecasting_dataset567[[#This Row],[Date]])</f>
        <v>2040</v>
      </c>
      <c r="F325">
        <v>92</v>
      </c>
      <c r="G325">
        <f>(automotive_demand_forecasting_dataset567[[#This Row],[Units_Sold]] -$C$4) / $C$5</f>
        <v>-0.74776633268572135</v>
      </c>
      <c r="H325" s="157" t="str">
        <f t="shared" ca="1" si="16"/>
        <v>East</v>
      </c>
      <c r="I325">
        <v>28104.361295062565</v>
      </c>
      <c r="J325">
        <v>3.4477753907312643</v>
      </c>
      <c r="K325">
        <v>2.6058944531152344</v>
      </c>
      <c r="L325">
        <v>5.9978386004342923</v>
      </c>
      <c r="M325">
        <v>100249.986438145</v>
      </c>
      <c r="N325" s="82">
        <v>101</v>
      </c>
      <c r="O325">
        <v>68.344353585718309</v>
      </c>
      <c r="P3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25" t="str">
        <f t="shared" ca="1" si="17"/>
        <v>Online</v>
      </c>
      <c r="R325" s="157">
        <f>automotive_demand_forecasting_dataset567[[#This Row],[Units_Sold]]*automotive_demand_forecasting_dataset567[[#This Row],[Average_Price]]</f>
        <v>2585601.2391457558</v>
      </c>
      <c r="S325" t="str">
        <f t="shared" ca="1" si="18"/>
        <v>OK</v>
      </c>
    </row>
    <row r="326" spans="1:19">
      <c r="A326" s="1">
        <v>51455</v>
      </c>
      <c r="B326" t="s">
        <v>12</v>
      </c>
      <c r="C326" t="str">
        <f>TEXT(automotive_demand_forecasting_dataset567[[#This Row],[Date]],"mmmm")</f>
        <v>November</v>
      </c>
      <c r="D326" t="str">
        <f>CHOOSE(MATCH(MONTH(A326), {1,4,7,10}), "Winter", "Spring", "Summer", "Autumn")</f>
        <v>Autumn</v>
      </c>
      <c r="E326">
        <f>YEAR(automotive_demand_forecasting_dataset567[[#This Row],[Date]])</f>
        <v>2040</v>
      </c>
      <c r="F326">
        <v>97</v>
      </c>
      <c r="G326">
        <f>(automotive_demand_forecasting_dataset567[[#This Row],[Units_Sold]] -$C$4) / $C$5</f>
        <v>-0.23559761166810378</v>
      </c>
      <c r="H326" t="str">
        <f t="shared" ca="1" si="16"/>
        <v>South</v>
      </c>
      <c r="I326">
        <v>28982.098199488191</v>
      </c>
      <c r="J326">
        <v>3.4155891384049948</v>
      </c>
      <c r="K326">
        <v>3.084412980472484</v>
      </c>
      <c r="L326">
        <v>6.0559462361417271</v>
      </c>
      <c r="M326">
        <v>102916.7736</v>
      </c>
      <c r="N326" s="82">
        <v>81</v>
      </c>
      <c r="O326">
        <v>70.401494449506188</v>
      </c>
      <c r="P3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26" t="str">
        <f t="shared" ca="1" si="17"/>
        <v>TV</v>
      </c>
      <c r="R326">
        <f>automotive_demand_forecasting_dataset567[[#This Row],[Units_Sold]]*automotive_demand_forecasting_dataset567[[#This Row],[Average_Price]]</f>
        <v>2811263.5253503546</v>
      </c>
      <c r="S326" t="str">
        <f t="shared" ca="1" si="18"/>
        <v>OK</v>
      </c>
    </row>
    <row r="327" spans="1:19">
      <c r="A327" s="1">
        <v>51485</v>
      </c>
      <c r="B327" t="s">
        <v>11</v>
      </c>
      <c r="C327" t="str">
        <f>TEXT(automotive_demand_forecasting_dataset567[[#This Row],[Date]],"mmmm")</f>
        <v>December</v>
      </c>
      <c r="D327" t="str">
        <f>CHOOSE(MATCH(MONTH(A327), {1,4,7,10}), "Winter", "Spring", "Summer", "Autumn")</f>
        <v>Autumn</v>
      </c>
      <c r="E327">
        <f>YEAR(automotive_demand_forecasting_dataset567[[#This Row],[Date]])</f>
        <v>2040</v>
      </c>
      <c r="F327">
        <v>116</v>
      </c>
      <c r="G327">
        <f>(automotive_demand_forecasting_dataset567[[#This Row],[Units_Sold]] -$C$4) / $C$5</f>
        <v>1.7106435281988428</v>
      </c>
      <c r="H327" t="str">
        <f t="shared" ca="1" si="16"/>
        <v>West</v>
      </c>
      <c r="I327">
        <v>27091.595430256781</v>
      </c>
      <c r="J327">
        <v>3.5350260815565906</v>
      </c>
      <c r="K327">
        <v>4.4764405845154851</v>
      </c>
      <c r="L327">
        <v>5.552217602372159</v>
      </c>
      <c r="M327">
        <v>66628.014822436089</v>
      </c>
      <c r="N327" s="82">
        <v>98</v>
      </c>
      <c r="O327">
        <v>53.390635344037861</v>
      </c>
      <c r="P3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27" t="str">
        <f t="shared" ca="1" si="17"/>
        <v>Radio</v>
      </c>
      <c r="R327">
        <f>automotive_demand_forecasting_dataset567[[#This Row],[Units_Sold]]*automotive_demand_forecasting_dataset567[[#This Row],[Average_Price]]</f>
        <v>3142625.0699097863</v>
      </c>
      <c r="S327" t="str">
        <f t="shared" ca="1" si="18"/>
        <v>OK</v>
      </c>
    </row>
    <row r="328" spans="1:19">
      <c r="A328" s="1">
        <v>51515</v>
      </c>
      <c r="B328" t="s">
        <v>14</v>
      </c>
      <c r="C328" t="str">
        <f>TEXT(automotive_demand_forecasting_dataset567[[#This Row],[Date]],"mmmm")</f>
        <v>January</v>
      </c>
      <c r="D328" t="str">
        <f>CHOOSE(MATCH(MONTH(A328), {1,4,7,10}), "Winter", "Spring", "Summer", "Autumn")</f>
        <v>Winter</v>
      </c>
      <c r="E328">
        <f>YEAR(automotive_demand_forecasting_dataset567[[#This Row],[Date]])</f>
        <v>2041</v>
      </c>
      <c r="F328">
        <v>100</v>
      </c>
      <c r="G328">
        <f>(automotive_demand_forecasting_dataset567[[#This Row],[Units_Sold]] -$C$4) / $C$5</f>
        <v>7.1703620942466739E-2</v>
      </c>
      <c r="H328" s="157" t="str">
        <f t="shared" ca="1" si="16"/>
        <v>South</v>
      </c>
      <c r="I328">
        <v>24926.216346535664</v>
      </c>
      <c r="J328">
        <v>4.0809391513040953</v>
      </c>
      <c r="K328">
        <v>0.93575838828894864</v>
      </c>
      <c r="L328">
        <v>6.1697674174222072</v>
      </c>
      <c r="M328">
        <v>121174.57059767758</v>
      </c>
      <c r="N328" s="82">
        <v>92</v>
      </c>
      <c r="O328">
        <v>31.54496349499852</v>
      </c>
      <c r="P3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28" t="str">
        <f t="shared" ca="1" si="17"/>
        <v>Billboards</v>
      </c>
      <c r="R328" s="157">
        <f>automotive_demand_forecasting_dataset567[[#This Row],[Units_Sold]]*automotive_demand_forecasting_dataset567[[#This Row],[Average_Price]]</f>
        <v>2492621.6346535664</v>
      </c>
      <c r="S328" t="str">
        <f t="shared" ca="1" si="18"/>
        <v>OK</v>
      </c>
    </row>
    <row r="329" spans="1:19">
      <c r="A329" s="1">
        <v>51545</v>
      </c>
      <c r="B329" t="s">
        <v>11</v>
      </c>
      <c r="C329" t="str">
        <f>TEXT(automotive_demand_forecasting_dataset567[[#This Row],[Date]],"mmmm")</f>
        <v>February</v>
      </c>
      <c r="D329" t="str">
        <f>CHOOSE(MATCH(MONTH(A329), {1,4,7,10}), "Winter", "Spring", "Summer", "Autumn")</f>
        <v>Winter</v>
      </c>
      <c r="E329">
        <f>YEAR(automotive_demand_forecasting_dataset567[[#This Row],[Date]])</f>
        <v>2041</v>
      </c>
      <c r="F329">
        <v>87</v>
      </c>
      <c r="G329">
        <f>(automotive_demand_forecasting_dataset567[[#This Row],[Units_Sold]] -$C$4) / $C$5</f>
        <v>-1.2599350537033389</v>
      </c>
      <c r="H329" t="str">
        <f t="shared" ca="1" si="16"/>
        <v>East</v>
      </c>
      <c r="I329">
        <v>26753.612274669966</v>
      </c>
      <c r="J329">
        <v>3.0363234329047128</v>
      </c>
      <c r="K329">
        <v>4.1172125749686241</v>
      </c>
      <c r="L329">
        <v>5.616047043</v>
      </c>
      <c r="M329">
        <v>96543.965252070717</v>
      </c>
      <c r="N329" s="82">
        <f>111.9136842</f>
        <v>111.91368420000001</v>
      </c>
      <c r="O329">
        <v>27.484752552986844</v>
      </c>
      <c r="P3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29" t="str">
        <f t="shared" ca="1" si="17"/>
        <v>Radio</v>
      </c>
      <c r="R329">
        <f>automotive_demand_forecasting_dataset567[[#This Row],[Units_Sold]]*automotive_demand_forecasting_dataset567[[#This Row],[Average_Price]]</f>
        <v>2327564.2678962871</v>
      </c>
      <c r="S329" t="str">
        <f t="shared" ca="1" si="18"/>
        <v>OK</v>
      </c>
    </row>
    <row r="330" spans="1:19">
      <c r="A330" s="1">
        <v>51575</v>
      </c>
      <c r="B330" t="s">
        <v>10</v>
      </c>
      <c r="C330" t="str">
        <f>TEXT(automotive_demand_forecasting_dataset567[[#This Row],[Date]],"mmmm")</f>
        <v>March</v>
      </c>
      <c r="D330" t="str">
        <f>CHOOSE(MATCH(MONTH(A330), {1,4,7,10}), "Winter", "Spring", "Summer", "Autumn")</f>
        <v>Winter</v>
      </c>
      <c r="E330">
        <f>YEAR(automotive_demand_forecasting_dataset567[[#This Row],[Date]])</f>
        <v>2041</v>
      </c>
      <c r="F330">
        <v>103</v>
      </c>
      <c r="G330">
        <f>(automotive_demand_forecasting_dataset567[[#This Row],[Units_Sold]] -$C$4) / $C$5</f>
        <v>0.37900485355303726</v>
      </c>
      <c r="H330" t="str">
        <f t="shared" ca="1" si="16"/>
        <v>South</v>
      </c>
      <c r="I330">
        <v>23880.298666188719</v>
      </c>
      <c r="J330">
        <v>3.6191844913673927</v>
      </c>
      <c r="K330">
        <v>2.6043559375232128</v>
      </c>
      <c r="L330">
        <v>5.144071049116242</v>
      </c>
      <c r="M330">
        <v>115438.4030967335</v>
      </c>
      <c r="N330" s="82">
        <v>101</v>
      </c>
      <c r="O330">
        <v>21.333724047970648</v>
      </c>
      <c r="P3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30" t="str">
        <f t="shared" ca="1" si="17"/>
        <v>Online</v>
      </c>
      <c r="R330">
        <f>automotive_demand_forecasting_dataset567[[#This Row],[Units_Sold]]*automotive_demand_forecasting_dataset567[[#This Row],[Average_Price]]</f>
        <v>2459670.7626174381</v>
      </c>
      <c r="S330" t="str">
        <f t="shared" ca="1" si="18"/>
        <v>OK</v>
      </c>
    </row>
    <row r="331" spans="1:19">
      <c r="A331" s="1">
        <v>51605</v>
      </c>
      <c r="B331" t="s">
        <v>10</v>
      </c>
      <c r="C331" t="str">
        <f>TEXT(automotive_demand_forecasting_dataset567[[#This Row],[Date]],"mmmm")</f>
        <v>April</v>
      </c>
      <c r="D331" t="str">
        <f>CHOOSE(MATCH(MONTH(A331), {1,4,7,10}), "Winter", "Spring", "Summer", "Autumn")</f>
        <v>Spring</v>
      </c>
      <c r="E331">
        <f>YEAR(automotive_demand_forecasting_dataset567[[#This Row],[Date]])</f>
        <v>2041</v>
      </c>
      <c r="F331">
        <v>115</v>
      </c>
      <c r="G331">
        <f>(automotive_demand_forecasting_dataset567[[#This Row],[Units_Sold]] -$C$4) / $C$5</f>
        <v>1.6082097839953193</v>
      </c>
      <c r="H331" t="str">
        <f t="shared" ref="H331:H394" ca="1" si="19">CHOOSE(RANDBETWEEN(1,4),"North","South","East","West")</f>
        <v>East</v>
      </c>
      <c r="I331">
        <v>30170.417341296132</v>
      </c>
      <c r="J331">
        <v>3.5380713799999999</v>
      </c>
      <c r="K331">
        <v>1.6012159516768718</v>
      </c>
      <c r="L331">
        <v>5.7895863219001376</v>
      </c>
      <c r="M331">
        <v>108826.14303398492</v>
      </c>
      <c r="N331" s="82">
        <v>67</v>
      </c>
      <c r="O331">
        <v>89.882741139617167</v>
      </c>
      <c r="P3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31" t="str">
        <f t="shared" ref="Q331:Q394" ca="1" si="20">CHOOSE(RANDBETWEEN(1,5),"Online","TV","Radio","Print","Billboards")</f>
        <v>Radio</v>
      </c>
      <c r="R331">
        <f>automotive_demand_forecasting_dataset567[[#This Row],[Units_Sold]]*automotive_demand_forecasting_dataset567[[#This Row],[Average_Price]]</f>
        <v>3469597.9942490552</v>
      </c>
      <c r="S331" t="str">
        <f t="shared" ref="S331:S394" ca="1" si="21">IF(COUNTA(A331:O331)&lt;COLUMNS(A331:O331), "Missing Data", "OK")</f>
        <v>OK</v>
      </c>
    </row>
    <row r="332" spans="1:19">
      <c r="A332" s="1">
        <v>51635</v>
      </c>
      <c r="B332" t="s">
        <v>14</v>
      </c>
      <c r="C332" t="str">
        <f>TEXT(automotive_demand_forecasting_dataset567[[#This Row],[Date]],"mmmm")</f>
        <v>May</v>
      </c>
      <c r="D332" t="str">
        <f>CHOOSE(MATCH(MONTH(A332), {1,4,7,10}), "Winter", "Spring", "Summer", "Autumn")</f>
        <v>Spring</v>
      </c>
      <c r="E332">
        <f>YEAR(automotive_demand_forecasting_dataset567[[#This Row],[Date]])</f>
        <v>2041</v>
      </c>
      <c r="F332">
        <v>88</v>
      </c>
      <c r="G332">
        <f>(automotive_demand_forecasting_dataset567[[#This Row],[Units_Sold]] -$C$4) / $C$5</f>
        <v>-1.1575013094998152</v>
      </c>
      <c r="H332" s="157" t="str">
        <f t="shared" ca="1" si="19"/>
        <v>West</v>
      </c>
      <c r="I332">
        <v>26150.13384470679</v>
      </c>
      <c r="J332">
        <v>3.7505470849699227</v>
      </c>
      <c r="K332">
        <v>1.1696863742610102</v>
      </c>
      <c r="L332">
        <v>4.1187830996565911</v>
      </c>
      <c r="M332">
        <v>85336.876057800066</v>
      </c>
      <c r="N332" s="82">
        <v>101</v>
      </c>
      <c r="O332">
        <v>80.215177969999999</v>
      </c>
      <c r="P3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32" t="str">
        <f t="shared" ca="1" si="20"/>
        <v>Online</v>
      </c>
      <c r="R332" s="157">
        <f>automotive_demand_forecasting_dataset567[[#This Row],[Units_Sold]]*automotive_demand_forecasting_dataset567[[#This Row],[Average_Price]]</f>
        <v>2301211.7783341976</v>
      </c>
      <c r="S332" t="str">
        <f t="shared" ca="1" si="21"/>
        <v>OK</v>
      </c>
    </row>
    <row r="333" spans="1:19">
      <c r="A333" s="1">
        <v>51665</v>
      </c>
      <c r="B333" t="s">
        <v>13</v>
      </c>
      <c r="C333" t="str">
        <f>TEXT(automotive_demand_forecasting_dataset567[[#This Row],[Date]],"mmmm")</f>
        <v>June</v>
      </c>
      <c r="D333" t="str">
        <f>CHOOSE(MATCH(MONTH(A333), {1,4,7,10}), "Winter", "Spring", "Summer", "Autumn")</f>
        <v>Spring</v>
      </c>
      <c r="E333">
        <f>YEAR(automotive_demand_forecasting_dataset567[[#This Row],[Date]])</f>
        <v>2041</v>
      </c>
      <c r="F333">
        <v>100</v>
      </c>
      <c r="G333">
        <f>(automotive_demand_forecasting_dataset567[[#This Row],[Units_Sold]] -$C$4) / $C$5</f>
        <v>7.1703620942466739E-2</v>
      </c>
      <c r="H333" t="str">
        <f t="shared" ca="1" si="19"/>
        <v>South</v>
      </c>
      <c r="I333">
        <v>31168.92955895374</v>
      </c>
      <c r="J333">
        <v>3.5947908082993716</v>
      </c>
      <c r="K333">
        <v>2.3108796092229666</v>
      </c>
      <c r="L333">
        <v>5.9635879813738724</v>
      </c>
      <c r="M333">
        <v>104579.9278491868</v>
      </c>
      <c r="N333" s="82">
        <v>88</v>
      </c>
      <c r="O333">
        <v>36.920539942541446</v>
      </c>
      <c r="P3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33" t="str">
        <f t="shared" ca="1" si="20"/>
        <v>Print</v>
      </c>
      <c r="R333">
        <f>automotive_demand_forecasting_dataset567[[#This Row],[Units_Sold]]*automotive_demand_forecasting_dataset567[[#This Row],[Average_Price]]</f>
        <v>3116892.9558953741</v>
      </c>
      <c r="S333" t="str">
        <f t="shared" ca="1" si="21"/>
        <v>OK</v>
      </c>
    </row>
    <row r="334" spans="1:19">
      <c r="A334" s="1">
        <v>51695</v>
      </c>
      <c r="B334" t="s">
        <v>13</v>
      </c>
      <c r="C334" t="str">
        <f>TEXT(automotive_demand_forecasting_dataset567[[#This Row],[Date]],"mmmm")</f>
        <v>July</v>
      </c>
      <c r="D334" t="str">
        <f>CHOOSE(MATCH(MONTH(A334), {1,4,7,10}), "Winter", "Spring", "Summer", "Autumn")</f>
        <v>Summer</v>
      </c>
      <c r="E334">
        <f>YEAR(automotive_demand_forecasting_dataset567[[#This Row],[Date]])</f>
        <v>2041</v>
      </c>
      <c r="F334">
        <v>108</v>
      </c>
      <c r="G334">
        <f>(automotive_demand_forecasting_dataset567[[#This Row],[Units_Sold]] -$C$4) / $C$5</f>
        <v>0.89117357457065483</v>
      </c>
      <c r="H334" t="str">
        <f t="shared" ca="1" si="19"/>
        <v>West</v>
      </c>
      <c r="I334">
        <v>22220.521768981864</v>
      </c>
      <c r="J334">
        <v>4.0005230462835701</v>
      </c>
      <c r="K334">
        <v>3.4216501119244596</v>
      </c>
      <c r="L334">
        <v>5.2546345348166543</v>
      </c>
      <c r="M334">
        <v>62841.970972034258</v>
      </c>
      <c r="N334" s="82">
        <v>89</v>
      </c>
      <c r="O334">
        <v>78.88283203408524</v>
      </c>
      <c r="P3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34" t="str">
        <f t="shared" ca="1" si="20"/>
        <v>Radio</v>
      </c>
      <c r="R334">
        <f>automotive_demand_forecasting_dataset567[[#This Row],[Units_Sold]]*automotive_demand_forecasting_dataset567[[#This Row],[Average_Price]]</f>
        <v>2399816.3510500412</v>
      </c>
      <c r="S334" t="str">
        <f t="shared" ca="1" si="21"/>
        <v>OK</v>
      </c>
    </row>
    <row r="335" spans="1:19">
      <c r="A335" s="1">
        <v>51725</v>
      </c>
      <c r="B335" t="s">
        <v>10</v>
      </c>
      <c r="C335" t="str">
        <f>TEXT(automotive_demand_forecasting_dataset567[[#This Row],[Date]],"mmmm")</f>
        <v>August</v>
      </c>
      <c r="D335" t="str">
        <f>CHOOSE(MATCH(MONTH(A335), {1,4,7,10}), "Winter", "Spring", "Summer", "Autumn")</f>
        <v>Summer</v>
      </c>
      <c r="E335">
        <f>YEAR(automotive_demand_forecasting_dataset567[[#This Row],[Date]])</f>
        <v>2041</v>
      </c>
      <c r="F335">
        <v>100</v>
      </c>
      <c r="G335">
        <f>(automotive_demand_forecasting_dataset567[[#This Row],[Units_Sold]] -$C$4) / $C$5</f>
        <v>7.1703620942466739E-2</v>
      </c>
      <c r="H335" t="str">
        <f t="shared" ca="1" si="19"/>
        <v>North</v>
      </c>
      <c r="I335">
        <v>31654.401161072285</v>
      </c>
      <c r="J335">
        <v>2.1483838535003814</v>
      </c>
      <c r="K335">
        <v>2.3724508796224657</v>
      </c>
      <c r="L335">
        <v>7.6065708379785875</v>
      </c>
      <c r="M335">
        <v>112064.95001142788</v>
      </c>
      <c r="N335" s="82">
        <v>92</v>
      </c>
      <c r="O335">
        <v>45.60128904699134</v>
      </c>
      <c r="P3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35" t="str">
        <f t="shared" ca="1" si="20"/>
        <v>Billboards</v>
      </c>
      <c r="R335">
        <f>automotive_demand_forecasting_dataset567[[#This Row],[Units_Sold]]*automotive_demand_forecasting_dataset567[[#This Row],[Average_Price]]</f>
        <v>3165440.1161072287</v>
      </c>
      <c r="S335" t="str">
        <f t="shared" ca="1" si="21"/>
        <v>OK</v>
      </c>
    </row>
    <row r="336" spans="1:19">
      <c r="A336" s="1">
        <v>51755</v>
      </c>
      <c r="B336" t="s">
        <v>10</v>
      </c>
      <c r="C336" t="str">
        <f>TEXT(automotive_demand_forecasting_dataset567[[#This Row],[Date]],"mmmm")</f>
        <v>September</v>
      </c>
      <c r="D336" t="str">
        <f>CHOOSE(MATCH(MONTH(A336), {1,4,7,10}), "Winter", "Spring", "Summer", "Autumn")</f>
        <v>Summer</v>
      </c>
      <c r="E336">
        <f>YEAR(automotive_demand_forecasting_dataset567[[#This Row],[Date]])</f>
        <v>2041</v>
      </c>
      <c r="F336">
        <v>86</v>
      </c>
      <c r="G336">
        <f>(automotive_demand_forecasting_dataset567[[#This Row],[Units_Sold]] -$C$4) / $C$5</f>
        <v>-1.3623687979068624</v>
      </c>
      <c r="H336" t="str">
        <f t="shared" ca="1" si="19"/>
        <v>West</v>
      </c>
      <c r="I336">
        <v>34167.644808044621</v>
      </c>
      <c r="J336">
        <v>3.8389376597654539</v>
      </c>
      <c r="K336">
        <v>4.011154930247347</v>
      </c>
      <c r="L336">
        <v>7.3876236702578275</v>
      </c>
      <c r="M336">
        <v>105963.16931981052</v>
      </c>
      <c r="N336" s="82">
        <v>85</v>
      </c>
      <c r="O336">
        <v>65.454227669999995</v>
      </c>
      <c r="P3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36" t="str">
        <f t="shared" ca="1" si="20"/>
        <v>Radio</v>
      </c>
      <c r="R336">
        <f>automotive_demand_forecasting_dataset567[[#This Row],[Units_Sold]]*automotive_demand_forecasting_dataset567[[#This Row],[Average_Price]]</f>
        <v>2938417.4534918373</v>
      </c>
      <c r="S336" t="str">
        <f t="shared" ca="1" si="21"/>
        <v>OK</v>
      </c>
    </row>
    <row r="337" spans="1:19">
      <c r="A337" s="1">
        <v>51785</v>
      </c>
      <c r="B337" t="s">
        <v>13</v>
      </c>
      <c r="C337" t="str">
        <f>TEXT(automotive_demand_forecasting_dataset567[[#This Row],[Date]],"mmmm")</f>
        <v>October</v>
      </c>
      <c r="D337" t="str">
        <f>CHOOSE(MATCH(MONTH(A337), {1,4,7,10}), "Winter", "Spring", "Summer", "Autumn")</f>
        <v>Autumn</v>
      </c>
      <c r="E337">
        <f>YEAR(automotive_demand_forecasting_dataset567[[#This Row],[Date]])</f>
        <v>2041</v>
      </c>
      <c r="F337">
        <v>87</v>
      </c>
      <c r="G337">
        <f>(automotive_demand_forecasting_dataset567[[#This Row],[Units_Sold]] -$C$4) / $C$5</f>
        <v>-1.2599350537033389</v>
      </c>
      <c r="H337" t="str">
        <f t="shared" ca="1" si="19"/>
        <v>North</v>
      </c>
      <c r="I337">
        <v>20031.321787142722</v>
      </c>
      <c r="J337">
        <v>4.5778345189999996</v>
      </c>
      <c r="K337">
        <v>1.0488243099484411</v>
      </c>
      <c r="L337">
        <v>4.9410333170582046</v>
      </c>
      <c r="M337">
        <v>112773.20337286204</v>
      </c>
      <c r="N337" s="82">
        <v>86</v>
      </c>
      <c r="O337">
        <v>33.000885223796502</v>
      </c>
      <c r="P3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37" t="str">
        <f t="shared" ca="1" si="20"/>
        <v>Print</v>
      </c>
      <c r="R337">
        <f>automotive_demand_forecasting_dataset567[[#This Row],[Units_Sold]]*automotive_demand_forecasting_dataset567[[#This Row],[Average_Price]]</f>
        <v>1742724.9954814168</v>
      </c>
      <c r="S337" t="str">
        <f t="shared" ca="1" si="21"/>
        <v>OK</v>
      </c>
    </row>
    <row r="338" spans="1:19">
      <c r="A338" s="1">
        <v>51815</v>
      </c>
      <c r="B338" t="s">
        <v>12</v>
      </c>
      <c r="C338" t="str">
        <f>TEXT(automotive_demand_forecasting_dataset567[[#This Row],[Date]],"mmmm")</f>
        <v>November</v>
      </c>
      <c r="D338" t="str">
        <f>CHOOSE(MATCH(MONTH(A338), {1,4,7,10}), "Winter", "Spring", "Summer", "Autumn")</f>
        <v>Autumn</v>
      </c>
      <c r="E338">
        <f>YEAR(automotive_demand_forecasting_dataset567[[#This Row],[Date]])</f>
        <v>2041</v>
      </c>
      <c r="F338">
        <v>109</v>
      </c>
      <c r="G338">
        <f>(automotive_demand_forecasting_dataset567[[#This Row],[Units_Sold]] -$C$4) / $C$5</f>
        <v>0.99360731877417829</v>
      </c>
      <c r="H338" t="str">
        <f t="shared" ca="1" si="19"/>
        <v>East</v>
      </c>
      <c r="I338">
        <v>31870.282849237861</v>
      </c>
      <c r="J338">
        <v>2.5846835515717714</v>
      </c>
      <c r="K338">
        <v>2.4879110521539456</v>
      </c>
      <c r="L338">
        <v>5.3189947461199658</v>
      </c>
      <c r="M338">
        <v>121162.366501743</v>
      </c>
      <c r="N338" s="82">
        <v>93</v>
      </c>
      <c r="O338">
        <v>96.779657716957544</v>
      </c>
      <c r="P3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38" t="str">
        <f t="shared" ca="1" si="20"/>
        <v>Print</v>
      </c>
      <c r="R338">
        <f>automotive_demand_forecasting_dataset567[[#This Row],[Units_Sold]]*automotive_demand_forecasting_dataset567[[#This Row],[Average_Price]]</f>
        <v>3473860.8305669269</v>
      </c>
      <c r="S338" t="str">
        <f t="shared" ca="1" si="21"/>
        <v>OK</v>
      </c>
    </row>
    <row r="339" spans="1:19">
      <c r="A339" s="1">
        <v>51845</v>
      </c>
      <c r="B339" t="s">
        <v>13</v>
      </c>
      <c r="C339" t="str">
        <f>TEXT(automotive_demand_forecasting_dataset567[[#This Row],[Date]],"mmmm")</f>
        <v>December</v>
      </c>
      <c r="D339" t="str">
        <f>CHOOSE(MATCH(MONTH(A339), {1,4,7,10}), "Winter", "Spring", "Summer", "Autumn")</f>
        <v>Autumn</v>
      </c>
      <c r="E339">
        <f>YEAR(automotive_demand_forecasting_dataset567[[#This Row],[Date]])</f>
        <v>2041</v>
      </c>
      <c r="F339">
        <v>91</v>
      </c>
      <c r="G339">
        <f>(automotive_demand_forecasting_dataset567[[#This Row],[Units_Sold]] -$C$4) / $C$5</f>
        <v>-0.85020007688924482</v>
      </c>
      <c r="H339" t="str">
        <f t="shared" ca="1" si="19"/>
        <v>East</v>
      </c>
      <c r="I339">
        <v>36138.344962366464</v>
      </c>
      <c r="J339">
        <v>3.7556012997624904</v>
      </c>
      <c r="K339">
        <v>1.2476065555868809</v>
      </c>
      <c r="L339">
        <v>5.4112629212699286</v>
      </c>
      <c r="M339">
        <v>107352.39680419421</v>
      </c>
      <c r="N339" s="82">
        <v>84</v>
      </c>
      <c r="O339">
        <v>88.126512001378984</v>
      </c>
      <c r="P3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39" t="str">
        <f t="shared" ca="1" si="20"/>
        <v>Online</v>
      </c>
      <c r="R339">
        <f>automotive_demand_forecasting_dataset567[[#This Row],[Units_Sold]]*automotive_demand_forecasting_dataset567[[#This Row],[Average_Price]]</f>
        <v>3288589.3915753481</v>
      </c>
      <c r="S339" t="str">
        <f t="shared" ca="1" si="21"/>
        <v>OK</v>
      </c>
    </row>
    <row r="340" spans="1:19">
      <c r="A340" s="1">
        <v>51875</v>
      </c>
      <c r="B340" t="s">
        <v>11</v>
      </c>
      <c r="C340" t="str">
        <f>TEXT(automotive_demand_forecasting_dataset567[[#This Row],[Date]],"mmmm")</f>
        <v>January</v>
      </c>
      <c r="D340" t="str">
        <f>CHOOSE(MATCH(MONTH(A340), {1,4,7,10}), "Winter", "Spring", "Summer", "Autumn")</f>
        <v>Winter</v>
      </c>
      <c r="E340">
        <f>YEAR(automotive_demand_forecasting_dataset567[[#This Row],[Date]])</f>
        <v>2042</v>
      </c>
      <c r="F340">
        <v>107</v>
      </c>
      <c r="G340">
        <f>(automotive_demand_forecasting_dataset567[[#This Row],[Units_Sold]] -$C$4) / $C$5</f>
        <v>0.78873983036713124</v>
      </c>
      <c r="H340" t="str">
        <f t="shared" ca="1" si="19"/>
        <v>North</v>
      </c>
      <c r="I340">
        <v>23951.794906543972</v>
      </c>
      <c r="J340">
        <v>4.1868292725814786</v>
      </c>
      <c r="K340">
        <v>2.863631882624968</v>
      </c>
      <c r="L340">
        <v>5.616047043</v>
      </c>
      <c r="M340">
        <v>102961.78839596553</v>
      </c>
      <c r="N340" s="82">
        <v>89</v>
      </c>
      <c r="O340">
        <v>89.103169837200255</v>
      </c>
      <c r="P3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40" t="str">
        <f t="shared" ca="1" si="20"/>
        <v>Radio</v>
      </c>
      <c r="R340">
        <f>automotive_demand_forecasting_dataset567[[#This Row],[Units_Sold]]*automotive_demand_forecasting_dataset567[[#This Row],[Average_Price]]</f>
        <v>2562842.0550002051</v>
      </c>
      <c r="S340" t="str">
        <f t="shared" ca="1" si="21"/>
        <v>OK</v>
      </c>
    </row>
    <row r="341" spans="1:19">
      <c r="A341" s="1">
        <v>51905</v>
      </c>
      <c r="B341" t="s">
        <v>12</v>
      </c>
      <c r="C341" t="str">
        <f>TEXT(automotive_demand_forecasting_dataset567[[#This Row],[Date]],"mmmm")</f>
        <v>February</v>
      </c>
      <c r="D341" t="str">
        <f>CHOOSE(MATCH(MONTH(A341), {1,4,7,10}), "Winter", "Spring", "Summer", "Autumn")</f>
        <v>Winter</v>
      </c>
      <c r="E341">
        <f>YEAR(automotive_demand_forecasting_dataset567[[#This Row],[Date]])</f>
        <v>2042</v>
      </c>
      <c r="F341">
        <v>106</v>
      </c>
      <c r="G341">
        <f>(automotive_demand_forecasting_dataset567[[#This Row],[Units_Sold]] -$C$4) / $C$5</f>
        <v>0.68630608616360778</v>
      </c>
      <c r="H341" t="str">
        <f t="shared" ca="1" si="19"/>
        <v>South</v>
      </c>
      <c r="I341">
        <v>38362.861934188521</v>
      </c>
      <c r="J341">
        <v>3.4312757426861542</v>
      </c>
      <c r="K341">
        <v>3.3868873900973004</v>
      </c>
      <c r="L341">
        <v>5.7340299808337525</v>
      </c>
      <c r="M341">
        <v>82378.633266774152</v>
      </c>
      <c r="N341" s="82">
        <v>98</v>
      </c>
      <c r="O341">
        <v>52.541899885760415</v>
      </c>
      <c r="P3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41" t="str">
        <f t="shared" ca="1" si="20"/>
        <v>Billboards</v>
      </c>
      <c r="R341">
        <f>automotive_demand_forecasting_dataset567[[#This Row],[Units_Sold]]*automotive_demand_forecasting_dataset567[[#This Row],[Average_Price]]</f>
        <v>4066463.3650239832</v>
      </c>
      <c r="S341" t="str">
        <f t="shared" ca="1" si="21"/>
        <v>OK</v>
      </c>
    </row>
    <row r="342" spans="1:19">
      <c r="A342" s="1">
        <v>51935</v>
      </c>
      <c r="B342" t="s">
        <v>11</v>
      </c>
      <c r="C342" t="str">
        <f>TEXT(automotive_demand_forecasting_dataset567[[#This Row],[Date]],"mmmm")</f>
        <v>March</v>
      </c>
      <c r="D342" t="str">
        <f>CHOOSE(MATCH(MONTH(A342), {1,4,7,10}), "Winter", "Spring", "Summer", "Autumn")</f>
        <v>Winter</v>
      </c>
      <c r="E342">
        <f>YEAR(automotive_demand_forecasting_dataset567[[#This Row],[Date]])</f>
        <v>2042</v>
      </c>
      <c r="F342">
        <v>92</v>
      </c>
      <c r="G342">
        <f>(automotive_demand_forecasting_dataset567[[#This Row],[Units_Sold]] -$C$4) / $C$5</f>
        <v>-0.74776633268572135</v>
      </c>
      <c r="H342" t="str">
        <f t="shared" ca="1" si="19"/>
        <v>West</v>
      </c>
      <c r="I342">
        <v>32095.095046830225</v>
      </c>
      <c r="J342">
        <v>3.9764372736014693</v>
      </c>
      <c r="K342">
        <v>2.079238206318947</v>
      </c>
      <c r="L342">
        <v>4.5900615173348918</v>
      </c>
      <c r="M342">
        <v>85755.584727018984</v>
      </c>
      <c r="N342" s="82">
        <v>85</v>
      </c>
      <c r="O342">
        <v>65.454227669999995</v>
      </c>
      <c r="P3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42" t="str">
        <f t="shared" ca="1" si="20"/>
        <v>Billboards</v>
      </c>
      <c r="R342">
        <f>automotive_demand_forecasting_dataset567[[#This Row],[Units_Sold]]*automotive_demand_forecasting_dataset567[[#This Row],[Average_Price]]</f>
        <v>2952748.7443083809</v>
      </c>
      <c r="S342" t="str">
        <f t="shared" ca="1" si="21"/>
        <v>OK</v>
      </c>
    </row>
    <row r="343" spans="1:19">
      <c r="A343" s="1">
        <v>51965</v>
      </c>
      <c r="B343" t="s">
        <v>10</v>
      </c>
      <c r="C343" t="str">
        <f>TEXT(automotive_demand_forecasting_dataset567[[#This Row],[Date]],"mmmm")</f>
        <v>April</v>
      </c>
      <c r="D343" t="str">
        <f>CHOOSE(MATCH(MONTH(A343), {1,4,7,10}), "Winter", "Spring", "Summer", "Autumn")</f>
        <v>Spring</v>
      </c>
      <c r="E343">
        <f>YEAR(automotive_demand_forecasting_dataset567[[#This Row],[Date]])</f>
        <v>2042</v>
      </c>
      <c r="F343">
        <v>90</v>
      </c>
      <c r="G343">
        <f>(automotive_demand_forecasting_dataset567[[#This Row],[Units_Sold]] -$C$4) / $C$5</f>
        <v>-0.95263382109276828</v>
      </c>
      <c r="H343" t="str">
        <f t="shared" ca="1" si="19"/>
        <v>South</v>
      </c>
      <c r="I343">
        <v>26474.940721207957</v>
      </c>
      <c r="J343">
        <v>4.3061391289943227</v>
      </c>
      <c r="K343">
        <v>2.6520564320000002</v>
      </c>
      <c r="L343">
        <v>4.1432615980749681</v>
      </c>
      <c r="M343">
        <v>102916.7736</v>
      </c>
      <c r="N343" s="82">
        <v>70</v>
      </c>
      <c r="O343">
        <v>31.510092431182414</v>
      </c>
      <c r="P3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43" t="str">
        <f t="shared" ca="1" si="20"/>
        <v>TV</v>
      </c>
      <c r="R343">
        <f>automotive_demand_forecasting_dataset567[[#This Row],[Units_Sold]]*automotive_demand_forecasting_dataset567[[#This Row],[Average_Price]]</f>
        <v>2382744.664908716</v>
      </c>
      <c r="S343" t="str">
        <f t="shared" ca="1" si="21"/>
        <v>OK</v>
      </c>
    </row>
    <row r="344" spans="1:19">
      <c r="A344" s="1">
        <v>51995</v>
      </c>
      <c r="B344" t="s">
        <v>12</v>
      </c>
      <c r="C344" t="str">
        <f>TEXT(automotive_demand_forecasting_dataset567[[#This Row],[Date]],"mmmm")</f>
        <v>May</v>
      </c>
      <c r="D344" t="str">
        <f>CHOOSE(MATCH(MONTH(A344), {1,4,7,10}), "Winter", "Spring", "Summer", "Autumn")</f>
        <v>Spring</v>
      </c>
      <c r="E344">
        <f>YEAR(automotive_demand_forecasting_dataset567[[#This Row],[Date]])</f>
        <v>2042</v>
      </c>
      <c r="F344">
        <v>102</v>
      </c>
      <c r="G344">
        <f>(automotive_demand_forecasting_dataset567[[#This Row],[Units_Sold]] -$C$4) / $C$5</f>
        <v>0.27657110934951373</v>
      </c>
      <c r="H344" t="str">
        <f t="shared" ca="1" si="19"/>
        <v>North</v>
      </c>
      <c r="I344">
        <v>29721.15461171147</v>
      </c>
      <c r="J344">
        <v>4.1574572267920233</v>
      </c>
      <c r="K344">
        <v>2.6989481467964946</v>
      </c>
      <c r="L344">
        <v>6.2472534686803218</v>
      </c>
      <c r="M344">
        <v>102916.7736</v>
      </c>
      <c r="N344" s="82">
        <v>106</v>
      </c>
      <c r="O344">
        <v>20.689520207342422</v>
      </c>
      <c r="P3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44" t="str">
        <f t="shared" ca="1" si="20"/>
        <v>Print</v>
      </c>
      <c r="R344">
        <f>automotive_demand_forecasting_dataset567[[#This Row],[Units_Sold]]*automotive_demand_forecasting_dataset567[[#This Row],[Average_Price]]</f>
        <v>3031557.7703945702</v>
      </c>
      <c r="S344" t="str">
        <f t="shared" ca="1" si="21"/>
        <v>OK</v>
      </c>
    </row>
    <row r="345" spans="1:19">
      <c r="A345" s="1">
        <v>52025</v>
      </c>
      <c r="B345" t="s">
        <v>11</v>
      </c>
      <c r="C345" t="str">
        <f>TEXT(automotive_demand_forecasting_dataset567[[#This Row],[Date]],"mmmm")</f>
        <v>June</v>
      </c>
      <c r="D345" t="str">
        <f>CHOOSE(MATCH(MONTH(A345), {1,4,7,10}), "Winter", "Spring", "Summer", "Autumn")</f>
        <v>Spring</v>
      </c>
      <c r="E345">
        <f>YEAR(automotive_demand_forecasting_dataset567[[#This Row],[Date]])</f>
        <v>2042</v>
      </c>
      <c r="F345">
        <v>99</v>
      </c>
      <c r="G345">
        <f>(automotive_demand_forecasting_dataset567[[#This Row],[Units_Sold]] -$C$4) / $C$5</f>
        <v>-3.0730123261056761E-2</v>
      </c>
      <c r="H345" t="str">
        <f t="shared" ca="1" si="19"/>
        <v>East</v>
      </c>
      <c r="I345">
        <v>32791.634562608611</v>
      </c>
      <c r="J345">
        <v>4.3199822646856969</v>
      </c>
      <c r="K345">
        <v>2.9367385517335096</v>
      </c>
      <c r="L345">
        <v>6.2554355010661729</v>
      </c>
      <c r="M345">
        <v>95237.791273758921</v>
      </c>
      <c r="N345" s="82">
        <v>91</v>
      </c>
      <c r="O345">
        <v>21.597834606242252</v>
      </c>
      <c r="P3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45" t="str">
        <f t="shared" ca="1" si="20"/>
        <v>Billboards</v>
      </c>
      <c r="R345">
        <f>automotive_demand_forecasting_dataset567[[#This Row],[Units_Sold]]*automotive_demand_forecasting_dataset567[[#This Row],[Average_Price]]</f>
        <v>3246371.8216982526</v>
      </c>
      <c r="S345" t="str">
        <f t="shared" ca="1" si="21"/>
        <v>OK</v>
      </c>
    </row>
    <row r="346" spans="1:19">
      <c r="A346" s="1">
        <v>52055</v>
      </c>
      <c r="B346" t="s">
        <v>11</v>
      </c>
      <c r="C346" t="str">
        <f>TEXT(automotive_demand_forecasting_dataset567[[#This Row],[Date]],"mmmm")</f>
        <v>July</v>
      </c>
      <c r="D346" t="str">
        <f>CHOOSE(MATCH(MONTH(A346), {1,4,7,10}), "Winter", "Spring", "Summer", "Autumn")</f>
        <v>Summer</v>
      </c>
      <c r="E346">
        <f>YEAR(automotive_demand_forecasting_dataset567[[#This Row],[Date]])</f>
        <v>2042</v>
      </c>
      <c r="F346">
        <v>88</v>
      </c>
      <c r="G346">
        <f>(automotive_demand_forecasting_dataset567[[#This Row],[Units_Sold]] -$C$4) / $C$5</f>
        <v>-1.1575013094998152</v>
      </c>
      <c r="H346" t="str">
        <f t="shared" ca="1" si="19"/>
        <v>North</v>
      </c>
      <c r="I346">
        <v>38106.295579999998</v>
      </c>
      <c r="J346">
        <v>3.8710637455359462</v>
      </c>
      <c r="K346">
        <v>2.9042947549616978</v>
      </c>
      <c r="L346">
        <v>4.5348210884080089</v>
      </c>
      <c r="M346">
        <v>100920.05494506548</v>
      </c>
      <c r="N346" s="82">
        <v>86</v>
      </c>
      <c r="O346">
        <v>66.928138992364836</v>
      </c>
      <c r="P3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46" t="str">
        <f t="shared" ca="1" si="20"/>
        <v>Billboards</v>
      </c>
      <c r="R346">
        <f>automotive_demand_forecasting_dataset567[[#This Row],[Units_Sold]]*automotive_demand_forecasting_dataset567[[#This Row],[Average_Price]]</f>
        <v>3353354.0110399998</v>
      </c>
      <c r="S346" t="str">
        <f t="shared" ca="1" si="21"/>
        <v>OK</v>
      </c>
    </row>
    <row r="347" spans="1:19">
      <c r="A347" s="1">
        <v>52085</v>
      </c>
      <c r="B347" t="s">
        <v>12</v>
      </c>
      <c r="C347" t="str">
        <f>TEXT(automotive_demand_forecasting_dataset567[[#This Row],[Date]],"mmmm")</f>
        <v>August</v>
      </c>
      <c r="D347" t="str">
        <f>CHOOSE(MATCH(MONTH(A347), {1,4,7,10}), "Winter", "Spring", "Summer", "Autumn")</f>
        <v>Summer</v>
      </c>
      <c r="E347">
        <f>YEAR(automotive_demand_forecasting_dataset567[[#This Row],[Date]])</f>
        <v>2042</v>
      </c>
      <c r="F347">
        <v>100</v>
      </c>
      <c r="G347">
        <f>(automotive_demand_forecasting_dataset567[[#This Row],[Units_Sold]] -$C$4) / $C$5</f>
        <v>7.1703620942466739E-2</v>
      </c>
      <c r="H347" t="str">
        <f t="shared" ca="1" si="19"/>
        <v>East</v>
      </c>
      <c r="I347">
        <v>32693.779962231845</v>
      </c>
      <c r="J347">
        <v>3.5377168194507962</v>
      </c>
      <c r="K347">
        <v>3.7357821918221541</v>
      </c>
      <c r="L347">
        <v>6.5744265169151195</v>
      </c>
      <c r="M347">
        <v>81907.712500124675</v>
      </c>
      <c r="N347" s="82">
        <v>92</v>
      </c>
      <c r="O347">
        <v>56.431592419835262</v>
      </c>
      <c r="P3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47" t="str">
        <f t="shared" ca="1" si="20"/>
        <v>Online</v>
      </c>
      <c r="R347">
        <f>automotive_demand_forecasting_dataset567[[#This Row],[Units_Sold]]*automotive_demand_forecasting_dataset567[[#This Row],[Average_Price]]</f>
        <v>3269377.9962231847</v>
      </c>
      <c r="S347" t="str">
        <f t="shared" ca="1" si="21"/>
        <v>OK</v>
      </c>
    </row>
    <row r="348" spans="1:19">
      <c r="A348" s="1">
        <v>52115</v>
      </c>
      <c r="B348" t="s">
        <v>14</v>
      </c>
      <c r="C348" t="str">
        <f>TEXT(automotive_demand_forecasting_dataset567[[#This Row],[Date]],"mmmm")</f>
        <v>September</v>
      </c>
      <c r="D348" t="str">
        <f>CHOOSE(MATCH(MONTH(A348), {1,4,7,10}), "Winter", "Spring", "Summer", "Autumn")</f>
        <v>Summer</v>
      </c>
      <c r="E348">
        <f>YEAR(automotive_demand_forecasting_dataset567[[#This Row],[Date]])</f>
        <v>2042</v>
      </c>
      <c r="F348">
        <v>100</v>
      </c>
      <c r="G348">
        <f>(automotive_demand_forecasting_dataset567[[#This Row],[Units_Sold]] -$C$4) / $C$5</f>
        <v>7.1703620942466739E-2</v>
      </c>
      <c r="H348" s="157" t="str">
        <f t="shared" ca="1" si="19"/>
        <v>South</v>
      </c>
      <c r="I348">
        <v>25396.632034603168</v>
      </c>
      <c r="J348">
        <v>2.699017094051416</v>
      </c>
      <c r="K348">
        <v>1.4289463203509511</v>
      </c>
      <c r="L348">
        <v>4.7421067250016025</v>
      </c>
      <c r="M348">
        <v>123455.13690534889</v>
      </c>
      <c r="N348" s="82">
        <v>75</v>
      </c>
      <c r="O348">
        <v>61.441227912681583</v>
      </c>
      <c r="P3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48" t="str">
        <f t="shared" ca="1" si="20"/>
        <v>Print</v>
      </c>
      <c r="R348" s="157">
        <f>automotive_demand_forecasting_dataset567[[#This Row],[Units_Sold]]*automotive_demand_forecasting_dataset567[[#This Row],[Average_Price]]</f>
        <v>2539663.2034603166</v>
      </c>
      <c r="S348" t="str">
        <f t="shared" ca="1" si="21"/>
        <v>OK</v>
      </c>
    </row>
    <row r="349" spans="1:19">
      <c r="A349" s="1">
        <v>52145</v>
      </c>
      <c r="B349" t="s">
        <v>13</v>
      </c>
      <c r="C349" t="str">
        <f>TEXT(automotive_demand_forecasting_dataset567[[#This Row],[Date]],"mmmm")</f>
        <v>October</v>
      </c>
      <c r="D349" t="str">
        <f>CHOOSE(MATCH(MONTH(A349), {1,4,7,10}), "Winter", "Spring", "Summer", "Autumn")</f>
        <v>Autumn</v>
      </c>
      <c r="E349">
        <f>YEAR(automotive_demand_forecasting_dataset567[[#This Row],[Date]])</f>
        <v>2042</v>
      </c>
      <c r="F349">
        <v>106</v>
      </c>
      <c r="G349">
        <f>(automotive_demand_forecasting_dataset567[[#This Row],[Units_Sold]] -$C$4) / $C$5</f>
        <v>0.68630608616360778</v>
      </c>
      <c r="H349" t="str">
        <f t="shared" ca="1" si="19"/>
        <v>East</v>
      </c>
      <c r="I349">
        <v>30846.80412018039</v>
      </c>
      <c r="J349">
        <v>3.3769687559350259</v>
      </c>
      <c r="K349">
        <v>3.1802161054504494</v>
      </c>
      <c r="L349">
        <v>5.803798285645577</v>
      </c>
      <c r="M349">
        <v>113308.33647383557</v>
      </c>
      <c r="N349" s="82">
        <v>90</v>
      </c>
      <c r="O349">
        <v>80.215177969999999</v>
      </c>
      <c r="P3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49" t="str">
        <f t="shared" ca="1" si="20"/>
        <v>TV</v>
      </c>
      <c r="R349">
        <f>automotive_demand_forecasting_dataset567[[#This Row],[Units_Sold]]*automotive_demand_forecasting_dataset567[[#This Row],[Average_Price]]</f>
        <v>3269761.2367391214</v>
      </c>
      <c r="S349" t="str">
        <f t="shared" ca="1" si="21"/>
        <v>OK</v>
      </c>
    </row>
    <row r="350" spans="1:19">
      <c r="A350" s="1">
        <v>52175</v>
      </c>
      <c r="B350" t="s">
        <v>11</v>
      </c>
      <c r="C350" t="str">
        <f>TEXT(automotive_demand_forecasting_dataset567[[#This Row],[Date]],"mmmm")</f>
        <v>November</v>
      </c>
      <c r="D350" t="str">
        <f>CHOOSE(MATCH(MONTH(A350), {1,4,7,10}), "Winter", "Spring", "Summer", "Autumn")</f>
        <v>Autumn</v>
      </c>
      <c r="E350">
        <f>YEAR(automotive_demand_forecasting_dataset567[[#This Row],[Date]])</f>
        <v>2042</v>
      </c>
      <c r="F350">
        <v>100</v>
      </c>
      <c r="G350">
        <f>(automotive_demand_forecasting_dataset567[[#This Row],[Units_Sold]] -$C$4) / $C$5</f>
        <v>7.1703620942466739E-2</v>
      </c>
      <c r="H350" t="str">
        <f t="shared" ca="1" si="19"/>
        <v>South</v>
      </c>
      <c r="I350">
        <v>22931.427515475101</v>
      </c>
      <c r="J350">
        <v>3.0783767023419042</v>
      </c>
      <c r="K350">
        <v>3.6925075124779747</v>
      </c>
      <c r="L350">
        <v>5.616047043</v>
      </c>
      <c r="M350">
        <v>138824.34872927499</v>
      </c>
      <c r="N350" s="82">
        <v>93</v>
      </c>
      <c r="O350">
        <v>53.814929572594053</v>
      </c>
      <c r="P3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50" t="str">
        <f t="shared" ca="1" si="20"/>
        <v>TV</v>
      </c>
      <c r="R350">
        <f>automotive_demand_forecasting_dataset567[[#This Row],[Units_Sold]]*automotive_demand_forecasting_dataset567[[#This Row],[Average_Price]]</f>
        <v>2293142.7515475103</v>
      </c>
      <c r="S350" t="str">
        <f t="shared" ca="1" si="21"/>
        <v>OK</v>
      </c>
    </row>
    <row r="351" spans="1:19">
      <c r="A351" s="1">
        <v>52205</v>
      </c>
      <c r="B351" t="s">
        <v>13</v>
      </c>
      <c r="C351" t="str">
        <f>TEXT(automotive_demand_forecasting_dataset567[[#This Row],[Date]],"mmmm")</f>
        <v>December</v>
      </c>
      <c r="D351" t="str">
        <f>CHOOSE(MATCH(MONTH(A351), {1,4,7,10}), "Winter", "Spring", "Summer", "Autumn")</f>
        <v>Autumn</v>
      </c>
      <c r="E351">
        <f>YEAR(automotive_demand_forecasting_dataset567[[#This Row],[Date]])</f>
        <v>2042</v>
      </c>
      <c r="F351">
        <v>98</v>
      </c>
      <c r="G351">
        <f>(automotive_demand_forecasting_dataset567[[#This Row],[Units_Sold]] -$C$4) / $C$5</f>
        <v>-0.13316386746458025</v>
      </c>
      <c r="H351" t="str">
        <f t="shared" ca="1" si="19"/>
        <v>South</v>
      </c>
      <c r="I351">
        <v>29443.8696932565</v>
      </c>
      <c r="J351">
        <v>4.5854713587489071</v>
      </c>
      <c r="K351">
        <v>0.72141241599348316</v>
      </c>
      <c r="L351">
        <v>5.459664922355544</v>
      </c>
      <c r="M351">
        <v>82433.538456405222</v>
      </c>
      <c r="N351" s="82">
        <v>92</v>
      </c>
      <c r="O351">
        <v>77.445452896068872</v>
      </c>
      <c r="P3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51" t="str">
        <f t="shared" ca="1" si="20"/>
        <v>Radio</v>
      </c>
      <c r="R351">
        <f>automotive_demand_forecasting_dataset567[[#This Row],[Units_Sold]]*automotive_demand_forecasting_dataset567[[#This Row],[Average_Price]]</f>
        <v>2885499.2299391371</v>
      </c>
      <c r="S351" t="str">
        <f t="shared" ca="1" si="21"/>
        <v>OK</v>
      </c>
    </row>
    <row r="352" spans="1:19">
      <c r="A352" s="1">
        <v>52235</v>
      </c>
      <c r="B352" t="s">
        <v>13</v>
      </c>
      <c r="C352" t="str">
        <f>TEXT(automotive_demand_forecasting_dataset567[[#This Row],[Date]],"mmmm")</f>
        <v>January</v>
      </c>
      <c r="D352" t="str">
        <f>CHOOSE(MATCH(MONTH(A352), {1,4,7,10}), "Winter", "Spring", "Summer", "Autumn")</f>
        <v>Winter</v>
      </c>
      <c r="E352">
        <f>YEAR(automotive_demand_forecasting_dataset567[[#This Row],[Date]])</f>
        <v>2043</v>
      </c>
      <c r="F352">
        <v>119</v>
      </c>
      <c r="G352">
        <f>(automotive_demand_forecasting_dataset567[[#This Row],[Units_Sold]] -$C$4) / $C$5</f>
        <v>2.0179447608094132</v>
      </c>
      <c r="H352" t="str">
        <f t="shared" ca="1" si="19"/>
        <v>West</v>
      </c>
      <c r="I352">
        <v>30949.702720000001</v>
      </c>
      <c r="J352">
        <v>3.4120570937838317</v>
      </c>
      <c r="K352">
        <v>2.8196518259189771</v>
      </c>
      <c r="L352">
        <v>6.0456890945693615</v>
      </c>
      <c r="M352">
        <v>92439.84201963566</v>
      </c>
      <c r="N352" s="82">
        <v>92</v>
      </c>
      <c r="O352">
        <v>55.41549615739487</v>
      </c>
      <c r="P3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52" t="str">
        <f t="shared" ca="1" si="20"/>
        <v>Radio</v>
      </c>
      <c r="R352">
        <f>automotive_demand_forecasting_dataset567[[#This Row],[Units_Sold]]*automotive_demand_forecasting_dataset567[[#This Row],[Average_Price]]</f>
        <v>3683014.6236800002</v>
      </c>
      <c r="S352" t="str">
        <f t="shared" ca="1" si="21"/>
        <v>OK</v>
      </c>
    </row>
    <row r="353" spans="1:19">
      <c r="A353" s="1">
        <v>52265</v>
      </c>
      <c r="B353" t="s">
        <v>10</v>
      </c>
      <c r="C353" t="str">
        <f>TEXT(automotive_demand_forecasting_dataset567[[#This Row],[Date]],"mmmm")</f>
        <v>February</v>
      </c>
      <c r="D353" t="str">
        <f>CHOOSE(MATCH(MONTH(A353), {1,4,7,10}), "Winter", "Spring", "Summer", "Autumn")</f>
        <v>Winter</v>
      </c>
      <c r="E353">
        <f>YEAR(automotive_demand_forecasting_dataset567[[#This Row],[Date]])</f>
        <v>2043</v>
      </c>
      <c r="F353">
        <v>99</v>
      </c>
      <c r="G353">
        <f>(automotive_demand_forecasting_dataset567[[#This Row],[Units_Sold]] -$C$4) / $C$5</f>
        <v>-3.0730123261056761E-2</v>
      </c>
      <c r="H353" t="str">
        <f t="shared" ca="1" si="19"/>
        <v>East</v>
      </c>
      <c r="I353">
        <v>26322.350287051166</v>
      </c>
      <c r="J353">
        <v>3.5616024033922429</v>
      </c>
      <c r="K353">
        <v>1.9958201689923285</v>
      </c>
      <c r="L353">
        <f>6.97388673</f>
        <v>6.9738867300000003</v>
      </c>
      <c r="M353">
        <v>104628.91845051144</v>
      </c>
      <c r="N353" s="82">
        <f>111.9136842</f>
        <v>111.91368420000001</v>
      </c>
      <c r="O353">
        <v>78.577536504977786</v>
      </c>
      <c r="P3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53" t="str">
        <f t="shared" ca="1" si="20"/>
        <v>Radio</v>
      </c>
      <c r="R353">
        <f>automotive_demand_forecasting_dataset567[[#This Row],[Units_Sold]]*automotive_demand_forecasting_dataset567[[#This Row],[Average_Price]]</f>
        <v>2605912.6784180654</v>
      </c>
      <c r="S353" t="str">
        <f t="shared" ca="1" si="21"/>
        <v>OK</v>
      </c>
    </row>
    <row r="354" spans="1:19">
      <c r="A354" s="1">
        <v>52295</v>
      </c>
      <c r="B354" t="s">
        <v>13</v>
      </c>
      <c r="C354" t="str">
        <f>TEXT(automotive_demand_forecasting_dataset567[[#This Row],[Date]],"mmmm")</f>
        <v>March</v>
      </c>
      <c r="D354" t="str">
        <f>CHOOSE(MATCH(MONTH(A354), {1,4,7,10}), "Winter", "Spring", "Summer", "Autumn")</f>
        <v>Winter</v>
      </c>
      <c r="E354">
        <f>YEAR(automotive_demand_forecasting_dataset567[[#This Row],[Date]])</f>
        <v>2043</v>
      </c>
      <c r="F354">
        <v>87</v>
      </c>
      <c r="G354">
        <f>(automotive_demand_forecasting_dataset567[[#This Row],[Units_Sold]] -$C$4) / $C$5</f>
        <v>-1.2599350537033389</v>
      </c>
      <c r="H354" t="str">
        <f t="shared" ca="1" si="19"/>
        <v>East</v>
      </c>
      <c r="I354">
        <v>36180.465876052185</v>
      </c>
      <c r="J354">
        <v>3.7757426880202338</v>
      </c>
      <c r="K354">
        <v>2.4184773268983539</v>
      </c>
      <c r="L354">
        <v>5.2642400998862833</v>
      </c>
      <c r="M354">
        <v>112929.79075451542</v>
      </c>
      <c r="N354" s="82">
        <v>94</v>
      </c>
      <c r="O354">
        <v>38.641517151746783</v>
      </c>
      <c r="P3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54" t="str">
        <f t="shared" ca="1" si="20"/>
        <v>Billboards</v>
      </c>
      <c r="R354">
        <f>automotive_demand_forecasting_dataset567[[#This Row],[Units_Sold]]*automotive_demand_forecasting_dataset567[[#This Row],[Average_Price]]</f>
        <v>3147700.5312165399</v>
      </c>
      <c r="S354" t="str">
        <f t="shared" ca="1" si="21"/>
        <v>OK</v>
      </c>
    </row>
    <row r="355" spans="1:19">
      <c r="A355" s="1">
        <v>52325</v>
      </c>
      <c r="B355" t="s">
        <v>11</v>
      </c>
      <c r="C355" t="str">
        <f>TEXT(automotive_demand_forecasting_dataset567[[#This Row],[Date]],"mmmm")</f>
        <v>April</v>
      </c>
      <c r="D355" t="str">
        <f>CHOOSE(MATCH(MONTH(A355), {1,4,7,10}), "Winter", "Spring", "Summer", "Autumn")</f>
        <v>Spring</v>
      </c>
      <c r="E355">
        <f>YEAR(automotive_demand_forecasting_dataset567[[#This Row],[Date]])</f>
        <v>2043</v>
      </c>
      <c r="F355">
        <v>100</v>
      </c>
      <c r="G355">
        <f>(automotive_demand_forecasting_dataset567[[#This Row],[Units_Sold]] -$C$4) / $C$5</f>
        <v>7.1703620942466739E-2</v>
      </c>
      <c r="H355" t="str">
        <f t="shared" ca="1" si="19"/>
        <v>South</v>
      </c>
      <c r="I355">
        <v>35456.550602971343</v>
      </c>
      <c r="J355">
        <v>3.5218012231862268</v>
      </c>
      <c r="K355">
        <v>2.8476764835383364</v>
      </c>
      <c r="L355">
        <v>5.2529686829435915</v>
      </c>
      <c r="M355">
        <v>95686.647249047353</v>
      </c>
      <c r="N355" s="82">
        <v>93</v>
      </c>
      <c r="O355">
        <v>85.051360358538034</v>
      </c>
      <c r="P3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55" t="str">
        <f t="shared" ca="1" si="20"/>
        <v>TV</v>
      </c>
      <c r="R355">
        <f>automotive_demand_forecasting_dataset567[[#This Row],[Units_Sold]]*automotive_demand_forecasting_dataset567[[#This Row],[Average_Price]]</f>
        <v>3545655.0602971343</v>
      </c>
      <c r="S355" t="str">
        <f t="shared" ca="1" si="21"/>
        <v>OK</v>
      </c>
    </row>
    <row r="356" spans="1:19">
      <c r="A356" s="1">
        <v>52355</v>
      </c>
      <c r="B356" t="s">
        <v>10</v>
      </c>
      <c r="C356" t="str">
        <f>TEXT(automotive_demand_forecasting_dataset567[[#This Row],[Date]],"mmmm")</f>
        <v>May</v>
      </c>
      <c r="D356" t="str">
        <f>CHOOSE(MATCH(MONTH(A356), {1,4,7,10}), "Winter", "Spring", "Summer", "Autumn")</f>
        <v>Spring</v>
      </c>
      <c r="E356">
        <f>YEAR(automotive_demand_forecasting_dataset567[[#This Row],[Date]])</f>
        <v>2043</v>
      </c>
      <c r="F356">
        <v>103</v>
      </c>
      <c r="G356">
        <f>(automotive_demand_forecasting_dataset567[[#This Row],[Units_Sold]] -$C$4) / $C$5</f>
        <v>0.37900485355303726</v>
      </c>
      <c r="H356" t="str">
        <f t="shared" ca="1" si="19"/>
        <v>West</v>
      </c>
      <c r="I356">
        <v>33045.690604535885</v>
      </c>
      <c r="J356">
        <v>4.3475255202153766</v>
      </c>
      <c r="K356">
        <v>2.0127714358864477</v>
      </c>
      <c r="L356">
        <v>4.6041059841517136</v>
      </c>
      <c r="M356">
        <v>82540.778190925994</v>
      </c>
      <c r="N356" s="82">
        <v>84</v>
      </c>
      <c r="O356">
        <v>67.074499236276182</v>
      </c>
      <c r="P3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56" t="str">
        <f t="shared" ca="1" si="20"/>
        <v>Print</v>
      </c>
      <c r="R356">
        <f>automotive_demand_forecasting_dataset567[[#This Row],[Units_Sold]]*automotive_demand_forecasting_dataset567[[#This Row],[Average_Price]]</f>
        <v>3403706.1322671962</v>
      </c>
      <c r="S356" t="str">
        <f t="shared" ca="1" si="21"/>
        <v>OK</v>
      </c>
    </row>
    <row r="357" spans="1:19">
      <c r="A357" s="1">
        <v>52385</v>
      </c>
      <c r="B357" t="s">
        <v>12</v>
      </c>
      <c r="C357" t="str">
        <f>TEXT(automotive_demand_forecasting_dataset567[[#This Row],[Date]],"mmmm")</f>
        <v>June</v>
      </c>
      <c r="D357" t="str">
        <f>CHOOSE(MATCH(MONTH(A357), {1,4,7,10}), "Winter", "Spring", "Summer", "Autumn")</f>
        <v>Spring</v>
      </c>
      <c r="E357">
        <f>YEAR(automotive_demand_forecasting_dataset567[[#This Row],[Date]])</f>
        <v>2043</v>
      </c>
      <c r="F357">
        <v>79</v>
      </c>
      <c r="G357">
        <f>(automotive_demand_forecasting_dataset567[[#This Row],[Units_Sold]] -$C$4) / $C$5</f>
        <v>-2.0794050073315269</v>
      </c>
      <c r="H357" t="str">
        <f t="shared" ca="1" si="19"/>
        <v>North</v>
      </c>
      <c r="I357">
        <v>24538.436176637104</v>
      </c>
      <c r="J357">
        <v>3.1886753191327739</v>
      </c>
      <c r="K357">
        <v>1.8242919208383883</v>
      </c>
      <c r="L357">
        <v>5.2878710042610617</v>
      </c>
      <c r="M357">
        <v>117628.15057847142</v>
      </c>
      <c r="N357" s="82">
        <v>90</v>
      </c>
      <c r="O357">
        <v>36.861047954392497</v>
      </c>
      <c r="P3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57" t="str">
        <f t="shared" ca="1" si="20"/>
        <v>Billboards</v>
      </c>
      <c r="R357">
        <f>automotive_demand_forecasting_dataset567[[#This Row],[Units_Sold]]*automotive_demand_forecasting_dataset567[[#This Row],[Average_Price]]</f>
        <v>1938536.4579543313</v>
      </c>
      <c r="S357" t="str">
        <f t="shared" ca="1" si="21"/>
        <v>OK</v>
      </c>
    </row>
    <row r="358" spans="1:19">
      <c r="A358" s="1">
        <v>52415</v>
      </c>
      <c r="B358" t="s">
        <v>11</v>
      </c>
      <c r="C358" t="str">
        <f>TEXT(automotive_demand_forecasting_dataset567[[#This Row],[Date]],"mmmm")</f>
        <v>July</v>
      </c>
      <c r="D358" t="str">
        <f>CHOOSE(MATCH(MONTH(A358), {1,4,7,10}), "Winter", "Spring", "Summer", "Autumn")</f>
        <v>Summer</v>
      </c>
      <c r="E358">
        <f>YEAR(automotive_demand_forecasting_dataset567[[#This Row],[Date]])</f>
        <v>2043</v>
      </c>
      <c r="F358">
        <v>110</v>
      </c>
      <c r="G358">
        <f>(automotive_demand_forecasting_dataset567[[#This Row],[Units_Sold]] -$C$4) / $C$5</f>
        <v>1.0960410629777018</v>
      </c>
      <c r="H358" t="str">
        <f t="shared" ca="1" si="19"/>
        <v>West</v>
      </c>
      <c r="I358">
        <v>28417.957751525992</v>
      </c>
      <c r="J358">
        <v>3.5973037276186215</v>
      </c>
      <c r="K358">
        <v>2.5341524174880248</v>
      </c>
      <c r="L358">
        <f>6.97388673</f>
        <v>6.9738867300000003</v>
      </c>
      <c r="M358">
        <v>114422.70725091163</v>
      </c>
      <c r="N358" s="82">
        <v>95</v>
      </c>
      <c r="O358">
        <v>38.937638068306633</v>
      </c>
      <c r="P3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58" t="str">
        <f t="shared" ca="1" si="20"/>
        <v>Radio</v>
      </c>
      <c r="R358">
        <f>automotive_demand_forecasting_dataset567[[#This Row],[Units_Sold]]*automotive_demand_forecasting_dataset567[[#This Row],[Average_Price]]</f>
        <v>3125975.3526678593</v>
      </c>
      <c r="S358" t="str">
        <f t="shared" ca="1" si="21"/>
        <v>OK</v>
      </c>
    </row>
    <row r="359" spans="1:19">
      <c r="A359" s="1">
        <v>52445</v>
      </c>
      <c r="B359" t="s">
        <v>10</v>
      </c>
      <c r="C359" t="str">
        <f>TEXT(automotive_demand_forecasting_dataset567[[#This Row],[Date]],"mmmm")</f>
        <v>August</v>
      </c>
      <c r="D359" t="str">
        <f>CHOOSE(MATCH(MONTH(A359), {1,4,7,10}), "Winter", "Spring", "Summer", "Autumn")</f>
        <v>Summer</v>
      </c>
      <c r="E359">
        <f>YEAR(automotive_demand_forecasting_dataset567[[#This Row],[Date]])</f>
        <v>2043</v>
      </c>
      <c r="F359">
        <v>95</v>
      </c>
      <c r="G359">
        <f>(automotive_demand_forecasting_dataset567[[#This Row],[Units_Sold]] -$C$4) / $C$5</f>
        <v>-0.44046510007515077</v>
      </c>
      <c r="H359" t="str">
        <f t="shared" ca="1" si="19"/>
        <v>West</v>
      </c>
      <c r="I359">
        <v>36065.488499895917</v>
      </c>
      <c r="J359">
        <v>3.1287647071509759</v>
      </c>
      <c r="K359">
        <v>1.4127540611371974</v>
      </c>
      <c r="L359">
        <v>4.9106155034294741</v>
      </c>
      <c r="M359">
        <v>81674.517988725507</v>
      </c>
      <c r="N359" s="82">
        <v>80</v>
      </c>
      <c r="O359">
        <v>70.242437165562961</v>
      </c>
      <c r="P3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59" t="str">
        <f t="shared" ca="1" si="20"/>
        <v>Online</v>
      </c>
      <c r="R359">
        <f>automotive_demand_forecasting_dataset567[[#This Row],[Units_Sold]]*automotive_demand_forecasting_dataset567[[#This Row],[Average_Price]]</f>
        <v>3426221.4074901119</v>
      </c>
      <c r="S359" t="str">
        <f t="shared" ca="1" si="21"/>
        <v>OK</v>
      </c>
    </row>
    <row r="360" spans="1:19">
      <c r="A360" s="1">
        <v>52475</v>
      </c>
      <c r="B360" t="s">
        <v>10</v>
      </c>
      <c r="C360" t="str">
        <f>TEXT(automotive_demand_forecasting_dataset567[[#This Row],[Date]],"mmmm")</f>
        <v>September</v>
      </c>
      <c r="D360" t="str">
        <f>CHOOSE(MATCH(MONTH(A360), {1,4,7,10}), "Winter", "Spring", "Summer", "Autumn")</f>
        <v>Summer</v>
      </c>
      <c r="E360">
        <f>YEAR(automotive_demand_forecasting_dataset567[[#This Row],[Date]])</f>
        <v>2043</v>
      </c>
      <c r="F360">
        <v>101</v>
      </c>
      <c r="G360">
        <f>(automotive_demand_forecasting_dataset567[[#This Row],[Units_Sold]] -$C$4) / $C$5</f>
        <v>0.17413736514599024</v>
      </c>
      <c r="H360" t="str">
        <f t="shared" ca="1" si="19"/>
        <v>South</v>
      </c>
      <c r="I360">
        <v>30708.584568199523</v>
      </c>
      <c r="J360">
        <v>2.8399887443896472</v>
      </c>
      <c r="K360">
        <v>1.4141748711148145</v>
      </c>
      <c r="L360">
        <v>5.1581494079563948</v>
      </c>
      <c r="M360">
        <v>127108.85602210992</v>
      </c>
      <c r="N360" s="82">
        <v>89</v>
      </c>
      <c r="O360">
        <v>86.395167456995466</v>
      </c>
      <c r="P3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60" t="str">
        <f t="shared" ca="1" si="20"/>
        <v>Billboards</v>
      </c>
      <c r="R360">
        <f>automotive_demand_forecasting_dataset567[[#This Row],[Units_Sold]]*automotive_demand_forecasting_dataset567[[#This Row],[Average_Price]]</f>
        <v>3101567.0413881517</v>
      </c>
      <c r="S360" t="str">
        <f t="shared" ca="1" si="21"/>
        <v>OK</v>
      </c>
    </row>
    <row r="361" spans="1:19">
      <c r="A361" s="1">
        <v>52505</v>
      </c>
      <c r="B361" t="s">
        <v>13</v>
      </c>
      <c r="C361" t="str">
        <f>TEXT(automotive_demand_forecasting_dataset567[[#This Row],[Date]],"mmmm")</f>
        <v>October</v>
      </c>
      <c r="D361" t="str">
        <f>CHOOSE(MATCH(MONTH(A361), {1,4,7,10}), "Winter", "Spring", "Summer", "Autumn")</f>
        <v>Autumn</v>
      </c>
      <c r="E361">
        <f>YEAR(automotive_demand_forecasting_dataset567[[#This Row],[Date]])</f>
        <v>2043</v>
      </c>
      <c r="F361">
        <v>95</v>
      </c>
      <c r="G361">
        <f>(automotive_demand_forecasting_dataset567[[#This Row],[Units_Sold]] -$C$4) / $C$5</f>
        <v>-0.44046510007515077</v>
      </c>
      <c r="H361" t="str">
        <f t="shared" ca="1" si="19"/>
        <v>South</v>
      </c>
      <c r="I361">
        <v>41596.64769990847</v>
      </c>
      <c r="J361">
        <v>3.1941154545473571</v>
      </c>
      <c r="K361">
        <v>3.1793732829565036</v>
      </c>
      <c r="L361">
        <v>5.1925842970055438</v>
      </c>
      <c r="M361">
        <v>123403.97418393208</v>
      </c>
      <c r="N361" s="82">
        <v>93</v>
      </c>
      <c r="O361">
        <v>80.215177969999999</v>
      </c>
      <c r="P3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61" t="str">
        <f t="shared" ca="1" si="20"/>
        <v>Online</v>
      </c>
      <c r="R361">
        <f>automotive_demand_forecasting_dataset567[[#This Row],[Units_Sold]]*automotive_demand_forecasting_dataset567[[#This Row],[Average_Price]]</f>
        <v>3951681.5314913047</v>
      </c>
      <c r="S361" t="str">
        <f t="shared" ca="1" si="21"/>
        <v>OK</v>
      </c>
    </row>
    <row r="362" spans="1:19">
      <c r="A362" s="1">
        <v>52535</v>
      </c>
      <c r="B362" t="s">
        <v>12</v>
      </c>
      <c r="C362" t="str">
        <f>TEXT(automotive_demand_forecasting_dataset567[[#This Row],[Date]],"mmmm")</f>
        <v>October</v>
      </c>
      <c r="D362" t="str">
        <f>CHOOSE(MATCH(MONTH(A362), {1,4,7,10}), "Winter", "Spring", "Summer", "Autumn")</f>
        <v>Autumn</v>
      </c>
      <c r="E362">
        <f>YEAR(automotive_demand_forecasting_dataset567[[#This Row],[Date]])</f>
        <v>2043</v>
      </c>
      <c r="F362">
        <v>107</v>
      </c>
      <c r="G362">
        <f>(automotive_demand_forecasting_dataset567[[#This Row],[Units_Sold]] -$C$4) / $C$5</f>
        <v>0.78873983036713124</v>
      </c>
      <c r="H362" t="str">
        <f t="shared" ca="1" si="19"/>
        <v>South</v>
      </c>
      <c r="I362">
        <v>31966.589196971858</v>
      </c>
      <c r="J362">
        <v>3.4814816014757941</v>
      </c>
      <c r="K362">
        <v>1.3512059648413439</v>
      </c>
      <c r="L362">
        <v>5.2102030649550652</v>
      </c>
      <c r="M362">
        <v>102685.92994495586</v>
      </c>
      <c r="N362" s="82">
        <v>85</v>
      </c>
      <c r="O362">
        <v>40.664034330207379</v>
      </c>
      <c r="P3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62" t="str">
        <f t="shared" ca="1" si="20"/>
        <v>Print</v>
      </c>
      <c r="R362">
        <f>automotive_demand_forecasting_dataset567[[#This Row],[Units_Sold]]*automotive_demand_forecasting_dataset567[[#This Row],[Average_Price]]</f>
        <v>3420425.0440759887</v>
      </c>
      <c r="S362" t="str">
        <f t="shared" ca="1" si="21"/>
        <v>OK</v>
      </c>
    </row>
    <row r="363" spans="1:19">
      <c r="A363" s="1">
        <v>52565</v>
      </c>
      <c r="B363" t="s">
        <v>11</v>
      </c>
      <c r="C363" t="str">
        <f>TEXT(automotive_demand_forecasting_dataset567[[#This Row],[Date]],"mmmm")</f>
        <v>November</v>
      </c>
      <c r="D363" t="str">
        <f>CHOOSE(MATCH(MONTH(A363), {1,4,7,10}), "Winter", "Spring", "Summer", "Autumn")</f>
        <v>Autumn</v>
      </c>
      <c r="E363">
        <f>YEAR(automotive_demand_forecasting_dataset567[[#This Row],[Date]])</f>
        <v>2043</v>
      </c>
      <c r="F363">
        <v>91</v>
      </c>
      <c r="G363">
        <f>(automotive_demand_forecasting_dataset567[[#This Row],[Units_Sold]] -$C$4) / $C$5</f>
        <v>-0.85020007688924482</v>
      </c>
      <c r="H363" t="str">
        <f t="shared" ca="1" si="19"/>
        <v>West</v>
      </c>
      <c r="I363">
        <v>38106.295579999998</v>
      </c>
      <c r="J363">
        <v>3.2853488877413701</v>
      </c>
      <c r="K363">
        <v>3.1663125009092119</v>
      </c>
      <c r="L363">
        <v>5.4258829601678453</v>
      </c>
      <c r="M363">
        <v>101591.95724752072</v>
      </c>
      <c r="N363" s="82">
        <v>81</v>
      </c>
      <c r="O363">
        <v>89.360928552848037</v>
      </c>
      <c r="P3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63" t="str">
        <f t="shared" ca="1" si="20"/>
        <v>Radio</v>
      </c>
      <c r="R363">
        <f>automotive_demand_forecasting_dataset567[[#This Row],[Units_Sold]]*automotive_demand_forecasting_dataset567[[#This Row],[Average_Price]]</f>
        <v>3467672.8977799998</v>
      </c>
      <c r="S363" t="str">
        <f t="shared" ca="1" si="21"/>
        <v>OK</v>
      </c>
    </row>
    <row r="364" spans="1:19">
      <c r="A364" s="1">
        <v>52595</v>
      </c>
      <c r="B364" t="s">
        <v>11</v>
      </c>
      <c r="C364" t="str">
        <f>TEXT(automotive_demand_forecasting_dataset567[[#This Row],[Date]],"mmmm")</f>
        <v>December</v>
      </c>
      <c r="D364" t="str">
        <f>CHOOSE(MATCH(MONTH(A364), {1,4,7,10}), "Winter", "Spring", "Summer", "Autumn")</f>
        <v>Autumn</v>
      </c>
      <c r="E364">
        <f>YEAR(automotive_demand_forecasting_dataset567[[#This Row],[Date]])</f>
        <v>2043</v>
      </c>
      <c r="F364">
        <v>87</v>
      </c>
      <c r="G364">
        <f>(automotive_demand_forecasting_dataset567[[#This Row],[Units_Sold]] -$C$4) / $C$5</f>
        <v>-1.2599350537033389</v>
      </c>
      <c r="H364" t="str">
        <f t="shared" ca="1" si="19"/>
        <v>East</v>
      </c>
      <c r="I364">
        <v>28454.417678987495</v>
      </c>
      <c r="J364">
        <v>3.153789510063072</v>
      </c>
      <c r="K364">
        <v>2.9625912928539511</v>
      </c>
      <c r="L364">
        <v>6.075329821703277</v>
      </c>
      <c r="M364">
        <v>111081.15542231814</v>
      </c>
      <c r="N364" s="82">
        <v>81</v>
      </c>
      <c r="O364">
        <v>80.215177969999999</v>
      </c>
      <c r="P3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64" t="str">
        <f t="shared" ca="1" si="20"/>
        <v>TV</v>
      </c>
      <c r="R364">
        <f>automotive_demand_forecasting_dataset567[[#This Row],[Units_Sold]]*automotive_demand_forecasting_dataset567[[#This Row],[Average_Price]]</f>
        <v>2475534.3380719121</v>
      </c>
      <c r="S364" t="str">
        <f t="shared" ca="1" si="21"/>
        <v>OK</v>
      </c>
    </row>
    <row r="365" spans="1:19">
      <c r="A365" s="1">
        <v>52625</v>
      </c>
      <c r="B365" t="s">
        <v>13</v>
      </c>
      <c r="C365" t="str">
        <f>TEXT(automotive_demand_forecasting_dataset567[[#This Row],[Date]],"mmmm")</f>
        <v>January</v>
      </c>
      <c r="D365" t="str">
        <f>CHOOSE(MATCH(MONTH(A365), {1,4,7,10}), "Winter", "Spring", "Summer", "Autumn")</f>
        <v>Winter</v>
      </c>
      <c r="E365">
        <f>YEAR(automotive_demand_forecasting_dataset567[[#This Row],[Date]])</f>
        <v>2044</v>
      </c>
      <c r="F365">
        <v>100</v>
      </c>
      <c r="G365">
        <f>(automotive_demand_forecasting_dataset567[[#This Row],[Units_Sold]] -$C$4) / $C$5</f>
        <v>7.1703620942466739E-2</v>
      </c>
      <c r="H365" t="str">
        <f t="shared" ca="1" si="19"/>
        <v>North</v>
      </c>
      <c r="I365">
        <v>30667.704523911412</v>
      </c>
      <c r="J365">
        <v>2.7968412681640831</v>
      </c>
      <c r="K365">
        <v>0.77419327120940329</v>
      </c>
      <c r="L365">
        <v>6.5494204889590275</v>
      </c>
      <c r="M365">
        <v>82765.938594874839</v>
      </c>
      <c r="N365" s="82">
        <v>88</v>
      </c>
      <c r="O365">
        <v>55.846838982646119</v>
      </c>
      <c r="P3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65" t="str">
        <f t="shared" ca="1" si="20"/>
        <v>Print</v>
      </c>
      <c r="R365">
        <f>automotive_demand_forecasting_dataset567[[#This Row],[Units_Sold]]*automotive_demand_forecasting_dataset567[[#This Row],[Average_Price]]</f>
        <v>3066770.4523911411</v>
      </c>
      <c r="S365" t="str">
        <f t="shared" ca="1" si="21"/>
        <v>OK</v>
      </c>
    </row>
    <row r="366" spans="1:19">
      <c r="A366" s="1">
        <v>52655</v>
      </c>
      <c r="B366" t="s">
        <v>12</v>
      </c>
      <c r="C366" t="str">
        <f>TEXT(automotive_demand_forecasting_dataset567[[#This Row],[Date]],"mmmm")</f>
        <v>February</v>
      </c>
      <c r="D366" t="str">
        <f>CHOOSE(MATCH(MONTH(A366), {1,4,7,10}), "Winter", "Spring", "Summer", "Autumn")</f>
        <v>Winter</v>
      </c>
      <c r="E366">
        <f>YEAR(automotive_demand_forecasting_dataset567[[#This Row],[Date]])</f>
        <v>2044</v>
      </c>
      <c r="F366">
        <v>117</v>
      </c>
      <c r="G366">
        <f>(automotive_demand_forecasting_dataset567[[#This Row],[Units_Sold]] -$C$4) / $C$5</f>
        <v>1.8130772724023663</v>
      </c>
      <c r="H366" t="str">
        <f t="shared" ca="1" si="19"/>
        <v>North</v>
      </c>
      <c r="I366">
        <v>29237.650818097281</v>
      </c>
      <c r="J366">
        <v>3.4584472136856528</v>
      </c>
      <c r="K366">
        <f t="shared" ref="K366:K367" si="22">3.224108373</f>
        <v>3.224108373</v>
      </c>
      <c r="L366">
        <v>4.7202817277820799</v>
      </c>
      <c r="M366">
        <v>100600.62958328164</v>
      </c>
      <c r="N366" s="82">
        <v>88</v>
      </c>
      <c r="O366">
        <v>59.032015622344147</v>
      </c>
      <c r="P3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66" t="str">
        <f t="shared" ca="1" si="20"/>
        <v>Radio</v>
      </c>
      <c r="R366">
        <f>automotive_demand_forecasting_dataset567[[#This Row],[Units_Sold]]*automotive_demand_forecasting_dataset567[[#This Row],[Average_Price]]</f>
        <v>3420805.145717382</v>
      </c>
      <c r="S366" t="str">
        <f t="shared" ca="1" si="21"/>
        <v>OK</v>
      </c>
    </row>
    <row r="367" spans="1:19">
      <c r="A367" s="1">
        <v>52685</v>
      </c>
      <c r="B367" t="s">
        <v>11</v>
      </c>
      <c r="C367" t="str">
        <f>TEXT(automotive_demand_forecasting_dataset567[[#This Row],[Date]],"mmmm")</f>
        <v>March</v>
      </c>
      <c r="D367" t="str">
        <f>CHOOSE(MATCH(MONTH(A367), {1,4,7,10}), "Winter", "Spring", "Summer", "Autumn")</f>
        <v>Winter</v>
      </c>
      <c r="E367">
        <f>YEAR(automotive_demand_forecasting_dataset567[[#This Row],[Date]])</f>
        <v>2044</v>
      </c>
      <c r="F367">
        <v>102</v>
      </c>
      <c r="G367">
        <f>(automotive_demand_forecasting_dataset567[[#This Row],[Units_Sold]] -$C$4) / $C$5</f>
        <v>0.27657110934951373</v>
      </c>
      <c r="H367" t="str">
        <f t="shared" ca="1" si="19"/>
        <v>South</v>
      </c>
      <c r="I367">
        <v>38106.295579999998</v>
      </c>
      <c r="J367">
        <v>2.7476398129844988</v>
      </c>
      <c r="K367">
        <f t="shared" si="22"/>
        <v>3.224108373</v>
      </c>
      <c r="L367">
        <v>4.0561589735330266</v>
      </c>
      <c r="M367">
        <v>56952.329107816389</v>
      </c>
      <c r="N367" s="82">
        <v>103</v>
      </c>
      <c r="O367">
        <v>80.215177969999999</v>
      </c>
      <c r="P3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67" t="str">
        <f t="shared" ca="1" si="20"/>
        <v>Radio</v>
      </c>
      <c r="R367">
        <f>automotive_demand_forecasting_dataset567[[#This Row],[Units_Sold]]*automotive_demand_forecasting_dataset567[[#This Row],[Average_Price]]</f>
        <v>3886842.14916</v>
      </c>
      <c r="S367" t="str">
        <f t="shared" ca="1" si="21"/>
        <v>OK</v>
      </c>
    </row>
    <row r="368" spans="1:19">
      <c r="A368" s="1">
        <v>52715</v>
      </c>
      <c r="B368" t="s">
        <v>12</v>
      </c>
      <c r="C368" t="str">
        <f>TEXT(automotive_demand_forecasting_dataset567[[#This Row],[Date]],"mmmm")</f>
        <v>April</v>
      </c>
      <c r="D368" t="str">
        <f>CHOOSE(MATCH(MONTH(A368), {1,4,7,10}), "Winter", "Spring", "Summer", "Autumn")</f>
        <v>Spring</v>
      </c>
      <c r="E368">
        <f>YEAR(automotive_demand_forecasting_dataset567[[#This Row],[Date]])</f>
        <v>2044</v>
      </c>
      <c r="F368">
        <v>88</v>
      </c>
      <c r="G368">
        <f>(automotive_demand_forecasting_dataset567[[#This Row],[Units_Sold]] -$C$4) / $C$5</f>
        <v>-1.1575013094998152</v>
      </c>
      <c r="H368" t="str">
        <f t="shared" ca="1" si="19"/>
        <v>South</v>
      </c>
      <c r="I368">
        <v>34783.511583972919</v>
      </c>
      <c r="J368">
        <v>3.8800279818448011</v>
      </c>
      <c r="K368">
        <v>1.5188344688603184</v>
      </c>
      <c r="L368">
        <v>4.2495467053082763</v>
      </c>
      <c r="M368">
        <v>117529.11291005871</v>
      </c>
      <c r="N368" s="82">
        <v>91</v>
      </c>
      <c r="O368">
        <v>70.144210405187522</v>
      </c>
      <c r="P3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68" t="str">
        <f t="shared" ca="1" si="20"/>
        <v>Billboards</v>
      </c>
      <c r="R368">
        <f>automotive_demand_forecasting_dataset567[[#This Row],[Units_Sold]]*automotive_demand_forecasting_dataset567[[#This Row],[Average_Price]]</f>
        <v>3060949.0193896168</v>
      </c>
      <c r="S368" t="str">
        <f t="shared" ca="1" si="21"/>
        <v>OK</v>
      </c>
    </row>
    <row r="369" spans="1:19">
      <c r="A369" s="1">
        <v>52745</v>
      </c>
      <c r="B369" t="s">
        <v>11</v>
      </c>
      <c r="C369" t="str">
        <f>TEXT(automotive_demand_forecasting_dataset567[[#This Row],[Date]],"mmmm")</f>
        <v>May</v>
      </c>
      <c r="D369" t="str">
        <f>CHOOSE(MATCH(MONTH(A369), {1,4,7,10}), "Winter", "Spring", "Summer", "Autumn")</f>
        <v>Spring</v>
      </c>
      <c r="E369">
        <f>YEAR(automotive_demand_forecasting_dataset567[[#This Row],[Date]])</f>
        <v>2044</v>
      </c>
      <c r="F369">
        <v>100</v>
      </c>
      <c r="G369">
        <f>(automotive_demand_forecasting_dataset567[[#This Row],[Units_Sold]] -$C$4) / $C$5</f>
        <v>7.1703620942466739E-2</v>
      </c>
      <c r="H369" t="str">
        <f t="shared" ca="1" si="19"/>
        <v>West</v>
      </c>
      <c r="I369">
        <v>26070.052697460254</v>
      </c>
      <c r="J369">
        <v>3.5412198764672516</v>
      </c>
      <c r="K369">
        <v>2.0355957376906124</v>
      </c>
      <c r="L369">
        <v>4.9153564945660877</v>
      </c>
      <c r="M369">
        <v>68770.135551162821</v>
      </c>
      <c r="N369" s="82">
        <f>111.9136842</f>
        <v>111.91368420000001</v>
      </c>
      <c r="O369">
        <v>48.699400843431093</v>
      </c>
      <c r="P3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69" t="str">
        <f t="shared" ca="1" si="20"/>
        <v>Print</v>
      </c>
      <c r="R369">
        <f>automotive_demand_forecasting_dataset567[[#This Row],[Units_Sold]]*automotive_demand_forecasting_dataset567[[#This Row],[Average_Price]]</f>
        <v>2607005.2697460256</v>
      </c>
      <c r="S369" t="str">
        <f t="shared" ca="1" si="21"/>
        <v>OK</v>
      </c>
    </row>
    <row r="370" spans="1:19">
      <c r="A370" s="1">
        <v>52775</v>
      </c>
      <c r="B370" t="s">
        <v>13</v>
      </c>
      <c r="C370" t="str">
        <f>TEXT(automotive_demand_forecasting_dataset567[[#This Row],[Date]],"mmmm")</f>
        <v>June</v>
      </c>
      <c r="D370" t="str">
        <f>CHOOSE(MATCH(MONTH(A370), {1,4,7,10}), "Winter", "Spring", "Summer", "Autumn")</f>
        <v>Spring</v>
      </c>
      <c r="E370">
        <f>YEAR(automotive_demand_forecasting_dataset567[[#This Row],[Date]])</f>
        <v>2044</v>
      </c>
      <c r="F370">
        <v>81</v>
      </c>
      <c r="G370">
        <f>(automotive_demand_forecasting_dataset567[[#This Row],[Units_Sold]] -$C$4) / $C$5</f>
        <v>-1.87453751892448</v>
      </c>
      <c r="H370" t="str">
        <f t="shared" ca="1" si="19"/>
        <v>North</v>
      </c>
      <c r="I370">
        <v>23343.83523221111</v>
      </c>
      <c r="J370">
        <v>2.7712242502675348</v>
      </c>
      <c r="K370">
        <v>2.9620608932518966</v>
      </c>
      <c r="L370">
        <v>5.0776944186201893</v>
      </c>
      <c r="M370">
        <v>130068.39656857998</v>
      </c>
      <c r="N370" s="82">
        <v>95</v>
      </c>
      <c r="O370">
        <v>99.651614133947945</v>
      </c>
      <c r="P3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70" t="str">
        <f t="shared" ca="1" si="20"/>
        <v>Radio</v>
      </c>
      <c r="R370">
        <f>automotive_demand_forecasting_dataset567[[#This Row],[Units_Sold]]*automotive_demand_forecasting_dataset567[[#This Row],[Average_Price]]</f>
        <v>1890850.6538090999</v>
      </c>
      <c r="S370" t="str">
        <f t="shared" ca="1" si="21"/>
        <v>OK</v>
      </c>
    </row>
    <row r="371" spans="1:19">
      <c r="A371" s="1">
        <v>52805</v>
      </c>
      <c r="B371" t="s">
        <v>14</v>
      </c>
      <c r="C371" t="str">
        <f>TEXT(automotive_demand_forecasting_dataset567[[#This Row],[Date]],"mmmm")</f>
        <v>July</v>
      </c>
      <c r="D371" t="str">
        <f>CHOOSE(MATCH(MONTH(A371), {1,4,7,10}), "Winter", "Spring", "Summer", "Autumn")</f>
        <v>Summer</v>
      </c>
      <c r="E371">
        <f>YEAR(automotive_demand_forecasting_dataset567[[#This Row],[Date]])</f>
        <v>2044</v>
      </c>
      <c r="F371">
        <v>91</v>
      </c>
      <c r="G371">
        <f>(automotive_demand_forecasting_dataset567[[#This Row],[Units_Sold]] -$C$4) / $C$5</f>
        <v>-0.85020007688924482</v>
      </c>
      <c r="H371" s="157" t="str">
        <f t="shared" ca="1" si="19"/>
        <v>West</v>
      </c>
      <c r="I371">
        <v>20818.973134483516</v>
      </c>
      <c r="J371">
        <v>3.3453954614750683</v>
      </c>
      <c r="K371">
        <v>3.2833905092825955</v>
      </c>
      <c r="L371">
        <v>4.5760047205630512</v>
      </c>
      <c r="M371">
        <v>93397.598120670998</v>
      </c>
      <c r="N371" s="82">
        <v>109</v>
      </c>
      <c r="O371">
        <v>58.414681220951024</v>
      </c>
      <c r="P3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71" t="str">
        <f t="shared" ca="1" si="20"/>
        <v>TV</v>
      </c>
      <c r="R371" s="157">
        <f>automotive_demand_forecasting_dataset567[[#This Row],[Units_Sold]]*automotive_demand_forecasting_dataset567[[#This Row],[Average_Price]]</f>
        <v>1894526.5552379999</v>
      </c>
      <c r="S371" t="str">
        <f t="shared" ca="1" si="21"/>
        <v>OK</v>
      </c>
    </row>
    <row r="372" spans="1:19">
      <c r="A372" s="1">
        <v>52835</v>
      </c>
      <c r="B372" t="s">
        <v>11</v>
      </c>
      <c r="C372" t="str">
        <f>TEXT(automotive_demand_forecasting_dataset567[[#This Row],[Date]],"mmmm")</f>
        <v>August</v>
      </c>
      <c r="D372" t="str">
        <f>CHOOSE(MATCH(MONTH(A372), {1,4,7,10}), "Winter", "Spring", "Summer", "Autumn")</f>
        <v>Summer</v>
      </c>
      <c r="E372">
        <f>YEAR(automotive_demand_forecasting_dataset567[[#This Row],[Date]])</f>
        <v>2044</v>
      </c>
      <c r="F372">
        <v>90</v>
      </c>
      <c r="G372">
        <f>(automotive_demand_forecasting_dataset567[[#This Row],[Units_Sold]] -$C$4) / $C$5</f>
        <v>-0.95263382109276828</v>
      </c>
      <c r="H372" t="str">
        <f t="shared" ca="1" si="19"/>
        <v>North</v>
      </c>
      <c r="I372">
        <v>32539.956634562717</v>
      </c>
      <c r="J372">
        <v>3.1239217972047086</v>
      </c>
      <c r="K372">
        <f>3.224108373</f>
        <v>3.224108373</v>
      </c>
      <c r="L372">
        <v>3.9446600029001266</v>
      </c>
      <c r="M372">
        <v>95766.66036137646</v>
      </c>
      <c r="N372" s="82">
        <v>85</v>
      </c>
      <c r="O372">
        <v>58.870848495169056</v>
      </c>
      <c r="P3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72" t="str">
        <f t="shared" ca="1" si="20"/>
        <v>Online</v>
      </c>
      <c r="R372">
        <f>automotive_demand_forecasting_dataset567[[#This Row],[Units_Sold]]*automotive_demand_forecasting_dataset567[[#This Row],[Average_Price]]</f>
        <v>2928596.0971106444</v>
      </c>
      <c r="S372" t="str">
        <f t="shared" ca="1" si="21"/>
        <v>OK</v>
      </c>
    </row>
    <row r="373" spans="1:19">
      <c r="A373" s="1">
        <v>52865</v>
      </c>
      <c r="B373" t="s">
        <v>10</v>
      </c>
      <c r="C373" t="str">
        <f>TEXT(automotive_demand_forecasting_dataset567[[#This Row],[Date]],"mmmm")</f>
        <v>September</v>
      </c>
      <c r="D373" t="str">
        <f>CHOOSE(MATCH(MONTH(A373), {1,4,7,10}), "Winter", "Spring", "Summer", "Autumn")</f>
        <v>Summer</v>
      </c>
      <c r="E373">
        <f>YEAR(automotive_demand_forecasting_dataset567[[#This Row],[Date]])</f>
        <v>2044</v>
      </c>
      <c r="F373">
        <v>102</v>
      </c>
      <c r="G373">
        <f>(automotive_demand_forecasting_dataset567[[#This Row],[Units_Sold]] -$C$4) / $C$5</f>
        <v>0.27657110934951373</v>
      </c>
      <c r="H373" t="str">
        <f t="shared" ca="1" si="19"/>
        <v>North</v>
      </c>
      <c r="I373">
        <v>24483.166969130631</v>
      </c>
      <c r="J373">
        <v>3.6595872552095901</v>
      </c>
      <c r="K373">
        <v>1.9024898053083583</v>
      </c>
      <c r="L373">
        <v>4.9526550070309741</v>
      </c>
      <c r="M373">
        <v>87445.321878309886</v>
      </c>
      <c r="N373" s="82">
        <v>81</v>
      </c>
      <c r="O373">
        <v>65.268142992853754</v>
      </c>
      <c r="P3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73" t="str">
        <f t="shared" ca="1" si="20"/>
        <v>Print</v>
      </c>
      <c r="R373">
        <f>automotive_demand_forecasting_dataset567[[#This Row],[Units_Sold]]*automotive_demand_forecasting_dataset567[[#This Row],[Average_Price]]</f>
        <v>2497283.0308513241</v>
      </c>
      <c r="S373" t="str">
        <f t="shared" ca="1" si="21"/>
        <v>OK</v>
      </c>
    </row>
    <row r="374" spans="1:19">
      <c r="A374" s="1">
        <v>52895</v>
      </c>
      <c r="B374" t="s">
        <v>10</v>
      </c>
      <c r="C374" t="str">
        <f>TEXT(automotive_demand_forecasting_dataset567[[#This Row],[Date]],"mmmm")</f>
        <v>October</v>
      </c>
      <c r="D374" t="str">
        <f>CHOOSE(MATCH(MONTH(A374), {1,4,7,10}), "Winter", "Spring", "Summer", "Autumn")</f>
        <v>Autumn</v>
      </c>
      <c r="E374">
        <f>YEAR(automotive_demand_forecasting_dataset567[[#This Row],[Date]])</f>
        <v>2044</v>
      </c>
      <c r="F374">
        <v>109</v>
      </c>
      <c r="G374">
        <f>(automotive_demand_forecasting_dataset567[[#This Row],[Units_Sold]] -$C$4) / $C$5</f>
        <v>0.99360731877417829</v>
      </c>
      <c r="H374" t="str">
        <f t="shared" ca="1" si="19"/>
        <v>North</v>
      </c>
      <c r="I374">
        <v>19235.547035237585</v>
      </c>
      <c r="J374">
        <v>4.1702252230115722</v>
      </c>
      <c r="K374">
        <v>3.9223698616985079</v>
      </c>
      <c r="L374">
        <v>5.7177119441367656</v>
      </c>
      <c r="M374">
        <v>94239.222521558477</v>
      </c>
      <c r="N374" s="82">
        <v>97</v>
      </c>
      <c r="O374">
        <v>93.340480249499734</v>
      </c>
      <c r="P3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74" t="str">
        <f t="shared" ca="1" si="20"/>
        <v>Billboards</v>
      </c>
      <c r="R374">
        <f>automotive_demand_forecasting_dataset567[[#This Row],[Units_Sold]]*automotive_demand_forecasting_dataset567[[#This Row],[Average_Price]]</f>
        <v>2096674.6268408967</v>
      </c>
      <c r="S374" t="str">
        <f t="shared" ca="1" si="21"/>
        <v>OK</v>
      </c>
    </row>
    <row r="375" spans="1:19">
      <c r="A375" s="1">
        <v>52925</v>
      </c>
      <c r="B375" t="s">
        <v>14</v>
      </c>
      <c r="C375" t="str">
        <f>TEXT(automotive_demand_forecasting_dataset567[[#This Row],[Date]],"mmmm")</f>
        <v>November</v>
      </c>
      <c r="D375" t="str">
        <f>CHOOSE(MATCH(MONTH(A375), {1,4,7,10}), "Winter", "Spring", "Summer", "Autumn")</f>
        <v>Autumn</v>
      </c>
      <c r="E375">
        <f>YEAR(automotive_demand_forecasting_dataset567[[#This Row],[Date]])</f>
        <v>2044</v>
      </c>
      <c r="F375">
        <v>101</v>
      </c>
      <c r="G375">
        <f>(automotive_demand_forecasting_dataset567[[#This Row],[Units_Sold]] -$C$4) / $C$5</f>
        <v>0.17413736514599024</v>
      </c>
      <c r="H375" s="157" t="str">
        <f t="shared" ca="1" si="19"/>
        <v>East</v>
      </c>
      <c r="I375">
        <v>31942.893022654822</v>
      </c>
      <c r="J375">
        <v>2.5624137651771277</v>
      </c>
      <c r="K375">
        <v>4.2388996637975787</v>
      </c>
      <c r="L375">
        <v>6.2140353590026773</v>
      </c>
      <c r="M375">
        <v>128370.62690296074</v>
      </c>
      <c r="N375" s="82">
        <v>87</v>
      </c>
      <c r="O375">
        <v>84.065447988780022</v>
      </c>
      <c r="P3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75" t="str">
        <f t="shared" ca="1" si="20"/>
        <v>Print</v>
      </c>
      <c r="R375" s="157">
        <f>automotive_demand_forecasting_dataset567[[#This Row],[Units_Sold]]*automotive_demand_forecasting_dataset567[[#This Row],[Average_Price]]</f>
        <v>3226232.1952881371</v>
      </c>
      <c r="S375" t="str">
        <f t="shared" ca="1" si="21"/>
        <v>OK</v>
      </c>
    </row>
    <row r="376" spans="1:19">
      <c r="A376" s="1">
        <v>52955</v>
      </c>
      <c r="B376" t="s">
        <v>11</v>
      </c>
      <c r="C376" t="str">
        <f>TEXT(automotive_demand_forecasting_dataset567[[#This Row],[Date]],"mmmm")</f>
        <v>December</v>
      </c>
      <c r="D376" t="str">
        <f>CHOOSE(MATCH(MONTH(A376), {1,4,7,10}), "Winter", "Spring", "Summer", "Autumn")</f>
        <v>Autumn</v>
      </c>
      <c r="E376">
        <f>YEAR(automotive_demand_forecasting_dataset567[[#This Row],[Date]])</f>
        <v>2044</v>
      </c>
      <c r="F376">
        <v>97</v>
      </c>
      <c r="G376">
        <f>(automotive_demand_forecasting_dataset567[[#This Row],[Units_Sold]] -$C$4) / $C$5</f>
        <v>-0.23559761166810378</v>
      </c>
      <c r="H376" t="str">
        <f t="shared" ca="1" si="19"/>
        <v>West</v>
      </c>
      <c r="I376">
        <v>42464.997587163954</v>
      </c>
      <c r="J376">
        <v>3.5380713799999999</v>
      </c>
      <c r="K376">
        <v>3.4788580507817954</v>
      </c>
      <c r="L376">
        <v>4.8310923362700144</v>
      </c>
      <c r="M376">
        <v>50243.826869298413</v>
      </c>
      <c r="N376" s="82">
        <v>94</v>
      </c>
      <c r="O376">
        <v>56.090405583827312</v>
      </c>
      <c r="P3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76" t="str">
        <f t="shared" ca="1" si="20"/>
        <v>Online</v>
      </c>
      <c r="R376">
        <f>automotive_demand_forecasting_dataset567[[#This Row],[Units_Sold]]*automotive_demand_forecasting_dataset567[[#This Row],[Average_Price]]</f>
        <v>4119104.7659549038</v>
      </c>
      <c r="S376" t="str">
        <f t="shared" ca="1" si="21"/>
        <v>OK</v>
      </c>
    </row>
    <row r="377" spans="1:19">
      <c r="A377" s="1">
        <v>52985</v>
      </c>
      <c r="B377" t="s">
        <v>10</v>
      </c>
      <c r="C377" t="str">
        <f>TEXT(automotive_demand_forecasting_dataset567[[#This Row],[Date]],"mmmm")</f>
        <v>January</v>
      </c>
      <c r="D377" t="str">
        <f>CHOOSE(MATCH(MONTH(A377), {1,4,7,10}), "Winter", "Spring", "Summer", "Autumn")</f>
        <v>Winter</v>
      </c>
      <c r="E377">
        <f>YEAR(automotive_demand_forecasting_dataset567[[#This Row],[Date]])</f>
        <v>2045</v>
      </c>
      <c r="F377">
        <v>88</v>
      </c>
      <c r="G377">
        <f>(automotive_demand_forecasting_dataset567[[#This Row],[Units_Sold]] -$C$4) / $C$5</f>
        <v>-1.1575013094998152</v>
      </c>
      <c r="H377" t="str">
        <f t="shared" ca="1" si="19"/>
        <v>South</v>
      </c>
      <c r="I377">
        <v>29969.645442300534</v>
      </c>
      <c r="J377">
        <v>3.41993360221668</v>
      </c>
      <c r="K377">
        <v>2.5853181425650242</v>
      </c>
      <c r="L377">
        <v>5.004402613427879</v>
      </c>
      <c r="M377">
        <v>125539.30772176376</v>
      </c>
      <c r="N377" s="82">
        <v>90</v>
      </c>
      <c r="O377">
        <v>77.495941277823675</v>
      </c>
      <c r="P3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77" t="str">
        <f t="shared" ca="1" si="20"/>
        <v>Online</v>
      </c>
      <c r="R377">
        <f>automotive_demand_forecasting_dataset567[[#This Row],[Units_Sold]]*automotive_demand_forecasting_dataset567[[#This Row],[Average_Price]]</f>
        <v>2637328.798922447</v>
      </c>
      <c r="S377" t="str">
        <f t="shared" ca="1" si="21"/>
        <v>OK</v>
      </c>
    </row>
    <row r="378" spans="1:19">
      <c r="A378" s="1">
        <v>53015</v>
      </c>
      <c r="B378" t="s">
        <v>10</v>
      </c>
      <c r="C378" t="str">
        <f>TEXT(automotive_demand_forecasting_dataset567[[#This Row],[Date]],"mmmm")</f>
        <v>February</v>
      </c>
      <c r="D378" t="str">
        <f>CHOOSE(MATCH(MONTH(A378), {1,4,7,10}), "Winter", "Spring", "Summer", "Autumn")</f>
        <v>Winter</v>
      </c>
      <c r="E378">
        <f>YEAR(automotive_demand_forecasting_dataset567[[#This Row],[Date]])</f>
        <v>2045</v>
      </c>
      <c r="F378">
        <v>100</v>
      </c>
      <c r="G378">
        <f>(automotive_demand_forecasting_dataset567[[#This Row],[Units_Sold]] -$C$4) / $C$5</f>
        <v>7.1703620942466739E-2</v>
      </c>
      <c r="H378" t="str">
        <f t="shared" ca="1" si="19"/>
        <v>West</v>
      </c>
      <c r="I378">
        <v>34192.453872258207</v>
      </c>
      <c r="J378">
        <v>3.8356700382252327</v>
      </c>
      <c r="K378">
        <v>1.6917342783590736</v>
      </c>
      <c r="L378">
        <v>4.3879620293832273</v>
      </c>
      <c r="M378">
        <v>106760.46962203416</v>
      </c>
      <c r="N378" s="82">
        <f>111.9136842</f>
        <v>111.91368420000001</v>
      </c>
      <c r="O378">
        <v>66.898839902460935</v>
      </c>
      <c r="P3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78" t="str">
        <f t="shared" ca="1" si="20"/>
        <v>Online</v>
      </c>
      <c r="R378">
        <f>automotive_demand_forecasting_dataset567[[#This Row],[Units_Sold]]*automotive_demand_forecasting_dataset567[[#This Row],[Average_Price]]</f>
        <v>3419245.3872258207</v>
      </c>
      <c r="S378" t="str">
        <f t="shared" ca="1" si="21"/>
        <v>OK</v>
      </c>
    </row>
    <row r="379" spans="1:19">
      <c r="A379" s="1">
        <v>53045</v>
      </c>
      <c r="B379" t="s">
        <v>11</v>
      </c>
      <c r="C379" t="str">
        <f>TEXT(automotive_demand_forecasting_dataset567[[#This Row],[Date]],"mmmm")</f>
        <v>March</v>
      </c>
      <c r="D379" t="str">
        <f>CHOOSE(MATCH(MONTH(A379), {1,4,7,10}), "Winter", "Spring", "Summer", "Autumn")</f>
        <v>Winter</v>
      </c>
      <c r="E379">
        <f>YEAR(automotive_demand_forecasting_dataset567[[#This Row],[Date]])</f>
        <v>2045</v>
      </c>
      <c r="F379">
        <v>104</v>
      </c>
      <c r="G379">
        <f>(automotive_demand_forecasting_dataset567[[#This Row],[Units_Sold]] -$C$4) / $C$5</f>
        <v>0.48143859775656078</v>
      </c>
      <c r="H379" t="str">
        <f t="shared" ca="1" si="19"/>
        <v>South</v>
      </c>
      <c r="I379">
        <v>30409.146792737825</v>
      </c>
      <c r="J379">
        <v>4.5778345189999996</v>
      </c>
      <c r="K379">
        <v>1.6695555934434347</v>
      </c>
      <c r="L379">
        <v>5.4622729955502685</v>
      </c>
      <c r="M379">
        <v>75859.567042855691</v>
      </c>
      <c r="N379" s="82">
        <v>111</v>
      </c>
      <c r="O379">
        <v>59.389363896099916</v>
      </c>
      <c r="P3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79" t="str">
        <f t="shared" ca="1" si="20"/>
        <v>Radio</v>
      </c>
      <c r="R379">
        <f>automotive_demand_forecasting_dataset567[[#This Row],[Units_Sold]]*automotive_demand_forecasting_dataset567[[#This Row],[Average_Price]]</f>
        <v>3162551.2664447338</v>
      </c>
      <c r="S379" t="str">
        <f t="shared" ca="1" si="21"/>
        <v>OK</v>
      </c>
    </row>
    <row r="380" spans="1:19">
      <c r="A380" s="1">
        <v>53075</v>
      </c>
      <c r="B380" t="s">
        <v>12</v>
      </c>
      <c r="C380" t="str">
        <f>TEXT(automotive_demand_forecasting_dataset567[[#This Row],[Date]],"mmmm")</f>
        <v>April</v>
      </c>
      <c r="D380" t="str">
        <f>CHOOSE(MATCH(MONTH(A380), {1,4,7,10}), "Winter", "Spring", "Summer", "Autumn")</f>
        <v>Spring</v>
      </c>
      <c r="E380">
        <f>YEAR(automotive_demand_forecasting_dataset567[[#This Row],[Date]])</f>
        <v>2045</v>
      </c>
      <c r="F380">
        <v>106</v>
      </c>
      <c r="G380">
        <f>(automotive_demand_forecasting_dataset567[[#This Row],[Units_Sold]] -$C$4) / $C$5</f>
        <v>0.68630608616360778</v>
      </c>
      <c r="H380" t="str">
        <f t="shared" ca="1" si="19"/>
        <v>West</v>
      </c>
      <c r="I380">
        <v>29505.551734044286</v>
      </c>
      <c r="J380">
        <v>3.1240153341305903</v>
      </c>
      <c r="K380">
        <v>3.0225141052657576</v>
      </c>
      <c r="L380">
        <v>4.481885638971022</v>
      </c>
      <c r="M380">
        <v>78493.75213901524</v>
      </c>
      <c r="N380" s="82">
        <v>85</v>
      </c>
      <c r="O380">
        <v>35.385261822748042</v>
      </c>
      <c r="P3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80" t="str">
        <f t="shared" ca="1" si="20"/>
        <v>Print</v>
      </c>
      <c r="R380">
        <f>automotive_demand_forecasting_dataset567[[#This Row],[Units_Sold]]*automotive_demand_forecasting_dataset567[[#This Row],[Average_Price]]</f>
        <v>3127588.4838086944</v>
      </c>
      <c r="S380" t="str">
        <f t="shared" ca="1" si="21"/>
        <v>OK</v>
      </c>
    </row>
    <row r="381" spans="1:19">
      <c r="A381" s="1">
        <v>53105</v>
      </c>
      <c r="B381" t="s">
        <v>11</v>
      </c>
      <c r="C381" t="str">
        <f>TEXT(automotive_demand_forecasting_dataset567[[#This Row],[Date]],"mmmm")</f>
        <v>May</v>
      </c>
      <c r="D381" t="str">
        <f>CHOOSE(MATCH(MONTH(A381), {1,4,7,10}), "Winter", "Spring", "Summer", "Autumn")</f>
        <v>Spring</v>
      </c>
      <c r="E381">
        <f>YEAR(automotive_demand_forecasting_dataset567[[#This Row],[Date]])</f>
        <v>2045</v>
      </c>
      <c r="F381">
        <v>91</v>
      </c>
      <c r="G381">
        <f>(automotive_demand_forecasting_dataset567[[#This Row],[Units_Sold]] -$C$4) / $C$5</f>
        <v>-0.85020007688924482</v>
      </c>
      <c r="H381" t="str">
        <f t="shared" ca="1" si="19"/>
        <v>North</v>
      </c>
      <c r="I381">
        <v>34595.382414938846</v>
      </c>
      <c r="J381">
        <v>3.3404730321666909</v>
      </c>
      <c r="K381">
        <v>2.9183982208886836</v>
      </c>
      <c r="L381">
        <f>6.97388673</f>
        <v>6.9738867300000003</v>
      </c>
      <c r="M381">
        <v>133527.86054416405</v>
      </c>
      <c r="N381" s="82">
        <v>87</v>
      </c>
      <c r="O381">
        <v>57.114901076391277</v>
      </c>
      <c r="P3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81" t="str">
        <f t="shared" ca="1" si="20"/>
        <v>Radio</v>
      </c>
      <c r="R381">
        <f>automotive_demand_forecasting_dataset567[[#This Row],[Units_Sold]]*automotive_demand_forecasting_dataset567[[#This Row],[Average_Price]]</f>
        <v>3148179.799759435</v>
      </c>
      <c r="S381" t="str">
        <f t="shared" ca="1" si="21"/>
        <v>OK</v>
      </c>
    </row>
    <row r="382" spans="1:19">
      <c r="A382" s="1">
        <v>53135</v>
      </c>
      <c r="B382" t="s">
        <v>12</v>
      </c>
      <c r="C382" t="str">
        <f>TEXT(automotive_demand_forecasting_dataset567[[#This Row],[Date]],"mmmm")</f>
        <v>June</v>
      </c>
      <c r="D382" t="str">
        <f>CHOOSE(MATCH(MONTH(A382), {1,4,7,10}), "Winter", "Spring", "Summer", "Autumn")</f>
        <v>Spring</v>
      </c>
      <c r="E382">
        <f>YEAR(automotive_demand_forecasting_dataset567[[#This Row],[Date]])</f>
        <v>2045</v>
      </c>
      <c r="F382">
        <v>110</v>
      </c>
      <c r="G382">
        <f>(automotive_demand_forecasting_dataset567[[#This Row],[Units_Sold]] -$C$4) / $C$5</f>
        <v>1.0960410629777018</v>
      </c>
      <c r="H382" t="str">
        <f t="shared" ca="1" si="19"/>
        <v>East</v>
      </c>
      <c r="I382">
        <v>28548.627279056742</v>
      </c>
      <c r="J382">
        <v>3.1019870715982556</v>
      </c>
      <c r="K382">
        <v>3.9015985929464296</v>
      </c>
      <c r="L382">
        <v>3.3569602096790665</v>
      </c>
      <c r="M382">
        <v>81089.862401145379</v>
      </c>
      <c r="N382" s="82">
        <v>88</v>
      </c>
      <c r="O382">
        <v>39.665486961805968</v>
      </c>
      <c r="P3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82" t="str">
        <f t="shared" ca="1" si="20"/>
        <v>TV</v>
      </c>
      <c r="R382">
        <f>automotive_demand_forecasting_dataset567[[#This Row],[Units_Sold]]*automotive_demand_forecasting_dataset567[[#This Row],[Average_Price]]</f>
        <v>3140349.0006962414</v>
      </c>
      <c r="S382" t="str">
        <f t="shared" ca="1" si="21"/>
        <v>OK</v>
      </c>
    </row>
    <row r="383" spans="1:19">
      <c r="A383" s="1">
        <v>53165</v>
      </c>
      <c r="B383" t="s">
        <v>14</v>
      </c>
      <c r="C383" t="str">
        <f>TEXT(automotive_demand_forecasting_dataset567[[#This Row],[Date]],"mmmm")</f>
        <v>July</v>
      </c>
      <c r="D383" t="str">
        <f>CHOOSE(MATCH(MONTH(A383), {1,4,7,10}), "Winter", "Spring", "Summer", "Autumn")</f>
        <v>Summer</v>
      </c>
      <c r="E383">
        <f>YEAR(automotive_demand_forecasting_dataset567[[#This Row],[Date]])</f>
        <v>2045</v>
      </c>
      <c r="F383">
        <v>104</v>
      </c>
      <c r="G383">
        <f>(automotive_demand_forecasting_dataset567[[#This Row],[Units_Sold]] -$C$4) / $C$5</f>
        <v>0.48143859775656078</v>
      </c>
      <c r="H383" s="157" t="str">
        <f t="shared" ca="1" si="19"/>
        <v>West</v>
      </c>
      <c r="I383">
        <v>31336.961570359515</v>
      </c>
      <c r="J383">
        <v>4.038003569299299</v>
      </c>
      <c r="K383">
        <v>3.1504500925361389</v>
      </c>
      <c r="L383">
        <v>5.0684443930570451</v>
      </c>
      <c r="M383">
        <v>76932.989788080813</v>
      </c>
      <c r="N383" s="82">
        <v>82</v>
      </c>
      <c r="O383">
        <v>93.187371988132369</v>
      </c>
      <c r="P3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83" t="str">
        <f t="shared" ca="1" si="20"/>
        <v>Print</v>
      </c>
      <c r="R383" s="157">
        <f>automotive_demand_forecasting_dataset567[[#This Row],[Units_Sold]]*automotive_demand_forecasting_dataset567[[#This Row],[Average_Price]]</f>
        <v>3259044.0033173896</v>
      </c>
      <c r="S383" t="str">
        <f t="shared" ca="1" si="21"/>
        <v>OK</v>
      </c>
    </row>
    <row r="384" spans="1:19">
      <c r="A384" s="1">
        <v>53195</v>
      </c>
      <c r="B384" t="s">
        <v>13</v>
      </c>
      <c r="C384" t="str">
        <f>TEXT(automotive_demand_forecasting_dataset567[[#This Row],[Date]],"mmmm")</f>
        <v>August</v>
      </c>
      <c r="D384" t="str">
        <f>CHOOSE(MATCH(MONTH(A384), {1,4,7,10}), "Winter", "Spring", "Summer", "Autumn")</f>
        <v>Summer</v>
      </c>
      <c r="E384">
        <f>YEAR(automotive_demand_forecasting_dataset567[[#This Row],[Date]])</f>
        <v>2045</v>
      </c>
      <c r="F384">
        <v>85</v>
      </c>
      <c r="G384">
        <f>(automotive_demand_forecasting_dataset567[[#This Row],[Units_Sold]] -$C$4) / $C$5</f>
        <v>-1.4648025421103859</v>
      </c>
      <c r="H384" t="str">
        <f t="shared" ca="1" si="19"/>
        <v>South</v>
      </c>
      <c r="I384">
        <v>31608.489030980068</v>
      </c>
      <c r="J384">
        <v>3.5106558243359709</v>
      </c>
      <c r="K384">
        <v>0.99691969824018201</v>
      </c>
      <c r="L384">
        <v>5.8613288070300902</v>
      </c>
      <c r="M384">
        <v>122746.29084729459</v>
      </c>
      <c r="N384" s="82">
        <v>84</v>
      </c>
      <c r="O384">
        <v>46.832545079707756</v>
      </c>
      <c r="P3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84" t="str">
        <f t="shared" ca="1" si="20"/>
        <v>Billboards</v>
      </c>
      <c r="R384">
        <f>automotive_demand_forecasting_dataset567[[#This Row],[Units_Sold]]*automotive_demand_forecasting_dataset567[[#This Row],[Average_Price]]</f>
        <v>2686721.5676333057</v>
      </c>
      <c r="S384" t="str">
        <f t="shared" ca="1" si="21"/>
        <v>OK</v>
      </c>
    </row>
    <row r="385" spans="1:19">
      <c r="A385" s="1">
        <v>53225</v>
      </c>
      <c r="B385" t="s">
        <v>14</v>
      </c>
      <c r="C385" t="str">
        <f>TEXT(automotive_demand_forecasting_dataset567[[#This Row],[Date]],"mmmm")</f>
        <v>September</v>
      </c>
      <c r="D385" t="str">
        <f>CHOOSE(MATCH(MONTH(A385), {1,4,7,10}), "Winter", "Spring", "Summer", "Autumn")</f>
        <v>Summer</v>
      </c>
      <c r="E385">
        <f>YEAR(automotive_demand_forecasting_dataset567[[#This Row],[Date]])</f>
        <v>2045</v>
      </c>
      <c r="F385">
        <v>107</v>
      </c>
      <c r="G385">
        <f>(automotive_demand_forecasting_dataset567[[#This Row],[Units_Sold]] -$C$4) / $C$5</f>
        <v>0.78873983036713124</v>
      </c>
      <c r="H385" s="157" t="str">
        <f t="shared" ca="1" si="19"/>
        <v>East</v>
      </c>
      <c r="I385">
        <v>26659.547731784754</v>
      </c>
      <c r="J385">
        <v>4.4505953428765039</v>
      </c>
      <c r="K385">
        <v>3.5519476177229183</v>
      </c>
      <c r="L385">
        <v>5.7206014195870054</v>
      </c>
      <c r="M385">
        <v>106771.05752571828</v>
      </c>
      <c r="N385" s="82">
        <v>79</v>
      </c>
      <c r="O385">
        <v>96.181121162669783</v>
      </c>
      <c r="P3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85" t="str">
        <f t="shared" ca="1" si="20"/>
        <v>Print</v>
      </c>
      <c r="R385" s="157">
        <f>automotive_demand_forecasting_dataset567[[#This Row],[Units_Sold]]*automotive_demand_forecasting_dataset567[[#This Row],[Average_Price]]</f>
        <v>2852571.6073009688</v>
      </c>
      <c r="S385" t="str">
        <f t="shared" ca="1" si="21"/>
        <v>OK</v>
      </c>
    </row>
    <row r="386" spans="1:19">
      <c r="A386" s="1">
        <v>53255</v>
      </c>
      <c r="B386" t="s">
        <v>13</v>
      </c>
      <c r="C386" t="str">
        <f>TEXT(automotive_demand_forecasting_dataset567[[#This Row],[Date]],"mmmm")</f>
        <v>October</v>
      </c>
      <c r="D386" t="str">
        <f>CHOOSE(MATCH(MONTH(A386), {1,4,7,10}), "Winter", "Spring", "Summer", "Autumn")</f>
        <v>Autumn</v>
      </c>
      <c r="E386">
        <f>YEAR(automotive_demand_forecasting_dataset567[[#This Row],[Date]])</f>
        <v>2045</v>
      </c>
      <c r="F386">
        <v>111</v>
      </c>
      <c r="G386">
        <f>(automotive_demand_forecasting_dataset567[[#This Row],[Units_Sold]] -$C$4) / $C$5</f>
        <v>1.1984748071812252</v>
      </c>
      <c r="H386" t="str">
        <f t="shared" ca="1" si="19"/>
        <v>South</v>
      </c>
      <c r="I386">
        <v>34960.211747682617</v>
      </c>
      <c r="J386">
        <v>3.4696695930926897</v>
      </c>
      <c r="K386">
        <v>1.501939372685587</v>
      </c>
      <c r="L386">
        <v>5.616047043</v>
      </c>
      <c r="M386">
        <v>81241.488469272022</v>
      </c>
      <c r="N386" s="82">
        <v>87</v>
      </c>
      <c r="O386">
        <v>62.644423207576892</v>
      </c>
      <c r="P3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86" t="str">
        <f t="shared" ca="1" si="20"/>
        <v>Billboards</v>
      </c>
      <c r="R386">
        <f>automotive_demand_forecasting_dataset567[[#This Row],[Units_Sold]]*automotive_demand_forecasting_dataset567[[#This Row],[Average_Price]]</f>
        <v>3880583.5039927703</v>
      </c>
      <c r="S386" t="str">
        <f t="shared" ca="1" si="21"/>
        <v>OK</v>
      </c>
    </row>
    <row r="387" spans="1:19">
      <c r="A387" s="1">
        <v>53285</v>
      </c>
      <c r="B387" t="s">
        <v>10</v>
      </c>
      <c r="C387" t="str">
        <f>TEXT(automotive_demand_forecasting_dataset567[[#This Row],[Date]],"mmmm")</f>
        <v>November</v>
      </c>
      <c r="D387" t="str">
        <f>CHOOSE(MATCH(MONTH(A387), {1,4,7,10}), "Winter", "Spring", "Summer", "Autumn")</f>
        <v>Autumn</v>
      </c>
      <c r="E387">
        <f>YEAR(automotive_demand_forecasting_dataset567[[#This Row],[Date]])</f>
        <v>2045</v>
      </c>
      <c r="F387">
        <v>100</v>
      </c>
      <c r="G387">
        <f>(automotive_demand_forecasting_dataset567[[#This Row],[Units_Sold]] -$C$4) / $C$5</f>
        <v>7.1703620942466739E-2</v>
      </c>
      <c r="H387" t="str">
        <f t="shared" ca="1" si="19"/>
        <v>South</v>
      </c>
      <c r="I387">
        <v>29125.201216522957</v>
      </c>
      <c r="J387">
        <v>3.1457966165447688</v>
      </c>
      <c r="K387">
        <v>2.1160287280476484</v>
      </c>
      <c r="L387">
        <f>6.97388673</f>
        <v>6.9738867300000003</v>
      </c>
      <c r="M387">
        <v>104332.49950809238</v>
      </c>
      <c r="N387" s="82">
        <v>92</v>
      </c>
      <c r="O387">
        <v>70.523550294092828</v>
      </c>
      <c r="P3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87" t="str">
        <f t="shared" ca="1" si="20"/>
        <v>Print</v>
      </c>
      <c r="R387">
        <f>automotive_demand_forecasting_dataset567[[#This Row],[Units_Sold]]*automotive_demand_forecasting_dataset567[[#This Row],[Average_Price]]</f>
        <v>2912520.1216522958</v>
      </c>
      <c r="S387" t="str">
        <f t="shared" ca="1" si="21"/>
        <v>OK</v>
      </c>
    </row>
    <row r="388" spans="1:19">
      <c r="A388" s="1">
        <v>53315</v>
      </c>
      <c r="B388" t="s">
        <v>10</v>
      </c>
      <c r="C388" t="str">
        <f>TEXT(automotive_demand_forecasting_dataset567[[#This Row],[Date]],"mmmm")</f>
        <v>December</v>
      </c>
      <c r="D388" t="str">
        <f>CHOOSE(MATCH(MONTH(A388), {1,4,7,10}), "Winter", "Spring", "Summer", "Autumn")</f>
        <v>Autumn</v>
      </c>
      <c r="E388">
        <f>YEAR(automotive_demand_forecasting_dataset567[[#This Row],[Date]])</f>
        <v>2045</v>
      </c>
      <c r="F388">
        <v>94</v>
      </c>
      <c r="G388">
        <f>(automotive_demand_forecasting_dataset567[[#This Row],[Units_Sold]] -$C$4) / $C$5</f>
        <v>-0.5428988442786743</v>
      </c>
      <c r="H388" t="str">
        <f t="shared" ca="1" si="19"/>
        <v>North</v>
      </c>
      <c r="I388">
        <v>26221.274202535777</v>
      </c>
      <c r="J388">
        <v>2.7431428036935865</v>
      </c>
      <c r="K388">
        <v>2.7502002062516944</v>
      </c>
      <c r="L388">
        <v>4.295134483789588</v>
      </c>
      <c r="M388">
        <v>79484.946327194455</v>
      </c>
      <c r="N388" s="82">
        <v>79</v>
      </c>
      <c r="O388">
        <v>63.435235559146221</v>
      </c>
      <c r="P3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88" t="str">
        <f t="shared" ca="1" si="20"/>
        <v>Online</v>
      </c>
      <c r="R388">
        <f>automotive_demand_forecasting_dataset567[[#This Row],[Units_Sold]]*automotive_demand_forecasting_dataset567[[#This Row],[Average_Price]]</f>
        <v>2464799.7750383629</v>
      </c>
      <c r="S388" t="str">
        <f t="shared" ca="1" si="21"/>
        <v>OK</v>
      </c>
    </row>
    <row r="389" spans="1:19">
      <c r="A389" s="1">
        <v>53345</v>
      </c>
      <c r="B389" t="s">
        <v>10</v>
      </c>
      <c r="C389" t="str">
        <f>TEXT(automotive_demand_forecasting_dataset567[[#This Row],[Date]],"mmmm")</f>
        <v>January</v>
      </c>
      <c r="D389" t="str">
        <f>CHOOSE(MATCH(MONTH(A389), {1,4,7,10}), "Winter", "Spring", "Summer", "Autumn")</f>
        <v>Winter</v>
      </c>
      <c r="E389">
        <f>YEAR(automotive_demand_forecasting_dataset567[[#This Row],[Date]])</f>
        <v>2046</v>
      </c>
      <c r="F389">
        <v>91</v>
      </c>
      <c r="G389">
        <f>(automotive_demand_forecasting_dataset567[[#This Row],[Units_Sold]] -$C$4) / $C$5</f>
        <v>-0.85020007688924482</v>
      </c>
      <c r="H389" t="str">
        <f t="shared" ca="1" si="19"/>
        <v>North</v>
      </c>
      <c r="I389">
        <v>32682.549217852018</v>
      </c>
      <c r="J389">
        <v>2.5984301618720274</v>
      </c>
      <c r="K389">
        <v>4.4956674897839646</v>
      </c>
      <c r="L389">
        <v>5.3854429034931126</v>
      </c>
      <c r="M389">
        <v>122016.4279684521</v>
      </c>
      <c r="N389" s="82">
        <v>95</v>
      </c>
      <c r="O389">
        <v>30.350449357336071</v>
      </c>
      <c r="P3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89" t="str">
        <f t="shared" ca="1" si="20"/>
        <v>TV</v>
      </c>
      <c r="R389">
        <f>automotive_demand_forecasting_dataset567[[#This Row],[Units_Sold]]*automotive_demand_forecasting_dataset567[[#This Row],[Average_Price]]</f>
        <v>2974111.9788245335</v>
      </c>
      <c r="S389" t="str">
        <f t="shared" ca="1" si="21"/>
        <v>OK</v>
      </c>
    </row>
    <row r="390" spans="1:19">
      <c r="A390" s="1">
        <v>53375</v>
      </c>
      <c r="B390" t="s">
        <v>12</v>
      </c>
      <c r="C390" t="str">
        <f>TEXT(automotive_demand_forecasting_dataset567[[#This Row],[Date]],"mmmm")</f>
        <v>February</v>
      </c>
      <c r="D390" t="str">
        <f>CHOOSE(MATCH(MONTH(A390), {1,4,7,10}), "Winter", "Spring", "Summer", "Autumn")</f>
        <v>Winter</v>
      </c>
      <c r="E390">
        <f>YEAR(automotive_demand_forecasting_dataset567[[#This Row],[Date]])</f>
        <v>2046</v>
      </c>
      <c r="F390">
        <v>89</v>
      </c>
      <c r="G390">
        <f>(automotive_demand_forecasting_dataset567[[#This Row],[Units_Sold]] -$C$4) / $C$5</f>
        <v>-1.0550675652962918</v>
      </c>
      <c r="H390" t="str">
        <f t="shared" ca="1" si="19"/>
        <v>West</v>
      </c>
      <c r="I390">
        <v>25507.660091044814</v>
      </c>
      <c r="J390">
        <v>2.7079320284972552</v>
      </c>
      <c r="K390">
        <v>2.6520564320000002</v>
      </c>
      <c r="L390">
        <v>3.368504399840258</v>
      </c>
      <c r="M390">
        <v>121227.41929746268</v>
      </c>
      <c r="N390" s="82">
        <v>96</v>
      </c>
      <c r="O390">
        <v>50.065697520635275</v>
      </c>
      <c r="P3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90" t="str">
        <f t="shared" ca="1" si="20"/>
        <v>Billboards</v>
      </c>
      <c r="R390">
        <f>automotive_demand_forecasting_dataset567[[#This Row],[Units_Sold]]*automotive_demand_forecasting_dataset567[[#This Row],[Average_Price]]</f>
        <v>2270181.7481029886</v>
      </c>
      <c r="S390" t="str">
        <f t="shared" ca="1" si="21"/>
        <v>OK</v>
      </c>
    </row>
    <row r="391" spans="1:19">
      <c r="A391" s="1">
        <v>53405</v>
      </c>
      <c r="B391" t="s">
        <v>13</v>
      </c>
      <c r="C391" t="str">
        <f>TEXT(automotive_demand_forecasting_dataset567[[#This Row],[Date]],"mmmm")</f>
        <v>March</v>
      </c>
      <c r="D391" t="str">
        <f>CHOOSE(MATCH(MONTH(A391), {1,4,7,10}), "Winter", "Spring", "Summer", "Autumn")</f>
        <v>Winter</v>
      </c>
      <c r="E391">
        <f>YEAR(automotive_demand_forecasting_dataset567[[#This Row],[Date]])</f>
        <v>2046</v>
      </c>
      <c r="F391">
        <v>98</v>
      </c>
      <c r="G391">
        <f>(automotive_demand_forecasting_dataset567[[#This Row],[Units_Sold]] -$C$4) / $C$5</f>
        <v>-0.13316386746458025</v>
      </c>
      <c r="H391" t="str">
        <f t="shared" ca="1" si="19"/>
        <v>South</v>
      </c>
      <c r="I391">
        <v>30140.90578684564</v>
      </c>
      <c r="J391">
        <v>4.5778345189999996</v>
      </c>
      <c r="K391">
        <v>3.1067230591361827</v>
      </c>
      <c r="L391">
        <v>5.4032803008438872</v>
      </c>
      <c r="M391">
        <v>110640.12397643886</v>
      </c>
      <c r="N391" s="82">
        <v>90</v>
      </c>
      <c r="O391">
        <v>27.931688982209913</v>
      </c>
      <c r="P3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91" t="str">
        <f t="shared" ca="1" si="20"/>
        <v>Print</v>
      </c>
      <c r="R391">
        <f>automotive_demand_forecasting_dataset567[[#This Row],[Units_Sold]]*automotive_demand_forecasting_dataset567[[#This Row],[Average_Price]]</f>
        <v>2953808.7671108725</v>
      </c>
      <c r="S391" t="str">
        <f t="shared" ca="1" si="21"/>
        <v>OK</v>
      </c>
    </row>
    <row r="392" spans="1:19">
      <c r="A392" s="1">
        <v>53435</v>
      </c>
      <c r="B392" t="s">
        <v>10</v>
      </c>
      <c r="C392" t="str">
        <f>TEXT(automotive_demand_forecasting_dataset567[[#This Row],[Date]],"mmmm")</f>
        <v>April</v>
      </c>
      <c r="D392" t="str">
        <f>CHOOSE(MATCH(MONTH(A392), {1,4,7,10}), "Winter", "Spring", "Summer", "Autumn")</f>
        <v>Spring</v>
      </c>
      <c r="E392">
        <f>YEAR(automotive_demand_forecasting_dataset567[[#This Row],[Date]])</f>
        <v>2046</v>
      </c>
      <c r="F392">
        <v>110</v>
      </c>
      <c r="G392">
        <f>(automotive_demand_forecasting_dataset567[[#This Row],[Units_Sold]] -$C$4) / $C$5</f>
        <v>1.0960410629777018</v>
      </c>
      <c r="H392" t="str">
        <f t="shared" ca="1" si="19"/>
        <v>East</v>
      </c>
      <c r="I392">
        <v>29954.405016778983</v>
      </c>
      <c r="J392">
        <v>3.7543625116149668</v>
      </c>
      <c r="K392">
        <v>2.3168033812796121</v>
      </c>
      <c r="L392">
        <v>4.50033273159909</v>
      </c>
      <c r="M392">
        <v>107233.22122494034</v>
      </c>
      <c r="N392" s="82">
        <v>95</v>
      </c>
      <c r="O392">
        <v>69.836323534670541</v>
      </c>
      <c r="P3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92" t="str">
        <f t="shared" ca="1" si="20"/>
        <v>TV</v>
      </c>
      <c r="R392">
        <f>automotive_demand_forecasting_dataset567[[#This Row],[Units_Sold]]*automotive_demand_forecasting_dataset567[[#This Row],[Average_Price]]</f>
        <v>3294984.5518456879</v>
      </c>
      <c r="S392" t="str">
        <f t="shared" ca="1" si="21"/>
        <v>OK</v>
      </c>
    </row>
    <row r="393" spans="1:19">
      <c r="A393" s="1">
        <v>53465</v>
      </c>
      <c r="B393" t="s">
        <v>11</v>
      </c>
      <c r="C393" t="str">
        <f>TEXT(automotive_demand_forecasting_dataset567[[#This Row],[Date]],"mmmm")</f>
        <v>May</v>
      </c>
      <c r="D393" t="str">
        <f>CHOOSE(MATCH(MONTH(A393), {1,4,7,10}), "Winter", "Spring", "Summer", "Autumn")</f>
        <v>Spring</v>
      </c>
      <c r="E393">
        <f>YEAR(automotive_demand_forecasting_dataset567[[#This Row],[Date]])</f>
        <v>2046</v>
      </c>
      <c r="F393">
        <v>93</v>
      </c>
      <c r="G393">
        <f>(automotive_demand_forecasting_dataset567[[#This Row],[Units_Sold]] -$C$4) / $C$5</f>
        <v>-0.64533258848219777</v>
      </c>
      <c r="H393" t="str">
        <f t="shared" ca="1" si="19"/>
        <v>North</v>
      </c>
      <c r="I393">
        <v>35429.477829157891</v>
      </c>
      <c r="J393">
        <v>2.7094046489839334</v>
      </c>
      <c r="K393">
        <v>3.0345056484805504</v>
      </c>
      <c r="L393">
        <f>6.97388673</f>
        <v>6.9738867300000003</v>
      </c>
      <c r="M393">
        <v>135223.76249734749</v>
      </c>
      <c r="N393" s="82">
        <f>111.9136842</f>
        <v>111.91368420000001</v>
      </c>
      <c r="O393">
        <v>55.749935616035117</v>
      </c>
      <c r="P3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93" t="str">
        <f t="shared" ca="1" si="20"/>
        <v>Online</v>
      </c>
      <c r="R393">
        <f>automotive_demand_forecasting_dataset567[[#This Row],[Units_Sold]]*automotive_demand_forecasting_dataset567[[#This Row],[Average_Price]]</f>
        <v>3294941.4381116838</v>
      </c>
      <c r="S393" t="str">
        <f t="shared" ca="1" si="21"/>
        <v>OK</v>
      </c>
    </row>
    <row r="394" spans="1:19">
      <c r="A394" s="1">
        <v>53495</v>
      </c>
      <c r="B394" t="s">
        <v>13</v>
      </c>
      <c r="C394" t="str">
        <f>TEXT(automotive_demand_forecasting_dataset567[[#This Row],[Date]],"mmmm")</f>
        <v>June</v>
      </c>
      <c r="D394" t="str">
        <f>CHOOSE(MATCH(MONTH(A394), {1,4,7,10}), "Winter", "Spring", "Summer", "Autumn")</f>
        <v>Spring</v>
      </c>
      <c r="E394">
        <f>YEAR(automotive_demand_forecasting_dataset567[[#This Row],[Date]])</f>
        <v>2046</v>
      </c>
      <c r="F394">
        <v>103</v>
      </c>
      <c r="G394">
        <f>(automotive_demand_forecasting_dataset567[[#This Row],[Units_Sold]] -$C$4) / $C$5</f>
        <v>0.37900485355303726</v>
      </c>
      <c r="H394" t="str">
        <f t="shared" ca="1" si="19"/>
        <v>North</v>
      </c>
      <c r="I394">
        <v>32373.491164399762</v>
      </c>
      <c r="J394">
        <v>3.9475191570380579</v>
      </c>
      <c r="K394">
        <v>3.3876554258738363</v>
      </c>
      <c r="L394">
        <v>4.8405516704853584</v>
      </c>
      <c r="M394">
        <f>128897.2893</f>
        <v>128897.2893</v>
      </c>
      <c r="N394" s="82">
        <v>96</v>
      </c>
      <c r="O394">
        <v>82.238797725674942</v>
      </c>
      <c r="P3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94" t="str">
        <f t="shared" ca="1" si="20"/>
        <v>Billboards</v>
      </c>
      <c r="R394">
        <f>automotive_demand_forecasting_dataset567[[#This Row],[Units_Sold]]*automotive_demand_forecasting_dataset567[[#This Row],[Average_Price]]</f>
        <v>3334469.5899331756</v>
      </c>
      <c r="S394" t="str">
        <f t="shared" ca="1" si="21"/>
        <v>OK</v>
      </c>
    </row>
    <row r="395" spans="1:19">
      <c r="A395" s="1">
        <v>53525</v>
      </c>
      <c r="B395" t="s">
        <v>13</v>
      </c>
      <c r="C395" t="str">
        <f>TEXT(automotive_demand_forecasting_dataset567[[#This Row],[Date]],"mmmm")</f>
        <v>July</v>
      </c>
      <c r="D395" t="str">
        <f>CHOOSE(MATCH(MONTH(A395), {1,4,7,10}), "Winter", "Spring", "Summer", "Autumn")</f>
        <v>Summer</v>
      </c>
      <c r="E395">
        <f>YEAR(automotive_demand_forecasting_dataset567[[#This Row],[Date]])</f>
        <v>2046</v>
      </c>
      <c r="F395">
        <v>100</v>
      </c>
      <c r="G395">
        <f>(automotive_demand_forecasting_dataset567[[#This Row],[Units_Sold]] -$C$4) / $C$5</f>
        <v>7.1703620942466739E-2</v>
      </c>
      <c r="H395" t="str">
        <f t="shared" ref="H395:H458" ca="1" si="23">CHOOSE(RANDBETWEEN(1,4),"North","South","East","West")</f>
        <v>West</v>
      </c>
      <c r="I395">
        <v>38106.295579999998</v>
      </c>
      <c r="J395">
        <v>4.5778345189999996</v>
      </c>
      <c r="K395">
        <v>2.1793323744428084</v>
      </c>
      <c r="L395">
        <v>5.3598809010457042</v>
      </c>
      <c r="M395">
        <v>76362.517491583974</v>
      </c>
      <c r="N395" s="82">
        <v>89</v>
      </c>
      <c r="O395">
        <v>37.637638479949587</v>
      </c>
      <c r="P3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95" t="str">
        <f t="shared" ref="Q395:Q458" ca="1" si="24">CHOOSE(RANDBETWEEN(1,5),"Online","TV","Radio","Print","Billboards")</f>
        <v>Billboards</v>
      </c>
      <c r="R395">
        <f>automotive_demand_forecasting_dataset567[[#This Row],[Units_Sold]]*automotive_demand_forecasting_dataset567[[#This Row],[Average_Price]]</f>
        <v>3810629.5579999997</v>
      </c>
      <c r="S395" t="str">
        <f t="shared" ref="S395:S458" ca="1" si="25">IF(COUNTA(A395:O395)&lt;COLUMNS(A395:O395), "Missing Data", "OK")</f>
        <v>OK</v>
      </c>
    </row>
    <row r="396" spans="1:19">
      <c r="A396" s="1">
        <v>53555</v>
      </c>
      <c r="B396" t="s">
        <v>12</v>
      </c>
      <c r="C396" t="str">
        <f>TEXT(automotive_demand_forecasting_dataset567[[#This Row],[Date]],"mmmm")</f>
        <v>August</v>
      </c>
      <c r="D396" t="str">
        <f>CHOOSE(MATCH(MONTH(A396), {1,4,7,10}), "Winter", "Spring", "Summer", "Autumn")</f>
        <v>Summer</v>
      </c>
      <c r="E396">
        <f>YEAR(automotive_demand_forecasting_dataset567[[#This Row],[Date]])</f>
        <v>2046</v>
      </c>
      <c r="F396">
        <v>101</v>
      </c>
      <c r="G396">
        <f>(automotive_demand_forecasting_dataset567[[#This Row],[Units_Sold]] -$C$4) / $C$5</f>
        <v>0.17413736514599024</v>
      </c>
      <c r="H396" t="str">
        <f t="shared" ca="1" si="23"/>
        <v>South</v>
      </c>
      <c r="I396">
        <v>34088.831496001432</v>
      </c>
      <c r="J396">
        <v>3.5733965059927746</v>
      </c>
      <c r="K396">
        <v>2.6520564320000002</v>
      </c>
      <c r="L396">
        <v>4.7373305903147163</v>
      </c>
      <c r="M396">
        <f>128897.2893</f>
        <v>128897.2893</v>
      </c>
      <c r="N396" s="82">
        <v>87</v>
      </c>
      <c r="O396">
        <v>33.165284674346793</v>
      </c>
      <c r="P3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96" t="str">
        <f t="shared" ca="1" si="24"/>
        <v>Billboards</v>
      </c>
      <c r="R396">
        <f>automotive_demand_forecasting_dataset567[[#This Row],[Units_Sold]]*automotive_demand_forecasting_dataset567[[#This Row],[Average_Price]]</f>
        <v>3442971.9810961448</v>
      </c>
      <c r="S396" t="str">
        <f t="shared" ca="1" si="25"/>
        <v>OK</v>
      </c>
    </row>
    <row r="397" spans="1:19">
      <c r="A397" s="1">
        <v>53585</v>
      </c>
      <c r="B397" t="s">
        <v>14</v>
      </c>
      <c r="C397" t="str">
        <f>TEXT(automotive_demand_forecasting_dataset567[[#This Row],[Date]],"mmmm")</f>
        <v>September</v>
      </c>
      <c r="D397" t="str">
        <f>CHOOSE(MATCH(MONTH(A397), {1,4,7,10}), "Winter", "Spring", "Summer", "Autumn")</f>
        <v>Summer</v>
      </c>
      <c r="E397">
        <f>YEAR(automotive_demand_forecasting_dataset567[[#This Row],[Date]])</f>
        <v>2046</v>
      </c>
      <c r="F397">
        <v>94</v>
      </c>
      <c r="G397">
        <f>(automotive_demand_forecasting_dataset567[[#This Row],[Units_Sold]] -$C$4) / $C$5</f>
        <v>-0.5428988442786743</v>
      </c>
      <c r="H397" s="157" t="str">
        <f t="shared" ca="1" si="23"/>
        <v>North</v>
      </c>
      <c r="I397">
        <v>30949.702720000001</v>
      </c>
      <c r="J397">
        <v>4.3061103141277126</v>
      </c>
      <c r="K397">
        <v>2.7300707591914022</v>
      </c>
      <c r="L397">
        <v>7.5866216222239977</v>
      </c>
      <c r="M397">
        <v>102916.7736</v>
      </c>
      <c r="N397" s="82">
        <v>96</v>
      </c>
      <c r="O397">
        <v>52.506578477101428</v>
      </c>
      <c r="P3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97" t="str">
        <f t="shared" ca="1" si="24"/>
        <v>Billboards</v>
      </c>
      <c r="R397" s="157">
        <f>automotive_demand_forecasting_dataset567[[#This Row],[Units_Sold]]*automotive_demand_forecasting_dataset567[[#This Row],[Average_Price]]</f>
        <v>2909272.0556800002</v>
      </c>
      <c r="S397" t="str">
        <f t="shared" ca="1" si="25"/>
        <v>OK</v>
      </c>
    </row>
    <row r="398" spans="1:19">
      <c r="A398" s="1">
        <v>53615</v>
      </c>
      <c r="B398" t="s">
        <v>12</v>
      </c>
      <c r="C398" t="str">
        <f>TEXT(automotive_demand_forecasting_dataset567[[#This Row],[Date]],"mmmm")</f>
        <v>October</v>
      </c>
      <c r="D398" t="str">
        <f>CHOOSE(MATCH(MONTH(A398), {1,4,7,10}), "Winter", "Spring", "Summer", "Autumn")</f>
        <v>Autumn</v>
      </c>
      <c r="E398">
        <f>YEAR(automotive_demand_forecasting_dataset567[[#This Row],[Date]])</f>
        <v>2046</v>
      </c>
      <c r="F398">
        <v>108</v>
      </c>
      <c r="G398">
        <f>(automotive_demand_forecasting_dataset567[[#This Row],[Units_Sold]] -$C$4) / $C$5</f>
        <v>0.89117357457065483</v>
      </c>
      <c r="H398" t="str">
        <f t="shared" ca="1" si="23"/>
        <v>East</v>
      </c>
      <c r="I398">
        <v>32789.051531759309</v>
      </c>
      <c r="J398">
        <v>3.9484196579327659</v>
      </c>
      <c r="K398">
        <v>2.9977430890913941</v>
      </c>
      <c r="L398">
        <v>5.1145086806585063</v>
      </c>
      <c r="M398">
        <v>79704.810136282962</v>
      </c>
      <c r="N398" s="82">
        <v>102</v>
      </c>
      <c r="O398">
        <v>94.126830657470492</v>
      </c>
      <c r="P3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98" t="str">
        <f t="shared" ca="1" si="24"/>
        <v>Billboards</v>
      </c>
      <c r="R398">
        <f>automotive_demand_forecasting_dataset567[[#This Row],[Units_Sold]]*automotive_demand_forecasting_dataset567[[#This Row],[Average_Price]]</f>
        <v>3541217.5654300055</v>
      </c>
      <c r="S398" t="str">
        <f t="shared" ca="1" si="25"/>
        <v>OK</v>
      </c>
    </row>
    <row r="399" spans="1:19">
      <c r="A399" s="1">
        <v>53645</v>
      </c>
      <c r="B399" t="s">
        <v>10</v>
      </c>
      <c r="C399" t="str">
        <f>TEXT(automotive_demand_forecasting_dataset567[[#This Row],[Date]],"mmmm")</f>
        <v>November</v>
      </c>
      <c r="D399" t="str">
        <f>CHOOSE(MATCH(MONTH(A399), {1,4,7,10}), "Winter", "Spring", "Summer", "Autumn")</f>
        <v>Autumn</v>
      </c>
      <c r="E399">
        <f>YEAR(automotive_demand_forecasting_dataset567[[#This Row],[Date]])</f>
        <v>2046</v>
      </c>
      <c r="F399">
        <v>113</v>
      </c>
      <c r="G399">
        <f>(automotive_demand_forecasting_dataset567[[#This Row],[Units_Sold]] -$C$4) / $C$5</f>
        <v>1.4033422955882724</v>
      </c>
      <c r="H399" t="str">
        <f t="shared" ca="1" si="23"/>
        <v>South</v>
      </c>
      <c r="I399">
        <v>30051.763099216903</v>
      </c>
      <c r="J399">
        <v>3.3657346760470839</v>
      </c>
      <c r="K399">
        <v>3.1659242520544613</v>
      </c>
      <c r="L399">
        <v>7.6990684521750419</v>
      </c>
      <c r="M399">
        <v>92770.744666120285</v>
      </c>
      <c r="N399" s="82">
        <v>72</v>
      </c>
      <c r="O399">
        <v>76.833745200992936</v>
      </c>
      <c r="P3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99" t="str">
        <f t="shared" ca="1" si="24"/>
        <v>Radio</v>
      </c>
      <c r="R399">
        <f>automotive_demand_forecasting_dataset567[[#This Row],[Units_Sold]]*automotive_demand_forecasting_dataset567[[#This Row],[Average_Price]]</f>
        <v>3395849.2302115099</v>
      </c>
      <c r="S399" t="str">
        <f t="shared" ca="1" si="25"/>
        <v>OK</v>
      </c>
    </row>
    <row r="400" spans="1:19">
      <c r="A400" s="1">
        <v>53675</v>
      </c>
      <c r="B400" t="s">
        <v>11</v>
      </c>
      <c r="C400" t="str">
        <f>TEXT(automotive_demand_forecasting_dataset567[[#This Row],[Date]],"mmmm")</f>
        <v>December</v>
      </c>
      <c r="D400" t="str">
        <f>CHOOSE(MATCH(MONTH(A400), {1,4,7,10}), "Winter", "Spring", "Summer", "Autumn")</f>
        <v>Autumn</v>
      </c>
      <c r="E400">
        <f>YEAR(automotive_demand_forecasting_dataset567[[#This Row],[Date]])</f>
        <v>2046</v>
      </c>
      <c r="F400">
        <v>115</v>
      </c>
      <c r="G400">
        <f>(automotive_demand_forecasting_dataset567[[#This Row],[Units_Sold]] -$C$4) / $C$5</f>
        <v>1.6082097839953193</v>
      </c>
      <c r="H400" t="str">
        <f t="shared" ca="1" si="23"/>
        <v>South</v>
      </c>
      <c r="I400">
        <v>23440.818838249201</v>
      </c>
      <c r="J400">
        <v>3.0544038872923562</v>
      </c>
      <c r="K400">
        <v>2.9215866106144555</v>
      </c>
      <c r="L400">
        <v>6.4769821145419195</v>
      </c>
      <c r="M400">
        <f>128897.2893</f>
        <v>128897.2893</v>
      </c>
      <c r="N400" s="82">
        <v>88</v>
      </c>
      <c r="O400">
        <v>53.513889983433494</v>
      </c>
      <c r="P4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00" t="str">
        <f t="shared" ca="1" si="24"/>
        <v>Radio</v>
      </c>
      <c r="R400">
        <f>automotive_demand_forecasting_dataset567[[#This Row],[Units_Sold]]*automotive_demand_forecasting_dataset567[[#This Row],[Average_Price]]</f>
        <v>2695694.166398658</v>
      </c>
      <c r="S400" t="str">
        <f t="shared" ca="1" si="25"/>
        <v>OK</v>
      </c>
    </row>
    <row r="401" spans="1:19">
      <c r="A401" s="1">
        <v>53705</v>
      </c>
      <c r="B401" t="s">
        <v>11</v>
      </c>
      <c r="C401" t="str">
        <f>TEXT(automotive_demand_forecasting_dataset567[[#This Row],[Date]],"mmmm")</f>
        <v>January</v>
      </c>
      <c r="D401" t="str">
        <f>CHOOSE(MATCH(MONTH(A401), {1,4,7,10}), "Winter", "Spring", "Summer", "Autumn")</f>
        <v>Winter</v>
      </c>
      <c r="E401">
        <f>YEAR(automotive_demand_forecasting_dataset567[[#This Row],[Date]])</f>
        <v>2047</v>
      </c>
      <c r="F401">
        <v>98</v>
      </c>
      <c r="G401">
        <f>(automotive_demand_forecasting_dataset567[[#This Row],[Units_Sold]] -$C$4) / $C$5</f>
        <v>-0.13316386746458025</v>
      </c>
      <c r="H401" t="str">
        <f t="shared" ca="1" si="23"/>
        <v>East</v>
      </c>
      <c r="I401">
        <v>24674.431684623138</v>
      </c>
      <c r="J401">
        <v>2.4240922993353475</v>
      </c>
      <c r="K401">
        <v>3.3389405004696124</v>
      </c>
      <c r="L401">
        <v>6.0784800728024635</v>
      </c>
      <c r="M401">
        <v>98921.903019885212</v>
      </c>
      <c r="N401" s="82">
        <v>81</v>
      </c>
      <c r="O401">
        <v>61.381773580344841</v>
      </c>
      <c r="P4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01" t="str">
        <f t="shared" ca="1" si="24"/>
        <v>Billboards</v>
      </c>
      <c r="R401">
        <f>automotive_demand_forecasting_dataset567[[#This Row],[Units_Sold]]*automotive_demand_forecasting_dataset567[[#This Row],[Average_Price]]</f>
        <v>2418094.3050930677</v>
      </c>
      <c r="S401" t="str">
        <f t="shared" ca="1" si="25"/>
        <v>OK</v>
      </c>
    </row>
    <row r="402" spans="1:19">
      <c r="A402" s="1">
        <v>53735</v>
      </c>
      <c r="B402" t="s">
        <v>10</v>
      </c>
      <c r="C402" t="str">
        <f>TEXT(automotive_demand_forecasting_dataset567[[#This Row],[Date]],"mmmm")</f>
        <v>February</v>
      </c>
      <c r="D402" t="str">
        <f>CHOOSE(MATCH(MONTH(A402), {1,4,7,10}), "Winter", "Spring", "Summer", "Autumn")</f>
        <v>Winter</v>
      </c>
      <c r="E402">
        <f>YEAR(automotive_demand_forecasting_dataset567[[#This Row],[Date]])</f>
        <v>2047</v>
      </c>
      <c r="F402">
        <v>93</v>
      </c>
      <c r="G402">
        <f>(automotive_demand_forecasting_dataset567[[#This Row],[Units_Sold]] -$C$4) / $C$5</f>
        <v>-0.64533258848219777</v>
      </c>
      <c r="H402" t="str">
        <f t="shared" ca="1" si="23"/>
        <v>South</v>
      </c>
      <c r="I402">
        <v>28473.876478226663</v>
      </c>
      <c r="J402">
        <v>3.1404233403787898</v>
      </c>
      <c r="K402">
        <v>2.6520564320000002</v>
      </c>
      <c r="L402">
        <v>5.942479776781024</v>
      </c>
      <c r="M402">
        <v>80353.928392453701</v>
      </c>
      <c r="N402" s="82">
        <v>92</v>
      </c>
      <c r="O402">
        <v>26.737040894167869</v>
      </c>
      <c r="P4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02" t="str">
        <f t="shared" ca="1" si="24"/>
        <v>Print</v>
      </c>
      <c r="R402">
        <f>automotive_demand_forecasting_dataset567[[#This Row],[Units_Sold]]*automotive_demand_forecasting_dataset567[[#This Row],[Average_Price]]</f>
        <v>2648070.5124750794</v>
      </c>
      <c r="S402" t="str">
        <f t="shared" ca="1" si="25"/>
        <v>OK</v>
      </c>
    </row>
    <row r="403" spans="1:19">
      <c r="A403" s="1">
        <v>53765</v>
      </c>
      <c r="B403" t="s">
        <v>11</v>
      </c>
      <c r="C403" t="str">
        <f>TEXT(automotive_demand_forecasting_dataset567[[#This Row],[Date]],"mmmm")</f>
        <v>March</v>
      </c>
      <c r="D403" t="str">
        <f>CHOOSE(MATCH(MONTH(A403), {1,4,7,10}), "Winter", "Spring", "Summer", "Autumn")</f>
        <v>Winter</v>
      </c>
      <c r="E403">
        <f>YEAR(automotive_demand_forecasting_dataset567[[#This Row],[Date]])</f>
        <v>2047</v>
      </c>
      <c r="F403">
        <v>104</v>
      </c>
      <c r="G403">
        <f>(automotive_demand_forecasting_dataset567[[#This Row],[Units_Sold]] -$C$4) / $C$5</f>
        <v>0.48143859775656078</v>
      </c>
      <c r="H403" t="str">
        <f t="shared" ca="1" si="23"/>
        <v>South</v>
      </c>
      <c r="I403">
        <v>26952.438989203583</v>
      </c>
      <c r="J403">
        <v>4.5778345189999996</v>
      </c>
      <c r="K403">
        <v>1.9416982460539693</v>
      </c>
      <c r="L403">
        <v>5.9725567578595022</v>
      </c>
      <c r="M403">
        <v>122437.15712460942</v>
      </c>
      <c r="N403" s="82">
        <f>111.9136842</f>
        <v>111.91368420000001</v>
      </c>
      <c r="O403">
        <v>98.766071710089051</v>
      </c>
      <c r="P4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03" t="str">
        <f t="shared" ca="1" si="24"/>
        <v>Billboards</v>
      </c>
      <c r="R403">
        <f>automotive_demand_forecasting_dataset567[[#This Row],[Units_Sold]]*automotive_demand_forecasting_dataset567[[#This Row],[Average_Price]]</f>
        <v>2803053.6548771728</v>
      </c>
      <c r="S403" t="str">
        <f t="shared" ca="1" si="25"/>
        <v>OK</v>
      </c>
    </row>
    <row r="404" spans="1:19">
      <c r="A404" s="1">
        <v>53795</v>
      </c>
      <c r="B404" t="s">
        <v>12</v>
      </c>
      <c r="C404" t="str">
        <f>TEXT(automotive_demand_forecasting_dataset567[[#This Row],[Date]],"mmmm")</f>
        <v>April</v>
      </c>
      <c r="D404" t="str">
        <f>CHOOSE(MATCH(MONTH(A404), {1,4,7,10}), "Winter", "Spring", "Summer", "Autumn")</f>
        <v>Spring</v>
      </c>
      <c r="E404">
        <f>YEAR(automotive_demand_forecasting_dataset567[[#This Row],[Date]])</f>
        <v>2047</v>
      </c>
      <c r="F404">
        <v>100</v>
      </c>
      <c r="G404">
        <f>(automotive_demand_forecasting_dataset567[[#This Row],[Units_Sold]] -$C$4) / $C$5</f>
        <v>7.1703620942466739E-2</v>
      </c>
      <c r="H404" t="str">
        <f t="shared" ca="1" si="23"/>
        <v>North</v>
      </c>
      <c r="I404">
        <v>29065.143485072771</v>
      </c>
      <c r="J404">
        <v>3.0064102364244079</v>
      </c>
      <c r="K404">
        <v>1.3998457670283051</v>
      </c>
      <c r="L404">
        <v>3.1867929047852681</v>
      </c>
      <c r="M404">
        <v>146400.81444034519</v>
      </c>
      <c r="N404" s="82">
        <v>102</v>
      </c>
      <c r="O404">
        <v>73.312584375593516</v>
      </c>
      <c r="P4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04" t="str">
        <f t="shared" ca="1" si="24"/>
        <v>Radio</v>
      </c>
      <c r="R404">
        <f>automotive_demand_forecasting_dataset567[[#This Row],[Units_Sold]]*automotive_demand_forecasting_dataset567[[#This Row],[Average_Price]]</f>
        <v>2906514.3485072772</v>
      </c>
      <c r="S404" t="str">
        <f t="shared" ca="1" si="25"/>
        <v>OK</v>
      </c>
    </row>
    <row r="405" spans="1:19">
      <c r="A405" s="1">
        <v>53825</v>
      </c>
      <c r="B405" t="s">
        <v>12</v>
      </c>
      <c r="C405" t="str">
        <f>TEXT(automotive_demand_forecasting_dataset567[[#This Row],[Date]],"mmmm")</f>
        <v>May</v>
      </c>
      <c r="D405" t="str">
        <f>CHOOSE(MATCH(MONTH(A405), {1,4,7,10}), "Winter", "Spring", "Summer", "Autumn")</f>
        <v>Spring</v>
      </c>
      <c r="E405">
        <f>YEAR(automotive_demand_forecasting_dataset567[[#This Row],[Date]])</f>
        <v>2047</v>
      </c>
      <c r="F405">
        <v>89</v>
      </c>
      <c r="G405">
        <f>(automotive_demand_forecasting_dataset567[[#This Row],[Units_Sold]] -$C$4) / $C$5</f>
        <v>-1.0550675652962918</v>
      </c>
      <c r="H405" t="str">
        <f t="shared" ca="1" si="23"/>
        <v>East</v>
      </c>
      <c r="I405">
        <v>38106.295579999998</v>
      </c>
      <c r="J405">
        <v>3.4343715164538478</v>
      </c>
      <c r="K405">
        <f>3.224108373</f>
        <v>3.224108373</v>
      </c>
      <c r="L405">
        <v>5.1653399270190921</v>
      </c>
      <c r="M405">
        <v>103922.62918047815</v>
      </c>
      <c r="N405" s="82">
        <v>80</v>
      </c>
      <c r="O405">
        <v>42.832325477073795</v>
      </c>
      <c r="P4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05" t="str">
        <f t="shared" ca="1" si="24"/>
        <v>Print</v>
      </c>
      <c r="R405">
        <f>automotive_demand_forecasting_dataset567[[#This Row],[Units_Sold]]*automotive_demand_forecasting_dataset567[[#This Row],[Average_Price]]</f>
        <v>3391460.3066199999</v>
      </c>
      <c r="S405" t="str">
        <f t="shared" ca="1" si="25"/>
        <v>OK</v>
      </c>
    </row>
    <row r="406" spans="1:19">
      <c r="A406" s="1">
        <v>53855</v>
      </c>
      <c r="B406" t="s">
        <v>10</v>
      </c>
      <c r="C406" t="str">
        <f>TEXT(automotive_demand_forecasting_dataset567[[#This Row],[Date]],"mmmm")</f>
        <v>June</v>
      </c>
      <c r="D406" t="str">
        <f>CHOOSE(MATCH(MONTH(A406), {1,4,7,10}), "Winter", "Spring", "Summer", "Autumn")</f>
        <v>Spring</v>
      </c>
      <c r="E406">
        <f>YEAR(automotive_demand_forecasting_dataset567[[#This Row],[Date]])</f>
        <v>2047</v>
      </c>
      <c r="F406">
        <v>86</v>
      </c>
      <c r="G406">
        <f>(automotive_demand_forecasting_dataset567[[#This Row],[Units_Sold]] -$C$4) / $C$5</f>
        <v>-1.3623687979068624</v>
      </c>
      <c r="H406" t="str">
        <f t="shared" ca="1" si="23"/>
        <v>South</v>
      </c>
      <c r="I406">
        <v>32648.463771783652</v>
      </c>
      <c r="J406">
        <v>3.5384259414793839</v>
      </c>
      <c r="K406">
        <v>3.2789365035121141</v>
      </c>
      <c r="L406">
        <v>6.5141895654211854</v>
      </c>
      <c r="M406">
        <v>81918.634205279988</v>
      </c>
      <c r="N406" s="82">
        <v>84</v>
      </c>
      <c r="O406">
        <v>80.215177969999999</v>
      </c>
      <c r="P4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06" t="str">
        <f t="shared" ca="1" si="24"/>
        <v>Billboards</v>
      </c>
      <c r="R406">
        <f>automotive_demand_forecasting_dataset567[[#This Row],[Units_Sold]]*automotive_demand_forecasting_dataset567[[#This Row],[Average_Price]]</f>
        <v>2807767.8843733943</v>
      </c>
      <c r="S406" t="str">
        <f t="shared" ca="1" si="25"/>
        <v>OK</v>
      </c>
    </row>
    <row r="407" spans="1:19">
      <c r="A407" s="1">
        <v>53885</v>
      </c>
      <c r="B407" t="s">
        <v>11</v>
      </c>
      <c r="C407" t="str">
        <f>TEXT(automotive_demand_forecasting_dataset567[[#This Row],[Date]],"mmmm")</f>
        <v>July</v>
      </c>
      <c r="D407" t="str">
        <f>CHOOSE(MATCH(MONTH(A407), {1,4,7,10}), "Winter", "Spring", "Summer", "Autumn")</f>
        <v>Summer</v>
      </c>
      <c r="E407">
        <f>YEAR(automotive_demand_forecasting_dataset567[[#This Row],[Date]])</f>
        <v>2047</v>
      </c>
      <c r="F407">
        <v>93</v>
      </c>
      <c r="G407">
        <f>(automotive_demand_forecasting_dataset567[[#This Row],[Units_Sold]] -$C$4) / $C$5</f>
        <v>-0.64533258848219777</v>
      </c>
      <c r="H407" t="str">
        <f t="shared" ca="1" si="23"/>
        <v>South</v>
      </c>
      <c r="I407">
        <v>29647.506109704544</v>
      </c>
      <c r="J407">
        <v>3.3875720090959609</v>
      </c>
      <c r="K407">
        <v>2.9577728661518856</v>
      </c>
      <c r="L407">
        <v>5.4413233798310729</v>
      </c>
      <c r="M407">
        <v>69020.789498930506</v>
      </c>
      <c r="N407" s="82">
        <v>89</v>
      </c>
      <c r="O407">
        <v>28.75858928551952</v>
      </c>
      <c r="P4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07" t="str">
        <f t="shared" ca="1" si="24"/>
        <v>Radio</v>
      </c>
      <c r="R407">
        <f>automotive_demand_forecasting_dataset567[[#This Row],[Units_Sold]]*automotive_demand_forecasting_dataset567[[#This Row],[Average_Price]]</f>
        <v>2757218.0682025226</v>
      </c>
      <c r="S407" t="str">
        <f t="shared" ca="1" si="25"/>
        <v>OK</v>
      </c>
    </row>
    <row r="408" spans="1:19">
      <c r="A408" s="1">
        <v>53915</v>
      </c>
      <c r="B408" t="s">
        <v>13</v>
      </c>
      <c r="C408" t="str">
        <f>TEXT(automotive_demand_forecasting_dataset567[[#This Row],[Date]],"mmmm")</f>
        <v>August</v>
      </c>
      <c r="D408" t="str">
        <f>CHOOSE(MATCH(MONTH(A408), {1,4,7,10}), "Winter", "Spring", "Summer", "Autumn")</f>
        <v>Summer</v>
      </c>
      <c r="E408">
        <f>YEAR(automotive_demand_forecasting_dataset567[[#This Row],[Date]])</f>
        <v>2047</v>
      </c>
      <c r="F408">
        <v>104</v>
      </c>
      <c r="G408">
        <f>(automotive_demand_forecasting_dataset567[[#This Row],[Units_Sold]] -$C$4) / $C$5</f>
        <v>0.48143859775656078</v>
      </c>
      <c r="H408" t="str">
        <f t="shared" ca="1" si="23"/>
        <v>South</v>
      </c>
      <c r="I408">
        <v>32432.50821913101</v>
      </c>
      <c r="J408">
        <v>3.1749987095882704</v>
      </c>
      <c r="K408">
        <v>4.1744924333475373</v>
      </c>
      <c r="L408">
        <v>3.8137721838357099</v>
      </c>
      <c r="M408">
        <v>105159.51962442361</v>
      </c>
      <c r="N408" s="82">
        <v>79</v>
      </c>
      <c r="O408">
        <v>97.266933504606683</v>
      </c>
      <c r="P4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08" t="str">
        <f t="shared" ca="1" si="24"/>
        <v>Online</v>
      </c>
      <c r="R408">
        <f>automotive_demand_forecasting_dataset567[[#This Row],[Units_Sold]]*automotive_demand_forecasting_dataset567[[#This Row],[Average_Price]]</f>
        <v>3372980.8547896249</v>
      </c>
      <c r="S408" t="str">
        <f t="shared" ca="1" si="25"/>
        <v>OK</v>
      </c>
    </row>
    <row r="409" spans="1:19">
      <c r="A409" s="1">
        <v>53945</v>
      </c>
      <c r="B409" t="s">
        <v>14</v>
      </c>
      <c r="C409" t="str">
        <f>TEXT(automotive_demand_forecasting_dataset567[[#This Row],[Date]],"mmmm")</f>
        <v>September</v>
      </c>
      <c r="D409" t="str">
        <f>CHOOSE(MATCH(MONTH(A409), {1,4,7,10}), "Winter", "Spring", "Summer", "Autumn")</f>
        <v>Summer</v>
      </c>
      <c r="E409">
        <f>YEAR(automotive_demand_forecasting_dataset567[[#This Row],[Date]])</f>
        <v>2047</v>
      </c>
      <c r="F409">
        <v>91</v>
      </c>
      <c r="G409">
        <f>(automotive_demand_forecasting_dataset567[[#This Row],[Units_Sold]] -$C$4) / $C$5</f>
        <v>-0.85020007688924482</v>
      </c>
      <c r="H409" s="157" t="str">
        <f t="shared" ca="1" si="23"/>
        <v>South</v>
      </c>
      <c r="I409">
        <v>38106.295579999998</v>
      </c>
      <c r="J409">
        <v>4.5778345189999996</v>
      </c>
      <c r="K409">
        <v>2.4944039811709535</v>
      </c>
      <c r="L409">
        <v>5.4371146593070367</v>
      </c>
      <c r="M409">
        <v>122077.54686632515</v>
      </c>
      <c r="N409" s="82">
        <f>111.9136842</f>
        <v>111.91368420000001</v>
      </c>
      <c r="O409">
        <v>33.982799030669277</v>
      </c>
      <c r="P4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09" t="str">
        <f t="shared" ca="1" si="24"/>
        <v>TV</v>
      </c>
      <c r="R409" s="157">
        <f>automotive_demand_forecasting_dataset567[[#This Row],[Units_Sold]]*automotive_demand_forecasting_dataset567[[#This Row],[Average_Price]]</f>
        <v>3467672.8977799998</v>
      </c>
      <c r="S409" t="str">
        <f t="shared" ca="1" si="25"/>
        <v>OK</v>
      </c>
    </row>
    <row r="410" spans="1:19">
      <c r="A410" s="1">
        <v>53975</v>
      </c>
      <c r="B410" t="s">
        <v>13</v>
      </c>
      <c r="C410" t="str">
        <f>TEXT(automotive_demand_forecasting_dataset567[[#This Row],[Date]],"mmmm")</f>
        <v>October</v>
      </c>
      <c r="D410" t="str">
        <f>CHOOSE(MATCH(MONTH(A410), {1,4,7,10}), "Winter", "Spring", "Summer", "Autumn")</f>
        <v>Autumn</v>
      </c>
      <c r="E410">
        <f>YEAR(automotive_demand_forecasting_dataset567[[#This Row],[Date]])</f>
        <v>2047</v>
      </c>
      <c r="F410">
        <v>113</v>
      </c>
      <c r="G410">
        <f>(automotive_demand_forecasting_dataset567[[#This Row],[Units_Sold]] -$C$4) / $C$5</f>
        <v>1.4033422955882724</v>
      </c>
      <c r="H410" t="str">
        <f t="shared" ca="1" si="23"/>
        <v>West</v>
      </c>
      <c r="I410">
        <v>20122.667168230644</v>
      </c>
      <c r="J410">
        <v>3.7209703247847044</v>
      </c>
      <c r="K410">
        <v>3.1687416555925125</v>
      </c>
      <c r="L410">
        <v>7.5449266195065894</v>
      </c>
      <c r="M410">
        <v>102916.7736</v>
      </c>
      <c r="N410" s="82">
        <v>80</v>
      </c>
      <c r="O410">
        <v>71.842425444417131</v>
      </c>
      <c r="P4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10" t="str">
        <f t="shared" ca="1" si="24"/>
        <v>Billboards</v>
      </c>
      <c r="R410">
        <f>automotive_demand_forecasting_dataset567[[#This Row],[Units_Sold]]*automotive_demand_forecasting_dataset567[[#This Row],[Average_Price]]</f>
        <v>2273861.3900100626</v>
      </c>
      <c r="S410" t="str">
        <f t="shared" ca="1" si="25"/>
        <v>OK</v>
      </c>
    </row>
    <row r="411" spans="1:19">
      <c r="A411" s="1">
        <v>54005</v>
      </c>
      <c r="B411" t="s">
        <v>12</v>
      </c>
      <c r="C411" t="str">
        <f>TEXT(automotive_demand_forecasting_dataset567[[#This Row],[Date]],"mmmm")</f>
        <v>November</v>
      </c>
      <c r="D411" t="str">
        <f>CHOOSE(MATCH(MONTH(A411), {1,4,7,10}), "Winter", "Spring", "Summer", "Autumn")</f>
        <v>Autumn</v>
      </c>
      <c r="E411">
        <f>YEAR(automotive_demand_forecasting_dataset567[[#This Row],[Date]])</f>
        <v>2047</v>
      </c>
      <c r="F411">
        <v>103</v>
      </c>
      <c r="G411">
        <f>(automotive_demand_forecasting_dataset567[[#This Row],[Units_Sold]] -$C$4) / $C$5</f>
        <v>0.37900485355303726</v>
      </c>
      <c r="H411" t="str">
        <f t="shared" ca="1" si="23"/>
        <v>North</v>
      </c>
      <c r="I411">
        <v>25303.323030906227</v>
      </c>
      <c r="J411">
        <v>2.9548004612785768</v>
      </c>
      <c r="K411">
        <v>1.4082991238606857</v>
      </c>
      <c r="L411">
        <v>6.9962700586416631</v>
      </c>
      <c r="M411">
        <v>99951.923181622929</v>
      </c>
      <c r="N411" s="82">
        <v>89</v>
      </c>
      <c r="O411">
        <v>80.215177969999999</v>
      </c>
      <c r="P4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11" t="str">
        <f t="shared" ca="1" si="24"/>
        <v>TV</v>
      </c>
      <c r="R411">
        <f>automotive_demand_forecasting_dataset567[[#This Row],[Units_Sold]]*automotive_demand_forecasting_dataset567[[#This Row],[Average_Price]]</f>
        <v>2606242.2721833414</v>
      </c>
      <c r="S411" t="str">
        <f t="shared" ca="1" si="25"/>
        <v>OK</v>
      </c>
    </row>
    <row r="412" spans="1:19">
      <c r="A412" s="1">
        <v>54035</v>
      </c>
      <c r="B412" t="s">
        <v>12</v>
      </c>
      <c r="C412" t="str">
        <f>TEXT(automotive_demand_forecasting_dataset567[[#This Row],[Date]],"mmmm")</f>
        <v>December</v>
      </c>
      <c r="D412" t="str">
        <f>CHOOSE(MATCH(MONTH(A412), {1,4,7,10}), "Winter", "Spring", "Summer", "Autumn")</f>
        <v>Autumn</v>
      </c>
      <c r="E412">
        <f>YEAR(automotive_demand_forecasting_dataset567[[#This Row],[Date]])</f>
        <v>2047</v>
      </c>
      <c r="F412">
        <v>98</v>
      </c>
      <c r="G412">
        <f>(automotive_demand_forecasting_dataset567[[#This Row],[Units_Sold]] -$C$4) / $C$5</f>
        <v>-0.13316386746458025</v>
      </c>
      <c r="H412" t="str">
        <f t="shared" ca="1" si="23"/>
        <v>East</v>
      </c>
      <c r="I412">
        <v>29279.562221391923</v>
      </c>
      <c r="J412">
        <v>4.2054661898731354</v>
      </c>
      <c r="K412">
        <v>2.112900297525599</v>
      </c>
      <c r="L412">
        <v>5.4255951887607621</v>
      </c>
      <c r="M412">
        <v>88214.566964213882</v>
      </c>
      <c r="N412" s="82">
        <v>75</v>
      </c>
      <c r="O412">
        <v>77.404910611882855</v>
      </c>
      <c r="P4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12" t="str">
        <f t="shared" ca="1" si="24"/>
        <v>Billboards</v>
      </c>
      <c r="R412">
        <f>automotive_demand_forecasting_dataset567[[#This Row],[Units_Sold]]*automotive_demand_forecasting_dataset567[[#This Row],[Average_Price]]</f>
        <v>2869397.0976964086</v>
      </c>
      <c r="S412" t="str">
        <f t="shared" ca="1" si="25"/>
        <v>OK</v>
      </c>
    </row>
    <row r="413" spans="1:19">
      <c r="A413" s="1">
        <v>54065</v>
      </c>
      <c r="B413" t="s">
        <v>12</v>
      </c>
      <c r="C413" t="str">
        <f>TEXT(automotive_demand_forecasting_dataset567[[#This Row],[Date]],"mmmm")</f>
        <v>January</v>
      </c>
      <c r="D413" t="str">
        <f>CHOOSE(MATCH(MONTH(A413), {1,4,7,10}), "Winter", "Spring", "Summer", "Autumn")</f>
        <v>Winter</v>
      </c>
      <c r="E413">
        <f>YEAR(automotive_demand_forecasting_dataset567[[#This Row],[Date]])</f>
        <v>2048</v>
      </c>
      <c r="F413">
        <v>100</v>
      </c>
      <c r="G413">
        <f>(automotive_demand_forecasting_dataset567[[#This Row],[Units_Sold]] -$C$4) / $C$5</f>
        <v>7.1703620942466739E-2</v>
      </c>
      <c r="H413" t="str">
        <f t="shared" ca="1" si="23"/>
        <v>South</v>
      </c>
      <c r="I413">
        <v>23951.526285794462</v>
      </c>
      <c r="J413">
        <v>3.4507059338578689</v>
      </c>
      <c r="K413">
        <v>3.1955377575657775</v>
      </c>
      <c r="L413">
        <v>6.6417391324697039</v>
      </c>
      <c r="M413">
        <v>78156.72734563821</v>
      </c>
      <c r="N413" s="82">
        <v>84</v>
      </c>
      <c r="O413">
        <v>82.145709379222481</v>
      </c>
      <c r="P4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13" t="str">
        <f t="shared" ca="1" si="24"/>
        <v>Radio</v>
      </c>
      <c r="R413">
        <f>automotive_demand_forecasting_dataset567[[#This Row],[Units_Sold]]*automotive_demand_forecasting_dataset567[[#This Row],[Average_Price]]</f>
        <v>2395152.6285794461</v>
      </c>
      <c r="S413" t="str">
        <f t="shared" ca="1" si="25"/>
        <v>OK</v>
      </c>
    </row>
    <row r="414" spans="1:19">
      <c r="A414" s="1">
        <v>54095</v>
      </c>
      <c r="B414" t="s">
        <v>12</v>
      </c>
      <c r="C414" t="str">
        <f>TEXT(automotive_demand_forecasting_dataset567[[#This Row],[Date]],"mmmm")</f>
        <v>February</v>
      </c>
      <c r="D414" t="str">
        <f>CHOOSE(MATCH(MONTH(A414), {1,4,7,10}), "Winter", "Spring", "Summer", "Autumn")</f>
        <v>Winter</v>
      </c>
      <c r="E414">
        <f>YEAR(automotive_demand_forecasting_dataset567[[#This Row],[Date]])</f>
        <v>2048</v>
      </c>
      <c r="F414">
        <v>89</v>
      </c>
      <c r="G414">
        <f>(automotive_demand_forecasting_dataset567[[#This Row],[Units_Sold]] -$C$4) / $C$5</f>
        <v>-1.0550675652962918</v>
      </c>
      <c r="H414" t="str">
        <f t="shared" ca="1" si="23"/>
        <v>South</v>
      </c>
      <c r="I414">
        <v>32999.643649981022</v>
      </c>
      <c r="J414">
        <v>3.509424811472424</v>
      </c>
      <c r="K414">
        <v>3.3491021107431438</v>
      </c>
      <c r="L414">
        <v>5.0601915755583375</v>
      </c>
      <c r="M414">
        <v>116695.02652649765</v>
      </c>
      <c r="N414" s="82">
        <v>65</v>
      </c>
      <c r="O414">
        <v>73.873578312914617</v>
      </c>
      <c r="P4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14" t="str">
        <f t="shared" ca="1" si="24"/>
        <v>Online</v>
      </c>
      <c r="R414">
        <f>automotive_demand_forecasting_dataset567[[#This Row],[Units_Sold]]*automotive_demand_forecasting_dataset567[[#This Row],[Average_Price]]</f>
        <v>2936968.284848311</v>
      </c>
      <c r="S414" t="str">
        <f t="shared" ca="1" si="25"/>
        <v>OK</v>
      </c>
    </row>
    <row r="415" spans="1:19">
      <c r="A415" s="1">
        <v>54125</v>
      </c>
      <c r="B415" t="s">
        <v>14</v>
      </c>
      <c r="C415" t="str">
        <f>TEXT(automotive_demand_forecasting_dataset567[[#This Row],[Date]],"mmmm")</f>
        <v>March</v>
      </c>
      <c r="D415" t="str">
        <f>CHOOSE(MATCH(MONTH(A415), {1,4,7,10}), "Winter", "Spring", "Summer", "Autumn")</f>
        <v>Winter</v>
      </c>
      <c r="E415">
        <f>YEAR(automotive_demand_forecasting_dataset567[[#This Row],[Date]])</f>
        <v>2048</v>
      </c>
      <c r="F415">
        <v>83</v>
      </c>
      <c r="G415">
        <f>(automotive_demand_forecasting_dataset567[[#This Row],[Units_Sold]] -$C$4) / $C$5</f>
        <v>-1.6696700305174328</v>
      </c>
      <c r="H415" s="157" t="str">
        <f t="shared" ca="1" si="23"/>
        <v>North</v>
      </c>
      <c r="I415">
        <v>37653.754161718491</v>
      </c>
      <c r="J415">
        <v>3.8541072116282784</v>
      </c>
      <c r="K415">
        <v>2.2060330523358176</v>
      </c>
      <c r="L415">
        <v>3.4553540958079374</v>
      </c>
      <c r="M415">
        <v>118275.43242771171</v>
      </c>
      <c r="N415" s="82">
        <v>98</v>
      </c>
      <c r="O415">
        <v>69.159956820415402</v>
      </c>
      <c r="P4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15" t="str">
        <f t="shared" ca="1" si="24"/>
        <v>Online</v>
      </c>
      <c r="R415" s="157">
        <f>automotive_demand_forecasting_dataset567[[#This Row],[Units_Sold]]*automotive_demand_forecasting_dataset567[[#This Row],[Average_Price]]</f>
        <v>3125261.5954226349</v>
      </c>
      <c r="S415" t="str">
        <f t="shared" ca="1" si="25"/>
        <v>OK</v>
      </c>
    </row>
    <row r="416" spans="1:19">
      <c r="A416" s="1">
        <v>54155</v>
      </c>
      <c r="B416" t="s">
        <v>10</v>
      </c>
      <c r="C416" t="str">
        <f>TEXT(automotive_demand_forecasting_dataset567[[#This Row],[Date]],"mmmm")</f>
        <v>April</v>
      </c>
      <c r="D416" t="str">
        <f>CHOOSE(MATCH(MONTH(A416), {1,4,7,10}), "Winter", "Spring", "Summer", "Autumn")</f>
        <v>Spring</v>
      </c>
      <c r="E416">
        <f>YEAR(automotive_demand_forecasting_dataset567[[#This Row],[Date]])</f>
        <v>2048</v>
      </c>
      <c r="F416">
        <v>92</v>
      </c>
      <c r="G416">
        <f>(automotive_demand_forecasting_dataset567[[#This Row],[Units_Sold]] -$C$4) / $C$5</f>
        <v>-0.74776633268572135</v>
      </c>
      <c r="H416" t="str">
        <f t="shared" ca="1" si="23"/>
        <v>East</v>
      </c>
      <c r="I416">
        <v>36093.809258486581</v>
      </c>
      <c r="J416">
        <v>3.616608065631751</v>
      </c>
      <c r="K416">
        <v>2.4284007481419332</v>
      </c>
      <c r="L416">
        <v>4.3906408142445343</v>
      </c>
      <c r="M416">
        <v>69085.404266185331</v>
      </c>
      <c r="N416" s="82">
        <v>89</v>
      </c>
      <c r="O416">
        <v>91.397527516160935</v>
      </c>
      <c r="P4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16" t="str">
        <f t="shared" ca="1" si="24"/>
        <v>Online</v>
      </c>
      <c r="R416">
        <f>automotive_demand_forecasting_dataset567[[#This Row],[Units_Sold]]*automotive_demand_forecasting_dataset567[[#This Row],[Average_Price]]</f>
        <v>3320630.4517807653</v>
      </c>
      <c r="S416" t="str">
        <f t="shared" ca="1" si="25"/>
        <v>OK</v>
      </c>
    </row>
    <row r="417" spans="1:19">
      <c r="A417" s="1">
        <v>54185</v>
      </c>
      <c r="B417" t="s">
        <v>12</v>
      </c>
      <c r="C417" t="str">
        <f>TEXT(automotive_demand_forecasting_dataset567[[#This Row],[Date]],"mmmm")</f>
        <v>May</v>
      </c>
      <c r="D417" t="str">
        <f>CHOOSE(MATCH(MONTH(A417), {1,4,7,10}), "Winter", "Spring", "Summer", "Autumn")</f>
        <v>Spring</v>
      </c>
      <c r="E417">
        <f>YEAR(automotive_demand_forecasting_dataset567[[#This Row],[Date]])</f>
        <v>2048</v>
      </c>
      <c r="F417">
        <v>100</v>
      </c>
      <c r="G417">
        <f>(automotive_demand_forecasting_dataset567[[#This Row],[Units_Sold]] -$C$4) / $C$5</f>
        <v>7.1703620942466739E-2</v>
      </c>
      <c r="H417" t="str">
        <f t="shared" ca="1" si="23"/>
        <v>North</v>
      </c>
      <c r="I417">
        <v>28932.785645348958</v>
      </c>
      <c r="J417">
        <v>3.9765683169566226</v>
      </c>
      <c r="K417">
        <v>0.98212625331919057</v>
      </c>
      <c r="L417">
        <v>7.3754665222098374</v>
      </c>
      <c r="M417">
        <v>131796.77956361367</v>
      </c>
      <c r="N417" s="82">
        <v>88</v>
      </c>
      <c r="O417">
        <v>26.290136879180643</v>
      </c>
      <c r="P4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17" t="str">
        <f t="shared" ca="1" si="24"/>
        <v>Print</v>
      </c>
      <c r="R417">
        <f>automotive_demand_forecasting_dataset567[[#This Row],[Units_Sold]]*automotive_demand_forecasting_dataset567[[#This Row],[Average_Price]]</f>
        <v>2893278.5645348961</v>
      </c>
      <c r="S417" t="str">
        <f t="shared" ca="1" si="25"/>
        <v>OK</v>
      </c>
    </row>
    <row r="418" spans="1:19">
      <c r="A418" s="1">
        <v>54215</v>
      </c>
      <c r="B418" t="s">
        <v>11</v>
      </c>
      <c r="C418" t="str">
        <f>TEXT(automotive_demand_forecasting_dataset567[[#This Row],[Date]],"mmmm")</f>
        <v>June</v>
      </c>
      <c r="D418" t="str">
        <f>CHOOSE(MATCH(MONTH(A418), {1,4,7,10}), "Winter", "Spring", "Summer", "Autumn")</f>
        <v>Spring</v>
      </c>
      <c r="E418">
        <f>YEAR(automotive_demand_forecasting_dataset567[[#This Row],[Date]])</f>
        <v>2048</v>
      </c>
      <c r="F418">
        <v>100</v>
      </c>
      <c r="G418">
        <f>(automotive_demand_forecasting_dataset567[[#This Row],[Units_Sold]] -$C$4) / $C$5</f>
        <v>7.1703620942466739E-2</v>
      </c>
      <c r="H418" t="str">
        <f t="shared" ca="1" si="23"/>
        <v>South</v>
      </c>
      <c r="I418">
        <v>37453.630684249758</v>
      </c>
      <c r="J418">
        <v>3.6435620826009121</v>
      </c>
      <c r="K418">
        <v>2.1429707991933906</v>
      </c>
      <c r="L418">
        <v>5.1712083018048354</v>
      </c>
      <c r="M418">
        <v>111481.42441788003</v>
      </c>
      <c r="N418" s="82">
        <v>98</v>
      </c>
      <c r="O418">
        <v>80.215177969999999</v>
      </c>
      <c r="P4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18" t="str">
        <f t="shared" ca="1" si="24"/>
        <v>Billboards</v>
      </c>
      <c r="R418">
        <f>automotive_demand_forecasting_dataset567[[#This Row],[Units_Sold]]*automotive_demand_forecasting_dataset567[[#This Row],[Average_Price]]</f>
        <v>3745363.068424976</v>
      </c>
      <c r="S418" t="str">
        <f t="shared" ca="1" si="25"/>
        <v>OK</v>
      </c>
    </row>
    <row r="419" spans="1:19">
      <c r="A419" s="1">
        <v>54245</v>
      </c>
      <c r="B419" t="s">
        <v>14</v>
      </c>
      <c r="C419" t="str">
        <f>TEXT(automotive_demand_forecasting_dataset567[[#This Row],[Date]],"mmmm")</f>
        <v>July</v>
      </c>
      <c r="D419" t="str">
        <f>CHOOSE(MATCH(MONTH(A419), {1,4,7,10}), "Winter", "Spring", "Summer", "Autumn")</f>
        <v>Summer</v>
      </c>
      <c r="E419">
        <f>YEAR(automotive_demand_forecasting_dataset567[[#This Row],[Date]])</f>
        <v>2048</v>
      </c>
      <c r="F419">
        <v>102</v>
      </c>
      <c r="G419">
        <f>(automotive_demand_forecasting_dataset567[[#This Row],[Units_Sold]] -$C$4) / $C$5</f>
        <v>0.27657110934951373</v>
      </c>
      <c r="H419" s="157" t="str">
        <f t="shared" ca="1" si="23"/>
        <v>West</v>
      </c>
      <c r="I419">
        <v>30743.337286010559</v>
      </c>
      <c r="J419">
        <v>3.1937813126797812</v>
      </c>
      <c r="K419">
        <v>3.3903831635197861</v>
      </c>
      <c r="L419">
        <f t="shared" ref="L419:L420" si="26">6.97388673</f>
        <v>6.9738867300000003</v>
      </c>
      <c r="M419">
        <v>127991.89290291586</v>
      </c>
      <c r="N419" s="82">
        <v>88</v>
      </c>
      <c r="O419">
        <v>39.862998370467679</v>
      </c>
      <c r="P4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19" t="str">
        <f t="shared" ca="1" si="24"/>
        <v>Billboards</v>
      </c>
      <c r="R419" s="157">
        <f>automotive_demand_forecasting_dataset567[[#This Row],[Units_Sold]]*automotive_demand_forecasting_dataset567[[#This Row],[Average_Price]]</f>
        <v>3135820.4031730769</v>
      </c>
      <c r="S419" t="str">
        <f t="shared" ca="1" si="25"/>
        <v>OK</v>
      </c>
    </row>
    <row r="420" spans="1:19">
      <c r="A420" s="1">
        <v>54275</v>
      </c>
      <c r="B420" t="s">
        <v>12</v>
      </c>
      <c r="C420" t="str">
        <f>TEXT(automotive_demand_forecasting_dataset567[[#This Row],[Date]],"mmmm")</f>
        <v>August</v>
      </c>
      <c r="D420" t="str">
        <f>CHOOSE(MATCH(MONTH(A420), {1,4,7,10}), "Winter", "Spring", "Summer", "Autumn")</f>
        <v>Summer</v>
      </c>
      <c r="E420">
        <f>YEAR(automotive_demand_forecasting_dataset567[[#This Row],[Date]])</f>
        <v>2048</v>
      </c>
      <c r="F420">
        <v>107</v>
      </c>
      <c r="G420">
        <f>(automotive_demand_forecasting_dataset567[[#This Row],[Units_Sold]] -$C$4) / $C$5</f>
        <v>0.78873983036713124</v>
      </c>
      <c r="H420" t="str">
        <f t="shared" ca="1" si="23"/>
        <v>West</v>
      </c>
      <c r="I420">
        <v>28314.570144409805</v>
      </c>
      <c r="J420">
        <v>3.6807517626030508</v>
      </c>
      <c r="K420">
        <v>3.0752050161065663</v>
      </c>
      <c r="L420">
        <f t="shared" si="26"/>
        <v>6.9738867300000003</v>
      </c>
      <c r="M420">
        <v>73157.445030297706</v>
      </c>
      <c r="N420" s="82">
        <v>89</v>
      </c>
      <c r="O420">
        <v>99.041116965233726</v>
      </c>
      <c r="P4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20" t="str">
        <f t="shared" ca="1" si="24"/>
        <v>Print</v>
      </c>
      <c r="R420">
        <f>automotive_demand_forecasting_dataset567[[#This Row],[Units_Sold]]*automotive_demand_forecasting_dataset567[[#This Row],[Average_Price]]</f>
        <v>3029659.0054518492</v>
      </c>
      <c r="S420" t="str">
        <f t="shared" ca="1" si="25"/>
        <v>OK</v>
      </c>
    </row>
    <row r="421" spans="1:19">
      <c r="A421" s="1">
        <v>54305</v>
      </c>
      <c r="B421" t="s">
        <v>11</v>
      </c>
      <c r="C421" t="str">
        <f>TEXT(automotive_demand_forecasting_dataset567[[#This Row],[Date]],"mmmm")</f>
        <v>September</v>
      </c>
      <c r="D421" t="str">
        <f>CHOOSE(MATCH(MONTH(A421), {1,4,7,10}), "Winter", "Spring", "Summer", "Autumn")</f>
        <v>Summer</v>
      </c>
      <c r="E421">
        <f>YEAR(automotive_demand_forecasting_dataset567[[#This Row],[Date]])</f>
        <v>2048</v>
      </c>
      <c r="F421">
        <v>103</v>
      </c>
      <c r="G421">
        <f>(automotive_demand_forecasting_dataset567[[#This Row],[Units_Sold]] -$C$4) / $C$5</f>
        <v>0.37900485355303726</v>
      </c>
      <c r="H421" t="str">
        <f t="shared" ca="1" si="23"/>
        <v>South</v>
      </c>
      <c r="I421">
        <v>30949.702720000001</v>
      </c>
      <c r="J421">
        <v>2.928136896339669</v>
      </c>
      <c r="K421">
        <v>3.0006657213812096</v>
      </c>
      <c r="L421">
        <v>7.784963907487608</v>
      </c>
      <c r="M421">
        <v>72683.516891691223</v>
      </c>
      <c r="N421" s="82">
        <v>103</v>
      </c>
      <c r="O421">
        <v>51.151182373349883</v>
      </c>
      <c r="P4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21" t="str">
        <f t="shared" ca="1" si="24"/>
        <v>Print</v>
      </c>
      <c r="R421">
        <f>automotive_demand_forecasting_dataset567[[#This Row],[Units_Sold]]*automotive_demand_forecasting_dataset567[[#This Row],[Average_Price]]</f>
        <v>3187819.3801600002</v>
      </c>
      <c r="S421" t="str">
        <f t="shared" ca="1" si="25"/>
        <v>OK</v>
      </c>
    </row>
    <row r="422" spans="1:19">
      <c r="A422" s="1">
        <v>54335</v>
      </c>
      <c r="B422" t="s">
        <v>12</v>
      </c>
      <c r="C422" t="str">
        <f>TEXT(automotive_demand_forecasting_dataset567[[#This Row],[Date]],"mmmm")</f>
        <v>October</v>
      </c>
      <c r="D422" t="str">
        <f>CHOOSE(MATCH(MONTH(A422), {1,4,7,10}), "Winter", "Spring", "Summer", "Autumn")</f>
        <v>Autumn</v>
      </c>
      <c r="E422">
        <f>YEAR(automotive_demand_forecasting_dataset567[[#This Row],[Date]])</f>
        <v>2048</v>
      </c>
      <c r="F422">
        <v>100</v>
      </c>
      <c r="G422">
        <f>(automotive_demand_forecasting_dataset567[[#This Row],[Units_Sold]] -$C$4) / $C$5</f>
        <v>7.1703620942466739E-2</v>
      </c>
      <c r="H422" t="str">
        <f t="shared" ca="1" si="23"/>
        <v>North</v>
      </c>
      <c r="I422">
        <v>38106.295579999998</v>
      </c>
      <c r="J422">
        <v>3.5542798528882615</v>
      </c>
      <c r="K422">
        <v>2.5497736871809602</v>
      </c>
      <c r="L422">
        <v>7.4511506984344757</v>
      </c>
      <c r="M422">
        <v>97020.613804654058</v>
      </c>
      <c r="N422" s="82">
        <v>85</v>
      </c>
      <c r="O422">
        <v>78.609015939231895</v>
      </c>
      <c r="P4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22" t="str">
        <f t="shared" ca="1" si="24"/>
        <v>Online</v>
      </c>
      <c r="R422">
        <f>automotive_demand_forecasting_dataset567[[#This Row],[Units_Sold]]*automotive_demand_forecasting_dataset567[[#This Row],[Average_Price]]</f>
        <v>3810629.5579999997</v>
      </c>
      <c r="S422" t="str">
        <f t="shared" ca="1" si="25"/>
        <v>OK</v>
      </c>
    </row>
    <row r="423" spans="1:19">
      <c r="A423" s="1">
        <v>54365</v>
      </c>
      <c r="B423" t="s">
        <v>10</v>
      </c>
      <c r="C423" t="str">
        <f>TEXT(automotive_demand_forecasting_dataset567[[#This Row],[Date]],"mmmm")</f>
        <v>November</v>
      </c>
      <c r="D423" t="str">
        <f>CHOOSE(MATCH(MONTH(A423), {1,4,7,10}), "Winter", "Spring", "Summer", "Autumn")</f>
        <v>Autumn</v>
      </c>
      <c r="E423">
        <f>YEAR(automotive_demand_forecasting_dataset567[[#This Row],[Date]])</f>
        <v>2048</v>
      </c>
      <c r="F423">
        <v>100</v>
      </c>
      <c r="G423">
        <f>(automotive_demand_forecasting_dataset567[[#This Row],[Units_Sold]] -$C$4) / $C$5</f>
        <v>7.1703620942466739E-2</v>
      </c>
      <c r="H423" t="str">
        <f t="shared" ca="1" si="23"/>
        <v>South</v>
      </c>
      <c r="I423">
        <v>28059.115907293857</v>
      </c>
      <c r="J423">
        <v>3.4833850046777695</v>
      </c>
      <c r="K423">
        <v>2.5070631586281764</v>
      </c>
      <c r="L423">
        <v>8.1625362801377612</v>
      </c>
      <c r="M423">
        <v>110055.68853790389</v>
      </c>
      <c r="N423" s="82">
        <v>90</v>
      </c>
      <c r="O423">
        <v>80.215177969999999</v>
      </c>
      <c r="P4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23" t="str">
        <f t="shared" ca="1" si="24"/>
        <v>Print</v>
      </c>
      <c r="R423">
        <f>automotive_demand_forecasting_dataset567[[#This Row],[Units_Sold]]*automotive_demand_forecasting_dataset567[[#This Row],[Average_Price]]</f>
        <v>2805911.5907293856</v>
      </c>
      <c r="S423" t="str">
        <f t="shared" ca="1" si="25"/>
        <v>OK</v>
      </c>
    </row>
    <row r="424" spans="1:19">
      <c r="A424" s="1">
        <v>54395</v>
      </c>
      <c r="B424" t="s">
        <v>14</v>
      </c>
      <c r="C424" t="str">
        <f>TEXT(automotive_demand_forecasting_dataset567[[#This Row],[Date]],"mmmm")</f>
        <v>December</v>
      </c>
      <c r="D424" t="str">
        <f>CHOOSE(MATCH(MONTH(A424), {1,4,7,10}), "Winter", "Spring", "Summer", "Autumn")</f>
        <v>Autumn</v>
      </c>
      <c r="E424">
        <f>YEAR(automotive_demand_forecasting_dataset567[[#This Row],[Date]])</f>
        <v>2048</v>
      </c>
      <c r="F424">
        <v>85</v>
      </c>
      <c r="G424">
        <f>(automotive_demand_forecasting_dataset567[[#This Row],[Units_Sold]] -$C$4) / $C$5</f>
        <v>-1.4648025421103859</v>
      </c>
      <c r="H424" s="157" t="str">
        <f t="shared" ca="1" si="23"/>
        <v>West</v>
      </c>
      <c r="I424">
        <v>30852.08111187744</v>
      </c>
      <c r="J424">
        <v>3.3959415713637302</v>
      </c>
      <c r="K424">
        <v>1.8396788605265528</v>
      </c>
      <c r="L424">
        <v>5.3091457475199384</v>
      </c>
      <c r="M424">
        <v>135927.21645853927</v>
      </c>
      <c r="N424" s="82">
        <v>84</v>
      </c>
      <c r="O424">
        <v>36.966498998190218</v>
      </c>
      <c r="P4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24" t="str">
        <f t="shared" ca="1" si="24"/>
        <v>Online</v>
      </c>
      <c r="R424" s="157">
        <f>automotive_demand_forecasting_dataset567[[#This Row],[Units_Sold]]*automotive_demand_forecasting_dataset567[[#This Row],[Average_Price]]</f>
        <v>2622426.8945095823</v>
      </c>
      <c r="S424" t="str">
        <f t="shared" ca="1" si="25"/>
        <v>OK</v>
      </c>
    </row>
    <row r="425" spans="1:19">
      <c r="A425" s="1">
        <v>54425</v>
      </c>
      <c r="B425" t="s">
        <v>10</v>
      </c>
      <c r="C425" t="str">
        <f>TEXT(automotive_demand_forecasting_dataset567[[#This Row],[Date]],"mmmm")</f>
        <v>January</v>
      </c>
      <c r="D425" t="str">
        <f>CHOOSE(MATCH(MONTH(A425), {1,4,7,10}), "Winter", "Spring", "Summer", "Autumn")</f>
        <v>Winter</v>
      </c>
      <c r="E425">
        <f>YEAR(automotive_demand_forecasting_dataset567[[#This Row],[Date]])</f>
        <v>2049</v>
      </c>
      <c r="F425">
        <v>107</v>
      </c>
      <c r="G425">
        <f>(automotive_demand_forecasting_dataset567[[#This Row],[Units_Sold]] -$C$4) / $C$5</f>
        <v>0.78873983036713124</v>
      </c>
      <c r="H425" t="str">
        <f t="shared" ca="1" si="23"/>
        <v>North</v>
      </c>
      <c r="I425">
        <v>30802.869905249325</v>
      </c>
      <c r="J425">
        <v>3.4357312442805346</v>
      </c>
      <c r="K425">
        <v>3.1988284202025348</v>
      </c>
      <c r="L425">
        <v>5.8547493864965139</v>
      </c>
      <c r="M425">
        <v>114121.57827630264</v>
      </c>
      <c r="N425" s="82">
        <v>78</v>
      </c>
      <c r="O425">
        <v>39.119814416924108</v>
      </c>
      <c r="P4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25" t="str">
        <f t="shared" ca="1" si="24"/>
        <v>Online</v>
      </c>
      <c r="R425">
        <f>automotive_demand_forecasting_dataset567[[#This Row],[Units_Sold]]*automotive_demand_forecasting_dataset567[[#This Row],[Average_Price]]</f>
        <v>3295907.0798616777</v>
      </c>
      <c r="S425" t="str">
        <f t="shared" ca="1" si="25"/>
        <v>OK</v>
      </c>
    </row>
    <row r="426" spans="1:19">
      <c r="A426" s="1">
        <v>54455</v>
      </c>
      <c r="B426" t="s">
        <v>14</v>
      </c>
      <c r="C426" t="str">
        <f>TEXT(automotive_demand_forecasting_dataset567[[#This Row],[Date]],"mmmm")</f>
        <v>February</v>
      </c>
      <c r="D426" t="str">
        <f>CHOOSE(MATCH(MONTH(A426), {1,4,7,10}), "Winter", "Spring", "Summer", "Autumn")</f>
        <v>Winter</v>
      </c>
      <c r="E426">
        <f>YEAR(automotive_demand_forecasting_dataset567[[#This Row],[Date]])</f>
        <v>2049</v>
      </c>
      <c r="F426">
        <v>106</v>
      </c>
      <c r="G426">
        <f>(automotive_demand_forecasting_dataset567[[#This Row],[Units_Sold]] -$C$4) / $C$5</f>
        <v>0.68630608616360778</v>
      </c>
      <c r="H426" s="157" t="str">
        <f t="shared" ca="1" si="23"/>
        <v>South</v>
      </c>
      <c r="I426">
        <v>30015.230100767072</v>
      </c>
      <c r="J426">
        <v>2.5590754772511803</v>
      </c>
      <c r="K426">
        <v>2.9209729443893897</v>
      </c>
      <c r="L426">
        <v>3.6800289406950508</v>
      </c>
      <c r="M426">
        <v>95146.374463759334</v>
      </c>
      <c r="N426" s="82">
        <v>84</v>
      </c>
      <c r="O426">
        <v>42.502765084242725</v>
      </c>
      <c r="P4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26" t="str">
        <f t="shared" ca="1" si="24"/>
        <v>Print</v>
      </c>
      <c r="R426" s="157">
        <f>automotive_demand_forecasting_dataset567[[#This Row],[Units_Sold]]*automotive_demand_forecasting_dataset567[[#This Row],[Average_Price]]</f>
        <v>3181614.3906813096</v>
      </c>
      <c r="S426" t="str">
        <f t="shared" ca="1" si="25"/>
        <v>OK</v>
      </c>
    </row>
    <row r="427" spans="1:19">
      <c r="A427" s="1">
        <v>54485</v>
      </c>
      <c r="B427" t="s">
        <v>12</v>
      </c>
      <c r="C427" t="str">
        <f>TEXT(automotive_demand_forecasting_dataset567[[#This Row],[Date]],"mmmm")</f>
        <v>March</v>
      </c>
      <c r="D427" t="str">
        <f>CHOOSE(MATCH(MONTH(A427), {1,4,7,10}), "Winter", "Spring", "Summer", "Autumn")</f>
        <v>Winter</v>
      </c>
      <c r="E427">
        <f>YEAR(automotive_demand_forecasting_dataset567[[#This Row],[Date]])</f>
        <v>2049</v>
      </c>
      <c r="F427">
        <v>92</v>
      </c>
      <c r="G427">
        <f>(automotive_demand_forecasting_dataset567[[#This Row],[Units_Sold]] -$C$4) / $C$5</f>
        <v>-0.74776633268572135</v>
      </c>
      <c r="H427" t="str">
        <f t="shared" ca="1" si="23"/>
        <v>East</v>
      </c>
      <c r="I427">
        <v>32184.690848731749</v>
      </c>
      <c r="J427">
        <v>3.2256375461295193</v>
      </c>
      <c r="K427">
        <v>2.9920188479927994</v>
      </c>
      <c r="L427">
        <v>7.2723213113419289</v>
      </c>
      <c r="M427">
        <v>79472.615846682165</v>
      </c>
      <c r="N427" s="82">
        <v>70</v>
      </c>
      <c r="O427">
        <v>52.890182260750336</v>
      </c>
      <c r="P4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27" t="str">
        <f t="shared" ca="1" si="24"/>
        <v>Print</v>
      </c>
      <c r="R427">
        <f>automotive_demand_forecasting_dataset567[[#This Row],[Units_Sold]]*automotive_demand_forecasting_dataset567[[#This Row],[Average_Price]]</f>
        <v>2960991.558083321</v>
      </c>
      <c r="S427" t="str">
        <f t="shared" ca="1" si="25"/>
        <v>OK</v>
      </c>
    </row>
    <row r="428" spans="1:19">
      <c r="A428" s="1">
        <v>54515</v>
      </c>
      <c r="B428" t="s">
        <v>12</v>
      </c>
      <c r="C428" t="str">
        <f>TEXT(automotive_demand_forecasting_dataset567[[#This Row],[Date]],"mmmm")</f>
        <v>April</v>
      </c>
      <c r="D428" t="str">
        <f>CHOOSE(MATCH(MONTH(A428), {1,4,7,10}), "Winter", "Spring", "Summer", "Autumn")</f>
        <v>Spring</v>
      </c>
      <c r="E428">
        <f>YEAR(automotive_demand_forecasting_dataset567[[#This Row],[Date]])</f>
        <v>2049</v>
      </c>
      <c r="F428">
        <v>110</v>
      </c>
      <c r="G428">
        <f>(automotive_demand_forecasting_dataset567[[#This Row],[Units_Sold]] -$C$4) / $C$5</f>
        <v>1.0960410629777018</v>
      </c>
      <c r="H428" t="str">
        <f t="shared" ca="1" si="23"/>
        <v>North</v>
      </c>
      <c r="I428">
        <v>35953.231373931703</v>
      </c>
      <c r="J428">
        <v>4.5778345189999996</v>
      </c>
      <c r="K428">
        <v>1.9739651573324197</v>
      </c>
      <c r="L428">
        <v>4.0986645384784781</v>
      </c>
      <c r="M428">
        <v>124600.011454383</v>
      </c>
      <c r="N428" s="82">
        <v>74</v>
      </c>
      <c r="O428">
        <v>38.746005252042146</v>
      </c>
      <c r="P4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28" t="str">
        <f t="shared" ca="1" si="24"/>
        <v>Billboards</v>
      </c>
      <c r="R428">
        <f>automotive_demand_forecasting_dataset567[[#This Row],[Units_Sold]]*automotive_demand_forecasting_dataset567[[#This Row],[Average_Price]]</f>
        <v>3954855.4511324875</v>
      </c>
      <c r="S428" t="str">
        <f t="shared" ca="1" si="25"/>
        <v>OK</v>
      </c>
    </row>
    <row r="429" spans="1:19">
      <c r="A429" s="1">
        <v>54545</v>
      </c>
      <c r="B429" t="s">
        <v>14</v>
      </c>
      <c r="C429" t="str">
        <f>TEXT(automotive_demand_forecasting_dataset567[[#This Row],[Date]],"mmmm")</f>
        <v>May</v>
      </c>
      <c r="D429" t="str">
        <f>CHOOSE(MATCH(MONTH(A429), {1,4,7,10}), "Winter", "Spring", "Summer", "Autumn")</f>
        <v>Spring</v>
      </c>
      <c r="E429">
        <f>YEAR(automotive_demand_forecasting_dataset567[[#This Row],[Date]])</f>
        <v>2049</v>
      </c>
      <c r="F429">
        <v>93</v>
      </c>
      <c r="G429">
        <f>(automotive_demand_forecasting_dataset567[[#This Row],[Units_Sold]] -$C$4) / $C$5</f>
        <v>-0.64533258848219777</v>
      </c>
      <c r="H429" s="157" t="str">
        <f t="shared" ca="1" si="23"/>
        <v>West</v>
      </c>
      <c r="I429">
        <v>34747.770677206616</v>
      </c>
      <c r="J429">
        <v>3.5799281959987002</v>
      </c>
      <c r="K429">
        <v>0.34665708012875562</v>
      </c>
      <c r="L429">
        <v>5.7601306765151552</v>
      </c>
      <c r="M429">
        <v>80705.89148498571</v>
      </c>
      <c r="N429" s="82">
        <v>88</v>
      </c>
      <c r="O429">
        <v>21.572118619747826</v>
      </c>
      <c r="P4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29" t="str">
        <f t="shared" ca="1" si="24"/>
        <v>TV</v>
      </c>
      <c r="R429" s="157">
        <f>automotive_demand_forecasting_dataset567[[#This Row],[Units_Sold]]*automotive_demand_forecasting_dataset567[[#This Row],[Average_Price]]</f>
        <v>3231542.6729802154</v>
      </c>
      <c r="S429" t="str">
        <f t="shared" ca="1" si="25"/>
        <v>OK</v>
      </c>
    </row>
    <row r="430" spans="1:19">
      <c r="A430" s="1">
        <v>54575</v>
      </c>
      <c r="B430" t="s">
        <v>11</v>
      </c>
      <c r="C430" t="str">
        <f>TEXT(automotive_demand_forecasting_dataset567[[#This Row],[Date]],"mmmm")</f>
        <v>June</v>
      </c>
      <c r="D430" t="str">
        <f>CHOOSE(MATCH(MONTH(A430), {1,4,7,10}), "Winter", "Spring", "Summer", "Autumn")</f>
        <v>Spring</v>
      </c>
      <c r="E430">
        <f>YEAR(automotive_demand_forecasting_dataset567[[#This Row],[Date]])</f>
        <v>2049</v>
      </c>
      <c r="F430">
        <v>100</v>
      </c>
      <c r="G430">
        <f>(automotive_demand_forecasting_dataset567[[#This Row],[Units_Sold]] -$C$4) / $C$5</f>
        <v>7.1703620942466739E-2</v>
      </c>
      <c r="H430" t="str">
        <f t="shared" ca="1" si="23"/>
        <v>West</v>
      </c>
      <c r="I430">
        <v>22575.510157750483</v>
      </c>
      <c r="J430">
        <v>2.9861624295370208</v>
      </c>
      <c r="K430">
        <v>3.5971527117536954</v>
      </c>
      <c r="L430">
        <v>4.1832369668405871</v>
      </c>
      <c r="M430">
        <v>132569.37109544643</v>
      </c>
      <c r="N430" s="82">
        <f>111.9136842</f>
        <v>111.91368420000001</v>
      </c>
      <c r="O430">
        <v>90.351444544575642</v>
      </c>
      <c r="P4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30" t="str">
        <f t="shared" ca="1" si="24"/>
        <v>TV</v>
      </c>
      <c r="R430">
        <f>automotive_demand_forecasting_dataset567[[#This Row],[Units_Sold]]*automotive_demand_forecasting_dataset567[[#This Row],[Average_Price]]</f>
        <v>2257551.0157750482</v>
      </c>
      <c r="S430" t="str">
        <f t="shared" ca="1" si="25"/>
        <v>OK</v>
      </c>
    </row>
    <row r="431" spans="1:19">
      <c r="A431" s="1">
        <v>54605</v>
      </c>
      <c r="B431" t="s">
        <v>11</v>
      </c>
      <c r="C431" t="str">
        <f>TEXT(automotive_demand_forecasting_dataset567[[#This Row],[Date]],"mmmm")</f>
        <v>July</v>
      </c>
      <c r="D431" t="str">
        <f>CHOOSE(MATCH(MONTH(A431), {1,4,7,10}), "Winter", "Spring", "Summer", "Autumn")</f>
        <v>Summer</v>
      </c>
      <c r="E431">
        <f>YEAR(automotive_demand_forecasting_dataset567[[#This Row],[Date]])</f>
        <v>2049</v>
      </c>
      <c r="F431">
        <v>117</v>
      </c>
      <c r="G431">
        <f>(automotive_demand_forecasting_dataset567[[#This Row],[Units_Sold]] -$C$4) / $C$5</f>
        <v>1.8130772724023663</v>
      </c>
      <c r="H431" t="str">
        <f t="shared" ca="1" si="23"/>
        <v>South</v>
      </c>
      <c r="I431">
        <v>17230.394325490226</v>
      </c>
      <c r="J431">
        <v>4.1328539204323507</v>
      </c>
      <c r="K431">
        <v>2.0211625439915957</v>
      </c>
      <c r="L431">
        <v>4.7933598079135651</v>
      </c>
      <c r="M431">
        <v>94312.307007869807</v>
      </c>
      <c r="N431" s="82">
        <v>74</v>
      </c>
      <c r="O431">
        <v>97.248786510470723</v>
      </c>
      <c r="P4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31" t="str">
        <f t="shared" ca="1" si="24"/>
        <v>Billboards</v>
      </c>
      <c r="R431">
        <f>automotive_demand_forecasting_dataset567[[#This Row],[Units_Sold]]*automotive_demand_forecasting_dataset567[[#This Row],[Average_Price]]</f>
        <v>2015956.1360823563</v>
      </c>
      <c r="S431" t="str">
        <f t="shared" ca="1" si="25"/>
        <v>OK</v>
      </c>
    </row>
    <row r="432" spans="1:19">
      <c r="A432" s="1">
        <v>54635</v>
      </c>
      <c r="B432" t="s">
        <v>12</v>
      </c>
      <c r="C432" t="str">
        <f>TEXT(automotive_demand_forecasting_dataset567[[#This Row],[Date]],"mmmm")</f>
        <v>July</v>
      </c>
      <c r="D432" t="str">
        <f>CHOOSE(MATCH(MONTH(A432), {1,4,7,10}), "Winter", "Spring", "Summer", "Autumn")</f>
        <v>Summer</v>
      </c>
      <c r="E432">
        <f>YEAR(automotive_demand_forecasting_dataset567[[#This Row],[Date]])</f>
        <v>2049</v>
      </c>
      <c r="F432">
        <v>122</v>
      </c>
      <c r="G432">
        <f>(automotive_demand_forecasting_dataset567[[#This Row],[Units_Sold]] -$C$4) / $C$5</f>
        <v>2.3252459934199838</v>
      </c>
      <c r="H432" t="str">
        <f t="shared" ca="1" si="23"/>
        <v>South</v>
      </c>
      <c r="I432">
        <v>34671.599556196365</v>
      </c>
      <c r="J432">
        <v>3.0669125758927498</v>
      </c>
      <c r="K432">
        <v>1.6372242359568794</v>
      </c>
      <c r="L432">
        <v>4.4952850827403594</v>
      </c>
      <c r="M432">
        <v>131811.641452357</v>
      </c>
      <c r="N432" s="82">
        <v>85</v>
      </c>
      <c r="O432">
        <v>65.454227669999995</v>
      </c>
      <c r="P4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32" t="str">
        <f t="shared" ca="1" si="24"/>
        <v>TV</v>
      </c>
      <c r="R432">
        <f>automotive_demand_forecasting_dataset567[[#This Row],[Units_Sold]]*automotive_demand_forecasting_dataset567[[#This Row],[Average_Price]]</f>
        <v>4229935.1458559567</v>
      </c>
      <c r="S432" t="str">
        <f t="shared" ca="1" si="25"/>
        <v>OK</v>
      </c>
    </row>
    <row r="433" spans="1:19">
      <c r="A433" s="1">
        <v>54665</v>
      </c>
      <c r="B433" t="s">
        <v>12</v>
      </c>
      <c r="C433" t="str">
        <f>TEXT(automotive_demand_forecasting_dataset567[[#This Row],[Date]],"mmmm")</f>
        <v>August</v>
      </c>
      <c r="D433" t="str">
        <f>CHOOSE(MATCH(MONTH(A433), {1,4,7,10}), "Winter", "Spring", "Summer", "Autumn")</f>
        <v>Summer</v>
      </c>
      <c r="E433">
        <f>YEAR(automotive_demand_forecasting_dataset567[[#This Row],[Date]])</f>
        <v>2049</v>
      </c>
      <c r="F433">
        <v>90</v>
      </c>
      <c r="G433">
        <f>(automotive_demand_forecasting_dataset567[[#This Row],[Units_Sold]] -$C$4) / $C$5</f>
        <v>-0.95263382109276828</v>
      </c>
      <c r="H433" t="str">
        <f t="shared" ca="1" si="23"/>
        <v>North</v>
      </c>
      <c r="I433">
        <v>23165.606507922894</v>
      </c>
      <c r="J433">
        <v>3.9847286002633684</v>
      </c>
      <c r="K433">
        <v>3.1934789119139939</v>
      </c>
      <c r="L433">
        <v>4.7705496871890185</v>
      </c>
      <c r="M433">
        <v>113578.62580118557</v>
      </c>
      <c r="N433" s="82">
        <v>105</v>
      </c>
      <c r="O433">
        <v>47.080550354037825</v>
      </c>
      <c r="P4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33" t="str">
        <f t="shared" ca="1" si="24"/>
        <v>Radio</v>
      </c>
      <c r="R433">
        <f>automotive_demand_forecasting_dataset567[[#This Row],[Units_Sold]]*automotive_demand_forecasting_dataset567[[#This Row],[Average_Price]]</f>
        <v>2084904.5857130603</v>
      </c>
      <c r="S433" t="str">
        <f t="shared" ca="1" si="25"/>
        <v>OK</v>
      </c>
    </row>
    <row r="434" spans="1:19">
      <c r="A434" s="1">
        <v>54695</v>
      </c>
      <c r="B434" t="s">
        <v>10</v>
      </c>
      <c r="C434" t="str">
        <f>TEXT(automotive_demand_forecasting_dataset567[[#This Row],[Date]],"mmmm")</f>
        <v>September</v>
      </c>
      <c r="D434" t="str">
        <f>CHOOSE(MATCH(MONTH(A434), {1,4,7,10}), "Winter", "Spring", "Summer", "Autumn")</f>
        <v>Summer</v>
      </c>
      <c r="E434">
        <f>YEAR(automotive_demand_forecasting_dataset567[[#This Row],[Date]])</f>
        <v>2049</v>
      </c>
      <c r="F434">
        <v>113</v>
      </c>
      <c r="G434">
        <f>(automotive_demand_forecasting_dataset567[[#This Row],[Units_Sold]] -$C$4) / $C$5</f>
        <v>1.4033422955882724</v>
      </c>
      <c r="H434" t="str">
        <f t="shared" ca="1" si="23"/>
        <v>East</v>
      </c>
      <c r="I434">
        <v>28876.172990536583</v>
      </c>
      <c r="J434">
        <v>3.7135971809358423</v>
      </c>
      <c r="K434">
        <v>2.1079873600808705</v>
      </c>
      <c r="L434">
        <v>4.853052756221226</v>
      </c>
      <c r="M434">
        <v>97260.090211150833</v>
      </c>
      <c r="N434" s="82">
        <v>75</v>
      </c>
      <c r="O434">
        <v>20.567345021949677</v>
      </c>
      <c r="P4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34" t="str">
        <f t="shared" ca="1" si="24"/>
        <v>Radio</v>
      </c>
      <c r="R434">
        <f>automotive_demand_forecasting_dataset567[[#This Row],[Units_Sold]]*automotive_demand_forecasting_dataset567[[#This Row],[Average_Price]]</f>
        <v>3263007.5479306336</v>
      </c>
      <c r="S434" t="str">
        <f t="shared" ca="1" si="25"/>
        <v>OK</v>
      </c>
    </row>
    <row r="435" spans="1:19">
      <c r="A435" s="1">
        <v>54725</v>
      </c>
      <c r="B435" t="s">
        <v>12</v>
      </c>
      <c r="C435" t="str">
        <f>TEXT(automotive_demand_forecasting_dataset567[[#This Row],[Date]],"mmmm")</f>
        <v>October</v>
      </c>
      <c r="D435" t="str">
        <f>CHOOSE(MATCH(MONTH(A435), {1,4,7,10}), "Winter", "Spring", "Summer", "Autumn")</f>
        <v>Autumn</v>
      </c>
      <c r="E435">
        <f>YEAR(automotive_demand_forecasting_dataset567[[#This Row],[Date]])</f>
        <v>2049</v>
      </c>
      <c r="F435">
        <v>110</v>
      </c>
      <c r="G435">
        <f>(automotive_demand_forecasting_dataset567[[#This Row],[Units_Sold]] -$C$4) / $C$5</f>
        <v>1.0960410629777018</v>
      </c>
      <c r="H435" t="str">
        <f t="shared" ca="1" si="23"/>
        <v>East</v>
      </c>
      <c r="I435">
        <v>24149.434869703204</v>
      </c>
      <c r="J435">
        <v>3.1768863450780986</v>
      </c>
      <c r="K435">
        <v>3.5599363840466216</v>
      </c>
      <c r="L435">
        <v>4.8420774460899079</v>
      </c>
      <c r="M435">
        <v>89612.072563477472</v>
      </c>
      <c r="N435" s="82">
        <v>89</v>
      </c>
      <c r="O435">
        <v>65.454227669999995</v>
      </c>
      <c r="P4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35" t="str">
        <f t="shared" ca="1" si="24"/>
        <v>TV</v>
      </c>
      <c r="R435">
        <f>automotive_demand_forecasting_dataset567[[#This Row],[Units_Sold]]*automotive_demand_forecasting_dataset567[[#This Row],[Average_Price]]</f>
        <v>2656437.8356673522</v>
      </c>
      <c r="S435" t="str">
        <f t="shared" ca="1" si="25"/>
        <v>OK</v>
      </c>
    </row>
    <row r="436" spans="1:19">
      <c r="A436" s="1">
        <v>54755</v>
      </c>
      <c r="B436" t="s">
        <v>14</v>
      </c>
      <c r="C436" t="str">
        <f>TEXT(automotive_demand_forecasting_dataset567[[#This Row],[Date]],"mmmm")</f>
        <v>November</v>
      </c>
      <c r="D436" t="str">
        <f>CHOOSE(MATCH(MONTH(A436), {1,4,7,10}), "Winter", "Spring", "Summer", "Autumn")</f>
        <v>Autumn</v>
      </c>
      <c r="E436">
        <f>YEAR(automotive_demand_forecasting_dataset567[[#This Row],[Date]])</f>
        <v>2049</v>
      </c>
      <c r="F436">
        <v>106</v>
      </c>
      <c r="G436">
        <f>(automotive_demand_forecasting_dataset567[[#This Row],[Units_Sold]] -$C$4) / $C$5</f>
        <v>0.68630608616360778</v>
      </c>
      <c r="H436" s="157" t="str">
        <f t="shared" ca="1" si="23"/>
        <v>North</v>
      </c>
      <c r="I436">
        <v>20990.097812099899</v>
      </c>
      <c r="J436">
        <v>4.5778345189999996</v>
      </c>
      <c r="K436">
        <v>3.1170059495766975</v>
      </c>
      <c r="L436">
        <v>6.5000006941363688</v>
      </c>
      <c r="M436">
        <f>128897.2893</f>
        <v>128897.2893</v>
      </c>
      <c r="N436" s="82">
        <v>84</v>
      </c>
      <c r="O436">
        <v>80.215177969999999</v>
      </c>
      <c r="P4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36" t="str">
        <f t="shared" ca="1" si="24"/>
        <v>Billboards</v>
      </c>
      <c r="R436" s="157">
        <f>automotive_demand_forecasting_dataset567[[#This Row],[Units_Sold]]*automotive_demand_forecasting_dataset567[[#This Row],[Average_Price]]</f>
        <v>2224950.3680825895</v>
      </c>
      <c r="S436" t="str">
        <f t="shared" ca="1" si="25"/>
        <v>OK</v>
      </c>
    </row>
    <row r="437" spans="1:19">
      <c r="A437" s="1">
        <v>54785</v>
      </c>
      <c r="B437" t="s">
        <v>11</v>
      </c>
      <c r="C437" t="str">
        <f>TEXT(automotive_demand_forecasting_dataset567[[#This Row],[Date]],"mmmm")</f>
        <v>December</v>
      </c>
      <c r="D437" t="str">
        <f>CHOOSE(MATCH(MONTH(A437), {1,4,7,10}), "Winter", "Spring", "Summer", "Autumn")</f>
        <v>Autumn</v>
      </c>
      <c r="E437">
        <f>YEAR(automotive_demand_forecasting_dataset567[[#This Row],[Date]])</f>
        <v>2049</v>
      </c>
      <c r="F437">
        <v>92</v>
      </c>
      <c r="G437">
        <f>(automotive_demand_forecasting_dataset567[[#This Row],[Units_Sold]] -$C$4) / $C$5</f>
        <v>-0.74776633268572135</v>
      </c>
      <c r="H437" t="str">
        <f t="shared" ca="1" si="23"/>
        <v>North</v>
      </c>
      <c r="I437">
        <v>32707.313641023939</v>
      </c>
      <c r="J437">
        <v>2.9031815841217599</v>
      </c>
      <c r="K437">
        <f>3.224108373</f>
        <v>3.224108373</v>
      </c>
      <c r="L437">
        <v>4.1741646483249761</v>
      </c>
      <c r="M437">
        <v>108566.33384750475</v>
      </c>
      <c r="N437" s="82">
        <v>91</v>
      </c>
      <c r="O437">
        <v>31.728664028800253</v>
      </c>
      <c r="P4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37" t="str">
        <f t="shared" ca="1" si="24"/>
        <v>Print</v>
      </c>
      <c r="R437">
        <f>automotive_demand_forecasting_dataset567[[#This Row],[Units_Sold]]*automotive_demand_forecasting_dataset567[[#This Row],[Average_Price]]</f>
        <v>3009072.8549742023</v>
      </c>
      <c r="S437" t="str">
        <f t="shared" ca="1" si="25"/>
        <v>OK</v>
      </c>
    </row>
    <row r="438" spans="1:19">
      <c r="A438" s="1">
        <v>54815</v>
      </c>
      <c r="B438" t="s">
        <v>11</v>
      </c>
      <c r="C438" t="str">
        <f>TEXT(automotive_demand_forecasting_dataset567[[#This Row],[Date]],"mmmm")</f>
        <v>January</v>
      </c>
      <c r="D438" t="str">
        <f>CHOOSE(MATCH(MONTH(A438), {1,4,7,10}), "Winter", "Spring", "Summer", "Autumn")</f>
        <v>Winter</v>
      </c>
      <c r="E438">
        <f>YEAR(automotive_demand_forecasting_dataset567[[#This Row],[Date]])</f>
        <v>2050</v>
      </c>
      <c r="F438">
        <v>121</v>
      </c>
      <c r="G438">
        <f>(automotive_demand_forecasting_dataset567[[#This Row],[Units_Sold]] -$C$4) / $C$5</f>
        <v>2.2228122492164601</v>
      </c>
      <c r="H438" t="str">
        <f t="shared" ca="1" si="23"/>
        <v>West</v>
      </c>
      <c r="I438">
        <v>33795.775801513235</v>
      </c>
      <c r="J438">
        <v>3.9595770868050009</v>
      </c>
      <c r="K438">
        <v>1.1340442887994657</v>
      </c>
      <c r="L438">
        <f>6.97388673</f>
        <v>6.9738867300000003</v>
      </c>
      <c r="M438">
        <f>128897.2893</f>
        <v>128897.2893</v>
      </c>
      <c r="N438" s="82">
        <v>101</v>
      </c>
      <c r="O438">
        <v>32.773307949372061</v>
      </c>
      <c r="P4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38" t="str">
        <f t="shared" ca="1" si="24"/>
        <v>Radio</v>
      </c>
      <c r="R438">
        <f>automotive_demand_forecasting_dataset567[[#This Row],[Units_Sold]]*automotive_demand_forecasting_dataset567[[#This Row],[Average_Price]]</f>
        <v>4089288.8719831016</v>
      </c>
      <c r="S438" t="str">
        <f t="shared" ca="1" si="25"/>
        <v>OK</v>
      </c>
    </row>
    <row r="439" spans="1:19">
      <c r="A439" s="1">
        <v>54845</v>
      </c>
      <c r="B439" t="s">
        <v>10</v>
      </c>
      <c r="C439" t="str">
        <f>TEXT(automotive_demand_forecasting_dataset567[[#This Row],[Date]],"mmmm")</f>
        <v>February</v>
      </c>
      <c r="D439" t="str">
        <f>CHOOSE(MATCH(MONTH(A439), {1,4,7,10}), "Winter", "Spring", "Summer", "Autumn")</f>
        <v>Winter</v>
      </c>
      <c r="E439">
        <f>YEAR(automotive_demand_forecasting_dataset567[[#This Row],[Date]])</f>
        <v>2050</v>
      </c>
      <c r="F439">
        <v>89</v>
      </c>
      <c r="G439">
        <f>(automotive_demand_forecasting_dataset567[[#This Row],[Units_Sold]] -$C$4) / $C$5</f>
        <v>-1.0550675652962918</v>
      </c>
      <c r="H439" t="str">
        <f t="shared" ca="1" si="23"/>
        <v>South</v>
      </c>
      <c r="I439">
        <v>27117.447996366402</v>
      </c>
      <c r="J439">
        <v>4.0002911590214891</v>
      </c>
      <c r="K439">
        <v>3.7119439853864007</v>
      </c>
      <c r="L439">
        <v>6.9615509827666697</v>
      </c>
      <c r="M439">
        <v>88123.771838625893</v>
      </c>
      <c r="N439" s="82">
        <v>93</v>
      </c>
      <c r="O439">
        <v>83.206659997715022</v>
      </c>
      <c r="P4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39" t="str">
        <f t="shared" ca="1" si="24"/>
        <v>Billboards</v>
      </c>
      <c r="R439">
        <f>automotive_demand_forecasting_dataset567[[#This Row],[Units_Sold]]*automotive_demand_forecasting_dataset567[[#This Row],[Average_Price]]</f>
        <v>2413452.8716766099</v>
      </c>
      <c r="S439" t="str">
        <f t="shared" ca="1" si="25"/>
        <v>OK</v>
      </c>
    </row>
    <row r="440" spans="1:19">
      <c r="A440" s="1">
        <v>54875</v>
      </c>
      <c r="B440" t="s">
        <v>11</v>
      </c>
      <c r="C440" t="str">
        <f>TEXT(automotive_demand_forecasting_dataset567[[#This Row],[Date]],"mmmm")</f>
        <v>March</v>
      </c>
      <c r="D440" t="str">
        <f>CHOOSE(MATCH(MONTH(A440), {1,4,7,10}), "Winter", "Spring", "Summer", "Autumn")</f>
        <v>Winter</v>
      </c>
      <c r="E440">
        <f>YEAR(automotive_demand_forecasting_dataset567[[#This Row],[Date]])</f>
        <v>2050</v>
      </c>
      <c r="F440">
        <v>117</v>
      </c>
      <c r="G440">
        <f>(automotive_demand_forecasting_dataset567[[#This Row],[Units_Sold]] -$C$4) / $C$5</f>
        <v>1.8130772724023663</v>
      </c>
      <c r="H440" t="str">
        <f t="shared" ca="1" si="23"/>
        <v>South</v>
      </c>
      <c r="I440">
        <v>30949.702720000001</v>
      </c>
      <c r="J440">
        <v>3.1646898954616773</v>
      </c>
      <c r="K440">
        <v>2.761250531233856</v>
      </c>
      <c r="L440">
        <v>4.8841643625839248</v>
      </c>
      <c r="M440">
        <v>102916.7736</v>
      </c>
      <c r="N440" s="82">
        <v>91</v>
      </c>
      <c r="O440">
        <v>69.303259868331565</v>
      </c>
      <c r="P4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40" t="str">
        <f t="shared" ca="1" si="24"/>
        <v>Print</v>
      </c>
      <c r="R440">
        <f>automotive_demand_forecasting_dataset567[[#This Row],[Units_Sold]]*automotive_demand_forecasting_dataset567[[#This Row],[Average_Price]]</f>
        <v>3621115.2182400003</v>
      </c>
      <c r="S440" t="str">
        <f t="shared" ca="1" si="25"/>
        <v>OK</v>
      </c>
    </row>
    <row r="441" spans="1:19">
      <c r="A441" s="1">
        <v>54905</v>
      </c>
      <c r="B441" t="s">
        <v>11</v>
      </c>
      <c r="C441" t="str">
        <f>TEXT(automotive_demand_forecasting_dataset567[[#This Row],[Date]],"mmmm")</f>
        <v>April</v>
      </c>
      <c r="D441" t="str">
        <f>CHOOSE(MATCH(MONTH(A441), {1,4,7,10}), "Winter", "Spring", "Summer", "Autumn")</f>
        <v>Spring</v>
      </c>
      <c r="E441">
        <f>YEAR(automotive_demand_forecasting_dataset567[[#This Row],[Date]])</f>
        <v>2050</v>
      </c>
      <c r="F441">
        <v>106</v>
      </c>
      <c r="G441">
        <f>(automotive_demand_forecasting_dataset567[[#This Row],[Units_Sold]] -$C$4) / $C$5</f>
        <v>0.68630608616360778</v>
      </c>
      <c r="H441" t="str">
        <f t="shared" ca="1" si="23"/>
        <v>West</v>
      </c>
      <c r="I441">
        <v>27268.777758737586</v>
      </c>
      <c r="J441">
        <v>4.5778345189999996</v>
      </c>
      <c r="K441">
        <v>2.1307228607537967</v>
      </c>
      <c r="L441">
        <f>6.97388673</f>
        <v>6.9738867300000003</v>
      </c>
      <c r="M441">
        <v>101571.540594383</v>
      </c>
      <c r="N441" s="82">
        <v>93</v>
      </c>
      <c r="O441">
        <v>23.588844610217361</v>
      </c>
      <c r="P4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41" t="str">
        <f t="shared" ca="1" si="24"/>
        <v>Print</v>
      </c>
      <c r="R441">
        <f>automotive_demand_forecasting_dataset567[[#This Row],[Units_Sold]]*automotive_demand_forecasting_dataset567[[#This Row],[Average_Price]]</f>
        <v>2890490.4424261842</v>
      </c>
      <c r="S441" t="str">
        <f t="shared" ca="1" si="25"/>
        <v>OK</v>
      </c>
    </row>
    <row r="442" spans="1:19">
      <c r="A442" s="1">
        <v>54935</v>
      </c>
      <c r="B442" t="s">
        <v>13</v>
      </c>
      <c r="C442" t="str">
        <f>TEXT(automotive_demand_forecasting_dataset567[[#This Row],[Date]],"mmmm")</f>
        <v>May</v>
      </c>
      <c r="D442" t="str">
        <f>CHOOSE(MATCH(MONTH(A442), {1,4,7,10}), "Winter", "Spring", "Summer", "Autumn")</f>
        <v>Spring</v>
      </c>
      <c r="E442">
        <f>YEAR(automotive_demand_forecasting_dataset567[[#This Row],[Date]])</f>
        <v>2050</v>
      </c>
      <c r="F442">
        <v>121</v>
      </c>
      <c r="G442">
        <f>(automotive_demand_forecasting_dataset567[[#This Row],[Units_Sold]] -$C$4) / $C$5</f>
        <v>2.2228122492164601</v>
      </c>
      <c r="H442" t="str">
        <f t="shared" ca="1" si="23"/>
        <v>West</v>
      </c>
      <c r="I442">
        <v>31959.020027012732</v>
      </c>
      <c r="J442">
        <v>3.3749767427005235</v>
      </c>
      <c r="K442">
        <v>2.643388467342251</v>
      </c>
      <c r="L442">
        <v>5.2233704497836992</v>
      </c>
      <c r="M442">
        <v>57425.31811170376</v>
      </c>
      <c r="N442" s="82">
        <v>98</v>
      </c>
      <c r="O442">
        <v>69.803759236982529</v>
      </c>
      <c r="P4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42" t="str">
        <f t="shared" ca="1" si="24"/>
        <v>Print</v>
      </c>
      <c r="R442">
        <f>automotive_demand_forecasting_dataset567[[#This Row],[Units_Sold]]*automotive_demand_forecasting_dataset567[[#This Row],[Average_Price]]</f>
        <v>3867041.4232685403</v>
      </c>
      <c r="S442" t="str">
        <f t="shared" ca="1" si="25"/>
        <v>OK</v>
      </c>
    </row>
    <row r="443" spans="1:19">
      <c r="A443" s="1">
        <v>54965</v>
      </c>
      <c r="B443" t="s">
        <v>14</v>
      </c>
      <c r="C443" t="str">
        <f>TEXT(automotive_demand_forecasting_dataset567[[#This Row],[Date]],"mmmm")</f>
        <v>June</v>
      </c>
      <c r="D443" t="str">
        <f>CHOOSE(MATCH(MONTH(A443), {1,4,7,10}), "Winter", "Spring", "Summer", "Autumn")</f>
        <v>Spring</v>
      </c>
      <c r="E443">
        <f>YEAR(automotive_demand_forecasting_dataset567[[#This Row],[Date]])</f>
        <v>2050</v>
      </c>
      <c r="F443">
        <v>95</v>
      </c>
      <c r="G443">
        <f>(automotive_demand_forecasting_dataset567[[#This Row],[Units_Sold]] -$C$4) / $C$5</f>
        <v>-0.44046510007515077</v>
      </c>
      <c r="H443" s="157" t="str">
        <f t="shared" ca="1" si="23"/>
        <v>East</v>
      </c>
      <c r="I443">
        <v>22605.442156129357</v>
      </c>
      <c r="J443">
        <v>3.6443468146399285</v>
      </c>
      <c r="K443">
        <v>0.72376476710168003</v>
      </c>
      <c r="L443">
        <v>6.9156702500328517</v>
      </c>
      <c r="M443">
        <v>109163.36229577397</v>
      </c>
      <c r="N443" s="82">
        <v>87</v>
      </c>
      <c r="O443">
        <v>44.713417827501289</v>
      </c>
      <c r="P4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43" t="str">
        <f t="shared" ca="1" si="24"/>
        <v>TV</v>
      </c>
      <c r="R443" s="157">
        <f>automotive_demand_forecasting_dataset567[[#This Row],[Units_Sold]]*automotive_demand_forecasting_dataset567[[#This Row],[Average_Price]]</f>
        <v>2147517.0048322887</v>
      </c>
      <c r="S443" t="str">
        <f t="shared" ca="1" si="25"/>
        <v>OK</v>
      </c>
    </row>
    <row r="444" spans="1:19">
      <c r="A444" s="1">
        <v>54995</v>
      </c>
      <c r="B444" t="s">
        <v>13</v>
      </c>
      <c r="C444" t="str">
        <f>TEXT(automotive_demand_forecasting_dataset567[[#This Row],[Date]],"mmmm")</f>
        <v>July</v>
      </c>
      <c r="D444" t="str">
        <f>CHOOSE(MATCH(MONTH(A444), {1,4,7,10}), "Winter", "Spring", "Summer", "Autumn")</f>
        <v>Summer</v>
      </c>
      <c r="E444">
        <f>YEAR(automotive_demand_forecasting_dataset567[[#This Row],[Date]])</f>
        <v>2050</v>
      </c>
      <c r="F444">
        <v>91</v>
      </c>
      <c r="G444">
        <f>(automotive_demand_forecasting_dataset567[[#This Row],[Units_Sold]] -$C$4) / $C$5</f>
        <v>-0.85020007688924482</v>
      </c>
      <c r="H444" t="str">
        <f t="shared" ca="1" si="23"/>
        <v>South</v>
      </c>
      <c r="I444">
        <v>30916.799598895777</v>
      </c>
      <c r="J444">
        <v>3.6301609193856104</v>
      </c>
      <c r="K444">
        <v>2.9086528114806707</v>
      </c>
      <c r="L444">
        <v>5.7329291571440288</v>
      </c>
      <c r="M444">
        <v>80405.575505663859</v>
      </c>
      <c r="N444" s="82">
        <v>88</v>
      </c>
      <c r="O444">
        <v>49.498012437667676</v>
      </c>
      <c r="P4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44" t="str">
        <f t="shared" ca="1" si="24"/>
        <v>Print</v>
      </c>
      <c r="R444">
        <f>automotive_demand_forecasting_dataset567[[#This Row],[Units_Sold]]*automotive_demand_forecasting_dataset567[[#This Row],[Average_Price]]</f>
        <v>2813428.7634995156</v>
      </c>
      <c r="S444" t="str">
        <f t="shared" ca="1" si="25"/>
        <v>OK</v>
      </c>
    </row>
    <row r="445" spans="1:19">
      <c r="A445" s="1">
        <v>55025</v>
      </c>
      <c r="B445" t="s">
        <v>11</v>
      </c>
      <c r="C445" t="str">
        <f>TEXT(automotive_demand_forecasting_dataset567[[#This Row],[Date]],"mmmm")</f>
        <v>August</v>
      </c>
      <c r="D445" t="str">
        <f>CHOOSE(MATCH(MONTH(A445), {1,4,7,10}), "Winter", "Spring", "Summer", "Autumn")</f>
        <v>Summer</v>
      </c>
      <c r="E445">
        <f>YEAR(automotive_demand_forecasting_dataset567[[#This Row],[Date]])</f>
        <v>2050</v>
      </c>
      <c r="F445">
        <v>82</v>
      </c>
      <c r="G445">
        <f>(automotive_demand_forecasting_dataset567[[#This Row],[Units_Sold]] -$C$4) / $C$5</f>
        <v>-1.7721037747209563</v>
      </c>
      <c r="H445" t="str">
        <f t="shared" ca="1" si="23"/>
        <v>South</v>
      </c>
      <c r="I445">
        <v>30949.702720000001</v>
      </c>
      <c r="J445">
        <v>3.432845629264726</v>
      </c>
      <c r="K445">
        <v>1.4706284918179284</v>
      </c>
      <c r="L445">
        <v>4.8625428464708822</v>
      </c>
      <c r="M445">
        <v>76933.351935885104</v>
      </c>
      <c r="N445" s="82">
        <v>89</v>
      </c>
      <c r="O445">
        <v>65.454227669999995</v>
      </c>
      <c r="P4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45" t="str">
        <f t="shared" ca="1" si="24"/>
        <v>Online</v>
      </c>
      <c r="R445">
        <f>automotive_demand_forecasting_dataset567[[#This Row],[Units_Sold]]*automotive_demand_forecasting_dataset567[[#This Row],[Average_Price]]</f>
        <v>2537875.62304</v>
      </c>
      <c r="S445" t="str">
        <f t="shared" ca="1" si="25"/>
        <v>OK</v>
      </c>
    </row>
    <row r="446" spans="1:19">
      <c r="A446" s="1">
        <v>55055</v>
      </c>
      <c r="B446" t="s">
        <v>10</v>
      </c>
      <c r="C446" t="str">
        <f>TEXT(automotive_demand_forecasting_dataset567[[#This Row],[Date]],"mmmm")</f>
        <v>September</v>
      </c>
      <c r="D446" t="str">
        <f>CHOOSE(MATCH(MONTH(A446), {1,4,7,10}), "Winter", "Spring", "Summer", "Autumn")</f>
        <v>Summer</v>
      </c>
      <c r="E446">
        <f>YEAR(automotive_demand_forecasting_dataset567[[#This Row],[Date]])</f>
        <v>2050</v>
      </c>
      <c r="F446">
        <v>100</v>
      </c>
      <c r="G446">
        <f>(automotive_demand_forecasting_dataset567[[#This Row],[Units_Sold]] -$C$4) / $C$5</f>
        <v>7.1703620942466739E-2</v>
      </c>
      <c r="H446" t="str">
        <f t="shared" ca="1" si="23"/>
        <v>South</v>
      </c>
      <c r="I446">
        <v>32896.457498005439</v>
      </c>
      <c r="J446">
        <v>3.9054041365798913</v>
      </c>
      <c r="K446">
        <v>1.1473297141564656</v>
      </c>
      <c r="L446">
        <v>6.0806519814256479</v>
      </c>
      <c r="M446">
        <v>66253.113057785784</v>
      </c>
      <c r="N446" s="82">
        <v>92</v>
      </c>
      <c r="O446">
        <v>80.215177969999999</v>
      </c>
      <c r="P4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46" t="str">
        <f t="shared" ca="1" si="24"/>
        <v>Billboards</v>
      </c>
      <c r="R446">
        <f>automotive_demand_forecasting_dataset567[[#This Row],[Units_Sold]]*automotive_demand_forecasting_dataset567[[#This Row],[Average_Price]]</f>
        <v>3289645.7498005438</v>
      </c>
      <c r="S446" t="str">
        <f t="shared" ca="1" si="25"/>
        <v>OK</v>
      </c>
    </row>
    <row r="447" spans="1:19">
      <c r="A447" s="1">
        <v>55085</v>
      </c>
      <c r="B447" t="s">
        <v>10</v>
      </c>
      <c r="C447" t="str">
        <f>TEXT(automotive_demand_forecasting_dataset567[[#This Row],[Date]],"mmmm")</f>
        <v>October</v>
      </c>
      <c r="D447" t="str">
        <f>CHOOSE(MATCH(MONTH(A447), {1,4,7,10}), "Winter", "Spring", "Summer", "Autumn")</f>
        <v>Autumn</v>
      </c>
      <c r="E447">
        <f>YEAR(automotive_demand_forecasting_dataset567[[#This Row],[Date]])</f>
        <v>2050</v>
      </c>
      <c r="F447">
        <v>81</v>
      </c>
      <c r="G447">
        <f>(automotive_demand_forecasting_dataset567[[#This Row],[Units_Sold]] -$C$4) / $C$5</f>
        <v>-1.87453751892448</v>
      </c>
      <c r="H447" t="str">
        <f t="shared" ca="1" si="23"/>
        <v>West</v>
      </c>
      <c r="I447">
        <v>30597.901842070765</v>
      </c>
      <c r="J447">
        <v>3.8967443602761067</v>
      </c>
      <c r="K447">
        <v>2.6520564320000002</v>
      </c>
      <c r="L447">
        <v>4.1772494201962918</v>
      </c>
      <c r="M447">
        <v>64122.150042642192</v>
      </c>
      <c r="N447" s="82">
        <v>99</v>
      </c>
      <c r="O447">
        <v>52.028530147186451</v>
      </c>
      <c r="P4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47" t="str">
        <f t="shared" ca="1" si="24"/>
        <v>Online</v>
      </c>
      <c r="R447">
        <f>automotive_demand_forecasting_dataset567[[#This Row],[Units_Sold]]*automotive_demand_forecasting_dataset567[[#This Row],[Average_Price]]</f>
        <v>2478430.0492077321</v>
      </c>
      <c r="S447" t="str">
        <f t="shared" ca="1" si="25"/>
        <v>OK</v>
      </c>
    </row>
    <row r="448" spans="1:19">
      <c r="A448" s="1">
        <v>55115</v>
      </c>
      <c r="B448" t="s">
        <v>11</v>
      </c>
      <c r="C448" t="str">
        <f>TEXT(automotive_demand_forecasting_dataset567[[#This Row],[Date]],"mmmm")</f>
        <v>November</v>
      </c>
      <c r="D448" t="str">
        <f>CHOOSE(MATCH(MONTH(A448), {1,4,7,10}), "Winter", "Spring", "Summer", "Autumn")</f>
        <v>Autumn</v>
      </c>
      <c r="E448">
        <f>YEAR(automotive_demand_forecasting_dataset567[[#This Row],[Date]])</f>
        <v>2050</v>
      </c>
      <c r="F448">
        <v>101</v>
      </c>
      <c r="G448">
        <f>(automotive_demand_forecasting_dataset567[[#This Row],[Units_Sold]] -$C$4) / $C$5</f>
        <v>0.17413736514599024</v>
      </c>
      <c r="H448" t="str">
        <f t="shared" ca="1" si="23"/>
        <v>South</v>
      </c>
      <c r="I448">
        <v>25134.655295592223</v>
      </c>
      <c r="J448">
        <v>2.6257340133809097</v>
      </c>
      <c r="K448">
        <v>3.6126883749899252</v>
      </c>
      <c r="L448">
        <v>6.3176314125315374</v>
      </c>
      <c r="M448">
        <v>72891.049937754215</v>
      </c>
      <c r="N448" s="82">
        <v>82</v>
      </c>
      <c r="O448">
        <v>95.772234880508378</v>
      </c>
      <c r="P4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48" t="str">
        <f t="shared" ca="1" si="24"/>
        <v>Online</v>
      </c>
      <c r="R448">
        <f>automotive_demand_forecasting_dataset567[[#This Row],[Units_Sold]]*automotive_demand_forecasting_dataset567[[#This Row],[Average_Price]]</f>
        <v>2538600.1848548148</v>
      </c>
      <c r="S448" t="str">
        <f t="shared" ca="1" si="25"/>
        <v>OK</v>
      </c>
    </row>
    <row r="449" spans="1:19">
      <c r="A449" s="1">
        <v>55145</v>
      </c>
      <c r="B449" t="s">
        <v>12</v>
      </c>
      <c r="C449" t="str">
        <f>TEXT(automotive_demand_forecasting_dataset567[[#This Row],[Date]],"mmmm")</f>
        <v>December</v>
      </c>
      <c r="D449" t="str">
        <f>CHOOSE(MATCH(MONTH(A449), {1,4,7,10}), "Winter", "Spring", "Summer", "Autumn")</f>
        <v>Autumn</v>
      </c>
      <c r="E449">
        <f>YEAR(automotive_demand_forecasting_dataset567[[#This Row],[Date]])</f>
        <v>2050</v>
      </c>
      <c r="F449">
        <v>95</v>
      </c>
      <c r="G449">
        <f>(automotive_demand_forecasting_dataset567[[#This Row],[Units_Sold]] -$C$4) / $C$5</f>
        <v>-0.44046510007515077</v>
      </c>
      <c r="H449" t="str">
        <f t="shared" ca="1" si="23"/>
        <v>South</v>
      </c>
      <c r="I449">
        <v>35982.857508322457</v>
      </c>
      <c r="J449">
        <v>4.1521701214390765</v>
      </c>
      <c r="K449">
        <v>2.6520564320000002</v>
      </c>
      <c r="L449">
        <v>5.9903287692421214</v>
      </c>
      <c r="M449">
        <v>85819.580847390185</v>
      </c>
      <c r="N449" s="82">
        <v>83</v>
      </c>
      <c r="O449">
        <v>52.51701743616578</v>
      </c>
      <c r="P4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49" t="str">
        <f t="shared" ca="1" si="24"/>
        <v>Radio</v>
      </c>
      <c r="R449">
        <f>automotive_demand_forecasting_dataset567[[#This Row],[Units_Sold]]*automotive_demand_forecasting_dataset567[[#This Row],[Average_Price]]</f>
        <v>3418371.4632906336</v>
      </c>
      <c r="S449" t="str">
        <f t="shared" ca="1" si="25"/>
        <v>OK</v>
      </c>
    </row>
    <row r="450" spans="1:19">
      <c r="A450" s="1">
        <v>55175</v>
      </c>
      <c r="B450" t="s">
        <v>13</v>
      </c>
      <c r="C450" t="str">
        <f>TEXT(automotive_demand_forecasting_dataset567[[#This Row],[Date]],"mmmm")</f>
        <v>January</v>
      </c>
      <c r="D450" t="str">
        <f>CHOOSE(MATCH(MONTH(A450), {1,4,7,10}), "Winter", "Spring", "Summer", "Autumn")</f>
        <v>Winter</v>
      </c>
      <c r="E450">
        <f>YEAR(automotive_demand_forecasting_dataset567[[#This Row],[Date]])</f>
        <v>2051</v>
      </c>
      <c r="F450">
        <v>114</v>
      </c>
      <c r="G450">
        <f>(automotive_demand_forecasting_dataset567[[#This Row],[Units_Sold]] -$C$4) / $C$5</f>
        <v>1.5057760397917959</v>
      </c>
      <c r="H450" t="str">
        <f t="shared" ca="1" si="23"/>
        <v>North</v>
      </c>
      <c r="I450">
        <v>29207.352134865148</v>
      </c>
      <c r="J450">
        <v>2.6687540059821631</v>
      </c>
      <c r="K450">
        <v>4.0337277099164996</v>
      </c>
      <c r="L450">
        <v>5.1306298346333392</v>
      </c>
      <c r="M450">
        <v>139065.18275053136</v>
      </c>
      <c r="N450" s="82">
        <v>94</v>
      </c>
      <c r="O450">
        <v>81.746882818408793</v>
      </c>
      <c r="P4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50" t="str">
        <f t="shared" ca="1" si="24"/>
        <v>Billboards</v>
      </c>
      <c r="R450">
        <f>automotive_demand_forecasting_dataset567[[#This Row],[Units_Sold]]*automotive_demand_forecasting_dataset567[[#This Row],[Average_Price]]</f>
        <v>3329638.143374627</v>
      </c>
      <c r="S450" t="str">
        <f t="shared" ca="1" si="25"/>
        <v>OK</v>
      </c>
    </row>
    <row r="451" spans="1:19">
      <c r="A451" s="1">
        <v>55205</v>
      </c>
      <c r="B451" t="s">
        <v>11</v>
      </c>
      <c r="C451" t="str">
        <f>TEXT(automotive_demand_forecasting_dataset567[[#This Row],[Date]],"mmmm")</f>
        <v>February</v>
      </c>
      <c r="D451" t="str">
        <f>CHOOSE(MATCH(MONTH(A451), {1,4,7,10}), "Winter", "Spring", "Summer", "Autumn")</f>
        <v>Winter</v>
      </c>
      <c r="E451">
        <f>YEAR(automotive_demand_forecasting_dataset567[[#This Row],[Date]])</f>
        <v>2051</v>
      </c>
      <c r="F451">
        <v>92</v>
      </c>
      <c r="G451">
        <f>(automotive_demand_forecasting_dataset567[[#This Row],[Units_Sold]] -$C$4) / $C$5</f>
        <v>-0.74776633268572135</v>
      </c>
      <c r="H451" t="str">
        <f t="shared" ca="1" si="23"/>
        <v>East</v>
      </c>
      <c r="I451">
        <v>38106.295579999998</v>
      </c>
      <c r="J451">
        <v>4.0162731021708282</v>
      </c>
      <c r="K451">
        <v>1.9641985369477022</v>
      </c>
      <c r="L451">
        <v>4.4936970418633226</v>
      </c>
      <c r="M451">
        <v>89482.406482095917</v>
      </c>
      <c r="N451" s="82">
        <v>88</v>
      </c>
      <c r="O451">
        <v>58.710181165140725</v>
      </c>
      <c r="P4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51" t="str">
        <f t="shared" ca="1" si="24"/>
        <v>Online</v>
      </c>
      <c r="R451">
        <f>automotive_demand_forecasting_dataset567[[#This Row],[Units_Sold]]*automotive_demand_forecasting_dataset567[[#This Row],[Average_Price]]</f>
        <v>3505779.1933599999</v>
      </c>
      <c r="S451" t="str">
        <f t="shared" ca="1" si="25"/>
        <v>OK</v>
      </c>
    </row>
    <row r="452" spans="1:19">
      <c r="A452" s="1">
        <v>55235</v>
      </c>
      <c r="B452" t="s">
        <v>10</v>
      </c>
      <c r="C452" t="str">
        <f>TEXT(automotive_demand_forecasting_dataset567[[#This Row],[Date]],"mmmm")</f>
        <v>March</v>
      </c>
      <c r="D452" t="str">
        <f>CHOOSE(MATCH(MONTH(A452), {1,4,7,10}), "Winter", "Spring", "Summer", "Autumn")</f>
        <v>Winter</v>
      </c>
      <c r="E452">
        <f>YEAR(automotive_demand_forecasting_dataset567[[#This Row],[Date]])</f>
        <v>2051</v>
      </c>
      <c r="F452">
        <v>113</v>
      </c>
      <c r="G452">
        <f>(automotive_demand_forecasting_dataset567[[#This Row],[Units_Sold]] -$C$4) / $C$5</f>
        <v>1.4033422955882724</v>
      </c>
      <c r="H452" t="str">
        <f t="shared" ca="1" si="23"/>
        <v>South</v>
      </c>
      <c r="I452">
        <v>25333.660204634019</v>
      </c>
      <c r="J452">
        <v>4.5778345189999996</v>
      </c>
      <c r="K452">
        <v>0.79264204240705327</v>
      </c>
      <c r="L452">
        <v>4.4359828932598511</v>
      </c>
      <c r="M452">
        <v>103555.00212536062</v>
      </c>
      <c r="N452" s="82">
        <v>92</v>
      </c>
      <c r="O452">
        <v>91.802586121766723</v>
      </c>
      <c r="P4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52" t="str">
        <f t="shared" ca="1" si="24"/>
        <v>Print</v>
      </c>
      <c r="R452">
        <f>automotive_demand_forecasting_dataset567[[#This Row],[Units_Sold]]*automotive_demand_forecasting_dataset567[[#This Row],[Average_Price]]</f>
        <v>2862703.6031236444</v>
      </c>
      <c r="S452" t="str">
        <f t="shared" ca="1" si="25"/>
        <v>OK</v>
      </c>
    </row>
    <row r="453" spans="1:19">
      <c r="A453" s="1">
        <v>55265</v>
      </c>
      <c r="B453" t="s">
        <v>10</v>
      </c>
      <c r="C453" t="str">
        <f>TEXT(automotive_demand_forecasting_dataset567[[#This Row],[Date]],"mmmm")</f>
        <v>April</v>
      </c>
      <c r="D453" t="str">
        <f>CHOOSE(MATCH(MONTH(A453), {1,4,7,10}), "Winter", "Spring", "Summer", "Autumn")</f>
        <v>Spring</v>
      </c>
      <c r="E453">
        <f>YEAR(automotive_demand_forecasting_dataset567[[#This Row],[Date]])</f>
        <v>2051</v>
      </c>
      <c r="F453">
        <v>113</v>
      </c>
      <c r="G453">
        <f>(automotive_demand_forecasting_dataset567[[#This Row],[Units_Sold]] -$C$4) / $C$5</f>
        <v>1.4033422955882724</v>
      </c>
      <c r="H453" t="str">
        <f t="shared" ca="1" si="23"/>
        <v>West</v>
      </c>
      <c r="I453">
        <v>27783.588744042449</v>
      </c>
      <c r="J453">
        <v>2.9545167848924008</v>
      </c>
      <c r="K453">
        <v>1.3834755600513409</v>
      </c>
      <c r="L453">
        <v>6.1417808036150925</v>
      </c>
      <c r="M453">
        <v>108009.62773012658</v>
      </c>
      <c r="N453" s="82">
        <v>78</v>
      </c>
      <c r="O453">
        <v>92.620899492014289</v>
      </c>
      <c r="P4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53" t="str">
        <f t="shared" ca="1" si="24"/>
        <v>Print</v>
      </c>
      <c r="R453">
        <f>automotive_demand_forecasting_dataset567[[#This Row],[Units_Sold]]*automotive_demand_forecasting_dataset567[[#This Row],[Average_Price]]</f>
        <v>3139545.5280767968</v>
      </c>
      <c r="S453" t="str">
        <f t="shared" ca="1" si="25"/>
        <v>OK</v>
      </c>
    </row>
    <row r="454" spans="1:19">
      <c r="A454" s="1">
        <v>55295</v>
      </c>
      <c r="B454" t="s">
        <v>13</v>
      </c>
      <c r="C454" t="str">
        <f>TEXT(automotive_demand_forecasting_dataset567[[#This Row],[Date]],"mmmm")</f>
        <v>May</v>
      </c>
      <c r="D454" t="str">
        <f>CHOOSE(MATCH(MONTH(A454), {1,4,7,10}), "Winter", "Spring", "Summer", "Autumn")</f>
        <v>Spring</v>
      </c>
      <c r="E454">
        <f>YEAR(automotive_demand_forecasting_dataset567[[#This Row],[Date]])</f>
        <v>2051</v>
      </c>
      <c r="F454">
        <v>120</v>
      </c>
      <c r="G454">
        <f>(automotive_demand_forecasting_dataset567[[#This Row],[Units_Sold]] -$C$4) / $C$5</f>
        <v>2.1203785050129369</v>
      </c>
      <c r="H454" t="str">
        <f t="shared" ca="1" si="23"/>
        <v>North</v>
      </c>
      <c r="I454">
        <v>25575.986429865494</v>
      </c>
      <c r="J454">
        <v>3.2945928560227076</v>
      </c>
      <c r="K454">
        <v>3.7358116200069387</v>
      </c>
      <c r="L454">
        <v>6.9747766029868741</v>
      </c>
      <c r="M454">
        <f>128897.2893</f>
        <v>128897.2893</v>
      </c>
      <c r="N454" s="82">
        <v>102</v>
      </c>
      <c r="O454">
        <v>26.99334462968671</v>
      </c>
      <c r="P4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54" t="str">
        <f t="shared" ca="1" si="24"/>
        <v>Billboards</v>
      </c>
      <c r="R454">
        <f>automotive_demand_forecasting_dataset567[[#This Row],[Units_Sold]]*automotive_demand_forecasting_dataset567[[#This Row],[Average_Price]]</f>
        <v>3069118.3715838594</v>
      </c>
      <c r="S454" t="str">
        <f t="shared" ca="1" si="25"/>
        <v>OK</v>
      </c>
    </row>
    <row r="455" spans="1:19">
      <c r="A455" s="1">
        <v>55325</v>
      </c>
      <c r="B455" t="s">
        <v>14</v>
      </c>
      <c r="C455" t="str">
        <f>TEXT(automotive_demand_forecasting_dataset567[[#This Row],[Date]],"mmmm")</f>
        <v>June</v>
      </c>
      <c r="D455" t="str">
        <f>CHOOSE(MATCH(MONTH(A455), {1,4,7,10}), "Winter", "Spring", "Summer", "Autumn")</f>
        <v>Spring</v>
      </c>
      <c r="E455">
        <f>YEAR(automotive_demand_forecasting_dataset567[[#This Row],[Date]])</f>
        <v>2051</v>
      </c>
      <c r="F455">
        <v>108</v>
      </c>
      <c r="G455">
        <f>(automotive_demand_forecasting_dataset567[[#This Row],[Units_Sold]] -$C$4) / $C$5</f>
        <v>0.89117357457065483</v>
      </c>
      <c r="H455" s="157" t="str">
        <f t="shared" ca="1" si="23"/>
        <v>South</v>
      </c>
      <c r="I455">
        <v>29135.269700382883</v>
      </c>
      <c r="J455">
        <v>2.9471476657570319</v>
      </c>
      <c r="K455">
        <v>2.3441018220633323</v>
      </c>
      <c r="L455">
        <v>4.7352307035654464</v>
      </c>
      <c r="M455">
        <v>98451.130785480127</v>
      </c>
      <c r="N455" s="82">
        <v>96</v>
      </c>
      <c r="O455">
        <v>94.919466504818061</v>
      </c>
      <c r="P4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55" t="str">
        <f t="shared" ca="1" si="24"/>
        <v>Radio</v>
      </c>
      <c r="R455" s="157">
        <f>automotive_demand_forecasting_dataset567[[#This Row],[Units_Sold]]*automotive_demand_forecasting_dataset567[[#This Row],[Average_Price]]</f>
        <v>3146609.1276413514</v>
      </c>
      <c r="S455" t="str">
        <f t="shared" ca="1" si="25"/>
        <v>OK</v>
      </c>
    </row>
    <row r="456" spans="1:19">
      <c r="A456" s="1">
        <v>55355</v>
      </c>
      <c r="B456" t="s">
        <v>11</v>
      </c>
      <c r="C456" t="str">
        <f>TEXT(automotive_demand_forecasting_dataset567[[#This Row],[Date]],"mmmm")</f>
        <v>July</v>
      </c>
      <c r="D456" t="str">
        <f>CHOOSE(MATCH(MONTH(A456), {1,4,7,10}), "Winter", "Spring", "Summer", "Autumn")</f>
        <v>Summer</v>
      </c>
      <c r="E456">
        <f>YEAR(automotive_demand_forecasting_dataset567[[#This Row],[Date]])</f>
        <v>2051</v>
      </c>
      <c r="F456">
        <v>99</v>
      </c>
      <c r="G456">
        <f>(automotive_demand_forecasting_dataset567[[#This Row],[Units_Sold]] -$C$4) / $C$5</f>
        <v>-3.0730123261056761E-2</v>
      </c>
      <c r="H456" t="str">
        <f t="shared" ca="1" si="23"/>
        <v>East</v>
      </c>
      <c r="I456">
        <v>38558.542400711718</v>
      </c>
      <c r="J456">
        <v>3.3925394848556323</v>
      </c>
      <c r="K456">
        <v>1.9517127035093991</v>
      </c>
      <c r="L456">
        <v>6.0500640442617808</v>
      </c>
      <c r="M456">
        <v>76094.1247280151</v>
      </c>
      <c r="N456" s="82">
        <v>75</v>
      </c>
      <c r="O456">
        <v>86.042787321633256</v>
      </c>
      <c r="P4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56" t="str">
        <f t="shared" ca="1" si="24"/>
        <v>Online</v>
      </c>
      <c r="R456">
        <f>automotive_demand_forecasting_dataset567[[#This Row],[Units_Sold]]*automotive_demand_forecasting_dataset567[[#This Row],[Average_Price]]</f>
        <v>3817295.6976704602</v>
      </c>
      <c r="S456" t="str">
        <f t="shared" ca="1" si="25"/>
        <v>OK</v>
      </c>
    </row>
    <row r="457" spans="1:19">
      <c r="A457" s="1">
        <v>55385</v>
      </c>
      <c r="B457" t="s">
        <v>11</v>
      </c>
      <c r="C457" t="str">
        <f>TEXT(automotive_demand_forecasting_dataset567[[#This Row],[Date]],"mmmm")</f>
        <v>August</v>
      </c>
      <c r="D457" t="str">
        <f>CHOOSE(MATCH(MONTH(A457), {1,4,7,10}), "Winter", "Spring", "Summer", "Autumn")</f>
        <v>Summer</v>
      </c>
      <c r="E457">
        <f>YEAR(automotive_demand_forecasting_dataset567[[#This Row],[Date]])</f>
        <v>2051</v>
      </c>
      <c r="F457">
        <v>108</v>
      </c>
      <c r="G457">
        <f>(automotive_demand_forecasting_dataset567[[#This Row],[Units_Sold]] -$C$4) / $C$5</f>
        <v>0.89117357457065483</v>
      </c>
      <c r="H457" t="str">
        <f t="shared" ca="1" si="23"/>
        <v>North</v>
      </c>
      <c r="I457">
        <v>23140.494285343219</v>
      </c>
      <c r="J457">
        <v>3.3459828579071296</v>
      </c>
      <c r="K457">
        <v>2.6600182258527876</v>
      </c>
      <c r="L457">
        <v>2.9955675776775177</v>
      </c>
      <c r="M457">
        <v>129018.55096558423</v>
      </c>
      <c r="N457" s="82">
        <v>87</v>
      </c>
      <c r="O457">
        <v>83.304857145013358</v>
      </c>
      <c r="P4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57" t="str">
        <f t="shared" ca="1" si="24"/>
        <v>Online</v>
      </c>
      <c r="R457">
        <f>automotive_demand_forecasting_dataset567[[#This Row],[Units_Sold]]*automotive_demand_forecasting_dataset567[[#This Row],[Average_Price]]</f>
        <v>2499173.3828170677</v>
      </c>
      <c r="S457" t="str">
        <f t="shared" ca="1" si="25"/>
        <v>OK</v>
      </c>
    </row>
    <row r="458" spans="1:19">
      <c r="A458" s="1">
        <v>55415</v>
      </c>
      <c r="B458" t="s">
        <v>14</v>
      </c>
      <c r="C458" t="str">
        <f>TEXT(automotive_demand_forecasting_dataset567[[#This Row],[Date]],"mmmm")</f>
        <v>September</v>
      </c>
      <c r="D458" t="str">
        <f>CHOOSE(MATCH(MONTH(A458), {1,4,7,10}), "Winter", "Spring", "Summer", "Autumn")</f>
        <v>Summer</v>
      </c>
      <c r="E458">
        <f>YEAR(automotive_demand_forecasting_dataset567[[#This Row],[Date]])</f>
        <v>2051</v>
      </c>
      <c r="F458">
        <v>98</v>
      </c>
      <c r="G458">
        <f>(automotive_demand_forecasting_dataset567[[#This Row],[Units_Sold]] -$C$4) / $C$5</f>
        <v>-0.13316386746458025</v>
      </c>
      <c r="H458" s="157" t="str">
        <f t="shared" ca="1" si="23"/>
        <v>East</v>
      </c>
      <c r="I458">
        <v>21932.193010616294</v>
      </c>
      <c r="J458">
        <v>3.8898302661346698</v>
      </c>
      <c r="K458">
        <v>3.0017827361675451</v>
      </c>
      <c r="L458">
        <v>4.7984587232113602</v>
      </c>
      <c r="M458">
        <v>136143.93287275769</v>
      </c>
      <c r="N458" s="82">
        <v>90</v>
      </c>
      <c r="O458">
        <v>36.072907174841795</v>
      </c>
      <c r="P4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58" t="str">
        <f t="shared" ca="1" si="24"/>
        <v>Print</v>
      </c>
      <c r="R458" s="157">
        <f>automotive_demand_forecasting_dataset567[[#This Row],[Units_Sold]]*automotive_demand_forecasting_dataset567[[#This Row],[Average_Price]]</f>
        <v>2149354.9150403971</v>
      </c>
      <c r="S458" t="str">
        <f t="shared" ca="1" si="25"/>
        <v>OK</v>
      </c>
    </row>
    <row r="459" spans="1:19">
      <c r="A459" s="1">
        <v>55445</v>
      </c>
      <c r="B459" t="s">
        <v>13</v>
      </c>
      <c r="C459" t="str">
        <f>TEXT(automotive_demand_forecasting_dataset567[[#This Row],[Date]],"mmmm")</f>
        <v>October</v>
      </c>
      <c r="D459" t="str">
        <f>CHOOSE(MATCH(MONTH(A459), {1,4,7,10}), "Winter", "Spring", "Summer", "Autumn")</f>
        <v>Autumn</v>
      </c>
      <c r="E459">
        <f>YEAR(automotive_demand_forecasting_dataset567[[#This Row],[Date]])</f>
        <v>2051</v>
      </c>
      <c r="F459">
        <v>92</v>
      </c>
      <c r="G459">
        <f>(automotive_demand_forecasting_dataset567[[#This Row],[Units_Sold]] -$C$4) / $C$5</f>
        <v>-0.74776633268572135</v>
      </c>
      <c r="H459" t="str">
        <f t="shared" ref="H459:H510" ca="1" si="27">CHOOSE(RANDBETWEEN(1,4),"North","South","East","West")</f>
        <v>West</v>
      </c>
      <c r="I459">
        <v>37355.85163746804</v>
      </c>
      <c r="J459">
        <v>4.155154373059804</v>
      </c>
      <c r="K459">
        <v>3.6173988159024608</v>
      </c>
      <c r="L459">
        <v>5.4627292805549175</v>
      </c>
      <c r="M459">
        <v>66346.826117546283</v>
      </c>
      <c r="N459" s="82">
        <v>86</v>
      </c>
      <c r="O459">
        <v>84.409536700373195</v>
      </c>
      <c r="P4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59" t="str">
        <f t="shared" ref="Q459:Q510" ca="1" si="28">CHOOSE(RANDBETWEEN(1,5),"Online","TV","Radio","Print","Billboards")</f>
        <v>Print</v>
      </c>
      <c r="R459">
        <f>automotive_demand_forecasting_dataset567[[#This Row],[Units_Sold]]*automotive_demand_forecasting_dataset567[[#This Row],[Average_Price]]</f>
        <v>3436738.3506470597</v>
      </c>
      <c r="S459" t="str">
        <f t="shared" ref="S459:S510" ca="1" si="29">IF(COUNTA(A459:O459)&lt;COLUMNS(A459:O459), "Missing Data", "OK")</f>
        <v>OK</v>
      </c>
    </row>
    <row r="460" spans="1:19">
      <c r="A460" s="1">
        <v>55475</v>
      </c>
      <c r="B460" t="s">
        <v>13</v>
      </c>
      <c r="C460" t="str">
        <f>TEXT(automotive_demand_forecasting_dataset567[[#This Row],[Date]],"mmmm")</f>
        <v>November</v>
      </c>
      <c r="D460" t="str">
        <f>CHOOSE(MATCH(MONTH(A460), {1,4,7,10}), "Winter", "Spring", "Summer", "Autumn")</f>
        <v>Autumn</v>
      </c>
      <c r="E460">
        <f>YEAR(automotive_demand_forecasting_dataset567[[#This Row],[Date]])</f>
        <v>2051</v>
      </c>
      <c r="F460">
        <v>96</v>
      </c>
      <c r="G460">
        <f>(automotive_demand_forecasting_dataset567[[#This Row],[Units_Sold]] -$C$4) / $C$5</f>
        <v>-0.33803135587162725</v>
      </c>
      <c r="H460" t="str">
        <f t="shared" ca="1" si="27"/>
        <v>West</v>
      </c>
      <c r="I460">
        <v>28953.381614240669</v>
      </c>
      <c r="J460">
        <v>4.197841905394978</v>
      </c>
      <c r="K460">
        <v>3.948499229892926</v>
      </c>
      <c r="L460">
        <v>4.4083798996217993</v>
      </c>
      <c r="M460">
        <v>79519.428182272415</v>
      </c>
      <c r="N460" s="82">
        <v>85</v>
      </c>
      <c r="O460">
        <v>88.01061877480295</v>
      </c>
      <c r="P4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60" t="str">
        <f t="shared" ca="1" si="28"/>
        <v>Billboards</v>
      </c>
      <c r="R460">
        <f>automotive_demand_forecasting_dataset567[[#This Row],[Units_Sold]]*automotive_demand_forecasting_dataset567[[#This Row],[Average_Price]]</f>
        <v>2779524.6349671041</v>
      </c>
      <c r="S460" t="str">
        <f t="shared" ca="1" si="29"/>
        <v>OK</v>
      </c>
    </row>
    <row r="461" spans="1:19">
      <c r="A461" s="1">
        <v>55505</v>
      </c>
      <c r="B461" t="s">
        <v>10</v>
      </c>
      <c r="C461" t="str">
        <f>TEXT(automotive_demand_forecasting_dataset567[[#This Row],[Date]],"mmmm")</f>
        <v>December</v>
      </c>
      <c r="D461" t="str">
        <f>CHOOSE(MATCH(MONTH(A461), {1,4,7,10}), "Winter", "Spring", "Summer", "Autumn")</f>
        <v>Autumn</v>
      </c>
      <c r="E461">
        <f>YEAR(automotive_demand_forecasting_dataset567[[#This Row],[Date]])</f>
        <v>2051</v>
      </c>
      <c r="F461">
        <v>94</v>
      </c>
      <c r="G461">
        <f>(automotive_demand_forecasting_dataset567[[#This Row],[Units_Sold]] -$C$4) / $C$5</f>
        <v>-0.5428988442786743</v>
      </c>
      <c r="H461" t="str">
        <f t="shared" ca="1" si="27"/>
        <v>East</v>
      </c>
      <c r="I461">
        <v>26654.636306700417</v>
      </c>
      <c r="J461">
        <v>3.218915986710849</v>
      </c>
      <c r="K461">
        <v>2.6520564320000002</v>
      </c>
      <c r="L461">
        <v>4.3761923502524844</v>
      </c>
      <c r="M461">
        <f>128897.2893</f>
        <v>128897.2893</v>
      </c>
      <c r="N461" s="82">
        <v>95</v>
      </c>
      <c r="O461">
        <v>43.132026756332074</v>
      </c>
      <c r="P4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61" t="str">
        <f t="shared" ca="1" si="28"/>
        <v>TV</v>
      </c>
      <c r="R461">
        <f>automotive_demand_forecasting_dataset567[[#This Row],[Units_Sold]]*automotive_demand_forecasting_dataset567[[#This Row],[Average_Price]]</f>
        <v>2505535.8128298391</v>
      </c>
      <c r="S461" t="str">
        <f t="shared" ca="1" si="29"/>
        <v>OK</v>
      </c>
    </row>
    <row r="462" spans="1:19">
      <c r="A462" s="1">
        <v>55535</v>
      </c>
      <c r="B462" t="s">
        <v>14</v>
      </c>
      <c r="C462" t="str">
        <f>TEXT(automotive_demand_forecasting_dataset567[[#This Row],[Date]],"mmmm")</f>
        <v>January</v>
      </c>
      <c r="D462" t="str">
        <f>CHOOSE(MATCH(MONTH(A462), {1,4,7,10}), "Winter", "Spring", "Summer", "Autumn")</f>
        <v>Winter</v>
      </c>
      <c r="E462">
        <f>YEAR(automotive_demand_forecasting_dataset567[[#This Row],[Date]])</f>
        <v>2052</v>
      </c>
      <c r="F462">
        <v>75</v>
      </c>
      <c r="G462">
        <f>(automotive_demand_forecasting_dataset567[[#This Row],[Units_Sold]] -$C$4) / $C$5</f>
        <v>-2.4891399841456208</v>
      </c>
      <c r="H462" s="157" t="str">
        <f t="shared" ca="1" si="27"/>
        <v>East</v>
      </c>
      <c r="I462">
        <v>35199.52343698038</v>
      </c>
      <c r="J462">
        <v>3.3953890631277361</v>
      </c>
      <c r="K462">
        <v>1.1739523139179617</v>
      </c>
      <c r="L462">
        <v>4.6986645322373368</v>
      </c>
      <c r="M462">
        <v>80709.244101796168</v>
      </c>
      <c r="N462" s="82">
        <v>97</v>
      </c>
      <c r="O462">
        <v>96.180806268985904</v>
      </c>
      <c r="P4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62" t="str">
        <f t="shared" ca="1" si="28"/>
        <v>Radio</v>
      </c>
      <c r="R462" s="157">
        <f>automotive_demand_forecasting_dataset567[[#This Row],[Units_Sold]]*automotive_demand_forecasting_dataset567[[#This Row],[Average_Price]]</f>
        <v>2639964.2577735283</v>
      </c>
      <c r="S462" t="str">
        <f t="shared" ca="1" si="29"/>
        <v>OK</v>
      </c>
    </row>
    <row r="463" spans="1:19">
      <c r="A463" s="1">
        <v>55565</v>
      </c>
      <c r="B463" t="s">
        <v>13</v>
      </c>
      <c r="C463" t="str">
        <f>TEXT(automotive_demand_forecasting_dataset567[[#This Row],[Date]],"mmmm")</f>
        <v>February</v>
      </c>
      <c r="D463" t="str">
        <f>CHOOSE(MATCH(MONTH(A463), {1,4,7,10}), "Winter", "Spring", "Summer", "Autumn")</f>
        <v>Winter</v>
      </c>
      <c r="E463">
        <f>YEAR(automotive_demand_forecasting_dataset567[[#This Row],[Date]])</f>
        <v>2052</v>
      </c>
      <c r="F463">
        <v>97</v>
      </c>
      <c r="G463">
        <f>(automotive_demand_forecasting_dataset567[[#This Row],[Units_Sold]] -$C$4) / $C$5</f>
        <v>-0.23559761166810378</v>
      </c>
      <c r="H463" t="str">
        <f t="shared" ca="1" si="27"/>
        <v>East</v>
      </c>
      <c r="I463">
        <v>26971.922301315681</v>
      </c>
      <c r="J463">
        <v>2.658280903889525</v>
      </c>
      <c r="K463">
        <v>2.086534838876724</v>
      </c>
      <c r="L463">
        <v>5.850631273991648</v>
      </c>
      <c r="M463">
        <v>110119.31106911731</v>
      </c>
      <c r="N463" s="82">
        <v>68</v>
      </c>
      <c r="O463">
        <v>23.988811711933138</v>
      </c>
      <c r="P4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63" t="str">
        <f t="shared" ca="1" si="28"/>
        <v>Print</v>
      </c>
      <c r="R463">
        <f>automotive_demand_forecasting_dataset567[[#This Row],[Units_Sold]]*automotive_demand_forecasting_dataset567[[#This Row],[Average_Price]]</f>
        <v>2616276.4632276208</v>
      </c>
      <c r="S463" t="str">
        <f t="shared" ca="1" si="29"/>
        <v>OK</v>
      </c>
    </row>
    <row r="464" spans="1:19">
      <c r="A464" s="1">
        <v>55595</v>
      </c>
      <c r="B464" t="s">
        <v>12</v>
      </c>
      <c r="C464" t="str">
        <f>TEXT(automotive_demand_forecasting_dataset567[[#This Row],[Date]],"mmmm")</f>
        <v>March</v>
      </c>
      <c r="D464" t="str">
        <f>CHOOSE(MATCH(MONTH(A464), {1,4,7,10}), "Winter", "Spring", "Summer", "Autumn")</f>
        <v>Winter</v>
      </c>
      <c r="E464">
        <f>YEAR(automotive_demand_forecasting_dataset567[[#This Row],[Date]])</f>
        <v>2052</v>
      </c>
      <c r="F464">
        <v>100</v>
      </c>
      <c r="G464">
        <f>(automotive_demand_forecasting_dataset567[[#This Row],[Units_Sold]] -$C$4) / $C$5</f>
        <v>7.1703620942466739E-2</v>
      </c>
      <c r="H464" t="str">
        <f t="shared" ca="1" si="27"/>
        <v>West</v>
      </c>
      <c r="I464">
        <v>38106.295579999998</v>
      </c>
      <c r="J464">
        <v>3.0970649667519057</v>
      </c>
      <c r="K464">
        <v>2.7602805065828862</v>
      </c>
      <c r="L464">
        <v>5.2752051779123503</v>
      </c>
      <c r="M464">
        <v>85434.555951867733</v>
      </c>
      <c r="N464" s="82">
        <v>86</v>
      </c>
      <c r="O464">
        <v>31.992740259771175</v>
      </c>
      <c r="P4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64" t="str">
        <f t="shared" ca="1" si="28"/>
        <v>TV</v>
      </c>
      <c r="R464">
        <f>automotive_demand_forecasting_dataset567[[#This Row],[Units_Sold]]*automotive_demand_forecasting_dataset567[[#This Row],[Average_Price]]</f>
        <v>3810629.5579999997</v>
      </c>
      <c r="S464" t="str">
        <f t="shared" ca="1" si="29"/>
        <v>OK</v>
      </c>
    </row>
    <row r="465" spans="1:19">
      <c r="A465" s="1">
        <v>55625</v>
      </c>
      <c r="B465" t="s">
        <v>11</v>
      </c>
      <c r="C465" t="str">
        <f>TEXT(automotive_demand_forecasting_dataset567[[#This Row],[Date]],"mmmm")</f>
        <v>April</v>
      </c>
      <c r="D465" t="str">
        <f>CHOOSE(MATCH(MONTH(A465), {1,4,7,10}), "Winter", "Spring", "Summer", "Autumn")</f>
        <v>Spring</v>
      </c>
      <c r="E465">
        <f>YEAR(automotive_demand_forecasting_dataset567[[#This Row],[Date]])</f>
        <v>2052</v>
      </c>
      <c r="F465">
        <v>98</v>
      </c>
      <c r="G465">
        <f>(automotive_demand_forecasting_dataset567[[#This Row],[Units_Sold]] -$C$4) / $C$5</f>
        <v>-0.13316386746458025</v>
      </c>
      <c r="H465" t="str">
        <f t="shared" ca="1" si="27"/>
        <v>West</v>
      </c>
      <c r="I465">
        <v>33389.629356696343</v>
      </c>
      <c r="J465">
        <v>3.9824258165487287</v>
      </c>
      <c r="K465">
        <v>1.5362410737893892</v>
      </c>
      <c r="L465">
        <v>2.8141225200100335</v>
      </c>
      <c r="M465">
        <v>143301.12135613203</v>
      </c>
      <c r="N465" s="82">
        <v>90</v>
      </c>
      <c r="O465">
        <v>63.006491044121148</v>
      </c>
      <c r="P4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65" t="str">
        <f t="shared" ca="1" si="28"/>
        <v>Billboards</v>
      </c>
      <c r="R465">
        <f>automotive_demand_forecasting_dataset567[[#This Row],[Units_Sold]]*automotive_demand_forecasting_dataset567[[#This Row],[Average_Price]]</f>
        <v>3272183.6769562415</v>
      </c>
      <c r="S465" t="str">
        <f t="shared" ca="1" si="29"/>
        <v>OK</v>
      </c>
    </row>
    <row r="466" spans="1:19">
      <c r="A466" s="1">
        <v>55655</v>
      </c>
      <c r="B466" t="s">
        <v>10</v>
      </c>
      <c r="C466" t="str">
        <f>TEXT(automotive_demand_forecasting_dataset567[[#This Row],[Date]],"mmmm")</f>
        <v>May</v>
      </c>
      <c r="D466" t="str">
        <f>CHOOSE(MATCH(MONTH(A466), {1,4,7,10}), "Winter", "Spring", "Summer", "Autumn")</f>
        <v>Spring</v>
      </c>
      <c r="E466">
        <f>YEAR(automotive_demand_forecasting_dataset567[[#This Row],[Date]])</f>
        <v>2052</v>
      </c>
      <c r="F466">
        <v>121</v>
      </c>
      <c r="G466">
        <f>(automotive_demand_forecasting_dataset567[[#This Row],[Units_Sold]] -$C$4) / $C$5</f>
        <v>2.2228122492164601</v>
      </c>
      <c r="H466" t="str">
        <f t="shared" ca="1" si="27"/>
        <v>North</v>
      </c>
      <c r="I466">
        <v>27560.442959271488</v>
      </c>
      <c r="J466">
        <v>4.3077914117741161</v>
      </c>
      <c r="K466">
        <v>1.5428490851049572</v>
      </c>
      <c r="L466">
        <v>2.9551598168379205</v>
      </c>
      <c r="M466">
        <v>123810.97188687192</v>
      </c>
      <c r="N466" s="82">
        <v>80</v>
      </c>
      <c r="O466">
        <v>66.063397689784779</v>
      </c>
      <c r="P4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66" t="str">
        <f t="shared" ca="1" si="28"/>
        <v>Billboards</v>
      </c>
      <c r="R466">
        <f>automotive_demand_forecasting_dataset567[[#This Row],[Units_Sold]]*automotive_demand_forecasting_dataset567[[#This Row],[Average_Price]]</f>
        <v>3334813.5980718499</v>
      </c>
      <c r="S466" t="str">
        <f t="shared" ca="1" si="29"/>
        <v>OK</v>
      </c>
    </row>
    <row r="467" spans="1:19">
      <c r="A467" s="1">
        <v>55685</v>
      </c>
      <c r="B467" t="s">
        <v>14</v>
      </c>
      <c r="C467" t="str">
        <f>TEXT(automotive_demand_forecasting_dataset567[[#This Row],[Date]],"mmmm")</f>
        <v>June</v>
      </c>
      <c r="D467" t="str">
        <f>CHOOSE(MATCH(MONTH(A467), {1,4,7,10}), "Winter", "Spring", "Summer", "Autumn")</f>
        <v>Spring</v>
      </c>
      <c r="E467">
        <f>YEAR(automotive_demand_forecasting_dataset567[[#This Row],[Date]])</f>
        <v>2052</v>
      </c>
      <c r="F467">
        <v>103</v>
      </c>
      <c r="G467">
        <f>(automotive_demand_forecasting_dataset567[[#This Row],[Units_Sold]] -$C$4) / $C$5</f>
        <v>0.37900485355303726</v>
      </c>
      <c r="H467" s="157" t="str">
        <f t="shared" ca="1" si="27"/>
        <v>West</v>
      </c>
      <c r="I467">
        <v>40786.541066327518</v>
      </c>
      <c r="J467">
        <v>4.5778345189999996</v>
      </c>
      <c r="K467">
        <v>2.6520564320000002</v>
      </c>
      <c r="L467">
        <v>4.7717617865713891</v>
      </c>
      <c r="M467">
        <v>104251.4806126443</v>
      </c>
      <c r="N467" s="82">
        <v>88</v>
      </c>
      <c r="O467">
        <v>65.454227669999995</v>
      </c>
      <c r="P4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67" t="str">
        <f t="shared" ca="1" si="28"/>
        <v>Print</v>
      </c>
      <c r="R467" s="157">
        <f>automotive_demand_forecasting_dataset567[[#This Row],[Units_Sold]]*automotive_demand_forecasting_dataset567[[#This Row],[Average_Price]]</f>
        <v>4201013.7298317347</v>
      </c>
      <c r="S467" t="str">
        <f t="shared" ca="1" si="29"/>
        <v>OK</v>
      </c>
    </row>
    <row r="468" spans="1:19">
      <c r="A468" s="1">
        <v>55715</v>
      </c>
      <c r="B468" t="s">
        <v>10</v>
      </c>
      <c r="C468" t="str">
        <f>TEXT(automotive_demand_forecasting_dataset567[[#This Row],[Date]],"mmmm")</f>
        <v>July</v>
      </c>
      <c r="D468" t="str">
        <f>CHOOSE(MATCH(MONTH(A468), {1,4,7,10}), "Winter", "Spring", "Summer", "Autumn")</f>
        <v>Summer</v>
      </c>
      <c r="E468">
        <f>YEAR(automotive_demand_forecasting_dataset567[[#This Row],[Date]])</f>
        <v>2052</v>
      </c>
      <c r="F468">
        <v>121</v>
      </c>
      <c r="G468">
        <f>(automotive_demand_forecasting_dataset567[[#This Row],[Units_Sold]] -$C$4) / $C$5</f>
        <v>2.2228122492164601</v>
      </c>
      <c r="H468" t="str">
        <f t="shared" ca="1" si="27"/>
        <v>North</v>
      </c>
      <c r="I468">
        <v>38106.295579999998</v>
      </c>
      <c r="J468">
        <v>3.5380713799999999</v>
      </c>
      <c r="K468">
        <v>2.4513476484295489</v>
      </c>
      <c r="L468">
        <v>6.0492239032642621</v>
      </c>
      <c r="M468">
        <v>120539.72526639464</v>
      </c>
      <c r="N468" s="82">
        <v>95</v>
      </c>
      <c r="O468">
        <v>21.357530345237315</v>
      </c>
      <c r="P4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68" t="str">
        <f t="shared" ca="1" si="28"/>
        <v>Online</v>
      </c>
      <c r="R468">
        <f>automotive_demand_forecasting_dataset567[[#This Row],[Units_Sold]]*automotive_demand_forecasting_dataset567[[#This Row],[Average_Price]]</f>
        <v>4610861.7651800001</v>
      </c>
      <c r="S468" t="str">
        <f t="shared" ca="1" si="29"/>
        <v>OK</v>
      </c>
    </row>
    <row r="469" spans="1:19">
      <c r="A469" s="1">
        <v>55745</v>
      </c>
      <c r="B469" t="s">
        <v>13</v>
      </c>
      <c r="C469" t="str">
        <f>TEXT(automotive_demand_forecasting_dataset567[[#This Row],[Date]],"mmmm")</f>
        <v>August</v>
      </c>
      <c r="D469" t="str">
        <f>CHOOSE(MATCH(MONTH(A469), {1,4,7,10}), "Winter", "Spring", "Summer", "Autumn")</f>
        <v>Summer</v>
      </c>
      <c r="E469">
        <f>YEAR(automotive_demand_forecasting_dataset567[[#This Row],[Date]])</f>
        <v>2052</v>
      </c>
      <c r="F469">
        <v>103</v>
      </c>
      <c r="G469">
        <f>(automotive_demand_forecasting_dataset567[[#This Row],[Units_Sold]] -$C$4) / $C$5</f>
        <v>0.37900485355303726</v>
      </c>
      <c r="H469" t="str">
        <f t="shared" ca="1" si="27"/>
        <v>South</v>
      </c>
      <c r="I469">
        <v>33710.476860046532</v>
      </c>
      <c r="J469">
        <v>3.4867971215205364</v>
      </c>
      <c r="K469">
        <v>2.5327969954115863</v>
      </c>
      <c r="L469">
        <v>5.616047043</v>
      </c>
      <c r="M469">
        <v>122118.00848714617</v>
      </c>
      <c r="N469" s="82">
        <v>93</v>
      </c>
      <c r="O469">
        <v>96.829341969770425</v>
      </c>
      <c r="P4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69" t="str">
        <f t="shared" ca="1" si="28"/>
        <v>Billboards</v>
      </c>
      <c r="R469">
        <f>automotive_demand_forecasting_dataset567[[#This Row],[Units_Sold]]*automotive_demand_forecasting_dataset567[[#This Row],[Average_Price]]</f>
        <v>3472179.1165847927</v>
      </c>
      <c r="S469" t="str">
        <f t="shared" ca="1" si="29"/>
        <v>OK</v>
      </c>
    </row>
    <row r="470" spans="1:19">
      <c r="A470" s="1">
        <v>55775</v>
      </c>
      <c r="B470" t="s">
        <v>13</v>
      </c>
      <c r="C470" t="str">
        <f>TEXT(automotive_demand_forecasting_dataset567[[#This Row],[Date]],"mmmm")</f>
        <v>September</v>
      </c>
      <c r="D470" t="str">
        <f>CHOOSE(MATCH(MONTH(A470), {1,4,7,10}), "Winter", "Spring", "Summer", "Autumn")</f>
        <v>Summer</v>
      </c>
      <c r="E470">
        <f>YEAR(automotive_demand_forecasting_dataset567[[#This Row],[Date]])</f>
        <v>2052</v>
      </c>
      <c r="F470">
        <v>91</v>
      </c>
      <c r="G470">
        <f>(automotive_demand_forecasting_dataset567[[#This Row],[Units_Sold]] -$C$4) / $C$5</f>
        <v>-0.85020007688924482</v>
      </c>
      <c r="H470" t="str">
        <f t="shared" ca="1" si="27"/>
        <v>East</v>
      </c>
      <c r="I470">
        <v>31496.462902032461</v>
      </c>
      <c r="J470">
        <v>4.5778345189999996</v>
      </c>
      <c r="K470">
        <v>1.7415046652999306</v>
      </c>
      <c r="L470">
        <f>6.97388673</f>
        <v>6.9738867300000003</v>
      </c>
      <c r="M470">
        <v>88721.050238835131</v>
      </c>
      <c r="N470" s="82">
        <v>95</v>
      </c>
      <c r="O470">
        <v>23.567047418731519</v>
      </c>
      <c r="P4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70" t="str">
        <f t="shared" ca="1" si="28"/>
        <v>Billboards</v>
      </c>
      <c r="R470">
        <f>automotive_demand_forecasting_dataset567[[#This Row],[Units_Sold]]*automotive_demand_forecasting_dataset567[[#This Row],[Average_Price]]</f>
        <v>2866178.1240849542</v>
      </c>
      <c r="S470" t="str">
        <f t="shared" ca="1" si="29"/>
        <v>OK</v>
      </c>
    </row>
    <row r="471" spans="1:19">
      <c r="A471" s="1">
        <v>55805</v>
      </c>
      <c r="B471" t="s">
        <v>12</v>
      </c>
      <c r="C471" t="str">
        <f>TEXT(automotive_demand_forecasting_dataset567[[#This Row],[Date]],"mmmm")</f>
        <v>October</v>
      </c>
      <c r="D471" t="str">
        <f>CHOOSE(MATCH(MONTH(A471), {1,4,7,10}), "Winter", "Spring", "Summer", "Autumn")</f>
        <v>Autumn</v>
      </c>
      <c r="E471">
        <f>YEAR(automotive_demand_forecasting_dataset567[[#This Row],[Date]])</f>
        <v>2052</v>
      </c>
      <c r="F471">
        <v>91</v>
      </c>
      <c r="G471">
        <f>(automotive_demand_forecasting_dataset567[[#This Row],[Units_Sold]] -$C$4) / $C$5</f>
        <v>-0.85020007688924482</v>
      </c>
      <c r="H471" t="str">
        <f t="shared" ca="1" si="27"/>
        <v>South</v>
      </c>
      <c r="I471">
        <v>36508.706446993994</v>
      </c>
      <c r="J471">
        <v>3.0951982400391769</v>
      </c>
      <c r="K471">
        <v>2.2695992857942326</v>
      </c>
      <c r="L471">
        <v>4.8685025721790947</v>
      </c>
      <c r="M471">
        <v>83675.655109160711</v>
      </c>
      <c r="N471" s="82">
        <v>93</v>
      </c>
      <c r="O471">
        <v>31.444956217872189</v>
      </c>
      <c r="P4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71" t="str">
        <f t="shared" ca="1" si="28"/>
        <v>Billboards</v>
      </c>
      <c r="R471">
        <f>automotive_demand_forecasting_dataset567[[#This Row],[Units_Sold]]*automotive_demand_forecasting_dataset567[[#This Row],[Average_Price]]</f>
        <v>3322292.2866764534</v>
      </c>
      <c r="S471" t="str">
        <f t="shared" ca="1" si="29"/>
        <v>OK</v>
      </c>
    </row>
    <row r="472" spans="1:19">
      <c r="A472" s="1">
        <v>55835</v>
      </c>
      <c r="B472" t="s">
        <v>11</v>
      </c>
      <c r="C472" t="str">
        <f>TEXT(automotive_demand_forecasting_dataset567[[#This Row],[Date]],"mmmm")</f>
        <v>November</v>
      </c>
      <c r="D472" t="str">
        <f>CHOOSE(MATCH(MONTH(A472), {1,4,7,10}), "Winter", "Spring", "Summer", "Autumn")</f>
        <v>Autumn</v>
      </c>
      <c r="E472">
        <f>YEAR(automotive_demand_forecasting_dataset567[[#This Row],[Date]])</f>
        <v>2052</v>
      </c>
      <c r="F472">
        <v>100</v>
      </c>
      <c r="G472">
        <f>(automotive_demand_forecasting_dataset567[[#This Row],[Units_Sold]] -$C$4) / $C$5</f>
        <v>7.1703620942466739E-2</v>
      </c>
      <c r="H472" t="str">
        <f t="shared" ca="1" si="27"/>
        <v>West</v>
      </c>
      <c r="I472">
        <v>37807.555983634265</v>
      </c>
      <c r="J472">
        <v>3.7120305222320447</v>
      </c>
      <c r="K472">
        <v>1.5757668557316955</v>
      </c>
      <c r="L472">
        <v>7.166005333850137</v>
      </c>
      <c r="M472">
        <v>101562.86125939294</v>
      </c>
      <c r="N472" s="82">
        <v>81</v>
      </c>
      <c r="O472">
        <v>21.12116140208456</v>
      </c>
      <c r="P4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72" t="str">
        <f t="shared" ca="1" si="28"/>
        <v>TV</v>
      </c>
      <c r="R472">
        <f>automotive_demand_forecasting_dataset567[[#This Row],[Units_Sold]]*automotive_demand_forecasting_dataset567[[#This Row],[Average_Price]]</f>
        <v>3780755.5983634265</v>
      </c>
      <c r="S472" t="str">
        <f t="shared" ca="1" si="29"/>
        <v>OK</v>
      </c>
    </row>
    <row r="473" spans="1:19">
      <c r="A473" s="1">
        <v>55865</v>
      </c>
      <c r="B473" t="s">
        <v>14</v>
      </c>
      <c r="C473" t="str">
        <f>TEXT(automotive_demand_forecasting_dataset567[[#This Row],[Date]],"mmmm")</f>
        <v>December</v>
      </c>
      <c r="D473" t="str">
        <f>CHOOSE(MATCH(MONTH(A473), {1,4,7,10}), "Winter", "Spring", "Summer", "Autumn")</f>
        <v>Autumn</v>
      </c>
      <c r="E473">
        <f>YEAR(automotive_demand_forecasting_dataset567[[#This Row],[Date]])</f>
        <v>2052</v>
      </c>
      <c r="F473">
        <v>97</v>
      </c>
      <c r="G473">
        <f>(automotive_demand_forecasting_dataset567[[#This Row],[Units_Sold]] -$C$4) / $C$5</f>
        <v>-0.23559761166810378</v>
      </c>
      <c r="H473" s="157" t="str">
        <f t="shared" ca="1" si="27"/>
        <v>West</v>
      </c>
      <c r="I473">
        <v>30160.020745328835</v>
      </c>
      <c r="J473">
        <v>3.263080326464542</v>
      </c>
      <c r="K473">
        <v>3.3901984111247869</v>
      </c>
      <c r="L473">
        <v>5.0379738259445634</v>
      </c>
      <c r="M473">
        <v>117232.72248995888</v>
      </c>
      <c r="N473" s="82">
        <v>89</v>
      </c>
      <c r="O473">
        <v>65.348674663527575</v>
      </c>
      <c r="P4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73" t="str">
        <f t="shared" ca="1" si="28"/>
        <v>TV</v>
      </c>
      <c r="R473" s="157">
        <f>automotive_demand_forecasting_dataset567[[#This Row],[Units_Sold]]*automotive_demand_forecasting_dataset567[[#This Row],[Average_Price]]</f>
        <v>2925522.0122968969</v>
      </c>
      <c r="S473" t="str">
        <f t="shared" ca="1" si="29"/>
        <v>OK</v>
      </c>
    </row>
    <row r="474" spans="1:19">
      <c r="A474" s="1">
        <v>55895</v>
      </c>
      <c r="B474" t="s">
        <v>10</v>
      </c>
      <c r="C474" t="str">
        <f>TEXT(automotive_demand_forecasting_dataset567[[#This Row],[Date]],"mmmm")</f>
        <v>January</v>
      </c>
      <c r="D474" t="str">
        <f>CHOOSE(MATCH(MONTH(A474), {1,4,7,10}), "Winter", "Spring", "Summer", "Autumn")</f>
        <v>Winter</v>
      </c>
      <c r="E474">
        <f>YEAR(automotive_demand_forecasting_dataset567[[#This Row],[Date]])</f>
        <v>2053</v>
      </c>
      <c r="F474">
        <v>106</v>
      </c>
      <c r="G474">
        <f>(automotive_demand_forecasting_dataset567[[#This Row],[Units_Sold]] -$C$4) / $C$5</f>
        <v>0.68630608616360778</v>
      </c>
      <c r="H474" t="str">
        <f t="shared" ca="1" si="27"/>
        <v>East</v>
      </c>
      <c r="I474">
        <v>26232.910648269084</v>
      </c>
      <c r="J474">
        <v>3.4927738645608604</v>
      </c>
      <c r="K474">
        <f>3.224108373</f>
        <v>3.224108373</v>
      </c>
      <c r="L474">
        <v>5.9595867816891142</v>
      </c>
      <c r="M474">
        <v>102781.20797306835</v>
      </c>
      <c r="N474" s="82">
        <v>73</v>
      </c>
      <c r="O474">
        <v>94.581350713677779</v>
      </c>
      <c r="P4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74" t="str">
        <f t="shared" ca="1" si="28"/>
        <v>Radio</v>
      </c>
      <c r="R474">
        <f>automotive_demand_forecasting_dataset567[[#This Row],[Units_Sold]]*automotive_demand_forecasting_dataset567[[#This Row],[Average_Price]]</f>
        <v>2780688.5287165227</v>
      </c>
      <c r="S474" t="str">
        <f t="shared" ca="1" si="29"/>
        <v>OK</v>
      </c>
    </row>
    <row r="475" spans="1:19">
      <c r="A475" s="1">
        <v>55925</v>
      </c>
      <c r="B475" t="s">
        <v>11</v>
      </c>
      <c r="C475" t="str">
        <f>TEXT(automotive_demand_forecasting_dataset567[[#This Row],[Date]],"mmmm")</f>
        <v>February</v>
      </c>
      <c r="D475" t="str">
        <f>CHOOSE(MATCH(MONTH(A475), {1,4,7,10}), "Winter", "Spring", "Summer", "Autumn")</f>
        <v>Winter</v>
      </c>
      <c r="E475">
        <f>YEAR(automotive_demand_forecasting_dataset567[[#This Row],[Date]])</f>
        <v>2053</v>
      </c>
      <c r="F475">
        <v>110</v>
      </c>
      <c r="G475">
        <f>(automotive_demand_forecasting_dataset567[[#This Row],[Units_Sold]] -$C$4) / $C$5</f>
        <v>1.0960410629777018</v>
      </c>
      <c r="H475" t="str">
        <f t="shared" ca="1" si="27"/>
        <v>East</v>
      </c>
      <c r="I475">
        <v>32299.860714695584</v>
      </c>
      <c r="J475">
        <v>4.5778345189999996</v>
      </c>
      <c r="K475">
        <v>0.65381213776190616</v>
      </c>
      <c r="L475">
        <v>5.616047043</v>
      </c>
      <c r="M475">
        <v>68460.070356180047</v>
      </c>
      <c r="N475" s="82">
        <v>90</v>
      </c>
      <c r="O475">
        <v>73.275773286437129</v>
      </c>
      <c r="P4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75" t="str">
        <f t="shared" ca="1" si="28"/>
        <v>Billboards</v>
      </c>
      <c r="R475">
        <f>automotive_demand_forecasting_dataset567[[#This Row],[Units_Sold]]*automotive_demand_forecasting_dataset567[[#This Row],[Average_Price]]</f>
        <v>3552984.6786165144</v>
      </c>
      <c r="S475" t="str">
        <f t="shared" ca="1" si="29"/>
        <v>OK</v>
      </c>
    </row>
    <row r="476" spans="1:19">
      <c r="A476" s="1">
        <v>55955</v>
      </c>
      <c r="B476" t="s">
        <v>13</v>
      </c>
      <c r="C476" t="str">
        <f>TEXT(automotive_demand_forecasting_dataset567[[#This Row],[Date]],"mmmm")</f>
        <v>March</v>
      </c>
      <c r="D476" t="str">
        <f>CHOOSE(MATCH(MONTH(A476), {1,4,7,10}), "Winter", "Spring", "Summer", "Autumn")</f>
        <v>Winter</v>
      </c>
      <c r="E476">
        <f>YEAR(automotive_demand_forecasting_dataset567[[#This Row],[Date]])</f>
        <v>2053</v>
      </c>
      <c r="F476">
        <v>91</v>
      </c>
      <c r="G476">
        <f>(automotive_demand_forecasting_dataset567[[#This Row],[Units_Sold]] -$C$4) / $C$5</f>
        <v>-0.85020007688924482</v>
      </c>
      <c r="H476" t="str">
        <f t="shared" ca="1" si="27"/>
        <v>South</v>
      </c>
      <c r="I476">
        <v>26611.423151239469</v>
      </c>
      <c r="J476">
        <v>3.5032111349054689</v>
      </c>
      <c r="K476">
        <v>1.57048913980759</v>
      </c>
      <c r="L476">
        <v>2.9433202242313592</v>
      </c>
      <c r="M476">
        <v>83943.511120983152</v>
      </c>
      <c r="N476" s="82">
        <v>91</v>
      </c>
      <c r="O476">
        <v>85.812597478434185</v>
      </c>
      <c r="P4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76" t="str">
        <f t="shared" ca="1" si="28"/>
        <v>Radio</v>
      </c>
      <c r="R476">
        <f>automotive_demand_forecasting_dataset567[[#This Row],[Units_Sold]]*automotive_demand_forecasting_dataset567[[#This Row],[Average_Price]]</f>
        <v>2421639.5067627919</v>
      </c>
      <c r="S476" t="str">
        <f t="shared" ca="1" si="29"/>
        <v>OK</v>
      </c>
    </row>
    <row r="477" spans="1:19">
      <c r="A477" s="1">
        <v>55985</v>
      </c>
      <c r="B477" t="s">
        <v>11</v>
      </c>
      <c r="C477" t="str">
        <f>TEXT(automotive_demand_forecasting_dataset567[[#This Row],[Date]],"mmmm")</f>
        <v>April</v>
      </c>
      <c r="D477" t="str">
        <f>CHOOSE(MATCH(MONTH(A477), {1,4,7,10}), "Winter", "Spring", "Summer", "Autumn")</f>
        <v>Spring</v>
      </c>
      <c r="E477">
        <f>YEAR(automotive_demand_forecasting_dataset567[[#This Row],[Date]])</f>
        <v>2053</v>
      </c>
      <c r="F477">
        <v>103</v>
      </c>
      <c r="G477">
        <f>(automotive_demand_forecasting_dataset567[[#This Row],[Units_Sold]] -$C$4) / $C$5</f>
        <v>0.37900485355303726</v>
      </c>
      <c r="H477" t="str">
        <f t="shared" ca="1" si="27"/>
        <v>North</v>
      </c>
      <c r="I477">
        <v>40066.936237633112</v>
      </c>
      <c r="J477">
        <v>3.2818070547367157</v>
      </c>
      <c r="K477">
        <v>1.0034707449099209</v>
      </c>
      <c r="L477">
        <v>6.4218486599580844</v>
      </c>
      <c r="M477">
        <v>98520.542728112443</v>
      </c>
      <c r="N477" s="82">
        <v>84</v>
      </c>
      <c r="O477">
        <v>21.062496276686407</v>
      </c>
      <c r="P4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77" t="str">
        <f t="shared" ca="1" si="28"/>
        <v>TV</v>
      </c>
      <c r="R477">
        <f>automotive_demand_forecasting_dataset567[[#This Row],[Units_Sold]]*automotive_demand_forecasting_dataset567[[#This Row],[Average_Price]]</f>
        <v>4126894.4324762104</v>
      </c>
      <c r="S477" t="str">
        <f t="shared" ca="1" si="29"/>
        <v>OK</v>
      </c>
    </row>
    <row r="478" spans="1:19">
      <c r="A478" s="1">
        <v>56015</v>
      </c>
      <c r="B478" t="s">
        <v>10</v>
      </c>
      <c r="C478" t="str">
        <f>TEXT(automotive_demand_forecasting_dataset567[[#This Row],[Date]],"mmmm")</f>
        <v>May</v>
      </c>
      <c r="D478" t="str">
        <f>CHOOSE(MATCH(MONTH(A478), {1,4,7,10}), "Winter", "Spring", "Summer", "Autumn")</f>
        <v>Spring</v>
      </c>
      <c r="E478">
        <f>YEAR(automotive_demand_forecasting_dataset567[[#This Row],[Date]])</f>
        <v>2053</v>
      </c>
      <c r="F478">
        <v>84</v>
      </c>
      <c r="G478">
        <f>(automotive_demand_forecasting_dataset567[[#This Row],[Units_Sold]] -$C$4) / $C$5</f>
        <v>-1.5672362863139093</v>
      </c>
      <c r="H478" t="str">
        <f t="shared" ca="1" si="27"/>
        <v>South</v>
      </c>
      <c r="I478">
        <v>30682.676655413688</v>
      </c>
      <c r="J478">
        <v>3.4451950980370847</v>
      </c>
      <c r="K478">
        <v>1.8499760655931019</v>
      </c>
      <c r="L478">
        <v>5.7584758065475459</v>
      </c>
      <c r="M478">
        <v>98486.687913483402</v>
      </c>
      <c r="N478" s="82">
        <v>81</v>
      </c>
      <c r="O478">
        <v>63.361223878378084</v>
      </c>
      <c r="P4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78" t="str">
        <f t="shared" ca="1" si="28"/>
        <v>Print</v>
      </c>
      <c r="R478">
        <f>automotive_demand_forecasting_dataset567[[#This Row],[Units_Sold]]*automotive_demand_forecasting_dataset567[[#This Row],[Average_Price]]</f>
        <v>2577344.8390547498</v>
      </c>
      <c r="S478" t="str">
        <f t="shared" ca="1" si="29"/>
        <v>OK</v>
      </c>
    </row>
    <row r="479" spans="1:19">
      <c r="A479" s="1">
        <v>56045</v>
      </c>
      <c r="B479" t="s">
        <v>11</v>
      </c>
      <c r="C479" t="str">
        <f>TEXT(automotive_demand_forecasting_dataset567[[#This Row],[Date]],"mmmm")</f>
        <v>June</v>
      </c>
      <c r="D479" t="str">
        <f>CHOOSE(MATCH(MONTH(A479), {1,4,7,10}), "Winter", "Spring", "Summer", "Autumn")</f>
        <v>Spring</v>
      </c>
      <c r="E479">
        <f>YEAR(automotive_demand_forecasting_dataset567[[#This Row],[Date]])</f>
        <v>2053</v>
      </c>
      <c r="F479">
        <v>93</v>
      </c>
      <c r="G479">
        <f>(automotive_demand_forecasting_dataset567[[#This Row],[Units_Sold]] -$C$4) / $C$5</f>
        <v>-0.64533258848219777</v>
      </c>
      <c r="H479" t="str">
        <f t="shared" ca="1" si="27"/>
        <v>West</v>
      </c>
      <c r="I479">
        <v>28173.392243439455</v>
      </c>
      <c r="J479">
        <v>3.4558185203973322</v>
      </c>
      <c r="K479">
        <v>2.4165620302096391</v>
      </c>
      <c r="L479">
        <v>6.1099223676095074</v>
      </c>
      <c r="M479">
        <v>139450.84353579616</v>
      </c>
      <c r="N479" s="82">
        <v>96</v>
      </c>
      <c r="O479">
        <v>56.765038200441751</v>
      </c>
      <c r="P4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79" t="str">
        <f t="shared" ca="1" si="28"/>
        <v>Print</v>
      </c>
      <c r="R479">
        <f>automotive_demand_forecasting_dataset567[[#This Row],[Units_Sold]]*automotive_demand_forecasting_dataset567[[#This Row],[Average_Price]]</f>
        <v>2620125.4786398695</v>
      </c>
      <c r="S479" t="str">
        <f t="shared" ca="1" si="29"/>
        <v>OK</v>
      </c>
    </row>
    <row r="480" spans="1:19">
      <c r="A480" s="1">
        <v>56075</v>
      </c>
      <c r="B480" t="s">
        <v>13</v>
      </c>
      <c r="C480" t="str">
        <f>TEXT(automotive_demand_forecasting_dataset567[[#This Row],[Date]],"mmmm")</f>
        <v>July</v>
      </c>
      <c r="D480" t="str">
        <f>CHOOSE(MATCH(MONTH(A480), {1,4,7,10}), "Winter", "Spring", "Summer", "Autumn")</f>
        <v>Summer</v>
      </c>
      <c r="E480">
        <f>YEAR(automotive_demand_forecasting_dataset567[[#This Row],[Date]])</f>
        <v>2053</v>
      </c>
      <c r="F480">
        <v>113</v>
      </c>
      <c r="G480">
        <f>(automotive_demand_forecasting_dataset567[[#This Row],[Units_Sold]] -$C$4) / $C$5</f>
        <v>1.4033422955882724</v>
      </c>
      <c r="H480" t="str">
        <f t="shared" ca="1" si="27"/>
        <v>South</v>
      </c>
      <c r="I480">
        <v>30949.702720000001</v>
      </c>
      <c r="J480">
        <v>3.3149944850589361</v>
      </c>
      <c r="K480">
        <v>1.0503547803014699</v>
      </c>
      <c r="L480">
        <v>5.616047043</v>
      </c>
      <c r="M480">
        <v>72280.24115202004</v>
      </c>
      <c r="N480" s="82">
        <v>86</v>
      </c>
      <c r="O480">
        <v>59.917435537663444</v>
      </c>
      <c r="P4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80" t="str">
        <f t="shared" ca="1" si="28"/>
        <v>Print</v>
      </c>
      <c r="R480">
        <f>automotive_demand_forecasting_dataset567[[#This Row],[Units_Sold]]*automotive_demand_forecasting_dataset567[[#This Row],[Average_Price]]</f>
        <v>3497316.4073600001</v>
      </c>
      <c r="S480" t="str">
        <f t="shared" ca="1" si="29"/>
        <v>OK</v>
      </c>
    </row>
    <row r="481" spans="1:19">
      <c r="A481" s="1">
        <v>56105</v>
      </c>
      <c r="B481" t="s">
        <v>11</v>
      </c>
      <c r="C481" t="str">
        <f>TEXT(automotive_demand_forecasting_dataset567[[#This Row],[Date]],"mmmm")</f>
        <v>August</v>
      </c>
      <c r="D481" t="str">
        <f>CHOOSE(MATCH(MONTH(A481), {1,4,7,10}), "Winter", "Spring", "Summer", "Autumn")</f>
        <v>Summer</v>
      </c>
      <c r="E481">
        <f>YEAR(automotive_demand_forecasting_dataset567[[#This Row],[Date]])</f>
        <v>2053</v>
      </c>
      <c r="F481">
        <v>105</v>
      </c>
      <c r="G481">
        <f>(automotive_demand_forecasting_dataset567[[#This Row],[Units_Sold]] -$C$4) / $C$5</f>
        <v>0.58387234196008431</v>
      </c>
      <c r="H481" t="str">
        <f t="shared" ca="1" si="27"/>
        <v>West</v>
      </c>
      <c r="I481">
        <v>23264.368552351516</v>
      </c>
      <c r="J481">
        <v>3.370601968666449</v>
      </c>
      <c r="K481">
        <v>1.5781401868746867</v>
      </c>
      <c r="L481">
        <v>5.616047043</v>
      </c>
      <c r="M481">
        <v>110111.78483671749</v>
      </c>
      <c r="N481" s="82">
        <v>99</v>
      </c>
      <c r="O481">
        <v>25.777054826815036</v>
      </c>
      <c r="P4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81" t="str">
        <f t="shared" ca="1" si="28"/>
        <v>Radio</v>
      </c>
      <c r="R481">
        <f>automotive_demand_forecasting_dataset567[[#This Row],[Units_Sold]]*automotive_demand_forecasting_dataset567[[#This Row],[Average_Price]]</f>
        <v>2442758.6979969093</v>
      </c>
      <c r="S481" t="str">
        <f t="shared" ca="1" si="29"/>
        <v>OK</v>
      </c>
    </row>
    <row r="482" spans="1:19">
      <c r="A482" s="1">
        <v>56135</v>
      </c>
      <c r="B482" t="s">
        <v>14</v>
      </c>
      <c r="C482" t="str">
        <f>TEXT(automotive_demand_forecasting_dataset567[[#This Row],[Date]],"mmmm")</f>
        <v>September</v>
      </c>
      <c r="D482" t="str">
        <f>CHOOSE(MATCH(MONTH(A482), {1,4,7,10}), "Winter", "Spring", "Summer", "Autumn")</f>
        <v>Summer</v>
      </c>
      <c r="E482">
        <f>YEAR(automotive_demand_forecasting_dataset567[[#This Row],[Date]])</f>
        <v>2053</v>
      </c>
      <c r="F482">
        <v>83</v>
      </c>
      <c r="G482">
        <f>(automotive_demand_forecasting_dataset567[[#This Row],[Units_Sold]] -$C$4) / $C$5</f>
        <v>-1.6696700305174328</v>
      </c>
      <c r="H482" s="157" t="str">
        <f t="shared" ca="1" si="27"/>
        <v>East</v>
      </c>
      <c r="I482">
        <v>25141.929807446744</v>
      </c>
      <c r="J482">
        <v>4.2993235852523588</v>
      </c>
      <c r="K482">
        <v>1.4960426279185015</v>
      </c>
      <c r="L482">
        <v>7.5696359797133299</v>
      </c>
      <c r="M482">
        <v>129782.26216656579</v>
      </c>
      <c r="N482" s="82">
        <v>72</v>
      </c>
      <c r="O482">
        <v>74.754828885544597</v>
      </c>
      <c r="P4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82" t="str">
        <f t="shared" ca="1" si="28"/>
        <v>Radio</v>
      </c>
      <c r="R482" s="157">
        <f>automotive_demand_forecasting_dataset567[[#This Row],[Units_Sold]]*automotive_demand_forecasting_dataset567[[#This Row],[Average_Price]]</f>
        <v>2086780.1740180799</v>
      </c>
      <c r="S482" t="str">
        <f t="shared" ca="1" si="29"/>
        <v>OK</v>
      </c>
    </row>
    <row r="483" spans="1:19">
      <c r="A483" s="1">
        <v>56165</v>
      </c>
      <c r="B483" t="s">
        <v>11</v>
      </c>
      <c r="C483" t="str">
        <f>TEXT(automotive_demand_forecasting_dataset567[[#This Row],[Date]],"mmmm")</f>
        <v>October</v>
      </c>
      <c r="D483" t="str">
        <f>CHOOSE(MATCH(MONTH(A483), {1,4,7,10}), "Winter", "Spring", "Summer", "Autumn")</f>
        <v>Autumn</v>
      </c>
      <c r="E483">
        <f>YEAR(automotive_demand_forecasting_dataset567[[#This Row],[Date]])</f>
        <v>2053</v>
      </c>
      <c r="F483">
        <v>96</v>
      </c>
      <c r="G483">
        <f>(automotive_demand_forecasting_dataset567[[#This Row],[Units_Sold]] -$C$4) / $C$5</f>
        <v>-0.33803135587162725</v>
      </c>
      <c r="H483" t="str">
        <f t="shared" ca="1" si="27"/>
        <v>South</v>
      </c>
      <c r="I483">
        <v>36002.069539722128</v>
      </c>
      <c r="J483">
        <v>3.7804597239706195</v>
      </c>
      <c r="K483">
        <v>2.707267329398944</v>
      </c>
      <c r="L483">
        <v>5.1550629767195737</v>
      </c>
      <c r="M483">
        <v>145428.99490845593</v>
      </c>
      <c r="N483" s="82">
        <v>83</v>
      </c>
      <c r="O483">
        <v>60.257633188690754</v>
      </c>
      <c r="P4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83" t="str">
        <f t="shared" ca="1" si="28"/>
        <v>Online</v>
      </c>
      <c r="R483">
        <f>automotive_demand_forecasting_dataset567[[#This Row],[Units_Sold]]*automotive_demand_forecasting_dataset567[[#This Row],[Average_Price]]</f>
        <v>3456198.6758133243</v>
      </c>
      <c r="S483" t="str">
        <f t="shared" ca="1" si="29"/>
        <v>OK</v>
      </c>
    </row>
    <row r="484" spans="1:19">
      <c r="A484" s="1">
        <v>56195</v>
      </c>
      <c r="B484" t="s">
        <v>14</v>
      </c>
      <c r="C484" t="str">
        <f>TEXT(automotive_demand_forecasting_dataset567[[#This Row],[Date]],"mmmm")</f>
        <v>November</v>
      </c>
      <c r="D484" t="str">
        <f>CHOOSE(MATCH(MONTH(A484), {1,4,7,10}), "Winter", "Spring", "Summer", "Autumn")</f>
        <v>Autumn</v>
      </c>
      <c r="E484">
        <f>YEAR(automotive_demand_forecasting_dataset567[[#This Row],[Date]])</f>
        <v>2053</v>
      </c>
      <c r="F484">
        <v>107</v>
      </c>
      <c r="G484">
        <f>(automotive_demand_forecasting_dataset567[[#This Row],[Units_Sold]] -$C$4) / $C$5</f>
        <v>0.78873983036713124</v>
      </c>
      <c r="H484" s="157" t="str">
        <f t="shared" ca="1" si="27"/>
        <v>West</v>
      </c>
      <c r="I484">
        <v>26715.528605143023</v>
      </c>
      <c r="J484">
        <v>3.3522598409854196</v>
      </c>
      <c r="K484">
        <v>2.5693443370362505</v>
      </c>
      <c r="L484">
        <v>5.8447946852836115</v>
      </c>
      <c r="M484">
        <v>91912.051536320767</v>
      </c>
      <c r="N484" s="82">
        <v>98</v>
      </c>
      <c r="O484">
        <v>81.211907988901118</v>
      </c>
      <c r="P4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84" t="str">
        <f t="shared" ca="1" si="28"/>
        <v>Billboards</v>
      </c>
      <c r="R484" s="157">
        <f>automotive_demand_forecasting_dataset567[[#This Row],[Units_Sold]]*automotive_demand_forecasting_dataset567[[#This Row],[Average_Price]]</f>
        <v>2858561.5607503033</v>
      </c>
      <c r="S484" t="str">
        <f t="shared" ca="1" si="29"/>
        <v>OK</v>
      </c>
    </row>
    <row r="485" spans="1:19">
      <c r="A485" s="1">
        <v>56225</v>
      </c>
      <c r="B485" t="s">
        <v>11</v>
      </c>
      <c r="C485" t="str">
        <f>TEXT(automotive_demand_forecasting_dataset567[[#This Row],[Date]],"mmmm")</f>
        <v>December</v>
      </c>
      <c r="D485" t="str">
        <f>CHOOSE(MATCH(MONTH(A485), {1,4,7,10}), "Winter", "Spring", "Summer", "Autumn")</f>
        <v>Autumn</v>
      </c>
      <c r="E485">
        <f>YEAR(automotive_demand_forecasting_dataset567[[#This Row],[Date]])</f>
        <v>2053</v>
      </c>
      <c r="F485">
        <v>83</v>
      </c>
      <c r="G485">
        <f>(automotive_demand_forecasting_dataset567[[#This Row],[Units_Sold]] -$C$4) / $C$5</f>
        <v>-1.6696700305174328</v>
      </c>
      <c r="H485" t="str">
        <f t="shared" ca="1" si="27"/>
        <v>North</v>
      </c>
      <c r="I485">
        <v>24765.445086590302</v>
      </c>
      <c r="J485">
        <v>3.8484772022553679</v>
      </c>
      <c r="K485">
        <v>1.7782624466627466</v>
      </c>
      <c r="L485">
        <v>5.4453853056385091</v>
      </c>
      <c r="M485">
        <v>109828.589054404</v>
      </c>
      <c r="N485" s="82">
        <v>101</v>
      </c>
      <c r="O485">
        <v>58.823250724937225</v>
      </c>
      <c r="P4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85" t="str">
        <f t="shared" ca="1" si="28"/>
        <v>Online</v>
      </c>
      <c r="R485">
        <f>automotive_demand_forecasting_dataset567[[#This Row],[Units_Sold]]*automotive_demand_forecasting_dataset567[[#This Row],[Average_Price]]</f>
        <v>2055531.9421869949</v>
      </c>
      <c r="S485" t="str">
        <f t="shared" ca="1" si="29"/>
        <v>OK</v>
      </c>
    </row>
    <row r="486" spans="1:19">
      <c r="A486" s="1">
        <v>56255</v>
      </c>
      <c r="B486" t="s">
        <v>13</v>
      </c>
      <c r="C486" t="str">
        <f>TEXT(automotive_demand_forecasting_dataset567[[#This Row],[Date]],"mmmm")</f>
        <v>January</v>
      </c>
      <c r="D486" t="str">
        <f>CHOOSE(MATCH(MONTH(A486), {1,4,7,10}), "Winter", "Spring", "Summer", "Autumn")</f>
        <v>Winter</v>
      </c>
      <c r="E486">
        <f>YEAR(automotive_demand_forecasting_dataset567[[#This Row],[Date]])</f>
        <v>2054</v>
      </c>
      <c r="F486">
        <v>105</v>
      </c>
      <c r="G486">
        <f>(automotive_demand_forecasting_dataset567[[#This Row],[Units_Sold]] -$C$4) / $C$5</f>
        <v>0.58387234196008431</v>
      </c>
      <c r="H486" t="str">
        <f t="shared" ca="1" si="27"/>
        <v>South</v>
      </c>
      <c r="I486">
        <v>32683.26376263643</v>
      </c>
      <c r="J486">
        <v>3.333090255121995</v>
      </c>
      <c r="K486">
        <v>2.6768208721393978</v>
      </c>
      <c r="L486">
        <v>4.990916399922348</v>
      </c>
      <c r="M486">
        <v>111395.20714397293</v>
      </c>
      <c r="N486" s="82">
        <v>90</v>
      </c>
      <c r="O486">
        <v>31.950530898114565</v>
      </c>
      <c r="P4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86" t="str">
        <f t="shared" ca="1" si="28"/>
        <v>Billboards</v>
      </c>
      <c r="R486">
        <f>automotive_demand_forecasting_dataset567[[#This Row],[Units_Sold]]*automotive_demand_forecasting_dataset567[[#This Row],[Average_Price]]</f>
        <v>3431742.6950768251</v>
      </c>
      <c r="S486" t="str">
        <f t="shared" ca="1" si="29"/>
        <v>OK</v>
      </c>
    </row>
    <row r="487" spans="1:19">
      <c r="A487" s="1">
        <v>56285</v>
      </c>
      <c r="B487" t="s">
        <v>12</v>
      </c>
      <c r="C487" t="str">
        <f>TEXT(automotive_demand_forecasting_dataset567[[#This Row],[Date]],"mmmm")</f>
        <v>February</v>
      </c>
      <c r="D487" t="str">
        <f>CHOOSE(MATCH(MONTH(A487), {1,4,7,10}), "Winter", "Spring", "Summer", "Autumn")</f>
        <v>Winter</v>
      </c>
      <c r="E487">
        <f>YEAR(automotive_demand_forecasting_dataset567[[#This Row],[Date]])</f>
        <v>2054</v>
      </c>
      <c r="F487">
        <v>112</v>
      </c>
      <c r="G487">
        <f>(automotive_demand_forecasting_dataset567[[#This Row],[Units_Sold]] -$C$4) / $C$5</f>
        <v>1.3009085513847487</v>
      </c>
      <c r="H487" t="str">
        <f t="shared" ca="1" si="27"/>
        <v>South</v>
      </c>
      <c r="I487">
        <v>35928.520773314987</v>
      </c>
      <c r="J487">
        <v>4.0865623187933204</v>
      </c>
      <c r="K487">
        <v>1.9533199154127345</v>
      </c>
      <c r="L487">
        <v>4.8162004861134893</v>
      </c>
      <c r="M487">
        <v>103909.63463106581</v>
      </c>
      <c r="N487" s="82">
        <v>71</v>
      </c>
      <c r="O487">
        <v>71.860556326225762</v>
      </c>
      <c r="P4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87" t="str">
        <f t="shared" ca="1" si="28"/>
        <v>Print</v>
      </c>
      <c r="R487">
        <f>automotive_demand_forecasting_dataset567[[#This Row],[Units_Sold]]*automotive_demand_forecasting_dataset567[[#This Row],[Average_Price]]</f>
        <v>4023994.3266112786</v>
      </c>
      <c r="S487" t="str">
        <f t="shared" ca="1" si="29"/>
        <v>OK</v>
      </c>
    </row>
    <row r="488" spans="1:19">
      <c r="A488" s="1">
        <v>56315</v>
      </c>
      <c r="B488" t="s">
        <v>12</v>
      </c>
      <c r="C488" t="str">
        <f>TEXT(automotive_demand_forecasting_dataset567[[#This Row],[Date]],"mmmm")</f>
        <v>March</v>
      </c>
      <c r="D488" t="str">
        <f>CHOOSE(MATCH(MONTH(A488), {1,4,7,10}), "Winter", "Spring", "Summer", "Autumn")</f>
        <v>Winter</v>
      </c>
      <c r="E488">
        <f>YEAR(automotive_demand_forecasting_dataset567[[#This Row],[Date]])</f>
        <v>2054</v>
      </c>
      <c r="F488">
        <v>99</v>
      </c>
      <c r="G488">
        <f>(automotive_demand_forecasting_dataset567[[#This Row],[Units_Sold]] -$C$4) / $C$5</f>
        <v>-3.0730123261056761E-2</v>
      </c>
      <c r="H488" t="str">
        <f t="shared" ca="1" si="27"/>
        <v>South</v>
      </c>
      <c r="I488">
        <v>33594.766553325331</v>
      </c>
      <c r="J488">
        <v>3.6848210960990468</v>
      </c>
      <c r="K488">
        <v>2.2283448896739468</v>
      </c>
      <c r="L488">
        <v>5.8954104826876108</v>
      </c>
      <c r="M488">
        <v>98023.095975213873</v>
      </c>
      <c r="N488" s="82">
        <v>85</v>
      </c>
      <c r="O488">
        <v>33.790908968413298</v>
      </c>
      <c r="P4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88" t="str">
        <f t="shared" ca="1" si="28"/>
        <v>TV</v>
      </c>
      <c r="R488">
        <f>automotive_demand_forecasting_dataset567[[#This Row],[Units_Sold]]*automotive_demand_forecasting_dataset567[[#This Row],[Average_Price]]</f>
        <v>3325881.8887792076</v>
      </c>
      <c r="S488" t="str">
        <f t="shared" ca="1" si="29"/>
        <v>OK</v>
      </c>
    </row>
    <row r="489" spans="1:19">
      <c r="A489" s="1">
        <v>56345</v>
      </c>
      <c r="B489" t="s">
        <v>14</v>
      </c>
      <c r="C489" t="str">
        <f>TEXT(automotive_demand_forecasting_dataset567[[#This Row],[Date]],"mmmm")</f>
        <v>April</v>
      </c>
      <c r="D489" t="str">
        <f>CHOOSE(MATCH(MONTH(A489), {1,4,7,10}), "Winter", "Spring", "Summer", "Autumn")</f>
        <v>Spring</v>
      </c>
      <c r="E489">
        <f>YEAR(automotive_demand_forecasting_dataset567[[#This Row],[Date]])</f>
        <v>2054</v>
      </c>
      <c r="F489">
        <v>111</v>
      </c>
      <c r="G489">
        <f>(automotive_demand_forecasting_dataset567[[#This Row],[Units_Sold]] -$C$4) / $C$5</f>
        <v>1.1984748071812252</v>
      </c>
      <c r="H489" s="157" t="str">
        <f t="shared" ca="1" si="27"/>
        <v>East</v>
      </c>
      <c r="I489">
        <v>34980.238429029079</v>
      </c>
      <c r="J489">
        <v>3.4463489279978856</v>
      </c>
      <c r="K489">
        <v>4.1734520902985368</v>
      </c>
      <c r="L489">
        <v>3.6793915639939851</v>
      </c>
      <c r="M489">
        <v>108719.50779000092</v>
      </c>
      <c r="N489" s="82">
        <v>98</v>
      </c>
      <c r="O489">
        <v>89.791565068385196</v>
      </c>
      <c r="P4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89" t="str">
        <f t="shared" ca="1" si="28"/>
        <v>Online</v>
      </c>
      <c r="R489" s="157">
        <f>automotive_demand_forecasting_dataset567[[#This Row],[Units_Sold]]*automotive_demand_forecasting_dataset567[[#This Row],[Average_Price]]</f>
        <v>3882806.4656222276</v>
      </c>
      <c r="S489" t="str">
        <f t="shared" ca="1" si="29"/>
        <v>OK</v>
      </c>
    </row>
    <row r="490" spans="1:19">
      <c r="A490" s="1">
        <v>56375</v>
      </c>
      <c r="B490" t="s">
        <v>14</v>
      </c>
      <c r="C490" t="str">
        <f>TEXT(automotive_demand_forecasting_dataset567[[#This Row],[Date]],"mmmm")</f>
        <v>May</v>
      </c>
      <c r="D490" t="str">
        <f>CHOOSE(MATCH(MONTH(A490), {1,4,7,10}), "Winter", "Spring", "Summer", "Autumn")</f>
        <v>Spring</v>
      </c>
      <c r="E490">
        <f>YEAR(automotive_demand_forecasting_dataset567[[#This Row],[Date]])</f>
        <v>2054</v>
      </c>
      <c r="F490">
        <v>105</v>
      </c>
      <c r="G490">
        <f>(automotive_demand_forecasting_dataset567[[#This Row],[Units_Sold]] -$C$4) / $C$5</f>
        <v>0.58387234196008431</v>
      </c>
      <c r="H490" s="157" t="str">
        <f t="shared" ca="1" si="27"/>
        <v>South</v>
      </c>
      <c r="I490">
        <v>26216.024557152698</v>
      </c>
      <c r="J490">
        <v>3.723858462905139</v>
      </c>
      <c r="K490">
        <v>3.8404610517903479</v>
      </c>
      <c r="L490">
        <v>6.4006950010261185</v>
      </c>
      <c r="M490">
        <v>49355.07829560629</v>
      </c>
      <c r="N490" s="82">
        <v>100</v>
      </c>
      <c r="O490">
        <v>69.049299125539321</v>
      </c>
      <c r="P4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90" t="str">
        <f t="shared" ca="1" si="28"/>
        <v>Print</v>
      </c>
      <c r="R490" s="157">
        <f>automotive_demand_forecasting_dataset567[[#This Row],[Units_Sold]]*automotive_demand_forecasting_dataset567[[#This Row],[Average_Price]]</f>
        <v>2752682.5785010331</v>
      </c>
      <c r="S490" t="str">
        <f t="shared" ca="1" si="29"/>
        <v>OK</v>
      </c>
    </row>
    <row r="491" spans="1:19">
      <c r="A491" s="1">
        <v>56405</v>
      </c>
      <c r="B491" t="s">
        <v>12</v>
      </c>
      <c r="C491" t="str">
        <f>TEXT(automotive_demand_forecasting_dataset567[[#This Row],[Date]],"mmmm")</f>
        <v>June</v>
      </c>
      <c r="D491" t="str">
        <f>CHOOSE(MATCH(MONTH(A491), {1,4,7,10}), "Winter", "Spring", "Summer", "Autumn")</f>
        <v>Spring</v>
      </c>
      <c r="E491">
        <f>YEAR(automotive_demand_forecasting_dataset567[[#This Row],[Date]])</f>
        <v>2054</v>
      </c>
      <c r="F491">
        <v>93</v>
      </c>
      <c r="G491">
        <f>(automotive_demand_forecasting_dataset567[[#This Row],[Units_Sold]] -$C$4) / $C$5</f>
        <v>-0.64533258848219777</v>
      </c>
      <c r="H491" t="str">
        <f t="shared" ca="1" si="27"/>
        <v>South</v>
      </c>
      <c r="I491">
        <v>22890.94666629078</v>
      </c>
      <c r="J491">
        <v>2.7145619239657504</v>
      </c>
      <c r="K491">
        <v>1.2004187630724024</v>
      </c>
      <c r="L491">
        <v>5.0005667141376957</v>
      </c>
      <c r="M491">
        <v>113641.38980125263</v>
      </c>
      <c r="N491" s="82">
        <v>88</v>
      </c>
      <c r="O491">
        <v>32.57631068455634</v>
      </c>
      <c r="P4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91" t="str">
        <f t="shared" ca="1" si="28"/>
        <v>Radio</v>
      </c>
      <c r="R491">
        <f>automotive_demand_forecasting_dataset567[[#This Row],[Units_Sold]]*automotive_demand_forecasting_dataset567[[#This Row],[Average_Price]]</f>
        <v>2128858.0399650424</v>
      </c>
      <c r="S491" t="str">
        <f t="shared" ca="1" si="29"/>
        <v>OK</v>
      </c>
    </row>
    <row r="492" spans="1:19">
      <c r="A492" s="1">
        <v>56435</v>
      </c>
      <c r="B492" t="s">
        <v>13</v>
      </c>
      <c r="C492" t="str">
        <f>TEXT(automotive_demand_forecasting_dataset567[[#This Row],[Date]],"mmmm")</f>
        <v>July</v>
      </c>
      <c r="D492" t="str">
        <f>CHOOSE(MATCH(MONTH(A492), {1,4,7,10}), "Winter", "Spring", "Summer", "Autumn")</f>
        <v>Summer</v>
      </c>
      <c r="E492">
        <f>YEAR(automotive_demand_forecasting_dataset567[[#This Row],[Date]])</f>
        <v>2054</v>
      </c>
      <c r="F492">
        <v>109</v>
      </c>
      <c r="G492">
        <f>(automotive_demand_forecasting_dataset567[[#This Row],[Units_Sold]] -$C$4) / $C$5</f>
        <v>0.99360731877417829</v>
      </c>
      <c r="H492" t="str">
        <f t="shared" ca="1" si="27"/>
        <v>West</v>
      </c>
      <c r="I492">
        <v>37506.668259777434</v>
      </c>
      <c r="J492">
        <v>2.9366162655450974</v>
      </c>
      <c r="K492">
        <v>3.3297324178791747</v>
      </c>
      <c r="L492">
        <v>4.143916793151571</v>
      </c>
      <c r="M492">
        <v>102523.55807323934</v>
      </c>
      <c r="N492" s="82">
        <v>82</v>
      </c>
      <c r="O492">
        <v>96.987044598496539</v>
      </c>
      <c r="P4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92" t="str">
        <f t="shared" ca="1" si="28"/>
        <v>Radio</v>
      </c>
      <c r="R492">
        <f>automotive_demand_forecasting_dataset567[[#This Row],[Units_Sold]]*automotive_demand_forecasting_dataset567[[#This Row],[Average_Price]]</f>
        <v>4088226.8403157406</v>
      </c>
      <c r="S492" t="str">
        <f t="shared" ca="1" si="29"/>
        <v>OK</v>
      </c>
    </row>
    <row r="493" spans="1:19">
      <c r="A493" s="1">
        <v>56465</v>
      </c>
      <c r="B493" t="s">
        <v>13</v>
      </c>
      <c r="C493" t="str">
        <f>TEXT(automotive_demand_forecasting_dataset567[[#This Row],[Date]],"mmmm")</f>
        <v>August</v>
      </c>
      <c r="D493" t="str">
        <f>CHOOSE(MATCH(MONTH(A493), {1,4,7,10}), "Winter", "Spring", "Summer", "Autumn")</f>
        <v>Summer</v>
      </c>
      <c r="E493">
        <f>YEAR(automotive_demand_forecasting_dataset567[[#This Row],[Date]])</f>
        <v>2054</v>
      </c>
      <c r="F493">
        <v>106</v>
      </c>
      <c r="G493">
        <f>(automotive_demand_forecasting_dataset567[[#This Row],[Units_Sold]] -$C$4) / $C$5</f>
        <v>0.68630608616360778</v>
      </c>
      <c r="H493" t="str">
        <f t="shared" ca="1" si="27"/>
        <v>North</v>
      </c>
      <c r="I493">
        <v>28386.60080578932</v>
      </c>
      <c r="J493">
        <v>2.9030374968004722</v>
      </c>
      <c r="K493">
        <v>2.6520564320000002</v>
      </c>
      <c r="L493">
        <v>4.9599845704050232</v>
      </c>
      <c r="M493">
        <v>95550.502064434695</v>
      </c>
      <c r="N493" s="82">
        <v>90</v>
      </c>
      <c r="O493">
        <v>61.469237066825649</v>
      </c>
      <c r="P4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93" t="str">
        <f t="shared" ca="1" si="28"/>
        <v>TV</v>
      </c>
      <c r="R493">
        <f>automotive_demand_forecasting_dataset567[[#This Row],[Units_Sold]]*automotive_demand_forecasting_dataset567[[#This Row],[Average_Price]]</f>
        <v>3008979.6854136679</v>
      </c>
      <c r="S493" t="str">
        <f t="shared" ca="1" si="29"/>
        <v>OK</v>
      </c>
    </row>
    <row r="494" spans="1:19">
      <c r="A494" s="1">
        <v>56495</v>
      </c>
      <c r="B494" t="s">
        <v>11</v>
      </c>
      <c r="C494" t="str">
        <f>TEXT(automotive_demand_forecasting_dataset567[[#This Row],[Date]],"mmmm")</f>
        <v>September</v>
      </c>
      <c r="D494" t="str">
        <f>CHOOSE(MATCH(MONTH(A494), {1,4,7,10}), "Winter", "Spring", "Summer", "Autumn")</f>
        <v>Summer</v>
      </c>
      <c r="E494">
        <f>YEAR(automotive_demand_forecasting_dataset567[[#This Row],[Date]])</f>
        <v>2054</v>
      </c>
      <c r="F494">
        <v>106</v>
      </c>
      <c r="G494">
        <f>(automotive_demand_forecasting_dataset567[[#This Row],[Units_Sold]] -$C$4) / $C$5</f>
        <v>0.68630608616360778</v>
      </c>
      <c r="H494" t="str">
        <f t="shared" ca="1" si="27"/>
        <v>North</v>
      </c>
      <c r="I494">
        <v>28745.834917724762</v>
      </c>
      <c r="J494">
        <v>3.5714715473818535</v>
      </c>
      <c r="K494">
        <v>1.3517367112473817</v>
      </c>
      <c r="L494">
        <v>7.0085790602350873</v>
      </c>
      <c r="M494">
        <v>140937.24391439115</v>
      </c>
      <c r="N494" s="82">
        <v>79</v>
      </c>
      <c r="O494">
        <v>25.831876149732402</v>
      </c>
      <c r="P4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94" t="str">
        <f t="shared" ca="1" si="28"/>
        <v>Billboards</v>
      </c>
      <c r="R494">
        <f>automotive_demand_forecasting_dataset567[[#This Row],[Units_Sold]]*automotive_demand_forecasting_dataset567[[#This Row],[Average_Price]]</f>
        <v>3047058.5012788246</v>
      </c>
      <c r="S494" t="str">
        <f t="shared" ca="1" si="29"/>
        <v>OK</v>
      </c>
    </row>
    <row r="495" spans="1:19">
      <c r="A495" s="1">
        <v>56525</v>
      </c>
      <c r="B495" t="s">
        <v>14</v>
      </c>
      <c r="C495" t="str">
        <f>TEXT(automotive_demand_forecasting_dataset567[[#This Row],[Date]],"mmmm")</f>
        <v>October</v>
      </c>
      <c r="D495" t="str">
        <f>CHOOSE(MATCH(MONTH(A495), {1,4,7,10}), "Winter", "Spring", "Summer", "Autumn")</f>
        <v>Autumn</v>
      </c>
      <c r="E495">
        <f>YEAR(automotive_demand_forecasting_dataset567[[#This Row],[Date]])</f>
        <v>2054</v>
      </c>
      <c r="F495">
        <v>103</v>
      </c>
      <c r="G495">
        <f>(automotive_demand_forecasting_dataset567[[#This Row],[Units_Sold]] -$C$4) / $C$5</f>
        <v>0.37900485355303726</v>
      </c>
      <c r="H495" s="157" t="str">
        <f t="shared" ca="1" si="27"/>
        <v>North</v>
      </c>
      <c r="I495">
        <v>36640.970709245288</v>
      </c>
      <c r="J495">
        <v>4.3662574997425461</v>
      </c>
      <c r="K495">
        <f>3.224108373</f>
        <v>3.224108373</v>
      </c>
      <c r="L495">
        <v>4.8575978955805326</v>
      </c>
      <c r="M495">
        <v>86501.319624188953</v>
      </c>
      <c r="N495" s="82">
        <v>92</v>
      </c>
      <c r="O495">
        <v>70.146632353205376</v>
      </c>
      <c r="P4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95" t="str">
        <f t="shared" ca="1" si="28"/>
        <v>Print</v>
      </c>
      <c r="R495" s="157">
        <f>automotive_demand_forecasting_dataset567[[#This Row],[Units_Sold]]*automotive_demand_forecasting_dataset567[[#This Row],[Average_Price]]</f>
        <v>3774019.9830522649</v>
      </c>
      <c r="S495" t="str">
        <f t="shared" ca="1" si="29"/>
        <v>OK</v>
      </c>
    </row>
    <row r="496" spans="1:19">
      <c r="A496" s="1">
        <v>56555</v>
      </c>
      <c r="B496" t="s">
        <v>13</v>
      </c>
      <c r="C496" t="str">
        <f>TEXT(automotive_demand_forecasting_dataset567[[#This Row],[Date]],"mmmm")</f>
        <v>November</v>
      </c>
      <c r="D496" t="str">
        <f>CHOOSE(MATCH(MONTH(A496), {1,4,7,10}), "Winter", "Spring", "Summer", "Autumn")</f>
        <v>Autumn</v>
      </c>
      <c r="E496">
        <f>YEAR(automotive_demand_forecasting_dataset567[[#This Row],[Date]])</f>
        <v>2054</v>
      </c>
      <c r="F496">
        <v>113</v>
      </c>
      <c r="G496">
        <f>(automotive_demand_forecasting_dataset567[[#This Row],[Units_Sold]] -$C$4) / $C$5</f>
        <v>1.4033422955882724</v>
      </c>
      <c r="H496" t="str">
        <f t="shared" ca="1" si="27"/>
        <v>East</v>
      </c>
      <c r="I496">
        <v>32781.150047003299</v>
      </c>
      <c r="J496">
        <v>4.6156500730963161</v>
      </c>
      <c r="K496">
        <v>4.0379319184125526</v>
      </c>
      <c r="L496">
        <v>5.9301443418515447</v>
      </c>
      <c r="M496">
        <v>91938.480218699391</v>
      </c>
      <c r="N496" s="82">
        <f>111.9136842</f>
        <v>111.91368420000001</v>
      </c>
      <c r="O496">
        <v>40.255912561024815</v>
      </c>
      <c r="P4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96" t="str">
        <f t="shared" ca="1" si="28"/>
        <v>Print</v>
      </c>
      <c r="R496">
        <f>automotive_demand_forecasting_dataset567[[#This Row],[Units_Sold]]*automotive_demand_forecasting_dataset567[[#This Row],[Average_Price]]</f>
        <v>3704269.9553113729</v>
      </c>
      <c r="S496" t="str">
        <f t="shared" ca="1" si="29"/>
        <v>OK</v>
      </c>
    </row>
    <row r="497" spans="1:19">
      <c r="A497" s="1">
        <v>56585</v>
      </c>
      <c r="B497" t="s">
        <v>10</v>
      </c>
      <c r="C497" t="str">
        <f>TEXT(automotive_demand_forecasting_dataset567[[#This Row],[Date]],"mmmm")</f>
        <v>December</v>
      </c>
      <c r="D497" t="str">
        <f>CHOOSE(MATCH(MONTH(A497), {1,4,7,10}), "Winter", "Spring", "Summer", "Autumn")</f>
        <v>Autumn</v>
      </c>
      <c r="E497">
        <f>YEAR(automotive_demand_forecasting_dataset567[[#This Row],[Date]])</f>
        <v>2054</v>
      </c>
      <c r="F497">
        <v>111</v>
      </c>
      <c r="G497">
        <f>(automotive_demand_forecasting_dataset567[[#This Row],[Units_Sold]] -$C$4) / $C$5</f>
        <v>1.1984748071812252</v>
      </c>
      <c r="H497" t="str">
        <f t="shared" ca="1" si="27"/>
        <v>West</v>
      </c>
      <c r="I497">
        <v>30949.702720000001</v>
      </c>
      <c r="J497">
        <v>3.8190255507203785</v>
      </c>
      <c r="K497">
        <v>1.3774551937555861</v>
      </c>
      <c r="L497">
        <v>4.6228524691414323</v>
      </c>
      <c r="M497">
        <v>102916.7736</v>
      </c>
      <c r="N497" s="82">
        <v>92</v>
      </c>
      <c r="O497">
        <v>84.2954761501842</v>
      </c>
      <c r="P4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97" t="str">
        <f t="shared" ca="1" si="28"/>
        <v>Radio</v>
      </c>
      <c r="R497">
        <f>automotive_demand_forecasting_dataset567[[#This Row],[Units_Sold]]*automotive_demand_forecasting_dataset567[[#This Row],[Average_Price]]</f>
        <v>3435417.0019200002</v>
      </c>
      <c r="S497" t="str">
        <f t="shared" ca="1" si="29"/>
        <v>OK</v>
      </c>
    </row>
    <row r="498" spans="1:19">
      <c r="A498" s="1">
        <v>56615</v>
      </c>
      <c r="B498" t="s">
        <v>11</v>
      </c>
      <c r="C498" t="str">
        <f>TEXT(automotive_demand_forecasting_dataset567[[#This Row],[Date]],"mmmm")</f>
        <v>January</v>
      </c>
      <c r="D498" t="str">
        <f>CHOOSE(MATCH(MONTH(A498), {1,4,7,10}), "Winter", "Spring", "Summer", "Autumn")</f>
        <v>Winter</v>
      </c>
      <c r="E498">
        <f>YEAR(automotive_demand_forecasting_dataset567[[#This Row],[Date]])</f>
        <v>2055</v>
      </c>
      <c r="F498">
        <v>100</v>
      </c>
      <c r="G498">
        <f>(automotive_demand_forecasting_dataset567[[#This Row],[Units_Sold]] -$C$4) / $C$5</f>
        <v>7.1703620942466739E-2</v>
      </c>
      <c r="H498" t="str">
        <f t="shared" ca="1" si="27"/>
        <v>North</v>
      </c>
      <c r="I498">
        <v>40825.011724505421</v>
      </c>
      <c r="J498">
        <v>3.7504222374722285</v>
      </c>
      <c r="K498">
        <v>1.5824971789857365</v>
      </c>
      <c r="L498">
        <v>6.4095062199083435</v>
      </c>
      <c r="M498">
        <f>128897.2893</f>
        <v>128897.2893</v>
      </c>
      <c r="N498" s="82">
        <v>92</v>
      </c>
      <c r="O498">
        <v>85.425765885295249</v>
      </c>
      <c r="P4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98" t="str">
        <f t="shared" ca="1" si="28"/>
        <v>Print</v>
      </c>
      <c r="R498">
        <f>automotive_demand_forecasting_dataset567[[#This Row],[Units_Sold]]*automotive_demand_forecasting_dataset567[[#This Row],[Average_Price]]</f>
        <v>4082501.172450542</v>
      </c>
      <c r="S498" t="str">
        <f t="shared" ca="1" si="29"/>
        <v>OK</v>
      </c>
    </row>
    <row r="499" spans="1:19">
      <c r="A499" s="1">
        <v>56645</v>
      </c>
      <c r="B499" t="s">
        <v>11</v>
      </c>
      <c r="C499" t="str">
        <f>TEXT(automotive_demand_forecasting_dataset567[[#This Row],[Date]],"mmmm")</f>
        <v>January</v>
      </c>
      <c r="D499" t="str">
        <f>CHOOSE(MATCH(MONTH(A499), {1,4,7,10}), "Winter", "Spring", "Summer", "Autumn")</f>
        <v>Winter</v>
      </c>
      <c r="E499">
        <f>YEAR(automotive_demand_forecasting_dataset567[[#This Row],[Date]])</f>
        <v>2055</v>
      </c>
      <c r="F499">
        <v>89</v>
      </c>
      <c r="G499">
        <f>(automotive_demand_forecasting_dataset567[[#This Row],[Units_Sold]] -$C$4) / $C$5</f>
        <v>-1.0550675652962918</v>
      </c>
      <c r="H499" t="str">
        <f t="shared" ca="1" si="27"/>
        <v>West</v>
      </c>
      <c r="I499">
        <v>26782.408848099287</v>
      </c>
      <c r="J499">
        <v>2.5994711329236306</v>
      </c>
      <c r="K499">
        <v>3.5176614668435024</v>
      </c>
      <c r="L499">
        <f>6.97388673</f>
        <v>6.9738867300000003</v>
      </c>
      <c r="M499">
        <v>88997.69434126922</v>
      </c>
      <c r="N499" s="82">
        <v>90</v>
      </c>
      <c r="O499">
        <v>98.315788468372943</v>
      </c>
      <c r="P4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99" t="str">
        <f t="shared" ca="1" si="28"/>
        <v>TV</v>
      </c>
      <c r="R499">
        <f>automotive_demand_forecasting_dataset567[[#This Row],[Units_Sold]]*automotive_demand_forecasting_dataset567[[#This Row],[Average_Price]]</f>
        <v>2383634.3874808364</v>
      </c>
      <c r="S499" t="str">
        <f t="shared" ca="1" si="29"/>
        <v>OK</v>
      </c>
    </row>
    <row r="500" spans="1:19">
      <c r="A500" s="1">
        <v>56675</v>
      </c>
      <c r="B500" t="s">
        <v>12</v>
      </c>
      <c r="C500" t="str">
        <f>TEXT(automotive_demand_forecasting_dataset567[[#This Row],[Date]],"mmmm")</f>
        <v>March</v>
      </c>
      <c r="D500" t="str">
        <f>CHOOSE(MATCH(MONTH(A500), {1,4,7,10}), "Winter", "Spring", "Summer", "Autumn")</f>
        <v>Winter</v>
      </c>
      <c r="E500">
        <f>YEAR(automotive_demand_forecasting_dataset567[[#This Row],[Date]])</f>
        <v>2055</v>
      </c>
      <c r="F500">
        <v>111</v>
      </c>
      <c r="G500">
        <f>(automotive_demand_forecasting_dataset567[[#This Row],[Units_Sold]] -$C$4) / $C$5</f>
        <v>1.1984748071812252</v>
      </c>
      <c r="H500" t="str">
        <f t="shared" ca="1" si="27"/>
        <v>West</v>
      </c>
      <c r="I500">
        <v>34639.200640406183</v>
      </c>
      <c r="J500">
        <v>3.2286631001329891</v>
      </c>
      <c r="K500">
        <v>2.7714953108256482</v>
      </c>
      <c r="L500">
        <v>7.7183305999556939</v>
      </c>
      <c r="M500">
        <v>97059.491531382999</v>
      </c>
      <c r="N500" s="82">
        <v>82</v>
      </c>
      <c r="O500">
        <v>60.149562481960295</v>
      </c>
      <c r="P5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500" t="str">
        <f t="shared" ca="1" si="28"/>
        <v>Online</v>
      </c>
      <c r="R500">
        <f>automotive_demand_forecasting_dataset567[[#This Row],[Units_Sold]]*automotive_demand_forecasting_dataset567[[#This Row],[Average_Price]]</f>
        <v>3844951.2710850863</v>
      </c>
      <c r="S500" t="str">
        <f t="shared" ca="1" si="29"/>
        <v>OK</v>
      </c>
    </row>
    <row r="501" spans="1:19">
      <c r="A501" s="1">
        <v>56705</v>
      </c>
      <c r="B501" t="s">
        <v>14</v>
      </c>
      <c r="C501" t="str">
        <f>TEXT(automotive_demand_forecasting_dataset567[[#This Row],[Date]],"mmmm")</f>
        <v>April</v>
      </c>
      <c r="D501" t="str">
        <f>CHOOSE(MATCH(MONTH(A501), {1,4,7,10}), "Winter", "Spring", "Summer", "Autumn")</f>
        <v>Spring</v>
      </c>
      <c r="E501">
        <f>YEAR(automotive_demand_forecasting_dataset567[[#This Row],[Date]])</f>
        <v>2055</v>
      </c>
      <c r="F501">
        <v>104</v>
      </c>
      <c r="G501">
        <f>(automotive_demand_forecasting_dataset567[[#This Row],[Units_Sold]] -$C$4) / $C$5</f>
        <v>0.48143859775656078</v>
      </c>
      <c r="H501" s="157" t="str">
        <f t="shared" ca="1" si="27"/>
        <v>West</v>
      </c>
      <c r="I501">
        <v>38106.295579999998</v>
      </c>
      <c r="J501">
        <v>3.1061081240458805</v>
      </c>
      <c r="K501">
        <v>3.0514762752395233</v>
      </c>
      <c r="L501">
        <v>5.2893232654009417</v>
      </c>
      <c r="M501">
        <v>102916.7736</v>
      </c>
      <c r="N501" s="82">
        <v>90</v>
      </c>
      <c r="O501">
        <v>56.396550378218969</v>
      </c>
      <c r="P5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501" t="str">
        <f t="shared" ca="1" si="28"/>
        <v>Radio</v>
      </c>
      <c r="R501" s="157">
        <f>automotive_demand_forecasting_dataset567[[#This Row],[Units_Sold]]*automotive_demand_forecasting_dataset567[[#This Row],[Average_Price]]</f>
        <v>3963054.7403199999</v>
      </c>
      <c r="S501" t="str">
        <f t="shared" ca="1" si="29"/>
        <v>OK</v>
      </c>
    </row>
    <row r="502" spans="1:19">
      <c r="A502" s="1">
        <v>56735</v>
      </c>
      <c r="B502" t="s">
        <v>13</v>
      </c>
      <c r="C502" t="str">
        <f>TEXT(automotive_demand_forecasting_dataset567[[#This Row],[Date]],"mmmm")</f>
        <v>May</v>
      </c>
      <c r="D502" t="str">
        <f>CHOOSE(MATCH(MONTH(A502), {1,4,7,10}), "Winter", "Spring", "Summer", "Autumn")</f>
        <v>Spring</v>
      </c>
      <c r="E502">
        <f>YEAR(automotive_demand_forecasting_dataset567[[#This Row],[Date]])</f>
        <v>2055</v>
      </c>
      <c r="F502">
        <v>100</v>
      </c>
      <c r="G502">
        <f>(automotive_demand_forecasting_dataset567[[#This Row],[Units_Sold]] -$C$4) / $C$5</f>
        <v>7.1703620942466739E-2</v>
      </c>
      <c r="H502" t="str">
        <f t="shared" ca="1" si="27"/>
        <v>North</v>
      </c>
      <c r="I502">
        <v>31342.961394316284</v>
      </c>
      <c r="J502">
        <v>3.1895762008744422</v>
      </c>
      <c r="K502">
        <v>2.8405892164004967</v>
      </c>
      <c r="L502">
        <v>6.3023857657094879</v>
      </c>
      <c r="M502">
        <v>104156.05014706627</v>
      </c>
      <c r="N502" s="82">
        <v>90</v>
      </c>
      <c r="O502">
        <v>65.454227669999995</v>
      </c>
      <c r="P502"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2" t="str">
        <f t="shared" ca="1" si="28"/>
        <v>Radio</v>
      </c>
      <c r="R502">
        <f>automotive_demand_forecasting_dataset567[[#This Row],[Units_Sold]]*automotive_demand_forecasting_dataset567[[#This Row],[Average_Price]]</f>
        <v>3134296.1394316284</v>
      </c>
      <c r="S502" t="str">
        <f t="shared" ca="1" si="29"/>
        <v>OK</v>
      </c>
    </row>
    <row r="503" spans="1:19">
      <c r="A503" s="1">
        <v>56765</v>
      </c>
      <c r="B503" t="s">
        <v>13</v>
      </c>
      <c r="C503" t="str">
        <f>TEXT(automotive_demand_forecasting_dataset567[[#This Row],[Date]],"mmmm")</f>
        <v>May</v>
      </c>
      <c r="D503" t="str">
        <f>CHOOSE(MATCH(MONTH(A503), {1,4,7,10}), "Winter", "Spring", "Summer", "Autumn")</f>
        <v>Spring</v>
      </c>
      <c r="E503">
        <f>YEAR(automotive_demand_forecasting_dataset567[[#This Row],[Date]])</f>
        <v>2055</v>
      </c>
      <c r="F503">
        <v>109</v>
      </c>
      <c r="G503">
        <f>(automotive_demand_forecasting_dataset567[[#This Row],[Units_Sold]] -$C$4) / $C$5</f>
        <v>0.99360731877417829</v>
      </c>
      <c r="H503" t="str">
        <f t="shared" ca="1" si="27"/>
        <v>North</v>
      </c>
      <c r="I503">
        <v>37642.342132062658</v>
      </c>
      <c r="J503">
        <v>3.4159280907076051</v>
      </c>
      <c r="K503">
        <v>2.890695920928144</v>
      </c>
      <c r="L503">
        <v>5.6176810474467338</v>
      </c>
      <c r="M503">
        <v>74147.493056954743</v>
      </c>
      <c r="N503" s="82">
        <v>83</v>
      </c>
      <c r="O503">
        <v>30.597652507354127</v>
      </c>
      <c r="P503"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3" t="str">
        <f t="shared" ca="1" si="28"/>
        <v>Online</v>
      </c>
      <c r="R503">
        <f>automotive_demand_forecasting_dataset567[[#This Row],[Units_Sold]]*automotive_demand_forecasting_dataset567[[#This Row],[Average_Price]]</f>
        <v>4103015.2923948299</v>
      </c>
      <c r="S503" t="str">
        <f t="shared" ca="1" si="29"/>
        <v>OK</v>
      </c>
    </row>
    <row r="504" spans="1:19">
      <c r="A504" s="1">
        <v>56795</v>
      </c>
      <c r="B504" t="s">
        <v>11</v>
      </c>
      <c r="C504" t="str">
        <f>TEXT(automotive_demand_forecasting_dataset567[[#This Row],[Date]],"mmmm")</f>
        <v>June</v>
      </c>
      <c r="D504" t="str">
        <f>CHOOSE(MATCH(MONTH(A504), {1,4,7,10}), "Winter", "Spring", "Summer", "Autumn")</f>
        <v>Spring</v>
      </c>
      <c r="E504">
        <f>YEAR(automotive_demand_forecasting_dataset567[[#This Row],[Date]])</f>
        <v>2055</v>
      </c>
      <c r="F504">
        <v>108</v>
      </c>
      <c r="G504">
        <f>(automotive_demand_forecasting_dataset567[[#This Row],[Units_Sold]] -$C$4) / $C$5</f>
        <v>0.89117357457065483</v>
      </c>
      <c r="H504" t="str">
        <f t="shared" ca="1" si="27"/>
        <v>South</v>
      </c>
      <c r="I504">
        <v>32539.178781448118</v>
      </c>
      <c r="J504">
        <v>3.2639547111514364</v>
      </c>
      <c r="K504">
        <v>1.173527871688917</v>
      </c>
      <c r="L504">
        <v>7.0550461382356175</v>
      </c>
      <c r="M504">
        <v>89356.628737456209</v>
      </c>
      <c r="N504" s="82">
        <f>111.9136842</f>
        <v>111.91368420000001</v>
      </c>
      <c r="O504">
        <v>63.753241103449938</v>
      </c>
      <c r="P504"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4" t="str">
        <f t="shared" ca="1" si="28"/>
        <v>Print</v>
      </c>
      <c r="R504">
        <f>automotive_demand_forecasting_dataset567[[#This Row],[Units_Sold]]*automotive_demand_forecasting_dataset567[[#This Row],[Average_Price]]</f>
        <v>3514231.3083963967</v>
      </c>
      <c r="S504" t="str">
        <f t="shared" ca="1" si="29"/>
        <v>OK</v>
      </c>
    </row>
    <row r="505" spans="1:19">
      <c r="A505" s="1">
        <v>56825</v>
      </c>
      <c r="B505" t="s">
        <v>14</v>
      </c>
      <c r="C505" t="str">
        <f>TEXT(automotive_demand_forecasting_dataset567[[#This Row],[Date]],"mmmm")</f>
        <v>July</v>
      </c>
      <c r="D505" t="str">
        <f>CHOOSE(MATCH(MONTH(A505), {1,4,7,10}), "Winter", "Spring", "Summer", "Autumn")</f>
        <v>Summer</v>
      </c>
      <c r="E505">
        <f>YEAR(automotive_demand_forecasting_dataset567[[#This Row],[Date]])</f>
        <v>2055</v>
      </c>
      <c r="F505">
        <v>100</v>
      </c>
      <c r="G505">
        <f>(automotive_demand_forecasting_dataset567[[#This Row],[Units_Sold]] -$C$4) / $C$5</f>
        <v>7.1703620942466739E-2</v>
      </c>
      <c r="H505" s="157" t="str">
        <f t="shared" ca="1" si="27"/>
        <v>North</v>
      </c>
      <c r="I505">
        <v>32691.480395248163</v>
      </c>
      <c r="J505">
        <v>2.510350094812106</v>
      </c>
      <c r="K505">
        <v>3.5473177066214481</v>
      </c>
      <c r="L505">
        <v>4.6374011348695232</v>
      </c>
      <c r="M505">
        <v>87852.91133575578</v>
      </c>
      <c r="N505" s="82">
        <v>102</v>
      </c>
      <c r="O505">
        <v>63.699808010468075</v>
      </c>
      <c r="P505"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5" t="str">
        <f t="shared" ca="1" si="28"/>
        <v>Radio</v>
      </c>
      <c r="R505" s="157">
        <f>automotive_demand_forecasting_dataset567[[#This Row],[Units_Sold]]*automotive_demand_forecasting_dataset567[[#This Row],[Average_Price]]</f>
        <v>3269148.0395248164</v>
      </c>
      <c r="S505" t="str">
        <f t="shared" ca="1" si="29"/>
        <v>OK</v>
      </c>
    </row>
    <row r="506" spans="1:19">
      <c r="A506" s="1">
        <v>56855</v>
      </c>
      <c r="B506" t="s">
        <v>14</v>
      </c>
      <c r="C506" t="str">
        <f>TEXT(automotive_demand_forecasting_dataset567[[#This Row],[Date]],"mmmm")</f>
        <v>August</v>
      </c>
      <c r="D506" t="str">
        <f>CHOOSE(MATCH(MONTH(A506), {1,4,7,10}), "Winter", "Spring", "Summer", "Autumn")</f>
        <v>Summer</v>
      </c>
      <c r="E506">
        <f>YEAR(automotive_demand_forecasting_dataset567[[#This Row],[Date]])</f>
        <v>2055</v>
      </c>
      <c r="F506">
        <v>104</v>
      </c>
      <c r="G506">
        <f>(automotive_demand_forecasting_dataset567[[#This Row],[Units_Sold]] -$C$4) / $C$5</f>
        <v>0.48143859775656078</v>
      </c>
      <c r="H506" s="157" t="str">
        <f t="shared" ca="1" si="27"/>
        <v>North</v>
      </c>
      <c r="I506">
        <v>35362.536686549014</v>
      </c>
      <c r="J506">
        <v>3.8739551280587667</v>
      </c>
      <c r="K506">
        <v>3.6695899924277735</v>
      </c>
      <c r="L506">
        <v>6.3940063754527374</v>
      </c>
      <c r="M506">
        <v>98455.579095539084</v>
      </c>
      <c r="N506" s="82">
        <v>76</v>
      </c>
      <c r="O506">
        <v>27.157849824830976</v>
      </c>
      <c r="P506"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6" t="str">
        <f t="shared" ca="1" si="28"/>
        <v>Radio</v>
      </c>
      <c r="R506" s="157">
        <f>automotive_demand_forecasting_dataset567[[#This Row],[Units_Sold]]*automotive_demand_forecasting_dataset567[[#This Row],[Average_Price]]</f>
        <v>3677703.8154010973</v>
      </c>
      <c r="S506" t="str">
        <f t="shared" ca="1" si="29"/>
        <v>OK</v>
      </c>
    </row>
    <row r="507" spans="1:19">
      <c r="A507" s="1">
        <v>56885</v>
      </c>
      <c r="B507" t="s">
        <v>14</v>
      </c>
      <c r="C507" t="str">
        <f>TEXT(automotive_demand_forecasting_dataset567[[#This Row],[Date]],"mmmm")</f>
        <v>September</v>
      </c>
      <c r="D507" t="str">
        <f>CHOOSE(MATCH(MONTH(A507), {1,4,7,10}), "Winter", "Spring", "Summer", "Autumn")</f>
        <v>Summer</v>
      </c>
      <c r="E507">
        <f>YEAR(automotive_demand_forecasting_dataset567[[#This Row],[Date]])</f>
        <v>2055</v>
      </c>
      <c r="F507">
        <v>106</v>
      </c>
      <c r="G507">
        <f>(automotive_demand_forecasting_dataset567[[#This Row],[Units_Sold]] -$C$4) / $C$5</f>
        <v>0.68630608616360778</v>
      </c>
      <c r="H507" s="157" t="str">
        <f t="shared" ca="1" si="27"/>
        <v>South</v>
      </c>
      <c r="I507">
        <v>28175.236352285574</v>
      </c>
      <c r="J507">
        <v>2.9636284871300966</v>
      </c>
      <c r="K507">
        <v>2.2706092559319724</v>
      </c>
      <c r="L507">
        <v>5.2663632446599822</v>
      </c>
      <c r="M507">
        <v>108516.87317259658</v>
      </c>
      <c r="N507" s="82">
        <v>99</v>
      </c>
      <c r="O507">
        <v>53.438726840553088</v>
      </c>
      <c r="P507"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7" t="str">
        <f t="shared" ca="1" si="28"/>
        <v>Radio</v>
      </c>
      <c r="R507" s="157">
        <f>automotive_demand_forecasting_dataset567[[#This Row],[Units_Sold]]*automotive_demand_forecasting_dataset567[[#This Row],[Average_Price]]</f>
        <v>2986575.0533422707</v>
      </c>
      <c r="S507" t="str">
        <f t="shared" ca="1" si="29"/>
        <v>OK</v>
      </c>
    </row>
    <row r="508" spans="1:19">
      <c r="A508" s="1">
        <v>56915</v>
      </c>
      <c r="B508" t="s">
        <v>12</v>
      </c>
      <c r="C508" t="str">
        <f>TEXT(automotive_demand_forecasting_dataset567[[#This Row],[Date]],"mmmm")</f>
        <v>October</v>
      </c>
      <c r="D508" t="str">
        <f>CHOOSE(MATCH(MONTH(A508), {1,4,7,10}), "Winter", "Spring", "Summer", "Autumn")</f>
        <v>Autumn</v>
      </c>
      <c r="E508">
        <f>YEAR(automotive_demand_forecasting_dataset567[[#This Row],[Date]])</f>
        <v>2055</v>
      </c>
      <c r="F508">
        <v>94</v>
      </c>
      <c r="G508">
        <f>(automotive_demand_forecasting_dataset567[[#This Row],[Units_Sold]] -$C$4) / $C$5</f>
        <v>-0.5428988442786743</v>
      </c>
      <c r="H508" t="str">
        <f t="shared" ca="1" si="27"/>
        <v>South</v>
      </c>
      <c r="I508">
        <v>25803.951663304968</v>
      </c>
      <c r="J508">
        <v>3.6196234320555747</v>
      </c>
      <c r="K508">
        <v>2.4565230501861377</v>
      </c>
      <c r="L508">
        <v>5.4229741874698023</v>
      </c>
      <c r="M508">
        <v>108364.11511775944</v>
      </c>
      <c r="N508" s="82">
        <v>77</v>
      </c>
      <c r="O508">
        <v>88.262783885376152</v>
      </c>
      <c r="P508"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8" t="str">
        <f t="shared" ca="1" si="28"/>
        <v>Print</v>
      </c>
      <c r="R508">
        <f>automotive_demand_forecasting_dataset567[[#This Row],[Units_Sold]]*automotive_demand_forecasting_dataset567[[#This Row],[Average_Price]]</f>
        <v>2425571.4563506669</v>
      </c>
      <c r="S508" t="str">
        <f t="shared" ca="1" si="29"/>
        <v>OK</v>
      </c>
    </row>
    <row r="509" spans="1:19">
      <c r="A509" s="1">
        <v>56945</v>
      </c>
      <c r="B509" t="s">
        <v>13</v>
      </c>
      <c r="C509" t="str">
        <f>TEXT(automotive_demand_forecasting_dataset567[[#This Row],[Date]],"mmmm")</f>
        <v>November</v>
      </c>
      <c r="D509" t="str">
        <f>CHOOSE(MATCH(MONTH(A509), {1,4,7,10}), "Winter", "Spring", "Summer", "Autumn")</f>
        <v>Autumn</v>
      </c>
      <c r="E509">
        <f>YEAR(automotive_demand_forecasting_dataset567[[#This Row],[Date]])</f>
        <v>2055</v>
      </c>
      <c r="F509">
        <v>81</v>
      </c>
      <c r="G509">
        <f>(automotive_demand_forecasting_dataset567[[#This Row],[Units_Sold]] -$C$4) / $C$5</f>
        <v>-1.87453751892448</v>
      </c>
      <c r="H509" t="str">
        <f t="shared" ca="1" si="27"/>
        <v>South</v>
      </c>
      <c r="I509">
        <v>24775.954029894834</v>
      </c>
      <c r="J509">
        <v>4.5370413348749867</v>
      </c>
      <c r="K509">
        <v>0.96889249744427786</v>
      </c>
      <c r="L509">
        <v>5.6101029813380476</v>
      </c>
      <c r="M509">
        <v>64479.764919031957</v>
      </c>
      <c r="N509" s="82">
        <v>101</v>
      </c>
      <c r="O509">
        <v>88.492289759572827</v>
      </c>
      <c r="P509"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9" t="str">
        <f t="shared" ca="1" si="28"/>
        <v>TV</v>
      </c>
      <c r="R509">
        <f>automotive_demand_forecasting_dataset567[[#This Row],[Units_Sold]]*automotive_demand_forecasting_dataset567[[#This Row],[Average_Price]]</f>
        <v>2006852.2764214815</v>
      </c>
      <c r="S509" t="str">
        <f t="shared" ca="1" si="29"/>
        <v>OK</v>
      </c>
    </row>
    <row r="510" spans="1:19">
      <c r="A510" s="1">
        <v>56975</v>
      </c>
      <c r="B510" t="s">
        <v>14</v>
      </c>
      <c r="C510" t="str">
        <f>TEXT(automotive_demand_forecasting_dataset567[[#This Row],[Date]],"mmmm")</f>
        <v>December</v>
      </c>
      <c r="D510" t="str">
        <f>CHOOSE(MATCH(MONTH(A510), {1,4,7,10}), "Winter", "Spring", "Summer", "Autumn")</f>
        <v>Autumn</v>
      </c>
      <c r="E510">
        <f>YEAR(automotive_demand_forecasting_dataset567[[#This Row],[Date]])</f>
        <v>2055</v>
      </c>
      <c r="F510">
        <v>95</v>
      </c>
      <c r="G510">
        <f>(automotive_demand_forecasting_dataset567[[#This Row],[Units_Sold]] -$C$4) / $C$5</f>
        <v>-0.44046510007515077</v>
      </c>
      <c r="H510" s="157" t="str">
        <f t="shared" ca="1" si="27"/>
        <v>West</v>
      </c>
      <c r="I510">
        <v>20168.217053119992</v>
      </c>
      <c r="J510">
        <v>3.0403077042067883</v>
      </c>
      <c r="K510">
        <v>3.0142547560178348</v>
      </c>
      <c r="L510">
        <v>5.8026884757120127</v>
      </c>
      <c r="M510">
        <v>121278.81975121712</v>
      </c>
      <c r="N510" s="82">
        <v>94</v>
      </c>
      <c r="O510">
        <v>27.939013193574482</v>
      </c>
      <c r="P510"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10" t="str">
        <f t="shared" ca="1" si="28"/>
        <v>Print</v>
      </c>
      <c r="R510" s="157">
        <f>automotive_demand_forecasting_dataset567[[#This Row],[Units_Sold]]*automotive_demand_forecasting_dataset567[[#This Row],[Average_Price]]</f>
        <v>1915980.6200463993</v>
      </c>
      <c r="S510" t="str">
        <f t="shared" ca="1" si="29"/>
        <v>OK</v>
      </c>
    </row>
  </sheetData>
  <conditionalFormatting sqref="A10:J510 L10:O510 R10:R510">
    <cfRule type="containsBlanks" dxfId="165" priority="32">
      <formula>LEN(TRIM(A10))=0</formula>
    </cfRule>
  </conditionalFormatting>
  <conditionalFormatting sqref="F10:F510">
    <cfRule type="cellIs" dxfId="164" priority="30" operator="greaterThan">
      <formula>127</formula>
    </cfRule>
  </conditionalFormatting>
  <conditionalFormatting sqref="F11:F510">
    <cfRule type="cellIs" dxfId="163" priority="16" operator="notBetween">
      <formula>75</formula>
      <formula>127</formula>
    </cfRule>
  </conditionalFormatting>
  <conditionalFormatting sqref="G11:H510">
    <cfRule type="cellIs" dxfId="162" priority="8" operator="notBetween">
      <formula>-3</formula>
      <formula>3</formula>
    </cfRule>
    <cfRule type="cellIs" dxfId="161" priority="31" operator="greaterThan">
      <formula>3</formula>
    </cfRule>
  </conditionalFormatting>
  <conditionalFormatting sqref="I11:I510">
    <cfRule type="cellIs" dxfId="160" priority="15" operator="notBetween">
      <formula>17044.78854</formula>
      <formula>42898.54669</formula>
    </cfRule>
    <cfRule type="cellIs" dxfId="159" priority="28" operator="lessThan">
      <formula>15575.63284</formula>
    </cfRule>
    <cfRule type="cellIs" dxfId="158" priority="29" operator="greaterThan">
      <formula>45475.55713</formula>
    </cfRule>
  </conditionalFormatting>
  <conditionalFormatting sqref="J11:J510">
    <cfRule type="cellIs" dxfId="157" priority="14" operator="notBetween">
      <formula>2.130140502</formula>
      <formula>4.966738758</formula>
    </cfRule>
    <cfRule type="cellIs" dxfId="156" priority="26" operator="lessThan">
      <formula>2.130140502</formula>
    </cfRule>
    <cfRule type="cellIs" dxfId="155" priority="27" operator="greaterThan">
      <formula>4.966738758</formula>
    </cfRule>
  </conditionalFormatting>
  <conditionalFormatting sqref="K10:K510">
    <cfRule type="containsBlanks" dxfId="154" priority="7">
      <formula>LEN(TRIM(K10))=0</formula>
    </cfRule>
  </conditionalFormatting>
  <conditionalFormatting sqref="K11:K510">
    <cfRule type="cellIs" dxfId="153" priority="1" operator="notBetween">
      <formula>0.20381907</formula>
      <formula>4.599721789</formula>
    </cfRule>
    <cfRule type="cellIs" dxfId="152" priority="2" operator="notBetween">
      <formula>-0.098660428</formula>
      <formula>5.165898334</formula>
    </cfRule>
    <cfRule type="cellIs" dxfId="151" priority="3" operator="lessThan">
      <formula>-0.062333659</formula>
    </cfRule>
    <cfRule type="cellIs" dxfId="150" priority="4" operator="lessThan">
      <formula>-0.519512156</formula>
    </cfRule>
    <cfRule type="cellIs" dxfId="149" priority="5" operator="greaterThan">
      <formula>5.144343347</formula>
    </cfRule>
    <cfRule type="cellIs" dxfId="148" priority="6" operator="greaterThan">
      <formula>5.609918556</formula>
    </cfRule>
  </conditionalFormatting>
  <conditionalFormatting sqref="L11:L510">
    <cfRule type="cellIs" dxfId="147" priority="9" operator="notBetween">
      <formula>2.803732799</formula>
      <formula>8.356646994</formula>
    </cfRule>
    <cfRule type="cellIs" dxfId="146" priority="17" operator="lessThan">
      <formula>2.8037322799</formula>
    </cfRule>
    <cfRule type="cellIs" dxfId="145" priority="18" operator="greaterThan">
      <formula>8.644951709</formula>
    </cfRule>
  </conditionalFormatting>
  <conditionalFormatting sqref="M11:M510">
    <cfRule type="cellIs" dxfId="144" priority="23" operator="greaterThan">
      <formula>157368.0611</formula>
    </cfRule>
  </conditionalFormatting>
  <conditionalFormatting sqref="N11:N510">
    <cfRule type="cellIs" dxfId="143" priority="10" operator="notBetween">
      <formula>65</formula>
      <formula>113</formula>
    </cfRule>
    <cfRule type="cellIs" priority="11" operator="notBetween">
      <formula>65</formula>
      <formula>113</formula>
    </cfRule>
    <cfRule type="cellIs" dxfId="142" priority="24" operator="greaterThan">
      <formula>115</formula>
    </cfRule>
  </conditionalFormatting>
  <conditionalFormatting sqref="O11:O510 R11:R510">
    <cfRule type="cellIs" dxfId="141" priority="25" operator="greaterThan">
      <formula>99.94802404</formula>
    </cfRule>
  </conditionalFormatting>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B32D0-2445-4B2B-B25F-CA97DC0F1B16}">
  <sheetPr codeName="Sheet12"/>
  <dimension ref="A1:U511"/>
  <sheetViews>
    <sheetView topLeftCell="A94" zoomScaleNormal="100" workbookViewId="0">
      <selection activeCell="O10" sqref="O10"/>
    </sheetView>
  </sheetViews>
  <sheetFormatPr defaultRowHeight="14.4"/>
  <cols>
    <col min="1" max="1" width="10.33203125" bestFit="1" customWidth="1"/>
    <col min="2" max="3" width="14.44140625" bestFit="1" customWidth="1"/>
    <col min="4" max="4" width="9.21875" bestFit="1" customWidth="1"/>
    <col min="5" max="5" width="9.21875" customWidth="1"/>
    <col min="6" max="6" width="12.21875" customWidth="1"/>
    <col min="7" max="7" width="18.109375" bestFit="1" customWidth="1"/>
    <col min="8" max="8" width="9" bestFit="1" customWidth="1"/>
    <col min="9" max="9" width="15.33203125" bestFit="1" customWidth="1"/>
    <col min="10" max="10" width="12" bestFit="1" customWidth="1"/>
    <col min="11" max="11" width="18.88671875" bestFit="1" customWidth="1"/>
    <col min="12" max="12" width="21.44140625" bestFit="1" customWidth="1"/>
    <col min="13" max="13" width="18.33203125" bestFit="1" customWidth="1"/>
    <col min="14" max="14" width="18.109375" bestFit="1" customWidth="1"/>
    <col min="15" max="15" width="22" bestFit="1" customWidth="1"/>
    <col min="16" max="17" width="22" customWidth="1"/>
    <col min="18" max="18" width="19.5546875" bestFit="1" customWidth="1"/>
    <col min="19" max="19" width="13.88671875" bestFit="1" customWidth="1"/>
  </cols>
  <sheetData>
    <row r="1" spans="1:19">
      <c r="H1" s="11" t="s">
        <v>34</v>
      </c>
      <c r="I1" s="11" t="s">
        <v>35</v>
      </c>
      <c r="J1" s="11" t="s">
        <v>4</v>
      </c>
      <c r="K1" s="11" t="s">
        <v>5</v>
      </c>
      <c r="L1" s="11" t="s">
        <v>6</v>
      </c>
      <c r="M1" s="11" t="s">
        <v>7</v>
      </c>
      <c r="N1" s="11" t="s">
        <v>8</v>
      </c>
      <c r="O1" s="11" t="s">
        <v>9</v>
      </c>
      <c r="P1" s="140"/>
      <c r="Q1" s="140"/>
      <c r="R1" s="140"/>
    </row>
    <row r="2" spans="1:19">
      <c r="B2" s="13" t="s">
        <v>24</v>
      </c>
      <c r="C2" s="13"/>
      <c r="D2" s="47"/>
      <c r="E2" s="47"/>
      <c r="H2" s="12"/>
      <c r="I2" s="12"/>
      <c r="J2" s="12"/>
      <c r="K2" s="12"/>
      <c r="L2" s="12"/>
      <c r="M2" s="12"/>
      <c r="N2" s="12"/>
      <c r="O2" s="12"/>
      <c r="P2" s="47"/>
      <c r="Q2" s="47"/>
      <c r="R2" s="47"/>
    </row>
    <row r="3" spans="1:19">
      <c r="B3" s="13"/>
      <c r="C3" s="13"/>
      <c r="D3" s="47"/>
      <c r="E3" s="47"/>
      <c r="H3" s="11" t="s">
        <v>28</v>
      </c>
      <c r="I3" s="12">
        <f>MEDIAN(automotive_demand_forecasting_dataset5678[Average_Price])</f>
        <v>30949.702720000001</v>
      </c>
      <c r="J3" s="12">
        <f>MEDIAN(automotive_demand_forecasting_dataset5678[Fuel_Price])</f>
        <v>3.5380713799999999</v>
      </c>
      <c r="K3" s="12">
        <f>MEDIAN(automotive_demand_forecasting_dataset5678[GDP_Growth_Rate])</f>
        <v>2.6520564320000002</v>
      </c>
      <c r="L3" s="12">
        <f>MEDIAN(automotive_demand_forecasting_dataset5678[Unemployment_Rate])</f>
        <v>5.616047043</v>
      </c>
      <c r="M3" s="12">
        <f>MEDIAN(automotive_demand_forecasting_dataset5678[Marketing_Spend])</f>
        <v>102894.26616505161</v>
      </c>
      <c r="N3" s="12">
        <f>MEDIAN(automotive_demand_forecasting_dataset5678[Competitor_Sales])</f>
        <v>90</v>
      </c>
      <c r="O3" s="12">
        <f>MEDIAN(automotive_demand_forecasting_dataset5678[Online_Interest_Index])</f>
        <v>65.401451166763792</v>
      </c>
      <c r="P3" s="47"/>
      <c r="Q3" s="47"/>
      <c r="R3" s="47"/>
    </row>
    <row r="4" spans="1:19">
      <c r="B4" s="13" t="s">
        <v>25</v>
      </c>
      <c r="C4" s="13">
        <f>AVERAGE(automotive_demand_forecasting_dataset5678[Units_Sold])</f>
        <v>99.3</v>
      </c>
      <c r="D4" s="47"/>
      <c r="E4" s="47"/>
      <c r="H4" s="11" t="s">
        <v>29</v>
      </c>
      <c r="I4" s="12">
        <f>_xlfn.QUARTILE.EXC(automotive_demand_forecasting_dataset5678[Average_Price], 1)</f>
        <v>27186.052825647785</v>
      </c>
      <c r="J4" s="12">
        <f>_xlfn.QUARTILE.EXC(automotive_demand_forecasting_dataset5678[Fuel_Price], 1)</f>
        <v>3.2263939346303867</v>
      </c>
      <c r="K4" s="12">
        <f>_xlfn.QUARTILE.EXC(automotive_demand_forecasting_dataset5678[GDP_Growth_Rate],1)</f>
        <v>1.9539614360310027</v>
      </c>
      <c r="L4" s="12">
        <f>_xlfn.QUARTILE.EXC(automotive_demand_forecasting_dataset5678[Unemployment_Rate], 1)</f>
        <v>4.8334521114299367</v>
      </c>
      <c r="M4" s="12"/>
      <c r="N4" s="12"/>
      <c r="O4" s="12"/>
      <c r="P4" s="47"/>
      <c r="Q4" s="47"/>
      <c r="R4" s="47"/>
    </row>
    <row r="5" spans="1:19">
      <c r="B5" s="13" t="s">
        <v>26</v>
      </c>
      <c r="C5" s="13">
        <f>_xlfn.STDEV.S(automotive_demand_forecasting_dataset5678[Units_Sold])</f>
        <v>9.7624079620981199</v>
      </c>
      <c r="D5" s="47"/>
      <c r="E5" s="47"/>
      <c r="H5" s="11" t="s">
        <v>31</v>
      </c>
      <c r="I5" s="12">
        <f>_xlfn.QUARTILE.EXC(automotive_demand_forecasting_dataset5678[Average_Price], 3)</f>
        <v>34475.630046284547</v>
      </c>
      <c r="J5" s="12">
        <f>_xlfn.QUARTILE.EXC(automotive_demand_forecasting_dataset5678[Fuel_Price], 3)</f>
        <v>3.9050603272200615</v>
      </c>
      <c r="K5" s="12">
        <f>_xlfn.QUARTILE.EXC(automotive_demand_forecasting_dataset5678[GDP_Growth_Rate], 3)</f>
        <v>3.1950230461528317</v>
      </c>
      <c r="L5" s="12">
        <f>_xlfn.QUARTILE.EXC(automotive_demand_forecasting_dataset5678[Unemployment_Rate], 3)</f>
        <v>6.3169663920301113</v>
      </c>
      <c r="M5" s="12"/>
      <c r="N5" s="12"/>
      <c r="O5" s="12"/>
      <c r="P5" s="47"/>
      <c r="Q5" s="47"/>
      <c r="R5" s="47"/>
    </row>
    <row r="6" spans="1:19">
      <c r="B6" s="13" t="s">
        <v>28</v>
      </c>
      <c r="C6" s="13">
        <f>MEDIAN(automotive_demand_forecasting_dataset5678[Units_Sold])</f>
        <v>100</v>
      </c>
      <c r="D6" s="47"/>
      <c r="E6" s="47"/>
      <c r="H6" s="11" t="s">
        <v>30</v>
      </c>
      <c r="I6" s="12">
        <f>I5 -I4</f>
        <v>7289.5772206367619</v>
      </c>
      <c r="J6" s="12">
        <f>J5 - J4</f>
        <v>0.67866639258967476</v>
      </c>
      <c r="K6" s="12">
        <f>K5-K4</f>
        <v>1.241061610121829</v>
      </c>
      <c r="L6" s="12">
        <f>L5-L4</f>
        <v>1.4835142806001747</v>
      </c>
      <c r="M6" s="12"/>
      <c r="N6" s="12"/>
      <c r="O6" s="12"/>
      <c r="P6" s="47"/>
      <c r="Q6" s="47"/>
      <c r="R6" s="47"/>
    </row>
    <row r="7" spans="1:19">
      <c r="B7" s="13" t="s">
        <v>36</v>
      </c>
      <c r="C7" s="13"/>
      <c r="D7" s="47"/>
      <c r="E7" s="47"/>
      <c r="H7" s="11" t="s">
        <v>33</v>
      </c>
      <c r="I7" s="12">
        <f>I4 - 1.5 * I6</f>
        <v>16251.686994692642</v>
      </c>
      <c r="J7" s="12">
        <f>J4 - 1.5 * J6</f>
        <v>2.2083943457458748</v>
      </c>
      <c r="K7" s="12">
        <f>K4 - 1.5 * K6</f>
        <v>9.2369020848259042E-2</v>
      </c>
      <c r="L7" s="12">
        <f>L4 - 1.5 * L6</f>
        <v>2.6081806905296747</v>
      </c>
      <c r="M7" s="12"/>
      <c r="N7" s="12"/>
      <c r="O7" s="12"/>
      <c r="P7" s="47"/>
      <c r="Q7" s="47"/>
      <c r="R7" s="47"/>
    </row>
    <row r="8" spans="1:19">
      <c r="H8" s="11" t="s">
        <v>32</v>
      </c>
      <c r="I8" s="12">
        <f>I5 + 1.5 * I6</f>
        <v>45409.995877239693</v>
      </c>
      <c r="J8" s="12">
        <f>J5 + 1.5 * J6</f>
        <v>4.9230599161045738</v>
      </c>
      <c r="K8" s="12">
        <f>K5 + 1.5 * K6</f>
        <v>5.0566154613355749</v>
      </c>
      <c r="L8" s="12">
        <f>L5 + 1.5 * L6</f>
        <v>8.5422378129303738</v>
      </c>
      <c r="M8" s="12"/>
      <c r="N8" s="12"/>
      <c r="O8" s="12"/>
      <c r="P8" s="47"/>
      <c r="Q8" s="47"/>
      <c r="R8" s="47"/>
    </row>
    <row r="10" spans="1:19">
      <c r="A10" t="s">
        <v>0</v>
      </c>
      <c r="B10" t="s">
        <v>1</v>
      </c>
      <c r="C10" t="s">
        <v>112</v>
      </c>
      <c r="D10" t="s">
        <v>167</v>
      </c>
      <c r="E10" t="s">
        <v>113</v>
      </c>
      <c r="F10" t="s">
        <v>2</v>
      </c>
      <c r="G10" t="s">
        <v>27</v>
      </c>
      <c r="H10" t="s">
        <v>45</v>
      </c>
      <c r="I10" t="s">
        <v>3</v>
      </c>
      <c r="J10" t="s">
        <v>4</v>
      </c>
      <c r="K10" t="s">
        <v>5</v>
      </c>
      <c r="L10" t="s">
        <v>6</v>
      </c>
      <c r="M10" t="s">
        <v>7</v>
      </c>
      <c r="N10" t="s">
        <v>8</v>
      </c>
      <c r="O10" t="s">
        <v>9</v>
      </c>
      <c r="P10" t="s">
        <v>316</v>
      </c>
      <c r="Q10" t="s">
        <v>317</v>
      </c>
      <c r="R10" t="s">
        <v>83</v>
      </c>
      <c r="S10" t="s">
        <v>15</v>
      </c>
    </row>
    <row r="11" spans="1:19">
      <c r="A11" s="1">
        <v>42005</v>
      </c>
      <c r="B11" t="s">
        <v>10</v>
      </c>
      <c r="C11" t="str">
        <f>TEXT(automotive_demand_forecasting_dataset5678[[#This Row],[Date]],"mmmm")</f>
        <v>January</v>
      </c>
      <c r="D11" t="str">
        <f>CHOOSE(MATCH(MONTH(A11), {1,4,7,10}), "Winter", "Spring", "Summer", "Autumn")</f>
        <v>Winter</v>
      </c>
      <c r="E11">
        <f>YEAR(automotive_demand_forecasting_dataset5678[[#This Row],[Date]])</f>
        <v>2015</v>
      </c>
      <c r="F11">
        <v>96</v>
      </c>
      <c r="G11">
        <f>(automotive_demand_forecasting_dataset5678[[#This Row],[Units_Sold]] -$C$4) / $C$5</f>
        <v>-0.33803135587162725</v>
      </c>
      <c r="H11" s="47" t="str">
        <f t="shared" ref="H11:H74" ca="1" si="0">CHOOSE(RANDBETWEEN(1,4),"North","South","East","West")</f>
        <v>West</v>
      </c>
      <c r="I11">
        <v>27205.390763642059</v>
      </c>
      <c r="J11">
        <v>4.5281035649701611</v>
      </c>
      <c r="K11">
        <v>2.6520564320000002</v>
      </c>
      <c r="L11">
        <v>6.1864689300569733</v>
      </c>
      <c r="M11">
        <v>97675.419137560835</v>
      </c>
      <c r="N11" s="82">
        <v>99</v>
      </c>
      <c r="O11">
        <v>62.296585590724206</v>
      </c>
      <c r="P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1" t="str">
        <f t="shared" ref="Q11:Q74" ca="1" si="1">CHOOSE(RANDBETWEEN(1,5),"Online","TV","Radio","Print","Billboards")</f>
        <v>Billboards</v>
      </c>
      <c r="R11" s="46">
        <f>automotive_demand_forecasting_dataset5678[[#This Row],[Units_Sold]]*automotive_demand_forecasting_dataset5678[[#This Row],[Average_Price]]</f>
        <v>2611717.5133096376</v>
      </c>
      <c r="S11" t="str">
        <f t="shared" ref="S11:S74" ca="1" si="2">IF(COUNTA(A11:O11)&lt;COLUMNS(A11:O11), "Missing Data", "OK")</f>
        <v>OK</v>
      </c>
    </row>
    <row r="12" spans="1:19">
      <c r="A12" s="1">
        <v>42035</v>
      </c>
      <c r="B12" t="s">
        <v>10</v>
      </c>
      <c r="C12" t="str">
        <f>TEXT(automotive_demand_forecasting_dataset5678[[#This Row],[Date]],"mmmm")</f>
        <v>January</v>
      </c>
      <c r="D12" t="str">
        <f>CHOOSE(MATCH(MONTH(A12), {1,4,7,10}), "Winter", "Spring", "Summer", "Autumn")</f>
        <v>Winter</v>
      </c>
      <c r="E12">
        <f>YEAR(automotive_demand_forecasting_dataset5678[[#This Row],[Date]])</f>
        <v>2015</v>
      </c>
      <c r="F12">
        <v>107</v>
      </c>
      <c r="G12">
        <f>(automotive_demand_forecasting_dataset5678[[#This Row],[Units_Sold]] -$C$4) / $C$5</f>
        <v>0.78873983036713124</v>
      </c>
      <c r="H12" s="47" t="str">
        <f t="shared" ca="1" si="0"/>
        <v>South</v>
      </c>
      <c r="I12">
        <v>31886.059375322606</v>
      </c>
      <c r="J12">
        <v>2.9483958171391587</v>
      </c>
      <c r="K12">
        <v>2.2139957781198891</v>
      </c>
      <c r="L12">
        <v>5.4253707796008266</v>
      </c>
      <c r="M12">
        <v>104294.26366341053</v>
      </c>
      <c r="N12" s="82">
        <v>100</v>
      </c>
      <c r="O12">
        <v>22.750148668138017</v>
      </c>
      <c r="P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2" t="str">
        <f t="shared" ca="1" si="1"/>
        <v>Print</v>
      </c>
      <c r="R12" s="46">
        <f>automotive_demand_forecasting_dataset5678[[#This Row],[Units_Sold]]*automotive_demand_forecasting_dataset5678[[#This Row],[Average_Price]]</f>
        <v>3411808.3531595189</v>
      </c>
      <c r="S12" t="str">
        <f t="shared" ca="1" si="2"/>
        <v>OK</v>
      </c>
    </row>
    <row r="13" spans="1:19">
      <c r="A13" s="1">
        <v>42065</v>
      </c>
      <c r="B13" t="s">
        <v>11</v>
      </c>
      <c r="C13" t="str">
        <f>TEXT(automotive_demand_forecasting_dataset5678[[#This Row],[Date]],"mmmm")</f>
        <v>March</v>
      </c>
      <c r="D13" t="str">
        <f>CHOOSE(MATCH(MONTH(A13), {1,4,7,10}), "Winter", "Spring", "Summer", "Autumn")</f>
        <v>Winter</v>
      </c>
      <c r="E13">
        <f>YEAR(automotive_demand_forecasting_dataset5678[[#This Row],[Date]])</f>
        <v>2015</v>
      </c>
      <c r="F13">
        <v>88</v>
      </c>
      <c r="G13">
        <f>(automotive_demand_forecasting_dataset5678[[#This Row],[Units_Sold]] -$C$4) / $C$5</f>
        <v>-1.1575013094998152</v>
      </c>
      <c r="H13" s="47" t="str">
        <f t="shared" ca="1" si="0"/>
        <v>North</v>
      </c>
      <c r="I13">
        <v>38106.295579999998</v>
      </c>
      <c r="J13">
        <v>3.3893731882071139</v>
      </c>
      <c r="K13">
        <v>3.6009596349985711</v>
      </c>
      <c r="L13">
        <v>6.8492240318446029</v>
      </c>
      <c r="M13">
        <v>131562.36115124368</v>
      </c>
      <c r="N13" s="82">
        <v>98</v>
      </c>
      <c r="O13">
        <v>71.117041757862765</v>
      </c>
      <c r="P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3" t="str">
        <f t="shared" ca="1" si="1"/>
        <v>Billboards</v>
      </c>
      <c r="R13" s="46">
        <f>automotive_demand_forecasting_dataset5678[[#This Row],[Units_Sold]]*automotive_demand_forecasting_dataset5678[[#This Row],[Average_Price]]</f>
        <v>3353354.0110399998</v>
      </c>
      <c r="S13" t="str">
        <f t="shared" ca="1" si="2"/>
        <v>OK</v>
      </c>
    </row>
    <row r="14" spans="1:19">
      <c r="A14" s="1">
        <v>42095</v>
      </c>
      <c r="B14" t="s">
        <v>12</v>
      </c>
      <c r="C14" t="str">
        <f>TEXT(automotive_demand_forecasting_dataset5678[[#This Row],[Date]],"mmmm")</f>
        <v>April</v>
      </c>
      <c r="D14" t="str">
        <f>CHOOSE(MATCH(MONTH(A14), {1,4,7,10}), "Winter", "Spring", "Summer", "Autumn")</f>
        <v>Spring</v>
      </c>
      <c r="E14">
        <f>YEAR(automotive_demand_forecasting_dataset5678[[#This Row],[Date]])</f>
        <v>2015</v>
      </c>
      <c r="F14">
        <v>103</v>
      </c>
      <c r="G14">
        <f>(automotive_demand_forecasting_dataset5678[[#This Row],[Units_Sold]] -$C$4) / $C$5</f>
        <v>0.37900485355303726</v>
      </c>
      <c r="H14" s="47" t="str">
        <f t="shared" ca="1" si="0"/>
        <v>West</v>
      </c>
      <c r="I14">
        <v>29671.248694635062</v>
      </c>
      <c r="J14">
        <v>3.3615933500555397</v>
      </c>
      <c r="K14">
        <v>2.6520564320000002</v>
      </c>
      <c r="L14">
        <v>5.0991073228240715</v>
      </c>
      <c r="M14">
        <v>119708.99371230436</v>
      </c>
      <c r="N14" s="82">
        <v>88</v>
      </c>
      <c r="O14">
        <v>26.515777031292735</v>
      </c>
      <c r="P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4" t="str">
        <f t="shared" ca="1" si="1"/>
        <v>Print</v>
      </c>
      <c r="R14" s="46">
        <f>automotive_demand_forecasting_dataset5678[[#This Row],[Units_Sold]]*automotive_demand_forecasting_dataset5678[[#This Row],[Average_Price]]</f>
        <v>3056138.6155474111</v>
      </c>
      <c r="S14" t="str">
        <f t="shared" ca="1" si="2"/>
        <v>OK</v>
      </c>
    </row>
    <row r="15" spans="1:19">
      <c r="A15" s="1">
        <v>42125</v>
      </c>
      <c r="B15" t="s">
        <v>12</v>
      </c>
      <c r="C15" t="str">
        <f>TEXT(automotive_demand_forecasting_dataset5678[[#This Row],[Date]],"mmmm")</f>
        <v>May</v>
      </c>
      <c r="D15" t="str">
        <f>CHOOSE(MATCH(MONTH(A15), {1,4,7,10}), "Winter", "Spring", "Summer", "Autumn")</f>
        <v>Spring</v>
      </c>
      <c r="E15">
        <f>YEAR(automotive_demand_forecasting_dataset5678[[#This Row],[Date]])</f>
        <v>2015</v>
      </c>
      <c r="F15">
        <v>111</v>
      </c>
      <c r="G15">
        <f>(automotive_demand_forecasting_dataset5678[[#This Row],[Units_Sold]] -$C$4) / $C$5</f>
        <v>1.1984748071812252</v>
      </c>
      <c r="H15" s="47" t="str">
        <f t="shared" ca="1" si="0"/>
        <v>East</v>
      </c>
      <c r="I15">
        <v>27224.002366534009</v>
      </c>
      <c r="J15">
        <v>3.6537033489045503</v>
      </c>
      <c r="K15">
        <v>1.2704504055475832</v>
      </c>
      <c r="L15">
        <v>6.1775271110723207</v>
      </c>
      <c r="M15">
        <v>117383.09184993793</v>
      </c>
      <c r="N15" s="82">
        <v>91</v>
      </c>
      <c r="O15">
        <v>54.801167547217872</v>
      </c>
      <c r="P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5" t="str">
        <f t="shared" ca="1" si="1"/>
        <v>Billboards</v>
      </c>
      <c r="R15" s="46">
        <f>automotive_demand_forecasting_dataset5678[[#This Row],[Units_Sold]]*automotive_demand_forecasting_dataset5678[[#This Row],[Average_Price]]</f>
        <v>3021864.2626852752</v>
      </c>
      <c r="S15" t="str">
        <f t="shared" ca="1" si="2"/>
        <v>OK</v>
      </c>
    </row>
    <row r="16" spans="1:19">
      <c r="A16" s="1">
        <v>42155</v>
      </c>
      <c r="B16" t="s">
        <v>12</v>
      </c>
      <c r="C16" t="str">
        <f>TEXT(automotive_demand_forecasting_dataset5678[[#This Row],[Date]],"mmmm")</f>
        <v>May</v>
      </c>
      <c r="D16" t="str">
        <f>CHOOSE(MATCH(MONTH(A16), {1,4,7,10}), "Winter", "Spring", "Summer", "Autumn")</f>
        <v>Spring</v>
      </c>
      <c r="E16">
        <f>YEAR(automotive_demand_forecasting_dataset5678[[#This Row],[Date]])</f>
        <v>2015</v>
      </c>
      <c r="F16">
        <v>90</v>
      </c>
      <c r="G16">
        <f>(automotive_demand_forecasting_dataset5678[[#This Row],[Units_Sold]] -$C$4) / $C$5</f>
        <v>-0.95263382109276828</v>
      </c>
      <c r="H16" s="47" t="str">
        <f t="shared" ca="1" si="0"/>
        <v>East</v>
      </c>
      <c r="I16">
        <v>39405.785347202953</v>
      </c>
      <c r="J16">
        <v>3.9078686062696484</v>
      </c>
      <c r="K16">
        <v>2.9966992232365217</v>
      </c>
      <c r="L16">
        <v>4.2764027935694617</v>
      </c>
      <c r="M16">
        <v>90889.209479522586</v>
      </c>
      <c r="N16" s="82">
        <v>82</v>
      </c>
      <c r="O16">
        <v>43.412407813392626</v>
      </c>
      <c r="P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6" t="str">
        <f t="shared" ca="1" si="1"/>
        <v>TV</v>
      </c>
      <c r="R16" s="46">
        <f>automotive_demand_forecasting_dataset5678[[#This Row],[Units_Sold]]*automotive_demand_forecasting_dataset5678[[#This Row],[Average_Price]]</f>
        <v>3546520.6812482658</v>
      </c>
      <c r="S16" t="str">
        <f t="shared" ca="1" si="2"/>
        <v>OK</v>
      </c>
    </row>
    <row r="17" spans="1:21">
      <c r="A17" s="1">
        <v>42185</v>
      </c>
      <c r="B17" t="s">
        <v>10</v>
      </c>
      <c r="C17" t="str">
        <f>TEXT(automotive_demand_forecasting_dataset5678[[#This Row],[Date]],"mmmm")</f>
        <v>June</v>
      </c>
      <c r="D17" t="str">
        <f>CHOOSE(MATCH(MONTH(A17), {1,4,7,10}), "Winter", "Spring", "Summer", "Autumn")</f>
        <v>Spring</v>
      </c>
      <c r="E17">
        <f>YEAR(automotive_demand_forecasting_dataset5678[[#This Row],[Date]])</f>
        <v>2015</v>
      </c>
      <c r="F17">
        <v>94</v>
      </c>
      <c r="G17">
        <f>(automotive_demand_forecasting_dataset5678[[#This Row],[Units_Sold]] -$C$4) / $C$5</f>
        <v>-0.5428988442786743</v>
      </c>
      <c r="H17" s="47" t="str">
        <f t="shared" ca="1" si="0"/>
        <v>West</v>
      </c>
      <c r="I17">
        <v>22759.93049791878</v>
      </c>
      <c r="J17">
        <v>3.9302367441798727</v>
      </c>
      <c r="K17">
        <v>2.0346895432199466</v>
      </c>
      <c r="L17">
        <v>5.471737418950914</v>
      </c>
      <c r="M17">
        <v>82215.183435433515</v>
      </c>
      <c r="N17" s="82">
        <v>92</v>
      </c>
      <c r="O17">
        <v>65.454227669999995</v>
      </c>
      <c r="P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7" t="str">
        <f t="shared" ca="1" si="1"/>
        <v>Online</v>
      </c>
      <c r="R17" s="46">
        <f>automotive_demand_forecasting_dataset5678[[#This Row],[Units_Sold]]*automotive_demand_forecasting_dataset5678[[#This Row],[Average_Price]]</f>
        <v>2139433.4668043652</v>
      </c>
      <c r="S17" t="str">
        <f t="shared" ca="1" si="2"/>
        <v>OK</v>
      </c>
    </row>
    <row r="18" spans="1:21">
      <c r="A18" s="1">
        <v>42215</v>
      </c>
      <c r="B18" t="s">
        <v>13</v>
      </c>
      <c r="C18" t="str">
        <f>TEXT(automotive_demand_forecasting_dataset5678[[#This Row],[Date]],"mmmm")</f>
        <v>July</v>
      </c>
      <c r="D18" t="str">
        <f>CHOOSE(MATCH(MONTH(A18), {1,4,7,10}), "Winter", "Spring", "Summer", "Autumn")</f>
        <v>Summer</v>
      </c>
      <c r="E18">
        <f>YEAR(automotive_demand_forecasting_dataset5678[[#This Row],[Date]])</f>
        <v>2015</v>
      </c>
      <c r="F18">
        <v>98</v>
      </c>
      <c r="G18">
        <f>(automotive_demand_forecasting_dataset5678[[#This Row],[Units_Sold]] -$C$4) / $C$5</f>
        <v>-0.13316386746458025</v>
      </c>
      <c r="H18" s="47" t="str">
        <f t="shared" ca="1" si="0"/>
        <v>South</v>
      </c>
      <c r="I18">
        <v>19005.97021689959</v>
      </c>
      <c r="J18">
        <v>3.2084612807155306</v>
      </c>
      <c r="K18">
        <v>2.3940516456958645</v>
      </c>
      <c r="L18">
        <v>5.2907748905165972</v>
      </c>
      <c r="M18">
        <v>119106.01116475507</v>
      </c>
      <c r="N18" s="82">
        <v>71</v>
      </c>
      <c r="O18">
        <v>30.673306841856565</v>
      </c>
      <c r="P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8" t="str">
        <f t="shared" ca="1" si="1"/>
        <v>Radio</v>
      </c>
      <c r="R18" s="46">
        <f>automotive_demand_forecasting_dataset5678[[#This Row],[Units_Sold]]*automotive_demand_forecasting_dataset5678[[#This Row],[Average_Price]]</f>
        <v>1862585.0812561598</v>
      </c>
      <c r="S18" t="str">
        <f t="shared" ca="1" si="2"/>
        <v>OK</v>
      </c>
    </row>
    <row r="19" spans="1:21">
      <c r="A19" s="1">
        <v>42245</v>
      </c>
      <c r="B19" t="s">
        <v>10</v>
      </c>
      <c r="C19" t="str">
        <f>TEXT(automotive_demand_forecasting_dataset5678[[#This Row],[Date]],"mmmm")</f>
        <v>August</v>
      </c>
      <c r="D19" t="str">
        <f>CHOOSE(MATCH(MONTH(A19), {1,4,7,10}), "Winter", "Spring", "Summer", "Autumn")</f>
        <v>Summer</v>
      </c>
      <c r="E19">
        <f>YEAR(automotive_demand_forecasting_dataset5678[[#This Row],[Date]])</f>
        <v>2015</v>
      </c>
      <c r="F19">
        <v>103</v>
      </c>
      <c r="G19">
        <f>(automotive_demand_forecasting_dataset5678[[#This Row],[Units_Sold]] -$C$4) / $C$5</f>
        <v>0.37900485355303726</v>
      </c>
      <c r="H19" s="47" t="str">
        <f t="shared" ca="1" si="0"/>
        <v>South</v>
      </c>
      <c r="I19">
        <v>32200.072250266661</v>
      </c>
      <c r="J19">
        <v>3.4164391431067944</v>
      </c>
      <c r="K19">
        <v>2.6520564320000002</v>
      </c>
      <c r="L19">
        <v>5.7703695064491303</v>
      </c>
      <c r="M19">
        <v>117520.93585059588</v>
      </c>
      <c r="N19" s="82">
        <v>98</v>
      </c>
      <c r="O19">
        <v>75.331472157865448</v>
      </c>
      <c r="P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9" t="str">
        <f t="shared" ca="1" si="1"/>
        <v>Print</v>
      </c>
      <c r="R19" s="46">
        <f>automotive_demand_forecasting_dataset5678[[#This Row],[Units_Sold]]*automotive_demand_forecasting_dataset5678[[#This Row],[Average_Price]]</f>
        <v>3316607.4417774663</v>
      </c>
      <c r="S19" t="str">
        <f t="shared" ca="1" si="2"/>
        <v>OK</v>
      </c>
    </row>
    <row r="20" spans="1:21">
      <c r="A20" s="1">
        <v>42275</v>
      </c>
      <c r="B20" t="s">
        <v>13</v>
      </c>
      <c r="C20" t="str">
        <f>TEXT(automotive_demand_forecasting_dataset5678[[#This Row],[Date]],"mmmm")</f>
        <v>September</v>
      </c>
      <c r="D20" t="str">
        <f>CHOOSE(MATCH(MONTH(A20), {1,4,7,10}), "Winter", "Spring", "Summer", "Autumn")</f>
        <v>Summer</v>
      </c>
      <c r="E20">
        <f>YEAR(automotive_demand_forecasting_dataset5678[[#This Row],[Date]])</f>
        <v>2015</v>
      </c>
      <c r="F20">
        <v>94</v>
      </c>
      <c r="G20">
        <f>(automotive_demand_forecasting_dataset5678[[#This Row],[Units_Sold]] -$C$4) / $C$5</f>
        <v>-0.5428988442786743</v>
      </c>
      <c r="H20" s="47" t="str">
        <f t="shared" ca="1" si="0"/>
        <v>South</v>
      </c>
      <c r="I20">
        <v>27489.728878236943</v>
      </c>
      <c r="J20">
        <v>3.6412899752441499</v>
      </c>
      <c r="K20">
        <v>0.99702967160484679</v>
      </c>
      <c r="L20">
        <v>5.0565676853999699</v>
      </c>
      <c r="M20">
        <f>128897.2893</f>
        <v>128897.2893</v>
      </c>
      <c r="N20" s="82">
        <v>82</v>
      </c>
      <c r="O20">
        <v>83.600922954277621</v>
      </c>
      <c r="P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0" t="str">
        <f t="shared" ca="1" si="1"/>
        <v>Online</v>
      </c>
      <c r="R20" s="46">
        <f>automotive_demand_forecasting_dataset5678[[#This Row],[Units_Sold]]*automotive_demand_forecasting_dataset5678[[#This Row],[Average_Price]]</f>
        <v>2584034.5145542729</v>
      </c>
      <c r="S20" t="str">
        <f t="shared" ca="1" si="2"/>
        <v>OK</v>
      </c>
    </row>
    <row r="21" spans="1:21">
      <c r="A21" s="1">
        <v>42305</v>
      </c>
      <c r="B21" t="s">
        <v>14</v>
      </c>
      <c r="C21" t="str">
        <f>TEXT(automotive_demand_forecasting_dataset5678[[#This Row],[Date]],"mmmm")</f>
        <v>October</v>
      </c>
      <c r="D21" t="str">
        <f>CHOOSE(MATCH(MONTH(A21), {1,4,7,10}), "Winter", "Spring", "Summer", "Autumn")</f>
        <v>Autumn</v>
      </c>
      <c r="E21">
        <f>YEAR(automotive_demand_forecasting_dataset5678[[#This Row],[Date]])</f>
        <v>2015</v>
      </c>
      <c r="F21">
        <v>99</v>
      </c>
      <c r="G21">
        <f>(automotive_demand_forecasting_dataset5678[[#This Row],[Units_Sold]] -$C$4) / $C$5</f>
        <v>-3.0730123261056761E-2</v>
      </c>
      <c r="H21" s="47" t="str">
        <f t="shared" ca="1" si="0"/>
        <v>South</v>
      </c>
      <c r="I21">
        <v>24893.835914346433</v>
      </c>
      <c r="J21">
        <v>3.3756544369082264</v>
      </c>
      <c r="K21">
        <v>2.6520564320000002</v>
      </c>
      <c r="L21">
        <v>5.3422328851939991</v>
      </c>
      <c r="M21">
        <v>87920.387480615405</v>
      </c>
      <c r="N21" s="82">
        <f>111.9136842</f>
        <v>111.91368420000001</v>
      </c>
      <c r="O21">
        <v>33.068355979452519</v>
      </c>
      <c r="P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1" t="str">
        <f t="shared" ca="1" si="1"/>
        <v>Radio</v>
      </c>
      <c r="R21" s="46">
        <f>automotive_demand_forecasting_dataset5678[[#This Row],[Units_Sold]]*automotive_demand_forecasting_dataset5678[[#This Row],[Average_Price]]</f>
        <v>2464489.7555202967</v>
      </c>
      <c r="S21" t="str">
        <f t="shared" ca="1" si="2"/>
        <v>OK</v>
      </c>
    </row>
    <row r="22" spans="1:21">
      <c r="A22" s="1">
        <v>42335</v>
      </c>
      <c r="B22" t="s">
        <v>10</v>
      </c>
      <c r="C22" t="str">
        <f>TEXT(automotive_demand_forecasting_dataset5678[[#This Row],[Date]],"mmmm")</f>
        <v>November</v>
      </c>
      <c r="D22" t="str">
        <f>CHOOSE(MATCH(MONTH(A22), {1,4,7,10}), "Winter", "Spring", "Summer", "Autumn")</f>
        <v>Autumn</v>
      </c>
      <c r="E22">
        <f>YEAR(automotive_demand_forecasting_dataset5678[[#This Row],[Date]])</f>
        <v>2015</v>
      </c>
      <c r="F22">
        <v>90</v>
      </c>
      <c r="G22">
        <f>(automotive_demand_forecasting_dataset5678[[#This Row],[Units_Sold]] -$C$4) / $C$5</f>
        <v>-0.95263382109276828</v>
      </c>
      <c r="H22" s="47" t="str">
        <f t="shared" ca="1" si="0"/>
        <v>South</v>
      </c>
      <c r="I22">
        <v>33541.782236496765</v>
      </c>
      <c r="J22">
        <v>4.3036727880099965</v>
      </c>
      <c r="K22">
        <v>2.9676931717654331</v>
      </c>
      <c r="L22">
        <v>6.4912566057298076</v>
      </c>
      <c r="M22">
        <v>95409.026892793059</v>
      </c>
      <c r="N22" s="82">
        <v>79</v>
      </c>
      <c r="O22">
        <v>28.345046988150571</v>
      </c>
      <c r="P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2" t="str">
        <f t="shared" ca="1" si="1"/>
        <v>Print</v>
      </c>
      <c r="R22" s="46">
        <f>automotive_demand_forecasting_dataset5678[[#This Row],[Units_Sold]]*automotive_demand_forecasting_dataset5678[[#This Row],[Average_Price]]</f>
        <v>3018760.4012847086</v>
      </c>
      <c r="S22" t="str">
        <f t="shared" ca="1" si="2"/>
        <v>OK</v>
      </c>
    </row>
    <row r="23" spans="1:21">
      <c r="A23" s="1">
        <v>42365</v>
      </c>
      <c r="B23" t="s">
        <v>10</v>
      </c>
      <c r="C23" t="str">
        <f>TEXT(automotive_demand_forecasting_dataset5678[[#This Row],[Date]],"mmmm")</f>
        <v>December</v>
      </c>
      <c r="D23" t="str">
        <f>CHOOSE(MATCH(MONTH(A23), {1,4,7,10}), "Winter", "Spring", "Summer", "Autumn")</f>
        <v>Autumn</v>
      </c>
      <c r="E23">
        <f>YEAR(automotive_demand_forecasting_dataset5678[[#This Row],[Date]])</f>
        <v>2015</v>
      </c>
      <c r="F23">
        <v>100</v>
      </c>
      <c r="G23">
        <f>(automotive_demand_forecasting_dataset5678[[#This Row],[Units_Sold]] -$C$4) / $C$5</f>
        <v>7.1703620942466739E-2</v>
      </c>
      <c r="H23" s="47" t="str">
        <f t="shared" ca="1" si="0"/>
        <v>North</v>
      </c>
      <c r="I23">
        <v>31219.003568855995</v>
      </c>
      <c r="J23">
        <v>3.7454874758191257</v>
      </c>
      <c r="K23">
        <v>3.5857863249393471</v>
      </c>
      <c r="L23">
        <v>4.9758829153141395</v>
      </c>
      <c r="M23">
        <v>67210.316749491321</v>
      </c>
      <c r="N23" s="82">
        <v>81</v>
      </c>
      <c r="O23">
        <v>31.64123862298873</v>
      </c>
      <c r="P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3" t="str">
        <f t="shared" ca="1" si="1"/>
        <v>TV</v>
      </c>
      <c r="R23" s="46">
        <f>automotive_demand_forecasting_dataset5678[[#This Row],[Units_Sold]]*automotive_demand_forecasting_dataset5678[[#This Row],[Average_Price]]</f>
        <v>3121900.3568855994</v>
      </c>
      <c r="S23" t="str">
        <f t="shared" ca="1" si="2"/>
        <v>OK</v>
      </c>
    </row>
    <row r="24" spans="1:21">
      <c r="A24" s="1">
        <v>42395</v>
      </c>
      <c r="B24" t="s">
        <v>10</v>
      </c>
      <c r="C24" t="str">
        <f>TEXT(automotive_demand_forecasting_dataset5678[[#This Row],[Date]],"mmmm")</f>
        <v>January</v>
      </c>
      <c r="D24" t="str">
        <f>CHOOSE(MATCH(MONTH(A24), {1,4,7,10}), "Winter", "Spring", "Summer", "Autumn")</f>
        <v>Winter</v>
      </c>
      <c r="E24">
        <f>YEAR(automotive_demand_forecasting_dataset5678[[#This Row],[Date]])</f>
        <v>2016</v>
      </c>
      <c r="F24">
        <v>103</v>
      </c>
      <c r="G24">
        <f>(automotive_demand_forecasting_dataset5678[[#This Row],[Units_Sold]] -$C$4) / $C$5</f>
        <v>0.37900485355303726</v>
      </c>
      <c r="H24" s="47" t="str">
        <f t="shared" ca="1" si="0"/>
        <v>North</v>
      </c>
      <c r="I24">
        <v>27179.606846316357</v>
      </c>
      <c r="J24">
        <v>3.8674388930249086</v>
      </c>
      <c r="K24">
        <v>2.5979831534708953</v>
      </c>
      <c r="L24">
        <v>5.616047043</v>
      </c>
      <c r="M24">
        <v>92150.57787878254</v>
      </c>
      <c r="N24" s="82">
        <v>90</v>
      </c>
      <c r="O24">
        <v>90.170204951880137</v>
      </c>
      <c r="P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4" t="str">
        <f t="shared" ca="1" si="1"/>
        <v>Print</v>
      </c>
      <c r="R24" s="46">
        <f>automotive_demand_forecasting_dataset5678[[#This Row],[Units_Sold]]*automotive_demand_forecasting_dataset5678[[#This Row],[Average_Price]]</f>
        <v>2799499.5051705847</v>
      </c>
      <c r="S24" t="str">
        <f t="shared" ca="1" si="2"/>
        <v>OK</v>
      </c>
    </row>
    <row r="25" spans="1:21">
      <c r="A25" s="1">
        <v>42425</v>
      </c>
      <c r="B25" t="s">
        <v>12</v>
      </c>
      <c r="C25" t="str">
        <f>TEXT(automotive_demand_forecasting_dataset5678[[#This Row],[Date]],"mmmm")</f>
        <v>February</v>
      </c>
      <c r="D25" t="str">
        <f>CHOOSE(MATCH(MONTH(A25), {1,4,7,10}), "Winter", "Spring", "Summer", "Autumn")</f>
        <v>Winter</v>
      </c>
      <c r="E25">
        <f>YEAR(automotive_demand_forecasting_dataset5678[[#This Row],[Date]])</f>
        <v>2016</v>
      </c>
      <c r="F25">
        <v>94</v>
      </c>
      <c r="G25">
        <f>(automotive_demand_forecasting_dataset5678[[#This Row],[Units_Sold]] -$C$4) / $C$5</f>
        <v>-0.5428988442786743</v>
      </c>
      <c r="H25" s="47" t="str">
        <f t="shared" ca="1" si="0"/>
        <v>North</v>
      </c>
      <c r="I25">
        <v>23598.478006645528</v>
      </c>
      <c r="J25">
        <v>3.8314406343337062</v>
      </c>
      <c r="K25">
        <v>2.8080505395041024</v>
      </c>
      <c r="L25">
        <f>6.97388673</f>
        <v>6.9738867300000003</v>
      </c>
      <c r="M25">
        <v>119931.41021158894</v>
      </c>
      <c r="N25" s="82">
        <v>90</v>
      </c>
      <c r="O25">
        <v>62.255140940508497</v>
      </c>
      <c r="P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5" t="str">
        <f t="shared" ca="1" si="1"/>
        <v>TV</v>
      </c>
      <c r="R25" s="46">
        <f>automotive_demand_forecasting_dataset5678[[#This Row],[Units_Sold]]*automotive_demand_forecasting_dataset5678[[#This Row],[Average_Price]]</f>
        <v>2218256.9326246795</v>
      </c>
      <c r="S25" t="str">
        <f t="shared" ca="1" si="2"/>
        <v>OK</v>
      </c>
    </row>
    <row r="26" spans="1:21">
      <c r="A26" s="1">
        <v>42455</v>
      </c>
      <c r="B26" t="s">
        <v>12</v>
      </c>
      <c r="C26" t="str">
        <f>TEXT(automotive_demand_forecasting_dataset5678[[#This Row],[Date]],"mmmm")</f>
        <v>March</v>
      </c>
      <c r="D26" t="str">
        <f>CHOOSE(MATCH(MONTH(A26), {1,4,7,10}), "Winter", "Spring", "Summer", "Autumn")</f>
        <v>Winter</v>
      </c>
      <c r="E26">
        <f>YEAR(automotive_demand_forecasting_dataset5678[[#This Row],[Date]])</f>
        <v>2016</v>
      </c>
      <c r="F26">
        <v>105</v>
      </c>
      <c r="G26">
        <f>(automotive_demand_forecasting_dataset5678[[#This Row],[Units_Sold]] -$C$4) / $C$5</f>
        <v>0.58387234196008431</v>
      </c>
      <c r="H26" s="47" t="str">
        <f t="shared" ca="1" si="0"/>
        <v>West</v>
      </c>
      <c r="I26">
        <v>34362.286641400722</v>
      </c>
      <c r="J26">
        <v>4.0867369287426625</v>
      </c>
      <c r="K26">
        <v>2.1083514325782087</v>
      </c>
      <c r="L26">
        <v>7.1577448944285837</v>
      </c>
      <c r="M26">
        <v>102916.7736</v>
      </c>
      <c r="N26" s="82">
        <v>87</v>
      </c>
      <c r="O26">
        <v>57.380879680600209</v>
      </c>
      <c r="P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6" t="str">
        <f t="shared" ca="1" si="1"/>
        <v>TV</v>
      </c>
      <c r="R26" s="46">
        <f>automotive_demand_forecasting_dataset5678[[#This Row],[Units_Sold]]*automotive_demand_forecasting_dataset5678[[#This Row],[Average_Price]]</f>
        <v>3608040.0973470761</v>
      </c>
      <c r="S26" t="str">
        <f t="shared" ca="1" si="2"/>
        <v>OK</v>
      </c>
    </row>
    <row r="27" spans="1:21">
      <c r="A27" s="1">
        <v>42485</v>
      </c>
      <c r="B27" t="s">
        <v>13</v>
      </c>
      <c r="C27" t="str">
        <f>TEXT(automotive_demand_forecasting_dataset5678[[#This Row],[Date]],"mmmm")</f>
        <v>April</v>
      </c>
      <c r="D27" t="str">
        <f>CHOOSE(MATCH(MONTH(A27), {1,4,7,10}), "Winter", "Spring", "Summer", "Autumn")</f>
        <v>Spring</v>
      </c>
      <c r="E27">
        <f>YEAR(automotive_demand_forecasting_dataset5678[[#This Row],[Date]])</f>
        <v>2016</v>
      </c>
      <c r="F27">
        <v>86</v>
      </c>
      <c r="G27">
        <f>(automotive_demand_forecasting_dataset5678[[#This Row],[Units_Sold]] -$C$4) / $C$5</f>
        <v>-1.3623687979068624</v>
      </c>
      <c r="H27" s="47" t="str">
        <f t="shared" ca="1" si="0"/>
        <v>South</v>
      </c>
      <c r="I27">
        <v>33251.005889793305</v>
      </c>
      <c r="J27">
        <v>3.5905107793518534</v>
      </c>
      <c r="K27">
        <v>2.7691269412451072</v>
      </c>
      <c r="L27">
        <v>3.9492847658732577</v>
      </c>
      <c r="M27">
        <v>112809.59590401647</v>
      </c>
      <c r="N27" s="82">
        <v>78</v>
      </c>
      <c r="O27">
        <v>28.53694552818834</v>
      </c>
      <c r="P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7" t="str">
        <f t="shared" ca="1" si="1"/>
        <v>Radio</v>
      </c>
      <c r="R27" s="46">
        <f>automotive_demand_forecasting_dataset5678[[#This Row],[Units_Sold]]*automotive_demand_forecasting_dataset5678[[#This Row],[Average_Price]]</f>
        <v>2859586.5065222243</v>
      </c>
      <c r="S27" t="str">
        <f t="shared" ca="1" si="2"/>
        <v>OK</v>
      </c>
    </row>
    <row r="28" spans="1:21">
      <c r="A28" s="1">
        <v>42515</v>
      </c>
      <c r="B28" t="s">
        <v>13</v>
      </c>
      <c r="C28" t="str">
        <f>TEXT(automotive_demand_forecasting_dataset5678[[#This Row],[Date]],"mmmm")</f>
        <v>May</v>
      </c>
      <c r="D28" t="str">
        <f>CHOOSE(MATCH(MONTH(A28), {1,4,7,10}), "Winter", "Spring", "Summer", "Autumn")</f>
        <v>Spring</v>
      </c>
      <c r="E28">
        <f>YEAR(automotive_demand_forecasting_dataset5678[[#This Row],[Date]])</f>
        <v>2016</v>
      </c>
      <c r="F28">
        <v>92</v>
      </c>
      <c r="G28">
        <f>(automotive_demand_forecasting_dataset5678[[#This Row],[Units_Sold]] -$C$4) / $C$5</f>
        <v>-0.74776633268572135</v>
      </c>
      <c r="H28" s="47" t="str">
        <f t="shared" ca="1" si="0"/>
        <v>East</v>
      </c>
      <c r="I28">
        <v>29504.120681103086</v>
      </c>
      <c r="J28">
        <v>2.8515840260220768</v>
      </c>
      <c r="K28">
        <v>2.1568077245025896</v>
      </c>
      <c r="L28">
        <v>6.3276493662942332</v>
      </c>
      <c r="M28">
        <v>96189.93788004377</v>
      </c>
      <c r="N28" s="82">
        <v>71</v>
      </c>
      <c r="O28">
        <v>71.964480540556934</v>
      </c>
      <c r="P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8" t="str">
        <f t="shared" ca="1" si="1"/>
        <v>Billboards</v>
      </c>
      <c r="R28" s="46">
        <f>automotive_demand_forecasting_dataset5678[[#This Row],[Units_Sold]]*automotive_demand_forecasting_dataset5678[[#This Row],[Average_Price]]</f>
        <v>2714379.1026614839</v>
      </c>
      <c r="S28" t="str">
        <f t="shared" ca="1" si="2"/>
        <v>OK</v>
      </c>
      <c r="U28" s="2"/>
    </row>
    <row r="29" spans="1:21">
      <c r="A29" s="1">
        <v>42545</v>
      </c>
      <c r="B29" t="s">
        <v>10</v>
      </c>
      <c r="C29" t="str">
        <f>TEXT(automotive_demand_forecasting_dataset5678[[#This Row],[Date]],"mmmm")</f>
        <v>June</v>
      </c>
      <c r="D29" t="str">
        <f>CHOOSE(MATCH(MONTH(A29), {1,4,7,10}), "Winter", "Spring", "Summer", "Autumn")</f>
        <v>Spring</v>
      </c>
      <c r="E29">
        <f>YEAR(automotive_demand_forecasting_dataset5678[[#This Row],[Date]])</f>
        <v>2016</v>
      </c>
      <c r="F29">
        <v>94</v>
      </c>
      <c r="G29">
        <f>(automotive_demand_forecasting_dataset5678[[#This Row],[Units_Sold]] -$C$4) / $C$5</f>
        <v>-0.5428988442786743</v>
      </c>
      <c r="H29" s="47" t="str">
        <f t="shared" ca="1" si="0"/>
        <v>North</v>
      </c>
      <c r="I29">
        <v>39233.184980238329</v>
      </c>
      <c r="J29">
        <v>3.6998439758763206</v>
      </c>
      <c r="K29">
        <v>3.1215718898560509</v>
      </c>
      <c r="L29">
        <v>4.8964302753383881</v>
      </c>
      <c r="M29">
        <v>106481.14056443122</v>
      </c>
      <c r="N29" s="82">
        <v>92</v>
      </c>
      <c r="O29">
        <v>89.439967351607194</v>
      </c>
      <c r="P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9" t="str">
        <f t="shared" ca="1" si="1"/>
        <v>TV</v>
      </c>
      <c r="R29" s="46">
        <f>automotive_demand_forecasting_dataset5678[[#This Row],[Units_Sold]]*automotive_demand_forecasting_dataset5678[[#This Row],[Average_Price]]</f>
        <v>3687919.3881424027</v>
      </c>
      <c r="S29" t="str">
        <f t="shared" ca="1" si="2"/>
        <v>OK</v>
      </c>
    </row>
    <row r="30" spans="1:21">
      <c r="A30" s="1">
        <v>42575</v>
      </c>
      <c r="B30" t="s">
        <v>13</v>
      </c>
      <c r="C30" t="str">
        <f>TEXT(automotive_demand_forecasting_dataset5678[[#This Row],[Date]],"mmmm")</f>
        <v>July</v>
      </c>
      <c r="D30" t="str">
        <f>CHOOSE(MATCH(MONTH(A30), {1,4,7,10}), "Winter", "Spring", "Summer", "Autumn")</f>
        <v>Summer</v>
      </c>
      <c r="E30">
        <f>YEAR(automotive_demand_forecasting_dataset5678[[#This Row],[Date]])</f>
        <v>2016</v>
      </c>
      <c r="F30">
        <v>101</v>
      </c>
      <c r="G30">
        <f>(automotive_demand_forecasting_dataset5678[[#This Row],[Units_Sold]] -$C$4) / $C$5</f>
        <v>0.17413736514599024</v>
      </c>
      <c r="H30" s="47" t="str">
        <f t="shared" ca="1" si="0"/>
        <v>South</v>
      </c>
      <c r="I30">
        <v>24649.576168369236</v>
      </c>
      <c r="J30">
        <v>3.1743215531040856</v>
      </c>
      <c r="K30">
        <v>2.130389663956366</v>
      </c>
      <c r="L30">
        <v>5.8161846583972716</v>
      </c>
      <c r="M30">
        <v>77046.172203686656</v>
      </c>
      <c r="N30" s="82">
        <v>103</v>
      </c>
      <c r="O30">
        <v>86.254869545876232</v>
      </c>
      <c r="P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0" t="str">
        <f t="shared" ca="1" si="1"/>
        <v>Billboards</v>
      </c>
      <c r="R30" s="46">
        <f>automotive_demand_forecasting_dataset5678[[#This Row],[Units_Sold]]*automotive_demand_forecasting_dataset5678[[#This Row],[Average_Price]]</f>
        <v>2489607.1930052927</v>
      </c>
      <c r="S30" t="str">
        <f t="shared" ca="1" si="2"/>
        <v>OK</v>
      </c>
    </row>
    <row r="31" spans="1:21">
      <c r="A31" s="1">
        <v>42605</v>
      </c>
      <c r="B31" t="s">
        <v>12</v>
      </c>
      <c r="C31" t="str">
        <f>TEXT(automotive_demand_forecasting_dataset5678[[#This Row],[Date]],"mmmm")</f>
        <v>August</v>
      </c>
      <c r="D31" t="str">
        <f>CHOOSE(MATCH(MONTH(A31), {1,4,7,10}), "Winter", "Spring", "Summer", "Autumn")</f>
        <v>Summer</v>
      </c>
      <c r="E31">
        <f>YEAR(automotive_demand_forecasting_dataset5678[[#This Row],[Date]])</f>
        <v>2016</v>
      </c>
      <c r="F31">
        <v>103</v>
      </c>
      <c r="G31">
        <f>(automotive_demand_forecasting_dataset5678[[#This Row],[Units_Sold]] -$C$4) / $C$5</f>
        <v>0.37900485355303726</v>
      </c>
      <c r="H31" s="47" t="str">
        <f t="shared" ca="1" si="0"/>
        <v>East</v>
      </c>
      <c r="I31">
        <v>22372.374145376307</v>
      </c>
      <c r="J31">
        <v>3.2356916591251217</v>
      </c>
      <c r="K31">
        <v>2.8771003939021864</v>
      </c>
      <c r="L31">
        <v>5.8530689548161927</v>
      </c>
      <c r="M31">
        <v>102916.7736</v>
      </c>
      <c r="N31" s="82">
        <v>90</v>
      </c>
      <c r="O31">
        <v>70.0843767184641</v>
      </c>
      <c r="P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1" t="str">
        <f t="shared" ca="1" si="1"/>
        <v>Print</v>
      </c>
      <c r="R31" s="46">
        <f>automotive_demand_forecasting_dataset5678[[#This Row],[Units_Sold]]*automotive_demand_forecasting_dataset5678[[#This Row],[Average_Price]]</f>
        <v>2304354.5369737595</v>
      </c>
      <c r="S31" t="str">
        <f t="shared" ca="1" si="2"/>
        <v>OK</v>
      </c>
    </row>
    <row r="32" spans="1:21">
      <c r="A32" s="1">
        <v>42635</v>
      </c>
      <c r="B32" t="s">
        <v>13</v>
      </c>
      <c r="C32" t="str">
        <f>TEXT(automotive_demand_forecasting_dataset5678[[#This Row],[Date]],"mmmm")</f>
        <v>September</v>
      </c>
      <c r="D32" t="str">
        <f>CHOOSE(MATCH(MONTH(A32), {1,4,7,10}), "Winter", "Spring", "Summer", "Autumn")</f>
        <v>Summer</v>
      </c>
      <c r="E32">
        <f>YEAR(automotive_demand_forecasting_dataset5678[[#This Row],[Date]])</f>
        <v>2016</v>
      </c>
      <c r="F32">
        <v>84</v>
      </c>
      <c r="G32">
        <f>(automotive_demand_forecasting_dataset5678[[#This Row],[Units_Sold]] -$C$4) / $C$5</f>
        <v>-1.5672362863139093</v>
      </c>
      <c r="H32" s="47" t="str">
        <f t="shared" ca="1" si="0"/>
        <v>West</v>
      </c>
      <c r="I32">
        <v>26540.459650593777</v>
      </c>
      <c r="J32">
        <v>3.7931820093775466</v>
      </c>
      <c r="K32">
        <v>2.4707371863150218</v>
      </c>
      <c r="L32">
        <v>5.2187106396204133</v>
      </c>
      <c r="M32">
        <v>40177.280581985535</v>
      </c>
      <c r="N32" s="82">
        <v>75</v>
      </c>
      <c r="O32">
        <v>80.215177969999999</v>
      </c>
      <c r="P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2" t="str">
        <f t="shared" ca="1" si="1"/>
        <v>Print</v>
      </c>
      <c r="R32" s="46">
        <f>automotive_demand_forecasting_dataset5678[[#This Row],[Units_Sold]]*automotive_demand_forecasting_dataset5678[[#This Row],[Average_Price]]</f>
        <v>2229398.6106498772</v>
      </c>
      <c r="S32" t="str">
        <f t="shared" ca="1" si="2"/>
        <v>OK</v>
      </c>
    </row>
    <row r="33" spans="1:19">
      <c r="A33" s="1">
        <v>42665</v>
      </c>
      <c r="B33" t="s">
        <v>14</v>
      </c>
      <c r="C33" t="str">
        <f>TEXT(automotive_demand_forecasting_dataset5678[[#This Row],[Date]],"mmmm")</f>
        <v>October</v>
      </c>
      <c r="D33" t="str">
        <f>CHOOSE(MATCH(MONTH(A33), {1,4,7,10}), "Winter", "Spring", "Summer", "Autumn")</f>
        <v>Autumn</v>
      </c>
      <c r="E33">
        <f>YEAR(automotive_demand_forecasting_dataset5678[[#This Row],[Date]])</f>
        <v>2016</v>
      </c>
      <c r="F33">
        <v>76</v>
      </c>
      <c r="G33">
        <f>(automotive_demand_forecasting_dataset5678[[#This Row],[Units_Sold]] -$C$4) / $C$5</f>
        <v>-2.3867062399420975</v>
      </c>
      <c r="H33" s="47" t="str">
        <f t="shared" ca="1" si="0"/>
        <v>West</v>
      </c>
      <c r="I33">
        <v>29772.069918222511</v>
      </c>
      <c r="J33">
        <v>4.1191415357168175</v>
      </c>
      <c r="K33">
        <v>3.6260502507721681</v>
      </c>
      <c r="L33">
        <v>4.5594812012963244</v>
      </c>
      <c r="M33">
        <v>96262.076836760301</v>
      </c>
      <c r="N33" s="82">
        <v>80</v>
      </c>
      <c r="O33">
        <v>28.991762174081039</v>
      </c>
      <c r="P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3" t="str">
        <f t="shared" ca="1" si="1"/>
        <v>Billboards</v>
      </c>
      <c r="R33" s="46">
        <f>automotive_demand_forecasting_dataset5678[[#This Row],[Units_Sold]]*automotive_demand_forecasting_dataset5678[[#This Row],[Average_Price]]</f>
        <v>2262677.3137849108</v>
      </c>
      <c r="S33" t="str">
        <f t="shared" ca="1" si="2"/>
        <v>OK</v>
      </c>
    </row>
    <row r="34" spans="1:19">
      <c r="A34" s="1">
        <v>42695</v>
      </c>
      <c r="B34" t="s">
        <v>12</v>
      </c>
      <c r="C34" t="str">
        <f>TEXT(automotive_demand_forecasting_dataset5678[[#This Row],[Date]],"mmmm")</f>
        <v>November</v>
      </c>
      <c r="D34" t="str">
        <f>CHOOSE(MATCH(MONTH(A34), {1,4,7,10}), "Winter", "Spring", "Summer", "Autumn")</f>
        <v>Autumn</v>
      </c>
      <c r="E34">
        <f>YEAR(automotive_demand_forecasting_dataset5678[[#This Row],[Date]])</f>
        <v>2016</v>
      </c>
      <c r="F34">
        <v>100</v>
      </c>
      <c r="G34">
        <f>(automotive_demand_forecasting_dataset5678[[#This Row],[Units_Sold]] -$C$4) / $C$5</f>
        <v>7.1703620942466739E-2</v>
      </c>
      <c r="H34" s="47" t="str">
        <f t="shared" ca="1" si="0"/>
        <v>North</v>
      </c>
      <c r="I34">
        <v>31216.697246613458</v>
      </c>
      <c r="J34">
        <v>3.510635788368031</v>
      </c>
      <c r="K34">
        <v>2.448606276411514</v>
      </c>
      <c r="L34">
        <v>4.6713507372204885</v>
      </c>
      <c r="M34">
        <v>67390.535125697206</v>
      </c>
      <c r="N34" s="82">
        <v>94</v>
      </c>
      <c r="O34">
        <v>23.944718968785974</v>
      </c>
      <c r="P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4" t="str">
        <f t="shared" ca="1" si="1"/>
        <v>Print</v>
      </c>
      <c r="R34" s="46">
        <f>automotive_demand_forecasting_dataset5678[[#This Row],[Units_Sold]]*automotive_demand_forecasting_dataset5678[[#This Row],[Average_Price]]</f>
        <v>3121669.7246613456</v>
      </c>
      <c r="S34" t="str">
        <f t="shared" ca="1" si="2"/>
        <v>OK</v>
      </c>
    </row>
    <row r="35" spans="1:19">
      <c r="A35" s="1">
        <v>42725</v>
      </c>
      <c r="B35" t="s">
        <v>14</v>
      </c>
      <c r="C35" t="str">
        <f>TEXT(automotive_demand_forecasting_dataset5678[[#This Row],[Date]],"mmmm")</f>
        <v>December</v>
      </c>
      <c r="D35" t="str">
        <f>CHOOSE(MATCH(MONTH(A35), {1,4,7,10}), "Winter", "Spring", "Summer", "Autumn")</f>
        <v>Autumn</v>
      </c>
      <c r="E35">
        <f>YEAR(automotive_demand_forecasting_dataset5678[[#This Row],[Date]])</f>
        <v>2016</v>
      </c>
      <c r="F35">
        <v>111</v>
      </c>
      <c r="G35">
        <f>(automotive_demand_forecasting_dataset5678[[#This Row],[Units_Sold]] -$C$4) / $C$5</f>
        <v>1.1984748071812252</v>
      </c>
      <c r="H35" s="47" t="str">
        <f t="shared" ca="1" si="0"/>
        <v>West</v>
      </c>
      <c r="I35">
        <v>28793.819710718351</v>
      </c>
      <c r="J35">
        <v>3.6544165062994818</v>
      </c>
      <c r="K35">
        <v>0.72696753179311857</v>
      </c>
      <c r="L35">
        <v>4.4005697014225094</v>
      </c>
      <c r="M35">
        <v>124119.89033093632</v>
      </c>
      <c r="N35" s="82">
        <v>110</v>
      </c>
      <c r="O35">
        <v>40.598337319397544</v>
      </c>
      <c r="P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5" t="str">
        <f t="shared" ca="1" si="1"/>
        <v>Print</v>
      </c>
      <c r="R35" s="46">
        <f>automotive_demand_forecasting_dataset5678[[#This Row],[Units_Sold]]*automotive_demand_forecasting_dataset5678[[#This Row],[Average_Price]]</f>
        <v>3196113.9878897369</v>
      </c>
      <c r="S35" t="str">
        <f t="shared" ca="1" si="2"/>
        <v>OK</v>
      </c>
    </row>
    <row r="36" spans="1:19">
      <c r="A36" s="1">
        <v>42755</v>
      </c>
      <c r="B36" t="s">
        <v>13</v>
      </c>
      <c r="C36" t="str">
        <f>TEXT(automotive_demand_forecasting_dataset5678[[#This Row],[Date]],"mmmm")</f>
        <v>January</v>
      </c>
      <c r="D36" t="str">
        <f>CHOOSE(MATCH(MONTH(A36), {1,4,7,10}), "Winter", "Spring", "Summer", "Autumn")</f>
        <v>Winter</v>
      </c>
      <c r="E36">
        <f>YEAR(automotive_demand_forecasting_dataset5678[[#This Row],[Date]])</f>
        <v>2017</v>
      </c>
      <c r="F36">
        <v>93</v>
      </c>
      <c r="G36">
        <f>(automotive_demand_forecasting_dataset5678[[#This Row],[Units_Sold]] -$C$4) / $C$5</f>
        <v>-0.64533258848219777</v>
      </c>
      <c r="H36" s="47" t="str">
        <f t="shared" ca="1" si="0"/>
        <v>South</v>
      </c>
      <c r="I36">
        <v>38106.295579999998</v>
      </c>
      <c r="J36">
        <v>4.3511074723176186</v>
      </c>
      <c r="K36">
        <v>3.7619215007139917</v>
      </c>
      <c r="L36">
        <v>4.5018133501234665</v>
      </c>
      <c r="M36">
        <f t="shared" ref="M36:M37" si="3">128897.2893</f>
        <v>128897.2893</v>
      </c>
      <c r="N36" s="82">
        <v>84</v>
      </c>
      <c r="O36">
        <v>30.85291737283022</v>
      </c>
      <c r="P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6" t="str">
        <f t="shared" ca="1" si="1"/>
        <v>Print</v>
      </c>
      <c r="R36" s="46">
        <f>automotive_demand_forecasting_dataset5678[[#This Row],[Units_Sold]]*automotive_demand_forecasting_dataset5678[[#This Row],[Average_Price]]</f>
        <v>3543885.4889399996</v>
      </c>
      <c r="S36" t="str">
        <f t="shared" ca="1" si="2"/>
        <v>OK</v>
      </c>
    </row>
    <row r="37" spans="1:19">
      <c r="A37" s="1">
        <v>42785</v>
      </c>
      <c r="B37" t="s">
        <v>11</v>
      </c>
      <c r="C37" t="str">
        <f>TEXT(automotive_demand_forecasting_dataset5678[[#This Row],[Date]],"mmmm")</f>
        <v>February</v>
      </c>
      <c r="D37" t="str">
        <f>CHOOSE(MATCH(MONTH(A37), {1,4,7,10}), "Winter", "Spring", "Summer", "Autumn")</f>
        <v>Winter</v>
      </c>
      <c r="E37">
        <f>YEAR(automotive_demand_forecasting_dataset5678[[#This Row],[Date]])</f>
        <v>2017</v>
      </c>
      <c r="F37">
        <v>87</v>
      </c>
      <c r="G37">
        <f>(automotive_demand_forecasting_dataset5678[[#This Row],[Units_Sold]] -$C$4) / $C$5</f>
        <v>-1.2599350537033389</v>
      </c>
      <c r="H37" s="47" t="str">
        <f t="shared" ca="1" si="0"/>
        <v>East</v>
      </c>
      <c r="I37">
        <v>23742.30287904778</v>
      </c>
      <c r="J37">
        <v>3.6203765897442843</v>
      </c>
      <c r="K37">
        <v>1.5942676991373812</v>
      </c>
      <c r="L37">
        <v>5.4193860519407737</v>
      </c>
      <c r="M37">
        <f t="shared" si="3"/>
        <v>128897.2893</v>
      </c>
      <c r="N37" s="82">
        <v>80</v>
      </c>
      <c r="O37">
        <v>40.803843220194707</v>
      </c>
      <c r="P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7" t="str">
        <f t="shared" ca="1" si="1"/>
        <v>TV</v>
      </c>
      <c r="R37" s="46">
        <f>automotive_demand_forecasting_dataset5678[[#This Row],[Units_Sold]]*automotive_demand_forecasting_dataset5678[[#This Row],[Average_Price]]</f>
        <v>2065580.3504771569</v>
      </c>
      <c r="S37" t="str">
        <f t="shared" ca="1" si="2"/>
        <v>OK</v>
      </c>
    </row>
    <row r="38" spans="1:19">
      <c r="A38" s="1">
        <v>42815</v>
      </c>
      <c r="B38" t="s">
        <v>10</v>
      </c>
      <c r="C38" t="str">
        <f>TEXT(automotive_demand_forecasting_dataset5678[[#This Row],[Date]],"mmmm")</f>
        <v>March</v>
      </c>
      <c r="D38" t="str">
        <f>CHOOSE(MATCH(MONTH(A38), {1,4,7,10}), "Winter", "Spring", "Summer", "Autumn")</f>
        <v>Winter</v>
      </c>
      <c r="E38">
        <f>YEAR(automotive_demand_forecasting_dataset5678[[#This Row],[Date]])</f>
        <v>2017</v>
      </c>
      <c r="F38">
        <v>108</v>
      </c>
      <c r="G38">
        <f>(automotive_demand_forecasting_dataset5678[[#This Row],[Units_Sold]] -$C$4) / $C$5</f>
        <v>0.89117357457065483</v>
      </c>
      <c r="H38" s="47" t="str">
        <f t="shared" ca="1" si="0"/>
        <v>East</v>
      </c>
      <c r="I38">
        <v>37218.823020366297</v>
      </c>
      <c r="J38">
        <v>4.8008415570901972</v>
      </c>
      <c r="K38">
        <v>1.8462336613511803</v>
      </c>
      <c r="L38">
        <v>4.6410880130670975</v>
      </c>
      <c r="M38">
        <v>130420.1245431876</v>
      </c>
      <c r="N38" s="82">
        <v>77</v>
      </c>
      <c r="O38">
        <v>50.804644457516936</v>
      </c>
      <c r="P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8" t="str">
        <f t="shared" ca="1" si="1"/>
        <v>Online</v>
      </c>
      <c r="R38" s="46">
        <f>automotive_demand_forecasting_dataset5678[[#This Row],[Units_Sold]]*automotive_demand_forecasting_dataset5678[[#This Row],[Average_Price]]</f>
        <v>4019632.88619956</v>
      </c>
      <c r="S38" t="str">
        <f t="shared" ca="1" si="2"/>
        <v>OK</v>
      </c>
    </row>
    <row r="39" spans="1:19">
      <c r="A39" s="1">
        <v>42845</v>
      </c>
      <c r="B39" t="s">
        <v>12</v>
      </c>
      <c r="C39" t="str">
        <f>TEXT(automotive_demand_forecasting_dataset5678[[#This Row],[Date]],"mmmm")</f>
        <v>April</v>
      </c>
      <c r="D39" t="str">
        <f>CHOOSE(MATCH(MONTH(A39), {1,4,7,10}), "Winter", "Spring", "Summer", "Autumn")</f>
        <v>Spring</v>
      </c>
      <c r="E39">
        <f>YEAR(automotive_demand_forecasting_dataset5678[[#This Row],[Date]])</f>
        <v>2017</v>
      </c>
      <c r="F39">
        <v>106</v>
      </c>
      <c r="G39">
        <f>(automotive_demand_forecasting_dataset5678[[#This Row],[Units_Sold]] -$C$4) / $C$5</f>
        <v>0.68630608616360778</v>
      </c>
      <c r="H39" s="47" t="str">
        <f t="shared" ca="1" si="0"/>
        <v>West</v>
      </c>
      <c r="I39">
        <v>29589.244108037157</v>
      </c>
      <c r="J39">
        <v>3.7827548228157721</v>
      </c>
      <c r="K39">
        <v>1.904338705956508</v>
      </c>
      <c r="L39">
        <v>6.3184624788551442</v>
      </c>
      <c r="M39">
        <v>81021.669583503259</v>
      </c>
      <c r="N39" s="82">
        <v>82</v>
      </c>
      <c r="O39">
        <v>95.438622725690848</v>
      </c>
      <c r="P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9" t="str">
        <f t="shared" ca="1" si="1"/>
        <v>Billboards</v>
      </c>
      <c r="R39" s="46">
        <f>automotive_demand_forecasting_dataset5678[[#This Row],[Units_Sold]]*automotive_demand_forecasting_dataset5678[[#This Row],[Average_Price]]</f>
        <v>3136459.8754519387</v>
      </c>
      <c r="S39" t="str">
        <f t="shared" ca="1" si="2"/>
        <v>OK</v>
      </c>
    </row>
    <row r="40" spans="1:19">
      <c r="A40" s="1">
        <v>42875</v>
      </c>
      <c r="B40" t="s">
        <v>14</v>
      </c>
      <c r="C40" t="str">
        <f>TEXT(automotive_demand_forecasting_dataset5678[[#This Row],[Date]],"mmmm")</f>
        <v>May</v>
      </c>
      <c r="D40" t="str">
        <f>CHOOSE(MATCH(MONTH(A40), {1,4,7,10}), "Winter", "Spring", "Summer", "Autumn")</f>
        <v>Spring</v>
      </c>
      <c r="E40">
        <f>YEAR(automotive_demand_forecasting_dataset5678[[#This Row],[Date]])</f>
        <v>2017</v>
      </c>
      <c r="F40">
        <v>108</v>
      </c>
      <c r="G40">
        <f>(automotive_demand_forecasting_dataset5678[[#This Row],[Units_Sold]] -$C$4) / $C$5</f>
        <v>0.89117357457065483</v>
      </c>
      <c r="H40" s="47" t="str">
        <f t="shared" ca="1" si="0"/>
        <v>East</v>
      </c>
      <c r="I40">
        <v>35586.479157940637</v>
      </c>
      <c r="J40">
        <v>2.619618620422091</v>
      </c>
      <c r="K40">
        <v>3.8744380931708173</v>
      </c>
      <c r="L40">
        <v>7.2846953864031132</v>
      </c>
      <c r="M40">
        <v>134947.26395831117</v>
      </c>
      <c r="N40" s="82">
        <v>111</v>
      </c>
      <c r="O40">
        <v>68.830084782535366</v>
      </c>
      <c r="P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0" t="str">
        <f t="shared" ca="1" si="1"/>
        <v>Print</v>
      </c>
      <c r="R40" s="46">
        <f>automotive_demand_forecasting_dataset5678[[#This Row],[Units_Sold]]*automotive_demand_forecasting_dataset5678[[#This Row],[Average_Price]]</f>
        <v>3843339.7490575886</v>
      </c>
      <c r="S40" t="str">
        <f t="shared" ca="1" si="2"/>
        <v>OK</v>
      </c>
    </row>
    <row r="41" spans="1:19">
      <c r="A41" s="1">
        <v>42905</v>
      </c>
      <c r="B41" t="s">
        <v>11</v>
      </c>
      <c r="C41" t="str">
        <f>TEXT(automotive_demand_forecasting_dataset5678[[#This Row],[Date]],"mmmm")</f>
        <v>June</v>
      </c>
      <c r="D41" t="str">
        <f>CHOOSE(MATCH(MONTH(A41), {1,4,7,10}), "Winter", "Spring", "Summer", "Autumn")</f>
        <v>Spring</v>
      </c>
      <c r="E41">
        <f>YEAR(automotive_demand_forecasting_dataset5678[[#This Row],[Date]])</f>
        <v>2017</v>
      </c>
      <c r="F41">
        <v>96</v>
      </c>
      <c r="G41">
        <f>(automotive_demand_forecasting_dataset5678[[#This Row],[Units_Sold]] -$C$4) / $C$5</f>
        <v>-0.33803135587162725</v>
      </c>
      <c r="H41" s="47" t="str">
        <f t="shared" ca="1" si="0"/>
        <v>West</v>
      </c>
      <c r="I41">
        <v>31713.626731888522</v>
      </c>
      <c r="J41">
        <v>3.876670810552266</v>
      </c>
      <c r="K41">
        <v>0.3643257860213045</v>
      </c>
      <c r="L41">
        <v>4.8039361103559486</v>
      </c>
      <c r="M41">
        <v>118643.83128520769</v>
      </c>
      <c r="N41" s="82">
        <v>87</v>
      </c>
      <c r="O41">
        <v>86.797902854636988</v>
      </c>
      <c r="P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1" t="str">
        <f t="shared" ca="1" si="1"/>
        <v>Online</v>
      </c>
      <c r="R41" s="46">
        <f>automotive_demand_forecasting_dataset5678[[#This Row],[Units_Sold]]*automotive_demand_forecasting_dataset5678[[#This Row],[Average_Price]]</f>
        <v>3044508.1662612981</v>
      </c>
      <c r="S41" t="str">
        <f t="shared" ca="1" si="2"/>
        <v>OK</v>
      </c>
    </row>
    <row r="42" spans="1:19">
      <c r="A42" s="1">
        <v>42935</v>
      </c>
      <c r="B42" t="s">
        <v>11</v>
      </c>
      <c r="C42" t="str">
        <f>TEXT(automotive_demand_forecasting_dataset5678[[#This Row],[Date]],"mmmm")</f>
        <v>July</v>
      </c>
      <c r="D42" t="str">
        <f>CHOOSE(MATCH(MONTH(A42), {1,4,7,10}), "Winter", "Spring", "Summer", "Autumn")</f>
        <v>Summer</v>
      </c>
      <c r="E42">
        <f>YEAR(automotive_demand_forecasting_dataset5678[[#This Row],[Date]])</f>
        <v>2017</v>
      </c>
      <c r="F42">
        <v>113</v>
      </c>
      <c r="G42">
        <f>(automotive_demand_forecasting_dataset5678[[#This Row],[Units_Sold]] -$C$4) / $C$5</f>
        <v>1.4033422955882724</v>
      </c>
      <c r="H42" s="47" t="str">
        <f t="shared" ca="1" si="0"/>
        <v>South</v>
      </c>
      <c r="I42">
        <v>32283.766095768919</v>
      </c>
      <c r="J42">
        <v>3.6905791924413887</v>
      </c>
      <c r="K42">
        <f t="shared" ref="K42:K43" si="4">3.224108373</f>
        <v>3.224108373</v>
      </c>
      <c r="L42">
        <v>5.7872854006424523</v>
      </c>
      <c r="M42">
        <v>95268.894255621082</v>
      </c>
      <c r="N42" s="82">
        <v>73</v>
      </c>
      <c r="O42">
        <v>76.828120056986577</v>
      </c>
      <c r="P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2" t="str">
        <f t="shared" ca="1" si="1"/>
        <v>Online</v>
      </c>
      <c r="R42" s="46">
        <f>automotive_demand_forecasting_dataset5678[[#This Row],[Units_Sold]]*automotive_demand_forecasting_dataset5678[[#This Row],[Average_Price]]</f>
        <v>3648065.568821888</v>
      </c>
      <c r="S42" t="str">
        <f t="shared" ca="1" si="2"/>
        <v>OK</v>
      </c>
    </row>
    <row r="43" spans="1:19">
      <c r="A43" s="1">
        <v>42965</v>
      </c>
      <c r="B43" t="s">
        <v>12</v>
      </c>
      <c r="C43" t="str">
        <f>TEXT(automotive_demand_forecasting_dataset5678[[#This Row],[Date]],"mmmm")</f>
        <v>August</v>
      </c>
      <c r="D43" t="str">
        <f>CHOOSE(MATCH(MONTH(A43), {1,4,7,10}), "Winter", "Spring", "Summer", "Autumn")</f>
        <v>Summer</v>
      </c>
      <c r="E43">
        <f>YEAR(automotive_demand_forecasting_dataset5678[[#This Row],[Date]])</f>
        <v>2017</v>
      </c>
      <c r="F43">
        <v>95</v>
      </c>
      <c r="G43">
        <f>(automotive_demand_forecasting_dataset5678[[#This Row],[Units_Sold]] -$C$4) / $C$5</f>
        <v>-0.44046510007515077</v>
      </c>
      <c r="H43" s="47" t="str">
        <f t="shared" ca="1" si="0"/>
        <v>North</v>
      </c>
      <c r="I43">
        <v>32848.836401161017</v>
      </c>
      <c r="J43">
        <v>4.1448763770413724</v>
      </c>
      <c r="K43">
        <f t="shared" si="4"/>
        <v>3.224108373</v>
      </c>
      <c r="L43">
        <v>6.0996221323635202</v>
      </c>
      <c r="M43">
        <v>122712.40294365888</v>
      </c>
      <c r="N43" s="82">
        <v>95</v>
      </c>
      <c r="O43">
        <v>29.00025044213054</v>
      </c>
      <c r="P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3" t="str">
        <f t="shared" ca="1" si="1"/>
        <v>Online</v>
      </c>
      <c r="R43" s="46">
        <f>automotive_demand_forecasting_dataset5678[[#This Row],[Units_Sold]]*automotive_demand_forecasting_dataset5678[[#This Row],[Average_Price]]</f>
        <v>3120639.4581102966</v>
      </c>
      <c r="S43" t="str">
        <f t="shared" ca="1" si="2"/>
        <v>OK</v>
      </c>
    </row>
    <row r="44" spans="1:19">
      <c r="A44" s="1">
        <v>42995</v>
      </c>
      <c r="B44" t="s">
        <v>12</v>
      </c>
      <c r="C44" t="str">
        <f>TEXT(automotive_demand_forecasting_dataset5678[[#This Row],[Date]],"mmmm")</f>
        <v>September</v>
      </c>
      <c r="D44" t="str">
        <f>CHOOSE(MATCH(MONTH(A44), {1,4,7,10}), "Winter", "Spring", "Summer", "Autumn")</f>
        <v>Summer</v>
      </c>
      <c r="E44">
        <f>YEAR(automotive_demand_forecasting_dataset5678[[#This Row],[Date]])</f>
        <v>2017</v>
      </c>
      <c r="F44">
        <v>94</v>
      </c>
      <c r="G44">
        <f>(automotive_demand_forecasting_dataset5678[[#This Row],[Units_Sold]] -$C$4) / $C$5</f>
        <v>-0.5428988442786743</v>
      </c>
      <c r="H44" s="47" t="str">
        <f t="shared" ca="1" si="0"/>
        <v>South</v>
      </c>
      <c r="I44">
        <v>32238.542800086576</v>
      </c>
      <c r="J44">
        <v>3.8365906756349792</v>
      </c>
      <c r="K44">
        <v>2.7232389141291597</v>
      </c>
      <c r="L44">
        <v>6.0664027251031296</v>
      </c>
      <c r="M44">
        <v>77874.129751767323</v>
      </c>
      <c r="N44" s="82">
        <v>87</v>
      </c>
      <c r="O44">
        <v>78.873632509915907</v>
      </c>
      <c r="P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4" t="str">
        <f t="shared" ca="1" si="1"/>
        <v>Print</v>
      </c>
      <c r="R44" s="46">
        <f>automotive_demand_forecasting_dataset5678[[#This Row],[Units_Sold]]*automotive_demand_forecasting_dataset5678[[#This Row],[Average_Price]]</f>
        <v>3030423.0232081381</v>
      </c>
      <c r="S44" t="str">
        <f t="shared" ca="1" si="2"/>
        <v>OK</v>
      </c>
    </row>
    <row r="45" spans="1:19">
      <c r="A45" s="1">
        <v>43025</v>
      </c>
      <c r="B45" t="s">
        <v>11</v>
      </c>
      <c r="C45" t="str">
        <f>TEXT(automotive_demand_forecasting_dataset5678[[#This Row],[Date]],"mmmm")</f>
        <v>October</v>
      </c>
      <c r="D45" t="str">
        <f>CHOOSE(MATCH(MONTH(A45), {1,4,7,10}), "Winter", "Spring", "Summer", "Autumn")</f>
        <v>Autumn</v>
      </c>
      <c r="E45">
        <f>YEAR(automotive_demand_forecasting_dataset5678[[#This Row],[Date]])</f>
        <v>2017</v>
      </c>
      <c r="F45">
        <v>107</v>
      </c>
      <c r="G45">
        <f>(automotive_demand_forecasting_dataset5678[[#This Row],[Units_Sold]] -$C$4) / $C$5</f>
        <v>0.78873983036713124</v>
      </c>
      <c r="H45" s="47" t="str">
        <f t="shared" ca="1" si="0"/>
        <v>East</v>
      </c>
      <c r="I45">
        <v>33213.61379933772</v>
      </c>
      <c r="J45">
        <v>3.430772008008113</v>
      </c>
      <c r="K45">
        <v>2.4451059993837134</v>
      </c>
      <c r="L45">
        <v>5.5911463214993047</v>
      </c>
      <c r="M45">
        <v>83509.716769446532</v>
      </c>
      <c r="N45" s="82">
        <v>88</v>
      </c>
      <c r="O45">
        <v>42.007910524729951</v>
      </c>
      <c r="P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5" t="str">
        <f t="shared" ca="1" si="1"/>
        <v>Print</v>
      </c>
      <c r="R45" s="46">
        <f>automotive_demand_forecasting_dataset5678[[#This Row],[Units_Sold]]*automotive_demand_forecasting_dataset5678[[#This Row],[Average_Price]]</f>
        <v>3553856.676529136</v>
      </c>
      <c r="S45" t="str">
        <f t="shared" ca="1" si="2"/>
        <v>OK</v>
      </c>
    </row>
    <row r="46" spans="1:19">
      <c r="A46" s="1">
        <v>43055</v>
      </c>
      <c r="B46" t="s">
        <v>10</v>
      </c>
      <c r="C46" t="str">
        <f>TEXT(automotive_demand_forecasting_dataset5678[[#This Row],[Date]],"mmmm")</f>
        <v>November</v>
      </c>
      <c r="D46" t="str">
        <f>CHOOSE(MATCH(MONTH(A46), {1,4,7,10}), "Winter", "Spring", "Summer", "Autumn")</f>
        <v>Autumn</v>
      </c>
      <c r="E46">
        <f>YEAR(automotive_demand_forecasting_dataset5678[[#This Row],[Date]])</f>
        <v>2017</v>
      </c>
      <c r="F46">
        <v>114</v>
      </c>
      <c r="G46">
        <f>(automotive_demand_forecasting_dataset5678[[#This Row],[Units_Sold]] -$C$4) / $C$5</f>
        <v>1.5057760397917959</v>
      </c>
      <c r="H46" s="47" t="str">
        <f t="shared" ca="1" si="0"/>
        <v>East</v>
      </c>
      <c r="I46">
        <v>36645.76265066216</v>
      </c>
      <c r="J46">
        <v>2.887850881855317</v>
      </c>
      <c r="K46">
        <v>2.7855540748576568</v>
      </c>
      <c r="L46">
        <v>6.3912189020316665</v>
      </c>
      <c r="M46">
        <v>102916.7736</v>
      </c>
      <c r="N46" s="82">
        <v>85</v>
      </c>
      <c r="O46">
        <v>80.215177969999999</v>
      </c>
      <c r="P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6" t="str">
        <f t="shared" ca="1" si="1"/>
        <v>TV</v>
      </c>
      <c r="R46" s="46">
        <f>automotive_demand_forecasting_dataset5678[[#This Row],[Units_Sold]]*automotive_demand_forecasting_dataset5678[[#This Row],[Average_Price]]</f>
        <v>4177616.9421754861</v>
      </c>
      <c r="S46" t="str">
        <f t="shared" ca="1" si="2"/>
        <v>OK</v>
      </c>
    </row>
    <row r="47" spans="1:19">
      <c r="A47" s="1">
        <v>43085</v>
      </c>
      <c r="B47" t="s">
        <v>10</v>
      </c>
      <c r="C47" t="str">
        <f>TEXT(automotive_demand_forecasting_dataset5678[[#This Row],[Date]],"mmmm")</f>
        <v>December</v>
      </c>
      <c r="D47" t="str">
        <f>CHOOSE(MATCH(MONTH(A47), {1,4,7,10}), "Winter", "Spring", "Summer", "Autumn")</f>
        <v>Autumn</v>
      </c>
      <c r="E47">
        <f>YEAR(automotive_demand_forecasting_dataset5678[[#This Row],[Date]])</f>
        <v>2017</v>
      </c>
      <c r="F47">
        <v>86</v>
      </c>
      <c r="G47">
        <f>(automotive_demand_forecasting_dataset5678[[#This Row],[Units_Sold]] -$C$4) / $C$5</f>
        <v>-1.3623687979068624</v>
      </c>
      <c r="H47" s="47" t="str">
        <f t="shared" ca="1" si="0"/>
        <v>South</v>
      </c>
      <c r="I47">
        <v>30982.605848507352</v>
      </c>
      <c r="J47">
        <v>3.3954883713569872</v>
      </c>
      <c r="K47">
        <v>3.0211224283793383</v>
      </c>
      <c r="L47">
        <v>6.0786987432167887</v>
      </c>
      <c r="M47">
        <v>89420.445838719694</v>
      </c>
      <c r="N47" s="82">
        <v>93</v>
      </c>
      <c r="O47">
        <v>47.276957891439082</v>
      </c>
      <c r="P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7" t="str">
        <f t="shared" ca="1" si="1"/>
        <v>TV</v>
      </c>
      <c r="R47" s="46">
        <f>automotive_demand_forecasting_dataset5678[[#This Row],[Units_Sold]]*automotive_demand_forecasting_dataset5678[[#This Row],[Average_Price]]</f>
        <v>2664504.102971632</v>
      </c>
      <c r="S47" t="str">
        <f t="shared" ca="1" si="2"/>
        <v>OK</v>
      </c>
    </row>
    <row r="48" spans="1:19">
      <c r="A48" s="1">
        <v>43115</v>
      </c>
      <c r="B48" t="s">
        <v>14</v>
      </c>
      <c r="C48" t="str">
        <f>TEXT(automotive_demand_forecasting_dataset5678[[#This Row],[Date]],"mmmm")</f>
        <v>January</v>
      </c>
      <c r="D48" t="str">
        <f>CHOOSE(MATCH(MONTH(A48), {1,4,7,10}), "Winter", "Spring", "Summer", "Autumn")</f>
        <v>Winter</v>
      </c>
      <c r="E48">
        <f>YEAR(automotive_demand_forecasting_dataset5678[[#This Row],[Date]])</f>
        <v>2018</v>
      </c>
      <c r="F48">
        <v>100</v>
      </c>
      <c r="G48">
        <f>(automotive_demand_forecasting_dataset5678[[#This Row],[Units_Sold]] -$C$4) / $C$5</f>
        <v>7.1703620942466739E-2</v>
      </c>
      <c r="H48" s="47" t="str">
        <f t="shared" ca="1" si="0"/>
        <v>West</v>
      </c>
      <c r="I48">
        <v>33545.018787942565</v>
      </c>
      <c r="J48">
        <v>3.0747397728953501</v>
      </c>
      <c r="K48">
        <v>3.1452155859500599</v>
      </c>
      <c r="L48">
        <v>4.0148050932072428</v>
      </c>
      <c r="M48">
        <v>78868.847144794941</v>
      </c>
      <c r="N48" s="82">
        <v>85</v>
      </c>
      <c r="O48">
        <v>99.813781061172733</v>
      </c>
      <c r="P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8" t="str">
        <f t="shared" ca="1" si="1"/>
        <v>Radio</v>
      </c>
      <c r="R48" s="46">
        <f>automotive_demand_forecasting_dataset5678[[#This Row],[Units_Sold]]*automotive_demand_forecasting_dataset5678[[#This Row],[Average_Price]]</f>
        <v>3354501.8787942566</v>
      </c>
      <c r="S48" t="str">
        <f t="shared" ca="1" si="2"/>
        <v>OK</v>
      </c>
    </row>
    <row r="49" spans="1:19">
      <c r="A49" s="1">
        <v>43145</v>
      </c>
      <c r="B49" t="s">
        <v>10</v>
      </c>
      <c r="C49" t="str">
        <f>TEXT(automotive_demand_forecasting_dataset5678[[#This Row],[Date]],"mmmm")</f>
        <v>February</v>
      </c>
      <c r="D49" t="str">
        <f>CHOOSE(MATCH(MONTH(A49), {1,4,7,10}), "Winter", "Spring", "Summer", "Autumn")</f>
        <v>Winter</v>
      </c>
      <c r="E49">
        <f>YEAR(automotive_demand_forecasting_dataset5678[[#This Row],[Date]])</f>
        <v>2018</v>
      </c>
      <c r="F49">
        <v>108</v>
      </c>
      <c r="G49">
        <f>(automotive_demand_forecasting_dataset5678[[#This Row],[Units_Sold]] -$C$4) / $C$5</f>
        <v>0.89117357457065483</v>
      </c>
      <c r="H49" s="47" t="str">
        <f t="shared" ca="1" si="0"/>
        <v>South</v>
      </c>
      <c r="I49">
        <v>29551.321528563865</v>
      </c>
      <c r="J49">
        <v>3.2097382750976386</v>
      </c>
      <c r="K49">
        <v>3.0556044660034485</v>
      </c>
      <c r="L49">
        <v>6.5429872772671276</v>
      </c>
      <c r="M49">
        <v>124461.6613419065</v>
      </c>
      <c r="N49" s="82">
        <v>90</v>
      </c>
      <c r="O49">
        <v>41.084118359742227</v>
      </c>
      <c r="P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9" t="str">
        <f t="shared" ca="1" si="1"/>
        <v>Radio</v>
      </c>
      <c r="R49" s="46">
        <f>automotive_demand_forecasting_dataset5678[[#This Row],[Units_Sold]]*automotive_demand_forecasting_dataset5678[[#This Row],[Average_Price]]</f>
        <v>3191542.7250848976</v>
      </c>
      <c r="S49" t="str">
        <f t="shared" ca="1" si="2"/>
        <v>OK</v>
      </c>
    </row>
    <row r="50" spans="1:19">
      <c r="A50" s="1">
        <v>43175</v>
      </c>
      <c r="B50" t="s">
        <v>11</v>
      </c>
      <c r="C50" t="str">
        <f>TEXT(automotive_demand_forecasting_dataset5678[[#This Row],[Date]],"mmmm")</f>
        <v>March</v>
      </c>
      <c r="D50" t="str">
        <f>CHOOSE(MATCH(MONTH(A50), {1,4,7,10}), "Winter", "Spring", "Summer", "Autumn")</f>
        <v>Winter</v>
      </c>
      <c r="E50">
        <f>YEAR(automotive_demand_forecasting_dataset5678[[#This Row],[Date]])</f>
        <v>2018</v>
      </c>
      <c r="F50">
        <v>101</v>
      </c>
      <c r="G50">
        <f>(automotive_demand_forecasting_dataset5678[[#This Row],[Units_Sold]] -$C$4) / $C$5</f>
        <v>0.17413736514599024</v>
      </c>
      <c r="H50" s="47" t="str">
        <f t="shared" ca="1" si="0"/>
        <v>East</v>
      </c>
      <c r="I50">
        <v>37200.586077247368</v>
      </c>
      <c r="J50">
        <v>3.5380713799999999</v>
      </c>
      <c r="K50">
        <v>2.5895806812552489</v>
      </c>
      <c r="L50">
        <v>6.56474900472009</v>
      </c>
      <c r="M50">
        <v>94822.91199260336</v>
      </c>
      <c r="N50" s="82">
        <v>80</v>
      </c>
      <c r="O50">
        <v>42.330437661941573</v>
      </c>
      <c r="P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50" t="str">
        <f t="shared" ca="1" si="1"/>
        <v>Billboards</v>
      </c>
      <c r="R50" s="46">
        <f>automotive_demand_forecasting_dataset5678[[#This Row],[Units_Sold]]*automotive_demand_forecasting_dataset5678[[#This Row],[Average_Price]]</f>
        <v>3757259.1938019842</v>
      </c>
      <c r="S50" t="str">
        <f t="shared" ca="1" si="2"/>
        <v>OK</v>
      </c>
    </row>
    <row r="51" spans="1:19">
      <c r="A51" s="1">
        <v>43205</v>
      </c>
      <c r="B51" t="s">
        <v>11</v>
      </c>
      <c r="C51" t="str">
        <f>TEXT(automotive_demand_forecasting_dataset5678[[#This Row],[Date]],"mmmm")</f>
        <v>April</v>
      </c>
      <c r="D51" t="str">
        <f>CHOOSE(MATCH(MONTH(A51), {1,4,7,10}), "Winter", "Spring", "Summer", "Autumn")</f>
        <v>Spring</v>
      </c>
      <c r="E51">
        <f>YEAR(automotive_demand_forecasting_dataset5678[[#This Row],[Date]])</f>
        <v>2018</v>
      </c>
      <c r="F51">
        <v>94</v>
      </c>
      <c r="G51">
        <f>(automotive_demand_forecasting_dataset5678[[#This Row],[Units_Sold]] -$C$4) / $C$5</f>
        <v>-0.5428988442786743</v>
      </c>
      <c r="H51" s="47" t="str">
        <f t="shared" ca="1" si="0"/>
        <v>East</v>
      </c>
      <c r="I51">
        <v>26618.038489703653</v>
      </c>
      <c r="J51">
        <v>4.3349522521757029</v>
      </c>
      <c r="K51">
        <v>2.3026615796926739</v>
      </c>
      <c r="L51">
        <v>4.5840566749857024</v>
      </c>
      <c r="M51">
        <v>107050.09936713759</v>
      </c>
      <c r="N51" s="82">
        <v>95</v>
      </c>
      <c r="O51">
        <v>94.453780444991864</v>
      </c>
      <c r="P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51" t="str">
        <f t="shared" ca="1" si="1"/>
        <v>Billboards</v>
      </c>
      <c r="R51" s="46">
        <f>automotive_demand_forecasting_dataset5678[[#This Row],[Units_Sold]]*automotive_demand_forecasting_dataset5678[[#This Row],[Average_Price]]</f>
        <v>2502095.6180321435</v>
      </c>
      <c r="S51" t="str">
        <f t="shared" ca="1" si="2"/>
        <v>OK</v>
      </c>
    </row>
    <row r="52" spans="1:19">
      <c r="A52" s="1">
        <v>43235</v>
      </c>
      <c r="B52" t="s">
        <v>13</v>
      </c>
      <c r="C52" t="str">
        <f>TEXT(automotive_demand_forecasting_dataset5678[[#This Row],[Date]],"mmmm")</f>
        <v>May</v>
      </c>
      <c r="D52" t="str">
        <f>CHOOSE(MATCH(MONTH(A52), {1,4,7,10}), "Winter", "Spring", "Summer", "Autumn")</f>
        <v>Spring</v>
      </c>
      <c r="E52">
        <f>YEAR(automotive_demand_forecasting_dataset5678[[#This Row],[Date]])</f>
        <v>2018</v>
      </c>
      <c r="F52">
        <v>116</v>
      </c>
      <c r="G52">
        <f>(automotive_demand_forecasting_dataset5678[[#This Row],[Units_Sold]] -$C$4) / $C$5</f>
        <v>1.7106435281988428</v>
      </c>
      <c r="H52" s="47" t="str">
        <f t="shared" ca="1" si="0"/>
        <v>West</v>
      </c>
      <c r="I52">
        <v>39004.702164554081</v>
      </c>
      <c r="J52">
        <v>3.6973357649114904</v>
      </c>
      <c r="K52">
        <f t="shared" ref="K52" si="5">3.224108373</f>
        <v>3.224108373</v>
      </c>
      <c r="L52">
        <v>5.5455254025371223</v>
      </c>
      <c r="M52">
        <f>128897.2893</f>
        <v>128897.2893</v>
      </c>
      <c r="N52" s="82">
        <v>89</v>
      </c>
      <c r="O52">
        <v>21.971552370905812</v>
      </c>
      <c r="P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52" t="str">
        <f t="shared" ca="1" si="1"/>
        <v>Billboards</v>
      </c>
      <c r="R52" s="46">
        <f>automotive_demand_forecasting_dataset5678[[#This Row],[Units_Sold]]*automotive_demand_forecasting_dataset5678[[#This Row],[Average_Price]]</f>
        <v>4524545.451088273</v>
      </c>
      <c r="S52" t="str">
        <f t="shared" ca="1" si="2"/>
        <v>OK</v>
      </c>
    </row>
    <row r="53" spans="1:19">
      <c r="A53" s="1">
        <v>43265</v>
      </c>
      <c r="B53" t="s">
        <v>11</v>
      </c>
      <c r="C53" t="str">
        <f>TEXT(automotive_demand_forecasting_dataset5678[[#This Row],[Date]],"mmmm")</f>
        <v>June</v>
      </c>
      <c r="D53" t="str">
        <f>CHOOSE(MATCH(MONTH(A53), {1,4,7,10}), "Winter", "Spring", "Summer", "Autumn")</f>
        <v>Spring</v>
      </c>
      <c r="E53">
        <f>YEAR(automotive_demand_forecasting_dataset5678[[#This Row],[Date]])</f>
        <v>2018</v>
      </c>
      <c r="F53">
        <v>97</v>
      </c>
      <c r="G53">
        <f>(automotive_demand_forecasting_dataset5678[[#This Row],[Units_Sold]] -$C$4) / $C$5</f>
        <v>-0.23559761166810378</v>
      </c>
      <c r="H53" s="47" t="str">
        <f t="shared" ca="1" si="0"/>
        <v>West</v>
      </c>
      <c r="I53">
        <v>29799.210246778282</v>
      </c>
      <c r="J53">
        <v>2.9020584689824078</v>
      </c>
      <c r="K53">
        <v>2.3050917196473191</v>
      </c>
      <c r="L53">
        <v>5.616047043</v>
      </c>
      <c r="M53">
        <v>63587.933989029654</v>
      </c>
      <c r="N53" s="82">
        <v>73</v>
      </c>
      <c r="O53">
        <v>75.735119029855753</v>
      </c>
      <c r="P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53" t="str">
        <f t="shared" ca="1" si="1"/>
        <v>Radio</v>
      </c>
      <c r="R53" s="46">
        <f>automotive_demand_forecasting_dataset5678[[#This Row],[Units_Sold]]*automotive_demand_forecasting_dataset5678[[#This Row],[Average_Price]]</f>
        <v>2890523.3939374932</v>
      </c>
      <c r="S53" t="str">
        <f t="shared" ca="1" si="2"/>
        <v>OK</v>
      </c>
    </row>
    <row r="54" spans="1:19">
      <c r="A54" s="1">
        <v>43295</v>
      </c>
      <c r="B54" t="s">
        <v>10</v>
      </c>
      <c r="C54" t="str">
        <f>TEXT(automotive_demand_forecasting_dataset5678[[#This Row],[Date]],"mmmm")</f>
        <v>July</v>
      </c>
      <c r="D54" t="str">
        <f>CHOOSE(MATCH(MONTH(A54), {1,4,7,10}), "Winter", "Spring", "Summer", "Autumn")</f>
        <v>Summer</v>
      </c>
      <c r="E54">
        <f>YEAR(automotive_demand_forecasting_dataset5678[[#This Row],[Date]])</f>
        <v>2018</v>
      </c>
      <c r="F54">
        <v>100</v>
      </c>
      <c r="G54">
        <f>(automotive_demand_forecasting_dataset5678[[#This Row],[Units_Sold]] -$C$4) / $C$5</f>
        <v>7.1703620942466739E-2</v>
      </c>
      <c r="H54" s="47" t="str">
        <f t="shared" ca="1" si="0"/>
        <v>North</v>
      </c>
      <c r="I54">
        <v>22846.124489409758</v>
      </c>
      <c r="J54">
        <v>3.7223013341100701</v>
      </c>
      <c r="K54">
        <v>3.6337700968670648</v>
      </c>
      <c r="L54">
        <v>5.2488234165047665</v>
      </c>
      <c r="M54">
        <v>105401.14716782844</v>
      </c>
      <c r="N54" s="82">
        <v>86</v>
      </c>
      <c r="O54">
        <v>78.026111258870259</v>
      </c>
      <c r="P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54" t="str">
        <f t="shared" ca="1" si="1"/>
        <v>Print</v>
      </c>
      <c r="R54" s="46">
        <f>automotive_demand_forecasting_dataset5678[[#This Row],[Units_Sold]]*automotive_demand_forecasting_dataset5678[[#This Row],[Average_Price]]</f>
        <v>2284612.4489409756</v>
      </c>
      <c r="S54" t="str">
        <f t="shared" ca="1" si="2"/>
        <v>OK</v>
      </c>
    </row>
    <row r="55" spans="1:19">
      <c r="A55" s="1">
        <v>43325</v>
      </c>
      <c r="B55" t="s">
        <v>14</v>
      </c>
      <c r="C55" t="str">
        <f>TEXT(automotive_demand_forecasting_dataset5678[[#This Row],[Date]],"mmmm")</f>
        <v>August</v>
      </c>
      <c r="D55" t="str">
        <f>CHOOSE(MATCH(MONTH(A55), {1,4,7,10}), "Winter", "Spring", "Summer", "Autumn")</f>
        <v>Summer</v>
      </c>
      <c r="E55">
        <f>YEAR(automotive_demand_forecasting_dataset5678[[#This Row],[Date]])</f>
        <v>2018</v>
      </c>
      <c r="F55">
        <v>94</v>
      </c>
      <c r="G55">
        <f>(automotive_demand_forecasting_dataset5678[[#This Row],[Units_Sold]] -$C$4) / $C$5</f>
        <v>-0.5428988442786743</v>
      </c>
      <c r="H55" s="47" t="str">
        <f t="shared" ca="1" si="0"/>
        <v>West</v>
      </c>
      <c r="I55">
        <v>30640.522074553948</v>
      </c>
      <c r="J55">
        <v>4.0983157433228259</v>
      </c>
      <c r="K55">
        <v>3.0935567222808618</v>
      </c>
      <c r="L55">
        <v>6.7875736573192142</v>
      </c>
      <c r="M55">
        <v>61754.900491604465</v>
      </c>
      <c r="N55" s="82">
        <v>82</v>
      </c>
      <c r="O55">
        <v>86.910286192831947</v>
      </c>
      <c r="P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55" t="str">
        <f t="shared" ca="1" si="1"/>
        <v>TV</v>
      </c>
      <c r="R55" s="46">
        <f>automotive_demand_forecasting_dataset5678[[#This Row],[Units_Sold]]*automotive_demand_forecasting_dataset5678[[#This Row],[Average_Price]]</f>
        <v>2880209.075008071</v>
      </c>
      <c r="S55" t="str">
        <f t="shared" ca="1" si="2"/>
        <v>OK</v>
      </c>
    </row>
    <row r="56" spans="1:19">
      <c r="A56" s="1">
        <v>43355</v>
      </c>
      <c r="B56" t="s">
        <v>13</v>
      </c>
      <c r="C56" t="str">
        <f>TEXT(automotive_demand_forecasting_dataset5678[[#This Row],[Date]],"mmmm")</f>
        <v>September</v>
      </c>
      <c r="D56" t="str">
        <f>CHOOSE(MATCH(MONTH(A56), {1,4,7,10}), "Winter", "Spring", "Summer", "Autumn")</f>
        <v>Summer</v>
      </c>
      <c r="E56">
        <f>YEAR(automotive_demand_forecasting_dataset5678[[#This Row],[Date]])</f>
        <v>2018</v>
      </c>
      <c r="F56">
        <v>118</v>
      </c>
      <c r="G56">
        <f>(automotive_demand_forecasting_dataset5678[[#This Row],[Units_Sold]] -$C$4) / $C$5</f>
        <v>1.9155110166058897</v>
      </c>
      <c r="H56" s="47" t="str">
        <f t="shared" ca="1" si="0"/>
        <v>East</v>
      </c>
      <c r="I56">
        <v>26594.741712625597</v>
      </c>
      <c r="J56">
        <v>3.195108547840309</v>
      </c>
      <c r="K56">
        <v>2.6520564320000002</v>
      </c>
      <c r="L56">
        <v>8.3366469935432335</v>
      </c>
      <c r="M56">
        <v>98627.319078290631</v>
      </c>
      <c r="N56" s="82">
        <v>80</v>
      </c>
      <c r="O56">
        <v>97.955144851078032</v>
      </c>
      <c r="P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56" t="str">
        <f t="shared" ca="1" si="1"/>
        <v>TV</v>
      </c>
      <c r="R56" s="46">
        <f>automotive_demand_forecasting_dataset5678[[#This Row],[Units_Sold]]*automotive_demand_forecasting_dataset5678[[#This Row],[Average_Price]]</f>
        <v>3138179.5220898204</v>
      </c>
      <c r="S56" t="str">
        <f t="shared" ca="1" si="2"/>
        <v>OK</v>
      </c>
    </row>
    <row r="57" spans="1:19">
      <c r="A57" s="1">
        <v>43385</v>
      </c>
      <c r="B57" t="s">
        <v>10</v>
      </c>
      <c r="C57" t="str">
        <f>TEXT(automotive_demand_forecasting_dataset5678[[#This Row],[Date]],"mmmm")</f>
        <v>October</v>
      </c>
      <c r="D57" t="str">
        <f>CHOOSE(MATCH(MONTH(A57), {1,4,7,10}), "Winter", "Spring", "Summer", "Autumn")</f>
        <v>Autumn</v>
      </c>
      <c r="E57">
        <f>YEAR(automotive_demand_forecasting_dataset5678[[#This Row],[Date]])</f>
        <v>2018</v>
      </c>
      <c r="F57">
        <v>104</v>
      </c>
      <c r="G57">
        <f>(automotive_demand_forecasting_dataset5678[[#This Row],[Units_Sold]] -$C$4) / $C$5</f>
        <v>0.48143859775656078</v>
      </c>
      <c r="H57" s="47" t="str">
        <f t="shared" ca="1" si="0"/>
        <v>West</v>
      </c>
      <c r="I57">
        <v>34203.21774494362</v>
      </c>
      <c r="J57">
        <v>3.4329914166635414</v>
      </c>
      <c r="K57">
        <v>3.1559007765297609</v>
      </c>
      <c r="L57">
        <v>4.5568167608380215</v>
      </c>
      <c r="M57">
        <v>72633.699223343792</v>
      </c>
      <c r="N57" s="82">
        <v>85</v>
      </c>
      <c r="O57">
        <v>98.048153532532197</v>
      </c>
      <c r="P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57" t="str">
        <f t="shared" ca="1" si="1"/>
        <v>Radio</v>
      </c>
      <c r="R57" s="46">
        <f>automotive_demand_forecasting_dataset5678[[#This Row],[Units_Sold]]*automotive_demand_forecasting_dataset5678[[#This Row],[Average_Price]]</f>
        <v>3557134.6454741363</v>
      </c>
      <c r="S57" t="str">
        <f t="shared" ca="1" si="2"/>
        <v>OK</v>
      </c>
    </row>
    <row r="58" spans="1:19">
      <c r="A58" s="1">
        <v>43415</v>
      </c>
      <c r="B58" t="s">
        <v>14</v>
      </c>
      <c r="C58" t="str">
        <f>TEXT(automotive_demand_forecasting_dataset5678[[#This Row],[Date]],"mmmm")</f>
        <v>November</v>
      </c>
      <c r="D58" t="str">
        <f>CHOOSE(MATCH(MONTH(A58), {1,4,7,10}), "Winter", "Spring", "Summer", "Autumn")</f>
        <v>Autumn</v>
      </c>
      <c r="E58">
        <f>YEAR(automotive_demand_forecasting_dataset5678[[#This Row],[Date]])</f>
        <v>2018</v>
      </c>
      <c r="F58">
        <v>100</v>
      </c>
      <c r="G58">
        <f>(automotive_demand_forecasting_dataset5678[[#This Row],[Units_Sold]] -$C$4) / $C$5</f>
        <v>7.1703620942466739E-2</v>
      </c>
      <c r="H58" s="47" t="str">
        <f t="shared" ca="1" si="0"/>
        <v>West</v>
      </c>
      <c r="I58">
        <v>26736.880103488045</v>
      </c>
      <c r="J58">
        <v>3.5073440973645984</v>
      </c>
      <c r="K58">
        <v>2.6947361947187747</v>
      </c>
      <c r="L58">
        <v>3.8427464762154702</v>
      </c>
      <c r="M58">
        <v>139745.51998461617</v>
      </c>
      <c r="N58" s="82">
        <v>88</v>
      </c>
      <c r="O58">
        <v>25.222140605317112</v>
      </c>
      <c r="P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58" t="str">
        <f t="shared" ca="1" si="1"/>
        <v>Online</v>
      </c>
      <c r="R58" s="46">
        <f>automotive_demand_forecasting_dataset5678[[#This Row],[Units_Sold]]*automotive_demand_forecasting_dataset5678[[#This Row],[Average_Price]]</f>
        <v>2673688.0103488043</v>
      </c>
      <c r="S58" t="str">
        <f t="shared" ca="1" si="2"/>
        <v>OK</v>
      </c>
    </row>
    <row r="59" spans="1:19">
      <c r="A59" s="1">
        <v>43445</v>
      </c>
      <c r="B59" t="s">
        <v>10</v>
      </c>
      <c r="C59" t="str">
        <f>TEXT(automotive_demand_forecasting_dataset5678[[#This Row],[Date]],"mmmm")</f>
        <v>December</v>
      </c>
      <c r="D59" t="str">
        <f>CHOOSE(MATCH(MONTH(A59), {1,4,7,10}), "Winter", "Spring", "Summer", "Autumn")</f>
        <v>Autumn</v>
      </c>
      <c r="E59">
        <f>YEAR(automotive_demand_forecasting_dataset5678[[#This Row],[Date]])</f>
        <v>2018</v>
      </c>
      <c r="F59">
        <v>115</v>
      </c>
      <c r="G59">
        <f>(automotive_demand_forecasting_dataset5678[[#This Row],[Units_Sold]] -$C$4) / $C$5</f>
        <v>1.6082097839953193</v>
      </c>
      <c r="H59" s="47" t="str">
        <f t="shared" ca="1" si="0"/>
        <v>North</v>
      </c>
      <c r="I59">
        <v>27769.082833926102</v>
      </c>
      <c r="J59">
        <v>3.1075508434588799</v>
      </c>
      <c r="K59">
        <v>2.4812912435541028</v>
      </c>
      <c r="L59">
        <v>5.8645823147258511</v>
      </c>
      <c r="M59">
        <v>118227.25444349443</v>
      </c>
      <c r="N59" s="82">
        <v>100</v>
      </c>
      <c r="O59">
        <v>85.747145820232205</v>
      </c>
      <c r="P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59" t="str">
        <f t="shared" ca="1" si="1"/>
        <v>TV</v>
      </c>
      <c r="R59" s="46">
        <f>automotive_demand_forecasting_dataset5678[[#This Row],[Units_Sold]]*automotive_demand_forecasting_dataset5678[[#This Row],[Average_Price]]</f>
        <v>3193444.525901502</v>
      </c>
      <c r="S59" t="str">
        <f t="shared" ca="1" si="2"/>
        <v>OK</v>
      </c>
    </row>
    <row r="60" spans="1:19">
      <c r="A60" s="1">
        <v>43475</v>
      </c>
      <c r="B60" t="s">
        <v>13</v>
      </c>
      <c r="C60" t="str">
        <f>TEXT(automotive_demand_forecasting_dataset5678[[#This Row],[Date]],"mmmm")</f>
        <v>January</v>
      </c>
      <c r="D60" t="str">
        <f>CHOOSE(MATCH(MONTH(A60), {1,4,7,10}), "Winter", "Spring", "Summer", "Autumn")</f>
        <v>Winter</v>
      </c>
      <c r="E60">
        <f>YEAR(automotive_demand_forecasting_dataset5678[[#This Row],[Date]])</f>
        <v>2019</v>
      </c>
      <c r="F60">
        <v>94</v>
      </c>
      <c r="G60">
        <f>(automotive_demand_forecasting_dataset5678[[#This Row],[Units_Sold]] -$C$4) / $C$5</f>
        <v>-0.5428988442786743</v>
      </c>
      <c r="H60" s="47" t="str">
        <f t="shared" ca="1" si="0"/>
        <v>North</v>
      </c>
      <c r="I60">
        <v>20552.296345272345</v>
      </c>
      <c r="J60">
        <v>3.8241402169219296</v>
      </c>
      <c r="K60">
        <v>2.1114815469111141</v>
      </c>
      <c r="L60">
        <v>6.3658750061513718</v>
      </c>
      <c r="M60">
        <v>102115.07582542961</v>
      </c>
      <c r="N60" s="82">
        <v>102</v>
      </c>
      <c r="O60">
        <v>71.704794692590497</v>
      </c>
      <c r="P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60" t="str">
        <f t="shared" ca="1" si="1"/>
        <v>Print</v>
      </c>
      <c r="R60" s="46">
        <f>automotive_demand_forecasting_dataset5678[[#This Row],[Units_Sold]]*automotive_demand_forecasting_dataset5678[[#This Row],[Average_Price]]</f>
        <v>1931915.8564556004</v>
      </c>
      <c r="S60" t="str">
        <f t="shared" ca="1" si="2"/>
        <v>OK</v>
      </c>
    </row>
    <row r="61" spans="1:19">
      <c r="A61" s="1">
        <v>43505</v>
      </c>
      <c r="B61" t="s">
        <v>11</v>
      </c>
      <c r="C61" t="str">
        <f>TEXT(automotive_demand_forecasting_dataset5678[[#This Row],[Date]],"mmmm")</f>
        <v>February</v>
      </c>
      <c r="D61" t="str">
        <f>CHOOSE(MATCH(MONTH(A61), {1,4,7,10}), "Winter", "Spring", "Summer", "Autumn")</f>
        <v>Winter</v>
      </c>
      <c r="E61">
        <f>YEAR(automotive_demand_forecasting_dataset5678[[#This Row],[Date]])</f>
        <v>2019</v>
      </c>
      <c r="F61">
        <v>91</v>
      </c>
      <c r="G61">
        <f>(automotive_demand_forecasting_dataset5678[[#This Row],[Units_Sold]] -$C$4) / $C$5</f>
        <v>-0.85020007688924482</v>
      </c>
      <c r="H61" s="47" t="str">
        <f t="shared" ca="1" si="0"/>
        <v>North</v>
      </c>
      <c r="I61">
        <v>27738.468403754618</v>
      </c>
      <c r="J61">
        <v>3.4395259256961093</v>
      </c>
      <c r="K61">
        <v>3.6241127199860133</v>
      </c>
      <c r="L61">
        <v>5.222960351386277</v>
      </c>
      <c r="M61">
        <v>125274.13355309337</v>
      </c>
      <c r="N61" s="82">
        <v>95</v>
      </c>
      <c r="O61">
        <v>71.787370749847298</v>
      </c>
      <c r="P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61" t="str">
        <f t="shared" ca="1" si="1"/>
        <v>Billboards</v>
      </c>
      <c r="R61" s="46">
        <f>automotive_demand_forecasting_dataset5678[[#This Row],[Units_Sold]]*automotive_demand_forecasting_dataset5678[[#This Row],[Average_Price]]</f>
        <v>2524200.6247416702</v>
      </c>
      <c r="S61" t="str">
        <f t="shared" ca="1" si="2"/>
        <v>OK</v>
      </c>
    </row>
    <row r="62" spans="1:19">
      <c r="A62" s="1">
        <v>43535</v>
      </c>
      <c r="B62" t="s">
        <v>13</v>
      </c>
      <c r="C62" t="str">
        <f>TEXT(automotive_demand_forecasting_dataset5678[[#This Row],[Date]],"mmmm")</f>
        <v>March</v>
      </c>
      <c r="D62" t="str">
        <f>CHOOSE(MATCH(MONTH(A62), {1,4,7,10}), "Winter", "Spring", "Summer", "Autumn")</f>
        <v>Winter</v>
      </c>
      <c r="E62">
        <f>YEAR(automotive_demand_forecasting_dataset5678[[#This Row],[Date]])</f>
        <v>2019</v>
      </c>
      <c r="F62">
        <v>110</v>
      </c>
      <c r="G62">
        <f>(automotive_demand_forecasting_dataset5678[[#This Row],[Units_Sold]] -$C$4) / $C$5</f>
        <v>1.0960410629777018</v>
      </c>
      <c r="H62" s="47" t="str">
        <f t="shared" ca="1" si="0"/>
        <v>North</v>
      </c>
      <c r="I62">
        <v>17880.603366855219</v>
      </c>
      <c r="J62">
        <v>3.7097662219535139</v>
      </c>
      <c r="K62">
        <v>3.4475264621228581</v>
      </c>
      <c r="L62">
        <v>7.2439127959852412</v>
      </c>
      <c r="M62">
        <v>83073.680450685279</v>
      </c>
      <c r="N62" s="82">
        <v>88</v>
      </c>
      <c r="O62">
        <v>30.267994129175584</v>
      </c>
      <c r="P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62" t="str">
        <f t="shared" ca="1" si="1"/>
        <v>Print</v>
      </c>
      <c r="R62" s="46">
        <f>automotive_demand_forecasting_dataset5678[[#This Row],[Units_Sold]]*automotive_demand_forecasting_dataset5678[[#This Row],[Average_Price]]</f>
        <v>1966866.3703540741</v>
      </c>
      <c r="S62" t="str">
        <f t="shared" ca="1" si="2"/>
        <v>OK</v>
      </c>
    </row>
    <row r="63" spans="1:19">
      <c r="A63" s="1">
        <v>43565</v>
      </c>
      <c r="B63" t="s">
        <v>11</v>
      </c>
      <c r="C63" t="str">
        <f>TEXT(automotive_demand_forecasting_dataset5678[[#This Row],[Date]],"mmmm")</f>
        <v>April</v>
      </c>
      <c r="D63" t="str">
        <f>CHOOSE(MATCH(MONTH(A63), {1,4,7,10}), "Winter", "Spring", "Summer", "Autumn")</f>
        <v>Spring</v>
      </c>
      <c r="E63">
        <f>YEAR(automotive_demand_forecasting_dataset5678[[#This Row],[Date]])</f>
        <v>2019</v>
      </c>
      <c r="F63">
        <v>98</v>
      </c>
      <c r="G63">
        <f>(automotive_demand_forecasting_dataset5678[[#This Row],[Units_Sold]] -$C$4) / $C$5</f>
        <v>-0.13316386746458025</v>
      </c>
      <c r="H63" s="47" t="str">
        <f t="shared" ca="1" si="0"/>
        <v>East</v>
      </c>
      <c r="I63">
        <v>22080.485882571382</v>
      </c>
      <c r="J63">
        <v>3.0562539110989499</v>
      </c>
      <c r="K63">
        <v>1.7271223321763909</v>
      </c>
      <c r="L63">
        <v>3.8936730403321018</v>
      </c>
      <c r="M63">
        <v>110869.58757340186</v>
      </c>
      <c r="N63" s="82">
        <v>87</v>
      </c>
      <c r="O63">
        <v>80.215177969999999</v>
      </c>
      <c r="P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63" t="str">
        <f t="shared" ca="1" si="1"/>
        <v>Online</v>
      </c>
      <c r="R63" s="46">
        <f>automotive_demand_forecasting_dataset5678[[#This Row],[Units_Sold]]*automotive_demand_forecasting_dataset5678[[#This Row],[Average_Price]]</f>
        <v>2163887.6164919953</v>
      </c>
      <c r="S63" t="str">
        <f t="shared" ca="1" si="2"/>
        <v>OK</v>
      </c>
    </row>
    <row r="64" spans="1:19">
      <c r="A64" s="1">
        <v>43595</v>
      </c>
      <c r="B64" t="s">
        <v>13</v>
      </c>
      <c r="C64" t="str">
        <f>TEXT(automotive_demand_forecasting_dataset5678[[#This Row],[Date]],"mmmm")</f>
        <v>May</v>
      </c>
      <c r="D64" t="str">
        <f>CHOOSE(MATCH(MONTH(A64), {1,4,7,10}), "Winter", "Spring", "Summer", "Autumn")</f>
        <v>Spring</v>
      </c>
      <c r="E64">
        <f>YEAR(automotive_demand_forecasting_dataset5678[[#This Row],[Date]])</f>
        <v>2019</v>
      </c>
      <c r="F64">
        <v>86</v>
      </c>
      <c r="G64">
        <f>(automotive_demand_forecasting_dataset5678[[#This Row],[Units_Sold]] -$C$4) / $C$5</f>
        <v>-1.3623687979068624</v>
      </c>
      <c r="H64" s="47" t="str">
        <f t="shared" ca="1" si="0"/>
        <v>East</v>
      </c>
      <c r="I64">
        <v>33802.073280721488</v>
      </c>
      <c r="J64">
        <v>3.281270849838295</v>
      </c>
      <c r="K64">
        <v>2.907052287124535</v>
      </c>
      <c r="L64">
        <v>6.3315023476379331</v>
      </c>
      <c r="M64">
        <v>103996.20867437427</v>
      </c>
      <c r="N64" s="82">
        <v>95</v>
      </c>
      <c r="O64">
        <v>98.598606448099829</v>
      </c>
      <c r="P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64" t="str">
        <f t="shared" ca="1" si="1"/>
        <v>Radio</v>
      </c>
      <c r="R64" s="46">
        <f>automotive_demand_forecasting_dataset5678[[#This Row],[Units_Sold]]*automotive_demand_forecasting_dataset5678[[#This Row],[Average_Price]]</f>
        <v>2906978.3021420478</v>
      </c>
      <c r="S64" t="str">
        <f t="shared" ca="1" si="2"/>
        <v>OK</v>
      </c>
    </row>
    <row r="65" spans="1:19">
      <c r="A65" s="1">
        <v>43625</v>
      </c>
      <c r="B65" t="s">
        <v>12</v>
      </c>
      <c r="C65" t="str">
        <f>TEXT(automotive_demand_forecasting_dataset5678[[#This Row],[Date]],"mmmm")</f>
        <v>June</v>
      </c>
      <c r="D65" t="str">
        <f>CHOOSE(MATCH(MONTH(A65), {1,4,7,10}), "Winter", "Spring", "Summer", "Autumn")</f>
        <v>Spring</v>
      </c>
      <c r="E65">
        <f>YEAR(automotive_demand_forecasting_dataset5678[[#This Row],[Date]])</f>
        <v>2019</v>
      </c>
      <c r="F65">
        <v>121</v>
      </c>
      <c r="G65">
        <f>(automotive_demand_forecasting_dataset5678[[#This Row],[Units_Sold]] -$C$4) / $C$5</f>
        <v>2.2228122492164601</v>
      </c>
      <c r="H65" s="47" t="str">
        <f t="shared" ca="1" si="0"/>
        <v>East</v>
      </c>
      <c r="I65">
        <v>38106.295579999998</v>
      </c>
      <c r="J65">
        <v>3.8611906789138857</v>
      </c>
      <c r="K65">
        <v>1.5283432654587141</v>
      </c>
      <c r="L65">
        <v>4.7729670150893284</v>
      </c>
      <c r="M65">
        <v>105280.4016266734</v>
      </c>
      <c r="N65" s="82">
        <v>78</v>
      </c>
      <c r="O65">
        <v>65.454227669999995</v>
      </c>
      <c r="P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65" t="str">
        <f t="shared" ca="1" si="1"/>
        <v>Radio</v>
      </c>
      <c r="R65" s="46">
        <f>automotive_demand_forecasting_dataset5678[[#This Row],[Units_Sold]]*automotive_demand_forecasting_dataset5678[[#This Row],[Average_Price]]</f>
        <v>4610861.7651800001</v>
      </c>
      <c r="S65" t="str">
        <f t="shared" ca="1" si="2"/>
        <v>OK</v>
      </c>
    </row>
    <row r="66" spans="1:19">
      <c r="A66" s="1">
        <v>43655</v>
      </c>
      <c r="B66" t="s">
        <v>10</v>
      </c>
      <c r="C66" t="str">
        <f>TEXT(automotive_demand_forecasting_dataset5678[[#This Row],[Date]],"mmmm")</f>
        <v>July</v>
      </c>
      <c r="D66" t="str">
        <f>CHOOSE(MATCH(MONTH(A66), {1,4,7,10}), "Winter", "Spring", "Summer", "Autumn")</f>
        <v>Summer</v>
      </c>
      <c r="E66">
        <f>YEAR(automotive_demand_forecasting_dataset5678[[#This Row],[Date]])</f>
        <v>2019</v>
      </c>
      <c r="F66">
        <v>100</v>
      </c>
      <c r="G66">
        <f>(automotive_demand_forecasting_dataset5678[[#This Row],[Units_Sold]] -$C$4) / $C$5</f>
        <v>7.1703620942466739E-2</v>
      </c>
      <c r="H66" s="47" t="str">
        <f t="shared" ca="1" si="0"/>
        <v>North</v>
      </c>
      <c r="I66">
        <v>32127.287808924822</v>
      </c>
      <c r="J66">
        <v>3.3135834239541166</v>
      </c>
      <c r="K66">
        <v>1.1203818352110695</v>
      </c>
      <c r="L66">
        <v>7.5632534874487565</v>
      </c>
      <c r="M66">
        <v>125447.07000213536</v>
      </c>
      <c r="N66" s="82">
        <v>90</v>
      </c>
      <c r="O66">
        <v>55.13045286438804</v>
      </c>
      <c r="P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66" t="str">
        <f t="shared" ca="1" si="1"/>
        <v>Billboards</v>
      </c>
      <c r="R66" s="46">
        <f>automotive_demand_forecasting_dataset5678[[#This Row],[Units_Sold]]*automotive_demand_forecasting_dataset5678[[#This Row],[Average_Price]]</f>
        <v>3212728.780892482</v>
      </c>
      <c r="S66" t="str">
        <f t="shared" ca="1" si="2"/>
        <v>OK</v>
      </c>
    </row>
    <row r="67" spans="1:19">
      <c r="A67" s="1">
        <v>43685</v>
      </c>
      <c r="B67" t="s">
        <v>10</v>
      </c>
      <c r="C67" t="str">
        <f>TEXT(automotive_demand_forecasting_dataset5678[[#This Row],[Date]],"mmmm")</f>
        <v>August</v>
      </c>
      <c r="D67" t="str">
        <f>CHOOSE(MATCH(MONTH(A67), {1,4,7,10}), "Winter", "Spring", "Summer", "Autumn")</f>
        <v>Summer</v>
      </c>
      <c r="E67">
        <f>YEAR(automotive_demand_forecasting_dataset5678[[#This Row],[Date]])</f>
        <v>2019</v>
      </c>
      <c r="F67">
        <v>96</v>
      </c>
      <c r="G67">
        <f>(automotive_demand_forecasting_dataset5678[[#This Row],[Units_Sold]] -$C$4) / $C$5</f>
        <v>-0.33803135587162725</v>
      </c>
      <c r="H67" s="47" t="str">
        <f t="shared" ca="1" si="0"/>
        <v>West</v>
      </c>
      <c r="I67">
        <v>25165.119284353936</v>
      </c>
      <c r="J67">
        <v>4.3634819256167026</v>
      </c>
      <c r="K67">
        <v>1.873282775410035</v>
      </c>
      <c r="L67">
        <v>7.891018423801742</v>
      </c>
      <c r="M67">
        <v>114649.84205559605</v>
      </c>
      <c r="N67" s="82">
        <v>95</v>
      </c>
      <c r="O67">
        <v>23.195837862887547</v>
      </c>
      <c r="P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67" t="str">
        <f t="shared" ca="1" si="1"/>
        <v>Print</v>
      </c>
      <c r="R67" s="46">
        <f>automotive_demand_forecasting_dataset5678[[#This Row],[Units_Sold]]*automotive_demand_forecasting_dataset5678[[#This Row],[Average_Price]]</f>
        <v>2415851.4512979779</v>
      </c>
      <c r="S67" t="str">
        <f t="shared" ca="1" si="2"/>
        <v>OK</v>
      </c>
    </row>
    <row r="68" spans="1:19">
      <c r="A68" s="1">
        <v>43715</v>
      </c>
      <c r="B68" t="s">
        <v>12</v>
      </c>
      <c r="C68" t="str">
        <f>TEXT(automotive_demand_forecasting_dataset5678[[#This Row],[Date]],"mmmm")</f>
        <v>September</v>
      </c>
      <c r="D68" t="str">
        <f>CHOOSE(MATCH(MONTH(A68), {1,4,7,10}), "Winter", "Spring", "Summer", "Autumn")</f>
        <v>Summer</v>
      </c>
      <c r="E68">
        <f>YEAR(automotive_demand_forecasting_dataset5678[[#This Row],[Date]])</f>
        <v>2019</v>
      </c>
      <c r="F68">
        <v>100</v>
      </c>
      <c r="G68">
        <f>(automotive_demand_forecasting_dataset5678[[#This Row],[Units_Sold]] -$C$4) / $C$5</f>
        <v>7.1703620942466739E-2</v>
      </c>
      <c r="H68" s="47" t="str">
        <f t="shared" ca="1" si="0"/>
        <v>West</v>
      </c>
      <c r="I68">
        <v>29761.4432192901</v>
      </c>
      <c r="J68">
        <v>3.300181907192699</v>
      </c>
      <c r="K68">
        <v>3.3623934723827587</v>
      </c>
      <c r="L68">
        <v>4.5800120946599829</v>
      </c>
      <c r="M68">
        <v>105774.47325650047</v>
      </c>
      <c r="N68" s="82">
        <v>88</v>
      </c>
      <c r="O68">
        <v>48.98347920001639</v>
      </c>
      <c r="P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68" t="str">
        <f t="shared" ca="1" si="1"/>
        <v>Radio</v>
      </c>
      <c r="R68" s="46">
        <f>automotive_demand_forecasting_dataset5678[[#This Row],[Units_Sold]]*automotive_demand_forecasting_dataset5678[[#This Row],[Average_Price]]</f>
        <v>2976144.3219290101</v>
      </c>
      <c r="S68" t="str">
        <f t="shared" ca="1" si="2"/>
        <v>OK</v>
      </c>
    </row>
    <row r="69" spans="1:19">
      <c r="A69" s="1">
        <v>43745</v>
      </c>
      <c r="B69" t="s">
        <v>11</v>
      </c>
      <c r="C69" t="str">
        <f>TEXT(automotive_demand_forecasting_dataset5678[[#This Row],[Date]],"mmmm")</f>
        <v>October</v>
      </c>
      <c r="D69" t="str">
        <f>CHOOSE(MATCH(MONTH(A69), {1,4,7,10}), "Winter", "Spring", "Summer", "Autumn")</f>
        <v>Autumn</v>
      </c>
      <c r="E69">
        <f>YEAR(automotive_demand_forecasting_dataset5678[[#This Row],[Date]])</f>
        <v>2019</v>
      </c>
      <c r="F69">
        <v>100</v>
      </c>
      <c r="G69">
        <f>(automotive_demand_forecasting_dataset5678[[#This Row],[Units_Sold]] -$C$4) / $C$5</f>
        <v>7.1703620942466739E-2</v>
      </c>
      <c r="H69" s="47" t="str">
        <f t="shared" ca="1" si="0"/>
        <v>West</v>
      </c>
      <c r="I69">
        <v>29981.987304547158</v>
      </c>
      <c r="J69">
        <v>3.612342362875943</v>
      </c>
      <c r="K69">
        <v>3.4531250453760869</v>
      </c>
      <c r="L69">
        <v>4.8405314369097034</v>
      </c>
      <c r="M69">
        <v>66902.251275434071</v>
      </c>
      <c r="N69" s="82">
        <f>111.9136842</f>
        <v>111.91368420000001</v>
      </c>
      <c r="O69">
        <v>86.111224928044422</v>
      </c>
      <c r="P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69" t="str">
        <f t="shared" ca="1" si="1"/>
        <v>Print</v>
      </c>
      <c r="R69" s="46">
        <f>automotive_demand_forecasting_dataset5678[[#This Row],[Units_Sold]]*automotive_demand_forecasting_dataset5678[[#This Row],[Average_Price]]</f>
        <v>2998198.7304547159</v>
      </c>
      <c r="S69" t="str">
        <f t="shared" ca="1" si="2"/>
        <v>OK</v>
      </c>
    </row>
    <row r="70" spans="1:19">
      <c r="A70" s="1">
        <v>43775</v>
      </c>
      <c r="B70" t="s">
        <v>10</v>
      </c>
      <c r="C70" t="str">
        <f>TEXT(automotive_demand_forecasting_dataset5678[[#This Row],[Date]],"mmmm")</f>
        <v>November</v>
      </c>
      <c r="D70" t="str">
        <f>CHOOSE(MATCH(MONTH(A70), {1,4,7,10}), "Winter", "Spring", "Summer", "Autumn")</f>
        <v>Autumn</v>
      </c>
      <c r="E70">
        <f>YEAR(automotive_demand_forecasting_dataset5678[[#This Row],[Date]])</f>
        <v>2019</v>
      </c>
      <c r="F70">
        <v>93</v>
      </c>
      <c r="G70">
        <f>(automotive_demand_forecasting_dataset5678[[#This Row],[Units_Sold]] -$C$4) / $C$5</f>
        <v>-0.64533258848219777</v>
      </c>
      <c r="H70" s="47" t="str">
        <f t="shared" ca="1" si="0"/>
        <v>North</v>
      </c>
      <c r="I70">
        <v>24208.176554037287</v>
      </c>
      <c r="J70">
        <v>3.9662954159365449</v>
      </c>
      <c r="K70">
        <v>3.0130854200972932</v>
      </c>
      <c r="L70">
        <v>6.531505464375762</v>
      </c>
      <c r="M70">
        <v>80799.074094410724</v>
      </c>
      <c r="N70" s="82">
        <v>79</v>
      </c>
      <c r="O70">
        <v>76.119928117213277</v>
      </c>
      <c r="P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70" t="str">
        <f t="shared" ca="1" si="1"/>
        <v>Billboards</v>
      </c>
      <c r="R70" s="46">
        <f>automotive_demand_forecasting_dataset5678[[#This Row],[Units_Sold]]*automotive_demand_forecasting_dataset5678[[#This Row],[Average_Price]]</f>
        <v>2251360.4195254678</v>
      </c>
      <c r="S70" t="str">
        <f t="shared" ca="1" si="2"/>
        <v>OK</v>
      </c>
    </row>
    <row r="71" spans="1:19">
      <c r="A71" s="1">
        <v>43805</v>
      </c>
      <c r="B71" t="s">
        <v>12</v>
      </c>
      <c r="C71" t="str">
        <f>TEXT(automotive_demand_forecasting_dataset5678[[#This Row],[Date]],"mmmm")</f>
        <v>December</v>
      </c>
      <c r="D71" t="str">
        <f>CHOOSE(MATCH(MONTH(A71), {1,4,7,10}), "Winter", "Spring", "Summer", "Autumn")</f>
        <v>Autumn</v>
      </c>
      <c r="E71">
        <f>YEAR(automotive_demand_forecasting_dataset5678[[#This Row],[Date]])</f>
        <v>2019</v>
      </c>
      <c r="F71">
        <v>103</v>
      </c>
      <c r="G71">
        <f>(automotive_demand_forecasting_dataset5678[[#This Row],[Units_Sold]] -$C$4) / $C$5</f>
        <v>0.37900485355303726</v>
      </c>
      <c r="H71" s="47" t="str">
        <f t="shared" ca="1" si="0"/>
        <v>East</v>
      </c>
      <c r="I71">
        <v>37516.991508835752</v>
      </c>
      <c r="J71">
        <v>2.7908171335334844</v>
      </c>
      <c r="K71">
        <v>3.225095786847997</v>
      </c>
      <c r="L71">
        <v>5.0354432202525823</v>
      </c>
      <c r="M71">
        <v>97545.821328085513</v>
      </c>
      <c r="N71" s="82">
        <v>91</v>
      </c>
      <c r="O71">
        <v>56.747492447516514</v>
      </c>
      <c r="P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71" t="str">
        <f t="shared" ca="1" si="1"/>
        <v>Print</v>
      </c>
      <c r="R71" s="46">
        <f>automotive_demand_forecasting_dataset5678[[#This Row],[Units_Sold]]*automotive_demand_forecasting_dataset5678[[#This Row],[Average_Price]]</f>
        <v>3864250.1254100823</v>
      </c>
      <c r="S71" t="str">
        <f t="shared" ca="1" si="2"/>
        <v>OK</v>
      </c>
    </row>
    <row r="72" spans="1:19">
      <c r="A72" s="1">
        <v>43835</v>
      </c>
      <c r="B72" t="s">
        <v>10</v>
      </c>
      <c r="C72" t="str">
        <f>TEXT(automotive_demand_forecasting_dataset5678[[#This Row],[Date]],"mmmm")</f>
        <v>January</v>
      </c>
      <c r="D72" t="str">
        <f>CHOOSE(MATCH(MONTH(A72), {1,4,7,10}), "Winter", "Spring", "Summer", "Autumn")</f>
        <v>Winter</v>
      </c>
      <c r="E72">
        <f>YEAR(automotive_demand_forecasting_dataset5678[[#This Row],[Date]])</f>
        <v>2020</v>
      </c>
      <c r="F72">
        <v>78</v>
      </c>
      <c r="G72">
        <f>(automotive_demand_forecasting_dataset5678[[#This Row],[Units_Sold]] -$C$4) / $C$5</f>
        <v>-2.1818387515350506</v>
      </c>
      <c r="H72" s="47" t="str">
        <f t="shared" ca="1" si="0"/>
        <v>South</v>
      </c>
      <c r="I72">
        <v>34386.811452878355</v>
      </c>
      <c r="J72">
        <v>2.6195955940096121</v>
      </c>
      <c r="K72">
        <v>3.0161782871149585</v>
      </c>
      <c r="L72">
        <v>5.4455065384813137</v>
      </c>
      <c r="M72">
        <v>101867.44748553302</v>
      </c>
      <c r="N72" s="82">
        <v>81</v>
      </c>
      <c r="O72">
        <v>80.215177969999999</v>
      </c>
      <c r="P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72" t="str">
        <f t="shared" ca="1" si="1"/>
        <v>Online</v>
      </c>
      <c r="R72" s="46">
        <f>automotive_demand_forecasting_dataset5678[[#This Row],[Units_Sold]]*automotive_demand_forecasting_dataset5678[[#This Row],[Average_Price]]</f>
        <v>2682171.2933245115</v>
      </c>
      <c r="S72" t="str">
        <f t="shared" ca="1" si="2"/>
        <v>OK</v>
      </c>
    </row>
    <row r="73" spans="1:19">
      <c r="A73" s="1">
        <v>43865</v>
      </c>
      <c r="B73" t="s">
        <v>14</v>
      </c>
      <c r="C73" t="str">
        <f>TEXT(automotive_demand_forecasting_dataset5678[[#This Row],[Date]],"mmmm")</f>
        <v>February</v>
      </c>
      <c r="D73" t="str">
        <f>CHOOSE(MATCH(MONTH(A73), {1,4,7,10}), "Winter", "Spring", "Summer", "Autumn")</f>
        <v>Winter</v>
      </c>
      <c r="E73">
        <f>YEAR(automotive_demand_forecasting_dataset5678[[#This Row],[Date]])</f>
        <v>2020</v>
      </c>
      <c r="F73">
        <v>116</v>
      </c>
      <c r="G73">
        <f>(automotive_demand_forecasting_dataset5678[[#This Row],[Units_Sold]] -$C$4) / $C$5</f>
        <v>1.7106435281988428</v>
      </c>
      <c r="H73" s="47" t="str">
        <f t="shared" ca="1" si="0"/>
        <v>South</v>
      </c>
      <c r="I73">
        <v>30949.702720000001</v>
      </c>
      <c r="J73">
        <v>2.7371718427149525</v>
      </c>
      <c r="K73">
        <v>1.8585184047770478</v>
      </c>
      <c r="L73">
        <v>5.5304661046508921</v>
      </c>
      <c r="M73">
        <v>77395.925506521526</v>
      </c>
      <c r="N73" s="82">
        <v>98</v>
      </c>
      <c r="O73">
        <v>54.151578225864213</v>
      </c>
      <c r="P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73" t="str">
        <f t="shared" ca="1" si="1"/>
        <v>TV</v>
      </c>
      <c r="R73" s="46">
        <f>automotive_demand_forecasting_dataset5678[[#This Row],[Units_Sold]]*automotive_demand_forecasting_dataset5678[[#This Row],[Average_Price]]</f>
        <v>3590165.5155199999</v>
      </c>
      <c r="S73" t="str">
        <f t="shared" ca="1" si="2"/>
        <v>OK</v>
      </c>
    </row>
    <row r="74" spans="1:19">
      <c r="A74" s="1">
        <v>43895</v>
      </c>
      <c r="B74" t="s">
        <v>11</v>
      </c>
      <c r="C74" t="str">
        <f>TEXT(automotive_demand_forecasting_dataset5678[[#This Row],[Date]],"mmmm")</f>
        <v>March</v>
      </c>
      <c r="D74" t="str">
        <f>CHOOSE(MATCH(MONTH(A74), {1,4,7,10}), "Winter", "Spring", "Summer", "Autumn")</f>
        <v>Winter</v>
      </c>
      <c r="E74">
        <f>YEAR(automotive_demand_forecasting_dataset5678[[#This Row],[Date]])</f>
        <v>2020</v>
      </c>
      <c r="F74">
        <v>88</v>
      </c>
      <c r="G74">
        <f>(automotive_demand_forecasting_dataset5678[[#This Row],[Units_Sold]] -$C$4) / $C$5</f>
        <v>-1.1575013094998152</v>
      </c>
      <c r="H74" s="47" t="str">
        <f t="shared" ca="1" si="0"/>
        <v>North</v>
      </c>
      <c r="I74">
        <v>30134.429194972654</v>
      </c>
      <c r="J74">
        <v>4.1312920517135909</v>
      </c>
      <c r="K74">
        <v>2.9319225446739408</v>
      </c>
      <c r="L74">
        <v>3.1963922125628126</v>
      </c>
      <c r="M74">
        <v>148233.53351156841</v>
      </c>
      <c r="N74" s="82">
        <v>83</v>
      </c>
      <c r="O74">
        <v>57.521995177430682</v>
      </c>
      <c r="P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74" t="str">
        <f t="shared" ca="1" si="1"/>
        <v>Print</v>
      </c>
      <c r="R74" s="46">
        <f>automotive_demand_forecasting_dataset5678[[#This Row],[Units_Sold]]*automotive_demand_forecasting_dataset5678[[#This Row],[Average_Price]]</f>
        <v>2651829.7691575936</v>
      </c>
      <c r="S74" t="str">
        <f t="shared" ca="1" si="2"/>
        <v>OK</v>
      </c>
    </row>
    <row r="75" spans="1:19">
      <c r="A75" s="1">
        <v>43925</v>
      </c>
      <c r="B75" t="s">
        <v>14</v>
      </c>
      <c r="C75" t="str">
        <f>TEXT(automotive_demand_forecasting_dataset5678[[#This Row],[Date]],"mmmm")</f>
        <v>April</v>
      </c>
      <c r="D75" t="str">
        <f>CHOOSE(MATCH(MONTH(A75), {1,4,7,10}), "Winter", "Spring", "Summer", "Autumn")</f>
        <v>Spring</v>
      </c>
      <c r="E75">
        <f>YEAR(automotive_demand_forecasting_dataset5678[[#This Row],[Date]])</f>
        <v>2020</v>
      </c>
      <c r="F75">
        <v>105</v>
      </c>
      <c r="G75">
        <f>(automotive_demand_forecasting_dataset5678[[#This Row],[Units_Sold]] -$C$4) / $C$5</f>
        <v>0.58387234196008431</v>
      </c>
      <c r="H75" s="47" t="str">
        <f t="shared" ref="H75:H138" ca="1" si="6">CHOOSE(RANDBETWEEN(1,4),"North","South","East","West")</f>
        <v>East</v>
      </c>
      <c r="I75">
        <v>31041.914039737763</v>
      </c>
      <c r="J75">
        <v>3.2240709270537766</v>
      </c>
      <c r="K75">
        <v>3.3004095252276824</v>
      </c>
      <c r="L75">
        <v>5.4833947046869156</v>
      </c>
      <c r="M75">
        <v>130327.88110507146</v>
      </c>
      <c r="N75" s="82">
        <f>111.9136842</f>
        <v>111.91368420000001</v>
      </c>
      <c r="O75">
        <v>94.284442631530879</v>
      </c>
      <c r="P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75" t="str">
        <f t="shared" ref="Q75:Q138" ca="1" si="7">CHOOSE(RANDBETWEEN(1,5),"Online","TV","Radio","Print","Billboards")</f>
        <v>TV</v>
      </c>
      <c r="R75" s="46">
        <f>automotive_demand_forecasting_dataset5678[[#This Row],[Units_Sold]]*automotive_demand_forecasting_dataset5678[[#This Row],[Average_Price]]</f>
        <v>3259400.974172465</v>
      </c>
      <c r="S75" t="str">
        <f t="shared" ref="S75:S138" ca="1" si="8">IF(COUNTA(A75:O75)&lt;COLUMNS(A75:O75), "Missing Data", "OK")</f>
        <v>OK</v>
      </c>
    </row>
    <row r="76" spans="1:19">
      <c r="A76" s="1">
        <v>43955</v>
      </c>
      <c r="B76" t="s">
        <v>11</v>
      </c>
      <c r="C76" t="str">
        <f>TEXT(automotive_demand_forecasting_dataset5678[[#This Row],[Date]],"mmmm")</f>
        <v>May</v>
      </c>
      <c r="D76" t="str">
        <f>CHOOSE(MATCH(MONTH(A76), {1,4,7,10}), "Winter", "Spring", "Summer", "Autumn")</f>
        <v>Spring</v>
      </c>
      <c r="E76">
        <f>YEAR(automotive_demand_forecasting_dataset5678[[#This Row],[Date]])</f>
        <v>2020</v>
      </c>
      <c r="F76">
        <v>92</v>
      </c>
      <c r="G76">
        <f>(automotive_demand_forecasting_dataset5678[[#This Row],[Units_Sold]] -$C$4) / $C$5</f>
        <v>-0.74776633268572135</v>
      </c>
      <c r="H76" s="47" t="str">
        <f t="shared" ca="1" si="6"/>
        <v>West</v>
      </c>
      <c r="I76">
        <v>19791.325657878548</v>
      </c>
      <c r="J76">
        <v>4.7790996428341259</v>
      </c>
      <c r="K76">
        <v>3.2542913298135741</v>
      </c>
      <c r="L76">
        <v>5.616047043</v>
      </c>
      <c r="M76">
        <v>112042.36640784967</v>
      </c>
      <c r="N76" s="82">
        <v>97</v>
      </c>
      <c r="O76">
        <v>71.286888286572747</v>
      </c>
      <c r="P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76" t="str">
        <f t="shared" ca="1" si="7"/>
        <v>Billboards</v>
      </c>
      <c r="R76" s="46">
        <f>automotive_demand_forecasting_dataset5678[[#This Row],[Units_Sold]]*automotive_demand_forecasting_dataset5678[[#This Row],[Average_Price]]</f>
        <v>1820801.9605248263</v>
      </c>
      <c r="S76" t="str">
        <f t="shared" ca="1" si="8"/>
        <v>OK</v>
      </c>
    </row>
    <row r="77" spans="1:19">
      <c r="A77" s="1">
        <v>43985</v>
      </c>
      <c r="B77" t="s">
        <v>12</v>
      </c>
      <c r="C77" t="str">
        <f>TEXT(automotive_demand_forecasting_dataset5678[[#This Row],[Date]],"mmmm")</f>
        <v>June</v>
      </c>
      <c r="D77" t="str">
        <f>CHOOSE(MATCH(MONTH(A77), {1,4,7,10}), "Winter", "Spring", "Summer", "Autumn")</f>
        <v>Spring</v>
      </c>
      <c r="E77">
        <f>YEAR(automotive_demand_forecasting_dataset5678[[#This Row],[Date]])</f>
        <v>2020</v>
      </c>
      <c r="F77">
        <v>96</v>
      </c>
      <c r="G77">
        <f>(automotive_demand_forecasting_dataset5678[[#This Row],[Units_Sold]] -$C$4) / $C$5</f>
        <v>-0.33803135587162725</v>
      </c>
      <c r="H77" s="47" t="str">
        <f t="shared" ca="1" si="6"/>
        <v>South</v>
      </c>
      <c r="I77">
        <v>28764.113087397014</v>
      </c>
      <c r="J77">
        <v>3.2178762006713058</v>
      </c>
      <c r="K77">
        <v>3.6889133714746429</v>
      </c>
      <c r="L77">
        <v>4.9082526131202737</v>
      </c>
      <c r="M77">
        <v>101440.73722567489</v>
      </c>
      <c r="N77" s="82">
        <v>90</v>
      </c>
      <c r="O77">
        <v>44.932233332371908</v>
      </c>
      <c r="P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77" t="str">
        <f t="shared" ca="1" si="7"/>
        <v>Billboards</v>
      </c>
      <c r="R77" s="46">
        <f>automotive_demand_forecasting_dataset5678[[#This Row],[Units_Sold]]*automotive_demand_forecasting_dataset5678[[#This Row],[Average_Price]]</f>
        <v>2761354.8563901135</v>
      </c>
      <c r="S77" t="str">
        <f t="shared" ca="1" si="8"/>
        <v>OK</v>
      </c>
    </row>
    <row r="78" spans="1:19">
      <c r="A78" s="1">
        <v>44015</v>
      </c>
      <c r="B78" t="s">
        <v>11</v>
      </c>
      <c r="C78" t="str">
        <f>TEXT(automotive_demand_forecasting_dataset5678[[#This Row],[Date]],"mmmm")</f>
        <v>July</v>
      </c>
      <c r="D78" t="str">
        <f>CHOOSE(MATCH(MONTH(A78), {1,4,7,10}), "Winter", "Spring", "Summer", "Autumn")</f>
        <v>Summer</v>
      </c>
      <c r="E78">
        <f>YEAR(automotive_demand_forecasting_dataset5678[[#This Row],[Date]])</f>
        <v>2020</v>
      </c>
      <c r="F78">
        <v>104</v>
      </c>
      <c r="G78">
        <f>(automotive_demand_forecasting_dataset5678[[#This Row],[Units_Sold]] -$C$4) / $C$5</f>
        <v>0.48143859775656078</v>
      </c>
      <c r="H78" s="47" t="str">
        <f t="shared" ca="1" si="6"/>
        <v>North</v>
      </c>
      <c r="I78">
        <v>26590.078760011005</v>
      </c>
      <c r="J78">
        <v>3.5922756515985186</v>
      </c>
      <c r="K78">
        <v>3.2083038472010639</v>
      </c>
      <c r="L78">
        <v>7.2323584041625768</v>
      </c>
      <c r="M78">
        <v>95755.820601976971</v>
      </c>
      <c r="N78" s="82">
        <v>83</v>
      </c>
      <c r="O78">
        <v>62.025461156057709</v>
      </c>
      <c r="P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78" t="str">
        <f t="shared" ca="1" si="7"/>
        <v>Billboards</v>
      </c>
      <c r="R78" s="46">
        <f>automotive_demand_forecasting_dataset5678[[#This Row],[Units_Sold]]*automotive_demand_forecasting_dataset5678[[#This Row],[Average_Price]]</f>
        <v>2765368.1910411445</v>
      </c>
      <c r="S78" t="str">
        <f t="shared" ca="1" si="8"/>
        <v>OK</v>
      </c>
    </row>
    <row r="79" spans="1:19">
      <c r="A79" s="1">
        <v>44045</v>
      </c>
      <c r="B79" t="s">
        <v>11</v>
      </c>
      <c r="C79" t="str">
        <f>TEXT(automotive_demand_forecasting_dataset5678[[#This Row],[Date]],"mmmm")</f>
        <v>August</v>
      </c>
      <c r="D79" t="str">
        <f>CHOOSE(MATCH(MONTH(A79), {1,4,7,10}), "Winter", "Spring", "Summer", "Autumn")</f>
        <v>Summer</v>
      </c>
      <c r="E79">
        <f>YEAR(automotive_demand_forecasting_dataset5678[[#This Row],[Date]])</f>
        <v>2020</v>
      </c>
      <c r="F79">
        <v>84</v>
      </c>
      <c r="G79">
        <f>(automotive_demand_forecasting_dataset5678[[#This Row],[Units_Sold]] -$C$4) / $C$5</f>
        <v>-1.5672362863139093</v>
      </c>
      <c r="H79" s="47" t="str">
        <f t="shared" ca="1" si="6"/>
        <v>West</v>
      </c>
      <c r="I79">
        <v>30949.702720000001</v>
      </c>
      <c r="J79">
        <v>4.2710549762839376</v>
      </c>
      <c r="K79">
        <v>2.851448207541583</v>
      </c>
      <c r="L79">
        <v>3.9921917268648928</v>
      </c>
      <c r="M79">
        <v>80961.630799555292</v>
      </c>
      <c r="N79" s="82">
        <v>93</v>
      </c>
      <c r="O79">
        <v>25.284424625772807</v>
      </c>
      <c r="P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79" t="str">
        <f t="shared" ca="1" si="7"/>
        <v>Online</v>
      </c>
      <c r="R79" s="46">
        <f>automotive_demand_forecasting_dataset5678[[#This Row],[Units_Sold]]*automotive_demand_forecasting_dataset5678[[#This Row],[Average_Price]]</f>
        <v>2599775.0284799999</v>
      </c>
      <c r="S79" t="str">
        <f t="shared" ca="1" si="8"/>
        <v>OK</v>
      </c>
    </row>
    <row r="80" spans="1:19">
      <c r="A80" s="1">
        <v>44075</v>
      </c>
      <c r="B80" t="s">
        <v>12</v>
      </c>
      <c r="C80" t="str">
        <f>TEXT(automotive_demand_forecasting_dataset5678[[#This Row],[Date]],"mmmm")</f>
        <v>September</v>
      </c>
      <c r="D80" t="str">
        <f>CHOOSE(MATCH(MONTH(A80), {1,4,7,10}), "Winter", "Spring", "Summer", "Autumn")</f>
        <v>Summer</v>
      </c>
      <c r="E80">
        <f>YEAR(automotive_demand_forecasting_dataset5678[[#This Row],[Date]])</f>
        <v>2020</v>
      </c>
      <c r="F80">
        <v>95</v>
      </c>
      <c r="G80">
        <f>(automotive_demand_forecasting_dataset5678[[#This Row],[Units_Sold]] -$C$4) / $C$5</f>
        <v>-0.44046510007515077</v>
      </c>
      <c r="H80" s="47" t="str">
        <f t="shared" ca="1" si="6"/>
        <v>North</v>
      </c>
      <c r="I80">
        <v>28594.498535570227</v>
      </c>
      <c r="J80">
        <v>4.5030464440795619</v>
      </c>
      <c r="K80">
        <v>3.5701502383164274</v>
      </c>
      <c r="L80">
        <v>5.616047043</v>
      </c>
      <c r="M80">
        <v>101549.61037037725</v>
      </c>
      <c r="N80" s="82">
        <v>84</v>
      </c>
      <c r="O80">
        <v>97.805458851978941</v>
      </c>
      <c r="P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80" t="str">
        <f t="shared" ca="1" si="7"/>
        <v>Billboards</v>
      </c>
      <c r="R80" s="46">
        <f>automotive_demand_forecasting_dataset5678[[#This Row],[Units_Sold]]*automotive_demand_forecasting_dataset5678[[#This Row],[Average_Price]]</f>
        <v>2716477.3608791716</v>
      </c>
      <c r="S80" t="str">
        <f t="shared" ca="1" si="8"/>
        <v>OK</v>
      </c>
    </row>
    <row r="81" spans="1:19">
      <c r="A81" s="1">
        <v>44105</v>
      </c>
      <c r="B81" t="s">
        <v>11</v>
      </c>
      <c r="C81" t="str">
        <f>TEXT(automotive_demand_forecasting_dataset5678[[#This Row],[Date]],"mmmm")</f>
        <v>October</v>
      </c>
      <c r="D81" t="str">
        <f>CHOOSE(MATCH(MONTH(A81), {1,4,7,10}), "Winter", "Spring", "Summer", "Autumn")</f>
        <v>Autumn</v>
      </c>
      <c r="E81">
        <f>YEAR(automotive_demand_forecasting_dataset5678[[#This Row],[Date]])</f>
        <v>2020</v>
      </c>
      <c r="F81">
        <v>105</v>
      </c>
      <c r="G81">
        <f>(automotive_demand_forecasting_dataset5678[[#This Row],[Units_Sold]] -$C$4) / $C$5</f>
        <v>0.58387234196008431</v>
      </c>
      <c r="H81" s="47" t="str">
        <f t="shared" ca="1" si="6"/>
        <v>North</v>
      </c>
      <c r="I81">
        <v>38988.432634247612</v>
      </c>
      <c r="J81">
        <v>4.5307517883181987</v>
      </c>
      <c r="K81">
        <f t="shared" ref="K81" si="9">3.224108373</f>
        <v>3.224108373</v>
      </c>
      <c r="L81">
        <v>5.1652444836018301</v>
      </c>
      <c r="M81">
        <v>105155.05080285501</v>
      </c>
      <c r="N81" s="82">
        <v>90</v>
      </c>
      <c r="O81">
        <v>48.804792154458084</v>
      </c>
      <c r="P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81" t="str">
        <f t="shared" ca="1" si="7"/>
        <v>Billboards</v>
      </c>
      <c r="R81" s="46">
        <f>automotive_demand_forecasting_dataset5678[[#This Row],[Units_Sold]]*automotive_demand_forecasting_dataset5678[[#This Row],[Average_Price]]</f>
        <v>4093785.4265959994</v>
      </c>
      <c r="S81" t="str">
        <f t="shared" ca="1" si="8"/>
        <v>OK</v>
      </c>
    </row>
    <row r="82" spans="1:19">
      <c r="A82" s="1">
        <v>44135</v>
      </c>
      <c r="B82" t="s">
        <v>10</v>
      </c>
      <c r="C82" t="str">
        <f>TEXT(automotive_demand_forecasting_dataset5678[[#This Row],[Date]],"mmmm")</f>
        <v>October</v>
      </c>
      <c r="D82" t="str">
        <f>CHOOSE(MATCH(MONTH(A82), {1,4,7,10}), "Winter", "Spring", "Summer", "Autumn")</f>
        <v>Autumn</v>
      </c>
      <c r="E82">
        <f>YEAR(automotive_demand_forecasting_dataset5678[[#This Row],[Date]])</f>
        <v>2020</v>
      </c>
      <c r="F82">
        <v>100</v>
      </c>
      <c r="G82">
        <f>(automotive_demand_forecasting_dataset5678[[#This Row],[Units_Sold]] -$C$4) / $C$5</f>
        <v>7.1703620942466739E-2</v>
      </c>
      <c r="H82" s="47" t="str">
        <f t="shared" ca="1" si="6"/>
        <v>South</v>
      </c>
      <c r="I82">
        <v>33204.214306335052</v>
      </c>
      <c r="J82">
        <v>4.1041831152965713</v>
      </c>
      <c r="K82">
        <v>1.6181253487722822</v>
      </c>
      <c r="L82">
        <v>5.1642877978049988</v>
      </c>
      <c r="M82">
        <v>75164.788490367515</v>
      </c>
      <c r="N82" s="82">
        <v>97</v>
      </c>
      <c r="O82">
        <v>58.229388393050868</v>
      </c>
      <c r="P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82" t="str">
        <f t="shared" ca="1" si="7"/>
        <v>Online</v>
      </c>
      <c r="R82" s="46">
        <f>automotive_demand_forecasting_dataset5678[[#This Row],[Units_Sold]]*automotive_demand_forecasting_dataset5678[[#This Row],[Average_Price]]</f>
        <v>3320421.4306335053</v>
      </c>
      <c r="S82" t="str">
        <f t="shared" ca="1" si="8"/>
        <v>OK</v>
      </c>
    </row>
    <row r="83" spans="1:19">
      <c r="A83" s="1">
        <v>44165</v>
      </c>
      <c r="B83" t="s">
        <v>13</v>
      </c>
      <c r="C83" t="str">
        <f>TEXT(automotive_demand_forecasting_dataset5678[[#This Row],[Date]],"mmmm")</f>
        <v>November</v>
      </c>
      <c r="D83" t="str">
        <f>CHOOSE(MATCH(MONTH(A83), {1,4,7,10}), "Winter", "Spring", "Summer", "Autumn")</f>
        <v>Autumn</v>
      </c>
      <c r="E83">
        <f>YEAR(automotive_demand_forecasting_dataset5678[[#This Row],[Date]])</f>
        <v>2020</v>
      </c>
      <c r="F83">
        <v>104</v>
      </c>
      <c r="G83">
        <f>(automotive_demand_forecasting_dataset5678[[#This Row],[Units_Sold]] -$C$4) / $C$5</f>
        <v>0.48143859775656078</v>
      </c>
      <c r="H83" s="47" t="str">
        <f t="shared" ca="1" si="6"/>
        <v>West</v>
      </c>
      <c r="I83">
        <v>27144.105051086015</v>
      </c>
      <c r="J83">
        <v>4.0120312629057313</v>
      </c>
      <c r="K83">
        <v>2.3369330360562359</v>
      </c>
      <c r="L83">
        <v>6.4484462752620537</v>
      </c>
      <c r="M83">
        <v>106683.52834489795</v>
      </c>
      <c r="N83" s="82">
        <v>92</v>
      </c>
      <c r="O83">
        <v>48.422717938953809</v>
      </c>
      <c r="P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83" t="str">
        <f t="shared" ca="1" si="7"/>
        <v>Print</v>
      </c>
      <c r="R83" s="46">
        <f>automotive_demand_forecasting_dataset5678[[#This Row],[Units_Sold]]*automotive_demand_forecasting_dataset5678[[#This Row],[Average_Price]]</f>
        <v>2822986.9253129456</v>
      </c>
      <c r="S83" t="str">
        <f t="shared" ca="1" si="8"/>
        <v>OK</v>
      </c>
    </row>
    <row r="84" spans="1:19">
      <c r="A84" s="1">
        <v>44195</v>
      </c>
      <c r="B84" t="s">
        <v>12</v>
      </c>
      <c r="C84" t="str">
        <f>TEXT(automotive_demand_forecasting_dataset5678[[#This Row],[Date]],"mmmm")</f>
        <v>December</v>
      </c>
      <c r="D84" t="str">
        <f>CHOOSE(MATCH(MONTH(A84), {1,4,7,10}), "Winter", "Spring", "Summer", "Autumn")</f>
        <v>Autumn</v>
      </c>
      <c r="E84">
        <f>YEAR(automotive_demand_forecasting_dataset5678[[#This Row],[Date]])</f>
        <v>2020</v>
      </c>
      <c r="F84">
        <v>106</v>
      </c>
      <c r="G84">
        <f>(automotive_demand_forecasting_dataset5678[[#This Row],[Units_Sold]] -$C$4) / $C$5</f>
        <v>0.68630608616360778</v>
      </c>
      <c r="H84" s="47" t="str">
        <f t="shared" ca="1" si="6"/>
        <v>West</v>
      </c>
      <c r="I84">
        <v>32862.913906780792</v>
      </c>
      <c r="J84">
        <v>3.7962634746005914</v>
      </c>
      <c r="K84">
        <v>1.7550973551935509</v>
      </c>
      <c r="L84">
        <v>5.9080615534826686</v>
      </c>
      <c r="M84">
        <v>96894.819023505028</v>
      </c>
      <c r="N84" s="82">
        <v>80</v>
      </c>
      <c r="O84">
        <v>74.60093840929602</v>
      </c>
      <c r="P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84" t="str">
        <f t="shared" ca="1" si="7"/>
        <v>Online</v>
      </c>
      <c r="R84" s="46">
        <f>automotive_demand_forecasting_dataset5678[[#This Row],[Units_Sold]]*automotive_demand_forecasting_dataset5678[[#This Row],[Average_Price]]</f>
        <v>3483468.874118764</v>
      </c>
      <c r="S84" t="str">
        <f t="shared" ca="1" si="8"/>
        <v>OK</v>
      </c>
    </row>
    <row r="85" spans="1:19">
      <c r="A85" s="1">
        <v>44225</v>
      </c>
      <c r="B85" t="s">
        <v>13</v>
      </c>
      <c r="C85" t="str">
        <f>TEXT(automotive_demand_forecasting_dataset5678[[#This Row],[Date]],"mmmm")</f>
        <v>January</v>
      </c>
      <c r="D85" t="str">
        <f>CHOOSE(MATCH(MONTH(A85), {1,4,7,10}), "Winter", "Spring", "Summer", "Autumn")</f>
        <v>Winter</v>
      </c>
      <c r="E85">
        <f>YEAR(automotive_demand_forecasting_dataset5678[[#This Row],[Date]])</f>
        <v>2021</v>
      </c>
      <c r="F85">
        <v>120</v>
      </c>
      <c r="G85">
        <f>(automotive_demand_forecasting_dataset5678[[#This Row],[Units_Sold]] -$C$4) / $C$5</f>
        <v>2.1203785050129369</v>
      </c>
      <c r="H85" s="47" t="str">
        <f t="shared" ca="1" si="6"/>
        <v>South</v>
      </c>
      <c r="I85">
        <v>36996.777182930011</v>
      </c>
      <c r="J85">
        <v>3.8891805380833189</v>
      </c>
      <c r="K85">
        <v>1.8248217250256185</v>
      </c>
      <c r="L85">
        <v>6.1847355966634368</v>
      </c>
      <c r="M85">
        <v>61843.848842452178</v>
      </c>
      <c r="N85" s="82">
        <v>75</v>
      </c>
      <c r="O85">
        <v>72.978572666367441</v>
      </c>
      <c r="P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85" t="str">
        <f t="shared" ca="1" si="7"/>
        <v>Radio</v>
      </c>
      <c r="R85" s="46">
        <f>automotive_demand_forecasting_dataset5678[[#This Row],[Units_Sold]]*automotive_demand_forecasting_dataset5678[[#This Row],[Average_Price]]</f>
        <v>4439613.2619516011</v>
      </c>
      <c r="S85" t="str">
        <f t="shared" ca="1" si="8"/>
        <v>OK</v>
      </c>
    </row>
    <row r="86" spans="1:19">
      <c r="A86" s="1">
        <v>44255</v>
      </c>
      <c r="B86" t="s">
        <v>12</v>
      </c>
      <c r="C86" t="str">
        <f>TEXT(automotive_demand_forecasting_dataset5678[[#This Row],[Date]],"mmmm")</f>
        <v>February</v>
      </c>
      <c r="D86" t="str">
        <f>CHOOSE(MATCH(MONTH(A86), {1,4,7,10}), "Winter", "Spring", "Summer", "Autumn")</f>
        <v>Winter</v>
      </c>
      <c r="E86">
        <f>YEAR(automotive_demand_forecasting_dataset5678[[#This Row],[Date]])</f>
        <v>2021</v>
      </c>
      <c r="F86">
        <v>100</v>
      </c>
      <c r="G86">
        <f>(automotive_demand_forecasting_dataset5678[[#This Row],[Units_Sold]] -$C$4) / $C$5</f>
        <v>7.1703620942466739E-2</v>
      </c>
      <c r="H86" s="47" t="str">
        <f t="shared" ca="1" si="6"/>
        <v>South</v>
      </c>
      <c r="I86">
        <v>38106.295579999998</v>
      </c>
      <c r="J86">
        <v>3.2244071418357332</v>
      </c>
      <c r="K86">
        <v>2.3554813292844821</v>
      </c>
      <c r="L86">
        <v>6.6618215926394333</v>
      </c>
      <c r="M86">
        <v>82792.299784409959</v>
      </c>
      <c r="N86" s="82">
        <v>91</v>
      </c>
      <c r="O86">
        <v>77.225784842330853</v>
      </c>
      <c r="P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86" t="str">
        <f t="shared" ca="1" si="7"/>
        <v>TV</v>
      </c>
      <c r="R86" s="46">
        <f>automotive_demand_forecasting_dataset5678[[#This Row],[Units_Sold]]*automotive_demand_forecasting_dataset5678[[#This Row],[Average_Price]]</f>
        <v>3810629.5579999997</v>
      </c>
      <c r="S86" t="str">
        <f t="shared" ca="1" si="8"/>
        <v>OK</v>
      </c>
    </row>
    <row r="87" spans="1:19">
      <c r="A87" s="1">
        <v>44285</v>
      </c>
      <c r="B87" t="s">
        <v>12</v>
      </c>
      <c r="C87" t="str">
        <f>TEXT(automotive_demand_forecasting_dataset5678[[#This Row],[Date]],"mmmm")</f>
        <v>March</v>
      </c>
      <c r="D87" t="str">
        <f>CHOOSE(MATCH(MONTH(A87), {1,4,7,10}), "Winter", "Spring", "Summer", "Autumn")</f>
        <v>Winter</v>
      </c>
      <c r="E87">
        <f>YEAR(automotive_demand_forecasting_dataset5678[[#This Row],[Date]])</f>
        <v>2021</v>
      </c>
      <c r="F87">
        <v>118</v>
      </c>
      <c r="G87">
        <f>(automotive_demand_forecasting_dataset5678[[#This Row],[Units_Sold]] -$C$4) / $C$5</f>
        <v>1.9155110166058897</v>
      </c>
      <c r="H87" s="47" t="str">
        <f t="shared" ca="1" si="6"/>
        <v>West</v>
      </c>
      <c r="I87">
        <v>30298.151849600872</v>
      </c>
      <c r="J87">
        <v>3.0909005582888462</v>
      </c>
      <c r="K87">
        <v>1.7075800790000386</v>
      </c>
      <c r="L87">
        <v>5.1024299401800128</v>
      </c>
      <c r="M87">
        <v>91727.889331567116</v>
      </c>
      <c r="N87" s="82">
        <v>91</v>
      </c>
      <c r="O87">
        <v>41.451458368953666</v>
      </c>
      <c r="P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87" t="str">
        <f t="shared" ca="1" si="7"/>
        <v>Print</v>
      </c>
      <c r="R87" s="46">
        <f>automotive_demand_forecasting_dataset5678[[#This Row],[Units_Sold]]*automotive_demand_forecasting_dataset5678[[#This Row],[Average_Price]]</f>
        <v>3575181.918252903</v>
      </c>
      <c r="S87" t="str">
        <f t="shared" ca="1" si="8"/>
        <v>OK</v>
      </c>
    </row>
    <row r="88" spans="1:19">
      <c r="A88" s="1">
        <v>44315</v>
      </c>
      <c r="B88" t="s">
        <v>14</v>
      </c>
      <c r="C88" t="str">
        <f>TEXT(automotive_demand_forecasting_dataset5678[[#This Row],[Date]],"mmmm")</f>
        <v>April</v>
      </c>
      <c r="D88" t="str">
        <f>CHOOSE(MATCH(MONTH(A88), {1,4,7,10}), "Winter", "Spring", "Summer", "Autumn")</f>
        <v>Spring</v>
      </c>
      <c r="E88">
        <f>YEAR(automotive_demand_forecasting_dataset5678[[#This Row],[Date]])</f>
        <v>2021</v>
      </c>
      <c r="F88">
        <v>92</v>
      </c>
      <c r="G88">
        <f>(automotive_demand_forecasting_dataset5678[[#This Row],[Units_Sold]] -$C$4) / $C$5</f>
        <v>-0.74776633268572135</v>
      </c>
      <c r="H88" s="47" t="str">
        <f t="shared" ca="1" si="6"/>
        <v>East</v>
      </c>
      <c r="I88">
        <v>26765.31611147213</v>
      </c>
      <c r="J88">
        <v>3.4983127712945241</v>
      </c>
      <c r="K88">
        <f t="shared" ref="K88:K89" si="10">3.224108373</f>
        <v>3.224108373</v>
      </c>
      <c r="L88">
        <v>4.7653159185906997</v>
      </c>
      <c r="M88">
        <v>137753.75314680382</v>
      </c>
      <c r="N88" s="82">
        <v>81</v>
      </c>
      <c r="O88">
        <v>45.253478493125279</v>
      </c>
      <c r="P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88" t="str">
        <f t="shared" ca="1" si="7"/>
        <v>Radio</v>
      </c>
      <c r="R88" s="46">
        <f>automotive_demand_forecasting_dataset5678[[#This Row],[Units_Sold]]*automotive_demand_forecasting_dataset5678[[#This Row],[Average_Price]]</f>
        <v>2462409.0822554361</v>
      </c>
      <c r="S88" t="str">
        <f t="shared" ca="1" si="8"/>
        <v>OK</v>
      </c>
    </row>
    <row r="89" spans="1:19">
      <c r="A89" s="1">
        <v>44345</v>
      </c>
      <c r="B89" t="s">
        <v>14</v>
      </c>
      <c r="C89" t="str">
        <f>TEXT(automotive_demand_forecasting_dataset5678[[#This Row],[Date]],"mmmm")</f>
        <v>May</v>
      </c>
      <c r="D89" t="str">
        <f>CHOOSE(MATCH(MONTH(A89), {1,4,7,10}), "Winter", "Spring", "Summer", "Autumn")</f>
        <v>Spring</v>
      </c>
      <c r="E89">
        <f>YEAR(automotive_demand_forecasting_dataset5678[[#This Row],[Date]])</f>
        <v>2021</v>
      </c>
      <c r="F89">
        <v>110</v>
      </c>
      <c r="G89">
        <f>(automotive_demand_forecasting_dataset5678[[#This Row],[Units_Sold]] -$C$4) / $C$5</f>
        <v>1.0960410629777018</v>
      </c>
      <c r="H89" s="47" t="str">
        <f t="shared" ca="1" si="6"/>
        <v>North</v>
      </c>
      <c r="I89">
        <v>33491.116568067948</v>
      </c>
      <c r="J89">
        <v>3.4149076887375358</v>
      </c>
      <c r="K89">
        <f t="shared" si="10"/>
        <v>3.224108373</v>
      </c>
      <c r="L89">
        <v>4.1978193681306424</v>
      </c>
      <c r="M89">
        <v>111131.06249067516</v>
      </c>
      <c r="N89" s="82">
        <f>111.9136842</f>
        <v>111.91368420000001</v>
      </c>
      <c r="O89">
        <v>30.020098487696636</v>
      </c>
      <c r="P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89" t="str">
        <f t="shared" ca="1" si="7"/>
        <v>Print</v>
      </c>
      <c r="R89" s="46">
        <f>automotive_demand_forecasting_dataset5678[[#This Row],[Units_Sold]]*automotive_demand_forecasting_dataset5678[[#This Row],[Average_Price]]</f>
        <v>3684022.8224874744</v>
      </c>
      <c r="S89" t="str">
        <f t="shared" ca="1" si="8"/>
        <v>OK</v>
      </c>
    </row>
    <row r="90" spans="1:19">
      <c r="A90" s="1">
        <v>44375</v>
      </c>
      <c r="B90" t="s">
        <v>11</v>
      </c>
      <c r="C90" t="str">
        <f>TEXT(automotive_demand_forecasting_dataset5678[[#This Row],[Date]],"mmmm")</f>
        <v>June</v>
      </c>
      <c r="D90" t="str">
        <f>CHOOSE(MATCH(MONTH(A90), {1,4,7,10}), "Winter", "Spring", "Summer", "Autumn")</f>
        <v>Spring</v>
      </c>
      <c r="E90">
        <f>YEAR(automotive_demand_forecasting_dataset5678[[#This Row],[Date]])</f>
        <v>2021</v>
      </c>
      <c r="F90">
        <v>101</v>
      </c>
      <c r="G90">
        <f>(automotive_demand_forecasting_dataset5678[[#This Row],[Units_Sold]] -$C$4) / $C$5</f>
        <v>0.17413736514599024</v>
      </c>
      <c r="H90" s="47" t="str">
        <f t="shared" ca="1" si="6"/>
        <v>North</v>
      </c>
      <c r="I90">
        <v>31967.426927108747</v>
      </c>
      <c r="J90">
        <v>3.2733859753363626</v>
      </c>
      <c r="K90">
        <v>2.7132937073729386</v>
      </c>
      <c r="L90">
        <v>4.5095073640252537</v>
      </c>
      <c r="M90">
        <v>73290.368618002176</v>
      </c>
      <c r="N90" s="82">
        <v>104</v>
      </c>
      <c r="O90">
        <v>72.440797747689004</v>
      </c>
      <c r="P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90" t="str">
        <f t="shared" ca="1" si="7"/>
        <v>Print</v>
      </c>
      <c r="R90" s="46">
        <f>automotive_demand_forecasting_dataset5678[[#This Row],[Units_Sold]]*automotive_demand_forecasting_dataset5678[[#This Row],[Average_Price]]</f>
        <v>3228710.1196379834</v>
      </c>
      <c r="S90" t="str">
        <f t="shared" ca="1" si="8"/>
        <v>OK</v>
      </c>
    </row>
    <row r="91" spans="1:19">
      <c r="A91" s="1">
        <v>44405</v>
      </c>
      <c r="B91" t="s">
        <v>13</v>
      </c>
      <c r="C91" t="str">
        <f>TEXT(automotive_demand_forecasting_dataset5678[[#This Row],[Date]],"mmmm")</f>
        <v>July</v>
      </c>
      <c r="D91" t="str">
        <f>CHOOSE(MATCH(MONTH(A91), {1,4,7,10}), "Winter", "Spring", "Summer", "Autumn")</f>
        <v>Summer</v>
      </c>
      <c r="E91">
        <f>YEAR(automotive_demand_forecasting_dataset5678[[#This Row],[Date]])</f>
        <v>2021</v>
      </c>
      <c r="F91">
        <v>84</v>
      </c>
      <c r="G91">
        <f>(automotive_demand_forecasting_dataset5678[[#This Row],[Units_Sold]] -$C$4) / $C$5</f>
        <v>-1.5672362863139093</v>
      </c>
      <c r="H91" s="47" t="str">
        <f t="shared" ca="1" si="6"/>
        <v>West</v>
      </c>
      <c r="I91">
        <v>34475.966100138663</v>
      </c>
      <c r="J91">
        <v>3.8481937237283574</v>
      </c>
      <c r="K91">
        <v>2.5012054753622244</v>
      </c>
      <c r="L91">
        <v>5.616047043</v>
      </c>
      <c r="M91">
        <v>109720.72578835273</v>
      </c>
      <c r="N91" s="82">
        <v>99</v>
      </c>
      <c r="O91">
        <v>23.183770186852204</v>
      </c>
      <c r="P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91" t="str">
        <f t="shared" ca="1" si="7"/>
        <v>Online</v>
      </c>
      <c r="R91" s="46">
        <f>automotive_demand_forecasting_dataset5678[[#This Row],[Units_Sold]]*automotive_demand_forecasting_dataset5678[[#This Row],[Average_Price]]</f>
        <v>2895981.1524116476</v>
      </c>
      <c r="S91" t="str">
        <f t="shared" ca="1" si="8"/>
        <v>OK</v>
      </c>
    </row>
    <row r="92" spans="1:19">
      <c r="A92" s="1">
        <v>44435</v>
      </c>
      <c r="B92" t="s">
        <v>12</v>
      </c>
      <c r="C92" t="str">
        <f>TEXT(automotive_demand_forecasting_dataset5678[[#This Row],[Date]],"mmmm")</f>
        <v>August</v>
      </c>
      <c r="D92" t="str">
        <f>CHOOSE(MATCH(MONTH(A92), {1,4,7,10}), "Winter", "Spring", "Summer", "Autumn")</f>
        <v>Summer</v>
      </c>
      <c r="E92">
        <f>YEAR(automotive_demand_forecasting_dataset5678[[#This Row],[Date]])</f>
        <v>2021</v>
      </c>
      <c r="F92">
        <v>115</v>
      </c>
      <c r="G92">
        <f>(automotive_demand_forecasting_dataset5678[[#This Row],[Units_Sold]] -$C$4) / $C$5</f>
        <v>1.6082097839953193</v>
      </c>
      <c r="H92" s="47" t="str">
        <f t="shared" ca="1" si="6"/>
        <v>West</v>
      </c>
      <c r="I92">
        <v>33175.859008409847</v>
      </c>
      <c r="J92">
        <v>4.5778345189999996</v>
      </c>
      <c r="K92">
        <v>1.6829113689318094</v>
      </c>
      <c r="L92">
        <v>6.9936154968841437</v>
      </c>
      <c r="M92">
        <v>69053.920221232693</v>
      </c>
      <c r="N92" s="82">
        <v>92</v>
      </c>
      <c r="O92">
        <v>67.814586841876718</v>
      </c>
      <c r="P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92" t="str">
        <f t="shared" ca="1" si="7"/>
        <v>Online</v>
      </c>
      <c r="R92" s="46">
        <f>automotive_demand_forecasting_dataset5678[[#This Row],[Units_Sold]]*automotive_demand_forecasting_dataset5678[[#This Row],[Average_Price]]</f>
        <v>3815223.7859671325</v>
      </c>
      <c r="S92" t="str">
        <f t="shared" ca="1" si="8"/>
        <v>OK</v>
      </c>
    </row>
    <row r="93" spans="1:19">
      <c r="A93" s="1">
        <v>44465</v>
      </c>
      <c r="B93" t="s">
        <v>11</v>
      </c>
      <c r="C93" t="str">
        <f>TEXT(automotive_demand_forecasting_dataset5678[[#This Row],[Date]],"mmmm")</f>
        <v>September</v>
      </c>
      <c r="D93" t="str">
        <f>CHOOSE(MATCH(MONTH(A93), {1,4,7,10}), "Winter", "Spring", "Summer", "Autumn")</f>
        <v>Summer</v>
      </c>
      <c r="E93">
        <f>YEAR(automotive_demand_forecasting_dataset5678[[#This Row],[Date]])</f>
        <v>2021</v>
      </c>
      <c r="F93">
        <v>95</v>
      </c>
      <c r="G93">
        <f>(automotive_demand_forecasting_dataset5678[[#This Row],[Units_Sold]] -$C$4) / $C$5</f>
        <v>-0.44046510007515077</v>
      </c>
      <c r="H93" s="47" t="str">
        <f t="shared" ca="1" si="6"/>
        <v>North</v>
      </c>
      <c r="I93">
        <v>35247.763576596677</v>
      </c>
      <c r="J93">
        <v>3.5442034431459235</v>
      </c>
      <c r="K93">
        <v>3.1592456684324048</v>
      </c>
      <c r="L93">
        <v>3.8787107605503746</v>
      </c>
      <c r="M93">
        <v>121653.82107774146</v>
      </c>
      <c r="N93" s="82">
        <v>83</v>
      </c>
      <c r="O93">
        <v>89.575670788130708</v>
      </c>
      <c r="P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93" t="str">
        <f t="shared" ca="1" si="7"/>
        <v>Online</v>
      </c>
      <c r="R93" s="46">
        <f>automotive_demand_forecasting_dataset5678[[#This Row],[Units_Sold]]*automotive_demand_forecasting_dataset5678[[#This Row],[Average_Price]]</f>
        <v>3348537.5397766843</v>
      </c>
      <c r="S93" t="str">
        <f t="shared" ca="1" si="8"/>
        <v>OK</v>
      </c>
    </row>
    <row r="94" spans="1:19">
      <c r="A94" s="1">
        <v>44495</v>
      </c>
      <c r="B94" t="s">
        <v>10</v>
      </c>
      <c r="C94" t="str">
        <f>TEXT(automotive_demand_forecasting_dataset5678[[#This Row],[Date]],"mmmm")</f>
        <v>October</v>
      </c>
      <c r="D94" t="str">
        <f>CHOOSE(MATCH(MONTH(A94), {1,4,7,10}), "Winter", "Spring", "Summer", "Autumn")</f>
        <v>Autumn</v>
      </c>
      <c r="E94">
        <f>YEAR(automotive_demand_forecasting_dataset5678[[#This Row],[Date]])</f>
        <v>2021</v>
      </c>
      <c r="F94">
        <v>114</v>
      </c>
      <c r="G94">
        <f>(automotive_demand_forecasting_dataset5678[[#This Row],[Units_Sold]] -$C$4) / $C$5</f>
        <v>1.5057760397917959</v>
      </c>
      <c r="H94" s="47" t="str">
        <f t="shared" ca="1" si="6"/>
        <v>South</v>
      </c>
      <c r="I94">
        <v>27323.823942197159</v>
      </c>
      <c r="J94">
        <v>4.2387650405276309</v>
      </c>
      <c r="K94">
        <v>3.4375701376265582</v>
      </c>
      <c r="L94">
        <v>3.9130504519077158</v>
      </c>
      <c r="M94">
        <v>90577.50696364243</v>
      </c>
      <c r="N94" s="82">
        <f>111.9136842</f>
        <v>111.91368420000001</v>
      </c>
      <c r="O94">
        <v>91.266571863170682</v>
      </c>
      <c r="P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94" t="str">
        <f t="shared" ca="1" si="7"/>
        <v>Print</v>
      </c>
      <c r="R94" s="46">
        <f>automotive_demand_forecasting_dataset5678[[#This Row],[Units_Sold]]*automotive_demand_forecasting_dataset5678[[#This Row],[Average_Price]]</f>
        <v>3114915.9294104762</v>
      </c>
      <c r="S94" t="str">
        <f t="shared" ca="1" si="8"/>
        <v>OK</v>
      </c>
    </row>
    <row r="95" spans="1:19">
      <c r="A95" s="1">
        <v>44525</v>
      </c>
      <c r="B95" t="s">
        <v>12</v>
      </c>
      <c r="C95" t="str">
        <f>TEXT(automotive_demand_forecasting_dataset5678[[#This Row],[Date]],"mmmm")</f>
        <v>November</v>
      </c>
      <c r="D95" t="str">
        <f>CHOOSE(MATCH(MONTH(A95), {1,4,7,10}), "Winter", "Spring", "Summer", "Autumn")</f>
        <v>Autumn</v>
      </c>
      <c r="E95">
        <f>YEAR(automotive_demand_forecasting_dataset5678[[#This Row],[Date]])</f>
        <v>2021</v>
      </c>
      <c r="F95">
        <v>104</v>
      </c>
      <c r="G95">
        <f>(automotive_demand_forecasting_dataset5678[[#This Row],[Units_Sold]] -$C$4) / $C$5</f>
        <v>0.48143859775656078</v>
      </c>
      <c r="H95" s="47" t="str">
        <f t="shared" ca="1" si="6"/>
        <v>South</v>
      </c>
      <c r="I95">
        <v>36586.970328171628</v>
      </c>
      <c r="J95">
        <v>2.9291554429332476</v>
      </c>
      <c r="K95">
        <v>0.89244013563102587</v>
      </c>
      <c r="L95">
        <f>6.97388673</f>
        <v>6.9738867300000003</v>
      </c>
      <c r="M95">
        <v>98127.276225216585</v>
      </c>
      <c r="N95" s="82">
        <v>91</v>
      </c>
      <c r="O95">
        <v>55.923020829596936</v>
      </c>
      <c r="P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95" t="str">
        <f t="shared" ca="1" si="7"/>
        <v>TV</v>
      </c>
      <c r="R95" s="46">
        <f>automotive_demand_forecasting_dataset5678[[#This Row],[Units_Sold]]*automotive_demand_forecasting_dataset5678[[#This Row],[Average_Price]]</f>
        <v>3805044.9141298495</v>
      </c>
      <c r="S95" t="str">
        <f t="shared" ca="1" si="8"/>
        <v>OK</v>
      </c>
    </row>
    <row r="96" spans="1:19">
      <c r="A96" s="1">
        <v>44555</v>
      </c>
      <c r="B96" t="s">
        <v>10</v>
      </c>
      <c r="C96" t="str">
        <f>TEXT(automotive_demand_forecasting_dataset5678[[#This Row],[Date]],"mmmm")</f>
        <v>December</v>
      </c>
      <c r="D96" t="str">
        <f>CHOOSE(MATCH(MONTH(A96), {1,4,7,10}), "Winter", "Spring", "Summer", "Autumn")</f>
        <v>Autumn</v>
      </c>
      <c r="E96">
        <f>YEAR(automotive_demand_forecasting_dataset5678[[#This Row],[Date]])</f>
        <v>2021</v>
      </c>
      <c r="F96">
        <v>89</v>
      </c>
      <c r="G96">
        <f>(automotive_demand_forecasting_dataset5678[[#This Row],[Units_Sold]] -$C$4) / $C$5</f>
        <v>-1.0550675652962918</v>
      </c>
      <c r="H96" s="47" t="str">
        <f t="shared" ca="1" si="6"/>
        <v>North</v>
      </c>
      <c r="I96">
        <v>30987.998023461998</v>
      </c>
      <c r="J96">
        <v>3.4031702703601407</v>
      </c>
      <c r="K96">
        <v>1.7372752214337859</v>
      </c>
      <c r="L96">
        <v>6.1567177568535607</v>
      </c>
      <c r="M96">
        <v>126515.93295084379</v>
      </c>
      <c r="N96" s="82">
        <f>111.9136842</f>
        <v>111.91368420000001</v>
      </c>
      <c r="O96">
        <v>56.744295057045903</v>
      </c>
      <c r="P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96" t="str">
        <f t="shared" ca="1" si="7"/>
        <v>Print</v>
      </c>
      <c r="R96" s="46">
        <f>automotive_demand_forecasting_dataset5678[[#This Row],[Units_Sold]]*automotive_demand_forecasting_dataset5678[[#This Row],[Average_Price]]</f>
        <v>2757931.824088118</v>
      </c>
      <c r="S96" t="str">
        <f t="shared" ca="1" si="8"/>
        <v>OK</v>
      </c>
    </row>
    <row r="97" spans="1:19">
      <c r="A97" s="1">
        <v>44585</v>
      </c>
      <c r="B97" t="s">
        <v>11</v>
      </c>
      <c r="C97" t="str">
        <f>TEXT(automotive_demand_forecasting_dataset5678[[#This Row],[Date]],"mmmm")</f>
        <v>January</v>
      </c>
      <c r="D97" t="str">
        <f>CHOOSE(MATCH(MONTH(A97), {1,4,7,10}), "Winter", "Spring", "Summer", "Autumn")</f>
        <v>Winter</v>
      </c>
      <c r="E97">
        <f>YEAR(automotive_demand_forecasting_dataset5678[[#This Row],[Date]])</f>
        <v>2022</v>
      </c>
      <c r="F97">
        <v>100</v>
      </c>
      <c r="G97">
        <f>(automotive_demand_forecasting_dataset5678[[#This Row],[Units_Sold]] -$C$4) / $C$5</f>
        <v>7.1703620942466739E-2</v>
      </c>
      <c r="H97" s="47" t="str">
        <f t="shared" ca="1" si="6"/>
        <v>West</v>
      </c>
      <c r="I97">
        <v>40376.304363126328</v>
      </c>
      <c r="J97">
        <v>3.1415888396985974</v>
      </c>
      <c r="K97">
        <v>1.7308576502127018</v>
      </c>
      <c r="L97">
        <v>6.158660602380837</v>
      </c>
      <c r="M97">
        <v>74256.728628315002</v>
      </c>
      <c r="N97" s="82">
        <v>74</v>
      </c>
      <c r="O97">
        <v>26.157534640641387</v>
      </c>
      <c r="P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97" t="str">
        <f t="shared" ca="1" si="7"/>
        <v>Radio</v>
      </c>
      <c r="R97" s="46">
        <f>automotive_demand_forecasting_dataset5678[[#This Row],[Units_Sold]]*automotive_demand_forecasting_dataset5678[[#This Row],[Average_Price]]</f>
        <v>4037630.4363126326</v>
      </c>
      <c r="S97" t="str">
        <f t="shared" ca="1" si="8"/>
        <v>OK</v>
      </c>
    </row>
    <row r="98" spans="1:19">
      <c r="A98" s="1">
        <v>44615</v>
      </c>
      <c r="B98" t="s">
        <v>14</v>
      </c>
      <c r="C98" t="str">
        <f>TEXT(automotive_demand_forecasting_dataset5678[[#This Row],[Date]],"mmmm")</f>
        <v>February</v>
      </c>
      <c r="D98" t="str">
        <f>CHOOSE(MATCH(MONTH(A98), {1,4,7,10}), "Winter", "Spring", "Summer", "Autumn")</f>
        <v>Winter</v>
      </c>
      <c r="E98">
        <f>YEAR(automotive_demand_forecasting_dataset5678[[#This Row],[Date]])</f>
        <v>2022</v>
      </c>
      <c r="F98">
        <v>85</v>
      </c>
      <c r="G98">
        <f>(automotive_demand_forecasting_dataset5678[[#This Row],[Units_Sold]] -$C$4) / $C$5</f>
        <v>-1.4648025421103859</v>
      </c>
      <c r="H98" s="47" t="str">
        <f t="shared" ca="1" si="6"/>
        <v>East</v>
      </c>
      <c r="I98">
        <v>26554.060909552161</v>
      </c>
      <c r="J98">
        <v>2.5667316914634699</v>
      </c>
      <c r="K98">
        <v>1.5600968988911355</v>
      </c>
      <c r="L98">
        <v>5.1940530477355624</v>
      </c>
      <c r="M98">
        <v>72057.636297740173</v>
      </c>
      <c r="N98" s="82">
        <v>80</v>
      </c>
      <c r="O98">
        <v>73.661202035442855</v>
      </c>
      <c r="P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98" t="str">
        <f t="shared" ca="1" si="7"/>
        <v>Online</v>
      </c>
      <c r="R98" s="46">
        <f>automotive_demand_forecasting_dataset5678[[#This Row],[Units_Sold]]*automotive_demand_forecasting_dataset5678[[#This Row],[Average_Price]]</f>
        <v>2257095.1773119336</v>
      </c>
      <c r="S98" t="str">
        <f t="shared" ca="1" si="8"/>
        <v>OK</v>
      </c>
    </row>
    <row r="99" spans="1:19">
      <c r="A99" s="1">
        <v>44645</v>
      </c>
      <c r="B99" t="s">
        <v>11</v>
      </c>
      <c r="C99" t="str">
        <f>TEXT(automotive_demand_forecasting_dataset5678[[#This Row],[Date]],"mmmm")</f>
        <v>March</v>
      </c>
      <c r="D99" t="str">
        <f>CHOOSE(MATCH(MONTH(A99), {1,4,7,10}), "Winter", "Spring", "Summer", "Autumn")</f>
        <v>Winter</v>
      </c>
      <c r="E99">
        <f>YEAR(automotive_demand_forecasting_dataset5678[[#This Row],[Date]])</f>
        <v>2022</v>
      </c>
      <c r="F99">
        <v>101</v>
      </c>
      <c r="G99">
        <f>(automotive_demand_forecasting_dataset5678[[#This Row],[Units_Sold]] -$C$4) / $C$5</f>
        <v>0.17413736514599024</v>
      </c>
      <c r="H99" s="47" t="str">
        <f t="shared" ca="1" si="6"/>
        <v>South</v>
      </c>
      <c r="I99">
        <v>38679.819015826244</v>
      </c>
      <c r="J99">
        <v>3.4586596570786505</v>
      </c>
      <c r="K99">
        <v>3.3294748419317486</v>
      </c>
      <c r="L99">
        <v>5.3494548879965196</v>
      </c>
      <c r="M99">
        <v>88328.013473079904</v>
      </c>
      <c r="N99" s="82">
        <v>81</v>
      </c>
      <c r="O99">
        <v>85.700753629827645</v>
      </c>
      <c r="P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99" t="str">
        <f t="shared" ca="1" si="7"/>
        <v>Print</v>
      </c>
      <c r="R99" s="46">
        <f>automotive_demand_forecasting_dataset5678[[#This Row],[Units_Sold]]*automotive_demand_forecasting_dataset5678[[#This Row],[Average_Price]]</f>
        <v>3906661.7205984509</v>
      </c>
      <c r="S99" t="str">
        <f t="shared" ca="1" si="8"/>
        <v>OK</v>
      </c>
    </row>
    <row r="100" spans="1:19">
      <c r="A100" s="1">
        <v>44675</v>
      </c>
      <c r="B100" t="s">
        <v>10</v>
      </c>
      <c r="C100" t="str">
        <f>TEXT(automotive_demand_forecasting_dataset5678[[#This Row],[Date]],"mmmm")</f>
        <v>April</v>
      </c>
      <c r="D100" t="str">
        <f>CHOOSE(MATCH(MONTH(A100), {1,4,7,10}), "Winter", "Spring", "Summer", "Autumn")</f>
        <v>Spring</v>
      </c>
      <c r="E100">
        <f>YEAR(automotive_demand_forecasting_dataset5678[[#This Row],[Date]])</f>
        <v>2022</v>
      </c>
      <c r="F100">
        <v>104</v>
      </c>
      <c r="G100">
        <f>(automotive_demand_forecasting_dataset5678[[#This Row],[Units_Sold]] -$C$4) / $C$5</f>
        <v>0.48143859775656078</v>
      </c>
      <c r="H100" s="47" t="str">
        <f t="shared" ca="1" si="6"/>
        <v>East</v>
      </c>
      <c r="I100">
        <v>30989.553917313238</v>
      </c>
      <c r="J100">
        <v>3.439126245808358</v>
      </c>
      <c r="K100">
        <v>2.3061738612271965</v>
      </c>
      <c r="L100">
        <v>5.8934554289912287</v>
      </c>
      <c r="M100">
        <v>120767.57702038634</v>
      </c>
      <c r="N100" s="82">
        <v>87</v>
      </c>
      <c r="O100">
        <v>39.572404368377043</v>
      </c>
      <c r="P1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00" t="str">
        <f t="shared" ca="1" si="7"/>
        <v>Radio</v>
      </c>
      <c r="R100" s="46">
        <f>automotive_demand_forecasting_dataset5678[[#This Row],[Units_Sold]]*automotive_demand_forecasting_dataset5678[[#This Row],[Average_Price]]</f>
        <v>3222913.6074005766</v>
      </c>
      <c r="S100" t="str">
        <f t="shared" ca="1" si="8"/>
        <v>OK</v>
      </c>
    </row>
    <row r="101" spans="1:19">
      <c r="A101" s="1">
        <v>44705</v>
      </c>
      <c r="B101" t="s">
        <v>12</v>
      </c>
      <c r="C101" t="str">
        <f>TEXT(automotive_demand_forecasting_dataset5678[[#This Row],[Date]],"mmmm")</f>
        <v>May</v>
      </c>
      <c r="D101" t="str">
        <f>CHOOSE(MATCH(MONTH(A101), {1,4,7,10}), "Winter", "Spring", "Summer", "Autumn")</f>
        <v>Spring</v>
      </c>
      <c r="E101">
        <f>YEAR(automotive_demand_forecasting_dataset5678[[#This Row],[Date]])</f>
        <v>2022</v>
      </c>
      <c r="F101">
        <v>106</v>
      </c>
      <c r="G101">
        <f>(automotive_demand_forecasting_dataset5678[[#This Row],[Units_Sold]] -$C$4) / $C$5</f>
        <v>0.68630608616360778</v>
      </c>
      <c r="H101" s="47" t="str">
        <f t="shared" ca="1" si="6"/>
        <v>West</v>
      </c>
      <c r="I101">
        <v>38106.295579999998</v>
      </c>
      <c r="J101">
        <v>4.2567248716210653</v>
      </c>
      <c r="K101">
        <v>2.2354851586893894</v>
      </c>
      <c r="L101">
        <v>5.6030716075519962</v>
      </c>
      <c r="M101">
        <v>69613.078490463144</v>
      </c>
      <c r="N101" s="82">
        <v>95</v>
      </c>
      <c r="O101">
        <v>53.704070530669171</v>
      </c>
      <c r="P1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01" t="str">
        <f t="shared" ca="1" si="7"/>
        <v>TV</v>
      </c>
      <c r="R101" s="46">
        <f>automotive_demand_forecasting_dataset5678[[#This Row],[Units_Sold]]*automotive_demand_forecasting_dataset5678[[#This Row],[Average_Price]]</f>
        <v>4039267.3314799997</v>
      </c>
      <c r="S101" t="str">
        <f t="shared" ca="1" si="8"/>
        <v>OK</v>
      </c>
    </row>
    <row r="102" spans="1:19">
      <c r="A102" s="1">
        <v>44735</v>
      </c>
      <c r="B102" t="s">
        <v>13</v>
      </c>
      <c r="C102" t="str">
        <f>TEXT(automotive_demand_forecasting_dataset5678[[#This Row],[Date]],"mmmm")</f>
        <v>June</v>
      </c>
      <c r="D102" t="str">
        <f>CHOOSE(MATCH(MONTH(A102), {1,4,7,10}), "Winter", "Spring", "Summer", "Autumn")</f>
        <v>Spring</v>
      </c>
      <c r="E102">
        <f>YEAR(automotive_demand_forecasting_dataset5678[[#This Row],[Date]])</f>
        <v>2022</v>
      </c>
      <c r="F102">
        <v>95</v>
      </c>
      <c r="G102">
        <f>(automotive_demand_forecasting_dataset5678[[#This Row],[Units_Sold]] -$C$4) / $C$5</f>
        <v>-0.44046510007515077</v>
      </c>
      <c r="H102" s="47" t="str">
        <f t="shared" ca="1" si="6"/>
        <v>West</v>
      </c>
      <c r="I102">
        <v>27580.570829728393</v>
      </c>
      <c r="J102">
        <v>3.8154058422773889</v>
      </c>
      <c r="K102">
        <v>0.49613763559324653</v>
      </c>
      <c r="L102">
        <v>2.836839552702958</v>
      </c>
      <c r="M102">
        <v>43356.888037788623</v>
      </c>
      <c r="N102" s="82">
        <v>108</v>
      </c>
      <c r="O102">
        <v>87.107146941221629</v>
      </c>
      <c r="P1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02" t="str">
        <f t="shared" ca="1" si="7"/>
        <v>Billboards</v>
      </c>
      <c r="R102" s="46">
        <f>automotive_demand_forecasting_dataset5678[[#This Row],[Units_Sold]]*automotive_demand_forecasting_dataset5678[[#This Row],[Average_Price]]</f>
        <v>2620154.2288241973</v>
      </c>
      <c r="S102" t="str">
        <f t="shared" ca="1" si="8"/>
        <v>OK</v>
      </c>
    </row>
    <row r="103" spans="1:19">
      <c r="A103" s="1">
        <v>44765</v>
      </c>
      <c r="B103" t="s">
        <v>11</v>
      </c>
      <c r="C103" t="str">
        <f>TEXT(automotive_demand_forecasting_dataset5678[[#This Row],[Date]],"mmmm")</f>
        <v>July</v>
      </c>
      <c r="D103" t="str">
        <f>CHOOSE(MATCH(MONTH(A103), {1,4,7,10}), "Winter", "Spring", "Summer", "Autumn")</f>
        <v>Summer</v>
      </c>
      <c r="E103">
        <f>YEAR(automotive_demand_forecasting_dataset5678[[#This Row],[Date]])</f>
        <v>2022</v>
      </c>
      <c r="F103">
        <v>104</v>
      </c>
      <c r="G103">
        <f>(automotive_demand_forecasting_dataset5678[[#This Row],[Units_Sold]] -$C$4) / $C$5</f>
        <v>0.48143859775656078</v>
      </c>
      <c r="H103" s="47" t="str">
        <f t="shared" ca="1" si="6"/>
        <v>West</v>
      </c>
      <c r="I103">
        <v>28398.2634590284</v>
      </c>
      <c r="J103">
        <v>2.9879065878353974</v>
      </c>
      <c r="K103">
        <v>3.1354180302092263</v>
      </c>
      <c r="L103">
        <v>5.2242404433097676</v>
      </c>
      <c r="M103">
        <v>90976.822831820027</v>
      </c>
      <c r="N103" s="82">
        <v>79</v>
      </c>
      <c r="O103">
        <v>90.169637412983036</v>
      </c>
      <c r="P1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03" t="str">
        <f t="shared" ca="1" si="7"/>
        <v>Billboards</v>
      </c>
      <c r="R103" s="46">
        <f>automotive_demand_forecasting_dataset5678[[#This Row],[Units_Sold]]*automotive_demand_forecasting_dataset5678[[#This Row],[Average_Price]]</f>
        <v>2953419.3997389534</v>
      </c>
      <c r="S103" t="str">
        <f t="shared" ca="1" si="8"/>
        <v>OK</v>
      </c>
    </row>
    <row r="104" spans="1:19">
      <c r="A104" s="1">
        <v>44795</v>
      </c>
      <c r="B104" t="s">
        <v>12</v>
      </c>
      <c r="C104" t="str">
        <f>TEXT(automotive_demand_forecasting_dataset5678[[#This Row],[Date]],"mmmm")</f>
        <v>August</v>
      </c>
      <c r="D104" t="str">
        <f>CHOOSE(MATCH(MONTH(A104), {1,4,7,10}), "Winter", "Spring", "Summer", "Autumn")</f>
        <v>Summer</v>
      </c>
      <c r="E104">
        <f>YEAR(automotive_demand_forecasting_dataset5678[[#This Row],[Date]])</f>
        <v>2022</v>
      </c>
      <c r="F104">
        <v>105</v>
      </c>
      <c r="G104">
        <f>(automotive_demand_forecasting_dataset5678[[#This Row],[Units_Sold]] -$C$4) / $C$5</f>
        <v>0.58387234196008431</v>
      </c>
      <c r="H104" s="47" t="str">
        <f t="shared" ca="1" si="6"/>
        <v>South</v>
      </c>
      <c r="I104">
        <v>32120.829732009581</v>
      </c>
      <c r="J104">
        <v>4.427046283167094</v>
      </c>
      <c r="K104">
        <v>1.2607416051465274</v>
      </c>
      <c r="L104">
        <v>4.478312278887624</v>
      </c>
      <c r="M104">
        <f>128897.2893</f>
        <v>128897.2893</v>
      </c>
      <c r="N104" s="82">
        <v>89</v>
      </c>
      <c r="O104">
        <v>39.454398421138073</v>
      </c>
      <c r="P1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04" t="str">
        <f t="shared" ca="1" si="7"/>
        <v>TV</v>
      </c>
      <c r="R104" s="46">
        <f>automotive_demand_forecasting_dataset5678[[#This Row],[Units_Sold]]*automotive_demand_forecasting_dataset5678[[#This Row],[Average_Price]]</f>
        <v>3372687.1218610061</v>
      </c>
      <c r="S104" t="str">
        <f t="shared" ca="1" si="8"/>
        <v>OK</v>
      </c>
    </row>
    <row r="105" spans="1:19">
      <c r="A105" s="1">
        <v>44825</v>
      </c>
      <c r="B105" t="s">
        <v>14</v>
      </c>
      <c r="C105" t="str">
        <f>TEXT(automotive_demand_forecasting_dataset5678[[#This Row],[Date]],"mmmm")</f>
        <v>September</v>
      </c>
      <c r="D105" t="str">
        <f>CHOOSE(MATCH(MONTH(A105), {1,4,7,10}), "Winter", "Spring", "Summer", "Autumn")</f>
        <v>Summer</v>
      </c>
      <c r="E105">
        <f>YEAR(automotive_demand_forecasting_dataset5678[[#This Row],[Date]])</f>
        <v>2022</v>
      </c>
      <c r="F105">
        <v>84</v>
      </c>
      <c r="G105">
        <f>(automotive_demand_forecasting_dataset5678[[#This Row],[Units_Sold]] -$C$4) / $C$5</f>
        <v>-1.5672362863139093</v>
      </c>
      <c r="H105" s="47" t="str">
        <f t="shared" ca="1" si="6"/>
        <v>North</v>
      </c>
      <c r="I105">
        <v>32614.177440177496</v>
      </c>
      <c r="J105">
        <v>4.1105168477626766</v>
      </c>
      <c r="K105">
        <v>2.5599326302663283</v>
      </c>
      <c r="L105">
        <v>5.7102537026902143</v>
      </c>
      <c r="M105">
        <v>124005.23499477659</v>
      </c>
      <c r="N105" s="82">
        <v>95</v>
      </c>
      <c r="O105">
        <v>64.045650763309141</v>
      </c>
      <c r="P1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05" t="str">
        <f t="shared" ca="1" si="7"/>
        <v>Radio</v>
      </c>
      <c r="R105" s="46">
        <f>automotive_demand_forecasting_dataset5678[[#This Row],[Units_Sold]]*automotive_demand_forecasting_dataset5678[[#This Row],[Average_Price]]</f>
        <v>2739590.9049749095</v>
      </c>
      <c r="S105" t="str">
        <f t="shared" ca="1" si="8"/>
        <v>OK</v>
      </c>
    </row>
    <row r="106" spans="1:19">
      <c r="A106" s="1">
        <v>44855</v>
      </c>
      <c r="B106" t="s">
        <v>14</v>
      </c>
      <c r="C106" t="str">
        <f>TEXT(automotive_demand_forecasting_dataset5678[[#This Row],[Date]],"mmmm")</f>
        <v>October</v>
      </c>
      <c r="D106" t="str">
        <f>CHOOSE(MATCH(MONTH(A106), {1,4,7,10}), "Winter", "Spring", "Summer", "Autumn")</f>
        <v>Autumn</v>
      </c>
      <c r="E106">
        <f>YEAR(automotive_demand_forecasting_dataset5678[[#This Row],[Date]])</f>
        <v>2022</v>
      </c>
      <c r="F106">
        <v>93</v>
      </c>
      <c r="G106">
        <f>(automotive_demand_forecasting_dataset5678[[#This Row],[Units_Sold]] -$C$4) / $C$5</f>
        <v>-0.64533258848219777</v>
      </c>
      <c r="H106" s="47" t="str">
        <f t="shared" ca="1" si="6"/>
        <v>West</v>
      </c>
      <c r="I106">
        <v>27131.499980307104</v>
      </c>
      <c r="J106">
        <v>3.7910488517343079</v>
      </c>
      <c r="K106">
        <v>2.7773769379581918</v>
      </c>
      <c r="L106">
        <v>5.616047043</v>
      </c>
      <c r="M106">
        <v>90736.77275829202</v>
      </c>
      <c r="N106" s="82">
        <v>96</v>
      </c>
      <c r="O106">
        <v>35.399452050866167</v>
      </c>
      <c r="P1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06" t="str">
        <f t="shared" ca="1" si="7"/>
        <v>Billboards</v>
      </c>
      <c r="R106" s="46">
        <f>automotive_demand_forecasting_dataset5678[[#This Row],[Units_Sold]]*automotive_demand_forecasting_dataset5678[[#This Row],[Average_Price]]</f>
        <v>2523229.4981685607</v>
      </c>
      <c r="S106" t="str">
        <f t="shared" ca="1" si="8"/>
        <v>OK</v>
      </c>
    </row>
    <row r="107" spans="1:19">
      <c r="A107" s="1">
        <v>44885</v>
      </c>
      <c r="B107" t="s">
        <v>14</v>
      </c>
      <c r="C107" t="str">
        <f>TEXT(automotive_demand_forecasting_dataset5678[[#This Row],[Date]],"mmmm")</f>
        <v>November</v>
      </c>
      <c r="D107" t="str">
        <f>CHOOSE(MATCH(MONTH(A107), {1,4,7,10}), "Winter", "Spring", "Summer", "Autumn")</f>
        <v>Autumn</v>
      </c>
      <c r="E107">
        <f>YEAR(automotive_demand_forecasting_dataset5678[[#This Row],[Date]])</f>
        <v>2022</v>
      </c>
      <c r="F107">
        <v>115</v>
      </c>
      <c r="G107">
        <f>(automotive_demand_forecasting_dataset5678[[#This Row],[Units_Sold]] -$C$4) / $C$5</f>
        <v>1.6082097839953193</v>
      </c>
      <c r="H107" s="47" t="str">
        <f t="shared" ca="1" si="6"/>
        <v>South</v>
      </c>
      <c r="I107">
        <v>29878.227038695084</v>
      </c>
      <c r="J107">
        <v>3.3867579505750842</v>
      </c>
      <c r="K107">
        <v>3.8606585958386512</v>
      </c>
      <c r="L107">
        <v>5.9409779985691653</v>
      </c>
      <c r="M107">
        <v>91771.467857679949</v>
      </c>
      <c r="N107" s="82">
        <v>103</v>
      </c>
      <c r="O107">
        <v>28.150301131164525</v>
      </c>
      <c r="P1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07" t="str">
        <f t="shared" ca="1" si="7"/>
        <v>TV</v>
      </c>
      <c r="R107" s="46">
        <f>automotive_demand_forecasting_dataset5678[[#This Row],[Units_Sold]]*automotive_demand_forecasting_dataset5678[[#This Row],[Average_Price]]</f>
        <v>3435996.1094499347</v>
      </c>
      <c r="S107" t="str">
        <f t="shared" ca="1" si="8"/>
        <v>OK</v>
      </c>
    </row>
    <row r="108" spans="1:19">
      <c r="A108" s="1">
        <v>44915</v>
      </c>
      <c r="B108" t="s">
        <v>12</v>
      </c>
      <c r="C108" t="str">
        <f>TEXT(automotive_demand_forecasting_dataset5678[[#This Row],[Date]],"mmmm")</f>
        <v>December</v>
      </c>
      <c r="D108" t="str">
        <f>CHOOSE(MATCH(MONTH(A108), {1,4,7,10}), "Winter", "Spring", "Summer", "Autumn")</f>
        <v>Autumn</v>
      </c>
      <c r="E108">
        <f>YEAR(automotive_demand_forecasting_dataset5678[[#This Row],[Date]])</f>
        <v>2022</v>
      </c>
      <c r="F108">
        <v>109</v>
      </c>
      <c r="G108">
        <f>(automotive_demand_forecasting_dataset5678[[#This Row],[Units_Sold]] -$C$4) / $C$5</f>
        <v>0.99360731877417829</v>
      </c>
      <c r="H108" s="47" t="str">
        <f t="shared" ca="1" si="6"/>
        <v>South</v>
      </c>
      <c r="I108">
        <v>40711.351793059323</v>
      </c>
      <c r="J108">
        <v>3.0202803816382602</v>
      </c>
      <c r="K108">
        <v>1.1911796008808879</v>
      </c>
      <c r="L108">
        <v>5.1237643765931224</v>
      </c>
      <c r="M108">
        <v>123078.01468511495</v>
      </c>
      <c r="N108" s="82">
        <v>82</v>
      </c>
      <c r="O108">
        <v>92.889640111356599</v>
      </c>
      <c r="P1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08" t="str">
        <f t="shared" ca="1" si="7"/>
        <v>Online</v>
      </c>
      <c r="R108" s="46">
        <f>automotive_demand_forecasting_dataset5678[[#This Row],[Units_Sold]]*automotive_demand_forecasting_dataset5678[[#This Row],[Average_Price]]</f>
        <v>4437537.3454434657</v>
      </c>
      <c r="S108" t="str">
        <f t="shared" ca="1" si="8"/>
        <v>OK</v>
      </c>
    </row>
    <row r="109" spans="1:19">
      <c r="A109" s="1">
        <v>44945</v>
      </c>
      <c r="B109" t="s">
        <v>11</v>
      </c>
      <c r="C109" t="str">
        <f>TEXT(automotive_demand_forecasting_dataset5678[[#This Row],[Date]],"mmmm")</f>
        <v>January</v>
      </c>
      <c r="D109" t="str">
        <f>CHOOSE(MATCH(MONTH(A109), {1,4,7,10}), "Winter", "Spring", "Summer", "Autumn")</f>
        <v>Winter</v>
      </c>
      <c r="E109">
        <f>YEAR(automotive_demand_forecasting_dataset5678[[#This Row],[Date]])</f>
        <v>2023</v>
      </c>
      <c r="F109">
        <v>102</v>
      </c>
      <c r="G109">
        <f>(automotive_demand_forecasting_dataset5678[[#This Row],[Units_Sold]] -$C$4) / $C$5</f>
        <v>0.27657110934951373</v>
      </c>
      <c r="H109" s="47" t="str">
        <f t="shared" ca="1" si="6"/>
        <v>East</v>
      </c>
      <c r="I109">
        <v>38637.715850503555</v>
      </c>
      <c r="J109">
        <v>3.3138966119644735</v>
      </c>
      <c r="K109">
        <v>2.6520564320000002</v>
      </c>
      <c r="L109">
        <v>6.6061618023727027</v>
      </c>
      <c r="M109">
        <v>62605.166006091589</v>
      </c>
      <c r="N109" s="82">
        <v>83</v>
      </c>
      <c r="O109">
        <v>85.640600338568731</v>
      </c>
      <c r="P1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09" t="str">
        <f t="shared" ca="1" si="7"/>
        <v>Radio</v>
      </c>
      <c r="R109" s="46">
        <f>automotive_demand_forecasting_dataset5678[[#This Row],[Units_Sold]]*automotive_demand_forecasting_dataset5678[[#This Row],[Average_Price]]</f>
        <v>3941047.0167513625</v>
      </c>
      <c r="S109" t="str">
        <f t="shared" ca="1" si="8"/>
        <v>OK</v>
      </c>
    </row>
    <row r="110" spans="1:19">
      <c r="A110" s="1">
        <v>44975</v>
      </c>
      <c r="B110" t="s">
        <v>12</v>
      </c>
      <c r="C110" t="str">
        <f>TEXT(automotive_demand_forecasting_dataset5678[[#This Row],[Date]],"mmmm")</f>
        <v>February</v>
      </c>
      <c r="D110" t="str">
        <f>CHOOSE(MATCH(MONTH(A110), {1,4,7,10}), "Winter", "Spring", "Summer", "Autumn")</f>
        <v>Winter</v>
      </c>
      <c r="E110">
        <f>YEAR(automotive_demand_forecasting_dataset5678[[#This Row],[Date]])</f>
        <v>2023</v>
      </c>
      <c r="F110">
        <v>100</v>
      </c>
      <c r="G110">
        <f>(automotive_demand_forecasting_dataset5678[[#This Row],[Units_Sold]] -$C$4) / $C$5</f>
        <v>7.1703620942466739E-2</v>
      </c>
      <c r="H110" s="47" t="str">
        <f t="shared" ca="1" si="6"/>
        <v>North</v>
      </c>
      <c r="I110">
        <v>32181.618348370161</v>
      </c>
      <c r="J110">
        <v>4.0443743098520928</v>
      </c>
      <c r="K110">
        <v>2.683849544753695</v>
      </c>
      <c r="L110">
        <v>6.0792254646510555</v>
      </c>
      <c r="M110">
        <v>92229.584496339812</v>
      </c>
      <c r="N110" s="82">
        <v>78</v>
      </c>
      <c r="O110">
        <v>80.802792144253914</v>
      </c>
      <c r="P1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10" t="str">
        <f t="shared" ca="1" si="7"/>
        <v>Billboards</v>
      </c>
      <c r="R110" s="46">
        <f>automotive_demand_forecasting_dataset5678[[#This Row],[Units_Sold]]*automotive_demand_forecasting_dataset5678[[#This Row],[Average_Price]]</f>
        <v>3218161.8348370162</v>
      </c>
      <c r="S110" t="str">
        <f t="shared" ca="1" si="8"/>
        <v>OK</v>
      </c>
    </row>
    <row r="111" spans="1:19">
      <c r="A111" s="1">
        <v>45005</v>
      </c>
      <c r="B111" t="s">
        <v>12</v>
      </c>
      <c r="C111" t="str">
        <f>TEXT(automotive_demand_forecasting_dataset5678[[#This Row],[Date]],"mmmm")</f>
        <v>March</v>
      </c>
      <c r="D111" t="str">
        <f>CHOOSE(MATCH(MONTH(A111), {1,4,7,10}), "Winter", "Spring", "Summer", "Autumn")</f>
        <v>Winter</v>
      </c>
      <c r="E111">
        <f>YEAR(automotive_demand_forecasting_dataset5678[[#This Row],[Date]])</f>
        <v>2023</v>
      </c>
      <c r="F111">
        <v>93</v>
      </c>
      <c r="G111">
        <f>(automotive_demand_forecasting_dataset5678[[#This Row],[Units_Sold]] -$C$4) / $C$5</f>
        <v>-0.64533258848219777</v>
      </c>
      <c r="H111" s="47" t="str">
        <f t="shared" ca="1" si="6"/>
        <v>West</v>
      </c>
      <c r="I111">
        <v>30190.017390841</v>
      </c>
      <c r="J111">
        <v>4.4422931529673049</v>
      </c>
      <c r="K111">
        <v>4.3005111815108537</v>
      </c>
      <c r="L111">
        <v>6.0041133885422093</v>
      </c>
      <c r="M111">
        <v>103808.47779850116</v>
      </c>
      <c r="N111" s="82">
        <v>90</v>
      </c>
      <c r="O111">
        <v>23.901305505051234</v>
      </c>
      <c r="P1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11" t="str">
        <f t="shared" ca="1" si="7"/>
        <v>Online</v>
      </c>
      <c r="R111" s="46">
        <f>automotive_demand_forecasting_dataset5678[[#This Row],[Units_Sold]]*automotive_demand_forecasting_dataset5678[[#This Row],[Average_Price]]</f>
        <v>2807671.6173482127</v>
      </c>
      <c r="S111" t="str">
        <f t="shared" ca="1" si="8"/>
        <v>OK</v>
      </c>
    </row>
    <row r="112" spans="1:19">
      <c r="A112" s="1">
        <v>45035</v>
      </c>
      <c r="B112" t="s">
        <v>13</v>
      </c>
      <c r="C112" t="str">
        <f>TEXT(automotive_demand_forecasting_dataset5678[[#This Row],[Date]],"mmmm")</f>
        <v>April</v>
      </c>
      <c r="D112" t="str">
        <f>CHOOSE(MATCH(MONTH(A112), {1,4,7,10}), "Winter", "Spring", "Summer", "Autumn")</f>
        <v>Spring</v>
      </c>
      <c r="E112">
        <f>YEAR(automotive_demand_forecasting_dataset5678[[#This Row],[Date]])</f>
        <v>2023</v>
      </c>
      <c r="F112">
        <v>100</v>
      </c>
      <c r="G112">
        <f>(automotive_demand_forecasting_dataset5678[[#This Row],[Units_Sold]] -$C$4) / $C$5</f>
        <v>7.1703620942466739E-2</v>
      </c>
      <c r="H112" s="47" t="str">
        <f t="shared" ca="1" si="6"/>
        <v>North</v>
      </c>
      <c r="I112">
        <v>30600.156633591305</v>
      </c>
      <c r="J112">
        <v>4.2716217641360945</v>
      </c>
      <c r="K112">
        <v>3.7389463529394371</v>
      </c>
      <c r="L112">
        <v>6.2282207118588051</v>
      </c>
      <c r="M112">
        <v>108984.37442570069</v>
      </c>
      <c r="N112" s="82">
        <v>90</v>
      </c>
      <c r="O112">
        <v>87.49830341682059</v>
      </c>
      <c r="P1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12" t="str">
        <f t="shared" ca="1" si="7"/>
        <v>TV</v>
      </c>
      <c r="R112" s="46">
        <f>automotive_demand_forecasting_dataset5678[[#This Row],[Units_Sold]]*automotive_demand_forecasting_dataset5678[[#This Row],[Average_Price]]</f>
        <v>3060015.6633591303</v>
      </c>
      <c r="S112" t="str">
        <f t="shared" ca="1" si="8"/>
        <v>OK</v>
      </c>
    </row>
    <row r="113" spans="1:19">
      <c r="A113" s="1">
        <v>45065</v>
      </c>
      <c r="B113" t="s">
        <v>13</v>
      </c>
      <c r="C113" t="str">
        <f>TEXT(automotive_demand_forecasting_dataset5678[[#This Row],[Date]],"mmmm")</f>
        <v>May</v>
      </c>
      <c r="D113" t="str">
        <f>CHOOSE(MATCH(MONTH(A113), {1,4,7,10}), "Winter", "Spring", "Summer", "Autumn")</f>
        <v>Spring</v>
      </c>
      <c r="E113">
        <f>YEAR(automotive_demand_forecasting_dataset5678[[#This Row],[Date]])</f>
        <v>2023</v>
      </c>
      <c r="F113">
        <v>117</v>
      </c>
      <c r="G113">
        <f>(automotive_demand_forecasting_dataset5678[[#This Row],[Units_Sold]] -$C$4) / $C$5</f>
        <v>1.8130772724023663</v>
      </c>
      <c r="H113" s="47" t="str">
        <f t="shared" ca="1" si="6"/>
        <v>West</v>
      </c>
      <c r="I113">
        <v>33067.589863652087</v>
      </c>
      <c r="J113">
        <v>3.2555752891068628</v>
      </c>
      <c r="K113">
        <v>2.7096594152746256</v>
      </c>
      <c r="L113">
        <v>7.9678522777954495</v>
      </c>
      <c r="M113">
        <v>102916.7736</v>
      </c>
      <c r="N113" s="82">
        <v>98</v>
      </c>
      <c r="O113">
        <v>55.043526072430701</v>
      </c>
      <c r="P1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13" t="str">
        <f t="shared" ca="1" si="7"/>
        <v>Print</v>
      </c>
      <c r="R113" s="46">
        <f>automotive_demand_forecasting_dataset5678[[#This Row],[Units_Sold]]*automotive_demand_forecasting_dataset5678[[#This Row],[Average_Price]]</f>
        <v>3868908.0140472944</v>
      </c>
      <c r="S113" t="str">
        <f t="shared" ca="1" si="8"/>
        <v>OK</v>
      </c>
    </row>
    <row r="114" spans="1:19">
      <c r="A114" s="1">
        <v>45095</v>
      </c>
      <c r="B114" t="s">
        <v>11</v>
      </c>
      <c r="C114" t="str">
        <f>TEXT(automotive_demand_forecasting_dataset5678[[#This Row],[Date]],"mmmm")</f>
        <v>June</v>
      </c>
      <c r="D114" t="str">
        <f>CHOOSE(MATCH(MONTH(A114), {1,4,7,10}), "Winter", "Spring", "Summer", "Autumn")</f>
        <v>Spring</v>
      </c>
      <c r="E114">
        <f>YEAR(automotive_demand_forecasting_dataset5678[[#This Row],[Date]])</f>
        <v>2023</v>
      </c>
      <c r="F114">
        <v>98</v>
      </c>
      <c r="G114">
        <f>(automotive_demand_forecasting_dataset5678[[#This Row],[Units_Sold]] -$C$4) / $C$5</f>
        <v>-0.13316386746458025</v>
      </c>
      <c r="H114" s="47" t="str">
        <f t="shared" ca="1" si="6"/>
        <v>East</v>
      </c>
      <c r="I114">
        <v>24886.037174007972</v>
      </c>
      <c r="J114">
        <v>2.9401912833554942</v>
      </c>
      <c r="K114">
        <v>2.0083638143679527</v>
      </c>
      <c r="L114">
        <v>4.1429338776089013</v>
      </c>
      <c r="M114">
        <v>100688.82023411682</v>
      </c>
      <c r="N114" s="82">
        <v>87</v>
      </c>
      <c r="O114">
        <v>47.391609863668769</v>
      </c>
      <c r="P1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14" t="str">
        <f t="shared" ca="1" si="7"/>
        <v>Billboards</v>
      </c>
      <c r="R114" s="46">
        <f>automotive_demand_forecasting_dataset5678[[#This Row],[Units_Sold]]*automotive_demand_forecasting_dataset5678[[#This Row],[Average_Price]]</f>
        <v>2438831.643052781</v>
      </c>
      <c r="S114" t="str">
        <f t="shared" ca="1" si="8"/>
        <v>OK</v>
      </c>
    </row>
    <row r="115" spans="1:19">
      <c r="A115" s="1">
        <v>45125</v>
      </c>
      <c r="B115" t="s">
        <v>13</v>
      </c>
      <c r="C115" t="str">
        <f>TEXT(automotive_demand_forecasting_dataset5678[[#This Row],[Date]],"mmmm")</f>
        <v>July</v>
      </c>
      <c r="D115" t="str">
        <f>CHOOSE(MATCH(MONTH(A115), {1,4,7,10}), "Winter", "Spring", "Summer", "Autumn")</f>
        <v>Summer</v>
      </c>
      <c r="E115">
        <f>YEAR(automotive_demand_forecasting_dataset5678[[#This Row],[Date]])</f>
        <v>2023</v>
      </c>
      <c r="F115">
        <v>94</v>
      </c>
      <c r="G115">
        <f>(automotive_demand_forecasting_dataset5678[[#This Row],[Units_Sold]] -$C$4) / $C$5</f>
        <v>-0.5428988442786743</v>
      </c>
      <c r="H115" s="47" t="str">
        <f t="shared" ca="1" si="6"/>
        <v>North</v>
      </c>
      <c r="I115">
        <v>28713.117312883274</v>
      </c>
      <c r="J115">
        <v>3.5704431234556018</v>
      </c>
      <c r="K115">
        <v>3.3071225966373103</v>
      </c>
      <c r="L115">
        <v>6.0683584921737452</v>
      </c>
      <c r="M115">
        <v>50233.452931740212</v>
      </c>
      <c r="N115" s="82">
        <v>108</v>
      </c>
      <c r="O115">
        <v>63.718108882030116</v>
      </c>
      <c r="P1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15" t="str">
        <f t="shared" ca="1" si="7"/>
        <v>TV</v>
      </c>
      <c r="R115" s="46">
        <f>automotive_demand_forecasting_dataset5678[[#This Row],[Units_Sold]]*automotive_demand_forecasting_dataset5678[[#This Row],[Average_Price]]</f>
        <v>2699033.0274110278</v>
      </c>
      <c r="S115" t="str">
        <f t="shared" ca="1" si="8"/>
        <v>OK</v>
      </c>
    </row>
    <row r="116" spans="1:19">
      <c r="A116" s="1">
        <v>45155</v>
      </c>
      <c r="B116" t="s">
        <v>14</v>
      </c>
      <c r="C116" t="str">
        <f>TEXT(automotive_demand_forecasting_dataset5678[[#This Row],[Date]],"mmmm")</f>
        <v>August</v>
      </c>
      <c r="D116" t="str">
        <f>CHOOSE(MATCH(MONTH(A116), {1,4,7,10}), "Winter", "Spring", "Summer", "Autumn")</f>
        <v>Summer</v>
      </c>
      <c r="E116">
        <f>YEAR(automotive_demand_forecasting_dataset5678[[#This Row],[Date]])</f>
        <v>2023</v>
      </c>
      <c r="F116">
        <v>112</v>
      </c>
      <c r="G116">
        <f>(automotive_demand_forecasting_dataset5678[[#This Row],[Units_Sold]] -$C$4) / $C$5</f>
        <v>1.3009085513847487</v>
      </c>
      <c r="H116" s="47" t="str">
        <f t="shared" ca="1" si="6"/>
        <v>North</v>
      </c>
      <c r="I116">
        <v>21657.079630612054</v>
      </c>
      <c r="J116">
        <v>2.6157803172185741</v>
      </c>
      <c r="K116">
        <f t="shared" ref="K116" si="11">3.224108373</f>
        <v>3.224108373</v>
      </c>
      <c r="L116">
        <v>4.3883426440221545</v>
      </c>
      <c r="M116">
        <v>86835.031753323041</v>
      </c>
      <c r="N116" s="82">
        <v>98</v>
      </c>
      <c r="O116">
        <v>27.308259417884464</v>
      </c>
      <c r="P1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16" t="str">
        <f t="shared" ca="1" si="7"/>
        <v>Online</v>
      </c>
      <c r="R116" s="46">
        <f>automotive_demand_forecasting_dataset5678[[#This Row],[Units_Sold]]*automotive_demand_forecasting_dataset5678[[#This Row],[Average_Price]]</f>
        <v>2425592.9186285501</v>
      </c>
      <c r="S116" t="str">
        <f t="shared" ca="1" si="8"/>
        <v>OK</v>
      </c>
    </row>
    <row r="117" spans="1:19">
      <c r="A117" s="1">
        <v>45185</v>
      </c>
      <c r="B117" t="s">
        <v>13</v>
      </c>
      <c r="C117" t="str">
        <f>TEXT(automotive_demand_forecasting_dataset5678[[#This Row],[Date]],"mmmm")</f>
        <v>September</v>
      </c>
      <c r="D117" t="str">
        <f>CHOOSE(MATCH(MONTH(A117), {1,4,7,10}), "Winter", "Spring", "Summer", "Autumn")</f>
        <v>Summer</v>
      </c>
      <c r="E117">
        <f>YEAR(automotive_demand_forecasting_dataset5678[[#This Row],[Date]])</f>
        <v>2023</v>
      </c>
      <c r="F117">
        <v>89</v>
      </c>
      <c r="G117">
        <f>(automotive_demand_forecasting_dataset5678[[#This Row],[Units_Sold]] -$C$4) / $C$5</f>
        <v>-1.0550675652962918</v>
      </c>
      <c r="H117" s="47" t="str">
        <f t="shared" ca="1" si="6"/>
        <v>West</v>
      </c>
      <c r="I117">
        <v>31996.115613026395</v>
      </c>
      <c r="J117">
        <v>3.6615838570923906</v>
      </c>
      <c r="K117">
        <v>2.9763577693562193</v>
      </c>
      <c r="L117">
        <v>6.1666151756106977</v>
      </c>
      <c r="M117">
        <v>109070.17425108935</v>
      </c>
      <c r="N117" s="82">
        <v>87</v>
      </c>
      <c r="O117">
        <v>80.53172394819191</v>
      </c>
      <c r="P1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17" t="str">
        <f t="shared" ca="1" si="7"/>
        <v>Radio</v>
      </c>
      <c r="R117" s="46">
        <f>automotive_demand_forecasting_dataset5678[[#This Row],[Units_Sold]]*automotive_demand_forecasting_dataset5678[[#This Row],[Average_Price]]</f>
        <v>2847654.289559349</v>
      </c>
      <c r="S117" t="str">
        <f t="shared" ca="1" si="8"/>
        <v>OK</v>
      </c>
    </row>
    <row r="118" spans="1:19">
      <c r="A118" s="1">
        <v>45215</v>
      </c>
      <c r="B118" t="s">
        <v>14</v>
      </c>
      <c r="C118" t="str">
        <f>TEXT(automotive_demand_forecasting_dataset5678[[#This Row],[Date]],"mmmm")</f>
        <v>October</v>
      </c>
      <c r="D118" t="str">
        <f>CHOOSE(MATCH(MONTH(A118), {1,4,7,10}), "Winter", "Spring", "Summer", "Autumn")</f>
        <v>Autumn</v>
      </c>
      <c r="E118">
        <f>YEAR(automotive_demand_forecasting_dataset5678[[#This Row],[Date]])</f>
        <v>2023</v>
      </c>
      <c r="F118">
        <v>119</v>
      </c>
      <c r="G118">
        <f>(automotive_demand_forecasting_dataset5678[[#This Row],[Units_Sold]] -$C$4) / $C$5</f>
        <v>2.0179447608094132</v>
      </c>
      <c r="H118" s="47" t="str">
        <f t="shared" ca="1" si="6"/>
        <v>West</v>
      </c>
      <c r="I118">
        <v>33235.979698513707</v>
      </c>
      <c r="J118">
        <v>3.4261987068506659</v>
      </c>
      <c r="K118">
        <v>3.0054701591666269</v>
      </c>
      <c r="L118">
        <v>4.3975761862166873</v>
      </c>
      <c r="M118">
        <v>80354.119314906406</v>
      </c>
      <c r="N118" s="82">
        <v>95</v>
      </c>
      <c r="O118">
        <v>66.594806151063665</v>
      </c>
      <c r="P1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18" t="str">
        <f t="shared" ca="1" si="7"/>
        <v>Online</v>
      </c>
      <c r="R118" s="46">
        <f>automotive_demand_forecasting_dataset5678[[#This Row],[Units_Sold]]*automotive_demand_forecasting_dataset5678[[#This Row],[Average_Price]]</f>
        <v>3955081.5841231314</v>
      </c>
      <c r="S118" t="str">
        <f t="shared" ca="1" si="8"/>
        <v>OK</v>
      </c>
    </row>
    <row r="119" spans="1:19">
      <c r="A119" s="1">
        <v>45245</v>
      </c>
      <c r="B119" t="s">
        <v>11</v>
      </c>
      <c r="C119" t="str">
        <f>TEXT(automotive_demand_forecasting_dataset5678[[#This Row],[Date]],"mmmm")</f>
        <v>November</v>
      </c>
      <c r="D119" t="str">
        <f>CHOOSE(MATCH(MONTH(A119), {1,4,7,10}), "Winter", "Spring", "Summer", "Autumn")</f>
        <v>Autumn</v>
      </c>
      <c r="E119">
        <f>YEAR(automotive_demand_forecasting_dataset5678[[#This Row],[Date]])</f>
        <v>2023</v>
      </c>
      <c r="F119">
        <v>102</v>
      </c>
      <c r="G119">
        <f>(automotive_demand_forecasting_dataset5678[[#This Row],[Units_Sold]] -$C$4) / $C$5</f>
        <v>0.27657110934951373</v>
      </c>
      <c r="H119" s="47" t="str">
        <f t="shared" ca="1" si="6"/>
        <v>South</v>
      </c>
      <c r="I119">
        <v>27584.067688503128</v>
      </c>
      <c r="J119">
        <v>3.266981749065879</v>
      </c>
      <c r="K119">
        <v>3.56020990749888</v>
      </c>
      <c r="L119">
        <v>4.9991598236738986</v>
      </c>
      <c r="M119">
        <f>128897.2893</f>
        <v>128897.2893</v>
      </c>
      <c r="N119" s="82">
        <v>92</v>
      </c>
      <c r="O119">
        <v>34.927207749853402</v>
      </c>
      <c r="P1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19" t="str">
        <f t="shared" ca="1" si="7"/>
        <v>Billboards</v>
      </c>
      <c r="R119" s="46">
        <f>automotive_demand_forecasting_dataset5678[[#This Row],[Units_Sold]]*automotive_demand_forecasting_dataset5678[[#This Row],[Average_Price]]</f>
        <v>2813574.9042273192</v>
      </c>
      <c r="S119" t="str">
        <f t="shared" ca="1" si="8"/>
        <v>OK</v>
      </c>
    </row>
    <row r="120" spans="1:19">
      <c r="A120" s="1">
        <v>45275</v>
      </c>
      <c r="B120" t="s">
        <v>12</v>
      </c>
      <c r="C120" t="str">
        <f>TEXT(automotive_demand_forecasting_dataset5678[[#This Row],[Date]],"mmmm")</f>
        <v>December</v>
      </c>
      <c r="D120" t="str">
        <f>CHOOSE(MATCH(MONTH(A120), {1,4,7,10}), "Winter", "Spring", "Summer", "Autumn")</f>
        <v>Autumn</v>
      </c>
      <c r="E120">
        <f>YEAR(automotive_demand_forecasting_dataset5678[[#This Row],[Date]])</f>
        <v>2023</v>
      </c>
      <c r="F120">
        <v>87</v>
      </c>
      <c r="G120">
        <f>(automotive_demand_forecasting_dataset5678[[#This Row],[Units_Sold]] -$C$4) / $C$5</f>
        <v>-1.2599350537033389</v>
      </c>
      <c r="H120" s="47" t="str">
        <f t="shared" ca="1" si="6"/>
        <v>South</v>
      </c>
      <c r="I120">
        <v>37869.933816450168</v>
      </c>
      <c r="J120">
        <v>2.7026484663666022</v>
      </c>
      <c r="K120">
        <f t="shared" ref="K120" si="12">3.224108373</f>
        <v>3.224108373</v>
      </c>
      <c r="L120">
        <v>5.1458921029145124</v>
      </c>
      <c r="M120">
        <v>108937.45001605396</v>
      </c>
      <c r="N120" s="82">
        <v>90</v>
      </c>
      <c r="O120">
        <v>35.058575981523646</v>
      </c>
      <c r="P1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20" t="str">
        <f t="shared" ca="1" si="7"/>
        <v>TV</v>
      </c>
      <c r="R120" s="46">
        <f>automotive_demand_forecasting_dataset5678[[#This Row],[Units_Sold]]*automotive_demand_forecasting_dataset5678[[#This Row],[Average_Price]]</f>
        <v>3294684.2420311645</v>
      </c>
      <c r="S120" t="str">
        <f t="shared" ca="1" si="8"/>
        <v>OK</v>
      </c>
    </row>
    <row r="121" spans="1:19">
      <c r="A121" s="1">
        <v>45305</v>
      </c>
      <c r="B121" t="s">
        <v>12</v>
      </c>
      <c r="C121" t="str">
        <f>TEXT(automotive_demand_forecasting_dataset5678[[#This Row],[Date]],"mmmm")</f>
        <v>January</v>
      </c>
      <c r="D121" t="str">
        <f>CHOOSE(MATCH(MONTH(A121), {1,4,7,10}), "Winter", "Spring", "Summer", "Autumn")</f>
        <v>Winter</v>
      </c>
      <c r="E121">
        <f>YEAR(automotive_demand_forecasting_dataset5678[[#This Row],[Date]])</f>
        <v>2024</v>
      </c>
      <c r="F121">
        <v>113</v>
      </c>
      <c r="G121">
        <f>(automotive_demand_forecasting_dataset5678[[#This Row],[Units_Sold]] -$C$4) / $C$5</f>
        <v>1.4033422955882724</v>
      </c>
      <c r="H121" s="47" t="str">
        <f t="shared" ca="1" si="6"/>
        <v>North</v>
      </c>
      <c r="I121">
        <v>23871.171684988294</v>
      </c>
      <c r="J121">
        <v>3.7568000532848584</v>
      </c>
      <c r="K121">
        <v>2.892415967178767</v>
      </c>
      <c r="L121">
        <v>6.6709800632136513</v>
      </c>
      <c r="M121">
        <v>93149.015982844707</v>
      </c>
      <c r="N121" s="82">
        <v>88</v>
      </c>
      <c r="O121">
        <v>34.739892125813938</v>
      </c>
      <c r="P1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21" t="str">
        <f t="shared" ca="1" si="7"/>
        <v>Billboards</v>
      </c>
      <c r="R121" s="46">
        <f>automotive_demand_forecasting_dataset5678[[#This Row],[Units_Sold]]*automotive_demand_forecasting_dataset5678[[#This Row],[Average_Price]]</f>
        <v>2697442.400403677</v>
      </c>
      <c r="S121" t="str">
        <f t="shared" ca="1" si="8"/>
        <v>OK</v>
      </c>
    </row>
    <row r="122" spans="1:19">
      <c r="A122" s="1">
        <v>45335</v>
      </c>
      <c r="B122" t="s">
        <v>13</v>
      </c>
      <c r="C122" t="str">
        <f>TEXT(automotive_demand_forecasting_dataset5678[[#This Row],[Date]],"mmmm")</f>
        <v>February</v>
      </c>
      <c r="D122" t="str">
        <f>CHOOSE(MATCH(MONTH(A122), {1,4,7,10}), "Winter", "Spring", "Summer", "Autumn")</f>
        <v>Winter</v>
      </c>
      <c r="E122">
        <f>YEAR(automotive_demand_forecasting_dataset5678[[#This Row],[Date]])</f>
        <v>2024</v>
      </c>
      <c r="F122">
        <v>106</v>
      </c>
      <c r="G122">
        <f>(automotive_demand_forecasting_dataset5678[[#This Row],[Units_Sold]] -$C$4) / $C$5</f>
        <v>0.68630608616360778</v>
      </c>
      <c r="H122" s="47" t="str">
        <f t="shared" ca="1" si="6"/>
        <v>East</v>
      </c>
      <c r="I122">
        <v>22678.125598950901</v>
      </c>
      <c r="J122">
        <v>3.2336495801690441</v>
      </c>
      <c r="K122">
        <v>1.9910363742925012</v>
      </c>
      <c r="L122">
        <v>6.6021453327308963</v>
      </c>
      <c r="M122">
        <v>103409.27541993142</v>
      </c>
      <c r="N122" s="82">
        <f>111.9136842</f>
        <v>111.91368420000001</v>
      </c>
      <c r="O122">
        <v>24.560191004154717</v>
      </c>
      <c r="P1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22" t="str">
        <f t="shared" ca="1" si="7"/>
        <v>Print</v>
      </c>
      <c r="R122" s="46">
        <f>automotive_demand_forecasting_dataset5678[[#This Row],[Units_Sold]]*automotive_demand_forecasting_dataset5678[[#This Row],[Average_Price]]</f>
        <v>2403881.3134887954</v>
      </c>
      <c r="S122" t="str">
        <f t="shared" ca="1" si="8"/>
        <v>OK</v>
      </c>
    </row>
    <row r="123" spans="1:19">
      <c r="A123" s="1">
        <v>45365</v>
      </c>
      <c r="B123" t="s">
        <v>14</v>
      </c>
      <c r="C123" t="str">
        <f>TEXT(automotive_demand_forecasting_dataset5678[[#This Row],[Date]],"mmmm")</f>
        <v>March</v>
      </c>
      <c r="D123" t="str">
        <f>CHOOSE(MATCH(MONTH(A123), {1,4,7,10}), "Winter", "Spring", "Summer", "Autumn")</f>
        <v>Winter</v>
      </c>
      <c r="E123">
        <f>YEAR(automotive_demand_forecasting_dataset5678[[#This Row],[Date]])</f>
        <v>2024</v>
      </c>
      <c r="F123">
        <v>96</v>
      </c>
      <c r="G123">
        <f>(automotive_demand_forecasting_dataset5678[[#This Row],[Units_Sold]] -$C$4) / $C$5</f>
        <v>-0.33803135587162725</v>
      </c>
      <c r="H123" s="47" t="str">
        <f t="shared" ca="1" si="6"/>
        <v>East</v>
      </c>
      <c r="I123">
        <v>38106.295579999998</v>
      </c>
      <c r="J123">
        <v>2.9150415821448559</v>
      </c>
      <c r="K123">
        <v>2.4744256878080058</v>
      </c>
      <c r="L123">
        <f>6.97388673</f>
        <v>6.9738867300000003</v>
      </c>
      <c r="M123">
        <v>80745.348694307759</v>
      </c>
      <c r="N123" s="82">
        <v>87</v>
      </c>
      <c r="O123">
        <v>67.023875949734787</v>
      </c>
      <c r="P1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23" t="str">
        <f t="shared" ca="1" si="7"/>
        <v>Billboards</v>
      </c>
      <c r="R123" s="46">
        <f>automotive_demand_forecasting_dataset5678[[#This Row],[Units_Sold]]*automotive_demand_forecasting_dataset5678[[#This Row],[Average_Price]]</f>
        <v>3658204.3756799996</v>
      </c>
      <c r="S123" t="str">
        <f t="shared" ca="1" si="8"/>
        <v>OK</v>
      </c>
    </row>
    <row r="124" spans="1:19">
      <c r="A124" s="1">
        <v>45395</v>
      </c>
      <c r="B124" t="s">
        <v>10</v>
      </c>
      <c r="C124" t="str">
        <f>TEXT(automotive_demand_forecasting_dataset5678[[#This Row],[Date]],"mmmm")</f>
        <v>April</v>
      </c>
      <c r="D124" t="str">
        <f>CHOOSE(MATCH(MONTH(A124), {1,4,7,10}), "Winter", "Spring", "Summer", "Autumn")</f>
        <v>Spring</v>
      </c>
      <c r="E124">
        <f>YEAR(automotive_demand_forecasting_dataset5678[[#This Row],[Date]])</f>
        <v>2024</v>
      </c>
      <c r="F124">
        <v>110</v>
      </c>
      <c r="G124">
        <f>(automotive_demand_forecasting_dataset5678[[#This Row],[Units_Sold]] -$C$4) / $C$5</f>
        <v>1.0960410629777018</v>
      </c>
      <c r="H124" s="47" t="str">
        <f t="shared" ca="1" si="6"/>
        <v>West</v>
      </c>
      <c r="I124">
        <v>35235.49151306077</v>
      </c>
      <c r="J124">
        <v>3.5380713799999999</v>
      </c>
      <c r="K124">
        <v>0.73092409511088174</v>
      </c>
      <c r="L124">
        <v>5.5659209331998181</v>
      </c>
      <c r="M124">
        <v>95867.774406079072</v>
      </c>
      <c r="N124" s="82">
        <v>81</v>
      </c>
      <c r="O124">
        <v>87.227854207080654</v>
      </c>
      <c r="P1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24" t="str">
        <f t="shared" ca="1" si="7"/>
        <v>Online</v>
      </c>
      <c r="R124" s="46">
        <f>automotive_demand_forecasting_dataset5678[[#This Row],[Units_Sold]]*automotive_demand_forecasting_dataset5678[[#This Row],[Average_Price]]</f>
        <v>3875904.0664366847</v>
      </c>
      <c r="S124" t="str">
        <f t="shared" ca="1" si="8"/>
        <v>OK</v>
      </c>
    </row>
    <row r="125" spans="1:19">
      <c r="A125" s="1">
        <v>45425</v>
      </c>
      <c r="B125" t="s">
        <v>10</v>
      </c>
      <c r="C125" t="str">
        <f>TEXT(automotive_demand_forecasting_dataset5678[[#This Row],[Date]],"mmmm")</f>
        <v>May</v>
      </c>
      <c r="D125" t="str">
        <f>CHOOSE(MATCH(MONTH(A125), {1,4,7,10}), "Winter", "Spring", "Summer", "Autumn")</f>
        <v>Spring</v>
      </c>
      <c r="E125">
        <f>YEAR(automotive_demand_forecasting_dataset5678[[#This Row],[Date]])</f>
        <v>2024</v>
      </c>
      <c r="F125">
        <v>100</v>
      </c>
      <c r="G125">
        <f>(automotive_demand_forecasting_dataset5678[[#This Row],[Units_Sold]] -$C$4) / $C$5</f>
        <v>7.1703620942466739E-2</v>
      </c>
      <c r="H125" s="47" t="str">
        <f t="shared" ca="1" si="6"/>
        <v>South</v>
      </c>
      <c r="I125">
        <v>38419.638457289344</v>
      </c>
      <c r="J125">
        <v>3.4862425474746819</v>
      </c>
      <c r="K125">
        <v>1.8052868689109418</v>
      </c>
      <c r="L125">
        <v>4.6485041743009932</v>
      </c>
      <c r="M125">
        <v>102916.7736</v>
      </c>
      <c r="N125" s="82">
        <v>105</v>
      </c>
      <c r="O125">
        <v>21.399857118991086</v>
      </c>
      <c r="P1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25" t="str">
        <f t="shared" ca="1" si="7"/>
        <v>Print</v>
      </c>
      <c r="R125" s="46">
        <f>automotive_demand_forecasting_dataset5678[[#This Row],[Units_Sold]]*automotive_demand_forecasting_dataset5678[[#This Row],[Average_Price]]</f>
        <v>3841963.8457289343</v>
      </c>
      <c r="S125" t="str">
        <f t="shared" ca="1" si="8"/>
        <v>OK</v>
      </c>
    </row>
    <row r="126" spans="1:19">
      <c r="A126" s="1">
        <v>45455</v>
      </c>
      <c r="B126" t="s">
        <v>10</v>
      </c>
      <c r="C126" t="str">
        <f>TEXT(automotive_demand_forecasting_dataset5678[[#This Row],[Date]],"mmmm")</f>
        <v>June</v>
      </c>
      <c r="D126" t="str">
        <f>CHOOSE(MATCH(MONTH(A126), {1,4,7,10}), "Winter", "Spring", "Summer", "Autumn")</f>
        <v>Spring</v>
      </c>
      <c r="E126">
        <f>YEAR(automotive_demand_forecasting_dataset5678[[#This Row],[Date]])</f>
        <v>2024</v>
      </c>
      <c r="F126">
        <v>100</v>
      </c>
      <c r="G126">
        <f>(automotive_demand_forecasting_dataset5678[[#This Row],[Units_Sold]] -$C$4) / $C$5</f>
        <v>7.1703620942466739E-2</v>
      </c>
      <c r="H126" s="47" t="str">
        <f t="shared" ca="1" si="6"/>
        <v>South</v>
      </c>
      <c r="I126">
        <v>27705.578685655299</v>
      </c>
      <c r="J126">
        <v>4.3861257983348718</v>
      </c>
      <c r="K126">
        <v>2.0907175618868958</v>
      </c>
      <c r="L126">
        <v>3.9897941071895984</v>
      </c>
      <c r="M126">
        <v>103139.45921936868</v>
      </c>
      <c r="N126" s="82">
        <v>101</v>
      </c>
      <c r="O126">
        <v>23.920371597701884</v>
      </c>
      <c r="P1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26" t="str">
        <f t="shared" ca="1" si="7"/>
        <v>Radio</v>
      </c>
      <c r="R126" s="46">
        <f>automotive_demand_forecasting_dataset5678[[#This Row],[Units_Sold]]*automotive_demand_forecasting_dataset5678[[#This Row],[Average_Price]]</f>
        <v>2770557.8685655301</v>
      </c>
      <c r="S126" t="str">
        <f t="shared" ca="1" si="8"/>
        <v>OK</v>
      </c>
    </row>
    <row r="127" spans="1:19">
      <c r="A127" s="1">
        <v>45485</v>
      </c>
      <c r="B127" t="s">
        <v>12</v>
      </c>
      <c r="C127" t="str">
        <f>TEXT(automotive_demand_forecasting_dataset5678[[#This Row],[Date]],"mmmm")</f>
        <v>July</v>
      </c>
      <c r="D127" t="str">
        <f>CHOOSE(MATCH(MONTH(A127), {1,4,7,10}), "Winter", "Spring", "Summer", "Autumn")</f>
        <v>Summer</v>
      </c>
      <c r="E127">
        <f>YEAR(automotive_demand_forecasting_dataset5678[[#This Row],[Date]])</f>
        <v>2024</v>
      </c>
      <c r="F127">
        <v>106</v>
      </c>
      <c r="G127">
        <f>(automotive_demand_forecasting_dataset5678[[#This Row],[Units_Sold]] -$C$4) / $C$5</f>
        <v>0.68630608616360778</v>
      </c>
      <c r="H127" s="47" t="str">
        <f t="shared" ca="1" si="6"/>
        <v>West</v>
      </c>
      <c r="I127">
        <v>35393.404167156477</v>
      </c>
      <c r="J127">
        <v>4.3306296072739352</v>
      </c>
      <c r="K127">
        <v>1.9759116020654075</v>
      </c>
      <c r="L127">
        <v>5.2395795394907552</v>
      </c>
      <c r="M127">
        <v>88269.374608721293</v>
      </c>
      <c r="N127" s="82">
        <v>113</v>
      </c>
      <c r="O127">
        <v>65.82162213495566</v>
      </c>
      <c r="P1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27" t="str">
        <f t="shared" ca="1" si="7"/>
        <v>Online</v>
      </c>
      <c r="R127" s="46">
        <f>automotive_demand_forecasting_dataset5678[[#This Row],[Units_Sold]]*automotive_demand_forecasting_dataset5678[[#This Row],[Average_Price]]</f>
        <v>3751700.8417185866</v>
      </c>
      <c r="S127" t="str">
        <f t="shared" ca="1" si="8"/>
        <v>OK</v>
      </c>
    </row>
    <row r="128" spans="1:19">
      <c r="A128" s="1">
        <v>45515</v>
      </c>
      <c r="B128" t="s">
        <v>12</v>
      </c>
      <c r="C128" t="str">
        <f>TEXT(automotive_demand_forecasting_dataset5678[[#This Row],[Date]],"mmmm")</f>
        <v>August</v>
      </c>
      <c r="D128" t="str">
        <f>CHOOSE(MATCH(MONTH(A128), {1,4,7,10}), "Winter", "Spring", "Summer", "Autumn")</f>
        <v>Summer</v>
      </c>
      <c r="E128">
        <f>YEAR(automotive_demand_forecasting_dataset5678[[#This Row],[Date]])</f>
        <v>2024</v>
      </c>
      <c r="F128">
        <v>114</v>
      </c>
      <c r="G128">
        <f>(automotive_demand_forecasting_dataset5678[[#This Row],[Units_Sold]] -$C$4) / $C$5</f>
        <v>1.5057760397917959</v>
      </c>
      <c r="H128" s="47" t="str">
        <f t="shared" ca="1" si="6"/>
        <v>South</v>
      </c>
      <c r="I128">
        <v>29807.457652496465</v>
      </c>
      <c r="J128">
        <v>3.2714518717068639</v>
      </c>
      <c r="K128">
        <v>2.652354872033722</v>
      </c>
      <c r="L128">
        <v>5.1298206538530167</v>
      </c>
      <c r="M128">
        <v>104484.32808581585</v>
      </c>
      <c r="N128" s="82">
        <v>85</v>
      </c>
      <c r="O128">
        <v>85.559654830884185</v>
      </c>
      <c r="P1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28" t="str">
        <f t="shared" ca="1" si="7"/>
        <v>TV</v>
      </c>
      <c r="R128" s="46">
        <f>automotive_demand_forecasting_dataset5678[[#This Row],[Units_Sold]]*automotive_demand_forecasting_dataset5678[[#This Row],[Average_Price]]</f>
        <v>3398050.1723845969</v>
      </c>
      <c r="S128" t="str">
        <f t="shared" ca="1" si="8"/>
        <v>OK</v>
      </c>
    </row>
    <row r="129" spans="1:19">
      <c r="A129" s="1">
        <v>45545</v>
      </c>
      <c r="B129" t="s">
        <v>14</v>
      </c>
      <c r="C129" t="str">
        <f>TEXT(automotive_demand_forecasting_dataset5678[[#This Row],[Date]],"mmmm")</f>
        <v>September</v>
      </c>
      <c r="D129" t="str">
        <f>CHOOSE(MATCH(MONTH(A129), {1,4,7,10}), "Winter", "Spring", "Summer", "Autumn")</f>
        <v>Summer</v>
      </c>
      <c r="E129">
        <f>YEAR(automotive_demand_forecasting_dataset5678[[#This Row],[Date]])</f>
        <v>2024</v>
      </c>
      <c r="F129">
        <v>96</v>
      </c>
      <c r="G129">
        <f>(automotive_demand_forecasting_dataset5678[[#This Row],[Units_Sold]] -$C$4) / $C$5</f>
        <v>-0.33803135587162725</v>
      </c>
      <c r="H129" s="47" t="str">
        <f t="shared" ca="1" si="6"/>
        <v>North</v>
      </c>
      <c r="I129">
        <v>29136.863500295902</v>
      </c>
      <c r="J129">
        <v>3.1988939698191099</v>
      </c>
      <c r="K129">
        <f t="shared" ref="K129" si="13">3.224108373</f>
        <v>3.224108373</v>
      </c>
      <c r="L129">
        <v>5.616047043</v>
      </c>
      <c r="M129">
        <v>114292.19581273236</v>
      </c>
      <c r="N129" s="82">
        <v>90</v>
      </c>
      <c r="O129">
        <v>46.139111245490689</v>
      </c>
      <c r="P1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29" t="str">
        <f t="shared" ca="1" si="7"/>
        <v>Online</v>
      </c>
      <c r="R129" s="46">
        <f>automotive_demand_forecasting_dataset5678[[#This Row],[Units_Sold]]*automotive_demand_forecasting_dataset5678[[#This Row],[Average_Price]]</f>
        <v>2797138.8960284065</v>
      </c>
      <c r="S129" t="str">
        <f t="shared" ca="1" si="8"/>
        <v>OK</v>
      </c>
    </row>
    <row r="130" spans="1:19">
      <c r="A130" s="1">
        <v>45575</v>
      </c>
      <c r="B130" t="s">
        <v>13</v>
      </c>
      <c r="C130" t="str">
        <f>TEXT(automotive_demand_forecasting_dataset5678[[#This Row],[Date]],"mmmm")</f>
        <v>October</v>
      </c>
      <c r="D130" t="str">
        <f>CHOOSE(MATCH(MONTH(A130), {1,4,7,10}), "Winter", "Spring", "Summer", "Autumn")</f>
        <v>Autumn</v>
      </c>
      <c r="E130">
        <f>YEAR(automotive_demand_forecasting_dataset5678[[#This Row],[Date]])</f>
        <v>2024</v>
      </c>
      <c r="F130">
        <v>102</v>
      </c>
      <c r="G130">
        <f>(automotive_demand_forecasting_dataset5678[[#This Row],[Units_Sold]] -$C$4) / $C$5</f>
        <v>0.27657110934951373</v>
      </c>
      <c r="H130" s="47" t="str">
        <f t="shared" ca="1" si="6"/>
        <v>East</v>
      </c>
      <c r="I130">
        <v>34418.299687433362</v>
      </c>
      <c r="J130">
        <v>3.734387128037512</v>
      </c>
      <c r="K130">
        <v>3.6210306673244714</v>
      </c>
      <c r="L130">
        <v>6.0195517904328355</v>
      </c>
      <c r="M130">
        <v>59001.174428450438</v>
      </c>
      <c r="N130" s="82">
        <v>83</v>
      </c>
      <c r="O130">
        <v>47.969151904617775</v>
      </c>
      <c r="P1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30" t="str">
        <f t="shared" ca="1" si="7"/>
        <v>TV</v>
      </c>
      <c r="R130" s="46">
        <f>automotive_demand_forecasting_dataset5678[[#This Row],[Units_Sold]]*automotive_demand_forecasting_dataset5678[[#This Row],[Average_Price]]</f>
        <v>3510666.568118203</v>
      </c>
      <c r="S130" t="str">
        <f t="shared" ca="1" si="8"/>
        <v>OK</v>
      </c>
    </row>
    <row r="131" spans="1:19">
      <c r="A131" s="1">
        <v>45605</v>
      </c>
      <c r="B131" t="s">
        <v>10</v>
      </c>
      <c r="C131" t="str">
        <f>TEXT(automotive_demand_forecasting_dataset5678[[#This Row],[Date]],"mmmm")</f>
        <v>November</v>
      </c>
      <c r="D131" t="str">
        <f>CHOOSE(MATCH(MONTH(A131), {1,4,7,10}), "Winter", "Spring", "Summer", "Autumn")</f>
        <v>Autumn</v>
      </c>
      <c r="E131">
        <f>YEAR(automotive_demand_forecasting_dataset5678[[#This Row],[Date]])</f>
        <v>2024</v>
      </c>
      <c r="F131">
        <v>100</v>
      </c>
      <c r="G131">
        <f>(automotive_demand_forecasting_dataset5678[[#This Row],[Units_Sold]] -$C$4) / $C$5</f>
        <v>7.1703620942466739E-2</v>
      </c>
      <c r="H131" s="47" t="str">
        <f t="shared" ca="1" si="6"/>
        <v>South</v>
      </c>
      <c r="I131">
        <v>33261.614392067095</v>
      </c>
      <c r="J131">
        <v>3.5380713799999999</v>
      </c>
      <c r="K131">
        <v>2.5002070649181971</v>
      </c>
      <c r="L131">
        <v>3.8468589990949154</v>
      </c>
      <c r="M131">
        <v>123181.48129911795</v>
      </c>
      <c r="N131" s="82">
        <v>99</v>
      </c>
      <c r="O131">
        <v>67.70771979974208</v>
      </c>
      <c r="P1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31" t="str">
        <f t="shared" ca="1" si="7"/>
        <v>Online</v>
      </c>
      <c r="R131" s="46">
        <f>automotive_demand_forecasting_dataset5678[[#This Row],[Units_Sold]]*automotive_demand_forecasting_dataset5678[[#This Row],[Average_Price]]</f>
        <v>3326161.4392067096</v>
      </c>
      <c r="S131" t="str">
        <f t="shared" ca="1" si="8"/>
        <v>OK</v>
      </c>
    </row>
    <row r="132" spans="1:19">
      <c r="A132" s="1">
        <v>45635</v>
      </c>
      <c r="B132" t="s">
        <v>14</v>
      </c>
      <c r="C132" t="str">
        <f>TEXT(automotive_demand_forecasting_dataset5678[[#This Row],[Date]],"mmmm")</f>
        <v>December</v>
      </c>
      <c r="D132" t="str">
        <f>CHOOSE(MATCH(MONTH(A132), {1,4,7,10}), "Winter", "Spring", "Summer", "Autumn")</f>
        <v>Autumn</v>
      </c>
      <c r="E132">
        <f>YEAR(automotive_demand_forecasting_dataset5678[[#This Row],[Date]])</f>
        <v>2024</v>
      </c>
      <c r="F132">
        <v>93</v>
      </c>
      <c r="G132">
        <f>(automotive_demand_forecasting_dataset5678[[#This Row],[Units_Sold]] -$C$4) / $C$5</f>
        <v>-0.64533258848219777</v>
      </c>
      <c r="H132" s="47" t="str">
        <f t="shared" ca="1" si="6"/>
        <v>East</v>
      </c>
      <c r="I132">
        <v>22118.039215078752</v>
      </c>
      <c r="J132">
        <v>3.6508959499097329</v>
      </c>
      <c r="K132">
        <v>2.4906996788613855</v>
      </c>
      <c r="L132">
        <v>4.8222711949948689</v>
      </c>
      <c r="M132">
        <v>93274.905226378556</v>
      </c>
      <c r="N132" s="82">
        <v>84</v>
      </c>
      <c r="O132">
        <v>41.937031129931761</v>
      </c>
      <c r="P1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32" t="str">
        <f t="shared" ca="1" si="7"/>
        <v>TV</v>
      </c>
      <c r="R132" s="46">
        <f>automotive_demand_forecasting_dataset5678[[#This Row],[Units_Sold]]*automotive_demand_forecasting_dataset5678[[#This Row],[Average_Price]]</f>
        <v>2056977.647002324</v>
      </c>
      <c r="S132" t="str">
        <f t="shared" ca="1" si="8"/>
        <v>OK</v>
      </c>
    </row>
    <row r="133" spans="1:19">
      <c r="A133" s="1">
        <v>45665</v>
      </c>
      <c r="B133" t="s">
        <v>14</v>
      </c>
      <c r="C133" t="str">
        <f>TEXT(automotive_demand_forecasting_dataset5678[[#This Row],[Date]],"mmmm")</f>
        <v>January</v>
      </c>
      <c r="D133" t="str">
        <f>CHOOSE(MATCH(MONTH(A133), {1,4,7,10}), "Winter", "Spring", "Summer", "Autumn")</f>
        <v>Winter</v>
      </c>
      <c r="E133">
        <f>YEAR(automotive_demand_forecasting_dataset5678[[#This Row],[Date]])</f>
        <v>2025</v>
      </c>
      <c r="F133">
        <v>100</v>
      </c>
      <c r="G133">
        <f>(automotive_demand_forecasting_dataset5678[[#This Row],[Units_Sold]] -$C$4) / $C$5</f>
        <v>7.1703620942466739E-2</v>
      </c>
      <c r="H133" s="47" t="str">
        <f t="shared" ca="1" si="6"/>
        <v>North</v>
      </c>
      <c r="I133">
        <v>37382.701748629479</v>
      </c>
      <c r="J133">
        <v>3.5380713799999999</v>
      </c>
      <c r="K133">
        <v>2.172105283487082</v>
      </c>
      <c r="L133">
        <v>6.7256599545152778</v>
      </c>
      <c r="M133">
        <v>108509.79866480461</v>
      </c>
      <c r="N133" s="82">
        <f>111.9136842</f>
        <v>111.91368420000001</v>
      </c>
      <c r="O133">
        <v>22.128669286214731</v>
      </c>
      <c r="P1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33" t="str">
        <f t="shared" ca="1" si="7"/>
        <v>Billboards</v>
      </c>
      <c r="R133" s="46">
        <f>automotive_demand_forecasting_dataset5678[[#This Row],[Units_Sold]]*automotive_demand_forecasting_dataset5678[[#This Row],[Average_Price]]</f>
        <v>3738270.1748629478</v>
      </c>
      <c r="S133" t="str">
        <f t="shared" ca="1" si="8"/>
        <v>OK</v>
      </c>
    </row>
    <row r="134" spans="1:19">
      <c r="A134" s="1">
        <v>45695</v>
      </c>
      <c r="B134" t="s">
        <v>13</v>
      </c>
      <c r="C134" t="str">
        <f>TEXT(automotive_demand_forecasting_dataset5678[[#This Row],[Date]],"mmmm")</f>
        <v>February</v>
      </c>
      <c r="D134" t="str">
        <f>CHOOSE(MATCH(MONTH(A134), {1,4,7,10}), "Winter", "Spring", "Summer", "Autumn")</f>
        <v>Winter</v>
      </c>
      <c r="E134">
        <f>YEAR(automotive_demand_forecasting_dataset5678[[#This Row],[Date]])</f>
        <v>2025</v>
      </c>
      <c r="F134">
        <v>111</v>
      </c>
      <c r="G134">
        <f>(automotive_demand_forecasting_dataset5678[[#This Row],[Units_Sold]] -$C$4) / $C$5</f>
        <v>1.1984748071812252</v>
      </c>
      <c r="H134" s="47" t="str">
        <f t="shared" ca="1" si="6"/>
        <v>East</v>
      </c>
      <c r="I134">
        <v>36900.456770737255</v>
      </c>
      <c r="J134">
        <v>4.1134666119421537</v>
      </c>
      <c r="K134">
        <v>2.6551906838589789</v>
      </c>
      <c r="L134">
        <v>8.0061313274439101</v>
      </c>
      <c r="M134">
        <v>123944.93847290456</v>
      </c>
      <c r="N134" s="82">
        <v>78</v>
      </c>
      <c r="O134">
        <v>78.818281448127692</v>
      </c>
      <c r="P1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34" t="str">
        <f t="shared" ca="1" si="7"/>
        <v>Billboards</v>
      </c>
      <c r="R134" s="46">
        <f>automotive_demand_forecasting_dataset5678[[#This Row],[Units_Sold]]*automotive_demand_forecasting_dataset5678[[#This Row],[Average_Price]]</f>
        <v>4095950.7015518355</v>
      </c>
      <c r="S134" t="str">
        <f t="shared" ca="1" si="8"/>
        <v>OK</v>
      </c>
    </row>
    <row r="135" spans="1:19">
      <c r="A135" s="1">
        <v>45725</v>
      </c>
      <c r="B135" t="s">
        <v>14</v>
      </c>
      <c r="C135" t="str">
        <f>TEXT(automotive_demand_forecasting_dataset5678[[#This Row],[Date]],"mmmm")</f>
        <v>March</v>
      </c>
      <c r="D135" t="str">
        <f>CHOOSE(MATCH(MONTH(A135), {1,4,7,10}), "Winter", "Spring", "Summer", "Autumn")</f>
        <v>Winter</v>
      </c>
      <c r="E135">
        <f>YEAR(automotive_demand_forecasting_dataset5678[[#This Row],[Date]])</f>
        <v>2025</v>
      </c>
      <c r="F135">
        <v>87</v>
      </c>
      <c r="G135">
        <f>(automotive_demand_forecasting_dataset5678[[#This Row],[Units_Sold]] -$C$4) / $C$5</f>
        <v>-1.2599350537033389</v>
      </c>
      <c r="H135" s="47" t="str">
        <f t="shared" ca="1" si="6"/>
        <v>South</v>
      </c>
      <c r="I135">
        <v>38106.295579999998</v>
      </c>
      <c r="J135">
        <v>3.4499229617600236</v>
      </c>
      <c r="K135">
        <v>3.3250982646676346</v>
      </c>
      <c r="L135">
        <v>3.5968200253144502</v>
      </c>
      <c r="M135">
        <v>72566.526055390685</v>
      </c>
      <c r="N135" s="82">
        <v>110</v>
      </c>
      <c r="O135">
        <v>80.215177969999999</v>
      </c>
      <c r="P1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35" t="str">
        <f t="shared" ca="1" si="7"/>
        <v>Online</v>
      </c>
      <c r="R135" s="46">
        <f>automotive_demand_forecasting_dataset5678[[#This Row],[Units_Sold]]*automotive_demand_forecasting_dataset5678[[#This Row],[Average_Price]]</f>
        <v>3315247.7154599996</v>
      </c>
      <c r="S135" t="str">
        <f t="shared" ca="1" si="8"/>
        <v>OK</v>
      </c>
    </row>
    <row r="136" spans="1:19">
      <c r="A136" s="1">
        <v>45755</v>
      </c>
      <c r="B136" t="s">
        <v>13</v>
      </c>
      <c r="C136" t="str">
        <f>TEXT(automotive_demand_forecasting_dataset5678[[#This Row],[Date]],"mmmm")</f>
        <v>April</v>
      </c>
      <c r="D136" t="str">
        <f>CHOOSE(MATCH(MONTH(A136), {1,4,7,10}), "Winter", "Spring", "Summer", "Autumn")</f>
        <v>Spring</v>
      </c>
      <c r="E136">
        <f>YEAR(automotive_demand_forecasting_dataset5678[[#This Row],[Date]])</f>
        <v>2025</v>
      </c>
      <c r="F136">
        <v>100</v>
      </c>
      <c r="G136">
        <f>(automotive_demand_forecasting_dataset5678[[#This Row],[Units_Sold]] -$C$4) / $C$5</f>
        <v>7.1703620942466739E-2</v>
      </c>
      <c r="H136" s="47" t="str">
        <f t="shared" ca="1" si="6"/>
        <v>West</v>
      </c>
      <c r="I136">
        <v>31979.017667187047</v>
      </c>
      <c r="J136">
        <v>3.398163124911517</v>
      </c>
      <c r="K136">
        <v>1.6328697842890998</v>
      </c>
      <c r="L136">
        <v>3.2440907378331461</v>
      </c>
      <c r="M136">
        <v>85811.17995144907</v>
      </c>
      <c r="N136" s="82">
        <v>85</v>
      </c>
      <c r="O136">
        <v>66.460479924452727</v>
      </c>
      <c r="P1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36" t="str">
        <f t="shared" ca="1" si="7"/>
        <v>Radio</v>
      </c>
      <c r="R136" s="46">
        <f>automotive_demand_forecasting_dataset5678[[#This Row],[Units_Sold]]*automotive_demand_forecasting_dataset5678[[#This Row],[Average_Price]]</f>
        <v>3197901.7667187047</v>
      </c>
      <c r="S136" t="str">
        <f t="shared" ca="1" si="8"/>
        <v>OK</v>
      </c>
    </row>
    <row r="137" spans="1:19">
      <c r="A137" s="1">
        <v>45785</v>
      </c>
      <c r="B137" t="s">
        <v>11</v>
      </c>
      <c r="C137" t="str">
        <f>TEXT(automotive_demand_forecasting_dataset5678[[#This Row],[Date]],"mmmm")</f>
        <v>May</v>
      </c>
      <c r="D137" t="str">
        <f>CHOOSE(MATCH(MONTH(A137), {1,4,7,10}), "Winter", "Spring", "Summer", "Autumn")</f>
        <v>Spring</v>
      </c>
      <c r="E137">
        <f>YEAR(automotive_demand_forecasting_dataset5678[[#This Row],[Date]])</f>
        <v>2025</v>
      </c>
      <c r="F137">
        <v>104</v>
      </c>
      <c r="G137">
        <f>(automotive_demand_forecasting_dataset5678[[#This Row],[Units_Sold]] -$C$4) / $C$5</f>
        <v>0.48143859775656078</v>
      </c>
      <c r="H137" s="47" t="str">
        <f t="shared" ca="1" si="6"/>
        <v>East</v>
      </c>
      <c r="I137">
        <v>32470.150931413693</v>
      </c>
      <c r="J137">
        <v>4.5778345189999996</v>
      </c>
      <c r="K137">
        <v>1.8418835109247433</v>
      </c>
      <c r="L137">
        <v>7.7451582104461387</v>
      </c>
      <c r="M137">
        <v>102916.7736</v>
      </c>
      <c r="N137" s="82">
        <v>94</v>
      </c>
      <c r="O137">
        <v>79.334730319345852</v>
      </c>
      <c r="P1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37" t="str">
        <f t="shared" ca="1" si="7"/>
        <v>Print</v>
      </c>
      <c r="R137" s="46">
        <f>automotive_demand_forecasting_dataset5678[[#This Row],[Units_Sold]]*automotive_demand_forecasting_dataset5678[[#This Row],[Average_Price]]</f>
        <v>3376895.6968670241</v>
      </c>
      <c r="S137" t="str">
        <f t="shared" ca="1" si="8"/>
        <v>OK</v>
      </c>
    </row>
    <row r="138" spans="1:19">
      <c r="A138" s="1">
        <v>45815</v>
      </c>
      <c r="B138" t="s">
        <v>13</v>
      </c>
      <c r="C138" t="str">
        <f>TEXT(automotive_demand_forecasting_dataset5678[[#This Row],[Date]],"mmmm")</f>
        <v>June</v>
      </c>
      <c r="D138" t="str">
        <f>CHOOSE(MATCH(MONTH(A138), {1,4,7,10}), "Winter", "Spring", "Summer", "Autumn")</f>
        <v>Spring</v>
      </c>
      <c r="E138">
        <f>YEAR(automotive_demand_forecasting_dataset5678[[#This Row],[Date]])</f>
        <v>2025</v>
      </c>
      <c r="F138">
        <v>78</v>
      </c>
      <c r="G138">
        <f>(automotive_demand_forecasting_dataset5678[[#This Row],[Units_Sold]] -$C$4) / $C$5</f>
        <v>-2.1818387515350506</v>
      </c>
      <c r="H138" s="47" t="str">
        <f t="shared" ca="1" si="6"/>
        <v>East</v>
      </c>
      <c r="I138">
        <v>30949.702720000001</v>
      </c>
      <c r="J138">
        <v>3.0865598229800701</v>
      </c>
      <c r="K138">
        <v>2.1962739712233352</v>
      </c>
      <c r="L138">
        <v>5.9675370128450851</v>
      </c>
      <c r="M138">
        <v>84324.92957751143</v>
      </c>
      <c r="N138" s="82">
        <v>77</v>
      </c>
      <c r="O138">
        <v>74.018467004963</v>
      </c>
      <c r="P1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38" t="str">
        <f t="shared" ca="1" si="7"/>
        <v>TV</v>
      </c>
      <c r="R138" s="46">
        <f>automotive_demand_forecasting_dataset5678[[#This Row],[Units_Sold]]*automotive_demand_forecasting_dataset5678[[#This Row],[Average_Price]]</f>
        <v>2414076.8121600002</v>
      </c>
      <c r="S138" t="str">
        <f t="shared" ca="1" si="8"/>
        <v>OK</v>
      </c>
    </row>
    <row r="139" spans="1:19">
      <c r="A139" s="1">
        <v>45845</v>
      </c>
      <c r="B139" t="s">
        <v>10</v>
      </c>
      <c r="C139" t="str">
        <f>TEXT(automotive_demand_forecasting_dataset5678[[#This Row],[Date]],"mmmm")</f>
        <v>July</v>
      </c>
      <c r="D139" t="str">
        <f>CHOOSE(MATCH(MONTH(A139), {1,4,7,10}), "Winter", "Spring", "Summer", "Autumn")</f>
        <v>Summer</v>
      </c>
      <c r="E139">
        <f>YEAR(automotive_demand_forecasting_dataset5678[[#This Row],[Date]])</f>
        <v>2025</v>
      </c>
      <c r="F139">
        <v>101</v>
      </c>
      <c r="G139">
        <f>(automotive_demand_forecasting_dataset5678[[#This Row],[Units_Sold]] -$C$4) / $C$5</f>
        <v>0.17413736514599024</v>
      </c>
      <c r="H139" s="47" t="str">
        <f t="shared" ref="H139:H202" ca="1" si="14">CHOOSE(RANDBETWEEN(1,4),"North","South","East","West")</f>
        <v>South</v>
      </c>
      <c r="I139">
        <v>27248.474230772899</v>
      </c>
      <c r="J139">
        <v>3.3867605540492365</v>
      </c>
      <c r="K139">
        <v>1.1541290765267851</v>
      </c>
      <c r="L139">
        <v>4.4580487217483604</v>
      </c>
      <c r="M139">
        <v>134698.73151673615</v>
      </c>
      <c r="N139" s="82">
        <v>99</v>
      </c>
      <c r="O139">
        <v>36.470559054265692</v>
      </c>
      <c r="P1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39" t="str">
        <f t="shared" ref="Q139:Q202" ca="1" si="15">CHOOSE(RANDBETWEEN(1,5),"Online","TV","Radio","Print","Billboards")</f>
        <v>Radio</v>
      </c>
      <c r="R139" s="46">
        <f>automotive_demand_forecasting_dataset5678[[#This Row],[Units_Sold]]*automotive_demand_forecasting_dataset5678[[#This Row],[Average_Price]]</f>
        <v>2752095.8973080628</v>
      </c>
      <c r="S139" t="str">
        <f t="shared" ref="S139:S202" ca="1" si="16">IF(COUNTA(A139:O139)&lt;COLUMNS(A139:O139), "Missing Data", "OK")</f>
        <v>OK</v>
      </c>
    </row>
    <row r="140" spans="1:19">
      <c r="A140" s="1">
        <v>45875</v>
      </c>
      <c r="B140" t="s">
        <v>10</v>
      </c>
      <c r="C140" t="str">
        <f>TEXT(automotive_demand_forecasting_dataset5678[[#This Row],[Date]],"mmmm")</f>
        <v>August</v>
      </c>
      <c r="D140" t="str">
        <f>CHOOSE(MATCH(MONTH(A140), {1,4,7,10}), "Winter", "Spring", "Summer", "Autumn")</f>
        <v>Summer</v>
      </c>
      <c r="E140">
        <f>YEAR(automotive_demand_forecasting_dataset5678[[#This Row],[Date]])</f>
        <v>2025</v>
      </c>
      <c r="F140">
        <v>100</v>
      </c>
      <c r="G140">
        <f>(automotive_demand_forecasting_dataset5678[[#This Row],[Units_Sold]] -$C$4) / $C$5</f>
        <v>7.1703620942466739E-2</v>
      </c>
      <c r="H140" s="47" t="str">
        <f t="shared" ca="1" si="14"/>
        <v>East</v>
      </c>
      <c r="I140">
        <v>26641.883160309742</v>
      </c>
      <c r="J140">
        <v>3.6836827534080889</v>
      </c>
      <c r="K140">
        <v>1.6807421402785021</v>
      </c>
      <c r="L140">
        <v>6.1415549033469219</v>
      </c>
      <c r="M140">
        <f>128897.2893</f>
        <v>128897.2893</v>
      </c>
      <c r="N140" s="82">
        <v>85</v>
      </c>
      <c r="O140">
        <v>48.198483755468089</v>
      </c>
      <c r="P1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40" t="str">
        <f t="shared" ca="1" si="15"/>
        <v>Billboards</v>
      </c>
      <c r="R140" s="46">
        <f>automotive_demand_forecasting_dataset5678[[#This Row],[Units_Sold]]*automotive_demand_forecasting_dataset5678[[#This Row],[Average_Price]]</f>
        <v>2664188.316030974</v>
      </c>
      <c r="S140" t="str">
        <f t="shared" ca="1" si="16"/>
        <v>OK</v>
      </c>
    </row>
    <row r="141" spans="1:19">
      <c r="A141" s="1">
        <v>45905</v>
      </c>
      <c r="B141" t="s">
        <v>13</v>
      </c>
      <c r="C141" t="str">
        <f>TEXT(automotive_demand_forecasting_dataset5678[[#This Row],[Date]],"mmmm")</f>
        <v>September</v>
      </c>
      <c r="D141" t="str">
        <f>CHOOSE(MATCH(MONTH(A141), {1,4,7,10}), "Winter", "Spring", "Summer", "Autumn")</f>
        <v>Summer</v>
      </c>
      <c r="E141">
        <f>YEAR(automotive_demand_forecasting_dataset5678[[#This Row],[Date]])</f>
        <v>2025</v>
      </c>
      <c r="F141">
        <v>109</v>
      </c>
      <c r="G141">
        <f>(automotive_demand_forecasting_dataset5678[[#This Row],[Units_Sold]] -$C$4) / $C$5</f>
        <v>0.99360731877417829</v>
      </c>
      <c r="H141" s="47" t="str">
        <f t="shared" ca="1" si="14"/>
        <v>East</v>
      </c>
      <c r="I141">
        <v>29872.229645042775</v>
      </c>
      <c r="J141">
        <v>3.9567923131166247</v>
      </c>
      <c r="K141">
        <v>2.0237791264553411</v>
      </c>
      <c r="L141">
        <v>5.616047043</v>
      </c>
      <c r="M141">
        <v>88889.064410262668</v>
      </c>
      <c r="N141" s="82">
        <v>97</v>
      </c>
      <c r="O141">
        <v>30.08881133429</v>
      </c>
      <c r="P1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41" t="str">
        <f t="shared" ca="1" si="15"/>
        <v>Print</v>
      </c>
      <c r="R141" s="46">
        <f>automotive_demand_forecasting_dataset5678[[#This Row],[Units_Sold]]*automotive_demand_forecasting_dataset5678[[#This Row],[Average_Price]]</f>
        <v>3256073.0313096624</v>
      </c>
      <c r="S141" t="str">
        <f t="shared" ca="1" si="16"/>
        <v>OK</v>
      </c>
    </row>
    <row r="142" spans="1:19">
      <c r="A142" s="1">
        <v>45935</v>
      </c>
      <c r="B142" t="s">
        <v>11</v>
      </c>
      <c r="C142" t="str">
        <f>TEXT(automotive_demand_forecasting_dataset5678[[#This Row],[Date]],"mmmm")</f>
        <v>October</v>
      </c>
      <c r="D142" t="str">
        <f>CHOOSE(MATCH(MONTH(A142), {1,4,7,10}), "Winter", "Spring", "Summer", "Autumn")</f>
        <v>Autumn</v>
      </c>
      <c r="E142">
        <f>YEAR(automotive_demand_forecasting_dataset5678[[#This Row],[Date]])</f>
        <v>2025</v>
      </c>
      <c r="F142">
        <v>98</v>
      </c>
      <c r="G142">
        <f>(automotive_demand_forecasting_dataset5678[[#This Row],[Units_Sold]] -$C$4) / $C$5</f>
        <v>-0.13316386746458025</v>
      </c>
      <c r="H142" s="47" t="str">
        <f t="shared" ca="1" si="14"/>
        <v>West</v>
      </c>
      <c r="I142">
        <v>35863.645096296823</v>
      </c>
      <c r="J142">
        <v>3.0984105246598275</v>
      </c>
      <c r="K142">
        <v>3.3743891807127273</v>
      </c>
      <c r="L142">
        <v>5.504050607916593</v>
      </c>
      <c r="M142">
        <v>104087.78063205954</v>
      </c>
      <c r="N142" s="82">
        <f>111.9136842</f>
        <v>111.91368420000001</v>
      </c>
      <c r="O142">
        <v>30.388561073430481</v>
      </c>
      <c r="P1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42" t="str">
        <f t="shared" ca="1" si="15"/>
        <v>Radio</v>
      </c>
      <c r="R142" s="46">
        <f>automotive_demand_forecasting_dataset5678[[#This Row],[Units_Sold]]*automotive_demand_forecasting_dataset5678[[#This Row],[Average_Price]]</f>
        <v>3514637.2194370888</v>
      </c>
      <c r="S142" t="str">
        <f t="shared" ca="1" si="16"/>
        <v>OK</v>
      </c>
    </row>
    <row r="143" spans="1:19">
      <c r="A143" s="1">
        <v>45965</v>
      </c>
      <c r="B143" t="s">
        <v>11</v>
      </c>
      <c r="C143" t="str">
        <f>TEXT(automotive_demand_forecasting_dataset5678[[#This Row],[Date]],"mmmm")</f>
        <v>November</v>
      </c>
      <c r="D143" t="str">
        <f>CHOOSE(MATCH(MONTH(A143), {1,4,7,10}), "Winter", "Spring", "Summer", "Autumn")</f>
        <v>Autumn</v>
      </c>
      <c r="E143">
        <f>YEAR(automotive_demand_forecasting_dataset5678[[#This Row],[Date]])</f>
        <v>2025</v>
      </c>
      <c r="F143">
        <v>111</v>
      </c>
      <c r="G143">
        <f>(automotive_demand_forecasting_dataset5678[[#This Row],[Units_Sold]] -$C$4) / $C$5</f>
        <v>1.1984748071812252</v>
      </c>
      <c r="H143" s="47" t="str">
        <f t="shared" ca="1" si="14"/>
        <v>South</v>
      </c>
      <c r="I143">
        <v>32718.000772972162</v>
      </c>
      <c r="J143">
        <v>4.5778345189999996</v>
      </c>
      <c r="K143">
        <v>2.7625613290019251</v>
      </c>
      <c r="L143">
        <v>5.893385407411702</v>
      </c>
      <c r="M143">
        <v>75957.009478478227</v>
      </c>
      <c r="N143" s="82">
        <v>102</v>
      </c>
      <c r="O143">
        <v>74.095659708523129</v>
      </c>
      <c r="P1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43" t="str">
        <f t="shared" ca="1" si="15"/>
        <v>Radio</v>
      </c>
      <c r="R143" s="46">
        <f>automotive_demand_forecasting_dataset5678[[#This Row],[Units_Sold]]*automotive_demand_forecasting_dataset5678[[#This Row],[Average_Price]]</f>
        <v>3631698.0857999101</v>
      </c>
      <c r="S143" t="str">
        <f t="shared" ca="1" si="16"/>
        <v>OK</v>
      </c>
    </row>
    <row r="144" spans="1:19">
      <c r="A144" s="1">
        <v>45995</v>
      </c>
      <c r="B144" t="s">
        <v>10</v>
      </c>
      <c r="C144" t="str">
        <f>TEXT(automotive_demand_forecasting_dataset5678[[#This Row],[Date]],"mmmm")</f>
        <v>December</v>
      </c>
      <c r="D144" t="str">
        <f>CHOOSE(MATCH(MONTH(A144), {1,4,7,10}), "Winter", "Spring", "Summer", "Autumn")</f>
        <v>Autumn</v>
      </c>
      <c r="E144">
        <f>YEAR(automotive_demand_forecasting_dataset5678[[#This Row],[Date]])</f>
        <v>2025</v>
      </c>
      <c r="F144">
        <v>97</v>
      </c>
      <c r="G144">
        <f>(automotive_demand_forecasting_dataset5678[[#This Row],[Units_Sold]] -$C$4) / $C$5</f>
        <v>-0.23559761166810378</v>
      </c>
      <c r="H144" s="47" t="str">
        <f t="shared" ca="1" si="14"/>
        <v>West</v>
      </c>
      <c r="I144">
        <v>28146.928339569469</v>
      </c>
      <c r="J144">
        <v>3.3644381994787156</v>
      </c>
      <c r="K144">
        <v>2.6935899113675443</v>
      </c>
      <c r="L144">
        <v>6.6091241674453958</v>
      </c>
      <c r="M144">
        <f>128897.2893</f>
        <v>128897.2893</v>
      </c>
      <c r="N144" s="82">
        <v>96</v>
      </c>
      <c r="O144">
        <v>88.688008558599861</v>
      </c>
      <c r="P1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44" t="str">
        <f t="shared" ca="1" si="15"/>
        <v>TV</v>
      </c>
      <c r="R144" s="46">
        <f>automotive_demand_forecasting_dataset5678[[#This Row],[Units_Sold]]*automotive_demand_forecasting_dataset5678[[#This Row],[Average_Price]]</f>
        <v>2730252.0489382385</v>
      </c>
      <c r="S144" t="str">
        <f t="shared" ca="1" si="16"/>
        <v>OK</v>
      </c>
    </row>
    <row r="145" spans="1:19">
      <c r="A145" s="1">
        <v>46025</v>
      </c>
      <c r="B145" t="s">
        <v>11</v>
      </c>
      <c r="C145" t="str">
        <f>TEXT(automotive_demand_forecasting_dataset5678[[#This Row],[Date]],"mmmm")</f>
        <v>January</v>
      </c>
      <c r="D145" t="str">
        <f>CHOOSE(MATCH(MONTH(A145), {1,4,7,10}), "Winter", "Spring", "Summer", "Autumn")</f>
        <v>Winter</v>
      </c>
      <c r="E145">
        <f>YEAR(automotive_demand_forecasting_dataset5678[[#This Row],[Date]])</f>
        <v>2026</v>
      </c>
      <c r="F145">
        <v>88</v>
      </c>
      <c r="G145">
        <f>(automotive_demand_forecasting_dataset5678[[#This Row],[Units_Sold]] -$C$4) / $C$5</f>
        <v>-1.1575013094998152</v>
      </c>
      <c r="H145" s="47" t="str">
        <f t="shared" ca="1" si="14"/>
        <v>North</v>
      </c>
      <c r="I145">
        <v>33858.493553241722</v>
      </c>
      <c r="J145">
        <v>3.489316352825782</v>
      </c>
      <c r="K145">
        <v>3.3508979621679722</v>
      </c>
      <c r="L145">
        <v>4.2833248572489548</v>
      </c>
      <c r="M145">
        <v>106349.06522500351</v>
      </c>
      <c r="N145" s="82">
        <v>95</v>
      </c>
      <c r="O145">
        <v>97.018606708891127</v>
      </c>
      <c r="P1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45" t="str">
        <f t="shared" ca="1" si="15"/>
        <v>Radio</v>
      </c>
      <c r="R145" s="46">
        <f>automotive_demand_forecasting_dataset5678[[#This Row],[Units_Sold]]*automotive_demand_forecasting_dataset5678[[#This Row],[Average_Price]]</f>
        <v>2979547.4326852714</v>
      </c>
      <c r="S145" t="str">
        <f t="shared" ca="1" si="16"/>
        <v>OK</v>
      </c>
    </row>
    <row r="146" spans="1:19">
      <c r="A146" s="1">
        <v>46055</v>
      </c>
      <c r="B146" t="s">
        <v>14</v>
      </c>
      <c r="C146" t="str">
        <f>TEXT(automotive_demand_forecasting_dataset5678[[#This Row],[Date]],"mmmm")</f>
        <v>February</v>
      </c>
      <c r="D146" t="str">
        <f>CHOOSE(MATCH(MONTH(A146), {1,4,7,10}), "Winter", "Spring", "Summer", "Autumn")</f>
        <v>Winter</v>
      </c>
      <c r="E146">
        <f>YEAR(automotive_demand_forecasting_dataset5678[[#This Row],[Date]])</f>
        <v>2026</v>
      </c>
      <c r="F146">
        <v>101</v>
      </c>
      <c r="G146">
        <f>(automotive_demand_forecasting_dataset5678[[#This Row],[Units_Sold]] -$C$4) / $C$5</f>
        <v>0.17413736514599024</v>
      </c>
      <c r="H146" s="47" t="str">
        <f t="shared" ca="1" si="14"/>
        <v>North</v>
      </c>
      <c r="I146">
        <v>30949.702720000001</v>
      </c>
      <c r="J146">
        <v>3.1263941604260883</v>
      </c>
      <c r="K146">
        <v>2.3626282116006032</v>
      </c>
      <c r="L146">
        <v>5.6028245936840309</v>
      </c>
      <c r="M146">
        <v>93342.79191234977</v>
      </c>
      <c r="N146" s="82">
        <v>103</v>
      </c>
      <c r="O146">
        <v>70.267769403955555</v>
      </c>
      <c r="P1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46" t="str">
        <f t="shared" ca="1" si="15"/>
        <v>Online</v>
      </c>
      <c r="R146" s="46">
        <f>automotive_demand_forecasting_dataset5678[[#This Row],[Units_Sold]]*automotive_demand_forecasting_dataset5678[[#This Row],[Average_Price]]</f>
        <v>3125919.9747200003</v>
      </c>
      <c r="S146" t="str">
        <f t="shared" ca="1" si="16"/>
        <v>OK</v>
      </c>
    </row>
    <row r="147" spans="1:19">
      <c r="A147" s="1">
        <v>46085</v>
      </c>
      <c r="B147" t="s">
        <v>12</v>
      </c>
      <c r="C147" t="str">
        <f>TEXT(automotive_demand_forecasting_dataset5678[[#This Row],[Date]],"mmmm")</f>
        <v>March</v>
      </c>
      <c r="D147" t="str">
        <f>CHOOSE(MATCH(MONTH(A147), {1,4,7,10}), "Winter", "Spring", "Summer", "Autumn")</f>
        <v>Winter</v>
      </c>
      <c r="E147">
        <f>YEAR(automotive_demand_forecasting_dataset5678[[#This Row],[Date]])</f>
        <v>2026</v>
      </c>
      <c r="F147">
        <v>105</v>
      </c>
      <c r="G147">
        <f>(automotive_demand_forecasting_dataset5678[[#This Row],[Units_Sold]] -$C$4) / $C$5</f>
        <v>0.58387234196008431</v>
      </c>
      <c r="H147" s="47" t="str">
        <f t="shared" ca="1" si="14"/>
        <v>North</v>
      </c>
      <c r="I147">
        <v>35743.828501860517</v>
      </c>
      <c r="J147">
        <v>2.287879869863529</v>
      </c>
      <c r="K147">
        <v>2.8904648499288896</v>
      </c>
      <c r="L147">
        <v>4.3894904487284956</v>
      </c>
      <c r="M147">
        <v>98132.262822001037</v>
      </c>
      <c r="N147" s="82">
        <v>89</v>
      </c>
      <c r="O147">
        <v>34.728105868876554</v>
      </c>
      <c r="P1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47" t="str">
        <f t="shared" ca="1" si="15"/>
        <v>TV</v>
      </c>
      <c r="R147" s="46">
        <f>automotive_demand_forecasting_dataset5678[[#This Row],[Units_Sold]]*automotive_demand_forecasting_dataset5678[[#This Row],[Average_Price]]</f>
        <v>3753101.9926953544</v>
      </c>
      <c r="S147" t="str">
        <f t="shared" ca="1" si="16"/>
        <v>OK</v>
      </c>
    </row>
    <row r="148" spans="1:19">
      <c r="A148" s="1">
        <v>46115</v>
      </c>
      <c r="B148" t="s">
        <v>14</v>
      </c>
      <c r="C148" t="str">
        <f>TEXT(automotive_demand_forecasting_dataset5678[[#This Row],[Date]],"mmmm")</f>
        <v>April</v>
      </c>
      <c r="D148" t="str">
        <f>CHOOSE(MATCH(MONTH(A148), {1,4,7,10}), "Winter", "Spring", "Summer", "Autumn")</f>
        <v>Spring</v>
      </c>
      <c r="E148">
        <f>YEAR(automotive_demand_forecasting_dataset5678[[#This Row],[Date]])</f>
        <v>2026</v>
      </c>
      <c r="F148">
        <v>102</v>
      </c>
      <c r="G148">
        <f>(automotive_demand_forecasting_dataset5678[[#This Row],[Units_Sold]] -$C$4) / $C$5</f>
        <v>0.27657110934951373</v>
      </c>
      <c r="H148" s="47" t="str">
        <f t="shared" ca="1" si="14"/>
        <v>North</v>
      </c>
      <c r="I148">
        <v>21301.4311061095</v>
      </c>
      <c r="J148">
        <v>3.9420226981805246</v>
      </c>
      <c r="K148">
        <v>2.3967782470675036</v>
      </c>
      <c r="L148">
        <v>5.8064605068091808</v>
      </c>
      <c r="M148">
        <v>89413.357751032585</v>
      </c>
      <c r="N148" s="82">
        <v>87</v>
      </c>
      <c r="O148">
        <v>28.452027635914455</v>
      </c>
      <c r="P1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48" t="str">
        <f t="shared" ca="1" si="15"/>
        <v>Print</v>
      </c>
      <c r="R148" s="46">
        <f>automotive_demand_forecasting_dataset5678[[#This Row],[Units_Sold]]*automotive_demand_forecasting_dataset5678[[#This Row],[Average_Price]]</f>
        <v>2172745.9728231691</v>
      </c>
      <c r="S148" t="str">
        <f t="shared" ca="1" si="16"/>
        <v>OK</v>
      </c>
    </row>
    <row r="149" spans="1:19">
      <c r="A149" s="1">
        <v>46145</v>
      </c>
      <c r="B149" t="s">
        <v>10</v>
      </c>
      <c r="C149" t="str">
        <f>TEXT(automotive_demand_forecasting_dataset5678[[#This Row],[Date]],"mmmm")</f>
        <v>May</v>
      </c>
      <c r="D149" t="str">
        <f>CHOOSE(MATCH(MONTH(A149), {1,4,7,10}), "Winter", "Spring", "Summer", "Autumn")</f>
        <v>Spring</v>
      </c>
      <c r="E149">
        <f>YEAR(automotive_demand_forecasting_dataset5678[[#This Row],[Date]])</f>
        <v>2026</v>
      </c>
      <c r="F149">
        <v>98</v>
      </c>
      <c r="G149">
        <f>(automotive_demand_forecasting_dataset5678[[#This Row],[Units_Sold]] -$C$4) / $C$5</f>
        <v>-0.13316386746458025</v>
      </c>
      <c r="H149" s="47" t="str">
        <f t="shared" ca="1" si="14"/>
        <v>East</v>
      </c>
      <c r="I149">
        <v>28187.795292984338</v>
      </c>
      <c r="J149">
        <v>3.8684219485462168</v>
      </c>
      <c r="K149">
        <v>2.7653623493996284</v>
      </c>
      <c r="L149">
        <v>4.4255844131643709</v>
      </c>
      <c r="M149">
        <v>69710.593816384659</v>
      </c>
      <c r="N149" s="82">
        <v>101</v>
      </c>
      <c r="O149">
        <v>85.028077722940623</v>
      </c>
      <c r="P1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49" t="str">
        <f t="shared" ca="1" si="15"/>
        <v>Print</v>
      </c>
      <c r="R149" s="46">
        <f>automotive_demand_forecasting_dataset5678[[#This Row],[Units_Sold]]*automotive_demand_forecasting_dataset5678[[#This Row],[Average_Price]]</f>
        <v>2762403.9387124651</v>
      </c>
      <c r="S149" t="str">
        <f t="shared" ca="1" si="16"/>
        <v>OK</v>
      </c>
    </row>
    <row r="150" spans="1:19">
      <c r="A150" s="1">
        <v>46175</v>
      </c>
      <c r="B150" t="s">
        <v>11</v>
      </c>
      <c r="C150" t="str">
        <f>TEXT(automotive_demand_forecasting_dataset5678[[#This Row],[Date]],"mmmm")</f>
        <v>June</v>
      </c>
      <c r="D150" t="str">
        <f>CHOOSE(MATCH(MONTH(A150), {1,4,7,10}), "Winter", "Spring", "Summer", "Autumn")</f>
        <v>Spring</v>
      </c>
      <c r="E150">
        <f>YEAR(automotive_demand_forecasting_dataset5678[[#This Row],[Date]])</f>
        <v>2026</v>
      </c>
      <c r="F150">
        <v>96</v>
      </c>
      <c r="G150">
        <f>(automotive_demand_forecasting_dataset5678[[#This Row],[Units_Sold]] -$C$4) / $C$5</f>
        <v>-0.33803135587162725</v>
      </c>
      <c r="H150" s="47" t="str">
        <f t="shared" ca="1" si="14"/>
        <v>North</v>
      </c>
      <c r="I150">
        <v>24401.650526869282</v>
      </c>
      <c r="J150">
        <v>3.5380713799999999</v>
      </c>
      <c r="K150">
        <v>1.9172413423884178</v>
      </c>
      <c r="L150">
        <f>6.97388673</f>
        <v>6.9738867300000003</v>
      </c>
      <c r="M150">
        <v>106431.86422678478</v>
      </c>
      <c r="N150" s="82">
        <v>80</v>
      </c>
      <c r="O150">
        <v>66.300518108799935</v>
      </c>
      <c r="P1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50" t="str">
        <f t="shared" ca="1" si="15"/>
        <v>Radio</v>
      </c>
      <c r="R150" s="46">
        <f>automotive_demand_forecasting_dataset5678[[#This Row],[Units_Sold]]*automotive_demand_forecasting_dataset5678[[#This Row],[Average_Price]]</f>
        <v>2342558.4505794509</v>
      </c>
      <c r="S150" t="str">
        <f t="shared" ca="1" si="16"/>
        <v>OK</v>
      </c>
    </row>
    <row r="151" spans="1:19">
      <c r="A151" s="1">
        <v>46205</v>
      </c>
      <c r="B151" t="s">
        <v>13</v>
      </c>
      <c r="C151" t="str">
        <f>TEXT(automotive_demand_forecasting_dataset5678[[#This Row],[Date]],"mmmm")</f>
        <v>July</v>
      </c>
      <c r="D151" t="str">
        <f>CHOOSE(MATCH(MONTH(A151), {1,4,7,10}), "Winter", "Spring", "Summer", "Autumn")</f>
        <v>Summer</v>
      </c>
      <c r="E151">
        <f>YEAR(automotive_demand_forecasting_dataset5678[[#This Row],[Date]])</f>
        <v>2026</v>
      </c>
      <c r="F151">
        <v>76</v>
      </c>
      <c r="G151">
        <f>(automotive_demand_forecasting_dataset5678[[#This Row],[Units_Sold]] -$C$4) / $C$5</f>
        <v>-2.3867062399420975</v>
      </c>
      <c r="H151" s="47" t="str">
        <f t="shared" ca="1" si="14"/>
        <v>West</v>
      </c>
      <c r="I151">
        <v>23526.59262139547</v>
      </c>
      <c r="J151">
        <v>3.5380713799999999</v>
      </c>
      <c r="K151">
        <v>2.6520564320000002</v>
      </c>
      <c r="L151">
        <v>4.3050215262517249</v>
      </c>
      <c r="M151">
        <v>135098.66143294482</v>
      </c>
      <c r="N151" s="82">
        <v>90</v>
      </c>
      <c r="O151">
        <v>69.462801681097588</v>
      </c>
      <c r="P1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51" t="str">
        <f t="shared" ca="1" si="15"/>
        <v>Radio</v>
      </c>
      <c r="R151" s="46">
        <f>automotive_demand_forecasting_dataset5678[[#This Row],[Units_Sold]]*automotive_demand_forecasting_dataset5678[[#This Row],[Average_Price]]</f>
        <v>1788021.0392260556</v>
      </c>
      <c r="S151" t="str">
        <f t="shared" ca="1" si="16"/>
        <v>OK</v>
      </c>
    </row>
    <row r="152" spans="1:19">
      <c r="A152" s="1">
        <v>46235</v>
      </c>
      <c r="B152" t="s">
        <v>12</v>
      </c>
      <c r="C152" t="str">
        <f>TEXT(automotive_demand_forecasting_dataset5678[[#This Row],[Date]],"mmmm")</f>
        <v>August</v>
      </c>
      <c r="D152" t="str">
        <f>CHOOSE(MATCH(MONTH(A152), {1,4,7,10}), "Winter", "Spring", "Summer", "Autumn")</f>
        <v>Summer</v>
      </c>
      <c r="E152">
        <f>YEAR(automotive_demand_forecasting_dataset5678[[#This Row],[Date]])</f>
        <v>2026</v>
      </c>
      <c r="F152">
        <v>112</v>
      </c>
      <c r="G152">
        <f>(automotive_demand_forecasting_dataset5678[[#This Row],[Units_Sold]] -$C$4) / $C$5</f>
        <v>1.3009085513847487</v>
      </c>
      <c r="H152" s="47" t="str">
        <f t="shared" ca="1" si="14"/>
        <v>North</v>
      </c>
      <c r="I152">
        <v>35804.133936892598</v>
      </c>
      <c r="J152">
        <v>4.5778345189999996</v>
      </c>
      <c r="K152">
        <v>2.3657208378136958</v>
      </c>
      <c r="L152">
        <v>6.2813634901883884</v>
      </c>
      <c r="M152">
        <v>100368.03261566877</v>
      </c>
      <c r="N152" s="82">
        <v>89</v>
      </c>
      <c r="O152">
        <v>82.516967100376746</v>
      </c>
      <c r="P1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52" t="str">
        <f t="shared" ca="1" si="15"/>
        <v>TV</v>
      </c>
      <c r="R152" s="46">
        <f>automotive_demand_forecasting_dataset5678[[#This Row],[Units_Sold]]*automotive_demand_forecasting_dataset5678[[#This Row],[Average_Price]]</f>
        <v>4010063.0009319708</v>
      </c>
      <c r="S152" t="str">
        <f t="shared" ca="1" si="16"/>
        <v>OK</v>
      </c>
    </row>
    <row r="153" spans="1:19">
      <c r="A153" s="1">
        <v>46265</v>
      </c>
      <c r="B153" t="s">
        <v>13</v>
      </c>
      <c r="C153" t="str">
        <f>TEXT(automotive_demand_forecasting_dataset5678[[#This Row],[Date]],"mmmm")</f>
        <v>August</v>
      </c>
      <c r="D153" t="str">
        <f>CHOOSE(MATCH(MONTH(A153), {1,4,7,10}), "Winter", "Spring", "Summer", "Autumn")</f>
        <v>Summer</v>
      </c>
      <c r="E153">
        <f>YEAR(automotive_demand_forecasting_dataset5678[[#This Row],[Date]])</f>
        <v>2026</v>
      </c>
      <c r="F153">
        <v>99</v>
      </c>
      <c r="G153">
        <f>(automotive_demand_forecasting_dataset5678[[#This Row],[Units_Sold]] -$C$4) / $C$5</f>
        <v>-3.0730123261056761E-2</v>
      </c>
      <c r="H153" s="47" t="str">
        <f t="shared" ca="1" si="14"/>
        <v>East</v>
      </c>
      <c r="I153">
        <v>27661.493993440545</v>
      </c>
      <c r="J153">
        <v>2.7187270715567289</v>
      </c>
      <c r="K153">
        <v>3.9227481360999401</v>
      </c>
      <c r="L153">
        <v>6.5301413399879982</v>
      </c>
      <c r="M153">
        <f>128897.2893</f>
        <v>128897.2893</v>
      </c>
      <c r="N153" s="82">
        <v>100</v>
      </c>
      <c r="O153">
        <v>76.262178218596119</v>
      </c>
      <c r="P1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53" t="str">
        <f t="shared" ca="1" si="15"/>
        <v>TV</v>
      </c>
      <c r="R153" s="46">
        <f>automotive_demand_forecasting_dataset5678[[#This Row],[Units_Sold]]*automotive_demand_forecasting_dataset5678[[#This Row],[Average_Price]]</f>
        <v>2738487.9053506139</v>
      </c>
      <c r="S153" t="str">
        <f t="shared" ca="1" si="16"/>
        <v>OK</v>
      </c>
    </row>
    <row r="154" spans="1:19">
      <c r="A154" s="1">
        <v>46295</v>
      </c>
      <c r="B154" t="s">
        <v>10</v>
      </c>
      <c r="C154" t="str">
        <f>TEXT(automotive_demand_forecasting_dataset5678[[#This Row],[Date]],"mmmm")</f>
        <v>September</v>
      </c>
      <c r="D154" t="str">
        <f>CHOOSE(MATCH(MONTH(A154), {1,4,7,10}), "Winter", "Spring", "Summer", "Autumn")</f>
        <v>Summer</v>
      </c>
      <c r="E154">
        <f>YEAR(automotive_demand_forecasting_dataset5678[[#This Row],[Date]])</f>
        <v>2026</v>
      </c>
      <c r="F154">
        <v>100</v>
      </c>
      <c r="G154">
        <f>(automotive_demand_forecasting_dataset5678[[#This Row],[Units_Sold]] -$C$4) / $C$5</f>
        <v>7.1703620942466739E-2</v>
      </c>
      <c r="H154" s="47" t="str">
        <f t="shared" ca="1" si="14"/>
        <v>North</v>
      </c>
      <c r="I154">
        <v>31732.519408653578</v>
      </c>
      <c r="J154">
        <v>3.2354736613268527</v>
      </c>
      <c r="K154">
        <v>3.4262154022415925</v>
      </c>
      <c r="L154">
        <v>5.2184553160511031</v>
      </c>
      <c r="M154">
        <v>113854.45510233719</v>
      </c>
      <c r="N154" s="82">
        <v>76</v>
      </c>
      <c r="O154">
        <v>86.756660228487732</v>
      </c>
      <c r="P1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54" t="str">
        <f t="shared" ca="1" si="15"/>
        <v>Radio</v>
      </c>
      <c r="R154" s="46">
        <f>automotive_demand_forecasting_dataset5678[[#This Row],[Units_Sold]]*automotive_demand_forecasting_dataset5678[[#This Row],[Average_Price]]</f>
        <v>3173251.9408653579</v>
      </c>
      <c r="S154" t="str">
        <f t="shared" ca="1" si="16"/>
        <v>OK</v>
      </c>
    </row>
    <row r="155" spans="1:19">
      <c r="A155" s="1">
        <v>46325</v>
      </c>
      <c r="B155" t="s">
        <v>11</v>
      </c>
      <c r="C155" t="str">
        <f>TEXT(automotive_demand_forecasting_dataset5678[[#This Row],[Date]],"mmmm")</f>
        <v>October</v>
      </c>
      <c r="D155" t="str">
        <f>CHOOSE(MATCH(MONTH(A155), {1,4,7,10}), "Winter", "Spring", "Summer", "Autumn")</f>
        <v>Autumn</v>
      </c>
      <c r="E155">
        <f>YEAR(automotive_demand_forecasting_dataset5678[[#This Row],[Date]])</f>
        <v>2026</v>
      </c>
      <c r="F155">
        <v>89</v>
      </c>
      <c r="G155">
        <f>(automotive_demand_forecasting_dataset5678[[#This Row],[Units_Sold]] -$C$4) / $C$5</f>
        <v>-1.0550675652962918</v>
      </c>
      <c r="H155" s="47" t="str">
        <f t="shared" ca="1" si="14"/>
        <v>South</v>
      </c>
      <c r="I155">
        <v>29765.397105604079</v>
      </c>
      <c r="J155">
        <v>3.8971323398109137</v>
      </c>
      <c r="K155">
        <v>3.4653974845911706</v>
      </c>
      <c r="L155">
        <v>5.5458855939520344</v>
      </c>
      <c r="M155">
        <v>74613.390069066023</v>
      </c>
      <c r="N155" s="82">
        <v>95</v>
      </c>
      <c r="O155">
        <v>24.497112436790278</v>
      </c>
      <c r="P1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55" t="str">
        <f t="shared" ca="1" si="15"/>
        <v>Billboards</v>
      </c>
      <c r="R155" s="46">
        <f>automotive_demand_forecasting_dataset5678[[#This Row],[Units_Sold]]*automotive_demand_forecasting_dataset5678[[#This Row],[Average_Price]]</f>
        <v>2649120.3423987632</v>
      </c>
      <c r="S155" t="str">
        <f t="shared" ca="1" si="16"/>
        <v>OK</v>
      </c>
    </row>
    <row r="156" spans="1:19">
      <c r="A156" s="1">
        <v>46355</v>
      </c>
      <c r="B156" t="s">
        <v>13</v>
      </c>
      <c r="C156" t="str">
        <f>TEXT(automotive_demand_forecasting_dataset5678[[#This Row],[Date]],"mmmm")</f>
        <v>November</v>
      </c>
      <c r="D156" t="str">
        <f>CHOOSE(MATCH(MONTH(A156), {1,4,7,10}), "Winter", "Spring", "Summer", "Autumn")</f>
        <v>Autumn</v>
      </c>
      <c r="E156">
        <f>YEAR(automotive_demand_forecasting_dataset5678[[#This Row],[Date]])</f>
        <v>2026</v>
      </c>
      <c r="F156">
        <v>100</v>
      </c>
      <c r="G156">
        <f>(automotive_demand_forecasting_dataset5678[[#This Row],[Units_Sold]] -$C$4) / $C$5</f>
        <v>7.1703620942466739E-2</v>
      </c>
      <c r="H156" s="47" t="str">
        <f t="shared" ca="1" si="14"/>
        <v>South</v>
      </c>
      <c r="I156">
        <v>32385.204136115608</v>
      </c>
      <c r="J156">
        <v>2.8728552884153755</v>
      </c>
      <c r="K156">
        <v>3.7361307218062176</v>
      </c>
      <c r="L156">
        <v>3.7616903024397468</v>
      </c>
      <c r="M156">
        <v>134050.2931625921</v>
      </c>
      <c r="N156" s="82">
        <v>86</v>
      </c>
      <c r="O156">
        <v>79.801650939720389</v>
      </c>
      <c r="P1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56" t="str">
        <f t="shared" ca="1" si="15"/>
        <v>Radio</v>
      </c>
      <c r="R156" s="46">
        <f>automotive_demand_forecasting_dataset5678[[#This Row],[Units_Sold]]*automotive_demand_forecasting_dataset5678[[#This Row],[Average_Price]]</f>
        <v>3238520.4136115606</v>
      </c>
      <c r="S156" t="str">
        <f t="shared" ca="1" si="16"/>
        <v>OK</v>
      </c>
    </row>
    <row r="157" spans="1:19">
      <c r="A157" s="1">
        <v>46385</v>
      </c>
      <c r="B157" t="s">
        <v>13</v>
      </c>
      <c r="C157" t="str">
        <f>TEXT(automotive_demand_forecasting_dataset5678[[#This Row],[Date]],"mmmm")</f>
        <v>December</v>
      </c>
      <c r="D157" t="str">
        <f>CHOOSE(MATCH(MONTH(A157), {1,4,7,10}), "Winter", "Spring", "Summer", "Autumn")</f>
        <v>Autumn</v>
      </c>
      <c r="E157">
        <f>YEAR(automotive_demand_forecasting_dataset5678[[#This Row],[Date]])</f>
        <v>2026</v>
      </c>
      <c r="F157">
        <v>104</v>
      </c>
      <c r="G157">
        <f>(automotive_demand_forecasting_dataset5678[[#This Row],[Units_Sold]] -$C$4) / $C$5</f>
        <v>0.48143859775656078</v>
      </c>
      <c r="H157" s="47" t="str">
        <f t="shared" ca="1" si="14"/>
        <v>North</v>
      </c>
      <c r="I157">
        <v>30384.109455301277</v>
      </c>
      <c r="J157">
        <v>3.5380713799999999</v>
      </c>
      <c r="K157">
        <v>2.5886575909614375</v>
      </c>
      <c r="L157">
        <v>5.1403880223918552</v>
      </c>
      <c r="M157">
        <v>104046.57592845603</v>
      </c>
      <c r="N157" s="82">
        <v>96</v>
      </c>
      <c r="O157">
        <v>88.068220585767634</v>
      </c>
      <c r="P1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57" t="str">
        <f t="shared" ca="1" si="15"/>
        <v>Print</v>
      </c>
      <c r="R157" s="46">
        <f>automotive_demand_forecasting_dataset5678[[#This Row],[Units_Sold]]*automotive_demand_forecasting_dataset5678[[#This Row],[Average_Price]]</f>
        <v>3159947.383351333</v>
      </c>
      <c r="S157" t="str">
        <f t="shared" ca="1" si="16"/>
        <v>OK</v>
      </c>
    </row>
    <row r="158" spans="1:19">
      <c r="A158" s="1">
        <v>46415</v>
      </c>
      <c r="B158" t="s">
        <v>12</v>
      </c>
      <c r="C158" t="str">
        <f>TEXT(automotive_demand_forecasting_dataset5678[[#This Row],[Date]],"mmmm")</f>
        <v>January</v>
      </c>
      <c r="D158" t="str">
        <f>CHOOSE(MATCH(MONTH(A158), {1,4,7,10}), "Winter", "Spring", "Summer", "Autumn")</f>
        <v>Winter</v>
      </c>
      <c r="E158">
        <f>YEAR(automotive_demand_forecasting_dataset5678[[#This Row],[Date]])</f>
        <v>2027</v>
      </c>
      <c r="F158">
        <v>96</v>
      </c>
      <c r="G158">
        <f>(automotive_demand_forecasting_dataset5678[[#This Row],[Units_Sold]] -$C$4) / $C$5</f>
        <v>-0.33803135587162725</v>
      </c>
      <c r="H158" s="47" t="str">
        <f t="shared" ca="1" si="14"/>
        <v>South</v>
      </c>
      <c r="I158">
        <v>23585.038879057152</v>
      </c>
      <c r="J158">
        <v>2.8217090976882977</v>
      </c>
      <c r="K158">
        <v>2.6973157074055956</v>
      </c>
      <c r="L158">
        <v>5.4397544595499063</v>
      </c>
      <c r="M158">
        <v>132637.13798178217</v>
      </c>
      <c r="N158" s="82">
        <v>87</v>
      </c>
      <c r="O158">
        <v>42.890803396665149</v>
      </c>
      <c r="P1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58" t="str">
        <f t="shared" ca="1" si="15"/>
        <v>Print</v>
      </c>
      <c r="R158" s="46">
        <f>automotive_demand_forecasting_dataset5678[[#This Row],[Units_Sold]]*automotive_demand_forecasting_dataset5678[[#This Row],[Average_Price]]</f>
        <v>2264163.7323894864</v>
      </c>
      <c r="S158" t="str">
        <f t="shared" ca="1" si="16"/>
        <v>OK</v>
      </c>
    </row>
    <row r="159" spans="1:19">
      <c r="A159" s="1">
        <v>46445</v>
      </c>
      <c r="B159" t="s">
        <v>12</v>
      </c>
      <c r="C159" t="str">
        <f>TEXT(automotive_demand_forecasting_dataset5678[[#This Row],[Date]],"mmmm")</f>
        <v>February</v>
      </c>
      <c r="D159" t="str">
        <f>CHOOSE(MATCH(MONTH(A159), {1,4,7,10}), "Winter", "Spring", "Summer", "Autumn")</f>
        <v>Winter</v>
      </c>
      <c r="E159">
        <f>YEAR(automotive_demand_forecasting_dataset5678[[#This Row],[Date]])</f>
        <v>2027</v>
      </c>
      <c r="F159">
        <v>100</v>
      </c>
      <c r="G159">
        <f>(automotive_demand_forecasting_dataset5678[[#This Row],[Units_Sold]] -$C$4) / $C$5</f>
        <v>7.1703620942466739E-2</v>
      </c>
      <c r="H159" s="47" t="str">
        <f t="shared" ca="1" si="14"/>
        <v>East</v>
      </c>
      <c r="I159">
        <v>34981.334097235696</v>
      </c>
      <c r="J159">
        <v>3.7332149912167631</v>
      </c>
      <c r="K159">
        <v>1.8823481045656498</v>
      </c>
      <c r="L159">
        <v>5.616047043</v>
      </c>
      <c r="M159">
        <v>85339.340089520207</v>
      </c>
      <c r="N159" s="82">
        <v>95</v>
      </c>
      <c r="O159">
        <v>71.235781919460237</v>
      </c>
      <c r="P1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59" t="str">
        <f t="shared" ca="1" si="15"/>
        <v>Radio</v>
      </c>
      <c r="R159" s="46">
        <f>automotive_demand_forecasting_dataset5678[[#This Row],[Units_Sold]]*automotive_demand_forecasting_dataset5678[[#This Row],[Average_Price]]</f>
        <v>3498133.4097235696</v>
      </c>
      <c r="S159" t="str">
        <f t="shared" ca="1" si="16"/>
        <v>OK</v>
      </c>
    </row>
    <row r="160" spans="1:19">
      <c r="A160" s="1">
        <v>46475</v>
      </c>
      <c r="B160" t="s">
        <v>11</v>
      </c>
      <c r="C160" t="str">
        <f>TEXT(automotive_demand_forecasting_dataset5678[[#This Row],[Date]],"mmmm")</f>
        <v>March</v>
      </c>
      <c r="D160" t="str">
        <f>CHOOSE(MATCH(MONTH(A160), {1,4,7,10}), "Winter", "Spring", "Summer", "Autumn")</f>
        <v>Winter</v>
      </c>
      <c r="E160">
        <f>YEAR(automotive_demand_forecasting_dataset5678[[#This Row],[Date]])</f>
        <v>2027</v>
      </c>
      <c r="F160">
        <v>105</v>
      </c>
      <c r="G160">
        <f>(automotive_demand_forecasting_dataset5678[[#This Row],[Units_Sold]] -$C$4) / $C$5</f>
        <v>0.58387234196008431</v>
      </c>
      <c r="H160" s="47" t="str">
        <f t="shared" ca="1" si="14"/>
        <v>West</v>
      </c>
      <c r="I160">
        <v>27531.217084193438</v>
      </c>
      <c r="J160">
        <v>3.4821792588512581</v>
      </c>
      <c r="K160">
        <v>2.1839271439729502</v>
      </c>
      <c r="L160">
        <v>4.1656395690710042</v>
      </c>
      <c r="M160">
        <v>136361.2384511565</v>
      </c>
      <c r="N160" s="82">
        <v>83</v>
      </c>
      <c r="O160">
        <v>45.132965106957769</v>
      </c>
      <c r="P1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60" t="str">
        <f t="shared" ca="1" si="15"/>
        <v>Radio</v>
      </c>
      <c r="R160" s="46">
        <f>automotive_demand_forecasting_dataset5678[[#This Row],[Units_Sold]]*automotive_demand_forecasting_dataset5678[[#This Row],[Average_Price]]</f>
        <v>2890777.793840311</v>
      </c>
      <c r="S160" t="str">
        <f t="shared" ca="1" si="16"/>
        <v>OK</v>
      </c>
    </row>
    <row r="161" spans="1:19">
      <c r="A161" s="1">
        <v>46505</v>
      </c>
      <c r="B161" t="s">
        <v>12</v>
      </c>
      <c r="C161" t="str">
        <f>TEXT(automotive_demand_forecasting_dataset5678[[#This Row],[Date]],"mmmm")</f>
        <v>April</v>
      </c>
      <c r="D161" t="str">
        <f>CHOOSE(MATCH(MONTH(A161), {1,4,7,10}), "Winter", "Spring", "Summer", "Autumn")</f>
        <v>Spring</v>
      </c>
      <c r="E161">
        <f>YEAR(automotive_demand_forecasting_dataset5678[[#This Row],[Date]])</f>
        <v>2027</v>
      </c>
      <c r="F161">
        <v>81</v>
      </c>
      <c r="G161">
        <f>(automotive_demand_forecasting_dataset5678[[#This Row],[Units_Sold]] -$C$4) / $C$5</f>
        <v>-1.87453751892448</v>
      </c>
      <c r="H161" s="47" t="str">
        <f t="shared" ca="1" si="14"/>
        <v>East</v>
      </c>
      <c r="I161">
        <v>22217.090506701243</v>
      </c>
      <c r="J161">
        <v>2.6924340920472454</v>
      </c>
      <c r="K161">
        <v>3.1157711497711418</v>
      </c>
      <c r="L161">
        <v>7.2570126865029252</v>
      </c>
      <c r="M161">
        <v>115503.10988069566</v>
      </c>
      <c r="N161" s="82">
        <v>109</v>
      </c>
      <c r="O161">
        <v>96.637685318596326</v>
      </c>
      <c r="P1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61" t="str">
        <f t="shared" ca="1" si="15"/>
        <v>TV</v>
      </c>
      <c r="R161" s="46">
        <f>automotive_demand_forecasting_dataset5678[[#This Row],[Units_Sold]]*automotive_demand_forecasting_dataset5678[[#This Row],[Average_Price]]</f>
        <v>1799584.3310428006</v>
      </c>
      <c r="S161" t="str">
        <f t="shared" ca="1" si="16"/>
        <v>OK</v>
      </c>
    </row>
    <row r="162" spans="1:19">
      <c r="A162" s="1">
        <v>46535</v>
      </c>
      <c r="B162" t="s">
        <v>13</v>
      </c>
      <c r="C162" t="str">
        <f>TEXT(automotive_demand_forecasting_dataset5678[[#This Row],[Date]],"mmmm")</f>
        <v>May</v>
      </c>
      <c r="D162" t="str">
        <f>CHOOSE(MATCH(MONTH(A162), {1,4,7,10}), "Winter", "Spring", "Summer", "Autumn")</f>
        <v>Spring</v>
      </c>
      <c r="E162">
        <f>YEAR(automotive_demand_forecasting_dataset5678[[#This Row],[Date]])</f>
        <v>2027</v>
      </c>
      <c r="F162">
        <v>120</v>
      </c>
      <c r="G162">
        <f>(automotive_demand_forecasting_dataset5678[[#This Row],[Units_Sold]] -$C$4) / $C$5</f>
        <v>2.1203785050129369</v>
      </c>
      <c r="H162" s="47" t="str">
        <f t="shared" ca="1" si="14"/>
        <v>South</v>
      </c>
      <c r="I162">
        <v>27859.424195170439</v>
      </c>
      <c r="J162">
        <v>4.082369677228586</v>
      </c>
      <c r="K162">
        <v>3.7038844371688162</v>
      </c>
      <c r="L162">
        <v>6.6962305281589698</v>
      </c>
      <c r="M162">
        <v>111060.80171704717</v>
      </c>
      <c r="N162" s="82">
        <v>98</v>
      </c>
      <c r="O162">
        <v>22.673885794840302</v>
      </c>
      <c r="P1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62" t="str">
        <f t="shared" ca="1" si="15"/>
        <v>Radio</v>
      </c>
      <c r="R162" s="46">
        <f>automotive_demand_forecasting_dataset5678[[#This Row],[Units_Sold]]*automotive_demand_forecasting_dataset5678[[#This Row],[Average_Price]]</f>
        <v>3343130.9034204525</v>
      </c>
      <c r="S162" t="str">
        <f t="shared" ca="1" si="16"/>
        <v>OK</v>
      </c>
    </row>
    <row r="163" spans="1:19">
      <c r="A163" s="1">
        <v>46565</v>
      </c>
      <c r="B163" t="s">
        <v>13</v>
      </c>
      <c r="C163" t="str">
        <f>TEXT(automotive_demand_forecasting_dataset5678[[#This Row],[Date]],"mmmm")</f>
        <v>June</v>
      </c>
      <c r="D163" t="str">
        <f>CHOOSE(MATCH(MONTH(A163), {1,4,7,10}), "Winter", "Spring", "Summer", "Autumn")</f>
        <v>Spring</v>
      </c>
      <c r="E163">
        <f>YEAR(automotive_demand_forecasting_dataset5678[[#This Row],[Date]])</f>
        <v>2027</v>
      </c>
      <c r="F163">
        <v>97</v>
      </c>
      <c r="G163">
        <f>(automotive_demand_forecasting_dataset5678[[#This Row],[Units_Sold]] -$C$4) / $C$5</f>
        <v>-0.23559761166810378</v>
      </c>
      <c r="H163" s="47" t="str">
        <f t="shared" ca="1" si="14"/>
        <v>East</v>
      </c>
      <c r="I163">
        <v>37503.798953171558</v>
      </c>
      <c r="J163">
        <v>3.1327042116009753</v>
      </c>
      <c r="K163">
        <v>2.6520564320000002</v>
      </c>
      <c r="L163">
        <v>5.8367636853881635</v>
      </c>
      <c r="M163">
        <v>104680.48908706296</v>
      </c>
      <c r="N163" s="82">
        <v>78</v>
      </c>
      <c r="O163">
        <v>66.383427506636394</v>
      </c>
      <c r="P1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63" t="str">
        <f t="shared" ca="1" si="15"/>
        <v>Print</v>
      </c>
      <c r="R163" s="46">
        <f>automotive_demand_forecasting_dataset5678[[#This Row],[Units_Sold]]*automotive_demand_forecasting_dataset5678[[#This Row],[Average_Price]]</f>
        <v>3637868.4984576409</v>
      </c>
      <c r="S163" t="str">
        <f t="shared" ca="1" si="16"/>
        <v>OK</v>
      </c>
    </row>
    <row r="164" spans="1:19">
      <c r="A164" s="1">
        <v>46595</v>
      </c>
      <c r="B164" t="s">
        <v>10</v>
      </c>
      <c r="C164" t="str">
        <f>TEXT(automotive_demand_forecasting_dataset5678[[#This Row],[Date]],"mmmm")</f>
        <v>July</v>
      </c>
      <c r="D164" t="str">
        <f>CHOOSE(MATCH(MONTH(A164), {1,4,7,10}), "Winter", "Spring", "Summer", "Autumn")</f>
        <v>Summer</v>
      </c>
      <c r="E164">
        <f>YEAR(automotive_demand_forecasting_dataset5678[[#This Row],[Date]])</f>
        <v>2027</v>
      </c>
      <c r="F164">
        <v>99</v>
      </c>
      <c r="G164">
        <f>(automotive_demand_forecasting_dataset5678[[#This Row],[Units_Sold]] -$C$4) / $C$5</f>
        <v>-3.0730123261056761E-2</v>
      </c>
      <c r="H164" s="47" t="str">
        <f t="shared" ca="1" si="14"/>
        <v>East</v>
      </c>
      <c r="I164">
        <v>34251.108710567467</v>
      </c>
      <c r="J164">
        <v>3.0948737814928093</v>
      </c>
      <c r="K164">
        <v>2.0498107351485886</v>
      </c>
      <c r="L164">
        <v>7.6103445810341599</v>
      </c>
      <c r="M164">
        <v>95029.427638511013</v>
      </c>
      <c r="N164" s="82">
        <v>91</v>
      </c>
      <c r="O164">
        <v>33.320283763961207</v>
      </c>
      <c r="P1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64" t="str">
        <f t="shared" ca="1" si="15"/>
        <v>Print</v>
      </c>
      <c r="R164" s="46">
        <f>automotive_demand_forecasting_dataset5678[[#This Row],[Units_Sold]]*automotive_demand_forecasting_dataset5678[[#This Row],[Average_Price]]</f>
        <v>3390859.7623461792</v>
      </c>
      <c r="S164" t="str">
        <f t="shared" ca="1" si="16"/>
        <v>OK</v>
      </c>
    </row>
    <row r="165" spans="1:19">
      <c r="A165" s="1">
        <v>46625</v>
      </c>
      <c r="B165" t="s">
        <v>13</v>
      </c>
      <c r="C165" t="str">
        <f>TEXT(automotive_demand_forecasting_dataset5678[[#This Row],[Date]],"mmmm")</f>
        <v>August</v>
      </c>
      <c r="D165" t="str">
        <f>CHOOSE(MATCH(MONTH(A165), {1,4,7,10}), "Winter", "Spring", "Summer", "Autumn")</f>
        <v>Summer</v>
      </c>
      <c r="E165">
        <f>YEAR(automotive_demand_forecasting_dataset5678[[#This Row],[Date]])</f>
        <v>2027</v>
      </c>
      <c r="F165">
        <v>120</v>
      </c>
      <c r="G165">
        <f>(automotive_demand_forecasting_dataset5678[[#This Row],[Units_Sold]] -$C$4) / $C$5</f>
        <v>2.1203785050129369</v>
      </c>
      <c r="H165" s="47" t="str">
        <f t="shared" ca="1" si="14"/>
        <v>North</v>
      </c>
      <c r="I165">
        <v>28256.739327960706</v>
      </c>
      <c r="J165">
        <v>3.6002845986154712</v>
      </c>
      <c r="K165">
        <v>2.5005279588565972</v>
      </c>
      <c r="L165">
        <v>5.9465265671282355</v>
      </c>
      <c r="M165">
        <v>124010.63316947746</v>
      </c>
      <c r="N165" s="82">
        <v>86</v>
      </c>
      <c r="O165">
        <v>80.215177969999999</v>
      </c>
      <c r="P1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65" t="str">
        <f t="shared" ca="1" si="15"/>
        <v>Online</v>
      </c>
      <c r="R165" s="46">
        <f>automotive_demand_forecasting_dataset5678[[#This Row],[Units_Sold]]*automotive_demand_forecasting_dataset5678[[#This Row],[Average_Price]]</f>
        <v>3390808.7193552847</v>
      </c>
      <c r="S165" t="str">
        <f t="shared" ca="1" si="16"/>
        <v>OK</v>
      </c>
    </row>
    <row r="166" spans="1:19">
      <c r="A166" s="1">
        <v>46655</v>
      </c>
      <c r="B166" t="s">
        <v>11</v>
      </c>
      <c r="C166" t="str">
        <f>TEXT(automotive_demand_forecasting_dataset5678[[#This Row],[Date]],"mmmm")</f>
        <v>September</v>
      </c>
      <c r="D166" t="str">
        <f>CHOOSE(MATCH(MONTH(A166), {1,4,7,10}), "Winter", "Spring", "Summer", "Autumn")</f>
        <v>Summer</v>
      </c>
      <c r="E166">
        <f>YEAR(automotive_demand_forecasting_dataset5678[[#This Row],[Date]])</f>
        <v>2027</v>
      </c>
      <c r="F166">
        <v>90</v>
      </c>
      <c r="G166">
        <f>(automotive_demand_forecasting_dataset5678[[#This Row],[Units_Sold]] -$C$4) / $C$5</f>
        <v>-0.95263382109276828</v>
      </c>
      <c r="H166" s="47" t="str">
        <f t="shared" ca="1" si="14"/>
        <v>North</v>
      </c>
      <c r="I166">
        <v>28253.711478407855</v>
      </c>
      <c r="J166">
        <v>4.0743186747143572</v>
      </c>
      <c r="K166">
        <v>3.1012067489291146</v>
      </c>
      <c r="L166">
        <v>5.9669910348015147</v>
      </c>
      <c r="M166">
        <v>102807.19739696094</v>
      </c>
      <c r="N166" s="82">
        <v>86</v>
      </c>
      <c r="O166">
        <v>34.071222673492969</v>
      </c>
      <c r="P1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66" t="str">
        <f t="shared" ca="1" si="15"/>
        <v>Radio</v>
      </c>
      <c r="R166" s="46">
        <f>automotive_demand_forecasting_dataset5678[[#This Row],[Units_Sold]]*automotive_demand_forecasting_dataset5678[[#This Row],[Average_Price]]</f>
        <v>2542834.0330567071</v>
      </c>
      <c r="S166" t="str">
        <f t="shared" ca="1" si="16"/>
        <v>OK</v>
      </c>
    </row>
    <row r="167" spans="1:19">
      <c r="A167" s="1">
        <v>46685</v>
      </c>
      <c r="B167" t="s">
        <v>14</v>
      </c>
      <c r="C167" t="str">
        <f>TEXT(automotive_demand_forecasting_dataset5678[[#This Row],[Date]],"mmmm")</f>
        <v>October</v>
      </c>
      <c r="D167" t="str">
        <f>CHOOSE(MATCH(MONTH(A167), {1,4,7,10}), "Winter", "Spring", "Summer", "Autumn")</f>
        <v>Autumn</v>
      </c>
      <c r="E167">
        <f>YEAR(automotive_demand_forecasting_dataset5678[[#This Row],[Date]])</f>
        <v>2027</v>
      </c>
      <c r="F167">
        <v>85</v>
      </c>
      <c r="G167">
        <f>(automotive_demand_forecasting_dataset5678[[#This Row],[Units_Sold]] -$C$4) / $C$5</f>
        <v>-1.4648025421103859</v>
      </c>
      <c r="H167" s="47" t="str">
        <f t="shared" ca="1" si="14"/>
        <v>West</v>
      </c>
      <c r="I167">
        <v>28391.824743913086</v>
      </c>
      <c r="J167">
        <v>2.9920890905108015</v>
      </c>
      <c r="K167">
        <v>1.0561451838664582</v>
      </c>
      <c r="L167">
        <v>5.4362552163789459</v>
      </c>
      <c r="M167">
        <v>60658.605928256955</v>
      </c>
      <c r="N167" s="82">
        <v>88</v>
      </c>
      <c r="O167">
        <v>38.830660951868609</v>
      </c>
      <c r="P1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67" t="str">
        <f t="shared" ca="1" si="15"/>
        <v>Print</v>
      </c>
      <c r="R167" s="46">
        <f>automotive_demand_forecasting_dataset5678[[#This Row],[Units_Sold]]*automotive_demand_forecasting_dataset5678[[#This Row],[Average_Price]]</f>
        <v>2413305.1032326124</v>
      </c>
      <c r="S167" t="str">
        <f t="shared" ca="1" si="16"/>
        <v>OK</v>
      </c>
    </row>
    <row r="168" spans="1:19">
      <c r="A168" s="1">
        <v>46715</v>
      </c>
      <c r="B168" t="s">
        <v>10</v>
      </c>
      <c r="C168" t="str">
        <f>TEXT(automotive_demand_forecasting_dataset5678[[#This Row],[Date]],"mmmm")</f>
        <v>November</v>
      </c>
      <c r="D168" t="str">
        <f>CHOOSE(MATCH(MONTH(A168), {1,4,7,10}), "Winter", "Spring", "Summer", "Autumn")</f>
        <v>Autumn</v>
      </c>
      <c r="E168">
        <f>YEAR(automotive_demand_forecasting_dataset5678[[#This Row],[Date]])</f>
        <v>2027</v>
      </c>
      <c r="F168">
        <v>84</v>
      </c>
      <c r="G168">
        <f>(automotive_demand_forecasting_dataset5678[[#This Row],[Units_Sold]] -$C$4) / $C$5</f>
        <v>-1.5672362863139093</v>
      </c>
      <c r="H168" s="47" t="str">
        <f t="shared" ca="1" si="14"/>
        <v>North</v>
      </c>
      <c r="I168">
        <v>40383.739917804203</v>
      </c>
      <c r="J168">
        <v>3.5308399249239857</v>
      </c>
      <c r="K168">
        <v>2.6520564320000002</v>
      </c>
      <c r="L168">
        <v>6.9682826589023534</v>
      </c>
      <c r="M168">
        <v>77656.270765859954</v>
      </c>
      <c r="N168" s="82">
        <v>90</v>
      </c>
      <c r="O168">
        <v>59.549664883660647</v>
      </c>
      <c r="P1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68" t="str">
        <f t="shared" ca="1" si="15"/>
        <v>Billboards</v>
      </c>
      <c r="R168" s="46">
        <f>automotive_demand_forecasting_dataset5678[[#This Row],[Units_Sold]]*automotive_demand_forecasting_dataset5678[[#This Row],[Average_Price]]</f>
        <v>3392234.1530955532</v>
      </c>
      <c r="S168" t="str">
        <f t="shared" ca="1" si="16"/>
        <v>OK</v>
      </c>
    </row>
    <row r="169" spans="1:19">
      <c r="A169" s="1">
        <v>46745</v>
      </c>
      <c r="B169" t="s">
        <v>10</v>
      </c>
      <c r="C169" t="str">
        <f>TEXT(automotive_demand_forecasting_dataset5678[[#This Row],[Date]],"mmmm")</f>
        <v>December</v>
      </c>
      <c r="D169" t="str">
        <f>CHOOSE(MATCH(MONTH(A169), {1,4,7,10}), "Winter", "Spring", "Summer", "Autumn")</f>
        <v>Autumn</v>
      </c>
      <c r="E169">
        <f>YEAR(automotive_demand_forecasting_dataset5678[[#This Row],[Date]])</f>
        <v>2027</v>
      </c>
      <c r="F169">
        <v>100</v>
      </c>
      <c r="G169">
        <f>(automotive_demand_forecasting_dataset5678[[#This Row],[Units_Sold]] -$C$4) / $C$5</f>
        <v>7.1703620942466739E-2</v>
      </c>
      <c r="H169" s="47" t="str">
        <f t="shared" ca="1" si="14"/>
        <v>East</v>
      </c>
      <c r="I169">
        <v>31909.677261157765</v>
      </c>
      <c r="J169">
        <v>3.7144082501652864</v>
      </c>
      <c r="K169">
        <v>1.9494631505084166</v>
      </c>
      <c r="L169">
        <v>6.8157630805730607</v>
      </c>
      <c r="M169">
        <v>96283.08495614506</v>
      </c>
      <c r="N169" s="82">
        <v>83</v>
      </c>
      <c r="O169">
        <v>93.186795999750245</v>
      </c>
      <c r="P1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69" t="str">
        <f t="shared" ca="1" si="15"/>
        <v>Online</v>
      </c>
      <c r="R169" s="46">
        <f>automotive_demand_forecasting_dataset5678[[#This Row],[Units_Sold]]*automotive_demand_forecasting_dataset5678[[#This Row],[Average_Price]]</f>
        <v>3190967.7261157767</v>
      </c>
      <c r="S169" t="str">
        <f t="shared" ca="1" si="16"/>
        <v>OK</v>
      </c>
    </row>
    <row r="170" spans="1:19">
      <c r="A170" s="1">
        <v>46775</v>
      </c>
      <c r="B170" t="s">
        <v>11</v>
      </c>
      <c r="C170" t="str">
        <f>TEXT(automotive_demand_forecasting_dataset5678[[#This Row],[Date]],"mmmm")</f>
        <v>January</v>
      </c>
      <c r="D170" t="str">
        <f>CHOOSE(MATCH(MONTH(A170), {1,4,7,10}), "Winter", "Spring", "Summer", "Autumn")</f>
        <v>Winter</v>
      </c>
      <c r="E170">
        <f>YEAR(automotive_demand_forecasting_dataset5678[[#This Row],[Date]])</f>
        <v>2028</v>
      </c>
      <c r="F170">
        <v>112</v>
      </c>
      <c r="G170">
        <f>(automotive_demand_forecasting_dataset5678[[#This Row],[Units_Sold]] -$C$4) / $C$5</f>
        <v>1.3009085513847487</v>
      </c>
      <c r="H170" s="47" t="str">
        <f t="shared" ca="1" si="14"/>
        <v>East</v>
      </c>
      <c r="I170">
        <v>32150.20823595535</v>
      </c>
      <c r="J170">
        <v>3.8465528036315719</v>
      </c>
      <c r="K170">
        <v>1.2792875740858414</v>
      </c>
      <c r="L170">
        <v>4.7491872550045446</v>
      </c>
      <c r="M170">
        <v>106199.9796633111</v>
      </c>
      <c r="N170" s="82">
        <f>111.9136842</f>
        <v>111.91368420000001</v>
      </c>
      <c r="O170">
        <v>36.937149771837667</v>
      </c>
      <c r="P1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70" t="str">
        <f t="shared" ca="1" si="15"/>
        <v>Print</v>
      </c>
      <c r="R170" s="46">
        <f>automotive_demand_forecasting_dataset5678[[#This Row],[Units_Sold]]*automotive_demand_forecasting_dataset5678[[#This Row],[Average_Price]]</f>
        <v>3600823.322426999</v>
      </c>
      <c r="S170" t="str">
        <f t="shared" ca="1" si="16"/>
        <v>OK</v>
      </c>
    </row>
    <row r="171" spans="1:19">
      <c r="A171" s="1">
        <v>46805</v>
      </c>
      <c r="B171" t="s">
        <v>11</v>
      </c>
      <c r="C171" t="str">
        <f>TEXT(automotive_demand_forecasting_dataset5678[[#This Row],[Date]],"mmmm")</f>
        <v>February</v>
      </c>
      <c r="D171" t="str">
        <f>CHOOSE(MATCH(MONTH(A171), {1,4,7,10}), "Winter", "Spring", "Summer", "Autumn")</f>
        <v>Winter</v>
      </c>
      <c r="E171">
        <f>YEAR(automotive_demand_forecasting_dataset5678[[#This Row],[Date]])</f>
        <v>2028</v>
      </c>
      <c r="F171">
        <v>110</v>
      </c>
      <c r="G171">
        <f>(automotive_demand_forecasting_dataset5678[[#This Row],[Units_Sold]] -$C$4) / $C$5</f>
        <v>1.0960410629777018</v>
      </c>
      <c r="H171" s="47" t="str">
        <f t="shared" ca="1" si="14"/>
        <v>East</v>
      </c>
      <c r="I171">
        <v>35151.417270159211</v>
      </c>
      <c r="J171">
        <v>3.5882207776386128</v>
      </c>
      <c r="K171">
        <v>1.991859802352689</v>
      </c>
      <c r="L171">
        <v>3.9169033664814794</v>
      </c>
      <c r="M171">
        <v>98868.230222002079</v>
      </c>
      <c r="N171" s="82">
        <v>88</v>
      </c>
      <c r="O171">
        <v>31.539201689448284</v>
      </c>
      <c r="P1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71" t="str">
        <f t="shared" ca="1" si="15"/>
        <v>Print</v>
      </c>
      <c r="R171" s="46">
        <f>automotive_demand_forecasting_dataset5678[[#This Row],[Units_Sold]]*automotive_demand_forecasting_dataset5678[[#This Row],[Average_Price]]</f>
        <v>3866655.899717513</v>
      </c>
      <c r="S171" t="str">
        <f t="shared" ca="1" si="16"/>
        <v>OK</v>
      </c>
    </row>
    <row r="172" spans="1:19">
      <c r="A172" s="1">
        <v>46835</v>
      </c>
      <c r="B172" t="s">
        <v>12</v>
      </c>
      <c r="C172" t="str">
        <f>TEXT(automotive_demand_forecasting_dataset5678[[#This Row],[Date]],"mmmm")</f>
        <v>March</v>
      </c>
      <c r="D172" t="str">
        <f>CHOOSE(MATCH(MONTH(A172), {1,4,7,10}), "Winter", "Spring", "Summer", "Autumn")</f>
        <v>Winter</v>
      </c>
      <c r="E172">
        <f>YEAR(automotive_demand_forecasting_dataset5678[[#This Row],[Date]])</f>
        <v>2028</v>
      </c>
      <c r="F172">
        <v>86</v>
      </c>
      <c r="G172">
        <f>(automotive_demand_forecasting_dataset5678[[#This Row],[Units_Sold]] -$C$4) / $C$5</f>
        <v>-1.3623687979068624</v>
      </c>
      <c r="H172" s="47" t="str">
        <f t="shared" ca="1" si="14"/>
        <v>West</v>
      </c>
      <c r="I172">
        <v>31193.945795132568</v>
      </c>
      <c r="J172">
        <v>3.3164860804583389</v>
      </c>
      <c r="K172">
        <v>2.3522196811825284</v>
      </c>
      <c r="L172">
        <v>5.2564232351252116</v>
      </c>
      <c r="M172">
        <v>124379.41579587327</v>
      </c>
      <c r="N172" s="82">
        <v>99</v>
      </c>
      <c r="O172">
        <v>80.718146548322451</v>
      </c>
      <c r="P1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72" t="str">
        <f t="shared" ca="1" si="15"/>
        <v>Billboards</v>
      </c>
      <c r="R172" s="46">
        <f>automotive_demand_forecasting_dataset5678[[#This Row],[Units_Sold]]*automotive_demand_forecasting_dataset5678[[#This Row],[Average_Price]]</f>
        <v>2682679.3383814008</v>
      </c>
      <c r="S172" t="str">
        <f t="shared" ca="1" si="16"/>
        <v>OK</v>
      </c>
    </row>
    <row r="173" spans="1:19">
      <c r="A173" s="1">
        <v>46865</v>
      </c>
      <c r="B173" t="s">
        <v>10</v>
      </c>
      <c r="C173" t="str">
        <f>TEXT(automotive_demand_forecasting_dataset5678[[#This Row],[Date]],"mmmm")</f>
        <v>April</v>
      </c>
      <c r="D173" t="str">
        <f>CHOOSE(MATCH(MONTH(A173), {1,4,7,10}), "Winter", "Spring", "Summer", "Autumn")</f>
        <v>Spring</v>
      </c>
      <c r="E173">
        <f>YEAR(automotive_demand_forecasting_dataset5678[[#This Row],[Date]])</f>
        <v>2028</v>
      </c>
      <c r="F173">
        <v>104</v>
      </c>
      <c r="G173">
        <f>(automotive_demand_forecasting_dataset5678[[#This Row],[Units_Sold]] -$C$4) / $C$5</f>
        <v>0.48143859775656078</v>
      </c>
      <c r="H173" s="47" t="str">
        <f t="shared" ca="1" si="14"/>
        <v>South</v>
      </c>
      <c r="I173">
        <v>30949.702720000001</v>
      </c>
      <c r="J173">
        <v>3.0862048896756402</v>
      </c>
      <c r="K173">
        <v>2.0467515909769864</v>
      </c>
      <c r="L173">
        <v>4.5399537227228244</v>
      </c>
      <c r="M173">
        <v>60977.9627192275</v>
      </c>
      <c r="N173" s="82">
        <v>100</v>
      </c>
      <c r="O173">
        <v>60.04956258671448</v>
      </c>
      <c r="P1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73" t="str">
        <f t="shared" ca="1" si="15"/>
        <v>Billboards</v>
      </c>
      <c r="R173" s="46">
        <f>automotive_demand_forecasting_dataset5678[[#This Row],[Units_Sold]]*automotive_demand_forecasting_dataset5678[[#This Row],[Average_Price]]</f>
        <v>3218769.0828800001</v>
      </c>
      <c r="S173" t="str">
        <f t="shared" ca="1" si="16"/>
        <v>OK</v>
      </c>
    </row>
    <row r="174" spans="1:19">
      <c r="A174" s="1">
        <v>46895</v>
      </c>
      <c r="B174" t="s">
        <v>12</v>
      </c>
      <c r="C174" t="str">
        <f>TEXT(automotive_demand_forecasting_dataset5678[[#This Row],[Date]],"mmmm")</f>
        <v>May</v>
      </c>
      <c r="D174" t="str">
        <f>CHOOSE(MATCH(MONTH(A174), {1,4,7,10}), "Winter", "Spring", "Summer", "Autumn")</f>
        <v>Spring</v>
      </c>
      <c r="E174">
        <f>YEAR(automotive_demand_forecasting_dataset5678[[#This Row],[Date]])</f>
        <v>2028</v>
      </c>
      <c r="F174">
        <v>107</v>
      </c>
      <c r="G174">
        <f>(automotive_demand_forecasting_dataset5678[[#This Row],[Units_Sold]] -$C$4) / $C$5</f>
        <v>0.78873983036713124</v>
      </c>
      <c r="H174" s="47" t="str">
        <f t="shared" ca="1" si="14"/>
        <v>South</v>
      </c>
      <c r="I174">
        <v>29018.250754575107</v>
      </c>
      <c r="J174">
        <v>3.5380713799999999</v>
      </c>
      <c r="K174">
        <v>3.9524675344707454</v>
      </c>
      <c r="L174">
        <v>5.4237705104615737</v>
      </c>
      <c r="M174">
        <v>102871.7587301032</v>
      </c>
      <c r="N174" s="82">
        <v>88</v>
      </c>
      <c r="O174">
        <v>92.942808990541707</v>
      </c>
      <c r="P1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74" t="str">
        <f t="shared" ca="1" si="15"/>
        <v>Billboards</v>
      </c>
      <c r="R174" s="46">
        <f>automotive_demand_forecasting_dataset5678[[#This Row],[Units_Sold]]*automotive_demand_forecasting_dataset5678[[#This Row],[Average_Price]]</f>
        <v>3104952.8307395363</v>
      </c>
      <c r="S174" t="str">
        <f t="shared" ca="1" si="16"/>
        <v>OK</v>
      </c>
    </row>
    <row r="175" spans="1:19">
      <c r="A175" s="1">
        <v>46925</v>
      </c>
      <c r="B175" t="s">
        <v>13</v>
      </c>
      <c r="C175" t="str">
        <f>TEXT(automotive_demand_forecasting_dataset5678[[#This Row],[Date]],"mmmm")</f>
        <v>June</v>
      </c>
      <c r="D175" t="str">
        <f>CHOOSE(MATCH(MONTH(A175), {1,4,7,10}), "Winter", "Spring", "Summer", "Autumn")</f>
        <v>Spring</v>
      </c>
      <c r="E175">
        <f>YEAR(automotive_demand_forecasting_dataset5678[[#This Row],[Date]])</f>
        <v>2028</v>
      </c>
      <c r="F175">
        <v>93</v>
      </c>
      <c r="G175">
        <f>(automotive_demand_forecasting_dataset5678[[#This Row],[Units_Sold]] -$C$4) / $C$5</f>
        <v>-0.64533258848219777</v>
      </c>
      <c r="H175" s="47" t="str">
        <f t="shared" ca="1" si="14"/>
        <v>East</v>
      </c>
      <c r="I175">
        <v>29641.993702929682</v>
      </c>
      <c r="J175">
        <v>2.9639304940071964</v>
      </c>
      <c r="K175">
        <v>2.8267447646023198</v>
      </c>
      <c r="L175">
        <v>6.9849257616209668</v>
      </c>
      <c r="M175">
        <v>63640.415492256907</v>
      </c>
      <c r="N175" s="82">
        <v>83</v>
      </c>
      <c r="O175">
        <v>31.729164572787383</v>
      </c>
      <c r="P1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75" t="str">
        <f t="shared" ca="1" si="15"/>
        <v>Radio</v>
      </c>
      <c r="R175" s="46">
        <f>automotive_demand_forecasting_dataset5678[[#This Row],[Units_Sold]]*automotive_demand_forecasting_dataset5678[[#This Row],[Average_Price]]</f>
        <v>2756705.4143724605</v>
      </c>
      <c r="S175" t="str">
        <f t="shared" ca="1" si="16"/>
        <v>OK</v>
      </c>
    </row>
    <row r="176" spans="1:19">
      <c r="A176" s="1">
        <v>46955</v>
      </c>
      <c r="B176" t="s">
        <v>10</v>
      </c>
      <c r="C176" t="str">
        <f>TEXT(automotive_demand_forecasting_dataset5678[[#This Row],[Date]],"mmmm")</f>
        <v>July</v>
      </c>
      <c r="D176" t="str">
        <f>CHOOSE(MATCH(MONTH(A176), {1,4,7,10}), "Winter", "Spring", "Summer", "Autumn")</f>
        <v>Summer</v>
      </c>
      <c r="E176">
        <f>YEAR(automotive_demand_forecasting_dataset5678[[#This Row],[Date]])</f>
        <v>2028</v>
      </c>
      <c r="F176">
        <v>108</v>
      </c>
      <c r="G176">
        <f>(automotive_demand_forecasting_dataset5678[[#This Row],[Units_Sold]] -$C$4) / $C$5</f>
        <v>0.89117357457065483</v>
      </c>
      <c r="H176" s="47" t="str">
        <f t="shared" ca="1" si="14"/>
        <v>North</v>
      </c>
      <c r="I176">
        <v>29813.888817450792</v>
      </c>
      <c r="J176">
        <v>3.5380713799999999</v>
      </c>
      <c r="K176">
        <v>2.8004743596108286</v>
      </c>
      <c r="L176">
        <v>4.9512380138958516</v>
      </c>
      <c r="M176">
        <v>115194.24590968336</v>
      </c>
      <c r="N176" s="82">
        <v>90</v>
      </c>
      <c r="O176">
        <v>71.674231441843148</v>
      </c>
      <c r="P1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76" t="str">
        <f t="shared" ca="1" si="15"/>
        <v>Billboards</v>
      </c>
      <c r="R176" s="46">
        <f>automotive_demand_forecasting_dataset5678[[#This Row],[Units_Sold]]*automotive_demand_forecasting_dataset5678[[#This Row],[Average_Price]]</f>
        <v>3219899.9922846854</v>
      </c>
      <c r="S176" t="str">
        <f t="shared" ca="1" si="16"/>
        <v>OK</v>
      </c>
    </row>
    <row r="177" spans="1:19">
      <c r="A177" s="1">
        <v>46985</v>
      </c>
      <c r="B177" t="s">
        <v>10</v>
      </c>
      <c r="C177" t="str">
        <f>TEXT(automotive_demand_forecasting_dataset5678[[#This Row],[Date]],"mmmm")</f>
        <v>August</v>
      </c>
      <c r="D177" t="str">
        <f>CHOOSE(MATCH(MONTH(A177), {1,4,7,10}), "Winter", "Spring", "Summer", "Autumn")</f>
        <v>Summer</v>
      </c>
      <c r="E177">
        <f>YEAR(automotive_demand_forecasting_dataset5678[[#This Row],[Date]])</f>
        <v>2028</v>
      </c>
      <c r="F177">
        <v>96</v>
      </c>
      <c r="G177">
        <f>(automotive_demand_forecasting_dataset5678[[#This Row],[Units_Sold]] -$C$4) / $C$5</f>
        <v>-0.33803135587162725</v>
      </c>
      <c r="H177" s="47" t="str">
        <f t="shared" ca="1" si="14"/>
        <v>South</v>
      </c>
      <c r="I177">
        <v>33638.147718184897</v>
      </c>
      <c r="J177">
        <v>3.7182799020788337</v>
      </c>
      <c r="K177">
        <v>3.122207144043402</v>
      </c>
      <c r="L177">
        <v>5.4486119424261101</v>
      </c>
      <c r="M177">
        <v>98110.825711159938</v>
      </c>
      <c r="N177" s="82">
        <v>88</v>
      </c>
      <c r="O177">
        <v>38.630331692145205</v>
      </c>
      <c r="P1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77" t="str">
        <f t="shared" ca="1" si="15"/>
        <v>Online</v>
      </c>
      <c r="R177" s="46">
        <f>automotive_demand_forecasting_dataset5678[[#This Row],[Units_Sold]]*automotive_demand_forecasting_dataset5678[[#This Row],[Average_Price]]</f>
        <v>3229262.1809457503</v>
      </c>
      <c r="S177" t="str">
        <f t="shared" ca="1" si="16"/>
        <v>OK</v>
      </c>
    </row>
    <row r="178" spans="1:19">
      <c r="A178" s="1">
        <v>47015</v>
      </c>
      <c r="B178" t="s">
        <v>14</v>
      </c>
      <c r="C178" t="str">
        <f>TEXT(automotive_demand_forecasting_dataset5678[[#This Row],[Date]],"mmmm")</f>
        <v>September</v>
      </c>
      <c r="D178" t="str">
        <f>CHOOSE(MATCH(MONTH(A178), {1,4,7,10}), "Winter", "Spring", "Summer", "Autumn")</f>
        <v>Summer</v>
      </c>
      <c r="E178">
        <f>YEAR(automotive_demand_forecasting_dataset5678[[#This Row],[Date]])</f>
        <v>2028</v>
      </c>
      <c r="F178">
        <v>95</v>
      </c>
      <c r="G178">
        <f>(automotive_demand_forecasting_dataset5678[[#This Row],[Units_Sold]] -$C$4) / $C$5</f>
        <v>-0.44046510007515077</v>
      </c>
      <c r="H178" s="47" t="str">
        <f t="shared" ca="1" si="14"/>
        <v>South</v>
      </c>
      <c r="I178">
        <v>30259.729429036499</v>
      </c>
      <c r="J178">
        <v>3.9519674205430975</v>
      </c>
      <c r="K178">
        <v>1.3611668822192309</v>
      </c>
      <c r="L178">
        <v>5.5696272817700745</v>
      </c>
      <c r="M178">
        <f>128897.2893</f>
        <v>128897.2893</v>
      </c>
      <c r="N178" s="82">
        <v>86</v>
      </c>
      <c r="O178">
        <v>32.540834292131144</v>
      </c>
      <c r="P1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78" t="str">
        <f t="shared" ca="1" si="15"/>
        <v>TV</v>
      </c>
      <c r="R178" s="46">
        <f>automotive_demand_forecasting_dataset5678[[#This Row],[Units_Sold]]*automotive_demand_forecasting_dataset5678[[#This Row],[Average_Price]]</f>
        <v>2874674.2957584672</v>
      </c>
      <c r="S178" t="str">
        <f t="shared" ca="1" si="16"/>
        <v>OK</v>
      </c>
    </row>
    <row r="179" spans="1:19">
      <c r="A179" s="1">
        <v>47045</v>
      </c>
      <c r="B179" t="s">
        <v>10</v>
      </c>
      <c r="C179" t="str">
        <f>TEXT(automotive_demand_forecasting_dataset5678[[#This Row],[Date]],"mmmm")</f>
        <v>October</v>
      </c>
      <c r="D179" t="str">
        <f>CHOOSE(MATCH(MONTH(A179), {1,4,7,10}), "Winter", "Spring", "Summer", "Autumn")</f>
        <v>Autumn</v>
      </c>
      <c r="E179">
        <f>YEAR(automotive_demand_forecasting_dataset5678[[#This Row],[Date]])</f>
        <v>2028</v>
      </c>
      <c r="F179">
        <v>112</v>
      </c>
      <c r="G179">
        <f>(automotive_demand_forecasting_dataset5678[[#This Row],[Units_Sold]] -$C$4) / $C$5</f>
        <v>1.3009085513847487</v>
      </c>
      <c r="H179" s="47" t="str">
        <f t="shared" ca="1" si="14"/>
        <v>North</v>
      </c>
      <c r="I179">
        <v>33663.200386077893</v>
      </c>
      <c r="J179">
        <v>2.318533782229081</v>
      </c>
      <c r="K179">
        <v>3.5391117874202687</v>
      </c>
      <c r="L179">
        <v>6.5181170586463413</v>
      </c>
      <c r="M179">
        <v>82722.340788204674</v>
      </c>
      <c r="N179" s="82">
        <v>81</v>
      </c>
      <c r="O179">
        <v>74.67435321258165</v>
      </c>
      <c r="P1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79" t="str">
        <f t="shared" ca="1" si="15"/>
        <v>Online</v>
      </c>
      <c r="R179" s="46">
        <f>automotive_demand_forecasting_dataset5678[[#This Row],[Units_Sold]]*automotive_demand_forecasting_dataset5678[[#This Row],[Average_Price]]</f>
        <v>3770278.443240724</v>
      </c>
      <c r="S179" t="str">
        <f t="shared" ca="1" si="16"/>
        <v>OK</v>
      </c>
    </row>
    <row r="180" spans="1:19">
      <c r="A180" s="1">
        <v>47075</v>
      </c>
      <c r="B180" t="s">
        <v>13</v>
      </c>
      <c r="C180" t="str">
        <f>TEXT(automotive_demand_forecasting_dataset5678[[#This Row],[Date]],"mmmm")</f>
        <v>November</v>
      </c>
      <c r="D180" t="str">
        <f>CHOOSE(MATCH(MONTH(A180), {1,4,7,10}), "Winter", "Spring", "Summer", "Autumn")</f>
        <v>Autumn</v>
      </c>
      <c r="E180">
        <f>YEAR(automotive_demand_forecasting_dataset5678[[#This Row],[Date]])</f>
        <v>2028</v>
      </c>
      <c r="F180">
        <v>108</v>
      </c>
      <c r="G180">
        <f>(automotive_demand_forecasting_dataset5678[[#This Row],[Units_Sold]] -$C$4) / $C$5</f>
        <v>0.89117357457065483</v>
      </c>
      <c r="H180" s="47" t="str">
        <f t="shared" ca="1" si="14"/>
        <v>East</v>
      </c>
      <c r="I180">
        <v>29596.417099457089</v>
      </c>
      <c r="J180">
        <v>2.9951346476450311</v>
      </c>
      <c r="K180">
        <f t="shared" ref="K180" si="17">3.224108373</f>
        <v>3.224108373</v>
      </c>
      <c r="L180">
        <v>2.8037327992184737</v>
      </c>
      <c r="M180">
        <v>125589.29863315502</v>
      </c>
      <c r="N180" s="82">
        <v>82</v>
      </c>
      <c r="O180">
        <v>67.49476959269866</v>
      </c>
      <c r="P1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80" t="str">
        <f t="shared" ca="1" si="15"/>
        <v>Radio</v>
      </c>
      <c r="R180" s="46">
        <f>automotive_demand_forecasting_dataset5678[[#This Row],[Units_Sold]]*automotive_demand_forecasting_dataset5678[[#This Row],[Average_Price]]</f>
        <v>3196413.0467413655</v>
      </c>
      <c r="S180" t="str">
        <f t="shared" ca="1" si="16"/>
        <v>OK</v>
      </c>
    </row>
    <row r="181" spans="1:19">
      <c r="A181" s="1">
        <v>47105</v>
      </c>
      <c r="B181" t="s">
        <v>12</v>
      </c>
      <c r="C181" t="str">
        <f>TEXT(automotive_demand_forecasting_dataset5678[[#This Row],[Date]],"mmmm")</f>
        <v>December</v>
      </c>
      <c r="D181" t="str">
        <f>CHOOSE(MATCH(MONTH(A181), {1,4,7,10}), "Winter", "Spring", "Summer", "Autumn")</f>
        <v>Autumn</v>
      </c>
      <c r="E181">
        <f>YEAR(automotive_demand_forecasting_dataset5678[[#This Row],[Date]])</f>
        <v>2028</v>
      </c>
      <c r="F181">
        <v>85</v>
      </c>
      <c r="G181">
        <f>(automotive_demand_forecasting_dataset5678[[#This Row],[Units_Sold]] -$C$4) / $C$5</f>
        <v>-1.4648025421103859</v>
      </c>
      <c r="H181" s="47" t="str">
        <f t="shared" ca="1" si="14"/>
        <v>East</v>
      </c>
      <c r="I181">
        <v>30393.175951580452</v>
      </c>
      <c r="J181">
        <v>3.8095771305025989</v>
      </c>
      <c r="K181">
        <v>3.1704806172412123</v>
      </c>
      <c r="L181">
        <v>4.771959646281644</v>
      </c>
      <c r="M181">
        <v>120834.49328117703</v>
      </c>
      <c r="N181" s="82">
        <v>106</v>
      </c>
      <c r="O181">
        <v>80.3861966689865</v>
      </c>
      <c r="P1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81" t="str">
        <f t="shared" ca="1" si="15"/>
        <v>Radio</v>
      </c>
      <c r="R181" s="46">
        <f>automotive_demand_forecasting_dataset5678[[#This Row],[Units_Sold]]*automotive_demand_forecasting_dataset5678[[#This Row],[Average_Price]]</f>
        <v>2583419.9558843384</v>
      </c>
      <c r="S181" t="str">
        <f t="shared" ca="1" si="16"/>
        <v>OK</v>
      </c>
    </row>
    <row r="182" spans="1:19">
      <c r="A182" s="1">
        <v>47135</v>
      </c>
      <c r="B182" t="s">
        <v>12</v>
      </c>
      <c r="C182" t="str">
        <f>TEXT(automotive_demand_forecasting_dataset5678[[#This Row],[Date]],"mmmm")</f>
        <v>January</v>
      </c>
      <c r="D182" t="str">
        <f>CHOOSE(MATCH(MONTH(A182), {1,4,7,10}), "Winter", "Spring", "Summer", "Autumn")</f>
        <v>Winter</v>
      </c>
      <c r="E182">
        <f>YEAR(automotive_demand_forecasting_dataset5678[[#This Row],[Date]])</f>
        <v>2029</v>
      </c>
      <c r="F182">
        <v>100</v>
      </c>
      <c r="G182">
        <f>(automotive_demand_forecasting_dataset5678[[#This Row],[Units_Sold]] -$C$4) / $C$5</f>
        <v>7.1703620942466739E-2</v>
      </c>
      <c r="H182" s="47" t="str">
        <f t="shared" ca="1" si="14"/>
        <v>North</v>
      </c>
      <c r="I182">
        <v>20008.996577339462</v>
      </c>
      <c r="J182">
        <v>3.5380713799999999</v>
      </c>
      <c r="K182">
        <v>1.4281427669598445</v>
      </c>
      <c r="L182">
        <v>5.7535404307353675</v>
      </c>
      <c r="M182">
        <v>111670.88606023775</v>
      </c>
      <c r="N182" s="82">
        <v>97</v>
      </c>
      <c r="O182">
        <v>44.757006115694587</v>
      </c>
      <c r="P1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82" t="str">
        <f t="shared" ca="1" si="15"/>
        <v>Billboards</v>
      </c>
      <c r="R182" s="46">
        <f>automotive_demand_forecasting_dataset5678[[#This Row],[Units_Sold]]*automotive_demand_forecasting_dataset5678[[#This Row],[Average_Price]]</f>
        <v>2000899.6577339461</v>
      </c>
      <c r="S182" t="str">
        <f t="shared" ca="1" si="16"/>
        <v>OK</v>
      </c>
    </row>
    <row r="183" spans="1:19">
      <c r="A183" s="1">
        <v>47165</v>
      </c>
      <c r="B183" t="s">
        <v>14</v>
      </c>
      <c r="C183" t="str">
        <f>TEXT(automotive_demand_forecasting_dataset5678[[#This Row],[Date]],"mmmm")</f>
        <v>February</v>
      </c>
      <c r="D183" t="str">
        <f>CHOOSE(MATCH(MONTH(A183), {1,4,7,10}), "Winter", "Spring", "Summer", "Autumn")</f>
        <v>Winter</v>
      </c>
      <c r="E183">
        <f>YEAR(automotive_demand_forecasting_dataset5678[[#This Row],[Date]])</f>
        <v>2029</v>
      </c>
      <c r="F183">
        <v>95</v>
      </c>
      <c r="G183">
        <f>(automotive_demand_forecasting_dataset5678[[#This Row],[Units_Sold]] -$C$4) / $C$5</f>
        <v>-0.44046510007515077</v>
      </c>
      <c r="H183" s="47" t="str">
        <f t="shared" ca="1" si="14"/>
        <v>South</v>
      </c>
      <c r="I183">
        <v>34581.638373512411</v>
      </c>
      <c r="J183">
        <v>3.5103968538377042</v>
      </c>
      <c r="K183">
        <v>0.94624123398393567</v>
      </c>
      <c r="L183">
        <f>6.97388673</f>
        <v>6.9738867300000003</v>
      </c>
      <c r="M183">
        <f>128897.2893</f>
        <v>128897.2893</v>
      </c>
      <c r="N183" s="82">
        <v>77</v>
      </c>
      <c r="O183">
        <v>55.837732510575194</v>
      </c>
      <c r="P1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83" t="str">
        <f t="shared" ca="1" si="15"/>
        <v>TV</v>
      </c>
      <c r="R183" s="46">
        <f>automotive_demand_forecasting_dataset5678[[#This Row],[Units_Sold]]*automotive_demand_forecasting_dataset5678[[#This Row],[Average_Price]]</f>
        <v>3285255.6454836791</v>
      </c>
      <c r="S183" t="str">
        <f t="shared" ca="1" si="16"/>
        <v>OK</v>
      </c>
    </row>
    <row r="184" spans="1:19">
      <c r="A184" s="1">
        <v>47195</v>
      </c>
      <c r="B184" t="s">
        <v>13</v>
      </c>
      <c r="C184" t="str">
        <f>TEXT(automotive_demand_forecasting_dataset5678[[#This Row],[Date]],"mmmm")</f>
        <v>March</v>
      </c>
      <c r="D184" t="str">
        <f>CHOOSE(MATCH(MONTH(A184), {1,4,7,10}), "Winter", "Spring", "Summer", "Autumn")</f>
        <v>Winter</v>
      </c>
      <c r="E184">
        <f>YEAR(automotive_demand_forecasting_dataset5678[[#This Row],[Date]])</f>
        <v>2029</v>
      </c>
      <c r="F184">
        <v>97</v>
      </c>
      <c r="G184">
        <f>(automotive_demand_forecasting_dataset5678[[#This Row],[Units_Sold]] -$C$4) / $C$5</f>
        <v>-0.23559761166810378</v>
      </c>
      <c r="H184" s="47" t="str">
        <f t="shared" ca="1" si="14"/>
        <v>North</v>
      </c>
      <c r="I184">
        <v>31732.442379489963</v>
      </c>
      <c r="J184">
        <v>3.1359985293854327</v>
      </c>
      <c r="K184">
        <v>3.3178896580250288</v>
      </c>
      <c r="L184">
        <v>4.9097170629925539</v>
      </c>
      <c r="M184">
        <v>111597.14570590264</v>
      </c>
      <c r="N184" s="82">
        <v>88</v>
      </c>
      <c r="O184">
        <v>52.437734106433481</v>
      </c>
      <c r="P1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84" t="str">
        <f t="shared" ca="1" si="15"/>
        <v>TV</v>
      </c>
      <c r="R184" s="46">
        <f>automotive_demand_forecasting_dataset5678[[#This Row],[Units_Sold]]*automotive_demand_forecasting_dataset5678[[#This Row],[Average_Price]]</f>
        <v>3078046.9108105265</v>
      </c>
      <c r="S184" t="str">
        <f t="shared" ca="1" si="16"/>
        <v>OK</v>
      </c>
    </row>
    <row r="185" spans="1:19">
      <c r="A185" s="1">
        <v>47225</v>
      </c>
      <c r="B185" t="s">
        <v>12</v>
      </c>
      <c r="C185" t="str">
        <f>TEXT(automotive_demand_forecasting_dataset5678[[#This Row],[Date]],"mmmm")</f>
        <v>April</v>
      </c>
      <c r="D185" t="str">
        <f>CHOOSE(MATCH(MONTH(A185), {1,4,7,10}), "Winter", "Spring", "Summer", "Autumn")</f>
        <v>Spring</v>
      </c>
      <c r="E185">
        <f>YEAR(automotive_demand_forecasting_dataset5678[[#This Row],[Date]])</f>
        <v>2029</v>
      </c>
      <c r="F185">
        <v>116</v>
      </c>
      <c r="G185">
        <f>(automotive_demand_forecasting_dataset5678[[#This Row],[Units_Sold]] -$C$4) / $C$5</f>
        <v>1.7106435281988428</v>
      </c>
      <c r="H185" s="47" t="str">
        <f t="shared" ca="1" si="14"/>
        <v>West</v>
      </c>
      <c r="I185">
        <v>34990.050549298263</v>
      </c>
      <c r="J185">
        <v>3.4085517794475799</v>
      </c>
      <c r="K185">
        <v>2.8764095260975164</v>
      </c>
      <c r="L185">
        <v>3.2481367527497511</v>
      </c>
      <c r="M185">
        <v>85862.148640253028</v>
      </c>
      <c r="N185" s="82">
        <v>90</v>
      </c>
      <c r="O185">
        <v>65.454227669999995</v>
      </c>
      <c r="P1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85" t="str">
        <f t="shared" ca="1" si="15"/>
        <v>Billboards</v>
      </c>
      <c r="R185" s="46">
        <f>automotive_demand_forecasting_dataset5678[[#This Row],[Units_Sold]]*automotive_demand_forecasting_dataset5678[[#This Row],[Average_Price]]</f>
        <v>4058845.8637185986</v>
      </c>
      <c r="S185" t="str">
        <f t="shared" ca="1" si="16"/>
        <v>OK</v>
      </c>
    </row>
    <row r="186" spans="1:19">
      <c r="A186" s="1">
        <v>47255</v>
      </c>
      <c r="B186" t="s">
        <v>11</v>
      </c>
      <c r="C186" t="str">
        <f>TEXT(automotive_demand_forecasting_dataset5678[[#This Row],[Date]],"mmmm")</f>
        <v>May</v>
      </c>
      <c r="D186" t="str">
        <f>CHOOSE(MATCH(MONTH(A186), {1,4,7,10}), "Winter", "Spring", "Summer", "Autumn")</f>
        <v>Spring</v>
      </c>
      <c r="E186">
        <f>YEAR(automotive_demand_forecasting_dataset5678[[#This Row],[Date]])</f>
        <v>2029</v>
      </c>
      <c r="F186">
        <v>95</v>
      </c>
      <c r="G186">
        <f>(automotive_demand_forecasting_dataset5678[[#This Row],[Units_Sold]] -$C$4) / $C$5</f>
        <v>-0.44046510007515077</v>
      </c>
      <c r="H186" s="47" t="str">
        <f t="shared" ca="1" si="14"/>
        <v>North</v>
      </c>
      <c r="I186">
        <v>30949.702720000001</v>
      </c>
      <c r="J186">
        <v>4.1874382095740925</v>
      </c>
      <c r="K186">
        <v>1.5979484456424897</v>
      </c>
      <c r="L186">
        <v>6.2436537351593637</v>
      </c>
      <c r="M186">
        <v>117111.11318041425</v>
      </c>
      <c r="N186" s="82">
        <v>86</v>
      </c>
      <c r="O186">
        <v>43.379916539151033</v>
      </c>
      <c r="P1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86" t="str">
        <f t="shared" ca="1" si="15"/>
        <v>Online</v>
      </c>
      <c r="R186" s="46">
        <f>automotive_demand_forecasting_dataset5678[[#This Row],[Units_Sold]]*automotive_demand_forecasting_dataset5678[[#This Row],[Average_Price]]</f>
        <v>2940221.7584000002</v>
      </c>
      <c r="S186" t="str">
        <f t="shared" ca="1" si="16"/>
        <v>OK</v>
      </c>
    </row>
    <row r="187" spans="1:19">
      <c r="A187" s="1">
        <v>47285</v>
      </c>
      <c r="B187" t="s">
        <v>13</v>
      </c>
      <c r="C187" t="str">
        <f>TEXT(automotive_demand_forecasting_dataset5678[[#This Row],[Date]],"mmmm")</f>
        <v>June</v>
      </c>
      <c r="D187" t="str">
        <f>CHOOSE(MATCH(MONTH(A187), {1,4,7,10}), "Winter", "Spring", "Summer", "Autumn")</f>
        <v>Spring</v>
      </c>
      <c r="E187">
        <f>YEAR(automotive_demand_forecasting_dataset5678[[#This Row],[Date]])</f>
        <v>2029</v>
      </c>
      <c r="F187">
        <v>123</v>
      </c>
      <c r="G187">
        <f>(automotive_demand_forecasting_dataset5678[[#This Row],[Units_Sold]] -$C$4) / $C$5</f>
        <v>2.4276797376235075</v>
      </c>
      <c r="H187" s="47" t="str">
        <f t="shared" ca="1" si="14"/>
        <v>East</v>
      </c>
      <c r="I187">
        <v>40441.87352390364</v>
      </c>
      <c r="J187">
        <v>3.1770179104377325</v>
      </c>
      <c r="K187">
        <v>1.6303369187253056</v>
      </c>
      <c r="L187">
        <v>4.7375651334092446</v>
      </c>
      <c r="M187">
        <v>132989.61788647843</v>
      </c>
      <c r="N187" s="82">
        <v>96</v>
      </c>
      <c r="O187">
        <v>43.58537906774135</v>
      </c>
      <c r="P1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87" t="str">
        <f t="shared" ca="1" si="15"/>
        <v>TV</v>
      </c>
      <c r="R187" s="46">
        <f>automotive_demand_forecasting_dataset5678[[#This Row],[Units_Sold]]*automotive_demand_forecasting_dataset5678[[#This Row],[Average_Price]]</f>
        <v>4974350.4434401477</v>
      </c>
      <c r="S187" t="str">
        <f t="shared" ca="1" si="16"/>
        <v>OK</v>
      </c>
    </row>
    <row r="188" spans="1:19">
      <c r="A188" s="1">
        <v>47315</v>
      </c>
      <c r="B188" t="s">
        <v>13</v>
      </c>
      <c r="C188" t="str">
        <f>TEXT(automotive_demand_forecasting_dataset5678[[#This Row],[Date]],"mmmm")</f>
        <v>July</v>
      </c>
      <c r="D188" t="str">
        <f>CHOOSE(MATCH(MONTH(A188), {1,4,7,10}), "Winter", "Spring", "Summer", "Autumn")</f>
        <v>Summer</v>
      </c>
      <c r="E188">
        <f>YEAR(automotive_demand_forecasting_dataset5678[[#This Row],[Date]])</f>
        <v>2029</v>
      </c>
      <c r="F188">
        <v>104</v>
      </c>
      <c r="G188">
        <f>(automotive_demand_forecasting_dataset5678[[#This Row],[Units_Sold]] -$C$4) / $C$5</f>
        <v>0.48143859775656078</v>
      </c>
      <c r="H188" s="47" t="str">
        <f t="shared" ca="1" si="14"/>
        <v>North</v>
      </c>
      <c r="I188">
        <v>29302.051859224131</v>
      </c>
      <c r="J188">
        <v>3.1004039966748733</v>
      </c>
      <c r="K188">
        <v>3.6254347844147694</v>
      </c>
      <c r="L188">
        <v>4.0724000090915666</v>
      </c>
      <c r="M188">
        <v>121412.21119958372</v>
      </c>
      <c r="N188" s="82">
        <v>82</v>
      </c>
      <c r="O188">
        <v>80.215177969999999</v>
      </c>
      <c r="P1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188" t="str">
        <f t="shared" ca="1" si="15"/>
        <v>Billboards</v>
      </c>
      <c r="R188" s="46">
        <f>automotive_demand_forecasting_dataset5678[[#This Row],[Units_Sold]]*automotive_demand_forecasting_dataset5678[[#This Row],[Average_Price]]</f>
        <v>3047413.3933593095</v>
      </c>
      <c r="S188" t="str">
        <f t="shared" ca="1" si="16"/>
        <v>OK</v>
      </c>
    </row>
    <row r="189" spans="1:19">
      <c r="A189" s="1">
        <v>47345</v>
      </c>
      <c r="B189" t="s">
        <v>14</v>
      </c>
      <c r="C189" t="str">
        <f>TEXT(automotive_demand_forecasting_dataset5678[[#This Row],[Date]],"mmmm")</f>
        <v>August</v>
      </c>
      <c r="D189" t="str">
        <f>CHOOSE(MATCH(MONTH(A189), {1,4,7,10}), "Winter", "Spring", "Summer", "Autumn")</f>
        <v>Summer</v>
      </c>
      <c r="E189">
        <f>YEAR(automotive_demand_forecasting_dataset5678[[#This Row],[Date]])</f>
        <v>2029</v>
      </c>
      <c r="F189">
        <v>94</v>
      </c>
      <c r="G189">
        <f>(automotive_demand_forecasting_dataset5678[[#This Row],[Units_Sold]] -$C$4) / $C$5</f>
        <v>-0.5428988442786743</v>
      </c>
      <c r="H189" s="47" t="str">
        <f t="shared" ca="1" si="14"/>
        <v>East</v>
      </c>
      <c r="I189">
        <v>35540.914083687581</v>
      </c>
      <c r="J189">
        <v>3.258628238908984</v>
      </c>
      <c r="K189">
        <v>1.3105881071326722</v>
      </c>
      <c r="L189">
        <v>4.750785532344131</v>
      </c>
      <c r="M189">
        <v>85407.950603851816</v>
      </c>
      <c r="N189" s="82">
        <v>80</v>
      </c>
      <c r="O189">
        <v>65.16752650322573</v>
      </c>
      <c r="P1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189" t="str">
        <f t="shared" ca="1" si="15"/>
        <v>Radio</v>
      </c>
      <c r="R189" s="46">
        <f>automotive_demand_forecasting_dataset5678[[#This Row],[Units_Sold]]*automotive_demand_forecasting_dataset5678[[#This Row],[Average_Price]]</f>
        <v>3340845.9238666329</v>
      </c>
      <c r="S189" t="str">
        <f t="shared" ca="1" si="16"/>
        <v>OK</v>
      </c>
    </row>
    <row r="190" spans="1:19">
      <c r="A190" s="1">
        <v>47375</v>
      </c>
      <c r="B190" t="s">
        <v>12</v>
      </c>
      <c r="C190" t="str">
        <f>TEXT(automotive_demand_forecasting_dataset5678[[#This Row],[Date]],"mmmm")</f>
        <v>September</v>
      </c>
      <c r="D190" t="str">
        <f>CHOOSE(MATCH(MONTH(A190), {1,4,7,10}), "Winter", "Spring", "Summer", "Autumn")</f>
        <v>Summer</v>
      </c>
      <c r="E190">
        <f>YEAR(automotive_demand_forecasting_dataset5678[[#This Row],[Date]])</f>
        <v>2029</v>
      </c>
      <c r="F190">
        <v>105</v>
      </c>
      <c r="G190">
        <f>(automotive_demand_forecasting_dataset5678[[#This Row],[Units_Sold]] -$C$4) / $C$5</f>
        <v>0.58387234196008431</v>
      </c>
      <c r="H190" s="47" t="str">
        <f t="shared" ca="1" si="14"/>
        <v>South</v>
      </c>
      <c r="I190">
        <v>24800.470364372348</v>
      </c>
      <c r="J190">
        <v>3.0233356958706437</v>
      </c>
      <c r="K190">
        <v>4.1426729532559632</v>
      </c>
      <c r="L190">
        <v>5.2785695708129809</v>
      </c>
      <c r="M190">
        <v>102916.7736</v>
      </c>
      <c r="N190" s="82">
        <v>87</v>
      </c>
      <c r="O190">
        <v>40.185819541099619</v>
      </c>
      <c r="P1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190" t="str">
        <f t="shared" ca="1" si="15"/>
        <v>Print</v>
      </c>
      <c r="R190" s="46">
        <f>automotive_demand_forecasting_dataset5678[[#This Row],[Units_Sold]]*automotive_demand_forecasting_dataset5678[[#This Row],[Average_Price]]</f>
        <v>2604049.3882590965</v>
      </c>
      <c r="S190" t="str">
        <f t="shared" ca="1" si="16"/>
        <v>OK</v>
      </c>
    </row>
    <row r="191" spans="1:19">
      <c r="A191" s="1">
        <v>47405</v>
      </c>
      <c r="B191" t="s">
        <v>13</v>
      </c>
      <c r="C191" t="str">
        <f>TEXT(automotive_demand_forecasting_dataset5678[[#This Row],[Date]],"mmmm")</f>
        <v>October</v>
      </c>
      <c r="D191" t="str">
        <f>CHOOSE(MATCH(MONTH(A191), {1,4,7,10}), "Winter", "Spring", "Summer", "Autumn")</f>
        <v>Autumn</v>
      </c>
      <c r="E191">
        <f>YEAR(automotive_demand_forecasting_dataset5678[[#This Row],[Date]])</f>
        <v>2029</v>
      </c>
      <c r="F191">
        <v>109</v>
      </c>
      <c r="G191">
        <f>(automotive_demand_forecasting_dataset5678[[#This Row],[Units_Sold]] -$C$4) / $C$5</f>
        <v>0.99360731877417829</v>
      </c>
      <c r="H191" s="47" t="str">
        <f t="shared" ca="1" si="14"/>
        <v>North</v>
      </c>
      <c r="I191">
        <v>33063.869525312846</v>
      </c>
      <c r="J191">
        <v>3.561335157997398</v>
      </c>
      <c r="K191">
        <v>2.6520564320000002</v>
      </c>
      <c r="L191">
        <v>4.7743064025541448</v>
      </c>
      <c r="M191">
        <v>74137.169124827051</v>
      </c>
      <c r="N191" s="82">
        <v>85</v>
      </c>
      <c r="O191">
        <v>93.223195230341915</v>
      </c>
      <c r="P1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191" t="str">
        <f t="shared" ca="1" si="15"/>
        <v>Online</v>
      </c>
      <c r="R191" s="46">
        <f>automotive_demand_forecasting_dataset5678[[#This Row],[Units_Sold]]*automotive_demand_forecasting_dataset5678[[#This Row],[Average_Price]]</f>
        <v>3603961.7782591004</v>
      </c>
      <c r="S191" t="str">
        <f t="shared" ca="1" si="16"/>
        <v>OK</v>
      </c>
    </row>
    <row r="192" spans="1:19">
      <c r="A192" s="1">
        <v>47435</v>
      </c>
      <c r="B192" t="s">
        <v>12</v>
      </c>
      <c r="C192" t="str">
        <f>TEXT(automotive_demand_forecasting_dataset5678[[#This Row],[Date]],"mmmm")</f>
        <v>November</v>
      </c>
      <c r="D192" t="str">
        <f>CHOOSE(MATCH(MONTH(A192), {1,4,7,10}), "Winter", "Spring", "Summer", "Autumn")</f>
        <v>Autumn</v>
      </c>
      <c r="E192">
        <f>YEAR(automotive_demand_forecasting_dataset5678[[#This Row],[Date]])</f>
        <v>2029</v>
      </c>
      <c r="F192">
        <v>84</v>
      </c>
      <c r="G192">
        <f>(automotive_demand_forecasting_dataset5678[[#This Row],[Units_Sold]] -$C$4) / $C$5</f>
        <v>-1.5672362863139093</v>
      </c>
      <c r="H192" s="47" t="str">
        <f t="shared" ca="1" si="14"/>
        <v>South</v>
      </c>
      <c r="I192">
        <v>24732.922184131719</v>
      </c>
      <c r="J192">
        <v>4.3123392292347802</v>
      </c>
      <c r="K192">
        <v>3.1383919256083832</v>
      </c>
      <c r="L192">
        <v>2.8533207314811171</v>
      </c>
      <c r="M192">
        <v>111447.80622351351</v>
      </c>
      <c r="N192" s="82">
        <v>95</v>
      </c>
      <c r="O192">
        <v>41.254845189301079</v>
      </c>
      <c r="P1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192" t="str">
        <f t="shared" ca="1" si="15"/>
        <v>Billboards</v>
      </c>
      <c r="R192" s="46">
        <f>automotive_demand_forecasting_dataset5678[[#This Row],[Units_Sold]]*automotive_demand_forecasting_dataset5678[[#This Row],[Average_Price]]</f>
        <v>2077565.4634670643</v>
      </c>
      <c r="S192" t="str">
        <f t="shared" ca="1" si="16"/>
        <v>OK</v>
      </c>
    </row>
    <row r="193" spans="1:19">
      <c r="A193" s="1">
        <v>47465</v>
      </c>
      <c r="B193" t="s">
        <v>11</v>
      </c>
      <c r="C193" t="str">
        <f>TEXT(automotive_demand_forecasting_dataset5678[[#This Row],[Date]],"mmmm")</f>
        <v>December</v>
      </c>
      <c r="D193" t="str">
        <f>CHOOSE(MATCH(MONTH(A193), {1,4,7,10}), "Winter", "Spring", "Summer", "Autumn")</f>
        <v>Autumn</v>
      </c>
      <c r="E193">
        <f>YEAR(automotive_demand_forecasting_dataset5678[[#This Row],[Date]])</f>
        <v>2029</v>
      </c>
      <c r="F193">
        <v>79</v>
      </c>
      <c r="G193">
        <f>(automotive_demand_forecasting_dataset5678[[#This Row],[Units_Sold]] -$C$4) / $C$5</f>
        <v>-2.0794050073315269</v>
      </c>
      <c r="H193" s="47" t="str">
        <f t="shared" ca="1" si="14"/>
        <v>North</v>
      </c>
      <c r="I193">
        <v>26881.155196520973</v>
      </c>
      <c r="J193">
        <v>3.6615396365580146</v>
      </c>
      <c r="K193">
        <v>2.1713815242510153</v>
      </c>
      <c r="L193">
        <v>6.5764794362645587</v>
      </c>
      <c r="M193">
        <v>109012.06825725078</v>
      </c>
      <c r="N193" s="82">
        <v>97</v>
      </c>
      <c r="O193">
        <v>91.66525852481557</v>
      </c>
      <c r="P1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193" t="str">
        <f t="shared" ca="1" si="15"/>
        <v>Online</v>
      </c>
      <c r="R193" s="46">
        <f>automotive_demand_forecasting_dataset5678[[#This Row],[Units_Sold]]*automotive_demand_forecasting_dataset5678[[#This Row],[Average_Price]]</f>
        <v>2123611.2605251567</v>
      </c>
      <c r="S193" t="str">
        <f t="shared" ca="1" si="16"/>
        <v>OK</v>
      </c>
    </row>
    <row r="194" spans="1:19">
      <c r="A194" s="1">
        <v>47495</v>
      </c>
      <c r="B194" t="s">
        <v>14</v>
      </c>
      <c r="C194" t="str">
        <f>TEXT(automotive_demand_forecasting_dataset5678[[#This Row],[Date]],"mmmm")</f>
        <v>January</v>
      </c>
      <c r="D194" t="str">
        <f>CHOOSE(MATCH(MONTH(A194), {1,4,7,10}), "Winter", "Spring", "Summer", "Autumn")</f>
        <v>Winter</v>
      </c>
      <c r="E194">
        <f>YEAR(automotive_demand_forecasting_dataset5678[[#This Row],[Date]])</f>
        <v>2030</v>
      </c>
      <c r="F194">
        <v>98</v>
      </c>
      <c r="G194">
        <f>(automotive_demand_forecasting_dataset5678[[#This Row],[Units_Sold]] -$C$4) / $C$5</f>
        <v>-0.13316386746458025</v>
      </c>
      <c r="H194" s="47" t="str">
        <f t="shared" ca="1" si="14"/>
        <v>East</v>
      </c>
      <c r="I194">
        <v>39570.156769333931</v>
      </c>
      <c r="J194">
        <v>3.3738232489368563</v>
      </c>
      <c r="K194">
        <v>3.1031874310823433</v>
      </c>
      <c r="L194">
        <v>7.0298500495344669</v>
      </c>
      <c r="M194">
        <v>62603.673209356719</v>
      </c>
      <c r="N194" s="82">
        <v>102</v>
      </c>
      <c r="O194">
        <v>28.278005091726772</v>
      </c>
      <c r="P1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194" t="str">
        <f t="shared" ca="1" si="15"/>
        <v>TV</v>
      </c>
      <c r="R194" s="46">
        <f>automotive_demand_forecasting_dataset5678[[#This Row],[Units_Sold]]*automotive_demand_forecasting_dataset5678[[#This Row],[Average_Price]]</f>
        <v>3877875.3633947251</v>
      </c>
      <c r="S194" t="str">
        <f t="shared" ca="1" si="16"/>
        <v>OK</v>
      </c>
    </row>
    <row r="195" spans="1:19">
      <c r="A195" s="1">
        <v>47525</v>
      </c>
      <c r="B195" t="s">
        <v>11</v>
      </c>
      <c r="C195" t="str">
        <f>TEXT(automotive_demand_forecasting_dataset5678[[#This Row],[Date]],"mmmm")</f>
        <v>February</v>
      </c>
      <c r="D195" t="str">
        <f>CHOOSE(MATCH(MONTH(A195), {1,4,7,10}), "Winter", "Spring", "Summer", "Autumn")</f>
        <v>Winter</v>
      </c>
      <c r="E195">
        <f>YEAR(automotive_demand_forecasting_dataset5678[[#This Row],[Date]])</f>
        <v>2030</v>
      </c>
      <c r="F195">
        <v>96</v>
      </c>
      <c r="G195">
        <f>(automotive_demand_forecasting_dataset5678[[#This Row],[Units_Sold]] -$C$4) / $C$5</f>
        <v>-0.33803135587162725</v>
      </c>
      <c r="H195" s="47" t="str">
        <f t="shared" ca="1" si="14"/>
        <v>West</v>
      </c>
      <c r="I195">
        <v>29046.587996183269</v>
      </c>
      <c r="J195">
        <v>3.354094365542228</v>
      </c>
      <c r="K195">
        <v>1.9558859978858074</v>
      </c>
      <c r="L195">
        <v>6.2818263896074065</v>
      </c>
      <c r="M195">
        <v>76764.323121752721</v>
      </c>
      <c r="N195" s="82">
        <v>96</v>
      </c>
      <c r="O195">
        <v>72.525016191972185</v>
      </c>
      <c r="P1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195" t="str">
        <f t="shared" ca="1" si="15"/>
        <v>TV</v>
      </c>
      <c r="R195" s="46">
        <f>automotive_demand_forecasting_dataset5678[[#This Row],[Units_Sold]]*automotive_demand_forecasting_dataset5678[[#This Row],[Average_Price]]</f>
        <v>2788472.4476335938</v>
      </c>
      <c r="S195" t="str">
        <f t="shared" ca="1" si="16"/>
        <v>OK</v>
      </c>
    </row>
    <row r="196" spans="1:19">
      <c r="A196" s="1">
        <v>47555</v>
      </c>
      <c r="B196" t="s">
        <v>14</v>
      </c>
      <c r="C196" t="str">
        <f>TEXT(automotive_demand_forecasting_dataset5678[[#This Row],[Date]],"mmmm")</f>
        <v>March</v>
      </c>
      <c r="D196" t="str">
        <f>CHOOSE(MATCH(MONTH(A196), {1,4,7,10}), "Winter", "Spring", "Summer", "Autumn")</f>
        <v>Winter</v>
      </c>
      <c r="E196">
        <f>YEAR(automotive_demand_forecasting_dataset5678[[#This Row],[Date]])</f>
        <v>2030</v>
      </c>
      <c r="F196">
        <v>88</v>
      </c>
      <c r="G196">
        <f>(automotive_demand_forecasting_dataset5678[[#This Row],[Units_Sold]] -$C$4) / $C$5</f>
        <v>-1.1575013094998152</v>
      </c>
      <c r="H196" s="47" t="str">
        <f t="shared" ca="1" si="14"/>
        <v>West</v>
      </c>
      <c r="I196">
        <v>31087.164365898614</v>
      </c>
      <c r="J196">
        <v>2.7184045956516716</v>
      </c>
      <c r="K196">
        <v>2.3372070939277059</v>
      </c>
      <c r="L196">
        <v>4.1347771954902202</v>
      </c>
      <c r="M196">
        <v>94337.222065124661</v>
      </c>
      <c r="N196" s="82">
        <v>82</v>
      </c>
      <c r="O196">
        <v>65.454227669999995</v>
      </c>
      <c r="P1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196" t="str">
        <f t="shared" ca="1" si="15"/>
        <v>Radio</v>
      </c>
      <c r="R196" s="46">
        <f>automotive_demand_forecasting_dataset5678[[#This Row],[Units_Sold]]*automotive_demand_forecasting_dataset5678[[#This Row],[Average_Price]]</f>
        <v>2735670.4641990783</v>
      </c>
      <c r="S196" t="str">
        <f t="shared" ca="1" si="16"/>
        <v>OK</v>
      </c>
    </row>
    <row r="197" spans="1:19">
      <c r="A197" s="1">
        <v>47585</v>
      </c>
      <c r="B197" t="s">
        <v>13</v>
      </c>
      <c r="C197" t="str">
        <f>TEXT(automotive_demand_forecasting_dataset5678[[#This Row],[Date]],"mmmm")</f>
        <v>April</v>
      </c>
      <c r="D197" t="str">
        <f>CHOOSE(MATCH(MONTH(A197), {1,4,7,10}), "Winter", "Spring", "Summer", "Autumn")</f>
        <v>Spring</v>
      </c>
      <c r="E197">
        <f>YEAR(automotive_demand_forecasting_dataset5678[[#This Row],[Date]])</f>
        <v>2030</v>
      </c>
      <c r="F197">
        <v>103</v>
      </c>
      <c r="G197">
        <f>(automotive_demand_forecasting_dataset5678[[#This Row],[Units_Sold]] -$C$4) / $C$5</f>
        <v>0.37900485355303726</v>
      </c>
      <c r="H197" s="47" t="str">
        <f t="shared" ca="1" si="14"/>
        <v>East</v>
      </c>
      <c r="I197">
        <v>34350.338653443774</v>
      </c>
      <c r="J197">
        <v>3.9415548885735796</v>
      </c>
      <c r="K197">
        <v>2.5409191753957212</v>
      </c>
      <c r="L197">
        <v>5.2582101592629789</v>
      </c>
      <c r="M197">
        <v>93982.805057183476</v>
      </c>
      <c r="N197" s="82">
        <v>85</v>
      </c>
      <c r="O197">
        <v>33.499955071858366</v>
      </c>
      <c r="P1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197" t="str">
        <f t="shared" ca="1" si="15"/>
        <v>Print</v>
      </c>
      <c r="R197" s="46">
        <f>automotive_demand_forecasting_dataset5678[[#This Row],[Units_Sold]]*automotive_demand_forecasting_dataset5678[[#This Row],[Average_Price]]</f>
        <v>3538084.8813047088</v>
      </c>
      <c r="S197" t="str">
        <f t="shared" ca="1" si="16"/>
        <v>OK</v>
      </c>
    </row>
    <row r="198" spans="1:19">
      <c r="A198" s="1">
        <v>47615</v>
      </c>
      <c r="B198" t="s">
        <v>14</v>
      </c>
      <c r="C198" t="str">
        <f>TEXT(automotive_demand_forecasting_dataset5678[[#This Row],[Date]],"mmmm")</f>
        <v>May</v>
      </c>
      <c r="D198" t="str">
        <f>CHOOSE(MATCH(MONTH(A198), {1,4,7,10}), "Winter", "Spring", "Summer", "Autumn")</f>
        <v>Spring</v>
      </c>
      <c r="E198">
        <f>YEAR(automotive_demand_forecasting_dataset5678[[#This Row],[Date]])</f>
        <v>2030</v>
      </c>
      <c r="F198">
        <v>83</v>
      </c>
      <c r="G198">
        <f>(automotive_demand_forecasting_dataset5678[[#This Row],[Units_Sold]] -$C$4) / $C$5</f>
        <v>-1.6696700305174328</v>
      </c>
      <c r="H198" s="47" t="str">
        <f t="shared" ca="1" si="14"/>
        <v>North</v>
      </c>
      <c r="I198">
        <v>32478.409439863022</v>
      </c>
      <c r="J198">
        <v>3.4610814014935989</v>
      </c>
      <c r="K198">
        <v>1.4978125442185273</v>
      </c>
      <c r="L198">
        <v>5.4921744217246502</v>
      </c>
      <c r="M198">
        <v>75810.461291623898</v>
      </c>
      <c r="N198" s="82">
        <v>82</v>
      </c>
      <c r="O198">
        <v>97.466156807940393</v>
      </c>
      <c r="P1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198" t="str">
        <f t="shared" ca="1" si="15"/>
        <v>Print</v>
      </c>
      <c r="R198" s="46">
        <f>automotive_demand_forecasting_dataset5678[[#This Row],[Units_Sold]]*automotive_demand_forecasting_dataset5678[[#This Row],[Average_Price]]</f>
        <v>2695707.9835086307</v>
      </c>
      <c r="S198" t="str">
        <f t="shared" ca="1" si="16"/>
        <v>OK</v>
      </c>
    </row>
    <row r="199" spans="1:19">
      <c r="A199" s="1">
        <v>47645</v>
      </c>
      <c r="B199" t="s">
        <v>10</v>
      </c>
      <c r="C199" t="str">
        <f>TEXT(automotive_demand_forecasting_dataset5678[[#This Row],[Date]],"mmmm")</f>
        <v>June</v>
      </c>
      <c r="D199" t="str">
        <f>CHOOSE(MATCH(MONTH(A199), {1,4,7,10}), "Winter", "Spring", "Summer", "Autumn")</f>
        <v>Spring</v>
      </c>
      <c r="E199">
        <f>YEAR(automotive_demand_forecasting_dataset5678[[#This Row],[Date]])</f>
        <v>2030</v>
      </c>
      <c r="F199">
        <v>82</v>
      </c>
      <c r="G199">
        <f>(automotive_demand_forecasting_dataset5678[[#This Row],[Units_Sold]] -$C$4) / $C$5</f>
        <v>-1.7721037747209563</v>
      </c>
      <c r="H199" s="47" t="str">
        <f t="shared" ca="1" si="14"/>
        <v>East</v>
      </c>
      <c r="I199">
        <v>30752.094525717883</v>
      </c>
      <c r="J199">
        <v>3.4097600432046873</v>
      </c>
      <c r="K199">
        <v>3.2408243454201258</v>
      </c>
      <c r="L199">
        <v>6.2185532674742925</v>
      </c>
      <c r="M199">
        <v>107779.57458704368</v>
      </c>
      <c r="N199" s="82">
        <f>111.9136842</f>
        <v>111.91368420000001</v>
      </c>
      <c r="O199">
        <v>56.230668833240934</v>
      </c>
      <c r="P1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199" t="str">
        <f t="shared" ca="1" si="15"/>
        <v>TV</v>
      </c>
      <c r="R199" s="46">
        <f>automotive_demand_forecasting_dataset5678[[#This Row],[Units_Sold]]*automotive_demand_forecasting_dataset5678[[#This Row],[Average_Price]]</f>
        <v>2521671.7511088662</v>
      </c>
      <c r="S199" t="str">
        <f t="shared" ca="1" si="16"/>
        <v>OK</v>
      </c>
    </row>
    <row r="200" spans="1:19">
      <c r="A200" s="1">
        <v>47675</v>
      </c>
      <c r="B200" t="s">
        <v>12</v>
      </c>
      <c r="C200" t="str">
        <f>TEXT(automotive_demand_forecasting_dataset5678[[#This Row],[Date]],"mmmm")</f>
        <v>July</v>
      </c>
      <c r="D200" t="str">
        <f>CHOOSE(MATCH(MONTH(A200), {1,4,7,10}), "Winter", "Spring", "Summer", "Autumn")</f>
        <v>Summer</v>
      </c>
      <c r="E200">
        <f>YEAR(automotive_demand_forecasting_dataset5678[[#This Row],[Date]])</f>
        <v>2030</v>
      </c>
      <c r="F200">
        <v>106</v>
      </c>
      <c r="G200">
        <f>(automotive_demand_forecasting_dataset5678[[#This Row],[Units_Sold]] -$C$4) / $C$5</f>
        <v>0.68630608616360778</v>
      </c>
      <c r="H200" s="47" t="str">
        <f t="shared" ca="1" si="14"/>
        <v>East</v>
      </c>
      <c r="I200">
        <v>31824.805012331126</v>
      </c>
      <c r="J200">
        <v>3.5380713799999999</v>
      </c>
      <c r="K200">
        <v>1.9867864335284149</v>
      </c>
      <c r="L200">
        <v>6.3020085864616968</v>
      </c>
      <c r="M200">
        <v>105029.47217881025</v>
      </c>
      <c r="N200" s="82">
        <v>91</v>
      </c>
      <c r="O200">
        <v>80.215177969999999</v>
      </c>
      <c r="P2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00" t="str">
        <f t="shared" ca="1" si="15"/>
        <v>Print</v>
      </c>
      <c r="R200" s="46">
        <f>automotive_demand_forecasting_dataset5678[[#This Row],[Units_Sold]]*automotive_demand_forecasting_dataset5678[[#This Row],[Average_Price]]</f>
        <v>3373429.3313070992</v>
      </c>
      <c r="S200" t="str">
        <f t="shared" ca="1" si="16"/>
        <v>OK</v>
      </c>
    </row>
    <row r="201" spans="1:19">
      <c r="A201" s="1">
        <v>47705</v>
      </c>
      <c r="B201" t="s">
        <v>12</v>
      </c>
      <c r="C201" t="str">
        <f>TEXT(automotive_demand_forecasting_dataset5678[[#This Row],[Date]],"mmmm")</f>
        <v>August</v>
      </c>
      <c r="D201" t="str">
        <f>CHOOSE(MATCH(MONTH(A201), {1,4,7,10}), "Winter", "Spring", "Summer", "Autumn")</f>
        <v>Summer</v>
      </c>
      <c r="E201">
        <f>YEAR(automotive_demand_forecasting_dataset5678[[#This Row],[Date]])</f>
        <v>2030</v>
      </c>
      <c r="F201">
        <v>96</v>
      </c>
      <c r="G201">
        <f>(automotive_demand_forecasting_dataset5678[[#This Row],[Units_Sold]] -$C$4) / $C$5</f>
        <v>-0.33803135587162725</v>
      </c>
      <c r="H201" s="47" t="str">
        <f t="shared" ca="1" si="14"/>
        <v>South</v>
      </c>
      <c r="I201">
        <v>42017.077926191378</v>
      </c>
      <c r="J201">
        <v>3.6493764541828431</v>
      </c>
      <c r="K201">
        <v>2.2714000846599816</v>
      </c>
      <c r="L201">
        <v>4.6189914414658055</v>
      </c>
      <c r="M201">
        <v>96114.61736042962</v>
      </c>
      <c r="N201" s="82">
        <v>88</v>
      </c>
      <c r="O201">
        <v>74.145603490403758</v>
      </c>
      <c r="P2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01" t="str">
        <f t="shared" ca="1" si="15"/>
        <v>Radio</v>
      </c>
      <c r="R201" s="46">
        <f>automotive_demand_forecasting_dataset5678[[#This Row],[Units_Sold]]*automotive_demand_forecasting_dataset5678[[#This Row],[Average_Price]]</f>
        <v>4033639.480914372</v>
      </c>
      <c r="S201" t="str">
        <f t="shared" ca="1" si="16"/>
        <v>OK</v>
      </c>
    </row>
    <row r="202" spans="1:19">
      <c r="A202" s="1">
        <v>47735</v>
      </c>
      <c r="B202" t="s">
        <v>10</v>
      </c>
      <c r="C202" t="str">
        <f>TEXT(automotive_demand_forecasting_dataset5678[[#This Row],[Date]],"mmmm")</f>
        <v>September</v>
      </c>
      <c r="D202" t="str">
        <f>CHOOSE(MATCH(MONTH(A202), {1,4,7,10}), "Winter", "Spring", "Summer", "Autumn")</f>
        <v>Summer</v>
      </c>
      <c r="E202">
        <f>YEAR(automotive_demand_forecasting_dataset5678[[#This Row],[Date]])</f>
        <v>2030</v>
      </c>
      <c r="F202">
        <v>96</v>
      </c>
      <c r="G202">
        <f>(automotive_demand_forecasting_dataset5678[[#This Row],[Units_Sold]] -$C$4) / $C$5</f>
        <v>-0.33803135587162725</v>
      </c>
      <c r="H202" s="47" t="str">
        <f t="shared" ca="1" si="14"/>
        <v>North</v>
      </c>
      <c r="I202">
        <v>29711.906014832071</v>
      </c>
      <c r="J202">
        <v>3.1241044749524081</v>
      </c>
      <c r="K202">
        <v>1.5056506253914876</v>
      </c>
      <c r="L202">
        <v>5.5983946676962724</v>
      </c>
      <c r="M202">
        <v>84884.169996832745</v>
      </c>
      <c r="N202" s="82">
        <v>90</v>
      </c>
      <c r="O202">
        <v>44.12694958988412</v>
      </c>
      <c r="P2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02" t="str">
        <f t="shared" ca="1" si="15"/>
        <v>Radio</v>
      </c>
      <c r="R202" s="46">
        <f>automotive_demand_forecasting_dataset5678[[#This Row],[Units_Sold]]*automotive_demand_forecasting_dataset5678[[#This Row],[Average_Price]]</f>
        <v>2852342.9774238789</v>
      </c>
      <c r="S202" t="str">
        <f t="shared" ca="1" si="16"/>
        <v>OK</v>
      </c>
    </row>
    <row r="203" spans="1:19">
      <c r="A203" s="1">
        <v>47765</v>
      </c>
      <c r="B203" t="s">
        <v>11</v>
      </c>
      <c r="C203" t="str">
        <f>TEXT(automotive_demand_forecasting_dataset5678[[#This Row],[Date]],"mmmm")</f>
        <v>October</v>
      </c>
      <c r="D203" t="str">
        <f>CHOOSE(MATCH(MONTH(A203), {1,4,7,10}), "Winter", "Spring", "Summer", "Autumn")</f>
        <v>Autumn</v>
      </c>
      <c r="E203">
        <f>YEAR(automotive_demand_forecasting_dataset5678[[#This Row],[Date]])</f>
        <v>2030</v>
      </c>
      <c r="F203">
        <v>109</v>
      </c>
      <c r="G203">
        <f>(automotive_demand_forecasting_dataset5678[[#This Row],[Units_Sold]] -$C$4) / $C$5</f>
        <v>0.99360731877417829</v>
      </c>
      <c r="H203" s="47" t="str">
        <f t="shared" ref="H203:H266" ca="1" si="18">CHOOSE(RANDBETWEEN(1,4),"North","South","East","West")</f>
        <v>South</v>
      </c>
      <c r="I203">
        <v>31005.495233574838</v>
      </c>
      <c r="J203">
        <v>3.2868212018972285</v>
      </c>
      <c r="K203">
        <v>2.6520564320000002</v>
      </c>
      <c r="L203">
        <v>6.0487364855382895</v>
      </c>
      <c r="M203">
        <v>120974.14252833127</v>
      </c>
      <c r="N203" s="82">
        <v>90</v>
      </c>
      <c r="O203">
        <v>35.064201993368513</v>
      </c>
      <c r="P2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03" t="str">
        <f t="shared" ref="Q203:Q266" ca="1" si="19">CHOOSE(RANDBETWEEN(1,5),"Online","TV","Radio","Print","Billboards")</f>
        <v>Print</v>
      </c>
      <c r="R203" s="46">
        <f>automotive_demand_forecasting_dataset5678[[#This Row],[Units_Sold]]*automotive_demand_forecasting_dataset5678[[#This Row],[Average_Price]]</f>
        <v>3379598.9804596575</v>
      </c>
      <c r="S203" t="str">
        <f t="shared" ref="S203:S266" ca="1" si="20">IF(COUNTA(A203:O203)&lt;COLUMNS(A203:O203), "Missing Data", "OK")</f>
        <v>OK</v>
      </c>
    </row>
    <row r="204" spans="1:19">
      <c r="A204" s="1">
        <v>47795</v>
      </c>
      <c r="B204" t="s">
        <v>10</v>
      </c>
      <c r="C204" t="str">
        <f>TEXT(automotive_demand_forecasting_dataset5678[[#This Row],[Date]],"mmmm")</f>
        <v>November</v>
      </c>
      <c r="D204" t="str">
        <f>CHOOSE(MATCH(MONTH(A204), {1,4,7,10}), "Winter", "Spring", "Summer", "Autumn")</f>
        <v>Autumn</v>
      </c>
      <c r="E204">
        <f>YEAR(automotive_demand_forecasting_dataset5678[[#This Row],[Date]])</f>
        <v>2030</v>
      </c>
      <c r="F204">
        <v>98</v>
      </c>
      <c r="G204">
        <f>(automotive_demand_forecasting_dataset5678[[#This Row],[Units_Sold]] -$C$4) / $C$5</f>
        <v>-0.13316386746458025</v>
      </c>
      <c r="H204" s="47" t="str">
        <f t="shared" ca="1" si="18"/>
        <v>North</v>
      </c>
      <c r="I204">
        <v>35253.271980038058</v>
      </c>
      <c r="J204">
        <v>4.0742228545983776</v>
      </c>
      <c r="K204">
        <v>2.3089722373998312</v>
      </c>
      <c r="L204">
        <v>7.2469867865761195</v>
      </c>
      <c r="M204">
        <v>133108.1422617659</v>
      </c>
      <c r="N204" s="82">
        <v>84</v>
      </c>
      <c r="O204">
        <v>44.298803698007951</v>
      </c>
      <c r="P2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04" t="str">
        <f t="shared" ca="1" si="19"/>
        <v>Online</v>
      </c>
      <c r="R204" s="46">
        <f>automotive_demand_forecasting_dataset5678[[#This Row],[Units_Sold]]*automotive_demand_forecasting_dataset5678[[#This Row],[Average_Price]]</f>
        <v>3454820.6540437299</v>
      </c>
      <c r="S204" t="str">
        <f t="shared" ca="1" si="20"/>
        <v>OK</v>
      </c>
    </row>
    <row r="205" spans="1:19">
      <c r="A205" s="1">
        <v>47825</v>
      </c>
      <c r="B205" t="s">
        <v>13</v>
      </c>
      <c r="C205" t="str">
        <f>TEXT(automotive_demand_forecasting_dataset5678[[#This Row],[Date]],"mmmm")</f>
        <v>December</v>
      </c>
      <c r="D205" t="str">
        <f>CHOOSE(MATCH(MONTH(A205), {1,4,7,10}), "Winter", "Spring", "Summer", "Autumn")</f>
        <v>Autumn</v>
      </c>
      <c r="E205">
        <f>YEAR(automotive_demand_forecasting_dataset5678[[#This Row],[Date]])</f>
        <v>2030</v>
      </c>
      <c r="F205">
        <v>86</v>
      </c>
      <c r="G205">
        <f>(automotive_demand_forecasting_dataset5678[[#This Row],[Units_Sold]] -$C$4) / $C$5</f>
        <v>-1.3623687979068624</v>
      </c>
      <c r="H205" s="47" t="str">
        <f t="shared" ca="1" si="18"/>
        <v>East</v>
      </c>
      <c r="I205">
        <v>35527.629664789922</v>
      </c>
      <c r="J205">
        <v>3.5566352052688823</v>
      </c>
      <c r="K205">
        <v>2.6520564320000002</v>
      </c>
      <c r="L205">
        <v>6.3454078477896676</v>
      </c>
      <c r="M205">
        <f>128897.2893</f>
        <v>128897.2893</v>
      </c>
      <c r="N205" s="82">
        <v>79</v>
      </c>
      <c r="O205">
        <v>27.441392741013999</v>
      </c>
      <c r="P2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05" t="str">
        <f t="shared" ca="1" si="19"/>
        <v>Print</v>
      </c>
      <c r="R205" s="46">
        <f>automotive_demand_forecasting_dataset5678[[#This Row],[Units_Sold]]*automotive_demand_forecasting_dataset5678[[#This Row],[Average_Price]]</f>
        <v>3055376.1511719334</v>
      </c>
      <c r="S205" t="str">
        <f t="shared" ca="1" si="20"/>
        <v>OK</v>
      </c>
    </row>
    <row r="206" spans="1:19">
      <c r="A206" s="1">
        <v>47855</v>
      </c>
      <c r="B206" t="s">
        <v>13</v>
      </c>
      <c r="C206" t="str">
        <f>TEXT(automotive_demand_forecasting_dataset5678[[#This Row],[Date]],"mmmm")</f>
        <v>January</v>
      </c>
      <c r="D206" t="str">
        <f>CHOOSE(MATCH(MONTH(A206), {1,4,7,10}), "Winter", "Spring", "Summer", "Autumn")</f>
        <v>Winter</v>
      </c>
      <c r="E206">
        <f>YEAR(automotive_demand_forecasting_dataset5678[[#This Row],[Date]])</f>
        <v>2031</v>
      </c>
      <c r="F206">
        <v>79</v>
      </c>
      <c r="G206">
        <f>(automotive_demand_forecasting_dataset5678[[#This Row],[Units_Sold]] -$C$4) / $C$5</f>
        <v>-2.0794050073315269</v>
      </c>
      <c r="H206" s="47" t="str">
        <f t="shared" ca="1" si="18"/>
        <v>East</v>
      </c>
      <c r="I206">
        <v>35935.1515278019</v>
      </c>
      <c r="J206">
        <v>2.7808610108413165</v>
      </c>
      <c r="K206">
        <v>3.2846042878980239</v>
      </c>
      <c r="L206">
        <v>6.4468680248506232</v>
      </c>
      <c r="M206">
        <v>87756.661656903583</v>
      </c>
      <c r="N206" s="82">
        <v>77</v>
      </c>
      <c r="O206">
        <v>31.509437307466381</v>
      </c>
      <c r="P2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06" t="str">
        <f t="shared" ca="1" si="19"/>
        <v>TV</v>
      </c>
      <c r="R206" s="46">
        <f>automotive_demand_forecasting_dataset5678[[#This Row],[Units_Sold]]*automotive_demand_forecasting_dataset5678[[#This Row],[Average_Price]]</f>
        <v>2838876.9706963501</v>
      </c>
      <c r="S206" t="str">
        <f t="shared" ca="1" si="20"/>
        <v>OK</v>
      </c>
    </row>
    <row r="207" spans="1:19">
      <c r="A207" s="1">
        <v>47885</v>
      </c>
      <c r="B207" t="s">
        <v>12</v>
      </c>
      <c r="C207" t="str">
        <f>TEXT(automotive_demand_forecasting_dataset5678[[#This Row],[Date]],"mmmm")</f>
        <v>February</v>
      </c>
      <c r="D207" t="str">
        <f>CHOOSE(MATCH(MONTH(A207), {1,4,7,10}), "Winter", "Spring", "Summer", "Autumn")</f>
        <v>Winter</v>
      </c>
      <c r="E207">
        <f>YEAR(automotive_demand_forecasting_dataset5678[[#This Row],[Date]])</f>
        <v>2031</v>
      </c>
      <c r="F207">
        <v>86</v>
      </c>
      <c r="G207">
        <f>(automotive_demand_forecasting_dataset5678[[#This Row],[Units_Sold]] -$C$4) / $C$5</f>
        <v>-1.3623687979068624</v>
      </c>
      <c r="H207" s="47" t="str">
        <f t="shared" ca="1" si="18"/>
        <v>West</v>
      </c>
      <c r="I207">
        <v>38106.295579999998</v>
      </c>
      <c r="J207">
        <v>3.9596144672876017</v>
      </c>
      <c r="K207">
        <f t="shared" ref="K207" si="21">3.224108373</f>
        <v>3.224108373</v>
      </c>
      <c r="L207">
        <v>5.6005919535152335</v>
      </c>
      <c r="M207">
        <v>109824.15330823993</v>
      </c>
      <c r="N207" s="82">
        <v>77</v>
      </c>
      <c r="O207">
        <v>28.37283522771849</v>
      </c>
      <c r="P2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07" t="str">
        <f t="shared" ca="1" si="19"/>
        <v>Billboards</v>
      </c>
      <c r="R207" s="46">
        <f>automotive_demand_forecasting_dataset5678[[#This Row],[Units_Sold]]*automotive_demand_forecasting_dataset5678[[#This Row],[Average_Price]]</f>
        <v>3277141.4198799999</v>
      </c>
      <c r="S207" t="str">
        <f t="shared" ca="1" si="20"/>
        <v>OK</v>
      </c>
    </row>
    <row r="208" spans="1:19">
      <c r="A208" s="1">
        <v>47915</v>
      </c>
      <c r="B208" t="s">
        <v>13</v>
      </c>
      <c r="C208" t="str">
        <f>TEXT(automotive_demand_forecasting_dataset5678[[#This Row],[Date]],"mmmm")</f>
        <v>March</v>
      </c>
      <c r="D208" t="str">
        <f>CHOOSE(MATCH(MONTH(A208), {1,4,7,10}), "Winter", "Spring", "Summer", "Autumn")</f>
        <v>Winter</v>
      </c>
      <c r="E208">
        <f>YEAR(automotive_demand_forecasting_dataset5678[[#This Row],[Date]])</f>
        <v>2031</v>
      </c>
      <c r="F208">
        <v>108</v>
      </c>
      <c r="G208">
        <f>(automotive_demand_forecasting_dataset5678[[#This Row],[Units_Sold]] -$C$4) / $C$5</f>
        <v>0.89117357457065483</v>
      </c>
      <c r="H208" s="47" t="str">
        <f t="shared" ca="1" si="18"/>
        <v>West</v>
      </c>
      <c r="I208">
        <v>24284.97543634758</v>
      </c>
      <c r="J208">
        <v>3.1659279572305028</v>
      </c>
      <c r="K208">
        <v>2.2371091707917321</v>
      </c>
      <c r="L208">
        <v>7.1925509742442042</v>
      </c>
      <c r="M208">
        <v>92839.41240506027</v>
      </c>
      <c r="N208" s="82">
        <v>105</v>
      </c>
      <c r="O208">
        <v>53.835483499324617</v>
      </c>
      <c r="P2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08" t="str">
        <f t="shared" ca="1" si="19"/>
        <v>Print</v>
      </c>
      <c r="R208" s="46">
        <f>automotive_demand_forecasting_dataset5678[[#This Row],[Units_Sold]]*automotive_demand_forecasting_dataset5678[[#This Row],[Average_Price]]</f>
        <v>2622777.3471255386</v>
      </c>
      <c r="S208" t="str">
        <f t="shared" ca="1" si="20"/>
        <v>OK</v>
      </c>
    </row>
    <row r="209" spans="1:19">
      <c r="A209" s="1">
        <v>47945</v>
      </c>
      <c r="B209" t="s">
        <v>12</v>
      </c>
      <c r="C209" t="str">
        <f>TEXT(automotive_demand_forecasting_dataset5678[[#This Row],[Date]],"mmmm")</f>
        <v>April</v>
      </c>
      <c r="D209" t="str">
        <f>CHOOSE(MATCH(MONTH(A209), {1,4,7,10}), "Winter", "Spring", "Summer", "Autumn")</f>
        <v>Spring</v>
      </c>
      <c r="E209">
        <f>YEAR(automotive_demand_forecasting_dataset5678[[#This Row],[Date]])</f>
        <v>2031</v>
      </c>
      <c r="F209">
        <v>100</v>
      </c>
      <c r="G209">
        <f>(automotive_demand_forecasting_dataset5678[[#This Row],[Units_Sold]] -$C$4) / $C$5</f>
        <v>7.1703620942466739E-2</v>
      </c>
      <c r="H209" s="47" t="str">
        <f t="shared" ca="1" si="18"/>
        <v>West</v>
      </c>
      <c r="I209">
        <v>38167.15766150548</v>
      </c>
      <c r="J209">
        <v>4.4366488881087731</v>
      </c>
      <c r="K209">
        <v>2.5224658928120465</v>
      </c>
      <c r="L209">
        <v>5.9917153551513973</v>
      </c>
      <c r="M209">
        <v>97212.055986735315</v>
      </c>
      <c r="N209" s="82">
        <v>100</v>
      </c>
      <c r="O209">
        <v>83.646270100606912</v>
      </c>
      <c r="P2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09" t="str">
        <f t="shared" ca="1" si="19"/>
        <v>Radio</v>
      </c>
      <c r="R209" s="46">
        <f>automotive_demand_forecasting_dataset5678[[#This Row],[Units_Sold]]*automotive_demand_forecasting_dataset5678[[#This Row],[Average_Price]]</f>
        <v>3816715.7661505481</v>
      </c>
      <c r="S209" t="str">
        <f t="shared" ca="1" si="20"/>
        <v>OK</v>
      </c>
    </row>
    <row r="210" spans="1:19">
      <c r="A210" s="1">
        <v>47975</v>
      </c>
      <c r="B210" t="s">
        <v>10</v>
      </c>
      <c r="C210" t="str">
        <f>TEXT(automotive_demand_forecasting_dataset5678[[#This Row],[Date]],"mmmm")</f>
        <v>May</v>
      </c>
      <c r="D210" t="str">
        <f>CHOOSE(MATCH(MONTH(A210), {1,4,7,10}), "Winter", "Spring", "Summer", "Autumn")</f>
        <v>Spring</v>
      </c>
      <c r="E210">
        <f>YEAR(automotive_demand_forecasting_dataset5678[[#This Row],[Date]])</f>
        <v>2031</v>
      </c>
      <c r="F210">
        <v>93</v>
      </c>
      <c r="G210">
        <f>(automotive_demand_forecasting_dataset5678[[#This Row],[Units_Sold]] -$C$4) / $C$5</f>
        <v>-0.64533258848219777</v>
      </c>
      <c r="H210" s="47" t="str">
        <f t="shared" ca="1" si="18"/>
        <v>West</v>
      </c>
      <c r="I210">
        <v>24268.27303490656</v>
      </c>
      <c r="J210">
        <v>4.0400240328573247</v>
      </c>
      <c r="K210">
        <f t="shared" ref="K210" si="22">3.224108373</f>
        <v>3.224108373</v>
      </c>
      <c r="L210">
        <f>6.97388673</f>
        <v>6.9738867300000003</v>
      </c>
      <c r="M210">
        <v>114793.06303449343</v>
      </c>
      <c r="N210" s="82">
        <v>82</v>
      </c>
      <c r="O210">
        <v>31.310684337307215</v>
      </c>
      <c r="P2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10" t="str">
        <f t="shared" ca="1" si="19"/>
        <v>Radio</v>
      </c>
      <c r="R210" s="46">
        <f>automotive_demand_forecasting_dataset5678[[#This Row],[Units_Sold]]*automotive_demand_forecasting_dataset5678[[#This Row],[Average_Price]]</f>
        <v>2256949.3922463101</v>
      </c>
      <c r="S210" t="str">
        <f t="shared" ca="1" si="20"/>
        <v>OK</v>
      </c>
    </row>
    <row r="211" spans="1:19">
      <c r="A211" s="1">
        <v>48005</v>
      </c>
      <c r="B211" t="s">
        <v>10</v>
      </c>
      <c r="C211" t="str">
        <f>TEXT(automotive_demand_forecasting_dataset5678[[#This Row],[Date]],"mmmm")</f>
        <v>June</v>
      </c>
      <c r="D211" t="str">
        <f>CHOOSE(MATCH(MONTH(A211), {1,4,7,10}), "Winter", "Spring", "Summer", "Autumn")</f>
        <v>Spring</v>
      </c>
      <c r="E211">
        <f>YEAR(automotive_demand_forecasting_dataset5678[[#This Row],[Date]])</f>
        <v>2031</v>
      </c>
      <c r="F211">
        <v>82</v>
      </c>
      <c r="G211">
        <f>(automotive_demand_forecasting_dataset5678[[#This Row],[Units_Sold]] -$C$4) / $C$5</f>
        <v>-1.7721037747209563</v>
      </c>
      <c r="H211" s="47" t="str">
        <f t="shared" ca="1" si="18"/>
        <v>West</v>
      </c>
      <c r="I211">
        <v>31513.177326195168</v>
      </c>
      <c r="J211">
        <v>3.2763390521706244</v>
      </c>
      <c r="K211">
        <v>1.3191871846911551</v>
      </c>
      <c r="L211">
        <v>7.1840439641502289</v>
      </c>
      <c r="M211">
        <v>61812.87824985414</v>
      </c>
      <c r="N211" s="82">
        <v>105</v>
      </c>
      <c r="O211">
        <v>30.425634653786872</v>
      </c>
      <c r="P2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11" t="str">
        <f t="shared" ca="1" si="19"/>
        <v>Radio</v>
      </c>
      <c r="R211" s="46">
        <f>automotive_demand_forecasting_dataset5678[[#This Row],[Units_Sold]]*automotive_demand_forecasting_dataset5678[[#This Row],[Average_Price]]</f>
        <v>2584080.5407480039</v>
      </c>
      <c r="S211" t="str">
        <f t="shared" ca="1" si="20"/>
        <v>OK</v>
      </c>
    </row>
    <row r="212" spans="1:19">
      <c r="A212" s="1">
        <v>48035</v>
      </c>
      <c r="B212" t="s">
        <v>10</v>
      </c>
      <c r="C212" t="str">
        <f>TEXT(automotive_demand_forecasting_dataset5678[[#This Row],[Date]],"mmmm")</f>
        <v>July</v>
      </c>
      <c r="D212" t="str">
        <f>CHOOSE(MATCH(MONTH(A212), {1,4,7,10}), "Winter", "Spring", "Summer", "Autumn")</f>
        <v>Summer</v>
      </c>
      <c r="E212">
        <f>YEAR(automotive_demand_forecasting_dataset5678[[#This Row],[Date]])</f>
        <v>2031</v>
      </c>
      <c r="F212">
        <v>104</v>
      </c>
      <c r="G212">
        <f>(automotive_demand_forecasting_dataset5678[[#This Row],[Units_Sold]] -$C$4) / $C$5</f>
        <v>0.48143859775656078</v>
      </c>
      <c r="H212" s="47" t="str">
        <f t="shared" ca="1" si="18"/>
        <v>West</v>
      </c>
      <c r="I212">
        <v>26228.62074990321</v>
      </c>
      <c r="J212">
        <v>4.1405081808675561</v>
      </c>
      <c r="K212">
        <v>3.6143216946688721</v>
      </c>
      <c r="L212">
        <v>5.616047043</v>
      </c>
      <c r="M212">
        <v>126366.04649705338</v>
      </c>
      <c r="N212" s="82">
        <v>103</v>
      </c>
      <c r="O212">
        <v>71.474315961386452</v>
      </c>
      <c r="P2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12" t="str">
        <f t="shared" ca="1" si="19"/>
        <v>Radio</v>
      </c>
      <c r="R212" s="46">
        <f>automotive_demand_forecasting_dataset5678[[#This Row],[Units_Sold]]*automotive_demand_forecasting_dataset5678[[#This Row],[Average_Price]]</f>
        <v>2727776.557989934</v>
      </c>
      <c r="S212" t="str">
        <f t="shared" ca="1" si="20"/>
        <v>OK</v>
      </c>
    </row>
    <row r="213" spans="1:19">
      <c r="A213" s="1">
        <v>48065</v>
      </c>
      <c r="B213" t="s">
        <v>12</v>
      </c>
      <c r="C213" t="str">
        <f>TEXT(automotive_demand_forecasting_dataset5678[[#This Row],[Date]],"mmmm")</f>
        <v>August</v>
      </c>
      <c r="D213" t="str">
        <f>CHOOSE(MATCH(MONTH(A213), {1,4,7,10}), "Winter", "Spring", "Summer", "Autumn")</f>
        <v>Summer</v>
      </c>
      <c r="E213">
        <f>YEAR(automotive_demand_forecasting_dataset5678[[#This Row],[Date]])</f>
        <v>2031</v>
      </c>
      <c r="F213">
        <v>99</v>
      </c>
      <c r="G213">
        <f>(automotive_demand_forecasting_dataset5678[[#This Row],[Units_Sold]] -$C$4) / $C$5</f>
        <v>-3.0730123261056761E-2</v>
      </c>
      <c r="H213" s="47" t="str">
        <f t="shared" ca="1" si="18"/>
        <v>East</v>
      </c>
      <c r="I213">
        <v>29679.308267035038</v>
      </c>
      <c r="J213">
        <v>3.5339277552637016</v>
      </c>
      <c r="K213">
        <v>3.2153813154412441</v>
      </c>
      <c r="L213">
        <v>4.968347174645821</v>
      </c>
      <c r="M213">
        <v>101453.61048658683</v>
      </c>
      <c r="N213" s="82">
        <v>84</v>
      </c>
      <c r="O213">
        <v>35.7746385574453</v>
      </c>
      <c r="P2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13" t="str">
        <f t="shared" ca="1" si="19"/>
        <v>Print</v>
      </c>
      <c r="R213" s="46">
        <f>automotive_demand_forecasting_dataset5678[[#This Row],[Units_Sold]]*automotive_demand_forecasting_dataset5678[[#This Row],[Average_Price]]</f>
        <v>2938251.5184364687</v>
      </c>
      <c r="S213" t="str">
        <f t="shared" ca="1" si="20"/>
        <v>OK</v>
      </c>
    </row>
    <row r="214" spans="1:19">
      <c r="A214" s="1">
        <v>48095</v>
      </c>
      <c r="B214" t="s">
        <v>10</v>
      </c>
      <c r="C214" t="str">
        <f>TEXT(automotive_demand_forecasting_dataset5678[[#This Row],[Date]],"mmmm")</f>
        <v>September</v>
      </c>
      <c r="D214" t="str">
        <f>CHOOSE(MATCH(MONTH(A214), {1,4,7,10}), "Winter", "Spring", "Summer", "Autumn")</f>
        <v>Summer</v>
      </c>
      <c r="E214">
        <f>YEAR(automotive_demand_forecasting_dataset5678[[#This Row],[Date]])</f>
        <v>2031</v>
      </c>
      <c r="F214">
        <v>102</v>
      </c>
      <c r="G214">
        <f>(automotive_demand_forecasting_dataset5678[[#This Row],[Units_Sold]] -$C$4) / $C$5</f>
        <v>0.27657110934951373</v>
      </c>
      <c r="H214" s="47" t="str">
        <f t="shared" ca="1" si="18"/>
        <v>South</v>
      </c>
      <c r="I214">
        <v>31643.812051517401</v>
      </c>
      <c r="J214">
        <v>3.9263868375611097</v>
      </c>
      <c r="K214">
        <v>3.2181857257079347</v>
      </c>
      <c r="L214">
        <v>4.9246084391209077</v>
      </c>
      <c r="M214">
        <v>91770.137108756389</v>
      </c>
      <c r="N214" s="82">
        <v>90</v>
      </c>
      <c r="O214">
        <v>27.808803048719327</v>
      </c>
      <c r="P2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14" t="str">
        <f t="shared" ca="1" si="19"/>
        <v>Billboards</v>
      </c>
      <c r="R214" s="46">
        <f>automotive_demand_forecasting_dataset5678[[#This Row],[Units_Sold]]*automotive_demand_forecasting_dataset5678[[#This Row],[Average_Price]]</f>
        <v>3227668.8292547748</v>
      </c>
      <c r="S214" t="str">
        <f t="shared" ca="1" si="20"/>
        <v>OK</v>
      </c>
    </row>
    <row r="215" spans="1:19">
      <c r="A215" s="1">
        <v>48125</v>
      </c>
      <c r="B215" t="s">
        <v>10</v>
      </c>
      <c r="C215" t="str">
        <f>TEXT(automotive_demand_forecasting_dataset5678[[#This Row],[Date]],"mmmm")</f>
        <v>October</v>
      </c>
      <c r="D215" t="str">
        <f>CHOOSE(MATCH(MONTH(A215), {1,4,7,10}), "Winter", "Spring", "Summer", "Autumn")</f>
        <v>Autumn</v>
      </c>
      <c r="E215">
        <f>YEAR(automotive_demand_forecasting_dataset5678[[#This Row],[Date]])</f>
        <v>2031</v>
      </c>
      <c r="F215">
        <v>76</v>
      </c>
      <c r="G215">
        <f>(automotive_demand_forecasting_dataset5678[[#This Row],[Units_Sold]] -$C$4) / $C$5</f>
        <v>-2.3867062399420975</v>
      </c>
      <c r="H215" s="47" t="str">
        <f t="shared" ca="1" si="18"/>
        <v>South</v>
      </c>
      <c r="I215">
        <v>38106.295579999998</v>
      </c>
      <c r="J215">
        <v>3.7423664086472375</v>
      </c>
      <c r="K215">
        <v>2.9384757388097271</v>
      </c>
      <c r="L215">
        <v>5.8558906541689142</v>
      </c>
      <c r="M215">
        <v>98215.31691557102</v>
      </c>
      <c r="N215" s="82">
        <v>91</v>
      </c>
      <c r="O215">
        <v>33.347886256446209</v>
      </c>
      <c r="P2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15" t="str">
        <f t="shared" ca="1" si="19"/>
        <v>Print</v>
      </c>
      <c r="R215" s="46">
        <f>automotive_demand_forecasting_dataset5678[[#This Row],[Units_Sold]]*automotive_demand_forecasting_dataset5678[[#This Row],[Average_Price]]</f>
        <v>2896078.4640799998</v>
      </c>
      <c r="S215" t="str">
        <f t="shared" ca="1" si="20"/>
        <v>OK</v>
      </c>
    </row>
    <row r="216" spans="1:19">
      <c r="A216" s="1">
        <v>48155</v>
      </c>
      <c r="B216" t="s">
        <v>11</v>
      </c>
      <c r="C216" t="str">
        <f>TEXT(automotive_demand_forecasting_dataset5678[[#This Row],[Date]],"mmmm")</f>
        <v>November</v>
      </c>
      <c r="D216" t="str">
        <f>CHOOSE(MATCH(MONTH(A216), {1,4,7,10}), "Winter", "Spring", "Summer", "Autumn")</f>
        <v>Autumn</v>
      </c>
      <c r="E216">
        <f>YEAR(automotive_demand_forecasting_dataset5678[[#This Row],[Date]])</f>
        <v>2031</v>
      </c>
      <c r="F216">
        <v>99</v>
      </c>
      <c r="G216">
        <f>(automotive_demand_forecasting_dataset5678[[#This Row],[Units_Sold]] -$C$4) / $C$5</f>
        <v>-3.0730123261056761E-2</v>
      </c>
      <c r="H216" s="47" t="str">
        <f t="shared" ca="1" si="18"/>
        <v>South</v>
      </c>
      <c r="I216">
        <v>32109.603771176422</v>
      </c>
      <c r="J216">
        <v>3.0768216725045634</v>
      </c>
      <c r="K216">
        <v>2.51961665769399</v>
      </c>
      <c r="L216">
        <v>6.0558217543211015</v>
      </c>
      <c r="M216">
        <v>99248.587100410368</v>
      </c>
      <c r="N216" s="82">
        <v>95</v>
      </c>
      <c r="O216">
        <v>93.898511670142085</v>
      </c>
      <c r="P2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16" t="str">
        <f t="shared" ca="1" si="19"/>
        <v>Radio</v>
      </c>
      <c r="R216" s="46">
        <f>automotive_demand_forecasting_dataset5678[[#This Row],[Units_Sold]]*automotive_demand_forecasting_dataset5678[[#This Row],[Average_Price]]</f>
        <v>3178850.773346466</v>
      </c>
      <c r="S216" t="str">
        <f t="shared" ca="1" si="20"/>
        <v>OK</v>
      </c>
    </row>
    <row r="217" spans="1:19">
      <c r="A217" s="1">
        <v>48185</v>
      </c>
      <c r="B217" t="s">
        <v>10</v>
      </c>
      <c r="C217" t="str">
        <f>TEXT(automotive_demand_forecasting_dataset5678[[#This Row],[Date]],"mmmm")</f>
        <v>December</v>
      </c>
      <c r="D217" t="str">
        <f>CHOOSE(MATCH(MONTH(A217), {1,4,7,10}), "Winter", "Spring", "Summer", "Autumn")</f>
        <v>Autumn</v>
      </c>
      <c r="E217">
        <f>YEAR(automotive_demand_forecasting_dataset5678[[#This Row],[Date]])</f>
        <v>2031</v>
      </c>
      <c r="F217">
        <v>93</v>
      </c>
      <c r="G217">
        <f>(automotive_demand_forecasting_dataset5678[[#This Row],[Units_Sold]] -$C$4) / $C$5</f>
        <v>-0.64533258848219777</v>
      </c>
      <c r="H217" s="47" t="str">
        <f t="shared" ca="1" si="18"/>
        <v>East</v>
      </c>
      <c r="I217">
        <v>38068.556345293233</v>
      </c>
      <c r="J217">
        <v>3.1782250838412689</v>
      </c>
      <c r="K217">
        <v>3.17286123596682</v>
      </c>
      <c r="L217">
        <v>5.736750718757448</v>
      </c>
      <c r="M217">
        <v>65375.973931101493</v>
      </c>
      <c r="N217" s="82">
        <v>85</v>
      </c>
      <c r="O217">
        <v>85.71770022209526</v>
      </c>
      <c r="P2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17" t="str">
        <f t="shared" ca="1" si="19"/>
        <v>Print</v>
      </c>
      <c r="R217" s="46">
        <f>automotive_demand_forecasting_dataset5678[[#This Row],[Units_Sold]]*automotive_demand_forecasting_dataset5678[[#This Row],[Average_Price]]</f>
        <v>3540375.7401122707</v>
      </c>
      <c r="S217" t="str">
        <f t="shared" ca="1" si="20"/>
        <v>OK</v>
      </c>
    </row>
    <row r="218" spans="1:19">
      <c r="A218" s="1">
        <v>48215</v>
      </c>
      <c r="B218" t="s">
        <v>13</v>
      </c>
      <c r="C218" t="str">
        <f>TEXT(automotive_demand_forecasting_dataset5678[[#This Row],[Date]],"mmmm")</f>
        <v>January</v>
      </c>
      <c r="D218" t="str">
        <f>CHOOSE(MATCH(MONTH(A218), {1,4,7,10}), "Winter", "Spring", "Summer", "Autumn")</f>
        <v>Winter</v>
      </c>
      <c r="E218">
        <f>YEAR(automotive_demand_forecasting_dataset5678[[#This Row],[Date]])</f>
        <v>2032</v>
      </c>
      <c r="F218">
        <v>99</v>
      </c>
      <c r="G218">
        <f>(automotive_demand_forecasting_dataset5678[[#This Row],[Units_Sold]] -$C$4) / $C$5</f>
        <v>-3.0730123261056761E-2</v>
      </c>
      <c r="H218" s="47" t="str">
        <f t="shared" ca="1" si="18"/>
        <v>East</v>
      </c>
      <c r="I218">
        <v>32267.671507569899</v>
      </c>
      <c r="J218">
        <v>4.0149804087905805</v>
      </c>
      <c r="K218">
        <v>3.0918141337413783</v>
      </c>
      <c r="L218">
        <f>6.97388673</f>
        <v>6.9738867300000003</v>
      </c>
      <c r="M218">
        <v>129898.76454906471</v>
      </c>
      <c r="N218" s="82">
        <v>99</v>
      </c>
      <c r="O218">
        <v>48.325164988407529</v>
      </c>
      <c r="P2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18" t="str">
        <f t="shared" ca="1" si="19"/>
        <v>Billboards</v>
      </c>
      <c r="R218" s="46">
        <f>automotive_demand_forecasting_dataset5678[[#This Row],[Units_Sold]]*automotive_demand_forecasting_dataset5678[[#This Row],[Average_Price]]</f>
        <v>3194499.4792494201</v>
      </c>
      <c r="S218" t="str">
        <f t="shared" ca="1" si="20"/>
        <v>OK</v>
      </c>
    </row>
    <row r="219" spans="1:19">
      <c r="A219" s="1">
        <v>48245</v>
      </c>
      <c r="B219" t="s">
        <v>12</v>
      </c>
      <c r="C219" t="str">
        <f>TEXT(automotive_demand_forecasting_dataset5678[[#This Row],[Date]],"mmmm")</f>
        <v>February</v>
      </c>
      <c r="D219" t="str">
        <f>CHOOSE(MATCH(MONTH(A219), {1,4,7,10}), "Winter", "Spring", "Summer", "Autumn")</f>
        <v>Winter</v>
      </c>
      <c r="E219">
        <f>YEAR(automotive_demand_forecasting_dataset5678[[#This Row],[Date]])</f>
        <v>2032</v>
      </c>
      <c r="F219">
        <v>102</v>
      </c>
      <c r="G219">
        <f>(automotive_demand_forecasting_dataset5678[[#This Row],[Units_Sold]] -$C$4) / $C$5</f>
        <v>0.27657110934951373</v>
      </c>
      <c r="H219" s="47" t="str">
        <f t="shared" ca="1" si="18"/>
        <v>East</v>
      </c>
      <c r="I219">
        <v>28779.216823546758</v>
      </c>
      <c r="J219">
        <v>3.3326123339467295</v>
      </c>
      <c r="K219">
        <f t="shared" ref="K219" si="23">3.224108373</f>
        <v>3.224108373</v>
      </c>
      <c r="L219">
        <v>7.5399488494916564</v>
      </c>
      <c r="M219">
        <v>100826.51264541237</v>
      </c>
      <c r="N219" s="82">
        <v>94</v>
      </c>
      <c r="O219">
        <v>72.465661386191428</v>
      </c>
      <c r="P2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19" t="str">
        <f t="shared" ca="1" si="19"/>
        <v>Online</v>
      </c>
      <c r="R219" s="46">
        <f>automotive_demand_forecasting_dataset5678[[#This Row],[Units_Sold]]*automotive_demand_forecasting_dataset5678[[#This Row],[Average_Price]]</f>
        <v>2935480.1160017694</v>
      </c>
      <c r="S219" t="str">
        <f t="shared" ca="1" si="20"/>
        <v>OK</v>
      </c>
    </row>
    <row r="220" spans="1:19">
      <c r="A220" s="1">
        <v>48275</v>
      </c>
      <c r="B220" t="s">
        <v>11</v>
      </c>
      <c r="C220" t="str">
        <f>TEXT(automotive_demand_forecasting_dataset5678[[#This Row],[Date]],"mmmm")</f>
        <v>March</v>
      </c>
      <c r="D220" t="str">
        <f>CHOOSE(MATCH(MONTH(A220), {1,4,7,10}), "Winter", "Spring", "Summer", "Autumn")</f>
        <v>Winter</v>
      </c>
      <c r="E220">
        <f>YEAR(automotive_demand_forecasting_dataset5678[[#This Row],[Date]])</f>
        <v>2032</v>
      </c>
      <c r="F220">
        <v>106</v>
      </c>
      <c r="G220">
        <f>(automotive_demand_forecasting_dataset5678[[#This Row],[Units_Sold]] -$C$4) / $C$5</f>
        <v>0.68630608616360778</v>
      </c>
      <c r="H220" s="47" t="str">
        <f t="shared" ca="1" si="18"/>
        <v>East</v>
      </c>
      <c r="I220">
        <v>34820.435841441787</v>
      </c>
      <c r="J220">
        <v>3.2981757683790018</v>
      </c>
      <c r="K220">
        <v>1.926398227103099</v>
      </c>
      <c r="L220">
        <v>6.7858517826818625</v>
      </c>
      <c r="M220">
        <v>108860.04260894751</v>
      </c>
      <c r="N220" s="82">
        <v>91</v>
      </c>
      <c r="O220">
        <v>62.982053893443045</v>
      </c>
      <c r="P2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20" t="str">
        <f t="shared" ca="1" si="19"/>
        <v>Billboards</v>
      </c>
      <c r="R220" s="46">
        <f>automotive_demand_forecasting_dataset5678[[#This Row],[Units_Sold]]*automotive_demand_forecasting_dataset5678[[#This Row],[Average_Price]]</f>
        <v>3690966.1991928294</v>
      </c>
      <c r="S220" t="str">
        <f t="shared" ca="1" si="20"/>
        <v>OK</v>
      </c>
    </row>
    <row r="221" spans="1:19">
      <c r="A221" s="1">
        <v>48305</v>
      </c>
      <c r="B221" t="s">
        <v>14</v>
      </c>
      <c r="C221" t="str">
        <f>TEXT(automotive_demand_forecasting_dataset5678[[#This Row],[Date]],"mmmm")</f>
        <v>April</v>
      </c>
      <c r="D221" t="str">
        <f>CHOOSE(MATCH(MONTH(A221), {1,4,7,10}), "Winter", "Spring", "Summer", "Autumn")</f>
        <v>Spring</v>
      </c>
      <c r="E221">
        <f>YEAR(automotive_demand_forecasting_dataset5678[[#This Row],[Date]])</f>
        <v>2032</v>
      </c>
      <c r="F221">
        <v>94</v>
      </c>
      <c r="G221">
        <f>(automotive_demand_forecasting_dataset5678[[#This Row],[Units_Sold]] -$C$4) / $C$5</f>
        <v>-0.5428988442786743</v>
      </c>
      <c r="H221" s="47" t="str">
        <f t="shared" ca="1" si="18"/>
        <v>West</v>
      </c>
      <c r="I221">
        <v>35947.352444623204</v>
      </c>
      <c r="J221">
        <v>3.0224387103253236</v>
      </c>
      <c r="K221">
        <v>2.6018562952619866</v>
      </c>
      <c r="L221">
        <v>5.7287627095180289</v>
      </c>
      <c r="M221">
        <v>119030.99541148086</v>
      </c>
      <c r="N221" s="82">
        <v>87</v>
      </c>
      <c r="O221">
        <v>74.16994107860512</v>
      </c>
      <c r="P2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21" t="str">
        <f t="shared" ca="1" si="19"/>
        <v>Print</v>
      </c>
      <c r="R221" s="46">
        <f>automotive_demand_forecasting_dataset5678[[#This Row],[Units_Sold]]*automotive_demand_forecasting_dataset5678[[#This Row],[Average_Price]]</f>
        <v>3379051.1297945813</v>
      </c>
      <c r="S221" t="str">
        <f t="shared" ca="1" si="20"/>
        <v>OK</v>
      </c>
    </row>
    <row r="222" spans="1:19">
      <c r="A222" s="1">
        <v>48335</v>
      </c>
      <c r="B222" t="s">
        <v>12</v>
      </c>
      <c r="C222" t="str">
        <f>TEXT(automotive_demand_forecasting_dataset5678[[#This Row],[Date]],"mmmm")</f>
        <v>May</v>
      </c>
      <c r="D222" t="str">
        <f>CHOOSE(MATCH(MONTH(A222), {1,4,7,10}), "Winter", "Spring", "Summer", "Autumn")</f>
        <v>Spring</v>
      </c>
      <c r="E222">
        <f>YEAR(automotive_demand_forecasting_dataset5678[[#This Row],[Date]])</f>
        <v>2032</v>
      </c>
      <c r="F222">
        <v>105</v>
      </c>
      <c r="G222">
        <f>(automotive_demand_forecasting_dataset5678[[#This Row],[Units_Sold]] -$C$4) / $C$5</f>
        <v>0.58387234196008431</v>
      </c>
      <c r="H222" s="47" t="str">
        <f t="shared" ca="1" si="18"/>
        <v>East</v>
      </c>
      <c r="I222">
        <v>23861.960924315037</v>
      </c>
      <c r="J222">
        <v>3.7117995327967304</v>
      </c>
      <c r="K222">
        <v>4.0490201514951876</v>
      </c>
      <c r="L222">
        <v>6.6295726969209801</v>
      </c>
      <c r="M222">
        <v>79576.750848793992</v>
      </c>
      <c r="N222" s="82">
        <v>66</v>
      </c>
      <c r="O222">
        <v>74.613692197020754</v>
      </c>
      <c r="P2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22" t="str">
        <f t="shared" ca="1" si="19"/>
        <v>Radio</v>
      </c>
      <c r="R222" s="46">
        <f>automotive_demand_forecasting_dataset5678[[#This Row],[Units_Sold]]*automotive_demand_forecasting_dataset5678[[#This Row],[Average_Price]]</f>
        <v>2505505.8970530787</v>
      </c>
      <c r="S222" t="str">
        <f t="shared" ca="1" si="20"/>
        <v>OK</v>
      </c>
    </row>
    <row r="223" spans="1:19">
      <c r="A223" s="1">
        <v>48365</v>
      </c>
      <c r="B223" t="s">
        <v>13</v>
      </c>
      <c r="C223" t="str">
        <f>TEXT(automotive_demand_forecasting_dataset5678[[#This Row],[Date]],"mmmm")</f>
        <v>May</v>
      </c>
      <c r="D223" t="str">
        <f>CHOOSE(MATCH(MONTH(A223), {1,4,7,10}), "Winter", "Spring", "Summer", "Autumn")</f>
        <v>Spring</v>
      </c>
      <c r="E223">
        <f>YEAR(automotive_demand_forecasting_dataset5678[[#This Row],[Date]])</f>
        <v>2032</v>
      </c>
      <c r="F223">
        <v>100</v>
      </c>
      <c r="G223">
        <f>(automotive_demand_forecasting_dataset5678[[#This Row],[Units_Sold]] -$C$4) / $C$5</f>
        <v>7.1703620942466739E-2</v>
      </c>
      <c r="H223" s="47" t="str">
        <f t="shared" ca="1" si="18"/>
        <v>South</v>
      </c>
      <c r="I223">
        <v>32987.000349249291</v>
      </c>
      <c r="J223">
        <v>4.5312624596215727</v>
      </c>
      <c r="K223">
        <f t="shared" ref="K223" si="24">3.224108373</f>
        <v>3.224108373</v>
      </c>
      <c r="L223">
        <v>4.2609713157669526</v>
      </c>
      <c r="M223">
        <v>109469.43798070456</v>
      </c>
      <c r="N223" s="82">
        <v>86</v>
      </c>
      <c r="O223">
        <v>70.298721204799435</v>
      </c>
      <c r="P2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23" t="str">
        <f t="shared" ca="1" si="19"/>
        <v>Online</v>
      </c>
      <c r="R223" s="46">
        <f>automotive_demand_forecasting_dataset5678[[#This Row],[Units_Sold]]*automotive_demand_forecasting_dataset5678[[#This Row],[Average_Price]]</f>
        <v>3298700.034924929</v>
      </c>
      <c r="S223" t="str">
        <f t="shared" ca="1" si="20"/>
        <v>OK</v>
      </c>
    </row>
    <row r="224" spans="1:19">
      <c r="A224" s="1">
        <v>48395</v>
      </c>
      <c r="B224" t="s">
        <v>12</v>
      </c>
      <c r="C224" t="str">
        <f>TEXT(automotive_demand_forecasting_dataset5678[[#This Row],[Date]],"mmmm")</f>
        <v>June</v>
      </c>
      <c r="D224" t="str">
        <f>CHOOSE(MATCH(MONTH(A224), {1,4,7,10}), "Winter", "Spring", "Summer", "Autumn")</f>
        <v>Spring</v>
      </c>
      <c r="E224">
        <f>YEAR(automotive_demand_forecasting_dataset5678[[#This Row],[Date]])</f>
        <v>2032</v>
      </c>
      <c r="F224">
        <v>122</v>
      </c>
      <c r="G224">
        <f>(automotive_demand_forecasting_dataset5678[[#This Row],[Units_Sold]] -$C$4) / $C$5</f>
        <v>2.3252459934199838</v>
      </c>
      <c r="H224" s="47" t="str">
        <f t="shared" ca="1" si="18"/>
        <v>West</v>
      </c>
      <c r="I224">
        <v>33505.863711554492</v>
      </c>
      <c r="J224">
        <v>2.9662335428728634</v>
      </c>
      <c r="K224">
        <v>1.03247473424756</v>
      </c>
      <c r="L224">
        <v>5.9775124599361709</v>
      </c>
      <c r="M224">
        <v>94647.17818202413</v>
      </c>
      <c r="N224" s="82">
        <v>80</v>
      </c>
      <c r="O224">
        <v>41.288109482984687</v>
      </c>
      <c r="P2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24" t="str">
        <f t="shared" ca="1" si="19"/>
        <v>Radio</v>
      </c>
      <c r="R224" s="46">
        <f>automotive_demand_forecasting_dataset5678[[#This Row],[Units_Sold]]*automotive_demand_forecasting_dataset5678[[#This Row],[Average_Price]]</f>
        <v>4087715.372809648</v>
      </c>
      <c r="S224" t="str">
        <f t="shared" ca="1" si="20"/>
        <v>OK</v>
      </c>
    </row>
    <row r="225" spans="1:19">
      <c r="A225" s="1">
        <v>48425</v>
      </c>
      <c r="B225" t="s">
        <v>13</v>
      </c>
      <c r="C225" t="str">
        <f>TEXT(automotive_demand_forecasting_dataset5678[[#This Row],[Date]],"mmmm")</f>
        <v>July</v>
      </c>
      <c r="D225" t="str">
        <f>CHOOSE(MATCH(MONTH(A225), {1,4,7,10}), "Winter", "Spring", "Summer", "Autumn")</f>
        <v>Summer</v>
      </c>
      <c r="E225">
        <f>YEAR(automotive_demand_forecasting_dataset5678[[#This Row],[Date]])</f>
        <v>2032</v>
      </c>
      <c r="F225">
        <v>103</v>
      </c>
      <c r="G225">
        <f>(automotive_demand_forecasting_dataset5678[[#This Row],[Units_Sold]] -$C$4) / $C$5</f>
        <v>0.37900485355303726</v>
      </c>
      <c r="H225" s="47" t="str">
        <f t="shared" ca="1" si="18"/>
        <v>East</v>
      </c>
      <c r="I225">
        <v>28512.182483200042</v>
      </c>
      <c r="J225">
        <v>3.5121097283363789</v>
      </c>
      <c r="K225">
        <v>2.6647608412365167</v>
      </c>
      <c r="L225">
        <f>6.97388673</f>
        <v>6.9738867300000003</v>
      </c>
      <c r="M225">
        <v>116935.41550432987</v>
      </c>
      <c r="N225" s="82">
        <v>111</v>
      </c>
      <c r="O225">
        <v>23.120513661025448</v>
      </c>
      <c r="P2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25" t="str">
        <f t="shared" ca="1" si="19"/>
        <v>Online</v>
      </c>
      <c r="R225" s="46">
        <f>automotive_demand_forecasting_dataset5678[[#This Row],[Units_Sold]]*automotive_demand_forecasting_dataset5678[[#This Row],[Average_Price]]</f>
        <v>2936754.7957696044</v>
      </c>
      <c r="S225" t="str">
        <f t="shared" ca="1" si="20"/>
        <v>OK</v>
      </c>
    </row>
    <row r="226" spans="1:19">
      <c r="A226" s="1">
        <v>48455</v>
      </c>
      <c r="B226" t="s">
        <v>13</v>
      </c>
      <c r="C226" t="str">
        <f>TEXT(automotive_demand_forecasting_dataset5678[[#This Row],[Date]],"mmmm")</f>
        <v>August</v>
      </c>
      <c r="D226" t="str">
        <f>CHOOSE(MATCH(MONTH(A226), {1,4,7,10}), "Winter", "Spring", "Summer", "Autumn")</f>
        <v>Summer</v>
      </c>
      <c r="E226">
        <f>YEAR(automotive_demand_forecasting_dataset5678[[#This Row],[Date]])</f>
        <v>2032</v>
      </c>
      <c r="F226">
        <v>119</v>
      </c>
      <c r="G226">
        <f>(automotive_demand_forecasting_dataset5678[[#This Row],[Units_Sold]] -$C$4) / $C$5</f>
        <v>2.0179447608094132</v>
      </c>
      <c r="H226" s="47" t="str">
        <f t="shared" ca="1" si="18"/>
        <v>South</v>
      </c>
      <c r="I226">
        <v>36878.534066558095</v>
      </c>
      <c r="J226">
        <v>4.2061102777077144</v>
      </c>
      <c r="K226">
        <f t="shared" ref="K226" si="25">3.224108373</f>
        <v>3.224108373</v>
      </c>
      <c r="L226">
        <v>5.2383449255291517</v>
      </c>
      <c r="M226">
        <f>128897.2893</f>
        <v>128897.2893</v>
      </c>
      <c r="N226" s="82">
        <v>98</v>
      </c>
      <c r="O226">
        <v>65.454227669999995</v>
      </c>
      <c r="P2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26" t="str">
        <f t="shared" ca="1" si="19"/>
        <v>Radio</v>
      </c>
      <c r="R226" s="46">
        <f>automotive_demand_forecasting_dataset5678[[#This Row],[Units_Sold]]*automotive_demand_forecasting_dataset5678[[#This Row],[Average_Price]]</f>
        <v>4388545.5539204134</v>
      </c>
      <c r="S226" t="str">
        <f t="shared" ca="1" si="20"/>
        <v>OK</v>
      </c>
    </row>
    <row r="227" spans="1:19">
      <c r="A227" s="1">
        <v>48485</v>
      </c>
      <c r="B227" t="s">
        <v>14</v>
      </c>
      <c r="C227" t="str">
        <f>TEXT(automotive_demand_forecasting_dataset5678[[#This Row],[Date]],"mmmm")</f>
        <v>September</v>
      </c>
      <c r="D227" t="str">
        <f>CHOOSE(MATCH(MONTH(A227), {1,4,7,10}), "Winter", "Spring", "Summer", "Autumn")</f>
        <v>Summer</v>
      </c>
      <c r="E227">
        <f>YEAR(automotive_demand_forecasting_dataset5678[[#This Row],[Date]])</f>
        <v>2032</v>
      </c>
      <c r="F227">
        <v>76</v>
      </c>
      <c r="G227">
        <f>(automotive_demand_forecasting_dataset5678[[#This Row],[Units_Sold]] -$C$4) / $C$5</f>
        <v>-2.3867062399420975</v>
      </c>
      <c r="H227" s="47" t="str">
        <f t="shared" ca="1" si="18"/>
        <v>East</v>
      </c>
      <c r="I227">
        <v>29249.722064837366</v>
      </c>
      <c r="J227">
        <v>3.4601793043771423</v>
      </c>
      <c r="K227">
        <v>2.6733416643704082</v>
      </c>
      <c r="L227">
        <v>4.4828392856570982</v>
      </c>
      <c r="M227">
        <v>98018.113995174615</v>
      </c>
      <c r="N227" s="82">
        <v>98</v>
      </c>
      <c r="O227">
        <v>91.277910775256302</v>
      </c>
      <c r="P2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27" t="str">
        <f t="shared" ca="1" si="19"/>
        <v>Online</v>
      </c>
      <c r="R227" s="46">
        <f>automotive_demand_forecasting_dataset5678[[#This Row],[Units_Sold]]*automotive_demand_forecasting_dataset5678[[#This Row],[Average_Price]]</f>
        <v>2222978.8769276398</v>
      </c>
      <c r="S227" t="str">
        <f t="shared" ca="1" si="20"/>
        <v>OK</v>
      </c>
    </row>
    <row r="228" spans="1:19">
      <c r="A228" s="1">
        <v>48515</v>
      </c>
      <c r="B228" t="s">
        <v>12</v>
      </c>
      <c r="C228" t="str">
        <f>TEXT(automotive_demand_forecasting_dataset5678[[#This Row],[Date]],"mmmm")</f>
        <v>October</v>
      </c>
      <c r="D228" t="str">
        <f>CHOOSE(MATCH(MONTH(A228), {1,4,7,10}), "Winter", "Spring", "Summer", "Autumn")</f>
        <v>Autumn</v>
      </c>
      <c r="E228">
        <f>YEAR(automotive_demand_forecasting_dataset5678[[#This Row],[Date]])</f>
        <v>2032</v>
      </c>
      <c r="F228">
        <v>96</v>
      </c>
      <c r="G228">
        <f>(automotive_demand_forecasting_dataset5678[[#This Row],[Units_Sold]] -$C$4) / $C$5</f>
        <v>-0.33803135587162725</v>
      </c>
      <c r="H228" s="47" t="str">
        <f t="shared" ca="1" si="18"/>
        <v>West</v>
      </c>
      <c r="I228">
        <v>38106.295579999998</v>
      </c>
      <c r="J228">
        <v>3.726185898124867</v>
      </c>
      <c r="K228">
        <v>2.7439531979085001</v>
      </c>
      <c r="L228">
        <v>4.7174933336883269</v>
      </c>
      <c r="M228">
        <v>87943.586884320772</v>
      </c>
      <c r="N228" s="82">
        <v>93</v>
      </c>
      <c r="O228">
        <v>65.559780681486075</v>
      </c>
      <c r="P2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28" t="str">
        <f t="shared" ca="1" si="19"/>
        <v>Billboards</v>
      </c>
      <c r="R228" s="46">
        <f>automotive_demand_forecasting_dataset5678[[#This Row],[Units_Sold]]*automotive_demand_forecasting_dataset5678[[#This Row],[Average_Price]]</f>
        <v>3658204.3756799996</v>
      </c>
      <c r="S228" t="str">
        <f t="shared" ca="1" si="20"/>
        <v>OK</v>
      </c>
    </row>
    <row r="229" spans="1:19">
      <c r="A229" s="1">
        <v>48545</v>
      </c>
      <c r="B229" t="s">
        <v>14</v>
      </c>
      <c r="C229" t="str">
        <f>TEXT(automotive_demand_forecasting_dataset5678[[#This Row],[Date]],"mmmm")</f>
        <v>November</v>
      </c>
      <c r="D229" t="str">
        <f>CHOOSE(MATCH(MONTH(A229), {1,4,7,10}), "Winter", "Spring", "Summer", "Autumn")</f>
        <v>Autumn</v>
      </c>
      <c r="E229">
        <f>YEAR(automotive_demand_forecasting_dataset5678[[#This Row],[Date]])</f>
        <v>2032</v>
      </c>
      <c r="F229">
        <v>103</v>
      </c>
      <c r="G229">
        <f>(automotive_demand_forecasting_dataset5678[[#This Row],[Units_Sold]] -$C$4) / $C$5</f>
        <v>0.37900485355303726</v>
      </c>
      <c r="H229" s="47" t="str">
        <f t="shared" ca="1" si="18"/>
        <v>South</v>
      </c>
      <c r="I229">
        <v>29134.640878580652</v>
      </c>
      <c r="J229">
        <v>4.5778345189999996</v>
      </c>
      <c r="K229">
        <v>2.2767977453651951</v>
      </c>
      <c r="L229">
        <v>4.1924403551891345</v>
      </c>
      <c r="M229">
        <v>108645.25901268311</v>
      </c>
      <c r="N229" s="82">
        <v>106</v>
      </c>
      <c r="O229">
        <v>86.591283336152628</v>
      </c>
      <c r="P2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29" t="str">
        <f t="shared" ca="1" si="19"/>
        <v>Radio</v>
      </c>
      <c r="R229" s="46">
        <f>automotive_demand_forecasting_dataset5678[[#This Row],[Units_Sold]]*automotive_demand_forecasting_dataset5678[[#This Row],[Average_Price]]</f>
        <v>3000868.010493807</v>
      </c>
      <c r="S229" t="str">
        <f t="shared" ca="1" si="20"/>
        <v>OK</v>
      </c>
    </row>
    <row r="230" spans="1:19">
      <c r="A230" s="1">
        <v>48575</v>
      </c>
      <c r="B230" t="s">
        <v>14</v>
      </c>
      <c r="C230" t="str">
        <f>TEXT(automotive_demand_forecasting_dataset5678[[#This Row],[Date]],"mmmm")</f>
        <v>December</v>
      </c>
      <c r="D230" t="str">
        <f>CHOOSE(MATCH(MONTH(A230), {1,4,7,10}), "Winter", "Spring", "Summer", "Autumn")</f>
        <v>Autumn</v>
      </c>
      <c r="E230">
        <f>YEAR(automotive_demand_forecasting_dataset5678[[#This Row],[Date]])</f>
        <v>2032</v>
      </c>
      <c r="F230">
        <v>111</v>
      </c>
      <c r="G230">
        <f>(automotive_demand_forecasting_dataset5678[[#This Row],[Units_Sold]] -$C$4) / $C$5</f>
        <v>1.1984748071812252</v>
      </c>
      <c r="H230" s="47" t="str">
        <f t="shared" ca="1" si="18"/>
        <v>West</v>
      </c>
      <c r="I230">
        <v>30077.895237907338</v>
      </c>
      <c r="J230">
        <v>3.7141535486038242</v>
      </c>
      <c r="K230">
        <v>3.9898634386020824</v>
      </c>
      <c r="L230">
        <v>5.616047043</v>
      </c>
      <c r="M230">
        <v>109400.88374736405</v>
      </c>
      <c r="N230" s="82">
        <v>93</v>
      </c>
      <c r="O230">
        <v>80.215177969999999</v>
      </c>
      <c r="P2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30" t="str">
        <f t="shared" ca="1" si="19"/>
        <v>TV</v>
      </c>
      <c r="R230" s="46">
        <f>automotive_demand_forecasting_dataset5678[[#This Row],[Units_Sold]]*automotive_demand_forecasting_dataset5678[[#This Row],[Average_Price]]</f>
        <v>3338646.3714077147</v>
      </c>
      <c r="S230" t="str">
        <f t="shared" ca="1" si="20"/>
        <v>OK</v>
      </c>
    </row>
    <row r="231" spans="1:19">
      <c r="A231" s="1">
        <v>48605</v>
      </c>
      <c r="B231" t="s">
        <v>12</v>
      </c>
      <c r="C231" t="str">
        <f>TEXT(automotive_demand_forecasting_dataset5678[[#This Row],[Date]],"mmmm")</f>
        <v>January</v>
      </c>
      <c r="D231" t="str">
        <f>CHOOSE(MATCH(MONTH(A231), {1,4,7,10}), "Winter", "Spring", "Summer", "Autumn")</f>
        <v>Winter</v>
      </c>
      <c r="E231">
        <f>YEAR(automotive_demand_forecasting_dataset5678[[#This Row],[Date]])</f>
        <v>2033</v>
      </c>
      <c r="F231">
        <v>97</v>
      </c>
      <c r="G231">
        <f>(automotive_demand_forecasting_dataset5678[[#This Row],[Units_Sold]] -$C$4) / $C$5</f>
        <v>-0.23559761166810378</v>
      </c>
      <c r="H231" s="47" t="str">
        <f t="shared" ca="1" si="18"/>
        <v>West</v>
      </c>
      <c r="I231">
        <v>24518.624565523991</v>
      </c>
      <c r="J231">
        <v>3.4064278674977255</v>
      </c>
      <c r="K231">
        <v>0.89909602152348445</v>
      </c>
      <c r="L231">
        <v>5.0553902816919649</v>
      </c>
      <c r="M231">
        <v>85847.48210355948</v>
      </c>
      <c r="N231" s="82">
        <v>72</v>
      </c>
      <c r="O231">
        <v>33.089296331062101</v>
      </c>
      <c r="P2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31" t="str">
        <f t="shared" ca="1" si="19"/>
        <v>TV</v>
      </c>
      <c r="R231" s="46">
        <f>automotive_demand_forecasting_dataset5678[[#This Row],[Units_Sold]]*automotive_demand_forecasting_dataset5678[[#This Row],[Average_Price]]</f>
        <v>2378306.5828558272</v>
      </c>
      <c r="S231" t="str">
        <f t="shared" ca="1" si="20"/>
        <v>OK</v>
      </c>
    </row>
    <row r="232" spans="1:19">
      <c r="A232" s="1">
        <v>48635</v>
      </c>
      <c r="B232" t="s">
        <v>10</v>
      </c>
      <c r="C232" t="str">
        <f>TEXT(automotive_demand_forecasting_dataset5678[[#This Row],[Date]],"mmmm")</f>
        <v>February</v>
      </c>
      <c r="D232" t="str">
        <f>CHOOSE(MATCH(MONTH(A232), {1,4,7,10}), "Winter", "Spring", "Summer", "Autumn")</f>
        <v>Winter</v>
      </c>
      <c r="E232">
        <f>YEAR(automotive_demand_forecasting_dataset5678[[#This Row],[Date]])</f>
        <v>2033</v>
      </c>
      <c r="F232">
        <v>112</v>
      </c>
      <c r="G232">
        <f>(automotive_demand_forecasting_dataset5678[[#This Row],[Units_Sold]] -$C$4) / $C$5</f>
        <v>1.3009085513847487</v>
      </c>
      <c r="H232" s="47" t="str">
        <f t="shared" ca="1" si="18"/>
        <v>West</v>
      </c>
      <c r="I232">
        <v>22799.745587028527</v>
      </c>
      <c r="J232">
        <v>3.9928649978399315</v>
      </c>
      <c r="K232">
        <v>1.6715029752197541</v>
      </c>
      <c r="L232">
        <v>3.8133195769856298</v>
      </c>
      <c r="M232">
        <v>85756.522716479129</v>
      </c>
      <c r="N232" s="82">
        <v>85</v>
      </c>
      <c r="O232">
        <v>65.454227669999995</v>
      </c>
      <c r="P2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32" t="str">
        <f t="shared" ca="1" si="19"/>
        <v>Billboards</v>
      </c>
      <c r="R232" s="46">
        <f>automotive_demand_forecasting_dataset5678[[#This Row],[Units_Sold]]*automotive_demand_forecasting_dataset5678[[#This Row],[Average_Price]]</f>
        <v>2553571.5057471949</v>
      </c>
      <c r="S232" t="str">
        <f t="shared" ca="1" si="20"/>
        <v>OK</v>
      </c>
    </row>
    <row r="233" spans="1:19">
      <c r="A233" s="1">
        <v>48665</v>
      </c>
      <c r="B233" t="s">
        <v>10</v>
      </c>
      <c r="C233" t="str">
        <f>TEXT(automotive_demand_forecasting_dataset5678[[#This Row],[Date]],"mmmm")</f>
        <v>March</v>
      </c>
      <c r="D233" t="str">
        <f>CHOOSE(MATCH(MONTH(A233), {1,4,7,10}), "Winter", "Spring", "Summer", "Autumn")</f>
        <v>Winter</v>
      </c>
      <c r="E233">
        <f>YEAR(automotive_demand_forecasting_dataset5678[[#This Row],[Date]])</f>
        <v>2033</v>
      </c>
      <c r="F233">
        <v>99</v>
      </c>
      <c r="G233">
        <f>(automotive_demand_forecasting_dataset5678[[#This Row],[Units_Sold]] -$C$4) / $C$5</f>
        <v>-3.0730123261056761E-2</v>
      </c>
      <c r="H233" s="47" t="str">
        <f t="shared" ca="1" si="18"/>
        <v>West</v>
      </c>
      <c r="I233">
        <v>37972.525316124862</v>
      </c>
      <c r="J233">
        <v>4.0936930257823754</v>
      </c>
      <c r="K233">
        <v>2.3967452398509526</v>
      </c>
      <c r="L233">
        <v>5.5187420007395236</v>
      </c>
      <c r="M233">
        <v>97786.692628853416</v>
      </c>
      <c r="N233" s="82">
        <v>86</v>
      </c>
      <c r="O233">
        <v>73.943485896001974</v>
      </c>
      <c r="P2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33" t="str">
        <f t="shared" ca="1" si="19"/>
        <v>Billboards</v>
      </c>
      <c r="R233" s="46">
        <f>automotive_demand_forecasting_dataset5678[[#This Row],[Units_Sold]]*automotive_demand_forecasting_dataset5678[[#This Row],[Average_Price]]</f>
        <v>3759280.0062963613</v>
      </c>
      <c r="S233" t="str">
        <f t="shared" ca="1" si="20"/>
        <v>OK</v>
      </c>
    </row>
    <row r="234" spans="1:19">
      <c r="A234" s="1">
        <v>48695</v>
      </c>
      <c r="B234" t="s">
        <v>14</v>
      </c>
      <c r="C234" t="str">
        <f>TEXT(automotive_demand_forecasting_dataset5678[[#This Row],[Date]],"mmmm")</f>
        <v>April</v>
      </c>
      <c r="D234" t="str">
        <f>CHOOSE(MATCH(MONTH(A234), {1,4,7,10}), "Winter", "Spring", "Summer", "Autumn")</f>
        <v>Spring</v>
      </c>
      <c r="E234">
        <f>YEAR(automotive_demand_forecasting_dataset5678[[#This Row],[Date]])</f>
        <v>2033</v>
      </c>
      <c r="F234">
        <v>124</v>
      </c>
      <c r="G234">
        <f>(automotive_demand_forecasting_dataset5678[[#This Row],[Units_Sold]] -$C$4) / $C$5</f>
        <v>2.5301134818270308</v>
      </c>
      <c r="H234" s="47" t="str">
        <f t="shared" ca="1" si="18"/>
        <v>North</v>
      </c>
      <c r="I234">
        <v>25765.193258408362</v>
      </c>
      <c r="J234">
        <v>4.7947818210093072</v>
      </c>
      <c r="K234">
        <v>0.85681118884583274</v>
      </c>
      <c r="L234">
        <f>6.97388673</f>
        <v>6.9738867300000003</v>
      </c>
      <c r="M234">
        <v>82067.155453695828</v>
      </c>
      <c r="N234" s="82">
        <v>93</v>
      </c>
      <c r="O234">
        <v>98.396435788662274</v>
      </c>
      <c r="P2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34" t="str">
        <f t="shared" ca="1" si="19"/>
        <v>Billboards</v>
      </c>
      <c r="R234" s="46">
        <f>automotive_demand_forecasting_dataset5678[[#This Row],[Units_Sold]]*automotive_demand_forecasting_dataset5678[[#This Row],[Average_Price]]</f>
        <v>3194883.964042637</v>
      </c>
      <c r="S234" t="str">
        <f t="shared" ca="1" si="20"/>
        <v>OK</v>
      </c>
    </row>
    <row r="235" spans="1:19">
      <c r="A235" s="1">
        <v>48725</v>
      </c>
      <c r="B235" t="s">
        <v>11</v>
      </c>
      <c r="C235" t="str">
        <f>TEXT(automotive_demand_forecasting_dataset5678[[#This Row],[Date]],"mmmm")</f>
        <v>May</v>
      </c>
      <c r="D235" t="str">
        <f>CHOOSE(MATCH(MONTH(A235), {1,4,7,10}), "Winter", "Spring", "Summer", "Autumn")</f>
        <v>Spring</v>
      </c>
      <c r="E235">
        <f>YEAR(automotive_demand_forecasting_dataset5678[[#This Row],[Date]])</f>
        <v>2033</v>
      </c>
      <c r="F235">
        <v>91</v>
      </c>
      <c r="G235">
        <f>(automotive_demand_forecasting_dataset5678[[#This Row],[Units_Sold]] -$C$4) / $C$5</f>
        <v>-0.85020007688924482</v>
      </c>
      <c r="H235" s="47" t="str">
        <f t="shared" ca="1" si="18"/>
        <v>South</v>
      </c>
      <c r="I235">
        <v>25043.038252718463</v>
      </c>
      <c r="J235">
        <v>3.7898165866067877</v>
      </c>
      <c r="K235">
        <v>2.3241455955679289</v>
      </c>
      <c r="L235">
        <v>4.4106925838236961</v>
      </c>
      <c r="M235">
        <v>116839.67390904254</v>
      </c>
      <c r="N235" s="82">
        <v>87</v>
      </c>
      <c r="O235">
        <v>98.848058716224031</v>
      </c>
      <c r="P2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35" t="str">
        <f t="shared" ca="1" si="19"/>
        <v>Billboards</v>
      </c>
      <c r="R235" s="46">
        <f>automotive_demand_forecasting_dataset5678[[#This Row],[Units_Sold]]*automotive_demand_forecasting_dataset5678[[#This Row],[Average_Price]]</f>
        <v>2278916.4809973803</v>
      </c>
      <c r="S235" t="str">
        <f t="shared" ca="1" si="20"/>
        <v>OK</v>
      </c>
    </row>
    <row r="236" spans="1:19">
      <c r="A236" s="1">
        <v>48755</v>
      </c>
      <c r="B236" t="s">
        <v>14</v>
      </c>
      <c r="C236" t="str">
        <f>TEXT(automotive_demand_forecasting_dataset5678[[#This Row],[Date]],"mmmm")</f>
        <v>June</v>
      </c>
      <c r="D236" t="str">
        <f>CHOOSE(MATCH(MONTH(A236), {1,4,7,10}), "Winter", "Spring", "Summer", "Autumn")</f>
        <v>Spring</v>
      </c>
      <c r="E236">
        <f>YEAR(automotive_demand_forecasting_dataset5678[[#This Row],[Date]])</f>
        <v>2033</v>
      </c>
      <c r="F236">
        <v>103</v>
      </c>
      <c r="G236">
        <f>(automotive_demand_forecasting_dataset5678[[#This Row],[Units_Sold]] -$C$4) / $C$5</f>
        <v>0.37900485355303726</v>
      </c>
      <c r="H236" s="47" t="str">
        <f t="shared" ca="1" si="18"/>
        <v>East</v>
      </c>
      <c r="I236">
        <v>19233.049431981424</v>
      </c>
      <c r="J236">
        <v>3.5380713799999999</v>
      </c>
      <c r="K236">
        <v>4.1614701657280184</v>
      </c>
      <c r="L236">
        <v>7.3231407083701221</v>
      </c>
      <c r="M236">
        <v>92615.855991051081</v>
      </c>
      <c r="N236" s="82">
        <v>81</v>
      </c>
      <c r="O236">
        <v>74.934288937930361</v>
      </c>
      <c r="P2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36" t="str">
        <f t="shared" ca="1" si="19"/>
        <v>Radio</v>
      </c>
      <c r="R236" s="46">
        <f>automotive_demand_forecasting_dataset5678[[#This Row],[Units_Sold]]*automotive_demand_forecasting_dataset5678[[#This Row],[Average_Price]]</f>
        <v>1981004.0914940867</v>
      </c>
      <c r="S236" t="str">
        <f t="shared" ca="1" si="20"/>
        <v>OK</v>
      </c>
    </row>
    <row r="237" spans="1:19">
      <c r="A237" s="1">
        <v>48785</v>
      </c>
      <c r="B237" t="s">
        <v>14</v>
      </c>
      <c r="C237" t="str">
        <f>TEXT(automotive_demand_forecasting_dataset5678[[#This Row],[Date]],"mmmm")</f>
        <v>July</v>
      </c>
      <c r="D237" t="str">
        <f>CHOOSE(MATCH(MONTH(A237), {1,4,7,10}), "Winter", "Spring", "Summer", "Autumn")</f>
        <v>Summer</v>
      </c>
      <c r="E237">
        <f>YEAR(automotive_demand_forecasting_dataset5678[[#This Row],[Date]])</f>
        <v>2033</v>
      </c>
      <c r="F237">
        <v>86</v>
      </c>
      <c r="G237">
        <f>(automotive_demand_forecasting_dataset5678[[#This Row],[Units_Sold]] -$C$4) / $C$5</f>
        <v>-1.3623687979068624</v>
      </c>
      <c r="H237" s="47" t="str">
        <f t="shared" ca="1" si="18"/>
        <v>West</v>
      </c>
      <c r="I237">
        <v>26805.191261552489</v>
      </c>
      <c r="J237">
        <v>4.5778345189999996</v>
      </c>
      <c r="K237">
        <v>2.5208864882959618</v>
      </c>
      <c r="L237">
        <v>6.1129505062331138</v>
      </c>
      <c r="M237">
        <v>41860.235613567173</v>
      </c>
      <c r="N237" s="82">
        <v>84</v>
      </c>
      <c r="O237">
        <v>39.489183358575545</v>
      </c>
      <c r="P2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37" t="str">
        <f t="shared" ca="1" si="19"/>
        <v>Online</v>
      </c>
      <c r="R237" s="46">
        <f>automotive_demand_forecasting_dataset5678[[#This Row],[Units_Sold]]*automotive_demand_forecasting_dataset5678[[#This Row],[Average_Price]]</f>
        <v>2305246.4484935142</v>
      </c>
      <c r="S237" t="str">
        <f t="shared" ca="1" si="20"/>
        <v>OK</v>
      </c>
    </row>
    <row r="238" spans="1:19">
      <c r="A238" s="1">
        <v>48815</v>
      </c>
      <c r="B238" t="s">
        <v>14</v>
      </c>
      <c r="C238" t="str">
        <f>TEXT(automotive_demand_forecasting_dataset5678[[#This Row],[Date]],"mmmm")</f>
        <v>August</v>
      </c>
      <c r="D238" t="str">
        <f>CHOOSE(MATCH(MONTH(A238), {1,4,7,10}), "Winter", "Spring", "Summer", "Autumn")</f>
        <v>Summer</v>
      </c>
      <c r="E238">
        <f>YEAR(automotive_demand_forecasting_dataset5678[[#This Row],[Date]])</f>
        <v>2033</v>
      </c>
      <c r="F238">
        <v>101</v>
      </c>
      <c r="G238">
        <f>(automotive_demand_forecasting_dataset5678[[#This Row],[Units_Sold]] -$C$4) / $C$5</f>
        <v>0.17413736514599024</v>
      </c>
      <c r="H238" s="47" t="str">
        <f t="shared" ca="1" si="18"/>
        <v>East</v>
      </c>
      <c r="I238">
        <v>23384.55103296251</v>
      </c>
      <c r="J238">
        <v>3.3234168535946558</v>
      </c>
      <c r="K238">
        <v>2.7307009057186833</v>
      </c>
      <c r="L238">
        <v>6.7366967027488691</v>
      </c>
      <c r="M238">
        <v>92503.558867563872</v>
      </c>
      <c r="N238" s="82">
        <v>93</v>
      </c>
      <c r="O238">
        <v>83.884467050447924</v>
      </c>
      <c r="P2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38" t="str">
        <f t="shared" ca="1" si="19"/>
        <v>TV</v>
      </c>
      <c r="R238" s="46">
        <f>automotive_demand_forecasting_dataset5678[[#This Row],[Units_Sold]]*automotive_demand_forecasting_dataset5678[[#This Row],[Average_Price]]</f>
        <v>2361839.6543292133</v>
      </c>
      <c r="S238" t="str">
        <f t="shared" ca="1" si="20"/>
        <v>OK</v>
      </c>
    </row>
    <row r="239" spans="1:19">
      <c r="A239" s="1">
        <v>48845</v>
      </c>
      <c r="B239" t="s">
        <v>10</v>
      </c>
      <c r="C239" t="str">
        <f>TEXT(automotive_demand_forecasting_dataset5678[[#This Row],[Date]],"mmmm")</f>
        <v>September</v>
      </c>
      <c r="D239" t="str">
        <f>CHOOSE(MATCH(MONTH(A239), {1,4,7,10}), "Winter", "Spring", "Summer", "Autumn")</f>
        <v>Summer</v>
      </c>
      <c r="E239">
        <f>YEAR(automotive_demand_forecasting_dataset5678[[#This Row],[Date]])</f>
        <v>2033</v>
      </c>
      <c r="F239">
        <v>101</v>
      </c>
      <c r="G239">
        <f>(automotive_demand_forecasting_dataset5678[[#This Row],[Units_Sold]] -$C$4) / $C$5</f>
        <v>0.17413736514599024</v>
      </c>
      <c r="H239" s="47" t="str">
        <f t="shared" ca="1" si="18"/>
        <v>South</v>
      </c>
      <c r="I239">
        <v>38210.075800681843</v>
      </c>
      <c r="J239">
        <v>4.5778345189999996</v>
      </c>
      <c r="K239">
        <v>1.2398352348274198</v>
      </c>
      <c r="L239">
        <v>4.7105985353774358</v>
      </c>
      <c r="M239">
        <v>79229.123583120556</v>
      </c>
      <c r="N239" s="82">
        <v>86</v>
      </c>
      <c r="O239">
        <v>28.562330736883048</v>
      </c>
      <c r="P2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39" t="str">
        <f t="shared" ca="1" si="19"/>
        <v>Billboards</v>
      </c>
      <c r="R239" s="46">
        <f>automotive_demand_forecasting_dataset5678[[#This Row],[Units_Sold]]*automotive_demand_forecasting_dataset5678[[#This Row],[Average_Price]]</f>
        <v>3859217.655868866</v>
      </c>
      <c r="S239" t="str">
        <f t="shared" ca="1" si="20"/>
        <v>OK</v>
      </c>
    </row>
    <row r="240" spans="1:19">
      <c r="A240" s="1">
        <v>48875</v>
      </c>
      <c r="B240" t="s">
        <v>10</v>
      </c>
      <c r="C240" t="str">
        <f>TEXT(automotive_demand_forecasting_dataset5678[[#This Row],[Date]],"mmmm")</f>
        <v>October</v>
      </c>
      <c r="D240" t="str">
        <f>CHOOSE(MATCH(MONTH(A240), {1,4,7,10}), "Winter", "Spring", "Summer", "Autumn")</f>
        <v>Autumn</v>
      </c>
      <c r="E240">
        <f>YEAR(automotive_demand_forecasting_dataset5678[[#This Row],[Date]])</f>
        <v>2033</v>
      </c>
      <c r="F240">
        <v>101</v>
      </c>
      <c r="G240">
        <f>(automotive_demand_forecasting_dataset5678[[#This Row],[Units_Sold]] -$C$4) / $C$5</f>
        <v>0.17413736514599024</v>
      </c>
      <c r="H240" s="47" t="str">
        <f t="shared" ca="1" si="18"/>
        <v>South</v>
      </c>
      <c r="I240">
        <v>35049.085446713172</v>
      </c>
      <c r="J240">
        <v>3.3522992949304853</v>
      </c>
      <c r="K240">
        <v>1.8836385919605225</v>
      </c>
      <c r="L240">
        <v>6.5254302724799391</v>
      </c>
      <c r="M240">
        <v>67374.483690781082</v>
      </c>
      <c r="N240" s="82">
        <v>81</v>
      </c>
      <c r="O240">
        <v>82.455944333730287</v>
      </c>
      <c r="P2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40" t="str">
        <f t="shared" ca="1" si="19"/>
        <v>Radio</v>
      </c>
      <c r="R240" s="46">
        <f>automotive_demand_forecasting_dataset5678[[#This Row],[Units_Sold]]*automotive_demand_forecasting_dataset5678[[#This Row],[Average_Price]]</f>
        <v>3539957.6301180306</v>
      </c>
      <c r="S240" t="str">
        <f t="shared" ca="1" si="20"/>
        <v>OK</v>
      </c>
    </row>
    <row r="241" spans="1:19">
      <c r="A241" s="1">
        <v>48905</v>
      </c>
      <c r="B241" t="s">
        <v>10</v>
      </c>
      <c r="C241" t="str">
        <f>TEXT(automotive_demand_forecasting_dataset5678[[#This Row],[Date]],"mmmm")</f>
        <v>November</v>
      </c>
      <c r="D241" t="str">
        <f>CHOOSE(MATCH(MONTH(A241), {1,4,7,10}), "Winter", "Spring", "Summer", "Autumn")</f>
        <v>Autumn</v>
      </c>
      <c r="E241">
        <f>YEAR(automotive_demand_forecasting_dataset5678[[#This Row],[Date]])</f>
        <v>2033</v>
      </c>
      <c r="F241">
        <v>113</v>
      </c>
      <c r="G241">
        <f>(automotive_demand_forecasting_dataset5678[[#This Row],[Units_Sold]] -$C$4) / $C$5</f>
        <v>1.4033422955882724</v>
      </c>
      <c r="H241" s="47" t="str">
        <f t="shared" ca="1" si="18"/>
        <v>South</v>
      </c>
      <c r="I241">
        <v>26559.248274111382</v>
      </c>
      <c r="J241">
        <v>4.5778345189999996</v>
      </c>
      <c r="K241">
        <v>2.1248036196760629</v>
      </c>
      <c r="L241">
        <v>4.1896793195256254</v>
      </c>
      <c r="M241">
        <v>75251.467235548553</v>
      </c>
      <c r="N241" s="82">
        <v>99</v>
      </c>
      <c r="O241">
        <v>92.815689931575719</v>
      </c>
      <c r="P2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41" t="str">
        <f t="shared" ca="1" si="19"/>
        <v>Radio</v>
      </c>
      <c r="R241" s="46">
        <f>automotive_demand_forecasting_dataset5678[[#This Row],[Units_Sold]]*automotive_demand_forecasting_dataset5678[[#This Row],[Average_Price]]</f>
        <v>3001195.0549745862</v>
      </c>
      <c r="S241" t="str">
        <f t="shared" ca="1" si="20"/>
        <v>OK</v>
      </c>
    </row>
    <row r="242" spans="1:19">
      <c r="A242" s="1">
        <v>48935</v>
      </c>
      <c r="B242" t="s">
        <v>14</v>
      </c>
      <c r="C242" t="str">
        <f>TEXT(automotive_demand_forecasting_dataset5678[[#This Row],[Date]],"mmmm")</f>
        <v>December</v>
      </c>
      <c r="D242" t="str">
        <f>CHOOSE(MATCH(MONTH(A242), {1,4,7,10}), "Winter", "Spring", "Summer", "Autumn")</f>
        <v>Autumn</v>
      </c>
      <c r="E242">
        <f>YEAR(automotive_demand_forecasting_dataset5678[[#This Row],[Date]])</f>
        <v>2033</v>
      </c>
      <c r="F242">
        <v>87</v>
      </c>
      <c r="G242">
        <f>(automotive_demand_forecasting_dataset5678[[#This Row],[Units_Sold]] -$C$4) / $C$5</f>
        <v>-1.2599350537033389</v>
      </c>
      <c r="H242" s="47" t="str">
        <f t="shared" ca="1" si="18"/>
        <v>West</v>
      </c>
      <c r="I242">
        <v>41262.17902672154</v>
      </c>
      <c r="J242">
        <v>4.1587987678039795</v>
      </c>
      <c r="K242">
        <v>2.1822849032437661</v>
      </c>
      <c r="L242">
        <v>6.5682970010038106</v>
      </c>
      <c r="M242">
        <v>102188.1694366594</v>
      </c>
      <c r="N242" s="82">
        <v>86</v>
      </c>
      <c r="O242">
        <v>50.626671581474824</v>
      </c>
      <c r="P2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42" t="str">
        <f t="shared" ca="1" si="19"/>
        <v>TV</v>
      </c>
      <c r="R242" s="46">
        <f>automotive_demand_forecasting_dataset5678[[#This Row],[Units_Sold]]*automotive_demand_forecasting_dataset5678[[#This Row],[Average_Price]]</f>
        <v>3589809.5753247738</v>
      </c>
      <c r="S242" t="str">
        <f t="shared" ca="1" si="20"/>
        <v>OK</v>
      </c>
    </row>
    <row r="243" spans="1:19">
      <c r="A243" s="1">
        <v>48965</v>
      </c>
      <c r="B243" t="s">
        <v>11</v>
      </c>
      <c r="C243" t="str">
        <f>TEXT(automotive_demand_forecasting_dataset5678[[#This Row],[Date]],"mmmm")</f>
        <v>January</v>
      </c>
      <c r="D243" t="str">
        <f>CHOOSE(MATCH(MONTH(A243), {1,4,7,10}), "Winter", "Spring", "Summer", "Autumn")</f>
        <v>Winter</v>
      </c>
      <c r="E243">
        <f>YEAR(automotive_demand_forecasting_dataset5678[[#This Row],[Date]])</f>
        <v>2034</v>
      </c>
      <c r="F243">
        <v>108</v>
      </c>
      <c r="G243">
        <f>(automotive_demand_forecasting_dataset5678[[#This Row],[Units_Sold]] -$C$4) / $C$5</f>
        <v>0.89117357457065483</v>
      </c>
      <c r="H243" s="47" t="str">
        <f t="shared" ca="1" si="18"/>
        <v>West</v>
      </c>
      <c r="I243">
        <v>34908.827434957973</v>
      </c>
      <c r="J243">
        <v>2.9967287173601793</v>
      </c>
      <c r="K243">
        <v>3.7816437950037685</v>
      </c>
      <c r="L243">
        <v>5.7062072077522377</v>
      </c>
      <c r="M243">
        <f>128897.2893</f>
        <v>128897.2893</v>
      </c>
      <c r="N243" s="82">
        <v>85</v>
      </c>
      <c r="O243">
        <v>70.450823598646437</v>
      </c>
      <c r="P2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43" t="str">
        <f t="shared" ca="1" si="19"/>
        <v>Print</v>
      </c>
      <c r="R243" s="46">
        <f>automotive_demand_forecasting_dataset5678[[#This Row],[Units_Sold]]*automotive_demand_forecasting_dataset5678[[#This Row],[Average_Price]]</f>
        <v>3770153.3629754609</v>
      </c>
      <c r="S243" t="str">
        <f t="shared" ca="1" si="20"/>
        <v>OK</v>
      </c>
    </row>
    <row r="244" spans="1:19">
      <c r="A244" s="1">
        <v>48995</v>
      </c>
      <c r="B244" t="s">
        <v>10</v>
      </c>
      <c r="C244" t="str">
        <f>TEXT(automotive_demand_forecasting_dataset5678[[#This Row],[Date]],"mmmm")</f>
        <v>February</v>
      </c>
      <c r="D244" t="str">
        <f>CHOOSE(MATCH(MONTH(A244), {1,4,7,10}), "Winter", "Spring", "Summer", "Autumn")</f>
        <v>Winter</v>
      </c>
      <c r="E244">
        <f>YEAR(automotive_demand_forecasting_dataset5678[[#This Row],[Date]])</f>
        <v>2034</v>
      </c>
      <c r="F244">
        <v>100</v>
      </c>
      <c r="G244">
        <f>(automotive_demand_forecasting_dataset5678[[#This Row],[Units_Sold]] -$C$4) / $C$5</f>
        <v>7.1703620942466739E-2</v>
      </c>
      <c r="H244" s="47" t="str">
        <f t="shared" ca="1" si="18"/>
        <v>East</v>
      </c>
      <c r="I244">
        <v>30949.702720000001</v>
      </c>
      <c r="J244">
        <v>4.0699392805645225</v>
      </c>
      <c r="K244">
        <v>3.0576910607251246</v>
      </c>
      <c r="L244">
        <v>6.1639014639817402</v>
      </c>
      <c r="M244">
        <v>106263.6894772996</v>
      </c>
      <c r="N244" s="82">
        <v>93</v>
      </c>
      <c r="O244">
        <v>54.411418567746104</v>
      </c>
      <c r="P2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44" t="str">
        <f t="shared" ca="1" si="19"/>
        <v>Billboards</v>
      </c>
      <c r="R244" s="46">
        <f>automotive_demand_forecasting_dataset5678[[#This Row],[Units_Sold]]*automotive_demand_forecasting_dataset5678[[#This Row],[Average_Price]]</f>
        <v>3094970.2719999999</v>
      </c>
      <c r="S244" t="str">
        <f t="shared" ca="1" si="20"/>
        <v>OK</v>
      </c>
    </row>
    <row r="245" spans="1:19">
      <c r="A245" s="1">
        <v>49025</v>
      </c>
      <c r="B245" t="s">
        <v>12</v>
      </c>
      <c r="C245" t="str">
        <f>TEXT(automotive_demand_forecasting_dataset5678[[#This Row],[Date]],"mmmm")</f>
        <v>March</v>
      </c>
      <c r="D245" t="str">
        <f>CHOOSE(MATCH(MONTH(A245), {1,4,7,10}), "Winter", "Spring", "Summer", "Autumn")</f>
        <v>Winter</v>
      </c>
      <c r="E245">
        <f>YEAR(automotive_demand_forecasting_dataset5678[[#This Row],[Date]])</f>
        <v>2034</v>
      </c>
      <c r="F245">
        <v>87</v>
      </c>
      <c r="G245">
        <f>(automotive_demand_forecasting_dataset5678[[#This Row],[Units_Sold]] -$C$4) / $C$5</f>
        <v>-1.2599350537033389</v>
      </c>
      <c r="H245" s="47" t="str">
        <f t="shared" ca="1" si="18"/>
        <v>East</v>
      </c>
      <c r="I245">
        <v>17502.971425632135</v>
      </c>
      <c r="J245">
        <v>4.1585575336699323</v>
      </c>
      <c r="K245">
        <v>1.388542043062968</v>
      </c>
      <c r="L245">
        <v>4.0892864732501781</v>
      </c>
      <c r="M245">
        <v>87869.932235685206</v>
      </c>
      <c r="N245" s="82">
        <v>87</v>
      </c>
      <c r="O245">
        <v>55.021204399050276</v>
      </c>
      <c r="P2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45" t="str">
        <f t="shared" ca="1" si="19"/>
        <v>Print</v>
      </c>
      <c r="R245" s="46">
        <f>automotive_demand_forecasting_dataset5678[[#This Row],[Units_Sold]]*automotive_demand_forecasting_dataset5678[[#This Row],[Average_Price]]</f>
        <v>1522758.5140299958</v>
      </c>
      <c r="S245" t="str">
        <f t="shared" ca="1" si="20"/>
        <v>OK</v>
      </c>
    </row>
    <row r="246" spans="1:19">
      <c r="A246" s="1">
        <v>49055</v>
      </c>
      <c r="B246" t="s">
        <v>12</v>
      </c>
      <c r="C246" t="str">
        <f>TEXT(automotive_demand_forecasting_dataset5678[[#This Row],[Date]],"mmmm")</f>
        <v>April</v>
      </c>
      <c r="D246" t="str">
        <f>CHOOSE(MATCH(MONTH(A246), {1,4,7,10}), "Winter", "Spring", "Summer", "Autumn")</f>
        <v>Spring</v>
      </c>
      <c r="E246">
        <f>YEAR(automotive_demand_forecasting_dataset5678[[#This Row],[Date]])</f>
        <v>2034</v>
      </c>
      <c r="F246">
        <v>96</v>
      </c>
      <c r="G246">
        <f>(automotive_demand_forecasting_dataset5678[[#This Row],[Units_Sold]] -$C$4) / $C$5</f>
        <v>-0.33803135587162725</v>
      </c>
      <c r="H246" s="47" t="str">
        <f t="shared" ca="1" si="18"/>
        <v>South</v>
      </c>
      <c r="I246">
        <v>41454.712862953711</v>
      </c>
      <c r="J246">
        <v>3.4409657365044608</v>
      </c>
      <c r="K246">
        <v>2.7465047784320049</v>
      </c>
      <c r="L246">
        <v>4.4259161892680741</v>
      </c>
      <c r="M246">
        <v>109118.08390341405</v>
      </c>
      <c r="N246" s="82">
        <v>78</v>
      </c>
      <c r="O246">
        <v>65.454227669999995</v>
      </c>
      <c r="P2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46" t="str">
        <f t="shared" ca="1" si="19"/>
        <v>Online</v>
      </c>
      <c r="R246" s="46">
        <f>automotive_demand_forecasting_dataset5678[[#This Row],[Units_Sold]]*automotive_demand_forecasting_dataset5678[[#This Row],[Average_Price]]</f>
        <v>3979652.434843556</v>
      </c>
      <c r="S246" t="str">
        <f t="shared" ca="1" si="20"/>
        <v>OK</v>
      </c>
    </row>
    <row r="247" spans="1:19">
      <c r="A247" s="1">
        <v>49085</v>
      </c>
      <c r="B247" t="s">
        <v>12</v>
      </c>
      <c r="C247" t="str">
        <f>TEXT(automotive_demand_forecasting_dataset5678[[#This Row],[Date]],"mmmm")</f>
        <v>May</v>
      </c>
      <c r="D247" t="str">
        <f>CHOOSE(MATCH(MONTH(A247), {1,4,7,10}), "Winter", "Spring", "Summer", "Autumn")</f>
        <v>Spring</v>
      </c>
      <c r="E247">
        <f>YEAR(automotive_demand_forecasting_dataset5678[[#This Row],[Date]])</f>
        <v>2034</v>
      </c>
      <c r="F247">
        <v>97</v>
      </c>
      <c r="G247">
        <f>(automotive_demand_forecasting_dataset5678[[#This Row],[Units_Sold]] -$C$4) / $C$5</f>
        <v>-0.23559761166810378</v>
      </c>
      <c r="H247" s="47" t="str">
        <f t="shared" ca="1" si="18"/>
        <v>South</v>
      </c>
      <c r="I247">
        <v>23052.137666182018</v>
      </c>
      <c r="J247">
        <v>2.4390725504957027</v>
      </c>
      <c r="K247">
        <v>2.998221748496785</v>
      </c>
      <c r="L247">
        <v>6.216673861904062</v>
      </c>
      <c r="M247">
        <f>128897.2893</f>
        <v>128897.2893</v>
      </c>
      <c r="N247" s="82">
        <v>75</v>
      </c>
      <c r="O247">
        <v>80.970369636025964</v>
      </c>
      <c r="P2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47" t="str">
        <f t="shared" ca="1" si="19"/>
        <v>Radio</v>
      </c>
      <c r="R247" s="46">
        <f>automotive_demand_forecasting_dataset5678[[#This Row],[Units_Sold]]*automotive_demand_forecasting_dataset5678[[#This Row],[Average_Price]]</f>
        <v>2236057.3536196556</v>
      </c>
      <c r="S247" t="str">
        <f t="shared" ca="1" si="20"/>
        <v>OK</v>
      </c>
    </row>
    <row r="248" spans="1:19">
      <c r="A248" s="1">
        <v>49115</v>
      </c>
      <c r="B248" t="s">
        <v>13</v>
      </c>
      <c r="C248" t="str">
        <f>TEXT(automotive_demand_forecasting_dataset5678[[#This Row],[Date]],"mmmm")</f>
        <v>June</v>
      </c>
      <c r="D248" t="str">
        <f>CHOOSE(MATCH(MONTH(A248), {1,4,7,10}), "Winter", "Spring", "Summer", "Autumn")</f>
        <v>Spring</v>
      </c>
      <c r="E248">
        <f>YEAR(automotive_demand_forecasting_dataset5678[[#This Row],[Date]])</f>
        <v>2034</v>
      </c>
      <c r="F248">
        <v>116</v>
      </c>
      <c r="G248">
        <f>(automotive_demand_forecasting_dataset5678[[#This Row],[Units_Sold]] -$C$4) / $C$5</f>
        <v>1.7106435281988428</v>
      </c>
      <c r="H248" s="47" t="str">
        <f t="shared" ca="1" si="18"/>
        <v>West</v>
      </c>
      <c r="I248">
        <v>38106.295579999998</v>
      </c>
      <c r="J248">
        <v>3.1960890064527838</v>
      </c>
      <c r="K248">
        <v>3.6401490385212663</v>
      </c>
      <c r="L248">
        <v>4.3619823949309593</v>
      </c>
      <c r="M248">
        <v>86107.992616737116</v>
      </c>
      <c r="N248" s="82">
        <v>77</v>
      </c>
      <c r="O248">
        <v>94.894125133320415</v>
      </c>
      <c r="P2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48" t="str">
        <f t="shared" ca="1" si="19"/>
        <v>Online</v>
      </c>
      <c r="R248" s="46">
        <f>automotive_demand_forecasting_dataset5678[[#This Row],[Units_Sold]]*automotive_demand_forecasting_dataset5678[[#This Row],[Average_Price]]</f>
        <v>4420330.2872799998</v>
      </c>
      <c r="S248" t="str">
        <f t="shared" ca="1" si="20"/>
        <v>OK</v>
      </c>
    </row>
    <row r="249" spans="1:19">
      <c r="A249" s="1">
        <v>49145</v>
      </c>
      <c r="B249" t="s">
        <v>14</v>
      </c>
      <c r="C249" t="str">
        <f>TEXT(automotive_demand_forecasting_dataset5678[[#This Row],[Date]],"mmmm")</f>
        <v>July</v>
      </c>
      <c r="D249" t="str">
        <f>CHOOSE(MATCH(MONTH(A249), {1,4,7,10}), "Winter", "Spring", "Summer", "Autumn")</f>
        <v>Summer</v>
      </c>
      <c r="E249">
        <f>YEAR(automotive_demand_forecasting_dataset5678[[#This Row],[Date]])</f>
        <v>2034</v>
      </c>
      <c r="F249">
        <v>100</v>
      </c>
      <c r="G249">
        <f>(automotive_demand_forecasting_dataset5678[[#This Row],[Units_Sold]] -$C$4) / $C$5</f>
        <v>7.1703620942466739E-2</v>
      </c>
      <c r="H249" s="47" t="str">
        <f t="shared" ca="1" si="18"/>
        <v>South</v>
      </c>
      <c r="I249">
        <v>35112.852160048198</v>
      </c>
      <c r="J249">
        <v>4.1484972732805545</v>
      </c>
      <c r="K249">
        <f t="shared" ref="K249" si="26">3.224108373</f>
        <v>3.224108373</v>
      </c>
      <c r="L249">
        <v>6.0558475505189477</v>
      </c>
      <c r="M249">
        <v>76912.746635340314</v>
      </c>
      <c r="N249" s="82">
        <f>111.9136842</f>
        <v>111.91368420000001</v>
      </c>
      <c r="O249">
        <v>95.260068738756885</v>
      </c>
      <c r="P2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49" t="str">
        <f t="shared" ca="1" si="19"/>
        <v>Radio</v>
      </c>
      <c r="R249" s="46">
        <f>automotive_demand_forecasting_dataset5678[[#This Row],[Units_Sold]]*automotive_demand_forecasting_dataset5678[[#This Row],[Average_Price]]</f>
        <v>3511285.2160048196</v>
      </c>
      <c r="S249" t="str">
        <f t="shared" ca="1" si="20"/>
        <v>OK</v>
      </c>
    </row>
    <row r="250" spans="1:19">
      <c r="A250" s="1">
        <v>49175</v>
      </c>
      <c r="B250" t="s">
        <v>12</v>
      </c>
      <c r="C250" t="str">
        <f>TEXT(automotive_demand_forecasting_dataset5678[[#This Row],[Date]],"mmmm")</f>
        <v>August</v>
      </c>
      <c r="D250" t="str">
        <f>CHOOSE(MATCH(MONTH(A250), {1,4,7,10}), "Winter", "Spring", "Summer", "Autumn")</f>
        <v>Summer</v>
      </c>
      <c r="E250">
        <f>YEAR(automotive_demand_forecasting_dataset5678[[#This Row],[Date]])</f>
        <v>2034</v>
      </c>
      <c r="F250">
        <v>97</v>
      </c>
      <c r="G250">
        <f>(automotive_demand_forecasting_dataset5678[[#This Row],[Units_Sold]] -$C$4) / $C$5</f>
        <v>-0.23559761166810378</v>
      </c>
      <c r="H250" s="47" t="str">
        <f t="shared" ca="1" si="18"/>
        <v>East</v>
      </c>
      <c r="I250">
        <v>42198.762031696366</v>
      </c>
      <c r="J250">
        <v>3.4885659688505588</v>
      </c>
      <c r="K250">
        <v>1.4849058081721314</v>
      </c>
      <c r="L250">
        <v>5.616047043</v>
      </c>
      <c r="M250">
        <v>64963.423864965618</v>
      </c>
      <c r="N250" s="82">
        <v>90</v>
      </c>
      <c r="O250">
        <v>33.982502789994705</v>
      </c>
      <c r="P2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50" t="str">
        <f t="shared" ca="1" si="19"/>
        <v>Radio</v>
      </c>
      <c r="R250" s="46">
        <f>automotive_demand_forecasting_dataset5678[[#This Row],[Units_Sold]]*automotive_demand_forecasting_dataset5678[[#This Row],[Average_Price]]</f>
        <v>4093279.9170745476</v>
      </c>
      <c r="S250" t="str">
        <f t="shared" ca="1" si="20"/>
        <v>OK</v>
      </c>
    </row>
    <row r="251" spans="1:19">
      <c r="A251" s="1">
        <v>49205</v>
      </c>
      <c r="B251" t="s">
        <v>14</v>
      </c>
      <c r="C251" t="str">
        <f>TEXT(automotive_demand_forecasting_dataset5678[[#This Row],[Date]],"mmmm")</f>
        <v>September</v>
      </c>
      <c r="D251" t="str">
        <f>CHOOSE(MATCH(MONTH(A251), {1,4,7,10}), "Winter", "Spring", "Summer", "Autumn")</f>
        <v>Summer</v>
      </c>
      <c r="E251">
        <f>YEAR(automotive_demand_forecasting_dataset5678[[#This Row],[Date]])</f>
        <v>2034</v>
      </c>
      <c r="F251">
        <v>100</v>
      </c>
      <c r="G251">
        <f>(automotive_demand_forecasting_dataset5678[[#This Row],[Units_Sold]] -$C$4) / $C$5</f>
        <v>7.1703620942466739E-2</v>
      </c>
      <c r="H251" s="47" t="str">
        <f t="shared" ca="1" si="18"/>
        <v>East</v>
      </c>
      <c r="I251">
        <v>36921.364092552591</v>
      </c>
      <c r="J251">
        <v>3.0003488838525447</v>
      </c>
      <c r="K251">
        <v>1.6891424887896618</v>
      </c>
      <c r="L251">
        <v>6.5178090552000016</v>
      </c>
      <c r="M251">
        <f>128897.2893</f>
        <v>128897.2893</v>
      </c>
      <c r="N251" s="82">
        <v>97</v>
      </c>
      <c r="O251">
        <v>89.979491972525281</v>
      </c>
      <c r="P2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51" t="str">
        <f t="shared" ca="1" si="19"/>
        <v>Print</v>
      </c>
      <c r="R251" s="46">
        <f>automotive_demand_forecasting_dataset5678[[#This Row],[Units_Sold]]*automotive_demand_forecasting_dataset5678[[#This Row],[Average_Price]]</f>
        <v>3692136.4092552592</v>
      </c>
      <c r="S251" t="str">
        <f t="shared" ca="1" si="20"/>
        <v>OK</v>
      </c>
    </row>
    <row r="252" spans="1:19">
      <c r="A252" s="1">
        <v>49235</v>
      </c>
      <c r="B252" t="s">
        <v>12</v>
      </c>
      <c r="C252" t="str">
        <f>TEXT(automotive_demand_forecasting_dataset5678[[#This Row],[Date]],"mmmm")</f>
        <v>October</v>
      </c>
      <c r="D252" t="str">
        <f>CHOOSE(MATCH(MONTH(A252), {1,4,7,10}), "Winter", "Spring", "Summer", "Autumn")</f>
        <v>Autumn</v>
      </c>
      <c r="E252">
        <f>YEAR(automotive_demand_forecasting_dataset5678[[#This Row],[Date]])</f>
        <v>2034</v>
      </c>
      <c r="F252">
        <v>99</v>
      </c>
      <c r="G252">
        <f>(automotive_demand_forecasting_dataset5678[[#This Row],[Units_Sold]] -$C$4) / $C$5</f>
        <v>-3.0730123261056761E-2</v>
      </c>
      <c r="H252" s="47" t="str">
        <f t="shared" ca="1" si="18"/>
        <v>South</v>
      </c>
      <c r="I252">
        <v>32819.545600261801</v>
      </c>
      <c r="J252">
        <v>3.2476125393858912</v>
      </c>
      <c r="K252">
        <v>1.2424221410853837</v>
      </c>
      <c r="L252">
        <v>4.0209720222777889</v>
      </c>
      <c r="M252">
        <v>103161.06979840263</v>
      </c>
      <c r="N252" s="82">
        <v>103</v>
      </c>
      <c r="O252">
        <v>78.994515314169774</v>
      </c>
      <c r="P2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52" t="str">
        <f t="shared" ca="1" si="19"/>
        <v>Online</v>
      </c>
      <c r="R252" s="46">
        <f>automotive_demand_forecasting_dataset5678[[#This Row],[Units_Sold]]*automotive_demand_forecasting_dataset5678[[#This Row],[Average_Price]]</f>
        <v>3249135.0144259185</v>
      </c>
      <c r="S252" t="str">
        <f t="shared" ca="1" si="20"/>
        <v>OK</v>
      </c>
    </row>
    <row r="253" spans="1:19">
      <c r="A253" s="1">
        <v>49265</v>
      </c>
      <c r="B253" t="s">
        <v>11</v>
      </c>
      <c r="C253" t="str">
        <f>TEXT(automotive_demand_forecasting_dataset5678[[#This Row],[Date]],"mmmm")</f>
        <v>November</v>
      </c>
      <c r="D253" t="str">
        <f>CHOOSE(MATCH(MONTH(A253), {1,4,7,10}), "Winter", "Spring", "Summer", "Autumn")</f>
        <v>Autumn</v>
      </c>
      <c r="E253">
        <f>YEAR(automotive_demand_forecasting_dataset5678[[#This Row],[Date]])</f>
        <v>2034</v>
      </c>
      <c r="F253">
        <v>100</v>
      </c>
      <c r="G253">
        <f>(automotive_demand_forecasting_dataset5678[[#This Row],[Units_Sold]] -$C$4) / $C$5</f>
        <v>7.1703620942466739E-2</v>
      </c>
      <c r="H253" s="47" t="str">
        <f t="shared" ca="1" si="18"/>
        <v>East</v>
      </c>
      <c r="I253">
        <v>32973.771708326429</v>
      </c>
      <c r="J253">
        <v>3.9203100132522763</v>
      </c>
      <c r="K253">
        <v>2.2659801408930185</v>
      </c>
      <c r="L253">
        <v>6.1627599252154281</v>
      </c>
      <c r="M253">
        <v>98067.526599702207</v>
      </c>
      <c r="N253" s="82">
        <f>111.9136842</f>
        <v>111.91368420000001</v>
      </c>
      <c r="O253">
        <v>40.226992055223143</v>
      </c>
      <c r="P2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53" t="str">
        <f t="shared" ca="1" si="19"/>
        <v>TV</v>
      </c>
      <c r="R253" s="46">
        <f>automotive_demand_forecasting_dataset5678[[#This Row],[Units_Sold]]*automotive_demand_forecasting_dataset5678[[#This Row],[Average_Price]]</f>
        <v>3297377.1708326428</v>
      </c>
      <c r="S253" t="str">
        <f t="shared" ca="1" si="20"/>
        <v>OK</v>
      </c>
    </row>
    <row r="254" spans="1:19">
      <c r="A254" s="1">
        <v>49295</v>
      </c>
      <c r="B254" t="s">
        <v>14</v>
      </c>
      <c r="C254" t="str">
        <f>TEXT(automotive_demand_forecasting_dataset5678[[#This Row],[Date]],"mmmm")</f>
        <v>December</v>
      </c>
      <c r="D254" t="str">
        <f>CHOOSE(MATCH(MONTH(A254), {1,4,7,10}), "Winter", "Spring", "Summer", "Autumn")</f>
        <v>Autumn</v>
      </c>
      <c r="E254">
        <f>YEAR(automotive_demand_forecasting_dataset5678[[#This Row],[Date]])</f>
        <v>2034</v>
      </c>
      <c r="F254">
        <v>100</v>
      </c>
      <c r="G254">
        <f>(automotive_demand_forecasting_dataset5678[[#This Row],[Units_Sold]] -$C$4) / $C$5</f>
        <v>7.1703620942466739E-2</v>
      </c>
      <c r="H254" s="47" t="str">
        <f t="shared" ca="1" si="18"/>
        <v>East</v>
      </c>
      <c r="I254">
        <v>34267.077793901539</v>
      </c>
      <c r="J254">
        <v>4.5778345189999996</v>
      </c>
      <c r="K254">
        <v>2.9663583744463344</v>
      </c>
      <c r="L254">
        <v>6.2507571203752015</v>
      </c>
      <c r="M254">
        <v>91680.661441052827</v>
      </c>
      <c r="N254" s="82">
        <v>85</v>
      </c>
      <c r="O254">
        <v>25.382769033721164</v>
      </c>
      <c r="P2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54" t="str">
        <f t="shared" ca="1" si="19"/>
        <v>Radio</v>
      </c>
      <c r="R254" s="46">
        <f>automotive_demand_forecasting_dataset5678[[#This Row],[Units_Sold]]*automotive_demand_forecasting_dataset5678[[#This Row],[Average_Price]]</f>
        <v>3426707.7793901539</v>
      </c>
      <c r="S254" t="str">
        <f t="shared" ca="1" si="20"/>
        <v>OK</v>
      </c>
    </row>
    <row r="255" spans="1:19">
      <c r="A255" s="1">
        <v>49325</v>
      </c>
      <c r="B255" t="s">
        <v>12</v>
      </c>
      <c r="C255" t="str">
        <f>TEXT(automotive_demand_forecasting_dataset5678[[#This Row],[Date]],"mmmm")</f>
        <v>January</v>
      </c>
      <c r="D255" t="str">
        <f>CHOOSE(MATCH(MONTH(A255), {1,4,7,10}), "Winter", "Spring", "Summer", "Autumn")</f>
        <v>Winter</v>
      </c>
      <c r="E255">
        <f>YEAR(automotive_demand_forecasting_dataset5678[[#This Row],[Date]])</f>
        <v>2035</v>
      </c>
      <c r="F255">
        <v>82</v>
      </c>
      <c r="G255">
        <f>(automotive_demand_forecasting_dataset5678[[#This Row],[Units_Sold]] -$C$4) / $C$5</f>
        <v>-1.7721037747209563</v>
      </c>
      <c r="H255" s="47" t="str">
        <f t="shared" ca="1" si="18"/>
        <v>West</v>
      </c>
      <c r="I255">
        <v>33794.642948933826</v>
      </c>
      <c r="J255">
        <v>3.380533950415153</v>
      </c>
      <c r="K255">
        <v>2.6520564320000002</v>
      </c>
      <c r="L255">
        <v>4.6638738178845101</v>
      </c>
      <c r="M255">
        <v>81085.078786064376</v>
      </c>
      <c r="N255" s="82">
        <v>98</v>
      </c>
      <c r="O255">
        <v>41.439781350750238</v>
      </c>
      <c r="P2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55" t="str">
        <f t="shared" ca="1" si="19"/>
        <v>TV</v>
      </c>
      <c r="R255" s="46">
        <f>automotive_demand_forecasting_dataset5678[[#This Row],[Units_Sold]]*automotive_demand_forecasting_dataset5678[[#This Row],[Average_Price]]</f>
        <v>2771160.7218125737</v>
      </c>
      <c r="S255" t="str">
        <f t="shared" ca="1" si="20"/>
        <v>OK</v>
      </c>
    </row>
    <row r="256" spans="1:19">
      <c r="A256" s="1">
        <v>49355</v>
      </c>
      <c r="B256" t="s">
        <v>10</v>
      </c>
      <c r="C256" t="str">
        <f>TEXT(automotive_demand_forecasting_dataset5678[[#This Row],[Date]],"mmmm")</f>
        <v>February</v>
      </c>
      <c r="D256" t="str">
        <f>CHOOSE(MATCH(MONTH(A256), {1,4,7,10}), "Winter", "Spring", "Summer", "Autumn")</f>
        <v>Winter</v>
      </c>
      <c r="E256">
        <f>YEAR(automotive_demand_forecasting_dataset5678[[#This Row],[Date]])</f>
        <v>2035</v>
      </c>
      <c r="F256">
        <v>87</v>
      </c>
      <c r="G256">
        <f>(automotive_demand_forecasting_dataset5678[[#This Row],[Units_Sold]] -$C$4) / $C$5</f>
        <v>-1.2599350537033389</v>
      </c>
      <c r="H256" s="47" t="str">
        <f t="shared" ca="1" si="18"/>
        <v>South</v>
      </c>
      <c r="I256">
        <v>31405.95711984688</v>
      </c>
      <c r="J256">
        <v>3.3165877940926562</v>
      </c>
      <c r="K256">
        <v>2.4240489763574771</v>
      </c>
      <c r="L256">
        <v>6.1984318805016727</v>
      </c>
      <c r="M256">
        <v>112164.92383369937</v>
      </c>
      <c r="N256" s="82">
        <v>93</v>
      </c>
      <c r="O256">
        <v>92.97665894252205</v>
      </c>
      <c r="P2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56" t="str">
        <f t="shared" ca="1" si="19"/>
        <v>Billboards</v>
      </c>
      <c r="R256" s="46">
        <f>automotive_demand_forecasting_dataset5678[[#This Row],[Units_Sold]]*automotive_demand_forecasting_dataset5678[[#This Row],[Average_Price]]</f>
        <v>2732318.2694266788</v>
      </c>
      <c r="S256" t="str">
        <f t="shared" ca="1" si="20"/>
        <v>OK</v>
      </c>
    </row>
    <row r="257" spans="1:19">
      <c r="A257" s="1">
        <v>49385</v>
      </c>
      <c r="B257" t="s">
        <v>14</v>
      </c>
      <c r="C257" t="str">
        <f>TEXT(automotive_demand_forecasting_dataset5678[[#This Row],[Date]],"mmmm")</f>
        <v>March</v>
      </c>
      <c r="D257" t="str">
        <f>CHOOSE(MATCH(MONTH(A257), {1,4,7,10}), "Winter", "Spring", "Summer", "Autumn")</f>
        <v>Winter</v>
      </c>
      <c r="E257">
        <f>YEAR(automotive_demand_forecasting_dataset5678[[#This Row],[Date]])</f>
        <v>2035</v>
      </c>
      <c r="F257">
        <v>87</v>
      </c>
      <c r="G257">
        <f>(automotive_demand_forecasting_dataset5678[[#This Row],[Units_Sold]] -$C$4) / $C$5</f>
        <v>-1.2599350537033389</v>
      </c>
      <c r="H257" s="47" t="str">
        <f t="shared" ca="1" si="18"/>
        <v>North</v>
      </c>
      <c r="I257">
        <v>30521.005519759379</v>
      </c>
      <c r="J257">
        <v>3.304120925478089</v>
      </c>
      <c r="K257">
        <v>2.1801524767451559</v>
      </c>
      <c r="L257">
        <v>5.8125307160002668</v>
      </c>
      <c r="M257">
        <v>73657.361601068304</v>
      </c>
      <c r="N257" s="82">
        <v>69</v>
      </c>
      <c r="O257">
        <v>70.654293991661774</v>
      </c>
      <c r="P2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57" t="str">
        <f t="shared" ca="1" si="19"/>
        <v>TV</v>
      </c>
      <c r="R257" s="46">
        <f>automotive_demand_forecasting_dataset5678[[#This Row],[Units_Sold]]*automotive_demand_forecasting_dataset5678[[#This Row],[Average_Price]]</f>
        <v>2655327.4802190661</v>
      </c>
      <c r="S257" t="str">
        <f t="shared" ca="1" si="20"/>
        <v>OK</v>
      </c>
    </row>
    <row r="258" spans="1:19">
      <c r="A258" s="1">
        <v>49415</v>
      </c>
      <c r="B258" t="s">
        <v>13</v>
      </c>
      <c r="C258" t="str">
        <f>TEXT(automotive_demand_forecasting_dataset5678[[#This Row],[Date]],"mmmm")</f>
        <v>April</v>
      </c>
      <c r="D258" t="str">
        <f>CHOOSE(MATCH(MONTH(A258), {1,4,7,10}), "Winter", "Spring", "Summer", "Autumn")</f>
        <v>Spring</v>
      </c>
      <c r="E258">
        <f>YEAR(automotive_demand_forecasting_dataset5678[[#This Row],[Date]])</f>
        <v>2035</v>
      </c>
      <c r="F258">
        <v>90</v>
      </c>
      <c r="G258">
        <f>(automotive_demand_forecasting_dataset5678[[#This Row],[Units_Sold]] -$C$4) / $C$5</f>
        <v>-0.95263382109276828</v>
      </c>
      <c r="H258" s="47" t="str">
        <f t="shared" ca="1" si="18"/>
        <v>West</v>
      </c>
      <c r="I258">
        <v>29687.034360502388</v>
      </c>
      <c r="J258">
        <v>3.0387949077507486</v>
      </c>
      <c r="K258">
        <v>2.6517579922487404</v>
      </c>
      <c r="L258">
        <v>4.8533897725687138</v>
      </c>
      <c r="M258">
        <v>115520.5582768695</v>
      </c>
      <c r="N258" s="82">
        <v>89</v>
      </c>
      <c r="O258">
        <v>77.684372871829751</v>
      </c>
      <c r="P2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58" t="str">
        <f t="shared" ca="1" si="19"/>
        <v>TV</v>
      </c>
      <c r="R258" s="46">
        <f>automotive_demand_forecasting_dataset5678[[#This Row],[Units_Sold]]*automotive_demand_forecasting_dataset5678[[#This Row],[Average_Price]]</f>
        <v>2671833.0924452147</v>
      </c>
      <c r="S258" t="str">
        <f t="shared" ca="1" si="20"/>
        <v>OK</v>
      </c>
    </row>
    <row r="259" spans="1:19">
      <c r="A259" s="1">
        <v>49445</v>
      </c>
      <c r="B259" t="s">
        <v>10</v>
      </c>
      <c r="C259" t="str">
        <f>TEXT(automotive_demand_forecasting_dataset5678[[#This Row],[Date]],"mmmm")</f>
        <v>May</v>
      </c>
      <c r="D259" t="str">
        <f>CHOOSE(MATCH(MONTH(A259), {1,4,7,10}), "Winter", "Spring", "Summer", "Autumn")</f>
        <v>Spring</v>
      </c>
      <c r="E259">
        <f>YEAR(automotive_demand_forecasting_dataset5678[[#This Row],[Date]])</f>
        <v>2035</v>
      </c>
      <c r="F259">
        <v>115</v>
      </c>
      <c r="G259">
        <f>(automotive_demand_forecasting_dataset5678[[#This Row],[Units_Sold]] -$C$4) / $C$5</f>
        <v>1.6082097839953193</v>
      </c>
      <c r="H259" s="47" t="str">
        <f t="shared" ca="1" si="18"/>
        <v>East</v>
      </c>
      <c r="I259">
        <v>26230.17705566662</v>
      </c>
      <c r="J259">
        <v>3.5380713799999999</v>
      </c>
      <c r="K259">
        <v>1.6648570983699771</v>
      </c>
      <c r="L259">
        <f t="shared" ref="L259:L260" si="27">6.97388673</f>
        <v>6.9738867300000003</v>
      </c>
      <c r="M259">
        <v>79955.6596214655</v>
      </c>
      <c r="N259" s="82">
        <v>88</v>
      </c>
      <c r="O259">
        <v>40.572188088727671</v>
      </c>
      <c r="P2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59" t="str">
        <f t="shared" ca="1" si="19"/>
        <v>TV</v>
      </c>
      <c r="R259" s="46">
        <f>automotive_demand_forecasting_dataset5678[[#This Row],[Units_Sold]]*automotive_demand_forecasting_dataset5678[[#This Row],[Average_Price]]</f>
        <v>3016470.3614016613</v>
      </c>
      <c r="S259" t="str">
        <f t="shared" ca="1" si="20"/>
        <v>OK</v>
      </c>
    </row>
    <row r="260" spans="1:19">
      <c r="A260" s="1">
        <v>49475</v>
      </c>
      <c r="B260" t="s">
        <v>10</v>
      </c>
      <c r="C260" t="str">
        <f>TEXT(automotive_demand_forecasting_dataset5678[[#This Row],[Date]],"mmmm")</f>
        <v>June</v>
      </c>
      <c r="D260" t="str">
        <f>CHOOSE(MATCH(MONTH(A260), {1,4,7,10}), "Winter", "Spring", "Summer", "Autumn")</f>
        <v>Spring</v>
      </c>
      <c r="E260">
        <f>YEAR(automotive_demand_forecasting_dataset5678[[#This Row],[Date]])</f>
        <v>2035</v>
      </c>
      <c r="F260">
        <v>105</v>
      </c>
      <c r="G260">
        <f>(automotive_demand_forecasting_dataset5678[[#This Row],[Units_Sold]] -$C$4) / $C$5</f>
        <v>0.58387234196008431</v>
      </c>
      <c r="H260" s="47" t="str">
        <f t="shared" ca="1" si="18"/>
        <v>West</v>
      </c>
      <c r="I260">
        <v>28596.624615666129</v>
      </c>
      <c r="J260">
        <v>3.3388397653943303</v>
      </c>
      <c r="K260">
        <v>4.5895387216947734</v>
      </c>
      <c r="L260">
        <f t="shared" si="27"/>
        <v>6.9738867300000003</v>
      </c>
      <c r="M260">
        <v>84951.295252939308</v>
      </c>
      <c r="N260" s="82">
        <v>90</v>
      </c>
      <c r="O260">
        <v>77.551052445985619</v>
      </c>
      <c r="P2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60" t="str">
        <f t="shared" ca="1" si="19"/>
        <v>TV</v>
      </c>
      <c r="R260" s="46">
        <f>automotive_demand_forecasting_dataset5678[[#This Row],[Units_Sold]]*automotive_demand_forecasting_dataset5678[[#This Row],[Average_Price]]</f>
        <v>3002645.5846449435</v>
      </c>
      <c r="S260" t="str">
        <f t="shared" ca="1" si="20"/>
        <v>OK</v>
      </c>
    </row>
    <row r="261" spans="1:19">
      <c r="A261" s="1">
        <v>49505</v>
      </c>
      <c r="B261" t="s">
        <v>13</v>
      </c>
      <c r="C261" t="str">
        <f>TEXT(automotive_demand_forecasting_dataset5678[[#This Row],[Date]],"mmmm")</f>
        <v>July</v>
      </c>
      <c r="D261" t="str">
        <f>CHOOSE(MATCH(MONTH(A261), {1,4,7,10}), "Winter", "Spring", "Summer", "Autumn")</f>
        <v>Summer</v>
      </c>
      <c r="E261">
        <f>YEAR(automotive_demand_forecasting_dataset5678[[#This Row],[Date]])</f>
        <v>2035</v>
      </c>
      <c r="F261">
        <v>90</v>
      </c>
      <c r="G261">
        <f>(automotive_demand_forecasting_dataset5678[[#This Row],[Units_Sold]] -$C$4) / $C$5</f>
        <v>-0.95263382109276828</v>
      </c>
      <c r="H261" s="47" t="str">
        <f t="shared" ca="1" si="18"/>
        <v>East</v>
      </c>
      <c r="I261">
        <v>21535.21592902307</v>
      </c>
      <c r="J261">
        <v>4.108579260412748</v>
      </c>
      <c r="K261">
        <v>0.89233897288194131</v>
      </c>
      <c r="L261">
        <v>5.9195800567596324</v>
      </c>
      <c r="M261">
        <v>70664.296187686457</v>
      </c>
      <c r="N261" s="82">
        <v>90</v>
      </c>
      <c r="O261">
        <v>65.454227669999995</v>
      </c>
      <c r="P2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61" t="str">
        <f t="shared" ca="1" si="19"/>
        <v>Billboards</v>
      </c>
      <c r="R261" s="46">
        <f>automotive_demand_forecasting_dataset5678[[#This Row],[Units_Sold]]*automotive_demand_forecasting_dataset5678[[#This Row],[Average_Price]]</f>
        <v>1938169.4336120763</v>
      </c>
      <c r="S261" t="str">
        <f t="shared" ca="1" si="20"/>
        <v>OK</v>
      </c>
    </row>
    <row r="262" spans="1:19">
      <c r="A262" s="1">
        <v>49535</v>
      </c>
      <c r="B262" t="s">
        <v>10</v>
      </c>
      <c r="C262" t="str">
        <f>TEXT(automotive_demand_forecasting_dataset5678[[#This Row],[Date]],"mmmm")</f>
        <v>August</v>
      </c>
      <c r="D262" t="str">
        <f>CHOOSE(MATCH(MONTH(A262), {1,4,7,10}), "Winter", "Spring", "Summer", "Autumn")</f>
        <v>Summer</v>
      </c>
      <c r="E262">
        <f>YEAR(automotive_demand_forecasting_dataset5678[[#This Row],[Date]])</f>
        <v>2035</v>
      </c>
      <c r="F262">
        <v>89</v>
      </c>
      <c r="G262">
        <f>(automotive_demand_forecasting_dataset5678[[#This Row],[Units_Sold]] -$C$4) / $C$5</f>
        <v>-1.0550675652962918</v>
      </c>
      <c r="H262" s="47" t="str">
        <f t="shared" ca="1" si="18"/>
        <v>West</v>
      </c>
      <c r="I262">
        <v>29508.30186602625</v>
      </c>
      <c r="J262">
        <v>4.2606580259612254</v>
      </c>
      <c r="K262">
        <v>2.6847405788957244</v>
      </c>
      <c r="L262">
        <v>3.6222366743655341</v>
      </c>
      <c r="M262">
        <v>89971.957062287271</v>
      </c>
      <c r="N262" s="82">
        <v>105</v>
      </c>
      <c r="O262">
        <v>50.025707661841103</v>
      </c>
      <c r="P2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62" t="str">
        <f t="shared" ca="1" si="19"/>
        <v>Radio</v>
      </c>
      <c r="R262" s="46">
        <f>automotive_demand_forecasting_dataset5678[[#This Row],[Units_Sold]]*automotive_demand_forecasting_dataset5678[[#This Row],[Average_Price]]</f>
        <v>2626238.8660763362</v>
      </c>
      <c r="S262" t="str">
        <f t="shared" ca="1" si="20"/>
        <v>OK</v>
      </c>
    </row>
    <row r="263" spans="1:19">
      <c r="A263" s="1">
        <v>49565</v>
      </c>
      <c r="B263" t="s">
        <v>10</v>
      </c>
      <c r="C263" t="str">
        <f>TEXT(automotive_demand_forecasting_dataset5678[[#This Row],[Date]],"mmmm")</f>
        <v>September</v>
      </c>
      <c r="D263" t="str">
        <f>CHOOSE(MATCH(MONTH(A263), {1,4,7,10}), "Winter", "Spring", "Summer", "Autumn")</f>
        <v>Summer</v>
      </c>
      <c r="E263">
        <f>YEAR(automotive_demand_forecasting_dataset5678[[#This Row],[Date]])</f>
        <v>2035</v>
      </c>
      <c r="F263">
        <v>89</v>
      </c>
      <c r="G263">
        <f>(automotive_demand_forecasting_dataset5678[[#This Row],[Units_Sold]] -$C$4) / $C$5</f>
        <v>-1.0550675652962918</v>
      </c>
      <c r="H263" s="47" t="str">
        <f t="shared" ca="1" si="18"/>
        <v>South</v>
      </c>
      <c r="I263">
        <v>25057.044464245413</v>
      </c>
      <c r="J263">
        <v>3.9991554490739802</v>
      </c>
      <c r="K263">
        <v>4.5236062192296398</v>
      </c>
      <c r="L263">
        <v>5.6144130393295697</v>
      </c>
      <c r="M263">
        <v>119506.24916955958</v>
      </c>
      <c r="N263" s="82">
        <v>98</v>
      </c>
      <c r="O263">
        <v>70.1402678833865</v>
      </c>
      <c r="P2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63" t="str">
        <f t="shared" ca="1" si="19"/>
        <v>Radio</v>
      </c>
      <c r="R263" s="46">
        <f>automotive_demand_forecasting_dataset5678[[#This Row],[Units_Sold]]*automotive_demand_forecasting_dataset5678[[#This Row],[Average_Price]]</f>
        <v>2230076.9573178417</v>
      </c>
      <c r="S263" t="str">
        <f t="shared" ca="1" si="20"/>
        <v>OK</v>
      </c>
    </row>
    <row r="264" spans="1:19">
      <c r="A264" s="1">
        <v>49595</v>
      </c>
      <c r="B264" t="s">
        <v>12</v>
      </c>
      <c r="C264" t="str">
        <f>TEXT(automotive_demand_forecasting_dataset5678[[#This Row],[Date]],"mmmm")</f>
        <v>October</v>
      </c>
      <c r="D264" t="str">
        <f>CHOOSE(MATCH(MONTH(A264), {1,4,7,10}), "Winter", "Spring", "Summer", "Autumn")</f>
        <v>Autumn</v>
      </c>
      <c r="E264">
        <f>YEAR(automotive_demand_forecasting_dataset5678[[#This Row],[Date]])</f>
        <v>2035</v>
      </c>
      <c r="F264">
        <v>86</v>
      </c>
      <c r="G264">
        <f>(automotive_demand_forecasting_dataset5678[[#This Row],[Units_Sold]] -$C$4) / $C$5</f>
        <v>-1.3623687979068624</v>
      </c>
      <c r="H264" s="47" t="str">
        <f t="shared" ca="1" si="18"/>
        <v>West</v>
      </c>
      <c r="I264">
        <v>38106.295579999998</v>
      </c>
      <c r="J264">
        <v>3.2841898436409758</v>
      </c>
      <c r="K264">
        <v>2.5067998445599979</v>
      </c>
      <c r="L264">
        <v>5.1838621407013008</v>
      </c>
      <c r="M264">
        <v>110312.56176887912</v>
      </c>
      <c r="N264" s="82">
        <v>85</v>
      </c>
      <c r="O264">
        <v>31.687725243305618</v>
      </c>
      <c r="P2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64" t="str">
        <f t="shared" ca="1" si="19"/>
        <v>Radio</v>
      </c>
      <c r="R264" s="46">
        <f>automotive_demand_forecasting_dataset5678[[#This Row],[Units_Sold]]*automotive_demand_forecasting_dataset5678[[#This Row],[Average_Price]]</f>
        <v>3277141.4198799999</v>
      </c>
      <c r="S264" t="str">
        <f t="shared" ca="1" si="20"/>
        <v>OK</v>
      </c>
    </row>
    <row r="265" spans="1:19">
      <c r="A265" s="1">
        <v>49625</v>
      </c>
      <c r="B265" t="s">
        <v>12</v>
      </c>
      <c r="C265" t="str">
        <f>TEXT(automotive_demand_forecasting_dataset5678[[#This Row],[Date]],"mmmm")</f>
        <v>November</v>
      </c>
      <c r="D265" t="str">
        <f>CHOOSE(MATCH(MONTH(A265), {1,4,7,10}), "Winter", "Spring", "Summer", "Autumn")</f>
        <v>Autumn</v>
      </c>
      <c r="E265">
        <f>YEAR(automotive_demand_forecasting_dataset5678[[#This Row],[Date]])</f>
        <v>2035</v>
      </c>
      <c r="F265">
        <v>91</v>
      </c>
      <c r="G265">
        <f>(automotive_demand_forecasting_dataset5678[[#This Row],[Units_Sold]] -$C$4) / $C$5</f>
        <v>-0.85020007688924482</v>
      </c>
      <c r="H265" s="47" t="str">
        <f t="shared" ca="1" si="18"/>
        <v>South</v>
      </c>
      <c r="I265">
        <v>30899.470755767394</v>
      </c>
      <c r="J265">
        <v>3.7018650451683048</v>
      </c>
      <c r="K265">
        <v>2.3099609649985053</v>
      </c>
      <c r="L265">
        <v>6.3149713305258341</v>
      </c>
      <c r="M265">
        <v>119568.4422405607</v>
      </c>
      <c r="N265" s="82">
        <v>101</v>
      </c>
      <c r="O265">
        <v>85.84028595575478</v>
      </c>
      <c r="P2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65" t="str">
        <f t="shared" ca="1" si="19"/>
        <v>TV</v>
      </c>
      <c r="R265" s="46">
        <f>automotive_demand_forecasting_dataset5678[[#This Row],[Units_Sold]]*automotive_demand_forecasting_dataset5678[[#This Row],[Average_Price]]</f>
        <v>2811851.8387748329</v>
      </c>
      <c r="S265" t="str">
        <f t="shared" ca="1" si="20"/>
        <v>OK</v>
      </c>
    </row>
    <row r="266" spans="1:19">
      <c r="A266" s="1">
        <v>49655</v>
      </c>
      <c r="B266" t="s">
        <v>14</v>
      </c>
      <c r="C266" t="str">
        <f>TEXT(automotive_demand_forecasting_dataset5678[[#This Row],[Date]],"mmmm")</f>
        <v>December</v>
      </c>
      <c r="D266" t="str">
        <f>CHOOSE(MATCH(MONTH(A266), {1,4,7,10}), "Winter", "Spring", "Summer", "Autumn")</f>
        <v>Autumn</v>
      </c>
      <c r="E266">
        <f>YEAR(automotive_demand_forecasting_dataset5678[[#This Row],[Date]])</f>
        <v>2035</v>
      </c>
      <c r="F266">
        <v>100</v>
      </c>
      <c r="G266">
        <f>(automotive_demand_forecasting_dataset5678[[#This Row],[Units_Sold]] -$C$4) / $C$5</f>
        <v>7.1703620942466739E-2</v>
      </c>
      <c r="H266" s="47" t="str">
        <f t="shared" ca="1" si="18"/>
        <v>North</v>
      </c>
      <c r="I266">
        <v>36960.011431722996</v>
      </c>
      <c r="J266">
        <v>3.4879021968045421</v>
      </c>
      <c r="K266">
        <v>2.1425545771895727</v>
      </c>
      <c r="L266">
        <v>5.1375454006121632</v>
      </c>
      <c r="M266">
        <v>110442.85091867871</v>
      </c>
      <c r="N266" s="82">
        <v>93</v>
      </c>
      <c r="O266">
        <v>38.80250390495349</v>
      </c>
      <c r="P2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66" t="str">
        <f t="shared" ca="1" si="19"/>
        <v>Print</v>
      </c>
      <c r="R266" s="46">
        <f>automotive_demand_forecasting_dataset5678[[#This Row],[Units_Sold]]*automotive_demand_forecasting_dataset5678[[#This Row],[Average_Price]]</f>
        <v>3696001.1431722995</v>
      </c>
      <c r="S266" t="str">
        <f t="shared" ca="1" si="20"/>
        <v>OK</v>
      </c>
    </row>
    <row r="267" spans="1:19">
      <c r="A267" s="1">
        <v>49685</v>
      </c>
      <c r="B267" t="s">
        <v>14</v>
      </c>
      <c r="C267" t="str">
        <f>TEXT(automotive_demand_forecasting_dataset5678[[#This Row],[Date]],"mmmm")</f>
        <v>January</v>
      </c>
      <c r="D267" t="str">
        <f>CHOOSE(MATCH(MONTH(A267), {1,4,7,10}), "Winter", "Spring", "Summer", "Autumn")</f>
        <v>Winter</v>
      </c>
      <c r="E267">
        <f>YEAR(automotive_demand_forecasting_dataset5678[[#This Row],[Date]])</f>
        <v>2036</v>
      </c>
      <c r="F267">
        <v>104</v>
      </c>
      <c r="G267">
        <f>(automotive_demand_forecasting_dataset5678[[#This Row],[Units_Sold]] -$C$4) / $C$5</f>
        <v>0.48143859775656078</v>
      </c>
      <c r="H267" s="47" t="str">
        <f t="shared" ref="H267:H330" ca="1" si="28">CHOOSE(RANDBETWEEN(1,4),"North","South","East","West")</f>
        <v>East</v>
      </c>
      <c r="I267">
        <v>34591.583030011563</v>
      </c>
      <c r="J267">
        <v>3.048149069634936</v>
      </c>
      <c r="K267">
        <v>2.3196083182375924</v>
      </c>
      <c r="L267">
        <v>5.10466265638349</v>
      </c>
      <c r="M267">
        <v>77926.60342939262</v>
      </c>
      <c r="N267" s="82">
        <v>99</v>
      </c>
      <c r="O267">
        <v>72.182489025475704</v>
      </c>
      <c r="P2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67" t="str">
        <f t="shared" ref="Q267:Q330" ca="1" si="29">CHOOSE(RANDBETWEEN(1,5),"Online","TV","Radio","Print","Billboards")</f>
        <v>TV</v>
      </c>
      <c r="R267" s="46">
        <f>automotive_demand_forecasting_dataset5678[[#This Row],[Units_Sold]]*automotive_demand_forecasting_dataset5678[[#This Row],[Average_Price]]</f>
        <v>3597524.6351212026</v>
      </c>
      <c r="S267" t="str">
        <f t="shared" ref="S267:S330" ca="1" si="30">IF(COUNTA(A267:O267)&lt;COLUMNS(A267:O267), "Missing Data", "OK")</f>
        <v>OK</v>
      </c>
    </row>
    <row r="268" spans="1:19">
      <c r="A268" s="1">
        <v>49715</v>
      </c>
      <c r="B268" t="s">
        <v>14</v>
      </c>
      <c r="C268" t="str">
        <f>TEXT(automotive_demand_forecasting_dataset5678[[#This Row],[Date]],"mmmm")</f>
        <v>February</v>
      </c>
      <c r="D268" t="str">
        <f>CHOOSE(MATCH(MONTH(A268), {1,4,7,10}), "Winter", "Spring", "Summer", "Autumn")</f>
        <v>Winter</v>
      </c>
      <c r="E268">
        <f>YEAR(automotive_demand_forecasting_dataset5678[[#This Row],[Date]])</f>
        <v>2036</v>
      </c>
      <c r="F268">
        <v>80</v>
      </c>
      <c r="G268">
        <f>(automotive_demand_forecasting_dataset5678[[#This Row],[Units_Sold]] -$C$4) / $C$5</f>
        <v>-1.9769712631280034</v>
      </c>
      <c r="H268" s="47" t="str">
        <f t="shared" ca="1" si="28"/>
        <v>West</v>
      </c>
      <c r="I268">
        <v>22147.496981884113</v>
      </c>
      <c r="J268">
        <v>3.6621796408608014</v>
      </c>
      <c r="K268">
        <v>3.8728484746765304</v>
      </c>
      <c r="L268">
        <v>6.3782448451459546</v>
      </c>
      <c r="M268">
        <v>93384.215513448857</v>
      </c>
      <c r="N268" s="82">
        <v>87</v>
      </c>
      <c r="O268">
        <v>52.415771406026373</v>
      </c>
      <c r="P2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68" t="str">
        <f t="shared" ca="1" si="29"/>
        <v>Billboards</v>
      </c>
      <c r="R268" s="46">
        <f>automotive_demand_forecasting_dataset5678[[#This Row],[Units_Sold]]*automotive_demand_forecasting_dataset5678[[#This Row],[Average_Price]]</f>
        <v>1771799.7585507291</v>
      </c>
      <c r="S268" t="str">
        <f t="shared" ca="1" si="30"/>
        <v>OK</v>
      </c>
    </row>
    <row r="269" spans="1:19">
      <c r="A269" s="1">
        <v>49745</v>
      </c>
      <c r="B269" t="s">
        <v>12</v>
      </c>
      <c r="C269" t="str">
        <f>TEXT(automotive_demand_forecasting_dataset5678[[#This Row],[Date]],"mmmm")</f>
        <v>March</v>
      </c>
      <c r="D269" t="str">
        <f>CHOOSE(MATCH(MONTH(A269), {1,4,7,10}), "Winter", "Spring", "Summer", "Autumn")</f>
        <v>Winter</v>
      </c>
      <c r="E269">
        <f>YEAR(automotive_demand_forecasting_dataset5678[[#This Row],[Date]])</f>
        <v>2036</v>
      </c>
      <c r="F269">
        <v>110</v>
      </c>
      <c r="G269">
        <f>(automotive_demand_forecasting_dataset5678[[#This Row],[Units_Sold]] -$C$4) / $C$5</f>
        <v>1.0960410629777018</v>
      </c>
      <c r="H269" s="47" t="str">
        <f t="shared" ca="1" si="28"/>
        <v>South</v>
      </c>
      <c r="I269">
        <v>25051.859317148312</v>
      </c>
      <c r="J269">
        <v>4.5778345189999996</v>
      </c>
      <c r="K269">
        <v>0.28813808867049318</v>
      </c>
      <c r="L269">
        <v>5.9020696349009407</v>
      </c>
      <c r="M269">
        <v>84396.017417650743</v>
      </c>
      <c r="N269" s="82">
        <v>87</v>
      </c>
      <c r="O269">
        <v>67.683487638211773</v>
      </c>
      <c r="P2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69" t="str">
        <f t="shared" ca="1" si="29"/>
        <v>TV</v>
      </c>
      <c r="R269" s="46">
        <f>automotive_demand_forecasting_dataset5678[[#This Row],[Units_Sold]]*automotive_demand_forecasting_dataset5678[[#This Row],[Average_Price]]</f>
        <v>2755704.5248863143</v>
      </c>
      <c r="S269" t="str">
        <f t="shared" ca="1" si="30"/>
        <v>OK</v>
      </c>
    </row>
    <row r="270" spans="1:19">
      <c r="A270" s="1">
        <v>49775</v>
      </c>
      <c r="B270" t="s">
        <v>14</v>
      </c>
      <c r="C270" t="str">
        <f>TEXT(automotive_demand_forecasting_dataset5678[[#This Row],[Date]],"mmmm")</f>
        <v>April</v>
      </c>
      <c r="D270" t="str">
        <f>CHOOSE(MATCH(MONTH(A270), {1,4,7,10}), "Winter", "Spring", "Summer", "Autumn")</f>
        <v>Spring</v>
      </c>
      <c r="E270">
        <f>YEAR(automotive_demand_forecasting_dataset5678[[#This Row],[Date]])</f>
        <v>2036</v>
      </c>
      <c r="F270">
        <v>90</v>
      </c>
      <c r="G270">
        <f>(automotive_demand_forecasting_dataset5678[[#This Row],[Units_Sold]] -$C$4) / $C$5</f>
        <v>-0.95263382109276828</v>
      </c>
      <c r="H270" s="47" t="str">
        <f t="shared" ca="1" si="28"/>
        <v>South</v>
      </c>
      <c r="I270">
        <v>34703.855939941081</v>
      </c>
      <c r="J270">
        <v>4.0938396942307822</v>
      </c>
      <c r="K270">
        <v>4.0334337012963255</v>
      </c>
      <c r="L270">
        <v>5.8793871486193341</v>
      </c>
      <c r="M270">
        <v>126611.4980807808</v>
      </c>
      <c r="N270" s="82">
        <v>89</v>
      </c>
      <c r="O270">
        <v>80.215177969999999</v>
      </c>
      <c r="P2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70" t="str">
        <f t="shared" ca="1" si="29"/>
        <v>Print</v>
      </c>
      <c r="R270" s="46">
        <f>automotive_demand_forecasting_dataset5678[[#This Row],[Units_Sold]]*automotive_demand_forecasting_dataset5678[[#This Row],[Average_Price]]</f>
        <v>3123347.0345946974</v>
      </c>
      <c r="S270" t="str">
        <f t="shared" ca="1" si="30"/>
        <v>OK</v>
      </c>
    </row>
    <row r="271" spans="1:19">
      <c r="A271" s="1">
        <v>49805</v>
      </c>
      <c r="B271" t="s">
        <v>10</v>
      </c>
      <c r="C271" t="str">
        <f>TEXT(automotive_demand_forecasting_dataset5678[[#This Row],[Date]],"mmmm")</f>
        <v>May</v>
      </c>
      <c r="D271" t="str">
        <f>CHOOSE(MATCH(MONTH(A271), {1,4,7,10}), "Winter", "Spring", "Summer", "Autumn")</f>
        <v>Spring</v>
      </c>
      <c r="E271">
        <f>YEAR(automotive_demand_forecasting_dataset5678[[#This Row],[Date]])</f>
        <v>2036</v>
      </c>
      <c r="F271">
        <v>96</v>
      </c>
      <c r="G271">
        <f>(automotive_demand_forecasting_dataset5678[[#This Row],[Units_Sold]] -$C$4) / $C$5</f>
        <v>-0.33803135587162725</v>
      </c>
      <c r="H271" s="47" t="str">
        <f t="shared" ca="1" si="28"/>
        <v>East</v>
      </c>
      <c r="I271">
        <v>25087.563032308452</v>
      </c>
      <c r="J271">
        <v>3.2676913513508037</v>
      </c>
      <c r="K271">
        <v>1.0760428475498549</v>
      </c>
      <c r="L271">
        <v>6.0631211077702316</v>
      </c>
      <c r="M271">
        <v>76064.227071473768</v>
      </c>
      <c r="N271" s="82">
        <v>86</v>
      </c>
      <c r="O271">
        <v>21.353023993728584</v>
      </c>
      <c r="P2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71" t="str">
        <f t="shared" ca="1" si="29"/>
        <v>Billboards</v>
      </c>
      <c r="R271" s="46">
        <f>automotive_demand_forecasting_dataset5678[[#This Row],[Units_Sold]]*automotive_demand_forecasting_dataset5678[[#This Row],[Average_Price]]</f>
        <v>2408406.0511016115</v>
      </c>
      <c r="S271" t="str">
        <f t="shared" ca="1" si="30"/>
        <v>OK</v>
      </c>
    </row>
    <row r="272" spans="1:19">
      <c r="A272" s="1">
        <v>49835</v>
      </c>
      <c r="B272" t="s">
        <v>12</v>
      </c>
      <c r="C272" t="str">
        <f>TEXT(automotive_demand_forecasting_dataset5678[[#This Row],[Date]],"mmmm")</f>
        <v>June</v>
      </c>
      <c r="D272" t="str">
        <f>CHOOSE(MATCH(MONTH(A272), {1,4,7,10}), "Winter", "Spring", "Summer", "Autumn")</f>
        <v>Spring</v>
      </c>
      <c r="E272">
        <f>YEAR(automotive_demand_forecasting_dataset5678[[#This Row],[Date]])</f>
        <v>2036</v>
      </c>
      <c r="F272">
        <v>103</v>
      </c>
      <c r="G272">
        <f>(automotive_demand_forecasting_dataset5678[[#This Row],[Units_Sold]] -$C$4) / $C$5</f>
        <v>0.37900485355303726</v>
      </c>
      <c r="H272" s="47" t="str">
        <f t="shared" ca="1" si="28"/>
        <v>South</v>
      </c>
      <c r="I272">
        <v>28876.834250014876</v>
      </c>
      <c r="J272">
        <v>3.6005798279364196</v>
      </c>
      <c r="K272">
        <v>2.233347670765585</v>
      </c>
      <c r="L272">
        <v>3.657313452151473</v>
      </c>
      <c r="M272">
        <v>117873.95378778221</v>
      </c>
      <c r="N272" s="82">
        <v>80</v>
      </c>
      <c r="O272">
        <v>92.765154190424099</v>
      </c>
      <c r="P2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72" t="str">
        <f t="shared" ca="1" si="29"/>
        <v>Online</v>
      </c>
      <c r="R272" s="46">
        <f>automotive_demand_forecasting_dataset5678[[#This Row],[Units_Sold]]*automotive_demand_forecasting_dataset5678[[#This Row],[Average_Price]]</f>
        <v>2974313.9277515323</v>
      </c>
      <c r="S272" t="str">
        <f t="shared" ca="1" si="30"/>
        <v>OK</v>
      </c>
    </row>
    <row r="273" spans="1:19">
      <c r="A273" s="1">
        <v>49865</v>
      </c>
      <c r="B273" t="s">
        <v>14</v>
      </c>
      <c r="C273" t="str">
        <f>TEXT(automotive_demand_forecasting_dataset5678[[#This Row],[Date]],"mmmm")</f>
        <v>July</v>
      </c>
      <c r="D273" t="str">
        <f>CHOOSE(MATCH(MONTH(A273), {1,4,7,10}), "Winter", "Spring", "Summer", "Autumn")</f>
        <v>Summer</v>
      </c>
      <c r="E273">
        <f>YEAR(automotive_demand_forecasting_dataset5678[[#This Row],[Date]])</f>
        <v>2036</v>
      </c>
      <c r="F273">
        <v>99</v>
      </c>
      <c r="G273">
        <f>(automotive_demand_forecasting_dataset5678[[#This Row],[Units_Sold]] -$C$4) / $C$5</f>
        <v>-3.0730123261056761E-2</v>
      </c>
      <c r="H273" s="47" t="str">
        <f t="shared" ca="1" si="28"/>
        <v>South</v>
      </c>
      <c r="I273">
        <v>32750.260495122759</v>
      </c>
      <c r="J273">
        <v>3.6416439357730712</v>
      </c>
      <c r="K273">
        <v>2.0707555797013382</v>
      </c>
      <c r="L273">
        <v>6.408146415984378</v>
      </c>
      <c r="M273">
        <v>117859.07740217539</v>
      </c>
      <c r="N273" s="82">
        <v>91</v>
      </c>
      <c r="O273">
        <v>41.570400701374624</v>
      </c>
      <c r="P2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73" t="str">
        <f t="shared" ca="1" si="29"/>
        <v>Online</v>
      </c>
      <c r="R273" s="46">
        <f>automotive_demand_forecasting_dataset5678[[#This Row],[Units_Sold]]*automotive_demand_forecasting_dataset5678[[#This Row],[Average_Price]]</f>
        <v>3242275.789017153</v>
      </c>
      <c r="S273" t="str">
        <f t="shared" ca="1" si="30"/>
        <v>OK</v>
      </c>
    </row>
    <row r="274" spans="1:19">
      <c r="A274" s="1">
        <v>49895</v>
      </c>
      <c r="B274" t="s">
        <v>10</v>
      </c>
      <c r="C274" t="str">
        <f>TEXT(automotive_demand_forecasting_dataset5678[[#This Row],[Date]],"mmmm")</f>
        <v>August</v>
      </c>
      <c r="D274" t="str">
        <f>CHOOSE(MATCH(MONTH(A274), {1,4,7,10}), "Winter", "Spring", "Summer", "Autumn")</f>
        <v>Summer</v>
      </c>
      <c r="E274">
        <f>YEAR(automotive_demand_forecasting_dataset5678[[#This Row],[Date]])</f>
        <v>2036</v>
      </c>
      <c r="F274">
        <v>100</v>
      </c>
      <c r="G274">
        <f>(automotive_demand_forecasting_dataset5678[[#This Row],[Units_Sold]] -$C$4) / $C$5</f>
        <v>7.1703620942466739E-2</v>
      </c>
      <c r="H274" s="47" t="str">
        <f t="shared" ca="1" si="28"/>
        <v>North</v>
      </c>
      <c r="I274">
        <v>25158.277725681823</v>
      </c>
      <c r="J274">
        <v>3.3705475131479612</v>
      </c>
      <c r="K274">
        <v>3.0885532697707196</v>
      </c>
      <c r="L274">
        <v>6.2349625528163228</v>
      </c>
      <c r="M274">
        <v>136592.40403432175</v>
      </c>
      <c r="N274" s="82">
        <v>84</v>
      </c>
      <c r="O274">
        <v>85.574160222436731</v>
      </c>
      <c r="P2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74" t="str">
        <f t="shared" ca="1" si="29"/>
        <v>TV</v>
      </c>
      <c r="R274" s="46">
        <f>automotive_demand_forecasting_dataset5678[[#This Row],[Units_Sold]]*automotive_demand_forecasting_dataset5678[[#This Row],[Average_Price]]</f>
        <v>2515827.7725681821</v>
      </c>
      <c r="S274" t="str">
        <f t="shared" ca="1" si="30"/>
        <v>OK</v>
      </c>
    </row>
    <row r="275" spans="1:19">
      <c r="A275" s="1">
        <v>49925</v>
      </c>
      <c r="B275" t="s">
        <v>14</v>
      </c>
      <c r="C275" t="str">
        <f>TEXT(automotive_demand_forecasting_dataset5678[[#This Row],[Date]],"mmmm")</f>
        <v>September</v>
      </c>
      <c r="D275" t="str">
        <f>CHOOSE(MATCH(MONTH(A275), {1,4,7,10}), "Winter", "Spring", "Summer", "Autumn")</f>
        <v>Summer</v>
      </c>
      <c r="E275">
        <f>YEAR(automotive_demand_forecasting_dataset5678[[#This Row],[Date]])</f>
        <v>2036</v>
      </c>
      <c r="F275">
        <v>106</v>
      </c>
      <c r="G275">
        <f>(automotive_demand_forecasting_dataset5678[[#This Row],[Units_Sold]] -$C$4) / $C$5</f>
        <v>0.68630608616360778</v>
      </c>
      <c r="H275" s="47" t="str">
        <f t="shared" ca="1" si="28"/>
        <v>South</v>
      </c>
      <c r="I275">
        <v>30526.877530729798</v>
      </c>
      <c r="J275">
        <v>3.7933469007376375</v>
      </c>
      <c r="K275">
        <v>0.90187564811625243</v>
      </c>
      <c r="L275">
        <v>4.2799802457082032</v>
      </c>
      <c r="M275">
        <v>91806.268147410054</v>
      </c>
      <c r="N275" s="82">
        <v>89</v>
      </c>
      <c r="O275">
        <v>99.948024037776008</v>
      </c>
      <c r="P2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75" t="str">
        <f t="shared" ca="1" si="29"/>
        <v>TV</v>
      </c>
      <c r="R275" s="46">
        <f>automotive_demand_forecasting_dataset5678[[#This Row],[Units_Sold]]*automotive_demand_forecasting_dataset5678[[#This Row],[Average_Price]]</f>
        <v>3235849.0182573586</v>
      </c>
      <c r="S275" t="str">
        <f t="shared" ca="1" si="30"/>
        <v>OK</v>
      </c>
    </row>
    <row r="276" spans="1:19">
      <c r="A276" s="1">
        <v>49955</v>
      </c>
      <c r="B276" t="s">
        <v>11</v>
      </c>
      <c r="C276" t="str">
        <f>TEXT(automotive_demand_forecasting_dataset5678[[#This Row],[Date]],"mmmm")</f>
        <v>October</v>
      </c>
      <c r="D276" t="str">
        <f>CHOOSE(MATCH(MONTH(A276), {1,4,7,10}), "Winter", "Spring", "Summer", "Autumn")</f>
        <v>Autumn</v>
      </c>
      <c r="E276">
        <f>YEAR(automotive_demand_forecasting_dataset5678[[#This Row],[Date]])</f>
        <v>2036</v>
      </c>
      <c r="F276">
        <v>100</v>
      </c>
      <c r="G276">
        <f>(automotive_demand_forecasting_dataset5678[[#This Row],[Units_Sold]] -$C$4) / $C$5</f>
        <v>7.1703620942466739E-2</v>
      </c>
      <c r="H276" s="47" t="str">
        <f t="shared" ca="1" si="28"/>
        <v>East</v>
      </c>
      <c r="I276">
        <v>38106.295579999998</v>
      </c>
      <c r="J276">
        <v>3.2625481716887377</v>
      </c>
      <c r="K276">
        <v>2.9621726660819427</v>
      </c>
      <c r="L276">
        <v>5.2071034315909586</v>
      </c>
      <c r="M276">
        <v>114246.44319160325</v>
      </c>
      <c r="N276" s="82">
        <v>113</v>
      </c>
      <c r="O276">
        <v>36.914500639912895</v>
      </c>
      <c r="P2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76" t="str">
        <f t="shared" ca="1" si="29"/>
        <v>TV</v>
      </c>
      <c r="R276" s="46">
        <f>automotive_demand_forecasting_dataset5678[[#This Row],[Units_Sold]]*automotive_demand_forecasting_dataset5678[[#This Row],[Average_Price]]</f>
        <v>3810629.5579999997</v>
      </c>
      <c r="S276" t="str">
        <f t="shared" ca="1" si="30"/>
        <v>OK</v>
      </c>
    </row>
    <row r="277" spans="1:19">
      <c r="A277" s="1">
        <v>49985</v>
      </c>
      <c r="B277" t="s">
        <v>14</v>
      </c>
      <c r="C277" t="str">
        <f>TEXT(automotive_demand_forecasting_dataset5678[[#This Row],[Date]],"mmmm")</f>
        <v>November</v>
      </c>
      <c r="D277" t="str">
        <f>CHOOSE(MATCH(MONTH(A277), {1,4,7,10}), "Winter", "Spring", "Summer", "Autumn")</f>
        <v>Autumn</v>
      </c>
      <c r="E277">
        <f>YEAR(automotive_demand_forecasting_dataset5678[[#This Row],[Date]])</f>
        <v>2036</v>
      </c>
      <c r="F277">
        <v>85</v>
      </c>
      <c r="G277">
        <f>(automotive_demand_forecasting_dataset5678[[#This Row],[Units_Sold]] -$C$4) / $C$5</f>
        <v>-1.4648025421103859</v>
      </c>
      <c r="H277" s="47" t="str">
        <f t="shared" ca="1" si="28"/>
        <v>East</v>
      </c>
      <c r="I277">
        <v>26993.161780243932</v>
      </c>
      <c r="J277">
        <v>3.5380713799999999</v>
      </c>
      <c r="K277">
        <v>4.524309623286852</v>
      </c>
      <c r="L277">
        <v>5.4528312548468429</v>
      </c>
      <c r="M277">
        <v>145633.03673077686</v>
      </c>
      <c r="N277" s="82">
        <v>89</v>
      </c>
      <c r="O277">
        <v>41.213659294668446</v>
      </c>
      <c r="P2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77" t="str">
        <f t="shared" ca="1" si="29"/>
        <v>TV</v>
      </c>
      <c r="R277" s="46">
        <f>automotive_demand_forecasting_dataset5678[[#This Row],[Units_Sold]]*automotive_demand_forecasting_dataset5678[[#This Row],[Average_Price]]</f>
        <v>2294418.7513207342</v>
      </c>
      <c r="S277" t="str">
        <f t="shared" ca="1" si="30"/>
        <v>OK</v>
      </c>
    </row>
    <row r="278" spans="1:19">
      <c r="A278" s="1">
        <v>50015</v>
      </c>
      <c r="B278" t="s">
        <v>11</v>
      </c>
      <c r="C278" t="str">
        <f>TEXT(automotive_demand_forecasting_dataset5678[[#This Row],[Date]],"mmmm")</f>
        <v>December</v>
      </c>
      <c r="D278" t="str">
        <f>CHOOSE(MATCH(MONTH(A278), {1,4,7,10}), "Winter", "Spring", "Summer", "Autumn")</f>
        <v>Autumn</v>
      </c>
      <c r="E278">
        <f>YEAR(automotive_demand_forecasting_dataset5678[[#This Row],[Date]])</f>
        <v>2036</v>
      </c>
      <c r="F278">
        <v>101</v>
      </c>
      <c r="G278">
        <f>(automotive_demand_forecasting_dataset5678[[#This Row],[Units_Sold]] -$C$4) / $C$5</f>
        <v>0.17413736514599024</v>
      </c>
      <c r="H278" s="47" t="str">
        <f t="shared" ca="1" si="28"/>
        <v>North</v>
      </c>
      <c r="I278">
        <v>31598.909670712685</v>
      </c>
      <c r="J278">
        <v>2.8270101598766257</v>
      </c>
      <c r="K278">
        <v>1.1368259954071895</v>
      </c>
      <c r="L278">
        <v>5.3386038587179208</v>
      </c>
      <c r="M278">
        <v>87647.166461326065</v>
      </c>
      <c r="N278" s="82">
        <v>91</v>
      </c>
      <c r="O278">
        <v>73.028783010773253</v>
      </c>
      <c r="P2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78" t="str">
        <f t="shared" ca="1" si="29"/>
        <v>Radio</v>
      </c>
      <c r="R278" s="46">
        <f>automotive_demand_forecasting_dataset5678[[#This Row],[Units_Sold]]*automotive_demand_forecasting_dataset5678[[#This Row],[Average_Price]]</f>
        <v>3191489.8767419811</v>
      </c>
      <c r="S278" t="str">
        <f t="shared" ca="1" si="30"/>
        <v>OK</v>
      </c>
    </row>
    <row r="279" spans="1:19">
      <c r="A279" s="1">
        <v>50045</v>
      </c>
      <c r="B279" t="s">
        <v>14</v>
      </c>
      <c r="C279" t="str">
        <f>TEXT(automotive_demand_forecasting_dataset5678[[#This Row],[Date]],"mmmm")</f>
        <v>January</v>
      </c>
      <c r="D279" t="str">
        <f>CHOOSE(MATCH(MONTH(A279), {1,4,7,10}), "Winter", "Spring", "Summer", "Autumn")</f>
        <v>Winter</v>
      </c>
      <c r="E279">
        <f>YEAR(automotive_demand_forecasting_dataset5678[[#This Row],[Date]])</f>
        <v>2037</v>
      </c>
      <c r="F279">
        <v>93</v>
      </c>
      <c r="G279">
        <f>(automotive_demand_forecasting_dataset5678[[#This Row],[Units_Sold]] -$C$4) / $C$5</f>
        <v>-0.64533258848219777</v>
      </c>
      <c r="H279" s="47" t="str">
        <f t="shared" ca="1" si="28"/>
        <v>West</v>
      </c>
      <c r="I279">
        <v>22035.031332341656</v>
      </c>
      <c r="J279">
        <v>3.5631897897732059</v>
      </c>
      <c r="K279">
        <v>2.6897061676103955</v>
      </c>
      <c r="L279">
        <v>5.9006319598822419</v>
      </c>
      <c r="M279">
        <v>69299.195049352798</v>
      </c>
      <c r="N279" s="82">
        <v>83</v>
      </c>
      <c r="O279">
        <v>97.2358907680497</v>
      </c>
      <c r="P2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79" t="str">
        <f t="shared" ca="1" si="29"/>
        <v>Print</v>
      </c>
      <c r="R279" s="46">
        <f>automotive_demand_forecasting_dataset5678[[#This Row],[Units_Sold]]*automotive_demand_forecasting_dataset5678[[#This Row],[Average_Price]]</f>
        <v>2049257.913907774</v>
      </c>
      <c r="S279" t="str">
        <f t="shared" ca="1" si="30"/>
        <v>OK</v>
      </c>
    </row>
    <row r="280" spans="1:19">
      <c r="A280" s="1">
        <v>50075</v>
      </c>
      <c r="B280" t="s">
        <v>13</v>
      </c>
      <c r="C280" t="str">
        <f>TEXT(automotive_demand_forecasting_dataset5678[[#This Row],[Date]],"mmmm")</f>
        <v>February</v>
      </c>
      <c r="D280" t="str">
        <f>CHOOSE(MATCH(MONTH(A280), {1,4,7,10}), "Winter", "Spring", "Summer", "Autumn")</f>
        <v>Winter</v>
      </c>
      <c r="E280">
        <f>YEAR(automotive_demand_forecasting_dataset5678[[#This Row],[Date]])</f>
        <v>2037</v>
      </c>
      <c r="F280">
        <v>91</v>
      </c>
      <c r="G280">
        <f>(automotive_demand_forecasting_dataset5678[[#This Row],[Units_Sold]] -$C$4) / $C$5</f>
        <v>-0.85020007688924482</v>
      </c>
      <c r="H280" s="47" t="str">
        <f t="shared" ca="1" si="28"/>
        <v>North</v>
      </c>
      <c r="I280">
        <v>32202.373689801996</v>
      </c>
      <c r="J280">
        <v>4.4694644995291419</v>
      </c>
      <c r="K280">
        <v>1.8380178222033909</v>
      </c>
      <c r="L280">
        <v>7.21764013819742</v>
      </c>
      <c r="M280">
        <v>62399.79932184473</v>
      </c>
      <c r="N280" s="82">
        <v>77</v>
      </c>
      <c r="O280">
        <v>93.265147855259514</v>
      </c>
      <c r="P2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80" t="str">
        <f t="shared" ca="1" si="29"/>
        <v>TV</v>
      </c>
      <c r="R280" s="46">
        <f>automotive_demand_forecasting_dataset5678[[#This Row],[Units_Sold]]*automotive_demand_forecasting_dataset5678[[#This Row],[Average_Price]]</f>
        <v>2930416.0057719816</v>
      </c>
      <c r="S280" t="str">
        <f t="shared" ca="1" si="30"/>
        <v>OK</v>
      </c>
    </row>
    <row r="281" spans="1:19">
      <c r="A281" s="1">
        <v>50105</v>
      </c>
      <c r="B281" t="s">
        <v>14</v>
      </c>
      <c r="C281" t="str">
        <f>TEXT(automotive_demand_forecasting_dataset5678[[#This Row],[Date]],"mmmm")</f>
        <v>March</v>
      </c>
      <c r="D281" t="str">
        <f>CHOOSE(MATCH(MONTH(A281), {1,4,7,10}), "Winter", "Spring", "Summer", "Autumn")</f>
        <v>Winter</v>
      </c>
      <c r="E281">
        <f>YEAR(automotive_demand_forecasting_dataset5678[[#This Row],[Date]])</f>
        <v>2037</v>
      </c>
      <c r="F281">
        <v>103</v>
      </c>
      <c r="G281">
        <f>(automotive_demand_forecasting_dataset5678[[#This Row],[Units_Sold]] -$C$4) / $C$5</f>
        <v>0.37900485355303726</v>
      </c>
      <c r="H281" s="47" t="str">
        <f t="shared" ca="1" si="28"/>
        <v>East</v>
      </c>
      <c r="I281">
        <v>29901.811005366595</v>
      </c>
      <c r="J281">
        <v>2.9998343376972127</v>
      </c>
      <c r="K281">
        <v>2.9258872061930359</v>
      </c>
      <c r="L281">
        <v>6.7981200732073948</v>
      </c>
      <c r="M281">
        <v>114254.24057722662</v>
      </c>
      <c r="N281" s="82">
        <v>95</v>
      </c>
      <c r="O281">
        <v>60.23004160524679</v>
      </c>
      <c r="P2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81" t="str">
        <f t="shared" ca="1" si="29"/>
        <v>TV</v>
      </c>
      <c r="R281" s="46">
        <f>automotive_demand_forecasting_dataset5678[[#This Row],[Units_Sold]]*automotive_demand_forecasting_dataset5678[[#This Row],[Average_Price]]</f>
        <v>3079886.5335527593</v>
      </c>
      <c r="S281" t="str">
        <f t="shared" ca="1" si="30"/>
        <v>OK</v>
      </c>
    </row>
    <row r="282" spans="1:19">
      <c r="A282" s="1">
        <v>50135</v>
      </c>
      <c r="B282" t="s">
        <v>12</v>
      </c>
      <c r="C282" t="str">
        <f>TEXT(automotive_demand_forecasting_dataset5678[[#This Row],[Date]],"mmmm")</f>
        <v>April</v>
      </c>
      <c r="D282" t="str">
        <f>CHOOSE(MATCH(MONTH(A282), {1,4,7,10}), "Winter", "Spring", "Summer", "Autumn")</f>
        <v>Spring</v>
      </c>
      <c r="E282">
        <f>YEAR(automotive_demand_forecasting_dataset5678[[#This Row],[Date]])</f>
        <v>2037</v>
      </c>
      <c r="F282">
        <v>109</v>
      </c>
      <c r="G282">
        <f>(automotive_demand_forecasting_dataset5678[[#This Row],[Units_Sold]] -$C$4) / $C$5</f>
        <v>0.99360731877417829</v>
      </c>
      <c r="H282" s="47" t="str">
        <f t="shared" ca="1" si="28"/>
        <v>South</v>
      </c>
      <c r="I282">
        <v>30949.702720000001</v>
      </c>
      <c r="J282">
        <v>3.1611275147375744</v>
      </c>
      <c r="K282">
        <v>2.519147777415752</v>
      </c>
      <c r="L282">
        <v>3.9253369678823127</v>
      </c>
      <c r="M282">
        <v>62336.995838828327</v>
      </c>
      <c r="N282" s="82">
        <v>91</v>
      </c>
      <c r="O282">
        <v>83.608822602137977</v>
      </c>
      <c r="P2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82" t="str">
        <f t="shared" ca="1" si="29"/>
        <v>Print</v>
      </c>
      <c r="R282" s="46">
        <f>automotive_demand_forecasting_dataset5678[[#This Row],[Units_Sold]]*automotive_demand_forecasting_dataset5678[[#This Row],[Average_Price]]</f>
        <v>3373517.5964800003</v>
      </c>
      <c r="S282" t="str">
        <f t="shared" ca="1" si="30"/>
        <v>OK</v>
      </c>
    </row>
    <row r="283" spans="1:19">
      <c r="A283" s="1">
        <v>50165</v>
      </c>
      <c r="B283" t="s">
        <v>12</v>
      </c>
      <c r="C283" t="str">
        <f>TEXT(automotive_demand_forecasting_dataset5678[[#This Row],[Date]],"mmmm")</f>
        <v>May</v>
      </c>
      <c r="D283" t="str">
        <f>CHOOSE(MATCH(MONTH(A283), {1,4,7,10}), "Winter", "Spring", "Summer", "Autumn")</f>
        <v>Spring</v>
      </c>
      <c r="E283">
        <f>YEAR(automotive_demand_forecasting_dataset5678[[#This Row],[Date]])</f>
        <v>2037</v>
      </c>
      <c r="F283">
        <v>83</v>
      </c>
      <c r="G283">
        <f>(automotive_demand_forecasting_dataset5678[[#This Row],[Units_Sold]] -$C$4) / $C$5</f>
        <v>-1.6696700305174328</v>
      </c>
      <c r="H283" s="47" t="str">
        <f t="shared" ca="1" si="28"/>
        <v>East</v>
      </c>
      <c r="I283">
        <v>31119.570670323308</v>
      </c>
      <c r="J283">
        <v>3.7569539248294577</v>
      </c>
      <c r="K283">
        <v>1.8585130909556904</v>
      </c>
      <c r="L283">
        <v>6.2464839883672587</v>
      </c>
      <c r="M283">
        <v>92553.618941241541</v>
      </c>
      <c r="N283" s="82">
        <v>97</v>
      </c>
      <c r="O283">
        <v>80.215177969999999</v>
      </c>
      <c r="P2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83" t="str">
        <f t="shared" ca="1" si="29"/>
        <v>Billboards</v>
      </c>
      <c r="R283" s="46">
        <f>automotive_demand_forecasting_dataset5678[[#This Row],[Units_Sold]]*automotive_demand_forecasting_dataset5678[[#This Row],[Average_Price]]</f>
        <v>2582924.3656368344</v>
      </c>
      <c r="S283" t="str">
        <f t="shared" ca="1" si="30"/>
        <v>OK</v>
      </c>
    </row>
    <row r="284" spans="1:19">
      <c r="A284" s="1">
        <v>50195</v>
      </c>
      <c r="B284" t="s">
        <v>11</v>
      </c>
      <c r="C284" t="str">
        <f>TEXT(automotive_demand_forecasting_dataset5678[[#This Row],[Date]],"mmmm")</f>
        <v>June</v>
      </c>
      <c r="D284" t="str">
        <f>CHOOSE(MATCH(MONTH(A284), {1,4,7,10}), "Winter", "Spring", "Summer", "Autumn")</f>
        <v>Spring</v>
      </c>
      <c r="E284">
        <f>YEAR(automotive_demand_forecasting_dataset5678[[#This Row],[Date]])</f>
        <v>2037</v>
      </c>
      <c r="F284">
        <v>102</v>
      </c>
      <c r="G284">
        <f>(automotive_demand_forecasting_dataset5678[[#This Row],[Units_Sold]] -$C$4) / $C$5</f>
        <v>0.27657110934951373</v>
      </c>
      <c r="H284" s="47" t="str">
        <f t="shared" ca="1" si="28"/>
        <v>East</v>
      </c>
      <c r="I284">
        <v>36820.702149869219</v>
      </c>
      <c r="J284">
        <v>3.5897908909697991</v>
      </c>
      <c r="K284">
        <v>2.9878722848710741</v>
      </c>
      <c r="L284">
        <v>5.616047043</v>
      </c>
      <c r="M284">
        <v>108746.26374077922</v>
      </c>
      <c r="N284" s="82">
        <v>97</v>
      </c>
      <c r="O284">
        <v>98.195054736320984</v>
      </c>
      <c r="P2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84" t="str">
        <f t="shared" ca="1" si="29"/>
        <v>Billboards</v>
      </c>
      <c r="R284" s="46">
        <f>automotive_demand_forecasting_dataset5678[[#This Row],[Units_Sold]]*automotive_demand_forecasting_dataset5678[[#This Row],[Average_Price]]</f>
        <v>3755711.6192866606</v>
      </c>
      <c r="S284" t="str">
        <f t="shared" ca="1" si="30"/>
        <v>OK</v>
      </c>
    </row>
    <row r="285" spans="1:19">
      <c r="A285" s="1">
        <v>50225</v>
      </c>
      <c r="B285" t="s">
        <v>12</v>
      </c>
      <c r="C285" t="str">
        <f>TEXT(automotive_demand_forecasting_dataset5678[[#This Row],[Date]],"mmmm")</f>
        <v>July</v>
      </c>
      <c r="D285" t="str">
        <f>CHOOSE(MATCH(MONTH(A285), {1,4,7,10}), "Winter", "Spring", "Summer", "Autumn")</f>
        <v>Summer</v>
      </c>
      <c r="E285">
        <f>YEAR(automotive_demand_forecasting_dataset5678[[#This Row],[Date]])</f>
        <v>2037</v>
      </c>
      <c r="F285">
        <v>98</v>
      </c>
      <c r="G285">
        <f>(automotive_demand_forecasting_dataset5678[[#This Row],[Units_Sold]] -$C$4) / $C$5</f>
        <v>-0.13316386746458025</v>
      </c>
      <c r="H285" s="47" t="str">
        <f t="shared" ca="1" si="28"/>
        <v>South</v>
      </c>
      <c r="I285">
        <v>30626.122513239538</v>
      </c>
      <c r="J285">
        <v>3.6753150496367795</v>
      </c>
      <c r="K285">
        <v>4.3043481097867433</v>
      </c>
      <c r="L285">
        <v>5.9641702248270434</v>
      </c>
      <c r="M285">
        <v>103703.51073659828</v>
      </c>
      <c r="N285" s="82">
        <v>85</v>
      </c>
      <c r="O285">
        <v>97.148258722878921</v>
      </c>
      <c r="P2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85" t="str">
        <f t="shared" ca="1" si="29"/>
        <v>Print</v>
      </c>
      <c r="R285" s="46">
        <f>automotive_demand_forecasting_dataset5678[[#This Row],[Units_Sold]]*automotive_demand_forecasting_dataset5678[[#This Row],[Average_Price]]</f>
        <v>3001360.0062974747</v>
      </c>
      <c r="S285" t="str">
        <f t="shared" ca="1" si="30"/>
        <v>OK</v>
      </c>
    </row>
    <row r="286" spans="1:19">
      <c r="A286" s="1">
        <v>50255</v>
      </c>
      <c r="B286" t="s">
        <v>10</v>
      </c>
      <c r="C286" t="str">
        <f>TEXT(automotive_demand_forecasting_dataset5678[[#This Row],[Date]],"mmmm")</f>
        <v>August</v>
      </c>
      <c r="D286" t="str">
        <f>CHOOSE(MATCH(MONTH(A286), {1,4,7,10}), "Winter", "Spring", "Summer", "Autumn")</f>
        <v>Summer</v>
      </c>
      <c r="E286">
        <f>YEAR(automotive_demand_forecasting_dataset5678[[#This Row],[Date]])</f>
        <v>2037</v>
      </c>
      <c r="F286">
        <v>93</v>
      </c>
      <c r="G286">
        <f>(automotive_demand_forecasting_dataset5678[[#This Row],[Units_Sold]] -$C$4) / $C$5</f>
        <v>-0.64533258848219777</v>
      </c>
      <c r="H286" s="47" t="str">
        <f t="shared" ca="1" si="28"/>
        <v>South</v>
      </c>
      <c r="I286">
        <v>27852.972294373736</v>
      </c>
      <c r="J286">
        <v>3.7445935650738318</v>
      </c>
      <c r="K286">
        <v>2.3090962082727011</v>
      </c>
      <c r="L286">
        <f>6.97388673</f>
        <v>6.9738867300000003</v>
      </c>
      <c r="M286">
        <v>108508.89728368344</v>
      </c>
      <c r="N286" s="82">
        <v>77</v>
      </c>
      <c r="O286">
        <v>33.098316630333677</v>
      </c>
      <c r="P2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86" t="str">
        <f t="shared" ca="1" si="29"/>
        <v>Radio</v>
      </c>
      <c r="R286" s="46">
        <f>automotive_demand_forecasting_dataset5678[[#This Row],[Units_Sold]]*automotive_demand_forecasting_dataset5678[[#This Row],[Average_Price]]</f>
        <v>2590326.4233767577</v>
      </c>
      <c r="S286" t="str">
        <f t="shared" ca="1" si="30"/>
        <v>OK</v>
      </c>
    </row>
    <row r="287" spans="1:19">
      <c r="A287" s="1">
        <v>50285</v>
      </c>
      <c r="B287" t="s">
        <v>13</v>
      </c>
      <c r="C287" t="str">
        <f>TEXT(automotive_demand_forecasting_dataset5678[[#This Row],[Date]],"mmmm")</f>
        <v>September</v>
      </c>
      <c r="D287" t="str">
        <f>CHOOSE(MATCH(MONTH(A287), {1,4,7,10}), "Winter", "Spring", "Summer", "Autumn")</f>
        <v>Summer</v>
      </c>
      <c r="E287">
        <f>YEAR(automotive_demand_forecasting_dataset5678[[#This Row],[Date]])</f>
        <v>2037</v>
      </c>
      <c r="F287">
        <v>104</v>
      </c>
      <c r="G287">
        <f>(automotive_demand_forecasting_dataset5678[[#This Row],[Units_Sold]] -$C$4) / $C$5</f>
        <v>0.48143859775656078</v>
      </c>
      <c r="H287" s="47" t="str">
        <f t="shared" ca="1" si="28"/>
        <v>South</v>
      </c>
      <c r="I287">
        <v>30611.487515161418</v>
      </c>
      <c r="J287">
        <v>3.5380713799999999</v>
      </c>
      <c r="K287">
        <v>3.2197579421481821</v>
      </c>
      <c r="L287">
        <v>7.9147245348409179</v>
      </c>
      <c r="M287">
        <f>128897.2893</f>
        <v>128897.2893</v>
      </c>
      <c r="N287" s="82">
        <v>100</v>
      </c>
      <c r="O287">
        <v>43.953849984248528</v>
      </c>
      <c r="P2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87" t="str">
        <f t="shared" ca="1" si="29"/>
        <v>Radio</v>
      </c>
      <c r="R287" s="46">
        <f>automotive_demand_forecasting_dataset5678[[#This Row],[Units_Sold]]*automotive_demand_forecasting_dataset5678[[#This Row],[Average_Price]]</f>
        <v>3183594.7015767875</v>
      </c>
      <c r="S287" t="str">
        <f t="shared" ca="1" si="30"/>
        <v>OK</v>
      </c>
    </row>
    <row r="288" spans="1:19">
      <c r="A288" s="1">
        <v>50315</v>
      </c>
      <c r="B288" t="s">
        <v>13</v>
      </c>
      <c r="C288" t="str">
        <f>TEXT(automotive_demand_forecasting_dataset5678[[#This Row],[Date]],"mmmm")</f>
        <v>October</v>
      </c>
      <c r="D288" t="str">
        <f>CHOOSE(MATCH(MONTH(A288), {1,4,7,10}), "Winter", "Spring", "Summer", "Autumn")</f>
        <v>Autumn</v>
      </c>
      <c r="E288">
        <f>YEAR(automotive_demand_forecasting_dataset5678[[#This Row],[Date]])</f>
        <v>2037</v>
      </c>
      <c r="F288">
        <v>96</v>
      </c>
      <c r="G288">
        <f>(automotive_demand_forecasting_dataset5678[[#This Row],[Units_Sold]] -$C$4) / $C$5</f>
        <v>-0.33803135587162725</v>
      </c>
      <c r="H288" s="47" t="str">
        <f t="shared" ca="1" si="28"/>
        <v>East</v>
      </c>
      <c r="I288">
        <v>32716.490145181939</v>
      </c>
      <c r="J288">
        <v>4.0548499209781115</v>
      </c>
      <c r="K288">
        <f t="shared" ref="K288" si="31">3.224108373</f>
        <v>3.224108373</v>
      </c>
      <c r="L288">
        <v>6.7284514553283774</v>
      </c>
      <c r="M288">
        <v>125577.31626626787</v>
      </c>
      <c r="N288" s="82">
        <v>87</v>
      </c>
      <c r="O288">
        <v>28.012399800541353</v>
      </c>
      <c r="P2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288" t="str">
        <f t="shared" ca="1" si="29"/>
        <v>Billboards</v>
      </c>
      <c r="R288" s="46">
        <f>automotive_demand_forecasting_dataset5678[[#This Row],[Units_Sold]]*automotive_demand_forecasting_dataset5678[[#This Row],[Average_Price]]</f>
        <v>3140783.0539374659</v>
      </c>
      <c r="S288" t="str">
        <f t="shared" ca="1" si="30"/>
        <v>OK</v>
      </c>
    </row>
    <row r="289" spans="1:19">
      <c r="A289" s="1">
        <v>50345</v>
      </c>
      <c r="B289" t="s">
        <v>10</v>
      </c>
      <c r="C289" t="str">
        <f>TEXT(automotive_demand_forecasting_dataset5678[[#This Row],[Date]],"mmmm")</f>
        <v>November</v>
      </c>
      <c r="D289" t="str">
        <f>CHOOSE(MATCH(MONTH(A289), {1,4,7,10}), "Winter", "Spring", "Summer", "Autumn")</f>
        <v>Autumn</v>
      </c>
      <c r="E289">
        <f>YEAR(automotive_demand_forecasting_dataset5678[[#This Row],[Date]])</f>
        <v>2037</v>
      </c>
      <c r="F289">
        <v>103</v>
      </c>
      <c r="G289">
        <f>(automotive_demand_forecasting_dataset5678[[#This Row],[Units_Sold]] -$C$4) / $C$5</f>
        <v>0.37900485355303726</v>
      </c>
      <c r="H289" s="47" t="str">
        <f t="shared" ca="1" si="28"/>
        <v>West</v>
      </c>
      <c r="I289">
        <v>30244.300351628521</v>
      </c>
      <c r="J289">
        <v>3.7049093284642565</v>
      </c>
      <c r="K289">
        <v>1.5435636231819911</v>
      </c>
      <c r="L289">
        <v>5.7991703147700751</v>
      </c>
      <c r="M289">
        <v>80953.672385224054</v>
      </c>
      <c r="N289" s="82">
        <v>102</v>
      </c>
      <c r="O289">
        <v>41.737407911854376</v>
      </c>
      <c r="P2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289" t="str">
        <f t="shared" ca="1" si="29"/>
        <v>Online</v>
      </c>
      <c r="R289" s="46">
        <f>automotive_demand_forecasting_dataset5678[[#This Row],[Units_Sold]]*automotive_demand_forecasting_dataset5678[[#This Row],[Average_Price]]</f>
        <v>3115162.9362177378</v>
      </c>
      <c r="S289" t="str">
        <f t="shared" ca="1" si="30"/>
        <v>OK</v>
      </c>
    </row>
    <row r="290" spans="1:19">
      <c r="A290" s="1">
        <v>50375</v>
      </c>
      <c r="B290" t="s">
        <v>11</v>
      </c>
      <c r="C290" t="str">
        <f>TEXT(automotive_demand_forecasting_dataset5678[[#This Row],[Date]],"mmmm")</f>
        <v>December</v>
      </c>
      <c r="D290" t="str">
        <f>CHOOSE(MATCH(MONTH(A290), {1,4,7,10}), "Winter", "Spring", "Summer", "Autumn")</f>
        <v>Autumn</v>
      </c>
      <c r="E290">
        <f>YEAR(automotive_demand_forecasting_dataset5678[[#This Row],[Date]])</f>
        <v>2037</v>
      </c>
      <c r="F290">
        <v>85</v>
      </c>
      <c r="G290">
        <f>(automotive_demand_forecasting_dataset5678[[#This Row],[Units_Sold]] -$C$4) / $C$5</f>
        <v>-1.4648025421103859</v>
      </c>
      <c r="H290" s="47" t="str">
        <f t="shared" ca="1" si="28"/>
        <v>North</v>
      </c>
      <c r="I290">
        <v>30202.958456019413</v>
      </c>
      <c r="J290">
        <v>3.3793711726907287</v>
      </c>
      <c r="K290">
        <v>2.9724062778803773</v>
      </c>
      <c r="L290">
        <f>6.97388673</f>
        <v>6.9738867300000003</v>
      </c>
      <c r="M290">
        <v>86460.097230829371</v>
      </c>
      <c r="N290" s="82">
        <v>102</v>
      </c>
      <c r="O290">
        <v>85.276463153216525</v>
      </c>
      <c r="P2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290" t="str">
        <f t="shared" ca="1" si="29"/>
        <v>TV</v>
      </c>
      <c r="R290" s="46">
        <f>automotive_demand_forecasting_dataset5678[[#This Row],[Units_Sold]]*automotive_demand_forecasting_dataset5678[[#This Row],[Average_Price]]</f>
        <v>2567251.4687616499</v>
      </c>
      <c r="S290" t="str">
        <f t="shared" ca="1" si="30"/>
        <v>OK</v>
      </c>
    </row>
    <row r="291" spans="1:19">
      <c r="A291" s="1">
        <v>50405</v>
      </c>
      <c r="B291" t="s">
        <v>10</v>
      </c>
      <c r="C291" t="str">
        <f>TEXT(automotive_demand_forecasting_dataset5678[[#This Row],[Date]],"mmmm")</f>
        <v>December</v>
      </c>
      <c r="D291" t="str">
        <f>CHOOSE(MATCH(MONTH(A291), {1,4,7,10}), "Winter", "Spring", "Summer", "Autumn")</f>
        <v>Autumn</v>
      </c>
      <c r="E291">
        <f>YEAR(automotive_demand_forecasting_dataset5678[[#This Row],[Date]])</f>
        <v>2037</v>
      </c>
      <c r="F291">
        <v>92</v>
      </c>
      <c r="G291">
        <f>(automotive_demand_forecasting_dataset5678[[#This Row],[Units_Sold]] -$C$4) / $C$5</f>
        <v>-0.74776633268572135</v>
      </c>
      <c r="H291" s="47" t="str">
        <f t="shared" ca="1" si="28"/>
        <v>South</v>
      </c>
      <c r="I291">
        <v>26490.041560966223</v>
      </c>
      <c r="J291">
        <v>4.5778345189999996</v>
      </c>
      <c r="K291">
        <v>3.9841160285359649</v>
      </c>
      <c r="L291">
        <v>5.6738653997162691</v>
      </c>
      <c r="M291">
        <v>84546.811094583521</v>
      </c>
      <c r="N291" s="82">
        <v>98</v>
      </c>
      <c r="O291">
        <v>50.265248573220759</v>
      </c>
      <c r="P2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291" t="str">
        <f t="shared" ca="1" si="29"/>
        <v>TV</v>
      </c>
      <c r="R291" s="46">
        <f>automotive_demand_forecasting_dataset5678[[#This Row],[Units_Sold]]*automotive_demand_forecasting_dataset5678[[#This Row],[Average_Price]]</f>
        <v>2437083.8236088925</v>
      </c>
      <c r="S291" t="str">
        <f t="shared" ca="1" si="30"/>
        <v>OK</v>
      </c>
    </row>
    <row r="292" spans="1:19">
      <c r="A292" s="1">
        <v>50435</v>
      </c>
      <c r="B292" t="s">
        <v>10</v>
      </c>
      <c r="C292" t="str">
        <f>TEXT(automotive_demand_forecasting_dataset5678[[#This Row],[Date]],"mmmm")</f>
        <v>January</v>
      </c>
      <c r="D292" t="str">
        <f>CHOOSE(MATCH(MONTH(A292), {1,4,7,10}), "Winter", "Spring", "Summer", "Autumn")</f>
        <v>Winter</v>
      </c>
      <c r="E292">
        <f>YEAR(automotive_demand_forecasting_dataset5678[[#This Row],[Date]])</f>
        <v>2038</v>
      </c>
      <c r="F292">
        <v>90</v>
      </c>
      <c r="G292">
        <f>(automotive_demand_forecasting_dataset5678[[#This Row],[Units_Sold]] -$C$4) / $C$5</f>
        <v>-0.95263382109276828</v>
      </c>
      <c r="H292" s="47" t="str">
        <f t="shared" ca="1" si="28"/>
        <v>East</v>
      </c>
      <c r="I292">
        <v>26685.495412245258</v>
      </c>
      <c r="J292">
        <v>4.449940967447608</v>
      </c>
      <c r="K292">
        <v>2.8556133487856599</v>
      </c>
      <c r="L292">
        <v>5.5286836519419467</v>
      </c>
      <c r="M292">
        <v>116603.8362372522</v>
      </c>
      <c r="N292" s="82">
        <v>80</v>
      </c>
      <c r="O292">
        <v>27.07175737174067</v>
      </c>
      <c r="P2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292" t="str">
        <f t="shared" ca="1" si="29"/>
        <v>Radio</v>
      </c>
      <c r="R292" s="46">
        <f>automotive_demand_forecasting_dataset5678[[#This Row],[Units_Sold]]*automotive_demand_forecasting_dataset5678[[#This Row],[Average_Price]]</f>
        <v>2401694.5871020732</v>
      </c>
      <c r="S292" t="str">
        <f t="shared" ca="1" si="30"/>
        <v>OK</v>
      </c>
    </row>
    <row r="293" spans="1:19">
      <c r="A293" s="1">
        <v>50465</v>
      </c>
      <c r="B293" t="s">
        <v>13</v>
      </c>
      <c r="C293" t="str">
        <f>TEXT(automotive_demand_forecasting_dataset5678[[#This Row],[Date]],"mmmm")</f>
        <v>March</v>
      </c>
      <c r="D293" t="str">
        <f>CHOOSE(MATCH(MONTH(A293), {1,4,7,10}), "Winter", "Spring", "Summer", "Autumn")</f>
        <v>Winter</v>
      </c>
      <c r="E293">
        <f>YEAR(automotive_demand_forecasting_dataset5678[[#This Row],[Date]])</f>
        <v>2038</v>
      </c>
      <c r="F293">
        <v>83</v>
      </c>
      <c r="G293">
        <f>(automotive_demand_forecasting_dataset5678[[#This Row],[Units_Sold]] -$C$4) / $C$5</f>
        <v>-1.6696700305174328</v>
      </c>
      <c r="H293" s="47" t="str">
        <f t="shared" ca="1" si="28"/>
        <v>North</v>
      </c>
      <c r="I293">
        <v>22986.973641001532</v>
      </c>
      <c r="J293">
        <v>3.4336831268087131</v>
      </c>
      <c r="K293">
        <v>2.1869419694768455</v>
      </c>
      <c r="L293">
        <v>5.078302917143521</v>
      </c>
      <c r="M293">
        <v>118007.97176790127</v>
      </c>
      <c r="N293" s="82">
        <v>79</v>
      </c>
      <c r="O293">
        <v>47.378041982312368</v>
      </c>
      <c r="P2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293" t="str">
        <f t="shared" ca="1" si="29"/>
        <v>Print</v>
      </c>
      <c r="R293" s="46">
        <f>automotive_demand_forecasting_dataset5678[[#This Row],[Units_Sold]]*automotive_demand_forecasting_dataset5678[[#This Row],[Average_Price]]</f>
        <v>1907918.8122031272</v>
      </c>
      <c r="S293" t="str">
        <f t="shared" ca="1" si="30"/>
        <v>OK</v>
      </c>
    </row>
    <row r="294" spans="1:19">
      <c r="A294" s="1">
        <v>50495</v>
      </c>
      <c r="B294" t="s">
        <v>14</v>
      </c>
      <c r="C294" t="str">
        <f>TEXT(automotive_demand_forecasting_dataset5678[[#This Row],[Date]],"mmmm")</f>
        <v>March</v>
      </c>
      <c r="D294" t="str">
        <f>CHOOSE(MATCH(MONTH(A294), {1,4,7,10}), "Winter", "Spring", "Summer", "Autumn")</f>
        <v>Winter</v>
      </c>
      <c r="E294">
        <f>YEAR(automotive_demand_forecasting_dataset5678[[#This Row],[Date]])</f>
        <v>2038</v>
      </c>
      <c r="F294">
        <v>86</v>
      </c>
      <c r="G294">
        <f>(automotive_demand_forecasting_dataset5678[[#This Row],[Units_Sold]] -$C$4) / $C$5</f>
        <v>-1.3623687979068624</v>
      </c>
      <c r="H294" s="47" t="str">
        <f t="shared" ca="1" si="28"/>
        <v>South</v>
      </c>
      <c r="I294">
        <v>38747.883715934695</v>
      </c>
      <c r="J294">
        <v>3.0127353476646794</v>
      </c>
      <c r="K294">
        <v>2.4992914054233539</v>
      </c>
      <c r="L294">
        <v>7.3760960305985295</v>
      </c>
      <c r="M294">
        <v>109024.50638637017</v>
      </c>
      <c r="N294" s="82">
        <v>91</v>
      </c>
      <c r="O294">
        <v>98.510666739302408</v>
      </c>
      <c r="P2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294" t="str">
        <f t="shared" ca="1" si="29"/>
        <v>Print</v>
      </c>
      <c r="R294" s="46">
        <f>automotive_demand_forecasting_dataset5678[[#This Row],[Units_Sold]]*automotive_demand_forecasting_dataset5678[[#This Row],[Average_Price]]</f>
        <v>3332317.9995703837</v>
      </c>
      <c r="S294" t="str">
        <f t="shared" ca="1" si="30"/>
        <v>OK</v>
      </c>
    </row>
    <row r="295" spans="1:19">
      <c r="A295" s="1">
        <v>50525</v>
      </c>
      <c r="B295" t="s">
        <v>13</v>
      </c>
      <c r="C295" t="str">
        <f>TEXT(automotive_demand_forecasting_dataset5678[[#This Row],[Date]],"mmmm")</f>
        <v>April</v>
      </c>
      <c r="D295" t="str">
        <f>CHOOSE(MATCH(MONTH(A295), {1,4,7,10}), "Winter", "Spring", "Summer", "Autumn")</f>
        <v>Spring</v>
      </c>
      <c r="E295">
        <f>YEAR(automotive_demand_forecasting_dataset5678[[#This Row],[Date]])</f>
        <v>2038</v>
      </c>
      <c r="F295">
        <v>110</v>
      </c>
      <c r="G295">
        <f>(automotive_demand_forecasting_dataset5678[[#This Row],[Units_Sold]] -$C$4) / $C$5</f>
        <v>1.0960410629777018</v>
      </c>
      <c r="H295" s="47" t="str">
        <f t="shared" ca="1" si="28"/>
        <v>West</v>
      </c>
      <c r="I295">
        <v>23780.683823043575</v>
      </c>
      <c r="J295">
        <v>4.0535403346434862</v>
      </c>
      <c r="K295">
        <v>1.2495922660302825</v>
      </c>
      <c r="L295">
        <v>4.5178856008695982</v>
      </c>
      <c r="M295">
        <v>123669.87333779855</v>
      </c>
      <c r="N295" s="82">
        <v>81</v>
      </c>
      <c r="O295">
        <v>70.374687620736239</v>
      </c>
      <c r="P2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295" t="str">
        <f t="shared" ca="1" si="29"/>
        <v>Radio</v>
      </c>
      <c r="R295" s="46">
        <f>automotive_demand_forecasting_dataset5678[[#This Row],[Units_Sold]]*automotive_demand_forecasting_dataset5678[[#This Row],[Average_Price]]</f>
        <v>2615875.2205347931</v>
      </c>
      <c r="S295" t="str">
        <f t="shared" ca="1" si="30"/>
        <v>OK</v>
      </c>
    </row>
    <row r="296" spans="1:19">
      <c r="A296" s="1">
        <v>50555</v>
      </c>
      <c r="B296" t="s">
        <v>13</v>
      </c>
      <c r="C296" t="str">
        <f>TEXT(automotive_demand_forecasting_dataset5678[[#This Row],[Date]],"mmmm")</f>
        <v>May</v>
      </c>
      <c r="D296" t="str">
        <f>CHOOSE(MATCH(MONTH(A296), {1,4,7,10}), "Winter", "Spring", "Summer", "Autumn")</f>
        <v>Spring</v>
      </c>
      <c r="E296">
        <f>YEAR(automotive_demand_forecasting_dataset5678[[#This Row],[Date]])</f>
        <v>2038</v>
      </c>
      <c r="F296">
        <v>89</v>
      </c>
      <c r="G296">
        <f>(automotive_demand_forecasting_dataset5678[[#This Row],[Units_Sold]] -$C$4) / $C$5</f>
        <v>-1.0550675652962918</v>
      </c>
      <c r="H296" s="47" t="str">
        <f t="shared" ca="1" si="28"/>
        <v>West</v>
      </c>
      <c r="I296">
        <v>38106.295579999998</v>
      </c>
      <c r="J296">
        <v>3.4398094180232008</v>
      </c>
      <c r="K296">
        <v>3.1045153263553669</v>
      </c>
      <c r="L296">
        <v>7.3388412696137388</v>
      </c>
      <c r="M296">
        <v>76439.182652472387</v>
      </c>
      <c r="N296" s="82">
        <v>66</v>
      </c>
      <c r="O296">
        <v>53.292875712492616</v>
      </c>
      <c r="P2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296" t="str">
        <f t="shared" ca="1" si="29"/>
        <v>Radio</v>
      </c>
      <c r="R296" s="46">
        <f>automotive_demand_forecasting_dataset5678[[#This Row],[Units_Sold]]*automotive_demand_forecasting_dataset5678[[#This Row],[Average_Price]]</f>
        <v>3391460.3066199999</v>
      </c>
      <c r="S296" t="str">
        <f t="shared" ca="1" si="30"/>
        <v>OK</v>
      </c>
    </row>
    <row r="297" spans="1:19">
      <c r="A297" s="1">
        <v>50585</v>
      </c>
      <c r="B297" t="s">
        <v>12</v>
      </c>
      <c r="C297" t="str">
        <f>TEXT(automotive_demand_forecasting_dataset5678[[#This Row],[Date]],"mmmm")</f>
        <v>June</v>
      </c>
      <c r="D297" t="str">
        <f>CHOOSE(MATCH(MONTH(A297), {1,4,7,10}), "Winter", "Spring", "Summer", "Autumn")</f>
        <v>Spring</v>
      </c>
      <c r="E297">
        <f>YEAR(automotive_demand_forecasting_dataset5678[[#This Row],[Date]])</f>
        <v>2038</v>
      </c>
      <c r="F297">
        <v>118</v>
      </c>
      <c r="G297">
        <f>(automotive_demand_forecasting_dataset5678[[#This Row],[Units_Sold]] -$C$4) / $C$5</f>
        <v>1.9155110166058897</v>
      </c>
      <c r="H297" s="47" t="str">
        <f t="shared" ca="1" si="28"/>
        <v>West</v>
      </c>
      <c r="I297">
        <v>30949.702720000001</v>
      </c>
      <c r="J297">
        <v>2.4136652269929817</v>
      </c>
      <c r="K297">
        <v>3.3823330623234091</v>
      </c>
      <c r="L297">
        <v>6.0998369484884458</v>
      </c>
      <c r="M297">
        <v>133344.48223102273</v>
      </c>
      <c r="N297" s="82">
        <v>92</v>
      </c>
      <c r="O297">
        <v>33.323081079781602</v>
      </c>
      <c r="P2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297" t="str">
        <f t="shared" ca="1" si="29"/>
        <v>TV</v>
      </c>
      <c r="R297" s="46">
        <f>automotive_demand_forecasting_dataset5678[[#This Row],[Units_Sold]]*automotive_demand_forecasting_dataset5678[[#This Row],[Average_Price]]</f>
        <v>3652064.9209600003</v>
      </c>
      <c r="S297" t="str">
        <f t="shared" ca="1" si="30"/>
        <v>OK</v>
      </c>
    </row>
    <row r="298" spans="1:19">
      <c r="A298" s="1">
        <v>50615</v>
      </c>
      <c r="B298" t="s">
        <v>10</v>
      </c>
      <c r="C298" t="str">
        <f>TEXT(automotive_demand_forecasting_dataset5678[[#This Row],[Date]],"mmmm")</f>
        <v>July</v>
      </c>
      <c r="D298" t="str">
        <f>CHOOSE(MATCH(MONTH(A298), {1,4,7,10}), "Winter", "Spring", "Summer", "Autumn")</f>
        <v>Summer</v>
      </c>
      <c r="E298">
        <f>YEAR(automotive_demand_forecasting_dataset5678[[#This Row],[Date]])</f>
        <v>2038</v>
      </c>
      <c r="F298">
        <v>102</v>
      </c>
      <c r="G298">
        <f>(automotive_demand_forecasting_dataset5678[[#This Row],[Units_Sold]] -$C$4) / $C$5</f>
        <v>0.27657110934951373</v>
      </c>
      <c r="H298" s="47" t="str">
        <f t="shared" ca="1" si="28"/>
        <v>South</v>
      </c>
      <c r="I298">
        <v>34474.621884722204</v>
      </c>
      <c r="J298">
        <v>3.9237108385752109</v>
      </c>
      <c r="K298">
        <v>2.0479096671669197</v>
      </c>
      <c r="L298">
        <v>3.8208325902376705</v>
      </c>
      <c r="M298">
        <v>130464.77243424517</v>
      </c>
      <c r="N298" s="82">
        <v>95</v>
      </c>
      <c r="O298">
        <v>98.894143782695579</v>
      </c>
      <c r="P2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298" t="str">
        <f t="shared" ca="1" si="29"/>
        <v>Radio</v>
      </c>
      <c r="R298" s="46">
        <f>automotive_demand_forecasting_dataset5678[[#This Row],[Units_Sold]]*automotive_demand_forecasting_dataset5678[[#This Row],[Average_Price]]</f>
        <v>3516411.4322416647</v>
      </c>
      <c r="S298" t="str">
        <f t="shared" ca="1" si="30"/>
        <v>OK</v>
      </c>
    </row>
    <row r="299" spans="1:19">
      <c r="A299" s="1">
        <v>50645</v>
      </c>
      <c r="B299" t="s">
        <v>13</v>
      </c>
      <c r="C299" t="str">
        <f>TEXT(automotive_demand_forecasting_dataset5678[[#This Row],[Date]],"mmmm")</f>
        <v>August</v>
      </c>
      <c r="D299" t="str">
        <f>CHOOSE(MATCH(MONTH(A299), {1,4,7,10}), "Winter", "Spring", "Summer", "Autumn")</f>
        <v>Summer</v>
      </c>
      <c r="E299">
        <f>YEAR(automotive_demand_forecasting_dataset5678[[#This Row],[Date]])</f>
        <v>2038</v>
      </c>
      <c r="F299">
        <v>108</v>
      </c>
      <c r="G299">
        <f>(automotive_demand_forecasting_dataset5678[[#This Row],[Units_Sold]] -$C$4) / $C$5</f>
        <v>0.89117357457065483</v>
      </c>
      <c r="H299" s="47" t="str">
        <f t="shared" ca="1" si="28"/>
        <v>West</v>
      </c>
      <c r="I299">
        <v>28525.25160853986</v>
      </c>
      <c r="J299">
        <v>3.2323359070230389</v>
      </c>
      <c r="K299">
        <v>2.0299578522404986</v>
      </c>
      <c r="L299">
        <v>5.616047043</v>
      </c>
      <c r="M299">
        <v>114712.43994491494</v>
      </c>
      <c r="N299" s="82">
        <f>111.9136842</f>
        <v>111.91368420000001</v>
      </c>
      <c r="O299">
        <v>85.667920741050295</v>
      </c>
      <c r="P2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299" t="str">
        <f t="shared" ca="1" si="29"/>
        <v>Radio</v>
      </c>
      <c r="R299" s="46">
        <f>automotive_demand_forecasting_dataset5678[[#This Row],[Units_Sold]]*automotive_demand_forecasting_dataset5678[[#This Row],[Average_Price]]</f>
        <v>3080727.1737223049</v>
      </c>
      <c r="S299" t="str">
        <f t="shared" ca="1" si="30"/>
        <v>OK</v>
      </c>
    </row>
    <row r="300" spans="1:19">
      <c r="A300" s="1">
        <v>50675</v>
      </c>
      <c r="B300" t="s">
        <v>10</v>
      </c>
      <c r="C300" t="str">
        <f>TEXT(automotive_demand_forecasting_dataset5678[[#This Row],[Date]],"mmmm")</f>
        <v>September</v>
      </c>
      <c r="D300" t="str">
        <f>CHOOSE(MATCH(MONTH(A300), {1,4,7,10}), "Winter", "Spring", "Summer", "Autumn")</f>
        <v>Summer</v>
      </c>
      <c r="E300">
        <f>YEAR(automotive_demand_forecasting_dataset5678[[#This Row],[Date]])</f>
        <v>2038</v>
      </c>
      <c r="F300">
        <v>95</v>
      </c>
      <c r="G300">
        <f>(automotive_demand_forecasting_dataset5678[[#This Row],[Units_Sold]] -$C$4) / $C$5</f>
        <v>-0.44046510007515077</v>
      </c>
      <c r="H300" s="47" t="str">
        <f t="shared" ca="1" si="28"/>
        <v>North</v>
      </c>
      <c r="I300">
        <v>36238.710363368671</v>
      </c>
      <c r="J300">
        <v>3.4547333588479194</v>
      </c>
      <c r="K300">
        <v>2.7658782296520483</v>
      </c>
      <c r="L300">
        <v>2.9799681908180511</v>
      </c>
      <c r="M300">
        <v>135635.97817542119</v>
      </c>
      <c r="N300" s="82">
        <v>108</v>
      </c>
      <c r="O300">
        <v>80.215177969999999</v>
      </c>
      <c r="P3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00" t="str">
        <f t="shared" ca="1" si="29"/>
        <v>Billboards</v>
      </c>
      <c r="R300" s="46">
        <f>automotive_demand_forecasting_dataset5678[[#This Row],[Units_Sold]]*automotive_demand_forecasting_dataset5678[[#This Row],[Average_Price]]</f>
        <v>3442677.4845200237</v>
      </c>
      <c r="S300" t="str">
        <f t="shared" ca="1" si="30"/>
        <v>OK</v>
      </c>
    </row>
    <row r="301" spans="1:19">
      <c r="A301" s="1">
        <v>50705</v>
      </c>
      <c r="B301" t="s">
        <v>12</v>
      </c>
      <c r="C301" t="str">
        <f>TEXT(automotive_demand_forecasting_dataset5678[[#This Row],[Date]],"mmmm")</f>
        <v>October</v>
      </c>
      <c r="D301" t="str">
        <f>CHOOSE(MATCH(MONTH(A301), {1,4,7,10}), "Winter", "Spring", "Summer", "Autumn")</f>
        <v>Autumn</v>
      </c>
      <c r="E301">
        <f>YEAR(automotive_demand_forecasting_dataset5678[[#This Row],[Date]])</f>
        <v>2038</v>
      </c>
      <c r="F301">
        <v>100</v>
      </c>
      <c r="G301">
        <f>(automotive_demand_forecasting_dataset5678[[#This Row],[Units_Sold]] -$C$4) / $C$5</f>
        <v>7.1703620942466739E-2</v>
      </c>
      <c r="H301" s="47" t="str">
        <f t="shared" ca="1" si="28"/>
        <v>West</v>
      </c>
      <c r="I301">
        <v>26632.546878780657</v>
      </c>
      <c r="J301">
        <v>3.6659901652845073</v>
      </c>
      <c r="K301">
        <v>2.0632802639594043</v>
      </c>
      <c r="L301">
        <v>6.2506096201972428</v>
      </c>
      <c r="M301">
        <v>66867.535846444516</v>
      </c>
      <c r="N301" s="82">
        <v>83</v>
      </c>
      <c r="O301">
        <v>25.605495657695158</v>
      </c>
      <c r="P3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01" t="str">
        <f t="shared" ca="1" si="29"/>
        <v>Radio</v>
      </c>
      <c r="R301" s="46">
        <f>automotive_demand_forecasting_dataset5678[[#This Row],[Units_Sold]]*automotive_demand_forecasting_dataset5678[[#This Row],[Average_Price]]</f>
        <v>2663254.6878780657</v>
      </c>
      <c r="S301" t="str">
        <f t="shared" ca="1" si="30"/>
        <v>OK</v>
      </c>
    </row>
    <row r="302" spans="1:19">
      <c r="A302" s="1">
        <v>50735</v>
      </c>
      <c r="B302" t="s">
        <v>10</v>
      </c>
      <c r="C302" t="str">
        <f>TEXT(automotive_demand_forecasting_dataset5678[[#This Row],[Date]],"mmmm")</f>
        <v>November</v>
      </c>
      <c r="D302" t="str">
        <f>CHOOSE(MATCH(MONTH(A302), {1,4,7,10}), "Winter", "Spring", "Summer", "Autumn")</f>
        <v>Autumn</v>
      </c>
      <c r="E302">
        <f>YEAR(automotive_demand_forecasting_dataset5678[[#This Row],[Date]])</f>
        <v>2038</v>
      </c>
      <c r="F302">
        <v>86</v>
      </c>
      <c r="G302">
        <f>(automotive_demand_forecasting_dataset5678[[#This Row],[Units_Sold]] -$C$4) / $C$5</f>
        <v>-1.3623687979068624</v>
      </c>
      <c r="H302" s="47" t="str">
        <f t="shared" ca="1" si="28"/>
        <v>West</v>
      </c>
      <c r="I302">
        <v>31394.970811119008</v>
      </c>
      <c r="J302">
        <v>3.5952498398895334</v>
      </c>
      <c r="K302">
        <v>2.4338673853741777</v>
      </c>
      <c r="L302">
        <v>6.5622777795867897</v>
      </c>
      <c r="M302">
        <v>89511.037274746966</v>
      </c>
      <c r="N302" s="82">
        <v>96</v>
      </c>
      <c r="O302">
        <v>24.530044590204643</v>
      </c>
      <c r="P3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02" t="str">
        <f t="shared" ca="1" si="29"/>
        <v>Online</v>
      </c>
      <c r="R302" s="46">
        <f>automotive_demand_forecasting_dataset5678[[#This Row],[Units_Sold]]*automotive_demand_forecasting_dataset5678[[#This Row],[Average_Price]]</f>
        <v>2699967.4897562349</v>
      </c>
      <c r="S302" t="str">
        <f t="shared" ca="1" si="30"/>
        <v>OK</v>
      </c>
    </row>
    <row r="303" spans="1:19">
      <c r="A303" s="1">
        <v>50765</v>
      </c>
      <c r="B303" t="s">
        <v>13</v>
      </c>
      <c r="C303" t="str">
        <f>TEXT(automotive_demand_forecasting_dataset5678[[#This Row],[Date]],"mmmm")</f>
        <v>December</v>
      </c>
      <c r="D303" t="str">
        <f>CHOOSE(MATCH(MONTH(A303), {1,4,7,10}), "Winter", "Spring", "Summer", "Autumn")</f>
        <v>Autumn</v>
      </c>
      <c r="E303">
        <f>YEAR(automotive_demand_forecasting_dataset5678[[#This Row],[Date]])</f>
        <v>2038</v>
      </c>
      <c r="F303">
        <v>94</v>
      </c>
      <c r="G303">
        <f>(automotive_demand_forecasting_dataset5678[[#This Row],[Units_Sold]] -$C$4) / $C$5</f>
        <v>-0.5428988442786743</v>
      </c>
      <c r="H303" s="47" t="str">
        <f t="shared" ca="1" si="28"/>
        <v>West</v>
      </c>
      <c r="I303">
        <v>25823.264733701213</v>
      </c>
      <c r="J303">
        <v>3.8547259085695198</v>
      </c>
      <c r="K303">
        <v>2.6520564320000002</v>
      </c>
      <c r="L303">
        <v>4.7891728532175355</v>
      </c>
      <c r="M303">
        <v>85293.930786360957</v>
      </c>
      <c r="N303" s="82">
        <v>84</v>
      </c>
      <c r="O303">
        <v>29.630251960442706</v>
      </c>
      <c r="P3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03" t="str">
        <f t="shared" ca="1" si="29"/>
        <v>Billboards</v>
      </c>
      <c r="R303" s="46">
        <f>automotive_demand_forecasting_dataset5678[[#This Row],[Units_Sold]]*automotive_demand_forecasting_dataset5678[[#This Row],[Average_Price]]</f>
        <v>2427386.8849679139</v>
      </c>
      <c r="S303" t="str">
        <f t="shared" ca="1" si="30"/>
        <v>OK</v>
      </c>
    </row>
    <row r="304" spans="1:19">
      <c r="A304" s="1">
        <v>50795</v>
      </c>
      <c r="B304" t="s">
        <v>10</v>
      </c>
      <c r="C304" t="str">
        <f>TEXT(automotive_demand_forecasting_dataset5678[[#This Row],[Date]],"mmmm")</f>
        <v>January</v>
      </c>
      <c r="D304" t="str">
        <f>CHOOSE(MATCH(MONTH(A304), {1,4,7,10}), "Winter", "Spring", "Summer", "Autumn")</f>
        <v>Winter</v>
      </c>
      <c r="E304">
        <f>YEAR(automotive_demand_forecasting_dataset5678[[#This Row],[Date]])</f>
        <v>2039</v>
      </c>
      <c r="F304">
        <v>88</v>
      </c>
      <c r="G304">
        <f>(automotive_demand_forecasting_dataset5678[[#This Row],[Units_Sold]] -$C$4) / $C$5</f>
        <v>-1.1575013094998152</v>
      </c>
      <c r="H304" s="47" t="str">
        <f t="shared" ca="1" si="28"/>
        <v>East</v>
      </c>
      <c r="I304">
        <v>40725.745638866938</v>
      </c>
      <c r="J304">
        <v>3.2822568147150784</v>
      </c>
      <c r="K304">
        <v>2.2529742992540034</v>
      </c>
      <c r="L304">
        <v>5.6482572351466986</v>
      </c>
      <c r="M304">
        <v>114429.58647514686</v>
      </c>
      <c r="N304" s="82">
        <v>92</v>
      </c>
      <c r="O304">
        <v>66.46148668915373</v>
      </c>
      <c r="P3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04" t="str">
        <f t="shared" ca="1" si="29"/>
        <v>TV</v>
      </c>
      <c r="R304" s="46">
        <f>automotive_demand_forecasting_dataset5678[[#This Row],[Units_Sold]]*automotive_demand_forecasting_dataset5678[[#This Row],[Average_Price]]</f>
        <v>3583865.6162202908</v>
      </c>
      <c r="S304" t="str">
        <f t="shared" ca="1" si="30"/>
        <v>OK</v>
      </c>
    </row>
    <row r="305" spans="1:19">
      <c r="A305" s="1">
        <v>50825</v>
      </c>
      <c r="B305" t="s">
        <v>12</v>
      </c>
      <c r="C305" t="str">
        <f>TEXT(automotive_demand_forecasting_dataset5678[[#This Row],[Date]],"mmmm")</f>
        <v>February</v>
      </c>
      <c r="D305" t="str">
        <f>CHOOSE(MATCH(MONTH(A305), {1,4,7,10}), "Winter", "Spring", "Summer", "Autumn")</f>
        <v>Winter</v>
      </c>
      <c r="E305">
        <f>YEAR(automotive_demand_forecasting_dataset5678[[#This Row],[Date]])</f>
        <v>2039</v>
      </c>
      <c r="F305">
        <v>100</v>
      </c>
      <c r="G305">
        <f>(automotive_demand_forecasting_dataset5678[[#This Row],[Units_Sold]] -$C$4) / $C$5</f>
        <v>7.1703620942466739E-2</v>
      </c>
      <c r="H305" s="47" t="str">
        <f t="shared" ca="1" si="28"/>
        <v>South</v>
      </c>
      <c r="I305">
        <v>24062.007904852435</v>
      </c>
      <c r="J305">
        <v>3.7565528990880415</v>
      </c>
      <c r="K305">
        <v>2.6520564320000002</v>
      </c>
      <c r="L305">
        <v>7.8449889205003434</v>
      </c>
      <c r="M305">
        <v>78997.185207957082</v>
      </c>
      <c r="N305" s="82">
        <v>90</v>
      </c>
      <c r="O305">
        <v>94.301073696439389</v>
      </c>
      <c r="P3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05" t="str">
        <f t="shared" ca="1" si="29"/>
        <v>Radio</v>
      </c>
      <c r="R305" s="46">
        <f>automotive_demand_forecasting_dataset5678[[#This Row],[Units_Sold]]*automotive_demand_forecasting_dataset5678[[#This Row],[Average_Price]]</f>
        <v>2406200.7904852433</v>
      </c>
      <c r="S305" t="str">
        <f t="shared" ca="1" si="30"/>
        <v>OK</v>
      </c>
    </row>
    <row r="306" spans="1:19">
      <c r="A306" s="1">
        <v>50855</v>
      </c>
      <c r="B306" t="s">
        <v>14</v>
      </c>
      <c r="C306" t="str">
        <f>TEXT(automotive_demand_forecasting_dataset5678[[#This Row],[Date]],"mmmm")</f>
        <v>March</v>
      </c>
      <c r="D306" t="str">
        <f>CHOOSE(MATCH(MONTH(A306), {1,4,7,10}), "Winter", "Spring", "Summer", "Autumn")</f>
        <v>Winter</v>
      </c>
      <c r="E306">
        <f>YEAR(automotive_demand_forecasting_dataset5678[[#This Row],[Date]])</f>
        <v>2039</v>
      </c>
      <c r="F306">
        <v>95</v>
      </c>
      <c r="G306">
        <f>(automotive_demand_forecasting_dataset5678[[#This Row],[Units_Sold]] -$C$4) / $C$5</f>
        <v>-0.44046510007515077</v>
      </c>
      <c r="H306" s="47" t="str">
        <f t="shared" ca="1" si="28"/>
        <v>North</v>
      </c>
      <c r="I306">
        <v>31549.103551135137</v>
      </c>
      <c r="J306">
        <v>3.3702266612080414</v>
      </c>
      <c r="K306">
        <v>1.8524581943648408</v>
      </c>
      <c r="L306">
        <v>4.8931039548856763</v>
      </c>
      <c r="M306">
        <v>115149.90298674972</v>
      </c>
      <c r="N306" s="82">
        <v>98</v>
      </c>
      <c r="O306">
        <v>59.739474240478756</v>
      </c>
      <c r="P3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06" t="str">
        <f t="shared" ca="1" si="29"/>
        <v>Radio</v>
      </c>
      <c r="R306" s="46">
        <f>automotive_demand_forecasting_dataset5678[[#This Row],[Units_Sold]]*automotive_demand_forecasting_dataset5678[[#This Row],[Average_Price]]</f>
        <v>2997164.8373578382</v>
      </c>
      <c r="S306" t="str">
        <f t="shared" ca="1" si="30"/>
        <v>OK</v>
      </c>
    </row>
    <row r="307" spans="1:19">
      <c r="A307" s="1">
        <v>50885</v>
      </c>
      <c r="B307" t="s">
        <v>10</v>
      </c>
      <c r="C307" t="str">
        <f>TEXT(automotive_demand_forecasting_dataset5678[[#This Row],[Date]],"mmmm")</f>
        <v>April</v>
      </c>
      <c r="D307" t="str">
        <f>CHOOSE(MATCH(MONTH(A307), {1,4,7,10}), "Winter", "Spring", "Summer", "Autumn")</f>
        <v>Spring</v>
      </c>
      <c r="E307">
        <f>YEAR(automotive_demand_forecasting_dataset5678[[#This Row],[Date]])</f>
        <v>2039</v>
      </c>
      <c r="F307">
        <v>95</v>
      </c>
      <c r="G307">
        <f>(automotive_demand_forecasting_dataset5678[[#This Row],[Units_Sold]] -$C$4) / $C$5</f>
        <v>-0.44046510007515077</v>
      </c>
      <c r="H307" s="47" t="str">
        <f t="shared" ca="1" si="28"/>
        <v>East</v>
      </c>
      <c r="I307">
        <v>33168.884404660494</v>
      </c>
      <c r="J307">
        <v>3.8694052404437516</v>
      </c>
      <c r="K307">
        <v>3.2441919714999368</v>
      </c>
      <c r="L307">
        <v>4.2293108955320795</v>
      </c>
      <c r="M307">
        <v>127410.72287993427</v>
      </c>
      <c r="N307" s="82">
        <v>90</v>
      </c>
      <c r="O307">
        <v>87.435638596495778</v>
      </c>
      <c r="P3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07" t="str">
        <f t="shared" ca="1" si="29"/>
        <v>TV</v>
      </c>
      <c r="R307" s="46">
        <f>automotive_demand_forecasting_dataset5678[[#This Row],[Units_Sold]]*automotive_demand_forecasting_dataset5678[[#This Row],[Average_Price]]</f>
        <v>3151044.0184427467</v>
      </c>
      <c r="S307" t="str">
        <f t="shared" ca="1" si="30"/>
        <v>OK</v>
      </c>
    </row>
    <row r="308" spans="1:19">
      <c r="A308" s="1">
        <v>50915</v>
      </c>
      <c r="B308" t="s">
        <v>13</v>
      </c>
      <c r="C308" t="str">
        <f>TEXT(automotive_demand_forecasting_dataset5678[[#This Row],[Date]],"mmmm")</f>
        <v>May</v>
      </c>
      <c r="D308" t="str">
        <f>CHOOSE(MATCH(MONTH(A308), {1,4,7,10}), "Winter", "Spring", "Summer", "Autumn")</f>
        <v>Spring</v>
      </c>
      <c r="E308">
        <f>YEAR(automotive_demand_forecasting_dataset5678[[#This Row],[Date]])</f>
        <v>2039</v>
      </c>
      <c r="F308">
        <v>92</v>
      </c>
      <c r="G308">
        <f>(automotive_demand_forecasting_dataset5678[[#This Row],[Units_Sold]] -$C$4) / $C$5</f>
        <v>-0.74776633268572135</v>
      </c>
      <c r="H308" s="47" t="str">
        <f t="shared" ca="1" si="28"/>
        <v>North</v>
      </c>
      <c r="I308">
        <v>32068.995487257493</v>
      </c>
      <c r="J308">
        <v>3.8076837420065268</v>
      </c>
      <c r="K308">
        <v>2.3187758267818972</v>
      </c>
      <c r="L308">
        <v>7.2779960829551182</v>
      </c>
      <c r="M308">
        <v>113904.05800167998</v>
      </c>
      <c r="N308" s="82">
        <v>93</v>
      </c>
      <c r="O308">
        <v>55.670929588784624</v>
      </c>
      <c r="P3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08" t="str">
        <f t="shared" ca="1" si="29"/>
        <v>Billboards</v>
      </c>
      <c r="R308" s="46">
        <f>automotive_demand_forecasting_dataset5678[[#This Row],[Units_Sold]]*automotive_demand_forecasting_dataset5678[[#This Row],[Average_Price]]</f>
        <v>2950347.5848276895</v>
      </c>
      <c r="S308" t="str">
        <f t="shared" ca="1" si="30"/>
        <v>OK</v>
      </c>
    </row>
    <row r="309" spans="1:19">
      <c r="A309" s="1">
        <v>50945</v>
      </c>
      <c r="B309" t="s">
        <v>12</v>
      </c>
      <c r="C309" t="str">
        <f>TEXT(automotive_demand_forecasting_dataset5678[[#This Row],[Date]],"mmmm")</f>
        <v>June</v>
      </c>
      <c r="D309" t="str">
        <f>CHOOSE(MATCH(MONTH(A309), {1,4,7,10}), "Winter", "Spring", "Summer", "Autumn")</f>
        <v>Spring</v>
      </c>
      <c r="E309">
        <f>YEAR(automotive_demand_forecasting_dataset5678[[#This Row],[Date]])</f>
        <v>2039</v>
      </c>
      <c r="F309">
        <v>108</v>
      </c>
      <c r="G309">
        <f>(automotive_demand_forecasting_dataset5678[[#This Row],[Units_Sold]] -$C$4) / $C$5</f>
        <v>0.89117357457065483</v>
      </c>
      <c r="H309" s="47" t="str">
        <f t="shared" ca="1" si="28"/>
        <v>North</v>
      </c>
      <c r="I309">
        <v>29073.561705611457</v>
      </c>
      <c r="J309">
        <v>3.0322806489777023</v>
      </c>
      <c r="K309">
        <v>1.850626961678574</v>
      </c>
      <c r="L309">
        <v>7.855104628636953</v>
      </c>
      <c r="M309">
        <v>105675.02047323002</v>
      </c>
      <c r="N309" s="82">
        <v>90</v>
      </c>
      <c r="O309">
        <v>76.686683661426017</v>
      </c>
      <c r="P3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09" t="str">
        <f t="shared" ca="1" si="29"/>
        <v>TV</v>
      </c>
      <c r="R309" s="46">
        <f>automotive_demand_forecasting_dataset5678[[#This Row],[Units_Sold]]*automotive_demand_forecasting_dataset5678[[#This Row],[Average_Price]]</f>
        <v>3139944.6642060373</v>
      </c>
      <c r="S309" t="str">
        <f t="shared" ca="1" si="30"/>
        <v>OK</v>
      </c>
    </row>
    <row r="310" spans="1:19">
      <c r="A310" s="1">
        <v>50975</v>
      </c>
      <c r="B310" t="s">
        <v>13</v>
      </c>
      <c r="C310" t="str">
        <f>TEXT(automotive_demand_forecasting_dataset5678[[#This Row],[Date]],"mmmm")</f>
        <v>July</v>
      </c>
      <c r="D310" t="str">
        <f>CHOOSE(MATCH(MONTH(A310), {1,4,7,10}), "Winter", "Spring", "Summer", "Autumn")</f>
        <v>Summer</v>
      </c>
      <c r="E310">
        <f>YEAR(automotive_demand_forecasting_dataset5678[[#This Row],[Date]])</f>
        <v>2039</v>
      </c>
      <c r="F310">
        <v>99</v>
      </c>
      <c r="G310">
        <f>(automotive_demand_forecasting_dataset5678[[#This Row],[Units_Sold]] -$C$4) / $C$5</f>
        <v>-3.0730123261056761E-2</v>
      </c>
      <c r="H310" s="47" t="str">
        <f t="shared" ca="1" si="28"/>
        <v>West</v>
      </c>
      <c r="I310">
        <v>29350.896501332871</v>
      </c>
      <c r="J310">
        <v>4.0429910580875159</v>
      </c>
      <c r="K310">
        <f t="shared" ref="K310" si="32">3.224108373</f>
        <v>3.224108373</v>
      </c>
      <c r="L310">
        <v>5.5044348062174171</v>
      </c>
      <c r="M310">
        <v>80242.533181985025</v>
      </c>
      <c r="N310" s="82">
        <v>85</v>
      </c>
      <c r="O310">
        <v>78.549818982920073</v>
      </c>
      <c r="P3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10" t="str">
        <f t="shared" ca="1" si="29"/>
        <v>Online</v>
      </c>
      <c r="R310" s="46">
        <f>automotive_demand_forecasting_dataset5678[[#This Row],[Units_Sold]]*automotive_demand_forecasting_dataset5678[[#This Row],[Average_Price]]</f>
        <v>2905738.7536319541</v>
      </c>
      <c r="S310" t="str">
        <f t="shared" ca="1" si="30"/>
        <v>OK</v>
      </c>
    </row>
    <row r="311" spans="1:19">
      <c r="A311" s="1">
        <v>51005</v>
      </c>
      <c r="B311" t="s">
        <v>13</v>
      </c>
      <c r="C311" t="str">
        <f>TEXT(automotive_demand_forecasting_dataset5678[[#This Row],[Date]],"mmmm")</f>
        <v>August</v>
      </c>
      <c r="D311" t="str">
        <f>CHOOSE(MATCH(MONTH(A311), {1,4,7,10}), "Winter", "Spring", "Summer", "Autumn")</f>
        <v>Summer</v>
      </c>
      <c r="E311">
        <f>YEAR(automotive_demand_forecasting_dataset5678[[#This Row],[Date]])</f>
        <v>2039</v>
      </c>
      <c r="F311">
        <v>95</v>
      </c>
      <c r="G311">
        <f>(automotive_demand_forecasting_dataset5678[[#This Row],[Units_Sold]] -$C$4) / $C$5</f>
        <v>-0.44046510007515077</v>
      </c>
      <c r="H311" s="47" t="str">
        <f t="shared" ca="1" si="28"/>
        <v>East</v>
      </c>
      <c r="I311">
        <v>30219.057359895549</v>
      </c>
      <c r="J311">
        <v>3.2320182774429762</v>
      </c>
      <c r="K311">
        <v>3.919603004513637</v>
      </c>
      <c r="L311">
        <v>6.7137556424900273</v>
      </c>
      <c r="M311">
        <v>83062.980677492713</v>
      </c>
      <c r="N311" s="82">
        <v>81</v>
      </c>
      <c r="O311">
        <v>33.91709647226709</v>
      </c>
      <c r="P3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11" t="str">
        <f t="shared" ca="1" si="29"/>
        <v>TV</v>
      </c>
      <c r="R311" s="46">
        <f>automotive_demand_forecasting_dataset5678[[#This Row],[Units_Sold]]*automotive_demand_forecasting_dataset5678[[#This Row],[Average_Price]]</f>
        <v>2870810.4491900774</v>
      </c>
      <c r="S311" t="str">
        <f t="shared" ca="1" si="30"/>
        <v>OK</v>
      </c>
    </row>
    <row r="312" spans="1:19">
      <c r="A312" s="1">
        <v>51035</v>
      </c>
      <c r="B312" t="s">
        <v>10</v>
      </c>
      <c r="C312" t="str">
        <f>TEXT(automotive_demand_forecasting_dataset5678[[#This Row],[Date]],"mmmm")</f>
        <v>September</v>
      </c>
      <c r="D312" t="str">
        <f>CHOOSE(MATCH(MONTH(A312), {1,4,7,10}), "Winter", "Spring", "Summer", "Autumn")</f>
        <v>Summer</v>
      </c>
      <c r="E312">
        <f>YEAR(automotive_demand_forecasting_dataset5678[[#This Row],[Date]])</f>
        <v>2039</v>
      </c>
      <c r="F312">
        <v>86</v>
      </c>
      <c r="G312">
        <f>(automotive_demand_forecasting_dataset5678[[#This Row],[Units_Sold]] -$C$4) / $C$5</f>
        <v>-1.3623687979068624</v>
      </c>
      <c r="H312" s="47" t="str">
        <f t="shared" ca="1" si="28"/>
        <v>West</v>
      </c>
      <c r="I312">
        <v>29264.989991857557</v>
      </c>
      <c r="J312">
        <v>3.9040288991405725</v>
      </c>
      <c r="K312">
        <v>1.8995764342612949</v>
      </c>
      <c r="L312">
        <v>7.109771098637057</v>
      </c>
      <c r="M312">
        <v>124992.37810593334</v>
      </c>
      <c r="N312" s="82">
        <v>80</v>
      </c>
      <c r="O312">
        <v>48.897284718064938</v>
      </c>
      <c r="P3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12" t="str">
        <f t="shared" ca="1" si="29"/>
        <v>TV</v>
      </c>
      <c r="R312" s="46">
        <f>automotive_demand_forecasting_dataset5678[[#This Row],[Units_Sold]]*automotive_demand_forecasting_dataset5678[[#This Row],[Average_Price]]</f>
        <v>2516789.1392997499</v>
      </c>
      <c r="S312" t="str">
        <f t="shared" ca="1" si="30"/>
        <v>OK</v>
      </c>
    </row>
    <row r="313" spans="1:19">
      <c r="A313" s="1">
        <v>51065</v>
      </c>
      <c r="B313" t="s">
        <v>13</v>
      </c>
      <c r="C313" t="str">
        <f>TEXT(automotive_demand_forecasting_dataset5678[[#This Row],[Date]],"mmmm")</f>
        <v>October</v>
      </c>
      <c r="D313" t="str">
        <f>CHOOSE(MATCH(MONTH(A313), {1,4,7,10}), "Winter", "Spring", "Summer", "Autumn")</f>
        <v>Autumn</v>
      </c>
      <c r="E313">
        <f>YEAR(automotive_demand_forecasting_dataset5678[[#This Row],[Date]])</f>
        <v>2039</v>
      </c>
      <c r="F313">
        <v>120</v>
      </c>
      <c r="G313">
        <f>(automotive_demand_forecasting_dataset5678[[#This Row],[Units_Sold]] -$C$4) / $C$5</f>
        <v>2.1203785050129369</v>
      </c>
      <c r="H313" s="47" t="str">
        <f t="shared" ca="1" si="28"/>
        <v>West</v>
      </c>
      <c r="I313">
        <v>34819.395583974547</v>
      </c>
      <c r="J313">
        <v>3.6836436567006703</v>
      </c>
      <c r="K313">
        <v>0.63346004863938377</v>
      </c>
      <c r="L313">
        <v>4.6090189209539396</v>
      </c>
      <c r="M313">
        <v>115586.98007810664</v>
      </c>
      <c r="N313" s="82">
        <v>88</v>
      </c>
      <c r="O313">
        <v>70.984172523041906</v>
      </c>
      <c r="P3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13" t="str">
        <f t="shared" ca="1" si="29"/>
        <v>Print</v>
      </c>
      <c r="R313" s="46">
        <f>automotive_demand_forecasting_dataset5678[[#This Row],[Units_Sold]]*automotive_demand_forecasting_dataset5678[[#This Row],[Average_Price]]</f>
        <v>4178327.4700769456</v>
      </c>
      <c r="S313" t="str">
        <f t="shared" ca="1" si="30"/>
        <v>OK</v>
      </c>
    </row>
    <row r="314" spans="1:19">
      <c r="A314" s="1">
        <v>51095</v>
      </c>
      <c r="B314" t="s">
        <v>10</v>
      </c>
      <c r="C314" t="str">
        <f>TEXT(automotive_demand_forecasting_dataset5678[[#This Row],[Date]],"mmmm")</f>
        <v>November</v>
      </c>
      <c r="D314" t="str">
        <f>CHOOSE(MATCH(MONTH(A314), {1,4,7,10}), "Winter", "Spring", "Summer", "Autumn")</f>
        <v>Autumn</v>
      </c>
      <c r="E314">
        <f>YEAR(automotive_demand_forecasting_dataset5678[[#This Row],[Date]])</f>
        <v>2039</v>
      </c>
      <c r="F314">
        <v>81</v>
      </c>
      <c r="G314">
        <f>(automotive_demand_forecasting_dataset5678[[#This Row],[Units_Sold]] -$C$4) / $C$5</f>
        <v>-1.87453751892448</v>
      </c>
      <c r="H314" s="47" t="str">
        <f t="shared" ca="1" si="28"/>
        <v>South</v>
      </c>
      <c r="I314">
        <v>41052.61500795676</v>
      </c>
      <c r="J314">
        <v>4.419091838397561</v>
      </c>
      <c r="K314">
        <v>3.5075136898369221</v>
      </c>
      <c r="L314">
        <v>5.616047043</v>
      </c>
      <c r="M314">
        <v>99219.609612449116</v>
      </c>
      <c r="N314" s="82">
        <v>88</v>
      </c>
      <c r="O314">
        <v>80.215177969999999</v>
      </c>
      <c r="P3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14" t="str">
        <f t="shared" ca="1" si="29"/>
        <v>Print</v>
      </c>
      <c r="R314" s="46">
        <f>automotive_demand_forecasting_dataset5678[[#This Row],[Units_Sold]]*automotive_demand_forecasting_dataset5678[[#This Row],[Average_Price]]</f>
        <v>3325261.8156444975</v>
      </c>
      <c r="S314" t="str">
        <f t="shared" ca="1" si="30"/>
        <v>OK</v>
      </c>
    </row>
    <row r="315" spans="1:19">
      <c r="A315" s="1">
        <v>51125</v>
      </c>
      <c r="B315" t="s">
        <v>14</v>
      </c>
      <c r="C315" t="str">
        <f>TEXT(automotive_demand_forecasting_dataset5678[[#This Row],[Date]],"mmmm")</f>
        <v>December</v>
      </c>
      <c r="D315" t="str">
        <f>CHOOSE(MATCH(MONTH(A315), {1,4,7,10}), "Winter", "Spring", "Summer", "Autumn")</f>
        <v>Autumn</v>
      </c>
      <c r="E315">
        <f>YEAR(automotive_demand_forecasting_dataset5678[[#This Row],[Date]])</f>
        <v>2039</v>
      </c>
      <c r="F315">
        <v>102</v>
      </c>
      <c r="G315">
        <f>(automotive_demand_forecasting_dataset5678[[#This Row],[Units_Sold]] -$C$4) / $C$5</f>
        <v>0.27657110934951373</v>
      </c>
      <c r="H315" s="47" t="str">
        <f t="shared" ca="1" si="28"/>
        <v>West</v>
      </c>
      <c r="I315">
        <v>30949.702720000001</v>
      </c>
      <c r="J315">
        <v>3.3882670088140738</v>
      </c>
      <c r="K315">
        <v>1.8153701742399959</v>
      </c>
      <c r="L315">
        <v>6.9770494157856824</v>
      </c>
      <c r="M315">
        <v>91641.809084682187</v>
      </c>
      <c r="N315" s="82">
        <v>92</v>
      </c>
      <c r="O315">
        <v>48.923215021036526</v>
      </c>
      <c r="P3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15" t="str">
        <f t="shared" ca="1" si="29"/>
        <v>Online</v>
      </c>
      <c r="R315" s="46">
        <f>automotive_demand_forecasting_dataset5678[[#This Row],[Units_Sold]]*automotive_demand_forecasting_dataset5678[[#This Row],[Average_Price]]</f>
        <v>3156869.6774400002</v>
      </c>
      <c r="S315" t="str">
        <f t="shared" ca="1" si="30"/>
        <v>OK</v>
      </c>
    </row>
    <row r="316" spans="1:19">
      <c r="A316" s="1">
        <v>51155</v>
      </c>
      <c r="B316" t="s">
        <v>13</v>
      </c>
      <c r="C316" t="str">
        <f>TEXT(automotive_demand_forecasting_dataset5678[[#This Row],[Date]],"mmmm")</f>
        <v>January</v>
      </c>
      <c r="D316" t="str">
        <f>CHOOSE(MATCH(MONTH(A316), {1,4,7,10}), "Winter", "Spring", "Summer", "Autumn")</f>
        <v>Winter</v>
      </c>
      <c r="E316">
        <f>YEAR(automotive_demand_forecasting_dataset5678[[#This Row],[Date]])</f>
        <v>2040</v>
      </c>
      <c r="F316">
        <v>87</v>
      </c>
      <c r="G316">
        <f>(automotive_demand_forecasting_dataset5678[[#This Row],[Units_Sold]] -$C$4) / $C$5</f>
        <v>-1.2599350537033389</v>
      </c>
      <c r="H316" s="47" t="str">
        <f t="shared" ca="1" si="28"/>
        <v>South</v>
      </c>
      <c r="I316">
        <v>23150.985102104612</v>
      </c>
      <c r="J316">
        <v>3.3253416019409014</v>
      </c>
      <c r="K316">
        <v>3.2906255991627686</v>
      </c>
      <c r="L316">
        <v>7.5220171344502109</v>
      </c>
      <c r="M316">
        <v>59483.842537772463</v>
      </c>
      <c r="N316" s="82">
        <v>90</v>
      </c>
      <c r="O316">
        <v>62.783957302495395</v>
      </c>
      <c r="P3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16" t="str">
        <f t="shared" ca="1" si="29"/>
        <v>Print</v>
      </c>
      <c r="R316" s="46">
        <f>automotive_demand_forecasting_dataset5678[[#This Row],[Units_Sold]]*automotive_demand_forecasting_dataset5678[[#This Row],[Average_Price]]</f>
        <v>2014135.7038831012</v>
      </c>
      <c r="S316" t="str">
        <f t="shared" ca="1" si="30"/>
        <v>OK</v>
      </c>
    </row>
    <row r="317" spans="1:19">
      <c r="A317" s="1">
        <v>51185</v>
      </c>
      <c r="B317" t="s">
        <v>13</v>
      </c>
      <c r="C317" t="str">
        <f>TEXT(automotive_demand_forecasting_dataset5678[[#This Row],[Date]],"mmmm")</f>
        <v>February</v>
      </c>
      <c r="D317" t="str">
        <f>CHOOSE(MATCH(MONTH(A317), {1,4,7,10}), "Winter", "Spring", "Summer", "Autumn")</f>
        <v>Winter</v>
      </c>
      <c r="E317">
        <f>YEAR(automotive_demand_forecasting_dataset5678[[#This Row],[Date]])</f>
        <v>2040</v>
      </c>
      <c r="F317">
        <v>90</v>
      </c>
      <c r="G317">
        <f>(automotive_demand_forecasting_dataset5678[[#This Row],[Units_Sold]] -$C$4) / $C$5</f>
        <v>-0.95263382109276828</v>
      </c>
      <c r="H317" s="47" t="str">
        <f t="shared" ca="1" si="28"/>
        <v>North</v>
      </c>
      <c r="I317">
        <v>29558.589758243725</v>
      </c>
      <c r="J317">
        <v>3.4902901970561335</v>
      </c>
      <c r="K317">
        <v>0.52989618228816449</v>
      </c>
      <c r="L317">
        <v>6.1754570322092253</v>
      </c>
      <c r="M317">
        <v>78582.951626311231</v>
      </c>
      <c r="N317" s="82">
        <v>97</v>
      </c>
      <c r="O317">
        <v>99.697959443571094</v>
      </c>
      <c r="P3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17" t="str">
        <f t="shared" ca="1" si="29"/>
        <v>TV</v>
      </c>
      <c r="R317" s="46">
        <f>automotive_demand_forecasting_dataset5678[[#This Row],[Units_Sold]]*automotive_demand_forecasting_dataset5678[[#This Row],[Average_Price]]</f>
        <v>2660273.078241935</v>
      </c>
      <c r="S317" t="str">
        <f t="shared" ca="1" si="30"/>
        <v>OK</v>
      </c>
    </row>
    <row r="318" spans="1:19">
      <c r="A318" s="1">
        <v>51215</v>
      </c>
      <c r="B318" t="s">
        <v>13</v>
      </c>
      <c r="C318" t="str">
        <f>TEXT(automotive_demand_forecasting_dataset5678[[#This Row],[Date]],"mmmm")</f>
        <v>March</v>
      </c>
      <c r="D318" t="str">
        <f>CHOOSE(MATCH(MONTH(A318), {1,4,7,10}), "Winter", "Spring", "Summer", "Autumn")</f>
        <v>Winter</v>
      </c>
      <c r="E318">
        <f>YEAR(automotive_demand_forecasting_dataset5678[[#This Row],[Date]])</f>
        <v>2040</v>
      </c>
      <c r="F318">
        <v>89</v>
      </c>
      <c r="G318">
        <f>(automotive_demand_forecasting_dataset5678[[#This Row],[Units_Sold]] -$C$4) / $C$5</f>
        <v>-1.0550675652962918</v>
      </c>
      <c r="H318" s="47" t="str">
        <f t="shared" ca="1" si="28"/>
        <v>West</v>
      </c>
      <c r="I318">
        <v>42898.546688271592</v>
      </c>
      <c r="J318">
        <v>3.3484101085828621</v>
      </c>
      <c r="K318">
        <v>3.3925973382993093</v>
      </c>
      <c r="L318">
        <v>4.4442227757975346</v>
      </c>
      <c r="M318">
        <v>138228.38174279447</v>
      </c>
      <c r="N318" s="82">
        <v>89</v>
      </c>
      <c r="O318">
        <v>80.215177969999999</v>
      </c>
      <c r="P3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18" t="str">
        <f t="shared" ca="1" si="29"/>
        <v>Online</v>
      </c>
      <c r="R318" s="46">
        <f>automotive_demand_forecasting_dataset5678[[#This Row],[Units_Sold]]*automotive_demand_forecasting_dataset5678[[#This Row],[Average_Price]]</f>
        <v>3817970.6552561717</v>
      </c>
      <c r="S318" t="str">
        <f t="shared" ca="1" si="30"/>
        <v>OK</v>
      </c>
    </row>
    <row r="319" spans="1:19">
      <c r="A319" s="1">
        <v>51245</v>
      </c>
      <c r="B319" t="s">
        <v>11</v>
      </c>
      <c r="C319" t="str">
        <f>TEXT(automotive_demand_forecasting_dataset5678[[#This Row],[Date]],"mmmm")</f>
        <v>April</v>
      </c>
      <c r="D319" t="str">
        <f>CHOOSE(MATCH(MONTH(A319), {1,4,7,10}), "Winter", "Spring", "Summer", "Autumn")</f>
        <v>Spring</v>
      </c>
      <c r="E319">
        <f>YEAR(automotive_demand_forecasting_dataset5678[[#This Row],[Date]])</f>
        <v>2040</v>
      </c>
      <c r="F319">
        <v>105</v>
      </c>
      <c r="G319">
        <f>(automotive_demand_forecasting_dataset5678[[#This Row],[Units_Sold]] -$C$4) / $C$5</f>
        <v>0.58387234196008431</v>
      </c>
      <c r="H319" s="47" t="str">
        <f t="shared" ca="1" si="28"/>
        <v>South</v>
      </c>
      <c r="I319">
        <v>25981.627160151347</v>
      </c>
      <c r="J319">
        <v>3.8999709509710252</v>
      </c>
      <c r="K319">
        <v>1.2888280707192188</v>
      </c>
      <c r="L319">
        <f>6.97388673</f>
        <v>6.9738867300000003</v>
      </c>
      <c r="M319">
        <v>74390.888579950668</v>
      </c>
      <c r="N319" s="82">
        <v>106</v>
      </c>
      <c r="O319">
        <v>85.284540569145889</v>
      </c>
      <c r="P3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19" t="str">
        <f t="shared" ca="1" si="29"/>
        <v>Radio</v>
      </c>
      <c r="R319" s="46">
        <f>automotive_demand_forecasting_dataset5678[[#This Row],[Units_Sold]]*automotive_demand_forecasting_dataset5678[[#This Row],[Average_Price]]</f>
        <v>2728070.8518158915</v>
      </c>
      <c r="S319" t="str">
        <f t="shared" ca="1" si="30"/>
        <v>OK</v>
      </c>
    </row>
    <row r="320" spans="1:19">
      <c r="A320" s="1">
        <v>51275</v>
      </c>
      <c r="B320" t="s">
        <v>11</v>
      </c>
      <c r="C320" t="str">
        <f>TEXT(automotive_demand_forecasting_dataset5678[[#This Row],[Date]],"mmmm")</f>
        <v>May</v>
      </c>
      <c r="D320" t="str">
        <f>CHOOSE(MATCH(MONTH(A320), {1,4,7,10}), "Winter", "Spring", "Summer", "Autumn")</f>
        <v>Spring</v>
      </c>
      <c r="E320">
        <f>YEAR(automotive_demand_forecasting_dataset5678[[#This Row],[Date]])</f>
        <v>2040</v>
      </c>
      <c r="F320">
        <v>96</v>
      </c>
      <c r="G320">
        <f>(automotive_demand_forecasting_dataset5678[[#This Row],[Units_Sold]] -$C$4) / $C$5</f>
        <v>-0.33803135587162725</v>
      </c>
      <c r="H320" s="47" t="str">
        <f t="shared" ca="1" si="28"/>
        <v>South</v>
      </c>
      <c r="I320">
        <v>38195.584027220335</v>
      </c>
      <c r="J320">
        <v>2.6918446957817062</v>
      </c>
      <c r="K320">
        <v>3.2307641190665244</v>
      </c>
      <c r="L320">
        <v>4.8628349226256429</v>
      </c>
      <c r="M320">
        <v>103789.59642442162</v>
      </c>
      <c r="N320" s="82">
        <v>91</v>
      </c>
      <c r="O320">
        <v>54.565382805329421</v>
      </c>
      <c r="P3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20" t="str">
        <f t="shared" ca="1" si="29"/>
        <v>Billboards</v>
      </c>
      <c r="R320" s="46">
        <f>automotive_demand_forecasting_dataset5678[[#This Row],[Units_Sold]]*automotive_demand_forecasting_dataset5678[[#This Row],[Average_Price]]</f>
        <v>3666776.0666131522</v>
      </c>
      <c r="S320" t="str">
        <f t="shared" ca="1" si="30"/>
        <v>OK</v>
      </c>
    </row>
    <row r="321" spans="1:19">
      <c r="A321" s="1">
        <v>51305</v>
      </c>
      <c r="B321" t="s">
        <v>12</v>
      </c>
      <c r="C321" t="str">
        <f>TEXT(automotive_demand_forecasting_dataset5678[[#This Row],[Date]],"mmmm")</f>
        <v>June</v>
      </c>
      <c r="D321" t="str">
        <f>CHOOSE(MATCH(MONTH(A321), {1,4,7,10}), "Winter", "Spring", "Summer", "Autumn")</f>
        <v>Spring</v>
      </c>
      <c r="E321">
        <f>YEAR(automotive_demand_forecasting_dataset5678[[#This Row],[Date]])</f>
        <v>2040</v>
      </c>
      <c r="F321">
        <v>97</v>
      </c>
      <c r="G321">
        <f>(automotive_demand_forecasting_dataset5678[[#This Row],[Units_Sold]] -$C$4) / $C$5</f>
        <v>-0.23559761166810378</v>
      </c>
      <c r="H321" s="47" t="str">
        <f t="shared" ca="1" si="28"/>
        <v>South</v>
      </c>
      <c r="I321">
        <v>38388.504070382201</v>
      </c>
      <c r="J321">
        <v>2.9731587904268229</v>
      </c>
      <c r="K321">
        <v>2.514273067836434</v>
      </c>
      <c r="L321">
        <v>5.0978346625942574</v>
      </c>
      <c r="M321">
        <v>120148.87946390397</v>
      </c>
      <c r="N321" s="82">
        <f>111.9136842</f>
        <v>111.91368420000001</v>
      </c>
      <c r="O321">
        <v>83.711257809576708</v>
      </c>
      <c r="P3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21" t="str">
        <f t="shared" ca="1" si="29"/>
        <v>Billboards</v>
      </c>
      <c r="R321" s="46">
        <f>automotive_demand_forecasting_dataset5678[[#This Row],[Units_Sold]]*automotive_demand_forecasting_dataset5678[[#This Row],[Average_Price]]</f>
        <v>3723684.8948270734</v>
      </c>
      <c r="S321" t="str">
        <f t="shared" ca="1" si="30"/>
        <v>OK</v>
      </c>
    </row>
    <row r="322" spans="1:19">
      <c r="A322" s="1">
        <v>51335</v>
      </c>
      <c r="B322" t="s">
        <v>11</v>
      </c>
      <c r="C322" t="str">
        <f>TEXT(automotive_demand_forecasting_dataset5678[[#This Row],[Date]],"mmmm")</f>
        <v>July</v>
      </c>
      <c r="D322" t="str">
        <f>CHOOSE(MATCH(MONTH(A322), {1,4,7,10}), "Winter", "Spring", "Summer", "Autumn")</f>
        <v>Summer</v>
      </c>
      <c r="E322">
        <f>YEAR(automotive_demand_forecasting_dataset5678[[#This Row],[Date]])</f>
        <v>2040</v>
      </c>
      <c r="F322">
        <v>98</v>
      </c>
      <c r="G322">
        <f>(automotive_demand_forecasting_dataset5678[[#This Row],[Units_Sold]] -$C$4) / $C$5</f>
        <v>-0.13316386746458025</v>
      </c>
      <c r="H322" s="47" t="str">
        <f t="shared" ca="1" si="28"/>
        <v>North</v>
      </c>
      <c r="I322">
        <v>27232.058791460026</v>
      </c>
      <c r="J322">
        <v>2.9660985392104036</v>
      </c>
      <c r="K322">
        <v>1.5460605806033552</v>
      </c>
      <c r="L322">
        <v>5.9108054013875453</v>
      </c>
      <c r="M322">
        <v>74901.546639954147</v>
      </c>
      <c r="N322" s="82">
        <v>93</v>
      </c>
      <c r="O322">
        <v>67.633184129608679</v>
      </c>
      <c r="P3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22" t="str">
        <f t="shared" ca="1" si="29"/>
        <v>Print</v>
      </c>
      <c r="R322" s="46">
        <f>automotive_demand_forecasting_dataset5678[[#This Row],[Units_Sold]]*automotive_demand_forecasting_dataset5678[[#This Row],[Average_Price]]</f>
        <v>2668741.7615630827</v>
      </c>
      <c r="S322" t="str">
        <f t="shared" ca="1" si="30"/>
        <v>OK</v>
      </c>
    </row>
    <row r="323" spans="1:19">
      <c r="A323" s="1">
        <v>51365</v>
      </c>
      <c r="B323" t="s">
        <v>12</v>
      </c>
      <c r="C323" t="str">
        <f>TEXT(automotive_demand_forecasting_dataset5678[[#This Row],[Date]],"mmmm")</f>
        <v>August</v>
      </c>
      <c r="D323" t="str">
        <f>CHOOSE(MATCH(MONTH(A323), {1,4,7,10}), "Winter", "Spring", "Summer", "Autumn")</f>
        <v>Summer</v>
      </c>
      <c r="E323">
        <f>YEAR(automotive_demand_forecasting_dataset5678[[#This Row],[Date]])</f>
        <v>2040</v>
      </c>
      <c r="F323">
        <v>100</v>
      </c>
      <c r="G323">
        <f>(automotive_demand_forecasting_dataset5678[[#This Row],[Units_Sold]] -$C$4) / $C$5</f>
        <v>7.1703620942466739E-2</v>
      </c>
      <c r="H323" s="47" t="str">
        <f t="shared" ca="1" si="28"/>
        <v>West</v>
      </c>
      <c r="I323">
        <v>32844.915395926379</v>
      </c>
      <c r="J323">
        <v>3.9751537959867878</v>
      </c>
      <c r="K323">
        <v>2.0929636870732193</v>
      </c>
      <c r="L323">
        <v>7.3649925048577289</v>
      </c>
      <c r="M323">
        <v>103694.20949562166</v>
      </c>
      <c r="N323" s="82">
        <v>89</v>
      </c>
      <c r="O323">
        <v>90.927635320191868</v>
      </c>
      <c r="P3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23" t="str">
        <f t="shared" ca="1" si="29"/>
        <v>Online</v>
      </c>
      <c r="R323" s="46">
        <f>automotive_demand_forecasting_dataset5678[[#This Row],[Units_Sold]]*automotive_demand_forecasting_dataset5678[[#This Row],[Average_Price]]</f>
        <v>3284491.5395926377</v>
      </c>
      <c r="S323" t="str">
        <f t="shared" ca="1" si="30"/>
        <v>OK</v>
      </c>
    </row>
    <row r="324" spans="1:19">
      <c r="A324" s="1">
        <v>51395</v>
      </c>
      <c r="B324" t="s">
        <v>11</v>
      </c>
      <c r="C324" t="str">
        <f>TEXT(automotive_demand_forecasting_dataset5678[[#This Row],[Date]],"mmmm")</f>
        <v>September</v>
      </c>
      <c r="D324" t="str">
        <f>CHOOSE(MATCH(MONTH(A324), {1,4,7,10}), "Winter", "Spring", "Summer", "Autumn")</f>
        <v>Summer</v>
      </c>
      <c r="E324">
        <f>YEAR(automotive_demand_forecasting_dataset5678[[#This Row],[Date]])</f>
        <v>2040</v>
      </c>
      <c r="F324">
        <v>108</v>
      </c>
      <c r="G324">
        <f>(automotive_demand_forecasting_dataset5678[[#This Row],[Units_Sold]] -$C$4) / $C$5</f>
        <v>0.89117357457065483</v>
      </c>
      <c r="H324" s="47" t="str">
        <f t="shared" ca="1" si="28"/>
        <v>East</v>
      </c>
      <c r="I324">
        <v>38141.983115642688</v>
      </c>
      <c r="J324">
        <v>4.5778345189999996</v>
      </c>
      <c r="K324">
        <v>3.1863184569567009</v>
      </c>
      <c r="L324">
        <v>6.5247711718626684</v>
      </c>
      <c r="M324">
        <v>118758.3107502131</v>
      </c>
      <c r="N324" s="82">
        <v>73</v>
      </c>
      <c r="O324">
        <v>52.875404188008794</v>
      </c>
      <c r="P3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24" t="str">
        <f t="shared" ca="1" si="29"/>
        <v>Billboards</v>
      </c>
      <c r="R324" s="46">
        <f>automotive_demand_forecasting_dataset5678[[#This Row],[Units_Sold]]*automotive_demand_forecasting_dataset5678[[#This Row],[Average_Price]]</f>
        <v>4119334.1764894105</v>
      </c>
      <c r="S324" t="str">
        <f t="shared" ca="1" si="30"/>
        <v>OK</v>
      </c>
    </row>
    <row r="325" spans="1:19">
      <c r="A325" s="1">
        <v>51425</v>
      </c>
      <c r="B325" t="s">
        <v>14</v>
      </c>
      <c r="C325" t="str">
        <f>TEXT(automotive_demand_forecasting_dataset5678[[#This Row],[Date]],"mmmm")</f>
        <v>October</v>
      </c>
      <c r="D325" t="str">
        <f>CHOOSE(MATCH(MONTH(A325), {1,4,7,10}), "Winter", "Spring", "Summer", "Autumn")</f>
        <v>Autumn</v>
      </c>
      <c r="E325">
        <f>YEAR(automotive_demand_forecasting_dataset5678[[#This Row],[Date]])</f>
        <v>2040</v>
      </c>
      <c r="F325">
        <v>92</v>
      </c>
      <c r="G325">
        <f>(automotive_demand_forecasting_dataset5678[[#This Row],[Units_Sold]] -$C$4) / $C$5</f>
        <v>-0.74776633268572135</v>
      </c>
      <c r="H325" s="47" t="str">
        <f t="shared" ca="1" si="28"/>
        <v>South</v>
      </c>
      <c r="I325">
        <v>28104.361295062565</v>
      </c>
      <c r="J325">
        <v>3.4477753907312643</v>
      </c>
      <c r="K325">
        <v>2.6058944531152344</v>
      </c>
      <c r="L325">
        <v>5.9978386004342923</v>
      </c>
      <c r="M325">
        <v>100249.986438145</v>
      </c>
      <c r="N325" s="82">
        <v>101</v>
      </c>
      <c r="O325">
        <v>68.344353585718309</v>
      </c>
      <c r="P3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25" t="str">
        <f t="shared" ca="1" si="29"/>
        <v>TV</v>
      </c>
      <c r="R325" s="46">
        <f>automotive_demand_forecasting_dataset5678[[#This Row],[Units_Sold]]*automotive_demand_forecasting_dataset5678[[#This Row],[Average_Price]]</f>
        <v>2585601.2391457558</v>
      </c>
      <c r="S325" t="str">
        <f t="shared" ca="1" si="30"/>
        <v>OK</v>
      </c>
    </row>
    <row r="326" spans="1:19">
      <c r="A326" s="1">
        <v>51455</v>
      </c>
      <c r="B326" t="s">
        <v>12</v>
      </c>
      <c r="C326" t="str">
        <f>TEXT(automotive_demand_forecasting_dataset5678[[#This Row],[Date]],"mmmm")</f>
        <v>November</v>
      </c>
      <c r="D326" t="str">
        <f>CHOOSE(MATCH(MONTH(A326), {1,4,7,10}), "Winter", "Spring", "Summer", "Autumn")</f>
        <v>Autumn</v>
      </c>
      <c r="E326">
        <f>YEAR(automotive_demand_forecasting_dataset5678[[#This Row],[Date]])</f>
        <v>2040</v>
      </c>
      <c r="F326">
        <v>97</v>
      </c>
      <c r="G326">
        <f>(automotive_demand_forecasting_dataset5678[[#This Row],[Units_Sold]] -$C$4) / $C$5</f>
        <v>-0.23559761166810378</v>
      </c>
      <c r="H326" s="47" t="str">
        <f t="shared" ca="1" si="28"/>
        <v>West</v>
      </c>
      <c r="I326">
        <v>28982.098199488191</v>
      </c>
      <c r="J326">
        <v>3.4155891384049948</v>
      </c>
      <c r="K326">
        <v>3.084412980472484</v>
      </c>
      <c r="L326">
        <v>6.0559462361417271</v>
      </c>
      <c r="M326">
        <v>102916.7736</v>
      </c>
      <c r="N326" s="82">
        <v>81</v>
      </c>
      <c r="O326">
        <v>70.401494449506188</v>
      </c>
      <c r="P3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26" t="str">
        <f t="shared" ca="1" si="29"/>
        <v>Online</v>
      </c>
      <c r="R326" s="46">
        <f>automotive_demand_forecasting_dataset5678[[#This Row],[Units_Sold]]*automotive_demand_forecasting_dataset5678[[#This Row],[Average_Price]]</f>
        <v>2811263.5253503546</v>
      </c>
      <c r="S326" t="str">
        <f t="shared" ca="1" si="30"/>
        <v>OK</v>
      </c>
    </row>
    <row r="327" spans="1:19">
      <c r="A327" s="1">
        <v>51485</v>
      </c>
      <c r="B327" t="s">
        <v>11</v>
      </c>
      <c r="C327" t="str">
        <f>TEXT(automotive_demand_forecasting_dataset5678[[#This Row],[Date]],"mmmm")</f>
        <v>December</v>
      </c>
      <c r="D327" t="str">
        <f>CHOOSE(MATCH(MONTH(A327), {1,4,7,10}), "Winter", "Spring", "Summer", "Autumn")</f>
        <v>Autumn</v>
      </c>
      <c r="E327">
        <f>YEAR(automotive_demand_forecasting_dataset5678[[#This Row],[Date]])</f>
        <v>2040</v>
      </c>
      <c r="F327">
        <v>116</v>
      </c>
      <c r="G327">
        <f>(automotive_demand_forecasting_dataset5678[[#This Row],[Units_Sold]] -$C$4) / $C$5</f>
        <v>1.7106435281988428</v>
      </c>
      <c r="H327" s="47" t="str">
        <f t="shared" ca="1" si="28"/>
        <v>South</v>
      </c>
      <c r="I327">
        <v>27091.595430256781</v>
      </c>
      <c r="J327">
        <v>3.5350260815565906</v>
      </c>
      <c r="K327">
        <v>4.4764405845154851</v>
      </c>
      <c r="L327">
        <v>5.552217602372159</v>
      </c>
      <c r="M327">
        <v>66628.014822436089</v>
      </c>
      <c r="N327" s="82">
        <v>98</v>
      </c>
      <c r="O327">
        <v>53.390635344037861</v>
      </c>
      <c r="P3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27" t="str">
        <f t="shared" ca="1" si="29"/>
        <v>Billboards</v>
      </c>
      <c r="R327" s="46">
        <f>automotive_demand_forecasting_dataset5678[[#This Row],[Units_Sold]]*automotive_demand_forecasting_dataset5678[[#This Row],[Average_Price]]</f>
        <v>3142625.0699097863</v>
      </c>
      <c r="S327" t="str">
        <f t="shared" ca="1" si="30"/>
        <v>OK</v>
      </c>
    </row>
    <row r="328" spans="1:19">
      <c r="A328" s="1">
        <v>51515</v>
      </c>
      <c r="B328" t="s">
        <v>14</v>
      </c>
      <c r="C328" t="str">
        <f>TEXT(automotive_demand_forecasting_dataset5678[[#This Row],[Date]],"mmmm")</f>
        <v>January</v>
      </c>
      <c r="D328" t="str">
        <f>CHOOSE(MATCH(MONTH(A328), {1,4,7,10}), "Winter", "Spring", "Summer", "Autumn")</f>
        <v>Winter</v>
      </c>
      <c r="E328">
        <f>YEAR(automotive_demand_forecasting_dataset5678[[#This Row],[Date]])</f>
        <v>2041</v>
      </c>
      <c r="F328">
        <v>100</v>
      </c>
      <c r="G328">
        <f>(automotive_demand_forecasting_dataset5678[[#This Row],[Units_Sold]] -$C$4) / $C$5</f>
        <v>7.1703620942466739E-2</v>
      </c>
      <c r="H328" s="47" t="str">
        <f t="shared" ca="1" si="28"/>
        <v>South</v>
      </c>
      <c r="I328">
        <v>24926.216346535664</v>
      </c>
      <c r="J328">
        <v>4.0809391513040953</v>
      </c>
      <c r="K328">
        <v>0.93575838828894864</v>
      </c>
      <c r="L328">
        <v>6.1697674174222072</v>
      </c>
      <c r="M328">
        <v>121174.57059767758</v>
      </c>
      <c r="N328" s="82">
        <v>92</v>
      </c>
      <c r="O328">
        <v>31.54496349499852</v>
      </c>
      <c r="P3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28" t="str">
        <f t="shared" ca="1" si="29"/>
        <v>Billboards</v>
      </c>
      <c r="R328" s="46">
        <f>automotive_demand_forecasting_dataset5678[[#This Row],[Units_Sold]]*automotive_demand_forecasting_dataset5678[[#This Row],[Average_Price]]</f>
        <v>2492621.6346535664</v>
      </c>
      <c r="S328" t="str">
        <f t="shared" ca="1" si="30"/>
        <v>OK</v>
      </c>
    </row>
    <row r="329" spans="1:19">
      <c r="A329" s="1">
        <v>51545</v>
      </c>
      <c r="B329" t="s">
        <v>11</v>
      </c>
      <c r="C329" t="str">
        <f>TEXT(automotive_demand_forecasting_dataset5678[[#This Row],[Date]],"mmmm")</f>
        <v>February</v>
      </c>
      <c r="D329" t="str">
        <f>CHOOSE(MATCH(MONTH(A329), {1,4,7,10}), "Winter", "Spring", "Summer", "Autumn")</f>
        <v>Winter</v>
      </c>
      <c r="E329">
        <f>YEAR(automotive_demand_forecasting_dataset5678[[#This Row],[Date]])</f>
        <v>2041</v>
      </c>
      <c r="F329">
        <v>87</v>
      </c>
      <c r="G329">
        <f>(automotive_demand_forecasting_dataset5678[[#This Row],[Units_Sold]] -$C$4) / $C$5</f>
        <v>-1.2599350537033389</v>
      </c>
      <c r="H329" s="47" t="str">
        <f t="shared" ca="1" si="28"/>
        <v>South</v>
      </c>
      <c r="I329">
        <v>26753.612274669966</v>
      </c>
      <c r="J329">
        <v>3.0363234329047128</v>
      </c>
      <c r="K329">
        <v>4.1172125749686241</v>
      </c>
      <c r="L329">
        <v>5.616047043</v>
      </c>
      <c r="M329">
        <v>96543.965252070717</v>
      </c>
      <c r="N329" s="82">
        <f>111.9136842</f>
        <v>111.91368420000001</v>
      </c>
      <c r="O329">
        <v>27.484752552986844</v>
      </c>
      <c r="P3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29" t="str">
        <f t="shared" ca="1" si="29"/>
        <v>TV</v>
      </c>
      <c r="R329" s="46">
        <f>automotive_demand_forecasting_dataset5678[[#This Row],[Units_Sold]]*automotive_demand_forecasting_dataset5678[[#This Row],[Average_Price]]</f>
        <v>2327564.2678962871</v>
      </c>
      <c r="S329" t="str">
        <f t="shared" ca="1" si="30"/>
        <v>OK</v>
      </c>
    </row>
    <row r="330" spans="1:19">
      <c r="A330" s="1">
        <v>51575</v>
      </c>
      <c r="B330" t="s">
        <v>10</v>
      </c>
      <c r="C330" t="str">
        <f>TEXT(automotive_demand_forecasting_dataset5678[[#This Row],[Date]],"mmmm")</f>
        <v>March</v>
      </c>
      <c r="D330" t="str">
        <f>CHOOSE(MATCH(MONTH(A330), {1,4,7,10}), "Winter", "Spring", "Summer", "Autumn")</f>
        <v>Winter</v>
      </c>
      <c r="E330">
        <f>YEAR(automotive_demand_forecasting_dataset5678[[#This Row],[Date]])</f>
        <v>2041</v>
      </c>
      <c r="F330">
        <v>103</v>
      </c>
      <c r="G330">
        <f>(automotive_demand_forecasting_dataset5678[[#This Row],[Units_Sold]] -$C$4) / $C$5</f>
        <v>0.37900485355303726</v>
      </c>
      <c r="H330" s="47" t="str">
        <f t="shared" ca="1" si="28"/>
        <v>North</v>
      </c>
      <c r="I330">
        <v>23880.298666188719</v>
      </c>
      <c r="J330">
        <v>3.6191844913673927</v>
      </c>
      <c r="K330">
        <v>2.6043559375232128</v>
      </c>
      <c r="L330">
        <v>5.144071049116242</v>
      </c>
      <c r="M330">
        <v>115438.4030967335</v>
      </c>
      <c r="N330" s="82">
        <v>101</v>
      </c>
      <c r="O330">
        <v>21.333724047970648</v>
      </c>
      <c r="P3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30" t="str">
        <f t="shared" ca="1" si="29"/>
        <v>Online</v>
      </c>
      <c r="R330" s="46">
        <f>automotive_demand_forecasting_dataset5678[[#This Row],[Units_Sold]]*automotive_demand_forecasting_dataset5678[[#This Row],[Average_Price]]</f>
        <v>2459670.7626174381</v>
      </c>
      <c r="S330" t="str">
        <f t="shared" ca="1" si="30"/>
        <v>OK</v>
      </c>
    </row>
    <row r="331" spans="1:19">
      <c r="A331" s="1">
        <v>51605</v>
      </c>
      <c r="B331" t="s">
        <v>10</v>
      </c>
      <c r="C331" t="str">
        <f>TEXT(automotive_demand_forecasting_dataset5678[[#This Row],[Date]],"mmmm")</f>
        <v>April</v>
      </c>
      <c r="D331" t="str">
        <f>CHOOSE(MATCH(MONTH(A331), {1,4,7,10}), "Winter", "Spring", "Summer", "Autumn")</f>
        <v>Spring</v>
      </c>
      <c r="E331">
        <f>YEAR(automotive_demand_forecasting_dataset5678[[#This Row],[Date]])</f>
        <v>2041</v>
      </c>
      <c r="F331">
        <v>115</v>
      </c>
      <c r="G331">
        <f>(automotive_demand_forecasting_dataset5678[[#This Row],[Units_Sold]] -$C$4) / $C$5</f>
        <v>1.6082097839953193</v>
      </c>
      <c r="H331" s="47" t="str">
        <f t="shared" ref="H331:H394" ca="1" si="33">CHOOSE(RANDBETWEEN(1,4),"North","South","East","West")</f>
        <v>East</v>
      </c>
      <c r="I331">
        <v>30170.417341296132</v>
      </c>
      <c r="J331">
        <v>3.5380713799999999</v>
      </c>
      <c r="K331">
        <v>1.6012159516768718</v>
      </c>
      <c r="L331">
        <v>5.7895863219001376</v>
      </c>
      <c r="M331">
        <v>108826.14303398492</v>
      </c>
      <c r="N331" s="82">
        <v>67</v>
      </c>
      <c r="O331">
        <v>89.882741139617167</v>
      </c>
      <c r="P3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31" t="str">
        <f t="shared" ref="Q331:Q394" ca="1" si="34">CHOOSE(RANDBETWEEN(1,5),"Online","TV","Radio","Print","Billboards")</f>
        <v>Billboards</v>
      </c>
      <c r="R331" s="46">
        <f>automotive_demand_forecasting_dataset5678[[#This Row],[Units_Sold]]*automotive_demand_forecasting_dataset5678[[#This Row],[Average_Price]]</f>
        <v>3469597.9942490552</v>
      </c>
      <c r="S331" t="str">
        <f t="shared" ref="S331:S394" ca="1" si="35">IF(COUNTA(A331:O331)&lt;COLUMNS(A331:O331), "Missing Data", "OK")</f>
        <v>OK</v>
      </c>
    </row>
    <row r="332" spans="1:19">
      <c r="A332" s="1">
        <v>51635</v>
      </c>
      <c r="B332" t="s">
        <v>14</v>
      </c>
      <c r="C332" t="str">
        <f>TEXT(automotive_demand_forecasting_dataset5678[[#This Row],[Date]],"mmmm")</f>
        <v>May</v>
      </c>
      <c r="D332" t="str">
        <f>CHOOSE(MATCH(MONTH(A332), {1,4,7,10}), "Winter", "Spring", "Summer", "Autumn")</f>
        <v>Spring</v>
      </c>
      <c r="E332">
        <f>YEAR(automotive_demand_forecasting_dataset5678[[#This Row],[Date]])</f>
        <v>2041</v>
      </c>
      <c r="F332">
        <v>88</v>
      </c>
      <c r="G332">
        <f>(automotive_demand_forecasting_dataset5678[[#This Row],[Units_Sold]] -$C$4) / $C$5</f>
        <v>-1.1575013094998152</v>
      </c>
      <c r="H332" s="47" t="str">
        <f t="shared" ca="1" si="33"/>
        <v>East</v>
      </c>
      <c r="I332">
        <v>26150.13384470679</v>
      </c>
      <c r="J332">
        <v>3.7505470849699227</v>
      </c>
      <c r="K332">
        <v>1.1696863742610102</v>
      </c>
      <c r="L332">
        <v>4.1187830996565911</v>
      </c>
      <c r="M332">
        <v>85336.876057800066</v>
      </c>
      <c r="N332" s="82">
        <v>101</v>
      </c>
      <c r="O332">
        <v>80.215177969999999</v>
      </c>
      <c r="P3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32" t="str">
        <f t="shared" ca="1" si="34"/>
        <v>Print</v>
      </c>
      <c r="R332" s="46">
        <f>automotive_demand_forecasting_dataset5678[[#This Row],[Units_Sold]]*automotive_demand_forecasting_dataset5678[[#This Row],[Average_Price]]</f>
        <v>2301211.7783341976</v>
      </c>
      <c r="S332" t="str">
        <f t="shared" ca="1" si="35"/>
        <v>OK</v>
      </c>
    </row>
    <row r="333" spans="1:19">
      <c r="A333" s="1">
        <v>51665</v>
      </c>
      <c r="B333" t="s">
        <v>13</v>
      </c>
      <c r="C333" t="str">
        <f>TEXT(automotive_demand_forecasting_dataset5678[[#This Row],[Date]],"mmmm")</f>
        <v>June</v>
      </c>
      <c r="D333" t="str">
        <f>CHOOSE(MATCH(MONTH(A333), {1,4,7,10}), "Winter", "Spring", "Summer", "Autumn")</f>
        <v>Spring</v>
      </c>
      <c r="E333">
        <f>YEAR(automotive_demand_forecasting_dataset5678[[#This Row],[Date]])</f>
        <v>2041</v>
      </c>
      <c r="F333">
        <v>100</v>
      </c>
      <c r="G333">
        <f>(automotive_demand_forecasting_dataset5678[[#This Row],[Units_Sold]] -$C$4) / $C$5</f>
        <v>7.1703620942466739E-2</v>
      </c>
      <c r="H333" s="47" t="str">
        <f t="shared" ca="1" si="33"/>
        <v>East</v>
      </c>
      <c r="I333">
        <v>31168.92955895374</v>
      </c>
      <c r="J333">
        <v>3.5947908082993716</v>
      </c>
      <c r="K333">
        <v>2.3108796092229666</v>
      </c>
      <c r="L333">
        <v>5.9635879813738724</v>
      </c>
      <c r="M333">
        <v>104579.9278491868</v>
      </c>
      <c r="N333" s="82">
        <v>88</v>
      </c>
      <c r="O333">
        <v>36.920539942541446</v>
      </c>
      <c r="P3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33" t="str">
        <f t="shared" ca="1" si="34"/>
        <v>Online</v>
      </c>
      <c r="R333" s="46">
        <f>automotive_demand_forecasting_dataset5678[[#This Row],[Units_Sold]]*automotive_demand_forecasting_dataset5678[[#This Row],[Average_Price]]</f>
        <v>3116892.9558953741</v>
      </c>
      <c r="S333" t="str">
        <f t="shared" ca="1" si="35"/>
        <v>OK</v>
      </c>
    </row>
    <row r="334" spans="1:19">
      <c r="A334" s="1">
        <v>51695</v>
      </c>
      <c r="B334" t="s">
        <v>13</v>
      </c>
      <c r="C334" t="str">
        <f>TEXT(automotive_demand_forecasting_dataset5678[[#This Row],[Date]],"mmmm")</f>
        <v>July</v>
      </c>
      <c r="D334" t="str">
        <f>CHOOSE(MATCH(MONTH(A334), {1,4,7,10}), "Winter", "Spring", "Summer", "Autumn")</f>
        <v>Summer</v>
      </c>
      <c r="E334">
        <f>YEAR(automotive_demand_forecasting_dataset5678[[#This Row],[Date]])</f>
        <v>2041</v>
      </c>
      <c r="F334">
        <v>108</v>
      </c>
      <c r="G334">
        <f>(automotive_demand_forecasting_dataset5678[[#This Row],[Units_Sold]] -$C$4) / $C$5</f>
        <v>0.89117357457065483</v>
      </c>
      <c r="H334" s="47" t="str">
        <f t="shared" ca="1" si="33"/>
        <v>West</v>
      </c>
      <c r="I334">
        <v>22220.521768981864</v>
      </c>
      <c r="J334">
        <v>4.0005230462835701</v>
      </c>
      <c r="K334">
        <v>3.4216501119244596</v>
      </c>
      <c r="L334">
        <v>5.2546345348166543</v>
      </c>
      <c r="M334">
        <v>62841.970972034258</v>
      </c>
      <c r="N334" s="82">
        <v>89</v>
      </c>
      <c r="O334">
        <v>78.88283203408524</v>
      </c>
      <c r="P3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34" t="str">
        <f t="shared" ca="1" si="34"/>
        <v>Online</v>
      </c>
      <c r="R334" s="46">
        <f>automotive_demand_forecasting_dataset5678[[#This Row],[Units_Sold]]*automotive_demand_forecasting_dataset5678[[#This Row],[Average_Price]]</f>
        <v>2399816.3510500412</v>
      </c>
      <c r="S334" t="str">
        <f t="shared" ca="1" si="35"/>
        <v>OK</v>
      </c>
    </row>
    <row r="335" spans="1:19">
      <c r="A335" s="1">
        <v>51725</v>
      </c>
      <c r="B335" t="s">
        <v>10</v>
      </c>
      <c r="C335" t="str">
        <f>TEXT(automotive_demand_forecasting_dataset5678[[#This Row],[Date]],"mmmm")</f>
        <v>August</v>
      </c>
      <c r="D335" t="str">
        <f>CHOOSE(MATCH(MONTH(A335), {1,4,7,10}), "Winter", "Spring", "Summer", "Autumn")</f>
        <v>Summer</v>
      </c>
      <c r="E335">
        <f>YEAR(automotive_demand_forecasting_dataset5678[[#This Row],[Date]])</f>
        <v>2041</v>
      </c>
      <c r="F335">
        <v>100</v>
      </c>
      <c r="G335">
        <f>(automotive_demand_forecasting_dataset5678[[#This Row],[Units_Sold]] -$C$4) / $C$5</f>
        <v>7.1703620942466739E-2</v>
      </c>
      <c r="H335" s="47" t="str">
        <f t="shared" ca="1" si="33"/>
        <v>North</v>
      </c>
      <c r="I335">
        <v>31654.401161072285</v>
      </c>
      <c r="J335">
        <v>2.1483838535003814</v>
      </c>
      <c r="K335">
        <v>2.3724508796224657</v>
      </c>
      <c r="L335">
        <v>7.6065708379785875</v>
      </c>
      <c r="M335">
        <v>112064.95001142788</v>
      </c>
      <c r="N335" s="82">
        <v>92</v>
      </c>
      <c r="O335">
        <v>45.60128904699134</v>
      </c>
      <c r="P3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35" t="str">
        <f t="shared" ca="1" si="34"/>
        <v>Online</v>
      </c>
      <c r="R335" s="46">
        <f>automotive_demand_forecasting_dataset5678[[#This Row],[Units_Sold]]*automotive_demand_forecasting_dataset5678[[#This Row],[Average_Price]]</f>
        <v>3165440.1161072287</v>
      </c>
      <c r="S335" t="str">
        <f t="shared" ca="1" si="35"/>
        <v>OK</v>
      </c>
    </row>
    <row r="336" spans="1:19">
      <c r="A336" s="1">
        <v>51755</v>
      </c>
      <c r="B336" t="s">
        <v>10</v>
      </c>
      <c r="C336" t="str">
        <f>TEXT(automotive_demand_forecasting_dataset5678[[#This Row],[Date]],"mmmm")</f>
        <v>September</v>
      </c>
      <c r="D336" t="str">
        <f>CHOOSE(MATCH(MONTH(A336), {1,4,7,10}), "Winter", "Spring", "Summer", "Autumn")</f>
        <v>Summer</v>
      </c>
      <c r="E336">
        <f>YEAR(automotive_demand_forecasting_dataset5678[[#This Row],[Date]])</f>
        <v>2041</v>
      </c>
      <c r="F336">
        <v>86</v>
      </c>
      <c r="G336">
        <f>(automotive_demand_forecasting_dataset5678[[#This Row],[Units_Sold]] -$C$4) / $C$5</f>
        <v>-1.3623687979068624</v>
      </c>
      <c r="H336" s="47" t="str">
        <f t="shared" ca="1" si="33"/>
        <v>North</v>
      </c>
      <c r="I336">
        <v>34167.644808044621</v>
      </c>
      <c r="J336">
        <v>3.8389376597654539</v>
      </c>
      <c r="K336">
        <v>4.011154930247347</v>
      </c>
      <c r="L336">
        <v>7.3876236702578275</v>
      </c>
      <c r="M336">
        <v>105963.16931981052</v>
      </c>
      <c r="N336" s="82">
        <v>85</v>
      </c>
      <c r="O336">
        <v>65.454227669999995</v>
      </c>
      <c r="P3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36" t="str">
        <f t="shared" ca="1" si="34"/>
        <v>Print</v>
      </c>
      <c r="R336" s="46">
        <f>automotive_demand_forecasting_dataset5678[[#This Row],[Units_Sold]]*automotive_demand_forecasting_dataset5678[[#This Row],[Average_Price]]</f>
        <v>2938417.4534918373</v>
      </c>
      <c r="S336" t="str">
        <f t="shared" ca="1" si="35"/>
        <v>OK</v>
      </c>
    </row>
    <row r="337" spans="1:19">
      <c r="A337" s="1">
        <v>51785</v>
      </c>
      <c r="B337" t="s">
        <v>13</v>
      </c>
      <c r="C337" t="str">
        <f>TEXT(automotive_demand_forecasting_dataset5678[[#This Row],[Date]],"mmmm")</f>
        <v>October</v>
      </c>
      <c r="D337" t="str">
        <f>CHOOSE(MATCH(MONTH(A337), {1,4,7,10}), "Winter", "Spring", "Summer", "Autumn")</f>
        <v>Autumn</v>
      </c>
      <c r="E337">
        <f>YEAR(automotive_demand_forecasting_dataset5678[[#This Row],[Date]])</f>
        <v>2041</v>
      </c>
      <c r="F337">
        <v>87</v>
      </c>
      <c r="G337">
        <f>(automotive_demand_forecasting_dataset5678[[#This Row],[Units_Sold]] -$C$4) / $C$5</f>
        <v>-1.2599350537033389</v>
      </c>
      <c r="H337" s="47" t="str">
        <f t="shared" ca="1" si="33"/>
        <v>East</v>
      </c>
      <c r="I337">
        <v>20031.321787142722</v>
      </c>
      <c r="J337">
        <v>4.5778345189999996</v>
      </c>
      <c r="K337">
        <v>1.0488243099484411</v>
      </c>
      <c r="L337">
        <v>4.9410333170582046</v>
      </c>
      <c r="M337">
        <v>112773.20337286204</v>
      </c>
      <c r="N337" s="82">
        <v>86</v>
      </c>
      <c r="O337">
        <v>33.000885223796502</v>
      </c>
      <c r="P3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37" t="str">
        <f t="shared" ca="1" si="34"/>
        <v>Radio</v>
      </c>
      <c r="R337" s="46">
        <f>automotive_demand_forecasting_dataset5678[[#This Row],[Units_Sold]]*automotive_demand_forecasting_dataset5678[[#This Row],[Average_Price]]</f>
        <v>1742724.9954814168</v>
      </c>
      <c r="S337" t="str">
        <f t="shared" ca="1" si="35"/>
        <v>OK</v>
      </c>
    </row>
    <row r="338" spans="1:19">
      <c r="A338" s="1">
        <v>51815</v>
      </c>
      <c r="B338" t="s">
        <v>12</v>
      </c>
      <c r="C338" t="str">
        <f>TEXT(automotive_demand_forecasting_dataset5678[[#This Row],[Date]],"mmmm")</f>
        <v>November</v>
      </c>
      <c r="D338" t="str">
        <f>CHOOSE(MATCH(MONTH(A338), {1,4,7,10}), "Winter", "Spring", "Summer", "Autumn")</f>
        <v>Autumn</v>
      </c>
      <c r="E338">
        <f>YEAR(automotive_demand_forecasting_dataset5678[[#This Row],[Date]])</f>
        <v>2041</v>
      </c>
      <c r="F338">
        <v>109</v>
      </c>
      <c r="G338">
        <f>(automotive_demand_forecasting_dataset5678[[#This Row],[Units_Sold]] -$C$4) / $C$5</f>
        <v>0.99360731877417829</v>
      </c>
      <c r="H338" s="47" t="str">
        <f t="shared" ca="1" si="33"/>
        <v>North</v>
      </c>
      <c r="I338">
        <v>31870.282849237861</v>
      </c>
      <c r="J338">
        <v>2.5846835515717714</v>
      </c>
      <c r="K338">
        <v>2.4879110521539456</v>
      </c>
      <c r="L338">
        <v>5.3189947461199658</v>
      </c>
      <c r="M338">
        <v>121162.366501743</v>
      </c>
      <c r="N338" s="82">
        <v>93</v>
      </c>
      <c r="O338">
        <v>96.779657716957544</v>
      </c>
      <c r="P3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38" t="str">
        <f t="shared" ca="1" si="34"/>
        <v>Radio</v>
      </c>
      <c r="R338" s="46">
        <f>automotive_demand_forecasting_dataset5678[[#This Row],[Units_Sold]]*automotive_demand_forecasting_dataset5678[[#This Row],[Average_Price]]</f>
        <v>3473860.8305669269</v>
      </c>
      <c r="S338" t="str">
        <f t="shared" ca="1" si="35"/>
        <v>OK</v>
      </c>
    </row>
    <row r="339" spans="1:19">
      <c r="A339" s="1">
        <v>51845</v>
      </c>
      <c r="B339" t="s">
        <v>13</v>
      </c>
      <c r="C339" t="str">
        <f>TEXT(automotive_demand_forecasting_dataset5678[[#This Row],[Date]],"mmmm")</f>
        <v>December</v>
      </c>
      <c r="D339" t="str">
        <f>CHOOSE(MATCH(MONTH(A339), {1,4,7,10}), "Winter", "Spring", "Summer", "Autumn")</f>
        <v>Autumn</v>
      </c>
      <c r="E339">
        <f>YEAR(automotive_demand_forecasting_dataset5678[[#This Row],[Date]])</f>
        <v>2041</v>
      </c>
      <c r="F339">
        <v>91</v>
      </c>
      <c r="G339">
        <f>(automotive_demand_forecasting_dataset5678[[#This Row],[Units_Sold]] -$C$4) / $C$5</f>
        <v>-0.85020007688924482</v>
      </c>
      <c r="H339" s="47" t="str">
        <f t="shared" ca="1" si="33"/>
        <v>North</v>
      </c>
      <c r="I339">
        <v>36138.344962366464</v>
      </c>
      <c r="J339">
        <v>3.7556012997624904</v>
      </c>
      <c r="K339">
        <v>1.2476065555868809</v>
      </c>
      <c r="L339">
        <v>5.4112629212699286</v>
      </c>
      <c r="M339">
        <v>107352.39680419421</v>
      </c>
      <c r="N339" s="82">
        <v>84</v>
      </c>
      <c r="O339">
        <v>88.126512001378984</v>
      </c>
      <c r="P3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39" t="str">
        <f t="shared" ca="1" si="34"/>
        <v>Print</v>
      </c>
      <c r="R339" s="46">
        <f>automotive_demand_forecasting_dataset5678[[#This Row],[Units_Sold]]*automotive_demand_forecasting_dataset5678[[#This Row],[Average_Price]]</f>
        <v>3288589.3915753481</v>
      </c>
      <c r="S339" t="str">
        <f t="shared" ca="1" si="35"/>
        <v>OK</v>
      </c>
    </row>
    <row r="340" spans="1:19">
      <c r="A340" s="1">
        <v>51875</v>
      </c>
      <c r="B340" t="s">
        <v>11</v>
      </c>
      <c r="C340" t="str">
        <f>TEXT(automotive_demand_forecasting_dataset5678[[#This Row],[Date]],"mmmm")</f>
        <v>January</v>
      </c>
      <c r="D340" t="str">
        <f>CHOOSE(MATCH(MONTH(A340), {1,4,7,10}), "Winter", "Spring", "Summer", "Autumn")</f>
        <v>Winter</v>
      </c>
      <c r="E340">
        <f>YEAR(automotive_demand_forecasting_dataset5678[[#This Row],[Date]])</f>
        <v>2042</v>
      </c>
      <c r="F340">
        <v>107</v>
      </c>
      <c r="G340">
        <f>(automotive_demand_forecasting_dataset5678[[#This Row],[Units_Sold]] -$C$4) / $C$5</f>
        <v>0.78873983036713124</v>
      </c>
      <c r="H340" s="47" t="str">
        <f t="shared" ca="1" si="33"/>
        <v>South</v>
      </c>
      <c r="I340">
        <v>23951.794906543972</v>
      </c>
      <c r="J340">
        <v>4.1868292725814786</v>
      </c>
      <c r="K340">
        <v>2.863631882624968</v>
      </c>
      <c r="L340">
        <v>5.616047043</v>
      </c>
      <c r="M340">
        <v>102961.78839596553</v>
      </c>
      <c r="N340" s="82">
        <v>89</v>
      </c>
      <c r="O340">
        <v>89.103169837200255</v>
      </c>
      <c r="P3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40" t="str">
        <f t="shared" ca="1" si="34"/>
        <v>Online</v>
      </c>
      <c r="R340" s="46">
        <f>automotive_demand_forecasting_dataset5678[[#This Row],[Units_Sold]]*automotive_demand_forecasting_dataset5678[[#This Row],[Average_Price]]</f>
        <v>2562842.0550002051</v>
      </c>
      <c r="S340" t="str">
        <f t="shared" ca="1" si="35"/>
        <v>OK</v>
      </c>
    </row>
    <row r="341" spans="1:19">
      <c r="A341" s="1">
        <v>51905</v>
      </c>
      <c r="B341" t="s">
        <v>12</v>
      </c>
      <c r="C341" t="str">
        <f>TEXT(automotive_demand_forecasting_dataset5678[[#This Row],[Date]],"mmmm")</f>
        <v>February</v>
      </c>
      <c r="D341" t="str">
        <f>CHOOSE(MATCH(MONTH(A341), {1,4,7,10}), "Winter", "Spring", "Summer", "Autumn")</f>
        <v>Winter</v>
      </c>
      <c r="E341">
        <f>YEAR(automotive_demand_forecasting_dataset5678[[#This Row],[Date]])</f>
        <v>2042</v>
      </c>
      <c r="F341">
        <v>106</v>
      </c>
      <c r="G341">
        <f>(automotive_demand_forecasting_dataset5678[[#This Row],[Units_Sold]] -$C$4) / $C$5</f>
        <v>0.68630608616360778</v>
      </c>
      <c r="H341" s="47" t="str">
        <f t="shared" ca="1" si="33"/>
        <v>West</v>
      </c>
      <c r="I341">
        <v>38362.861934188521</v>
      </c>
      <c r="J341">
        <v>3.4312757426861542</v>
      </c>
      <c r="K341">
        <v>3.3868873900973004</v>
      </c>
      <c r="L341">
        <v>5.7340299808337525</v>
      </c>
      <c r="M341">
        <v>82378.633266774152</v>
      </c>
      <c r="N341" s="82">
        <v>98</v>
      </c>
      <c r="O341">
        <v>52.541899885760415</v>
      </c>
      <c r="P3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41" t="str">
        <f t="shared" ca="1" si="34"/>
        <v>Billboards</v>
      </c>
      <c r="R341" s="46">
        <f>automotive_demand_forecasting_dataset5678[[#This Row],[Units_Sold]]*automotive_demand_forecasting_dataset5678[[#This Row],[Average_Price]]</f>
        <v>4066463.3650239832</v>
      </c>
      <c r="S341" t="str">
        <f t="shared" ca="1" si="35"/>
        <v>OK</v>
      </c>
    </row>
    <row r="342" spans="1:19">
      <c r="A342" s="1">
        <v>51935</v>
      </c>
      <c r="B342" t="s">
        <v>11</v>
      </c>
      <c r="C342" t="str">
        <f>TEXT(automotive_demand_forecasting_dataset5678[[#This Row],[Date]],"mmmm")</f>
        <v>March</v>
      </c>
      <c r="D342" t="str">
        <f>CHOOSE(MATCH(MONTH(A342), {1,4,7,10}), "Winter", "Spring", "Summer", "Autumn")</f>
        <v>Winter</v>
      </c>
      <c r="E342">
        <f>YEAR(automotive_demand_forecasting_dataset5678[[#This Row],[Date]])</f>
        <v>2042</v>
      </c>
      <c r="F342">
        <v>92</v>
      </c>
      <c r="G342">
        <f>(automotive_demand_forecasting_dataset5678[[#This Row],[Units_Sold]] -$C$4) / $C$5</f>
        <v>-0.74776633268572135</v>
      </c>
      <c r="H342" s="47" t="str">
        <f t="shared" ca="1" si="33"/>
        <v>East</v>
      </c>
      <c r="I342">
        <v>32095.095046830225</v>
      </c>
      <c r="J342">
        <v>3.9764372736014693</v>
      </c>
      <c r="K342">
        <v>2.079238206318947</v>
      </c>
      <c r="L342">
        <v>4.5900615173348918</v>
      </c>
      <c r="M342">
        <v>85755.584727018984</v>
      </c>
      <c r="N342" s="82">
        <v>85</v>
      </c>
      <c r="O342">
        <v>65.454227669999995</v>
      </c>
      <c r="P3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42" t="str">
        <f t="shared" ca="1" si="34"/>
        <v>TV</v>
      </c>
      <c r="R342" s="46">
        <f>automotive_demand_forecasting_dataset5678[[#This Row],[Units_Sold]]*automotive_demand_forecasting_dataset5678[[#This Row],[Average_Price]]</f>
        <v>2952748.7443083809</v>
      </c>
      <c r="S342" t="str">
        <f t="shared" ca="1" si="35"/>
        <v>OK</v>
      </c>
    </row>
    <row r="343" spans="1:19">
      <c r="A343" s="1">
        <v>51965</v>
      </c>
      <c r="B343" t="s">
        <v>10</v>
      </c>
      <c r="C343" t="str">
        <f>TEXT(automotive_demand_forecasting_dataset5678[[#This Row],[Date]],"mmmm")</f>
        <v>April</v>
      </c>
      <c r="D343" t="str">
        <f>CHOOSE(MATCH(MONTH(A343), {1,4,7,10}), "Winter", "Spring", "Summer", "Autumn")</f>
        <v>Spring</v>
      </c>
      <c r="E343">
        <f>YEAR(automotive_demand_forecasting_dataset5678[[#This Row],[Date]])</f>
        <v>2042</v>
      </c>
      <c r="F343">
        <v>90</v>
      </c>
      <c r="G343">
        <f>(automotive_demand_forecasting_dataset5678[[#This Row],[Units_Sold]] -$C$4) / $C$5</f>
        <v>-0.95263382109276828</v>
      </c>
      <c r="H343" s="47" t="str">
        <f t="shared" ca="1" si="33"/>
        <v>East</v>
      </c>
      <c r="I343">
        <v>26474.940721207957</v>
      </c>
      <c r="J343">
        <v>4.3061391289943227</v>
      </c>
      <c r="K343">
        <v>2.6520564320000002</v>
      </c>
      <c r="L343">
        <v>4.1432615980749681</v>
      </c>
      <c r="M343">
        <v>102916.7736</v>
      </c>
      <c r="N343" s="82">
        <v>70</v>
      </c>
      <c r="O343">
        <v>31.510092431182414</v>
      </c>
      <c r="P3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43" t="str">
        <f t="shared" ca="1" si="34"/>
        <v>Online</v>
      </c>
      <c r="R343" s="46">
        <f>automotive_demand_forecasting_dataset5678[[#This Row],[Units_Sold]]*automotive_demand_forecasting_dataset5678[[#This Row],[Average_Price]]</f>
        <v>2382744.664908716</v>
      </c>
      <c r="S343" t="str">
        <f t="shared" ca="1" si="35"/>
        <v>OK</v>
      </c>
    </row>
    <row r="344" spans="1:19">
      <c r="A344" s="1">
        <v>51995</v>
      </c>
      <c r="B344" t="s">
        <v>12</v>
      </c>
      <c r="C344" t="str">
        <f>TEXT(automotive_demand_forecasting_dataset5678[[#This Row],[Date]],"mmmm")</f>
        <v>May</v>
      </c>
      <c r="D344" t="str">
        <f>CHOOSE(MATCH(MONTH(A344), {1,4,7,10}), "Winter", "Spring", "Summer", "Autumn")</f>
        <v>Spring</v>
      </c>
      <c r="E344">
        <f>YEAR(automotive_demand_forecasting_dataset5678[[#This Row],[Date]])</f>
        <v>2042</v>
      </c>
      <c r="F344">
        <v>102</v>
      </c>
      <c r="G344">
        <f>(automotive_demand_forecasting_dataset5678[[#This Row],[Units_Sold]] -$C$4) / $C$5</f>
        <v>0.27657110934951373</v>
      </c>
      <c r="H344" s="47" t="str">
        <f t="shared" ca="1" si="33"/>
        <v>West</v>
      </c>
      <c r="I344">
        <v>29721.15461171147</v>
      </c>
      <c r="J344">
        <v>4.1574572267920233</v>
      </c>
      <c r="K344">
        <v>2.6989481467964946</v>
      </c>
      <c r="L344">
        <v>6.2472534686803218</v>
      </c>
      <c r="M344">
        <v>102916.7736</v>
      </c>
      <c r="N344" s="82">
        <v>106</v>
      </c>
      <c r="O344">
        <v>20.689520207342422</v>
      </c>
      <c r="P3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44" t="str">
        <f t="shared" ca="1" si="34"/>
        <v>TV</v>
      </c>
      <c r="R344" s="46">
        <f>automotive_demand_forecasting_dataset5678[[#This Row],[Units_Sold]]*automotive_demand_forecasting_dataset5678[[#This Row],[Average_Price]]</f>
        <v>3031557.7703945702</v>
      </c>
      <c r="S344" t="str">
        <f t="shared" ca="1" si="35"/>
        <v>OK</v>
      </c>
    </row>
    <row r="345" spans="1:19">
      <c r="A345" s="1">
        <v>52025</v>
      </c>
      <c r="B345" t="s">
        <v>11</v>
      </c>
      <c r="C345" t="str">
        <f>TEXT(automotive_demand_forecasting_dataset5678[[#This Row],[Date]],"mmmm")</f>
        <v>June</v>
      </c>
      <c r="D345" t="str">
        <f>CHOOSE(MATCH(MONTH(A345), {1,4,7,10}), "Winter", "Spring", "Summer", "Autumn")</f>
        <v>Spring</v>
      </c>
      <c r="E345">
        <f>YEAR(automotive_demand_forecasting_dataset5678[[#This Row],[Date]])</f>
        <v>2042</v>
      </c>
      <c r="F345">
        <v>99</v>
      </c>
      <c r="G345">
        <f>(automotive_demand_forecasting_dataset5678[[#This Row],[Units_Sold]] -$C$4) / $C$5</f>
        <v>-3.0730123261056761E-2</v>
      </c>
      <c r="H345" s="47" t="str">
        <f t="shared" ca="1" si="33"/>
        <v>West</v>
      </c>
      <c r="I345">
        <v>32791.634562608611</v>
      </c>
      <c r="J345">
        <v>4.3199822646856969</v>
      </c>
      <c r="K345">
        <v>2.9367385517335096</v>
      </c>
      <c r="L345">
        <v>6.2554355010661729</v>
      </c>
      <c r="M345">
        <v>95237.791273758921</v>
      </c>
      <c r="N345" s="82">
        <v>91</v>
      </c>
      <c r="O345">
        <v>21.597834606242252</v>
      </c>
      <c r="P3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45" t="str">
        <f t="shared" ca="1" si="34"/>
        <v>TV</v>
      </c>
      <c r="R345" s="46">
        <f>automotive_demand_forecasting_dataset5678[[#This Row],[Units_Sold]]*automotive_demand_forecasting_dataset5678[[#This Row],[Average_Price]]</f>
        <v>3246371.8216982526</v>
      </c>
      <c r="S345" t="str">
        <f t="shared" ca="1" si="35"/>
        <v>OK</v>
      </c>
    </row>
    <row r="346" spans="1:19">
      <c r="A346" s="1">
        <v>52055</v>
      </c>
      <c r="B346" t="s">
        <v>11</v>
      </c>
      <c r="C346" t="str">
        <f>TEXT(automotive_demand_forecasting_dataset5678[[#This Row],[Date]],"mmmm")</f>
        <v>July</v>
      </c>
      <c r="D346" t="str">
        <f>CHOOSE(MATCH(MONTH(A346), {1,4,7,10}), "Winter", "Spring", "Summer", "Autumn")</f>
        <v>Summer</v>
      </c>
      <c r="E346">
        <f>YEAR(automotive_demand_forecasting_dataset5678[[#This Row],[Date]])</f>
        <v>2042</v>
      </c>
      <c r="F346">
        <v>88</v>
      </c>
      <c r="G346">
        <f>(automotive_demand_forecasting_dataset5678[[#This Row],[Units_Sold]] -$C$4) / $C$5</f>
        <v>-1.1575013094998152</v>
      </c>
      <c r="H346" s="47" t="str">
        <f t="shared" ca="1" si="33"/>
        <v>South</v>
      </c>
      <c r="I346">
        <v>38106.295579999998</v>
      </c>
      <c r="J346">
        <v>3.8710637455359462</v>
      </c>
      <c r="K346">
        <v>2.9042947549616978</v>
      </c>
      <c r="L346">
        <v>4.5348210884080089</v>
      </c>
      <c r="M346">
        <v>100920.05494506548</v>
      </c>
      <c r="N346" s="82">
        <v>86</v>
      </c>
      <c r="O346">
        <v>66.928138992364836</v>
      </c>
      <c r="P3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46" t="str">
        <f t="shared" ca="1" si="34"/>
        <v>Print</v>
      </c>
      <c r="R346" s="46">
        <f>automotive_demand_forecasting_dataset5678[[#This Row],[Units_Sold]]*automotive_demand_forecasting_dataset5678[[#This Row],[Average_Price]]</f>
        <v>3353354.0110399998</v>
      </c>
      <c r="S346" t="str">
        <f t="shared" ca="1" si="35"/>
        <v>OK</v>
      </c>
    </row>
    <row r="347" spans="1:19">
      <c r="A347" s="1">
        <v>52085</v>
      </c>
      <c r="B347" t="s">
        <v>12</v>
      </c>
      <c r="C347" t="str">
        <f>TEXT(automotive_demand_forecasting_dataset5678[[#This Row],[Date]],"mmmm")</f>
        <v>August</v>
      </c>
      <c r="D347" t="str">
        <f>CHOOSE(MATCH(MONTH(A347), {1,4,7,10}), "Winter", "Spring", "Summer", "Autumn")</f>
        <v>Summer</v>
      </c>
      <c r="E347">
        <f>YEAR(automotive_demand_forecasting_dataset5678[[#This Row],[Date]])</f>
        <v>2042</v>
      </c>
      <c r="F347">
        <v>100</v>
      </c>
      <c r="G347">
        <f>(automotive_demand_forecasting_dataset5678[[#This Row],[Units_Sold]] -$C$4) / $C$5</f>
        <v>7.1703620942466739E-2</v>
      </c>
      <c r="H347" s="47" t="str">
        <f t="shared" ca="1" si="33"/>
        <v>East</v>
      </c>
      <c r="I347">
        <v>32693.779962231845</v>
      </c>
      <c r="J347">
        <v>3.5377168194507962</v>
      </c>
      <c r="K347">
        <v>3.7357821918221541</v>
      </c>
      <c r="L347">
        <v>6.5744265169151195</v>
      </c>
      <c r="M347">
        <v>81907.712500124675</v>
      </c>
      <c r="N347" s="82">
        <v>92</v>
      </c>
      <c r="O347">
        <v>56.431592419835262</v>
      </c>
      <c r="P3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47" t="str">
        <f t="shared" ca="1" si="34"/>
        <v>Print</v>
      </c>
      <c r="R347" s="46">
        <f>automotive_demand_forecasting_dataset5678[[#This Row],[Units_Sold]]*automotive_demand_forecasting_dataset5678[[#This Row],[Average_Price]]</f>
        <v>3269377.9962231847</v>
      </c>
      <c r="S347" t="str">
        <f t="shared" ca="1" si="35"/>
        <v>OK</v>
      </c>
    </row>
    <row r="348" spans="1:19">
      <c r="A348" s="1">
        <v>52115</v>
      </c>
      <c r="B348" t="s">
        <v>14</v>
      </c>
      <c r="C348" t="str">
        <f>TEXT(automotive_demand_forecasting_dataset5678[[#This Row],[Date]],"mmmm")</f>
        <v>September</v>
      </c>
      <c r="D348" t="str">
        <f>CHOOSE(MATCH(MONTH(A348), {1,4,7,10}), "Winter", "Spring", "Summer", "Autumn")</f>
        <v>Summer</v>
      </c>
      <c r="E348">
        <f>YEAR(automotive_demand_forecasting_dataset5678[[#This Row],[Date]])</f>
        <v>2042</v>
      </c>
      <c r="F348">
        <v>100</v>
      </c>
      <c r="G348">
        <f>(automotive_demand_forecasting_dataset5678[[#This Row],[Units_Sold]] -$C$4) / $C$5</f>
        <v>7.1703620942466739E-2</v>
      </c>
      <c r="H348" s="47" t="str">
        <f t="shared" ca="1" si="33"/>
        <v>East</v>
      </c>
      <c r="I348">
        <v>25396.632034603168</v>
      </c>
      <c r="J348">
        <v>2.699017094051416</v>
      </c>
      <c r="K348">
        <v>1.4289463203509511</v>
      </c>
      <c r="L348">
        <v>4.7421067250016025</v>
      </c>
      <c r="M348">
        <v>123455.13690534889</v>
      </c>
      <c r="N348" s="82">
        <v>75</v>
      </c>
      <c r="O348">
        <v>61.441227912681583</v>
      </c>
      <c r="P3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48" t="str">
        <f t="shared" ca="1" si="34"/>
        <v>Radio</v>
      </c>
      <c r="R348" s="46">
        <f>automotive_demand_forecasting_dataset5678[[#This Row],[Units_Sold]]*automotive_demand_forecasting_dataset5678[[#This Row],[Average_Price]]</f>
        <v>2539663.2034603166</v>
      </c>
      <c r="S348" t="str">
        <f t="shared" ca="1" si="35"/>
        <v>OK</v>
      </c>
    </row>
    <row r="349" spans="1:19">
      <c r="A349" s="1">
        <v>52145</v>
      </c>
      <c r="B349" t="s">
        <v>13</v>
      </c>
      <c r="C349" t="str">
        <f>TEXT(automotive_demand_forecasting_dataset5678[[#This Row],[Date]],"mmmm")</f>
        <v>October</v>
      </c>
      <c r="D349" t="str">
        <f>CHOOSE(MATCH(MONTH(A349), {1,4,7,10}), "Winter", "Spring", "Summer", "Autumn")</f>
        <v>Autumn</v>
      </c>
      <c r="E349">
        <f>YEAR(automotive_demand_forecasting_dataset5678[[#This Row],[Date]])</f>
        <v>2042</v>
      </c>
      <c r="F349">
        <v>106</v>
      </c>
      <c r="G349">
        <f>(automotive_demand_forecasting_dataset5678[[#This Row],[Units_Sold]] -$C$4) / $C$5</f>
        <v>0.68630608616360778</v>
      </c>
      <c r="H349" s="47" t="str">
        <f t="shared" ca="1" si="33"/>
        <v>West</v>
      </c>
      <c r="I349">
        <v>30846.80412018039</v>
      </c>
      <c r="J349">
        <v>3.3769687559350259</v>
      </c>
      <c r="K349">
        <v>3.1802161054504494</v>
      </c>
      <c r="L349">
        <v>5.803798285645577</v>
      </c>
      <c r="M349">
        <v>113308.33647383557</v>
      </c>
      <c r="N349" s="82">
        <v>90</v>
      </c>
      <c r="O349">
        <v>80.215177969999999</v>
      </c>
      <c r="P3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49" t="str">
        <f t="shared" ca="1" si="34"/>
        <v>Print</v>
      </c>
      <c r="R349" s="46">
        <f>automotive_demand_forecasting_dataset5678[[#This Row],[Units_Sold]]*automotive_demand_forecasting_dataset5678[[#This Row],[Average_Price]]</f>
        <v>3269761.2367391214</v>
      </c>
      <c r="S349" t="str">
        <f t="shared" ca="1" si="35"/>
        <v>OK</v>
      </c>
    </row>
    <row r="350" spans="1:19">
      <c r="A350" s="1">
        <v>52175</v>
      </c>
      <c r="B350" t="s">
        <v>11</v>
      </c>
      <c r="C350" t="str">
        <f>TEXT(automotive_demand_forecasting_dataset5678[[#This Row],[Date]],"mmmm")</f>
        <v>November</v>
      </c>
      <c r="D350" t="str">
        <f>CHOOSE(MATCH(MONTH(A350), {1,4,7,10}), "Winter", "Spring", "Summer", "Autumn")</f>
        <v>Autumn</v>
      </c>
      <c r="E350">
        <f>YEAR(automotive_demand_forecasting_dataset5678[[#This Row],[Date]])</f>
        <v>2042</v>
      </c>
      <c r="F350">
        <v>100</v>
      </c>
      <c r="G350">
        <f>(automotive_demand_forecasting_dataset5678[[#This Row],[Units_Sold]] -$C$4) / $C$5</f>
        <v>7.1703620942466739E-2</v>
      </c>
      <c r="H350" s="47" t="str">
        <f t="shared" ca="1" si="33"/>
        <v>East</v>
      </c>
      <c r="I350">
        <v>22931.427515475101</v>
      </c>
      <c r="J350">
        <v>3.0783767023419042</v>
      </c>
      <c r="K350">
        <v>3.6925075124779747</v>
      </c>
      <c r="L350">
        <v>5.616047043</v>
      </c>
      <c r="M350">
        <v>138824.34872927499</v>
      </c>
      <c r="N350" s="82">
        <v>93</v>
      </c>
      <c r="O350">
        <v>53.814929572594053</v>
      </c>
      <c r="P3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50" t="str">
        <f t="shared" ca="1" si="34"/>
        <v>Billboards</v>
      </c>
      <c r="R350" s="46">
        <f>automotive_demand_forecasting_dataset5678[[#This Row],[Units_Sold]]*automotive_demand_forecasting_dataset5678[[#This Row],[Average_Price]]</f>
        <v>2293142.7515475103</v>
      </c>
      <c r="S350" t="str">
        <f t="shared" ca="1" si="35"/>
        <v>OK</v>
      </c>
    </row>
    <row r="351" spans="1:19">
      <c r="A351" s="1">
        <v>52205</v>
      </c>
      <c r="B351" t="s">
        <v>13</v>
      </c>
      <c r="C351" t="str">
        <f>TEXT(automotive_demand_forecasting_dataset5678[[#This Row],[Date]],"mmmm")</f>
        <v>December</v>
      </c>
      <c r="D351" t="str">
        <f>CHOOSE(MATCH(MONTH(A351), {1,4,7,10}), "Winter", "Spring", "Summer", "Autumn")</f>
        <v>Autumn</v>
      </c>
      <c r="E351">
        <f>YEAR(automotive_demand_forecasting_dataset5678[[#This Row],[Date]])</f>
        <v>2042</v>
      </c>
      <c r="F351">
        <v>98</v>
      </c>
      <c r="G351">
        <f>(automotive_demand_forecasting_dataset5678[[#This Row],[Units_Sold]] -$C$4) / $C$5</f>
        <v>-0.13316386746458025</v>
      </c>
      <c r="H351" s="47" t="str">
        <f t="shared" ca="1" si="33"/>
        <v>East</v>
      </c>
      <c r="I351">
        <v>29443.8696932565</v>
      </c>
      <c r="J351">
        <v>4.5854713587489071</v>
      </c>
      <c r="K351">
        <v>0.72141241599348316</v>
      </c>
      <c r="L351">
        <v>5.459664922355544</v>
      </c>
      <c r="M351">
        <v>82433.538456405222</v>
      </c>
      <c r="N351" s="82">
        <v>92</v>
      </c>
      <c r="O351">
        <v>77.445452896068872</v>
      </c>
      <c r="P3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51" t="str">
        <f t="shared" ca="1" si="34"/>
        <v>TV</v>
      </c>
      <c r="R351" s="46">
        <f>automotive_demand_forecasting_dataset5678[[#This Row],[Units_Sold]]*automotive_demand_forecasting_dataset5678[[#This Row],[Average_Price]]</f>
        <v>2885499.2299391371</v>
      </c>
      <c r="S351" t="str">
        <f t="shared" ca="1" si="35"/>
        <v>OK</v>
      </c>
    </row>
    <row r="352" spans="1:19">
      <c r="A352" s="1">
        <v>52235</v>
      </c>
      <c r="B352" t="s">
        <v>13</v>
      </c>
      <c r="C352" t="str">
        <f>TEXT(automotive_demand_forecasting_dataset5678[[#This Row],[Date]],"mmmm")</f>
        <v>January</v>
      </c>
      <c r="D352" t="str">
        <f>CHOOSE(MATCH(MONTH(A352), {1,4,7,10}), "Winter", "Spring", "Summer", "Autumn")</f>
        <v>Winter</v>
      </c>
      <c r="E352">
        <f>YEAR(automotive_demand_forecasting_dataset5678[[#This Row],[Date]])</f>
        <v>2043</v>
      </c>
      <c r="F352">
        <v>119</v>
      </c>
      <c r="G352">
        <f>(automotive_demand_forecasting_dataset5678[[#This Row],[Units_Sold]] -$C$4) / $C$5</f>
        <v>2.0179447608094132</v>
      </c>
      <c r="H352" s="47" t="str">
        <f t="shared" ca="1" si="33"/>
        <v>South</v>
      </c>
      <c r="I352">
        <v>30949.702720000001</v>
      </c>
      <c r="J352">
        <v>3.4120570937838317</v>
      </c>
      <c r="K352">
        <v>2.8196518259189771</v>
      </c>
      <c r="L352">
        <v>6.0456890945693615</v>
      </c>
      <c r="M352">
        <v>92439.84201963566</v>
      </c>
      <c r="N352" s="82">
        <v>92</v>
      </c>
      <c r="O352">
        <v>55.41549615739487</v>
      </c>
      <c r="P3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52" t="str">
        <f t="shared" ca="1" si="34"/>
        <v>Print</v>
      </c>
      <c r="R352" s="46">
        <f>automotive_demand_forecasting_dataset5678[[#This Row],[Units_Sold]]*automotive_demand_forecasting_dataset5678[[#This Row],[Average_Price]]</f>
        <v>3683014.6236800002</v>
      </c>
      <c r="S352" t="str">
        <f t="shared" ca="1" si="35"/>
        <v>OK</v>
      </c>
    </row>
    <row r="353" spans="1:19">
      <c r="A353" s="1">
        <v>52265</v>
      </c>
      <c r="B353" t="s">
        <v>10</v>
      </c>
      <c r="C353" t="str">
        <f>TEXT(automotive_demand_forecasting_dataset5678[[#This Row],[Date]],"mmmm")</f>
        <v>February</v>
      </c>
      <c r="D353" t="str">
        <f>CHOOSE(MATCH(MONTH(A353), {1,4,7,10}), "Winter", "Spring", "Summer", "Autumn")</f>
        <v>Winter</v>
      </c>
      <c r="E353">
        <f>YEAR(automotive_demand_forecasting_dataset5678[[#This Row],[Date]])</f>
        <v>2043</v>
      </c>
      <c r="F353">
        <v>99</v>
      </c>
      <c r="G353">
        <f>(automotive_demand_forecasting_dataset5678[[#This Row],[Units_Sold]] -$C$4) / $C$5</f>
        <v>-3.0730123261056761E-2</v>
      </c>
      <c r="H353" s="47" t="str">
        <f t="shared" ca="1" si="33"/>
        <v>South</v>
      </c>
      <c r="I353">
        <v>26322.350287051166</v>
      </c>
      <c r="J353">
        <v>3.5616024033922429</v>
      </c>
      <c r="K353">
        <v>1.9958201689923285</v>
      </c>
      <c r="L353">
        <f>6.97388673</f>
        <v>6.9738867300000003</v>
      </c>
      <c r="M353">
        <v>104628.91845051144</v>
      </c>
      <c r="N353" s="82">
        <f>111.9136842</f>
        <v>111.91368420000001</v>
      </c>
      <c r="O353">
        <v>78.577536504977786</v>
      </c>
      <c r="P3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53" t="str">
        <f t="shared" ca="1" si="34"/>
        <v>Online</v>
      </c>
      <c r="R353" s="46">
        <f>automotive_demand_forecasting_dataset5678[[#This Row],[Units_Sold]]*automotive_demand_forecasting_dataset5678[[#This Row],[Average_Price]]</f>
        <v>2605912.6784180654</v>
      </c>
      <c r="S353" t="str">
        <f t="shared" ca="1" si="35"/>
        <v>OK</v>
      </c>
    </row>
    <row r="354" spans="1:19">
      <c r="A354" s="1">
        <v>52295</v>
      </c>
      <c r="B354" t="s">
        <v>13</v>
      </c>
      <c r="C354" t="str">
        <f>TEXT(automotive_demand_forecasting_dataset5678[[#This Row],[Date]],"mmmm")</f>
        <v>March</v>
      </c>
      <c r="D354" t="str">
        <f>CHOOSE(MATCH(MONTH(A354), {1,4,7,10}), "Winter", "Spring", "Summer", "Autumn")</f>
        <v>Winter</v>
      </c>
      <c r="E354">
        <f>YEAR(automotive_demand_forecasting_dataset5678[[#This Row],[Date]])</f>
        <v>2043</v>
      </c>
      <c r="F354">
        <v>87</v>
      </c>
      <c r="G354">
        <f>(automotive_demand_forecasting_dataset5678[[#This Row],[Units_Sold]] -$C$4) / $C$5</f>
        <v>-1.2599350537033389</v>
      </c>
      <c r="H354" s="47" t="str">
        <f t="shared" ca="1" si="33"/>
        <v>East</v>
      </c>
      <c r="I354">
        <v>36180.465876052185</v>
      </c>
      <c r="J354">
        <v>3.7757426880202338</v>
      </c>
      <c r="K354">
        <v>2.4184773268983539</v>
      </c>
      <c r="L354">
        <v>5.2642400998862833</v>
      </c>
      <c r="M354">
        <v>112929.79075451542</v>
      </c>
      <c r="N354" s="82">
        <v>94</v>
      </c>
      <c r="O354">
        <v>38.641517151746783</v>
      </c>
      <c r="P3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54" t="str">
        <f t="shared" ca="1" si="34"/>
        <v>TV</v>
      </c>
      <c r="R354" s="46">
        <f>automotive_demand_forecasting_dataset5678[[#This Row],[Units_Sold]]*automotive_demand_forecasting_dataset5678[[#This Row],[Average_Price]]</f>
        <v>3147700.5312165399</v>
      </c>
      <c r="S354" t="str">
        <f t="shared" ca="1" si="35"/>
        <v>OK</v>
      </c>
    </row>
    <row r="355" spans="1:19">
      <c r="A355" s="1">
        <v>52325</v>
      </c>
      <c r="B355" t="s">
        <v>11</v>
      </c>
      <c r="C355" t="str">
        <f>TEXT(automotive_demand_forecasting_dataset5678[[#This Row],[Date]],"mmmm")</f>
        <v>April</v>
      </c>
      <c r="D355" t="str">
        <f>CHOOSE(MATCH(MONTH(A355), {1,4,7,10}), "Winter", "Spring", "Summer", "Autumn")</f>
        <v>Spring</v>
      </c>
      <c r="E355">
        <f>YEAR(automotive_demand_forecasting_dataset5678[[#This Row],[Date]])</f>
        <v>2043</v>
      </c>
      <c r="F355">
        <v>100</v>
      </c>
      <c r="G355">
        <f>(automotive_demand_forecasting_dataset5678[[#This Row],[Units_Sold]] -$C$4) / $C$5</f>
        <v>7.1703620942466739E-2</v>
      </c>
      <c r="H355" s="47" t="str">
        <f t="shared" ca="1" si="33"/>
        <v>North</v>
      </c>
      <c r="I355">
        <v>35456.550602971343</v>
      </c>
      <c r="J355">
        <v>3.5218012231862268</v>
      </c>
      <c r="K355">
        <v>2.8476764835383364</v>
      </c>
      <c r="L355">
        <v>5.2529686829435915</v>
      </c>
      <c r="M355">
        <v>95686.647249047353</v>
      </c>
      <c r="N355" s="82">
        <v>93</v>
      </c>
      <c r="O355">
        <v>85.051360358538034</v>
      </c>
      <c r="P3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55" t="str">
        <f t="shared" ca="1" si="34"/>
        <v>Online</v>
      </c>
      <c r="R355" s="46">
        <f>automotive_demand_forecasting_dataset5678[[#This Row],[Units_Sold]]*automotive_demand_forecasting_dataset5678[[#This Row],[Average_Price]]</f>
        <v>3545655.0602971343</v>
      </c>
      <c r="S355" t="str">
        <f t="shared" ca="1" si="35"/>
        <v>OK</v>
      </c>
    </row>
    <row r="356" spans="1:19">
      <c r="A356" s="1">
        <v>52355</v>
      </c>
      <c r="B356" t="s">
        <v>10</v>
      </c>
      <c r="C356" t="str">
        <f>TEXT(automotive_demand_forecasting_dataset5678[[#This Row],[Date]],"mmmm")</f>
        <v>May</v>
      </c>
      <c r="D356" t="str">
        <f>CHOOSE(MATCH(MONTH(A356), {1,4,7,10}), "Winter", "Spring", "Summer", "Autumn")</f>
        <v>Spring</v>
      </c>
      <c r="E356">
        <f>YEAR(automotive_demand_forecasting_dataset5678[[#This Row],[Date]])</f>
        <v>2043</v>
      </c>
      <c r="F356">
        <v>103</v>
      </c>
      <c r="G356">
        <f>(automotive_demand_forecasting_dataset5678[[#This Row],[Units_Sold]] -$C$4) / $C$5</f>
        <v>0.37900485355303726</v>
      </c>
      <c r="H356" s="47" t="str">
        <f t="shared" ca="1" si="33"/>
        <v>South</v>
      </c>
      <c r="I356">
        <v>33045.690604535885</v>
      </c>
      <c r="J356">
        <v>4.3475255202153766</v>
      </c>
      <c r="K356">
        <v>2.0127714358864477</v>
      </c>
      <c r="L356">
        <v>4.6041059841517136</v>
      </c>
      <c r="M356">
        <v>82540.778190925994</v>
      </c>
      <c r="N356" s="82">
        <v>84</v>
      </c>
      <c r="O356">
        <v>67.074499236276182</v>
      </c>
      <c r="P3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56" t="str">
        <f t="shared" ca="1" si="34"/>
        <v>Billboards</v>
      </c>
      <c r="R356" s="46">
        <f>automotive_demand_forecasting_dataset5678[[#This Row],[Units_Sold]]*automotive_demand_forecasting_dataset5678[[#This Row],[Average_Price]]</f>
        <v>3403706.1322671962</v>
      </c>
      <c r="S356" t="str">
        <f t="shared" ca="1" si="35"/>
        <v>OK</v>
      </c>
    </row>
    <row r="357" spans="1:19">
      <c r="A357" s="1">
        <v>52385</v>
      </c>
      <c r="B357" t="s">
        <v>12</v>
      </c>
      <c r="C357" t="str">
        <f>TEXT(automotive_demand_forecasting_dataset5678[[#This Row],[Date]],"mmmm")</f>
        <v>June</v>
      </c>
      <c r="D357" t="str">
        <f>CHOOSE(MATCH(MONTH(A357), {1,4,7,10}), "Winter", "Spring", "Summer", "Autumn")</f>
        <v>Spring</v>
      </c>
      <c r="E357">
        <f>YEAR(automotive_demand_forecasting_dataset5678[[#This Row],[Date]])</f>
        <v>2043</v>
      </c>
      <c r="F357">
        <v>79</v>
      </c>
      <c r="G357">
        <f>(automotive_demand_forecasting_dataset5678[[#This Row],[Units_Sold]] -$C$4) / $C$5</f>
        <v>-2.0794050073315269</v>
      </c>
      <c r="H357" s="47" t="str">
        <f t="shared" ca="1" si="33"/>
        <v>West</v>
      </c>
      <c r="I357">
        <v>24538.436176637104</v>
      </c>
      <c r="J357">
        <v>3.1886753191327739</v>
      </c>
      <c r="K357">
        <v>1.8242919208383883</v>
      </c>
      <c r="L357">
        <v>5.2878710042610617</v>
      </c>
      <c r="M357">
        <v>117628.15057847142</v>
      </c>
      <c r="N357" s="82">
        <v>90</v>
      </c>
      <c r="O357">
        <v>36.861047954392497</v>
      </c>
      <c r="P3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57" t="str">
        <f t="shared" ca="1" si="34"/>
        <v>Radio</v>
      </c>
      <c r="R357" s="46">
        <f>automotive_demand_forecasting_dataset5678[[#This Row],[Units_Sold]]*automotive_demand_forecasting_dataset5678[[#This Row],[Average_Price]]</f>
        <v>1938536.4579543313</v>
      </c>
      <c r="S357" t="str">
        <f t="shared" ca="1" si="35"/>
        <v>OK</v>
      </c>
    </row>
    <row r="358" spans="1:19">
      <c r="A358" s="1">
        <v>52415</v>
      </c>
      <c r="B358" t="s">
        <v>11</v>
      </c>
      <c r="C358" t="str">
        <f>TEXT(automotive_demand_forecasting_dataset5678[[#This Row],[Date]],"mmmm")</f>
        <v>July</v>
      </c>
      <c r="D358" t="str">
        <f>CHOOSE(MATCH(MONTH(A358), {1,4,7,10}), "Winter", "Spring", "Summer", "Autumn")</f>
        <v>Summer</v>
      </c>
      <c r="E358">
        <f>YEAR(automotive_demand_forecasting_dataset5678[[#This Row],[Date]])</f>
        <v>2043</v>
      </c>
      <c r="F358">
        <v>110</v>
      </c>
      <c r="G358">
        <f>(automotive_demand_forecasting_dataset5678[[#This Row],[Units_Sold]] -$C$4) / $C$5</f>
        <v>1.0960410629777018</v>
      </c>
      <c r="H358" s="47" t="str">
        <f t="shared" ca="1" si="33"/>
        <v>East</v>
      </c>
      <c r="I358">
        <v>28417.957751525992</v>
      </c>
      <c r="J358">
        <v>3.5973037276186215</v>
      </c>
      <c r="K358">
        <v>2.5341524174880248</v>
      </c>
      <c r="L358">
        <f>6.97388673</f>
        <v>6.9738867300000003</v>
      </c>
      <c r="M358">
        <v>114422.70725091163</v>
      </c>
      <c r="N358" s="82">
        <v>95</v>
      </c>
      <c r="O358">
        <v>38.937638068306633</v>
      </c>
      <c r="P3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58" t="str">
        <f t="shared" ca="1" si="34"/>
        <v>Print</v>
      </c>
      <c r="R358" s="46">
        <f>automotive_demand_forecasting_dataset5678[[#This Row],[Units_Sold]]*automotive_demand_forecasting_dataset5678[[#This Row],[Average_Price]]</f>
        <v>3125975.3526678593</v>
      </c>
      <c r="S358" t="str">
        <f t="shared" ca="1" si="35"/>
        <v>OK</v>
      </c>
    </row>
    <row r="359" spans="1:19">
      <c r="A359" s="1">
        <v>52445</v>
      </c>
      <c r="B359" t="s">
        <v>10</v>
      </c>
      <c r="C359" t="str">
        <f>TEXT(automotive_demand_forecasting_dataset5678[[#This Row],[Date]],"mmmm")</f>
        <v>August</v>
      </c>
      <c r="D359" t="str">
        <f>CHOOSE(MATCH(MONTH(A359), {1,4,7,10}), "Winter", "Spring", "Summer", "Autumn")</f>
        <v>Summer</v>
      </c>
      <c r="E359">
        <f>YEAR(automotive_demand_forecasting_dataset5678[[#This Row],[Date]])</f>
        <v>2043</v>
      </c>
      <c r="F359">
        <v>95</v>
      </c>
      <c r="G359">
        <f>(automotive_demand_forecasting_dataset5678[[#This Row],[Units_Sold]] -$C$4) / $C$5</f>
        <v>-0.44046510007515077</v>
      </c>
      <c r="H359" s="47" t="str">
        <f t="shared" ca="1" si="33"/>
        <v>West</v>
      </c>
      <c r="I359">
        <v>36065.488499895917</v>
      </c>
      <c r="J359">
        <v>3.1287647071509759</v>
      </c>
      <c r="K359">
        <v>1.4127540611371974</v>
      </c>
      <c r="L359">
        <v>4.9106155034294741</v>
      </c>
      <c r="M359">
        <v>81674.517988725507</v>
      </c>
      <c r="N359" s="82">
        <v>80</v>
      </c>
      <c r="O359">
        <v>70.242437165562961</v>
      </c>
      <c r="P3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59" t="str">
        <f t="shared" ca="1" si="34"/>
        <v>Print</v>
      </c>
      <c r="R359" s="46">
        <f>automotive_demand_forecasting_dataset5678[[#This Row],[Units_Sold]]*automotive_demand_forecasting_dataset5678[[#This Row],[Average_Price]]</f>
        <v>3426221.4074901119</v>
      </c>
      <c r="S359" t="str">
        <f t="shared" ca="1" si="35"/>
        <v>OK</v>
      </c>
    </row>
    <row r="360" spans="1:19">
      <c r="A360" s="1">
        <v>52475</v>
      </c>
      <c r="B360" t="s">
        <v>10</v>
      </c>
      <c r="C360" t="str">
        <f>TEXT(automotive_demand_forecasting_dataset5678[[#This Row],[Date]],"mmmm")</f>
        <v>September</v>
      </c>
      <c r="D360" t="str">
        <f>CHOOSE(MATCH(MONTH(A360), {1,4,7,10}), "Winter", "Spring", "Summer", "Autumn")</f>
        <v>Summer</v>
      </c>
      <c r="E360">
        <f>YEAR(automotive_demand_forecasting_dataset5678[[#This Row],[Date]])</f>
        <v>2043</v>
      </c>
      <c r="F360">
        <v>101</v>
      </c>
      <c r="G360">
        <f>(automotive_demand_forecasting_dataset5678[[#This Row],[Units_Sold]] -$C$4) / $C$5</f>
        <v>0.17413736514599024</v>
      </c>
      <c r="H360" s="47" t="str">
        <f t="shared" ca="1" si="33"/>
        <v>South</v>
      </c>
      <c r="I360">
        <v>30708.584568199523</v>
      </c>
      <c r="J360">
        <v>2.8399887443896472</v>
      </c>
      <c r="K360">
        <v>1.4141748711148145</v>
      </c>
      <c r="L360">
        <v>5.1581494079563948</v>
      </c>
      <c r="M360">
        <v>127108.85602210992</v>
      </c>
      <c r="N360" s="82">
        <v>89</v>
      </c>
      <c r="O360">
        <v>86.395167456995466</v>
      </c>
      <c r="P3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60" t="str">
        <f t="shared" ca="1" si="34"/>
        <v>Radio</v>
      </c>
      <c r="R360" s="46">
        <f>automotive_demand_forecasting_dataset5678[[#This Row],[Units_Sold]]*automotive_demand_forecasting_dataset5678[[#This Row],[Average_Price]]</f>
        <v>3101567.0413881517</v>
      </c>
      <c r="S360" t="str">
        <f t="shared" ca="1" si="35"/>
        <v>OK</v>
      </c>
    </row>
    <row r="361" spans="1:19">
      <c r="A361" s="1">
        <v>52505</v>
      </c>
      <c r="B361" t="s">
        <v>13</v>
      </c>
      <c r="C361" t="str">
        <f>TEXT(automotive_demand_forecasting_dataset5678[[#This Row],[Date]],"mmmm")</f>
        <v>October</v>
      </c>
      <c r="D361" t="str">
        <f>CHOOSE(MATCH(MONTH(A361), {1,4,7,10}), "Winter", "Spring", "Summer", "Autumn")</f>
        <v>Autumn</v>
      </c>
      <c r="E361">
        <f>YEAR(automotive_demand_forecasting_dataset5678[[#This Row],[Date]])</f>
        <v>2043</v>
      </c>
      <c r="F361">
        <v>95</v>
      </c>
      <c r="G361">
        <f>(automotive_demand_forecasting_dataset5678[[#This Row],[Units_Sold]] -$C$4) / $C$5</f>
        <v>-0.44046510007515077</v>
      </c>
      <c r="H361" s="47" t="str">
        <f t="shared" ca="1" si="33"/>
        <v>West</v>
      </c>
      <c r="I361">
        <v>41596.64769990847</v>
      </c>
      <c r="J361">
        <v>3.1941154545473571</v>
      </c>
      <c r="K361">
        <v>3.1793732829565036</v>
      </c>
      <c r="L361">
        <v>5.1925842970055438</v>
      </c>
      <c r="M361">
        <v>123403.97418393208</v>
      </c>
      <c r="N361" s="82">
        <v>93</v>
      </c>
      <c r="O361">
        <v>80.215177969999999</v>
      </c>
      <c r="P3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61" t="str">
        <f t="shared" ca="1" si="34"/>
        <v>Online</v>
      </c>
      <c r="R361" s="46">
        <f>automotive_demand_forecasting_dataset5678[[#This Row],[Units_Sold]]*automotive_demand_forecasting_dataset5678[[#This Row],[Average_Price]]</f>
        <v>3951681.5314913047</v>
      </c>
      <c r="S361" t="str">
        <f t="shared" ca="1" si="35"/>
        <v>OK</v>
      </c>
    </row>
    <row r="362" spans="1:19">
      <c r="A362" s="1">
        <v>52535</v>
      </c>
      <c r="B362" t="s">
        <v>12</v>
      </c>
      <c r="C362" t="str">
        <f>TEXT(automotive_demand_forecasting_dataset5678[[#This Row],[Date]],"mmmm")</f>
        <v>October</v>
      </c>
      <c r="D362" t="str">
        <f>CHOOSE(MATCH(MONTH(A362), {1,4,7,10}), "Winter", "Spring", "Summer", "Autumn")</f>
        <v>Autumn</v>
      </c>
      <c r="E362">
        <f>YEAR(automotive_demand_forecasting_dataset5678[[#This Row],[Date]])</f>
        <v>2043</v>
      </c>
      <c r="F362">
        <v>107</v>
      </c>
      <c r="G362">
        <f>(automotive_demand_forecasting_dataset5678[[#This Row],[Units_Sold]] -$C$4) / $C$5</f>
        <v>0.78873983036713124</v>
      </c>
      <c r="H362" s="47" t="str">
        <f t="shared" ca="1" si="33"/>
        <v>South</v>
      </c>
      <c r="I362">
        <v>31966.589196971858</v>
      </c>
      <c r="J362">
        <v>3.4814816014757941</v>
      </c>
      <c r="K362">
        <v>1.3512059648413439</v>
      </c>
      <c r="L362">
        <v>5.2102030649550652</v>
      </c>
      <c r="M362">
        <v>102685.92994495586</v>
      </c>
      <c r="N362" s="82">
        <v>85</v>
      </c>
      <c r="O362">
        <v>40.664034330207379</v>
      </c>
      <c r="P3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62" t="str">
        <f t="shared" ca="1" si="34"/>
        <v>Radio</v>
      </c>
      <c r="R362" s="46">
        <f>automotive_demand_forecasting_dataset5678[[#This Row],[Units_Sold]]*automotive_demand_forecasting_dataset5678[[#This Row],[Average_Price]]</f>
        <v>3420425.0440759887</v>
      </c>
      <c r="S362" t="str">
        <f t="shared" ca="1" si="35"/>
        <v>OK</v>
      </c>
    </row>
    <row r="363" spans="1:19">
      <c r="A363" s="1">
        <v>52565</v>
      </c>
      <c r="B363" t="s">
        <v>11</v>
      </c>
      <c r="C363" t="str">
        <f>TEXT(automotive_demand_forecasting_dataset5678[[#This Row],[Date]],"mmmm")</f>
        <v>November</v>
      </c>
      <c r="D363" t="str">
        <f>CHOOSE(MATCH(MONTH(A363), {1,4,7,10}), "Winter", "Spring", "Summer", "Autumn")</f>
        <v>Autumn</v>
      </c>
      <c r="E363">
        <f>YEAR(automotive_demand_forecasting_dataset5678[[#This Row],[Date]])</f>
        <v>2043</v>
      </c>
      <c r="F363">
        <v>91</v>
      </c>
      <c r="G363">
        <f>(automotive_demand_forecasting_dataset5678[[#This Row],[Units_Sold]] -$C$4) / $C$5</f>
        <v>-0.85020007688924482</v>
      </c>
      <c r="H363" s="47" t="str">
        <f t="shared" ca="1" si="33"/>
        <v>North</v>
      </c>
      <c r="I363">
        <v>38106.295579999998</v>
      </c>
      <c r="J363">
        <v>3.2853488877413701</v>
      </c>
      <c r="K363">
        <v>3.1663125009092119</v>
      </c>
      <c r="L363">
        <v>5.4258829601678453</v>
      </c>
      <c r="M363">
        <v>101591.95724752072</v>
      </c>
      <c r="N363" s="82">
        <v>81</v>
      </c>
      <c r="O363">
        <v>89.360928552848037</v>
      </c>
      <c r="P3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63" t="str">
        <f t="shared" ca="1" si="34"/>
        <v>TV</v>
      </c>
      <c r="R363" s="46">
        <f>automotive_demand_forecasting_dataset5678[[#This Row],[Units_Sold]]*automotive_demand_forecasting_dataset5678[[#This Row],[Average_Price]]</f>
        <v>3467672.8977799998</v>
      </c>
      <c r="S363" t="str">
        <f t="shared" ca="1" si="35"/>
        <v>OK</v>
      </c>
    </row>
    <row r="364" spans="1:19">
      <c r="A364" s="1">
        <v>52595</v>
      </c>
      <c r="B364" t="s">
        <v>11</v>
      </c>
      <c r="C364" t="str">
        <f>TEXT(automotive_demand_forecasting_dataset5678[[#This Row],[Date]],"mmmm")</f>
        <v>December</v>
      </c>
      <c r="D364" t="str">
        <f>CHOOSE(MATCH(MONTH(A364), {1,4,7,10}), "Winter", "Spring", "Summer", "Autumn")</f>
        <v>Autumn</v>
      </c>
      <c r="E364">
        <f>YEAR(automotive_demand_forecasting_dataset5678[[#This Row],[Date]])</f>
        <v>2043</v>
      </c>
      <c r="F364">
        <v>87</v>
      </c>
      <c r="G364">
        <f>(automotive_demand_forecasting_dataset5678[[#This Row],[Units_Sold]] -$C$4) / $C$5</f>
        <v>-1.2599350537033389</v>
      </c>
      <c r="H364" s="47" t="str">
        <f t="shared" ca="1" si="33"/>
        <v>East</v>
      </c>
      <c r="I364">
        <v>28454.417678987495</v>
      </c>
      <c r="J364">
        <v>3.153789510063072</v>
      </c>
      <c r="K364">
        <v>2.9625912928539511</v>
      </c>
      <c r="L364">
        <v>6.075329821703277</v>
      </c>
      <c r="M364">
        <v>111081.15542231814</v>
      </c>
      <c r="N364" s="82">
        <v>81</v>
      </c>
      <c r="O364">
        <v>80.215177969999999</v>
      </c>
      <c r="P3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64" t="str">
        <f t="shared" ca="1" si="34"/>
        <v>Print</v>
      </c>
      <c r="R364" s="46">
        <f>automotive_demand_forecasting_dataset5678[[#This Row],[Units_Sold]]*automotive_demand_forecasting_dataset5678[[#This Row],[Average_Price]]</f>
        <v>2475534.3380719121</v>
      </c>
      <c r="S364" t="str">
        <f t="shared" ca="1" si="35"/>
        <v>OK</v>
      </c>
    </row>
    <row r="365" spans="1:19">
      <c r="A365" s="1">
        <v>52625</v>
      </c>
      <c r="B365" t="s">
        <v>13</v>
      </c>
      <c r="C365" t="str">
        <f>TEXT(automotive_demand_forecasting_dataset5678[[#This Row],[Date]],"mmmm")</f>
        <v>January</v>
      </c>
      <c r="D365" t="str">
        <f>CHOOSE(MATCH(MONTH(A365), {1,4,7,10}), "Winter", "Spring", "Summer", "Autumn")</f>
        <v>Winter</v>
      </c>
      <c r="E365">
        <f>YEAR(automotive_demand_forecasting_dataset5678[[#This Row],[Date]])</f>
        <v>2044</v>
      </c>
      <c r="F365">
        <v>100</v>
      </c>
      <c r="G365">
        <f>(automotive_demand_forecasting_dataset5678[[#This Row],[Units_Sold]] -$C$4) / $C$5</f>
        <v>7.1703620942466739E-2</v>
      </c>
      <c r="H365" s="47" t="str">
        <f t="shared" ca="1" si="33"/>
        <v>East</v>
      </c>
      <c r="I365">
        <v>30667.704523911412</v>
      </c>
      <c r="J365">
        <v>2.7968412681640831</v>
      </c>
      <c r="K365">
        <v>0.77419327120940329</v>
      </c>
      <c r="L365">
        <v>6.5494204889590275</v>
      </c>
      <c r="M365">
        <v>82765.938594874839</v>
      </c>
      <c r="N365" s="82">
        <v>88</v>
      </c>
      <c r="O365">
        <v>55.846838982646119</v>
      </c>
      <c r="P3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65" t="str">
        <f t="shared" ca="1" si="34"/>
        <v>TV</v>
      </c>
      <c r="R365" s="46">
        <f>automotive_demand_forecasting_dataset5678[[#This Row],[Units_Sold]]*automotive_demand_forecasting_dataset5678[[#This Row],[Average_Price]]</f>
        <v>3066770.4523911411</v>
      </c>
      <c r="S365" t="str">
        <f t="shared" ca="1" si="35"/>
        <v>OK</v>
      </c>
    </row>
    <row r="366" spans="1:19">
      <c r="A366" s="1">
        <v>52655</v>
      </c>
      <c r="B366" t="s">
        <v>12</v>
      </c>
      <c r="C366" t="str">
        <f>TEXT(automotive_demand_forecasting_dataset5678[[#This Row],[Date]],"mmmm")</f>
        <v>February</v>
      </c>
      <c r="D366" t="str">
        <f>CHOOSE(MATCH(MONTH(A366), {1,4,7,10}), "Winter", "Spring", "Summer", "Autumn")</f>
        <v>Winter</v>
      </c>
      <c r="E366">
        <f>YEAR(automotive_demand_forecasting_dataset5678[[#This Row],[Date]])</f>
        <v>2044</v>
      </c>
      <c r="F366">
        <v>117</v>
      </c>
      <c r="G366">
        <f>(automotive_demand_forecasting_dataset5678[[#This Row],[Units_Sold]] -$C$4) / $C$5</f>
        <v>1.8130772724023663</v>
      </c>
      <c r="H366" s="47" t="str">
        <f t="shared" ca="1" si="33"/>
        <v>West</v>
      </c>
      <c r="I366">
        <v>29237.650818097281</v>
      </c>
      <c r="J366">
        <v>3.4584472136856528</v>
      </c>
      <c r="K366">
        <f t="shared" ref="K366:K367" si="36">3.224108373</f>
        <v>3.224108373</v>
      </c>
      <c r="L366">
        <v>4.7202817277820799</v>
      </c>
      <c r="M366">
        <v>100600.62958328164</v>
      </c>
      <c r="N366" s="82">
        <v>88</v>
      </c>
      <c r="O366">
        <v>59.032015622344147</v>
      </c>
      <c r="P3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66" t="str">
        <f t="shared" ca="1" si="34"/>
        <v>Online</v>
      </c>
      <c r="R366" s="46">
        <f>automotive_demand_forecasting_dataset5678[[#This Row],[Units_Sold]]*automotive_demand_forecasting_dataset5678[[#This Row],[Average_Price]]</f>
        <v>3420805.145717382</v>
      </c>
      <c r="S366" t="str">
        <f t="shared" ca="1" si="35"/>
        <v>OK</v>
      </c>
    </row>
    <row r="367" spans="1:19">
      <c r="A367" s="1">
        <v>52685</v>
      </c>
      <c r="B367" t="s">
        <v>11</v>
      </c>
      <c r="C367" t="str">
        <f>TEXT(automotive_demand_forecasting_dataset5678[[#This Row],[Date]],"mmmm")</f>
        <v>March</v>
      </c>
      <c r="D367" t="str">
        <f>CHOOSE(MATCH(MONTH(A367), {1,4,7,10}), "Winter", "Spring", "Summer", "Autumn")</f>
        <v>Winter</v>
      </c>
      <c r="E367">
        <f>YEAR(automotive_demand_forecasting_dataset5678[[#This Row],[Date]])</f>
        <v>2044</v>
      </c>
      <c r="F367">
        <v>102</v>
      </c>
      <c r="G367">
        <f>(automotive_demand_forecasting_dataset5678[[#This Row],[Units_Sold]] -$C$4) / $C$5</f>
        <v>0.27657110934951373</v>
      </c>
      <c r="H367" s="47" t="str">
        <f t="shared" ca="1" si="33"/>
        <v>South</v>
      </c>
      <c r="I367">
        <v>38106.295579999998</v>
      </c>
      <c r="J367">
        <v>2.7476398129844988</v>
      </c>
      <c r="K367">
        <f t="shared" si="36"/>
        <v>3.224108373</v>
      </c>
      <c r="L367">
        <v>4.0561589735330266</v>
      </c>
      <c r="M367">
        <v>56952.329107816389</v>
      </c>
      <c r="N367" s="82">
        <v>103</v>
      </c>
      <c r="O367">
        <v>80.215177969999999</v>
      </c>
      <c r="P3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67" t="str">
        <f t="shared" ca="1" si="34"/>
        <v>Online</v>
      </c>
      <c r="R367" s="46">
        <f>automotive_demand_forecasting_dataset5678[[#This Row],[Units_Sold]]*automotive_demand_forecasting_dataset5678[[#This Row],[Average_Price]]</f>
        <v>3886842.14916</v>
      </c>
      <c r="S367" t="str">
        <f t="shared" ca="1" si="35"/>
        <v>OK</v>
      </c>
    </row>
    <row r="368" spans="1:19">
      <c r="A368" s="1">
        <v>52715</v>
      </c>
      <c r="B368" t="s">
        <v>12</v>
      </c>
      <c r="C368" t="str">
        <f>TEXT(automotive_demand_forecasting_dataset5678[[#This Row],[Date]],"mmmm")</f>
        <v>April</v>
      </c>
      <c r="D368" t="str">
        <f>CHOOSE(MATCH(MONTH(A368), {1,4,7,10}), "Winter", "Spring", "Summer", "Autumn")</f>
        <v>Spring</v>
      </c>
      <c r="E368">
        <f>YEAR(automotive_demand_forecasting_dataset5678[[#This Row],[Date]])</f>
        <v>2044</v>
      </c>
      <c r="F368">
        <v>88</v>
      </c>
      <c r="G368">
        <f>(automotive_demand_forecasting_dataset5678[[#This Row],[Units_Sold]] -$C$4) / $C$5</f>
        <v>-1.1575013094998152</v>
      </c>
      <c r="H368" s="47" t="str">
        <f t="shared" ca="1" si="33"/>
        <v>South</v>
      </c>
      <c r="I368">
        <v>34783.511583972919</v>
      </c>
      <c r="J368">
        <v>3.8800279818448011</v>
      </c>
      <c r="K368">
        <v>1.5188344688603184</v>
      </c>
      <c r="L368">
        <v>4.2495467053082763</v>
      </c>
      <c r="M368">
        <v>117529.11291005871</v>
      </c>
      <c r="N368" s="82">
        <v>91</v>
      </c>
      <c r="O368">
        <v>70.144210405187522</v>
      </c>
      <c r="P3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68" t="str">
        <f t="shared" ca="1" si="34"/>
        <v>Radio</v>
      </c>
      <c r="R368" s="46">
        <f>automotive_demand_forecasting_dataset5678[[#This Row],[Units_Sold]]*automotive_demand_forecasting_dataset5678[[#This Row],[Average_Price]]</f>
        <v>3060949.0193896168</v>
      </c>
      <c r="S368" t="str">
        <f t="shared" ca="1" si="35"/>
        <v>OK</v>
      </c>
    </row>
    <row r="369" spans="1:19">
      <c r="A369" s="1">
        <v>52745</v>
      </c>
      <c r="B369" t="s">
        <v>11</v>
      </c>
      <c r="C369" t="str">
        <f>TEXT(automotive_demand_forecasting_dataset5678[[#This Row],[Date]],"mmmm")</f>
        <v>May</v>
      </c>
      <c r="D369" t="str">
        <f>CHOOSE(MATCH(MONTH(A369), {1,4,7,10}), "Winter", "Spring", "Summer", "Autumn")</f>
        <v>Spring</v>
      </c>
      <c r="E369">
        <f>YEAR(automotive_demand_forecasting_dataset5678[[#This Row],[Date]])</f>
        <v>2044</v>
      </c>
      <c r="F369">
        <v>100</v>
      </c>
      <c r="G369">
        <f>(automotive_demand_forecasting_dataset5678[[#This Row],[Units_Sold]] -$C$4) / $C$5</f>
        <v>7.1703620942466739E-2</v>
      </c>
      <c r="H369" s="47" t="str">
        <f t="shared" ca="1" si="33"/>
        <v>South</v>
      </c>
      <c r="I369">
        <v>26070.052697460254</v>
      </c>
      <c r="J369">
        <v>3.5412198764672516</v>
      </c>
      <c r="K369">
        <v>2.0355957376906124</v>
      </c>
      <c r="L369">
        <v>4.9153564945660877</v>
      </c>
      <c r="M369">
        <v>68770.135551162821</v>
      </c>
      <c r="N369" s="82">
        <f>111.9136842</f>
        <v>111.91368420000001</v>
      </c>
      <c r="O369">
        <v>48.699400843431093</v>
      </c>
      <c r="P3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69" t="str">
        <f t="shared" ca="1" si="34"/>
        <v>TV</v>
      </c>
      <c r="R369" s="46">
        <f>automotive_demand_forecasting_dataset5678[[#This Row],[Units_Sold]]*automotive_demand_forecasting_dataset5678[[#This Row],[Average_Price]]</f>
        <v>2607005.2697460256</v>
      </c>
      <c r="S369" t="str">
        <f t="shared" ca="1" si="35"/>
        <v>OK</v>
      </c>
    </row>
    <row r="370" spans="1:19">
      <c r="A370" s="1">
        <v>52775</v>
      </c>
      <c r="B370" t="s">
        <v>13</v>
      </c>
      <c r="C370" t="str">
        <f>TEXT(automotive_demand_forecasting_dataset5678[[#This Row],[Date]],"mmmm")</f>
        <v>June</v>
      </c>
      <c r="D370" t="str">
        <f>CHOOSE(MATCH(MONTH(A370), {1,4,7,10}), "Winter", "Spring", "Summer", "Autumn")</f>
        <v>Spring</v>
      </c>
      <c r="E370">
        <f>YEAR(automotive_demand_forecasting_dataset5678[[#This Row],[Date]])</f>
        <v>2044</v>
      </c>
      <c r="F370">
        <v>81</v>
      </c>
      <c r="G370">
        <f>(automotive_demand_forecasting_dataset5678[[#This Row],[Units_Sold]] -$C$4) / $C$5</f>
        <v>-1.87453751892448</v>
      </c>
      <c r="H370" s="47" t="str">
        <f t="shared" ca="1" si="33"/>
        <v>North</v>
      </c>
      <c r="I370">
        <v>23343.83523221111</v>
      </c>
      <c r="J370">
        <v>2.7712242502675348</v>
      </c>
      <c r="K370">
        <v>2.9620608932518966</v>
      </c>
      <c r="L370">
        <v>5.0776944186201893</v>
      </c>
      <c r="M370">
        <v>130068.39656857998</v>
      </c>
      <c r="N370" s="82">
        <v>95</v>
      </c>
      <c r="O370">
        <v>99.651614133947945</v>
      </c>
      <c r="P3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70" t="str">
        <f t="shared" ca="1" si="34"/>
        <v>Radio</v>
      </c>
      <c r="R370" s="46">
        <f>automotive_demand_forecasting_dataset5678[[#This Row],[Units_Sold]]*automotive_demand_forecasting_dataset5678[[#This Row],[Average_Price]]</f>
        <v>1890850.6538090999</v>
      </c>
      <c r="S370" t="str">
        <f t="shared" ca="1" si="35"/>
        <v>OK</v>
      </c>
    </row>
    <row r="371" spans="1:19">
      <c r="A371" s="1">
        <v>52805</v>
      </c>
      <c r="B371" t="s">
        <v>14</v>
      </c>
      <c r="C371" t="str">
        <f>TEXT(automotive_demand_forecasting_dataset5678[[#This Row],[Date]],"mmmm")</f>
        <v>July</v>
      </c>
      <c r="D371" t="str">
        <f>CHOOSE(MATCH(MONTH(A371), {1,4,7,10}), "Winter", "Spring", "Summer", "Autumn")</f>
        <v>Summer</v>
      </c>
      <c r="E371">
        <f>YEAR(automotive_demand_forecasting_dataset5678[[#This Row],[Date]])</f>
        <v>2044</v>
      </c>
      <c r="F371">
        <v>91</v>
      </c>
      <c r="G371">
        <f>(automotive_demand_forecasting_dataset5678[[#This Row],[Units_Sold]] -$C$4) / $C$5</f>
        <v>-0.85020007688924482</v>
      </c>
      <c r="H371" s="47" t="str">
        <f t="shared" ca="1" si="33"/>
        <v>North</v>
      </c>
      <c r="I371">
        <v>20818.973134483516</v>
      </c>
      <c r="J371">
        <v>3.3453954614750683</v>
      </c>
      <c r="K371">
        <v>3.2833905092825955</v>
      </c>
      <c r="L371">
        <v>4.5760047205630512</v>
      </c>
      <c r="M371">
        <v>93397.598120670998</v>
      </c>
      <c r="N371" s="82">
        <v>109</v>
      </c>
      <c r="O371">
        <v>58.414681220951024</v>
      </c>
      <c r="P3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71" t="str">
        <f t="shared" ca="1" si="34"/>
        <v>Radio</v>
      </c>
      <c r="R371" s="46">
        <f>automotive_demand_forecasting_dataset5678[[#This Row],[Units_Sold]]*automotive_demand_forecasting_dataset5678[[#This Row],[Average_Price]]</f>
        <v>1894526.5552379999</v>
      </c>
      <c r="S371" t="str">
        <f t="shared" ca="1" si="35"/>
        <v>OK</v>
      </c>
    </row>
    <row r="372" spans="1:19">
      <c r="A372" s="1">
        <v>52835</v>
      </c>
      <c r="B372" t="s">
        <v>11</v>
      </c>
      <c r="C372" t="str">
        <f>TEXT(automotive_demand_forecasting_dataset5678[[#This Row],[Date]],"mmmm")</f>
        <v>August</v>
      </c>
      <c r="D372" t="str">
        <f>CHOOSE(MATCH(MONTH(A372), {1,4,7,10}), "Winter", "Spring", "Summer", "Autumn")</f>
        <v>Summer</v>
      </c>
      <c r="E372">
        <f>YEAR(automotive_demand_forecasting_dataset5678[[#This Row],[Date]])</f>
        <v>2044</v>
      </c>
      <c r="F372">
        <v>90</v>
      </c>
      <c r="G372">
        <f>(automotive_demand_forecasting_dataset5678[[#This Row],[Units_Sold]] -$C$4) / $C$5</f>
        <v>-0.95263382109276828</v>
      </c>
      <c r="H372" s="47" t="str">
        <f t="shared" ca="1" si="33"/>
        <v>West</v>
      </c>
      <c r="I372">
        <v>32539.956634562717</v>
      </c>
      <c r="J372">
        <v>3.1239217972047086</v>
      </c>
      <c r="K372">
        <f t="shared" ref="K372" si="37">3.224108373</f>
        <v>3.224108373</v>
      </c>
      <c r="L372">
        <v>3.9446600029001266</v>
      </c>
      <c r="M372">
        <v>95766.66036137646</v>
      </c>
      <c r="N372" s="82">
        <v>85</v>
      </c>
      <c r="O372">
        <v>58.870848495169056</v>
      </c>
      <c r="P3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72" t="str">
        <f t="shared" ca="1" si="34"/>
        <v>Online</v>
      </c>
      <c r="R372" s="46">
        <f>automotive_demand_forecasting_dataset5678[[#This Row],[Units_Sold]]*automotive_demand_forecasting_dataset5678[[#This Row],[Average_Price]]</f>
        <v>2928596.0971106444</v>
      </c>
      <c r="S372" t="str">
        <f t="shared" ca="1" si="35"/>
        <v>OK</v>
      </c>
    </row>
    <row r="373" spans="1:19">
      <c r="A373" s="1">
        <v>52865</v>
      </c>
      <c r="B373" t="s">
        <v>10</v>
      </c>
      <c r="C373" t="str">
        <f>TEXT(automotive_demand_forecasting_dataset5678[[#This Row],[Date]],"mmmm")</f>
        <v>September</v>
      </c>
      <c r="D373" t="str">
        <f>CHOOSE(MATCH(MONTH(A373), {1,4,7,10}), "Winter", "Spring", "Summer", "Autumn")</f>
        <v>Summer</v>
      </c>
      <c r="E373">
        <f>YEAR(automotive_demand_forecasting_dataset5678[[#This Row],[Date]])</f>
        <v>2044</v>
      </c>
      <c r="F373">
        <v>102</v>
      </c>
      <c r="G373">
        <f>(automotive_demand_forecasting_dataset5678[[#This Row],[Units_Sold]] -$C$4) / $C$5</f>
        <v>0.27657110934951373</v>
      </c>
      <c r="H373" s="47" t="str">
        <f t="shared" ca="1" si="33"/>
        <v>South</v>
      </c>
      <c r="I373">
        <v>24483.166969130631</v>
      </c>
      <c r="J373">
        <v>3.6595872552095901</v>
      </c>
      <c r="K373">
        <v>1.9024898053083583</v>
      </c>
      <c r="L373">
        <v>4.9526550070309741</v>
      </c>
      <c r="M373">
        <v>87445.321878309886</v>
      </c>
      <c r="N373" s="82">
        <v>81</v>
      </c>
      <c r="O373">
        <v>65.268142992853754</v>
      </c>
      <c r="P3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73" t="str">
        <f t="shared" ca="1" si="34"/>
        <v>Print</v>
      </c>
      <c r="R373" s="46">
        <f>automotive_demand_forecasting_dataset5678[[#This Row],[Units_Sold]]*automotive_demand_forecasting_dataset5678[[#This Row],[Average_Price]]</f>
        <v>2497283.0308513241</v>
      </c>
      <c r="S373" t="str">
        <f t="shared" ca="1" si="35"/>
        <v>OK</v>
      </c>
    </row>
    <row r="374" spans="1:19">
      <c r="A374" s="1">
        <v>52895</v>
      </c>
      <c r="B374" t="s">
        <v>10</v>
      </c>
      <c r="C374" t="str">
        <f>TEXT(automotive_demand_forecasting_dataset5678[[#This Row],[Date]],"mmmm")</f>
        <v>October</v>
      </c>
      <c r="D374" t="str">
        <f>CHOOSE(MATCH(MONTH(A374), {1,4,7,10}), "Winter", "Spring", "Summer", "Autumn")</f>
        <v>Autumn</v>
      </c>
      <c r="E374">
        <f>YEAR(automotive_demand_forecasting_dataset5678[[#This Row],[Date]])</f>
        <v>2044</v>
      </c>
      <c r="F374">
        <v>109</v>
      </c>
      <c r="G374">
        <f>(automotive_demand_forecasting_dataset5678[[#This Row],[Units_Sold]] -$C$4) / $C$5</f>
        <v>0.99360731877417829</v>
      </c>
      <c r="H374" s="47" t="str">
        <f t="shared" ca="1" si="33"/>
        <v>North</v>
      </c>
      <c r="I374">
        <v>19235.547035237585</v>
      </c>
      <c r="J374">
        <v>4.1702252230115722</v>
      </c>
      <c r="K374">
        <v>3.9223698616985079</v>
      </c>
      <c r="L374">
        <v>5.7177119441367656</v>
      </c>
      <c r="M374">
        <v>94239.222521558477</v>
      </c>
      <c r="N374" s="82">
        <v>97</v>
      </c>
      <c r="O374">
        <v>93.340480249499734</v>
      </c>
      <c r="P3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74" t="str">
        <f t="shared" ca="1" si="34"/>
        <v>Print</v>
      </c>
      <c r="R374" s="46">
        <f>automotive_demand_forecasting_dataset5678[[#This Row],[Units_Sold]]*automotive_demand_forecasting_dataset5678[[#This Row],[Average_Price]]</f>
        <v>2096674.6268408967</v>
      </c>
      <c r="S374" t="str">
        <f t="shared" ca="1" si="35"/>
        <v>OK</v>
      </c>
    </row>
    <row r="375" spans="1:19">
      <c r="A375" s="1">
        <v>52925</v>
      </c>
      <c r="B375" t="s">
        <v>14</v>
      </c>
      <c r="C375" t="str">
        <f>TEXT(automotive_demand_forecasting_dataset5678[[#This Row],[Date]],"mmmm")</f>
        <v>November</v>
      </c>
      <c r="D375" t="str">
        <f>CHOOSE(MATCH(MONTH(A375), {1,4,7,10}), "Winter", "Spring", "Summer", "Autumn")</f>
        <v>Autumn</v>
      </c>
      <c r="E375">
        <f>YEAR(automotive_demand_forecasting_dataset5678[[#This Row],[Date]])</f>
        <v>2044</v>
      </c>
      <c r="F375">
        <v>101</v>
      </c>
      <c r="G375">
        <f>(automotive_demand_forecasting_dataset5678[[#This Row],[Units_Sold]] -$C$4) / $C$5</f>
        <v>0.17413736514599024</v>
      </c>
      <c r="H375" s="47" t="str">
        <f t="shared" ca="1" si="33"/>
        <v>North</v>
      </c>
      <c r="I375">
        <v>31942.893022654822</v>
      </c>
      <c r="J375">
        <v>2.5624137651771277</v>
      </c>
      <c r="K375">
        <v>4.2388996637975787</v>
      </c>
      <c r="L375">
        <v>6.2140353590026773</v>
      </c>
      <c r="M375">
        <v>128370.62690296074</v>
      </c>
      <c r="N375" s="82">
        <v>87</v>
      </c>
      <c r="O375">
        <v>84.065447988780022</v>
      </c>
      <c r="P3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75" t="str">
        <f t="shared" ca="1" si="34"/>
        <v>Billboards</v>
      </c>
      <c r="R375" s="46">
        <f>automotive_demand_forecasting_dataset5678[[#This Row],[Units_Sold]]*automotive_demand_forecasting_dataset5678[[#This Row],[Average_Price]]</f>
        <v>3226232.1952881371</v>
      </c>
      <c r="S375" t="str">
        <f t="shared" ca="1" si="35"/>
        <v>OK</v>
      </c>
    </row>
    <row r="376" spans="1:19">
      <c r="A376" s="1">
        <v>52955</v>
      </c>
      <c r="B376" t="s">
        <v>11</v>
      </c>
      <c r="C376" t="str">
        <f>TEXT(automotive_demand_forecasting_dataset5678[[#This Row],[Date]],"mmmm")</f>
        <v>December</v>
      </c>
      <c r="D376" t="str">
        <f>CHOOSE(MATCH(MONTH(A376), {1,4,7,10}), "Winter", "Spring", "Summer", "Autumn")</f>
        <v>Autumn</v>
      </c>
      <c r="E376">
        <f>YEAR(automotive_demand_forecasting_dataset5678[[#This Row],[Date]])</f>
        <v>2044</v>
      </c>
      <c r="F376">
        <v>97</v>
      </c>
      <c r="G376">
        <f>(automotive_demand_forecasting_dataset5678[[#This Row],[Units_Sold]] -$C$4) / $C$5</f>
        <v>-0.23559761166810378</v>
      </c>
      <c r="H376" s="47" t="str">
        <f t="shared" ca="1" si="33"/>
        <v>South</v>
      </c>
      <c r="I376">
        <v>42464.997587163954</v>
      </c>
      <c r="J376">
        <v>3.5380713799999999</v>
      </c>
      <c r="K376">
        <v>3.4788580507817954</v>
      </c>
      <c r="L376">
        <v>4.8310923362700144</v>
      </c>
      <c r="M376">
        <v>50243.826869298413</v>
      </c>
      <c r="N376" s="82">
        <v>94</v>
      </c>
      <c r="O376">
        <v>56.090405583827312</v>
      </c>
      <c r="P3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76" t="str">
        <f t="shared" ca="1" si="34"/>
        <v>TV</v>
      </c>
      <c r="R376" s="46">
        <f>automotive_demand_forecasting_dataset5678[[#This Row],[Units_Sold]]*automotive_demand_forecasting_dataset5678[[#This Row],[Average_Price]]</f>
        <v>4119104.7659549038</v>
      </c>
      <c r="S376" t="str">
        <f t="shared" ca="1" si="35"/>
        <v>OK</v>
      </c>
    </row>
    <row r="377" spans="1:19">
      <c r="A377" s="1">
        <v>52985</v>
      </c>
      <c r="B377" t="s">
        <v>10</v>
      </c>
      <c r="C377" t="str">
        <f>TEXT(automotive_demand_forecasting_dataset5678[[#This Row],[Date]],"mmmm")</f>
        <v>January</v>
      </c>
      <c r="D377" t="str">
        <f>CHOOSE(MATCH(MONTH(A377), {1,4,7,10}), "Winter", "Spring", "Summer", "Autumn")</f>
        <v>Winter</v>
      </c>
      <c r="E377">
        <f>YEAR(automotive_demand_forecasting_dataset5678[[#This Row],[Date]])</f>
        <v>2045</v>
      </c>
      <c r="F377">
        <v>88</v>
      </c>
      <c r="G377">
        <f>(automotive_demand_forecasting_dataset5678[[#This Row],[Units_Sold]] -$C$4) / $C$5</f>
        <v>-1.1575013094998152</v>
      </c>
      <c r="H377" s="47" t="str">
        <f t="shared" ca="1" si="33"/>
        <v>West</v>
      </c>
      <c r="I377">
        <v>29969.645442300534</v>
      </c>
      <c r="J377">
        <v>3.41993360221668</v>
      </c>
      <c r="K377">
        <v>2.5853181425650242</v>
      </c>
      <c r="L377">
        <v>5.004402613427879</v>
      </c>
      <c r="M377">
        <v>125539.30772176376</v>
      </c>
      <c r="N377" s="82">
        <v>90</v>
      </c>
      <c r="O377">
        <v>77.495941277823675</v>
      </c>
      <c r="P3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77" t="str">
        <f t="shared" ca="1" si="34"/>
        <v>Radio</v>
      </c>
      <c r="R377" s="46">
        <f>automotive_demand_forecasting_dataset5678[[#This Row],[Units_Sold]]*automotive_demand_forecasting_dataset5678[[#This Row],[Average_Price]]</f>
        <v>2637328.798922447</v>
      </c>
      <c r="S377" t="str">
        <f t="shared" ca="1" si="35"/>
        <v>OK</v>
      </c>
    </row>
    <row r="378" spans="1:19">
      <c r="A378" s="1">
        <v>53015</v>
      </c>
      <c r="B378" t="s">
        <v>10</v>
      </c>
      <c r="C378" t="str">
        <f>TEXT(automotive_demand_forecasting_dataset5678[[#This Row],[Date]],"mmmm")</f>
        <v>February</v>
      </c>
      <c r="D378" t="str">
        <f>CHOOSE(MATCH(MONTH(A378), {1,4,7,10}), "Winter", "Spring", "Summer", "Autumn")</f>
        <v>Winter</v>
      </c>
      <c r="E378">
        <f>YEAR(automotive_demand_forecasting_dataset5678[[#This Row],[Date]])</f>
        <v>2045</v>
      </c>
      <c r="F378">
        <v>100</v>
      </c>
      <c r="G378">
        <f>(automotive_demand_forecasting_dataset5678[[#This Row],[Units_Sold]] -$C$4) / $C$5</f>
        <v>7.1703620942466739E-2</v>
      </c>
      <c r="H378" s="47" t="str">
        <f t="shared" ca="1" si="33"/>
        <v>East</v>
      </c>
      <c r="I378">
        <v>34192.453872258207</v>
      </c>
      <c r="J378">
        <v>3.8356700382252327</v>
      </c>
      <c r="K378">
        <v>1.6917342783590736</v>
      </c>
      <c r="L378">
        <v>4.3879620293832273</v>
      </c>
      <c r="M378">
        <v>106760.46962203416</v>
      </c>
      <c r="N378" s="82">
        <f>111.9136842</f>
        <v>111.91368420000001</v>
      </c>
      <c r="O378">
        <v>66.898839902460935</v>
      </c>
      <c r="P3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78" t="str">
        <f t="shared" ca="1" si="34"/>
        <v>Billboards</v>
      </c>
      <c r="R378" s="46">
        <f>automotive_demand_forecasting_dataset5678[[#This Row],[Units_Sold]]*automotive_demand_forecasting_dataset5678[[#This Row],[Average_Price]]</f>
        <v>3419245.3872258207</v>
      </c>
      <c r="S378" t="str">
        <f t="shared" ca="1" si="35"/>
        <v>OK</v>
      </c>
    </row>
    <row r="379" spans="1:19">
      <c r="A379" s="1">
        <v>53045</v>
      </c>
      <c r="B379" t="s">
        <v>11</v>
      </c>
      <c r="C379" t="str">
        <f>TEXT(automotive_demand_forecasting_dataset5678[[#This Row],[Date]],"mmmm")</f>
        <v>March</v>
      </c>
      <c r="D379" t="str">
        <f>CHOOSE(MATCH(MONTH(A379), {1,4,7,10}), "Winter", "Spring", "Summer", "Autumn")</f>
        <v>Winter</v>
      </c>
      <c r="E379">
        <f>YEAR(automotive_demand_forecasting_dataset5678[[#This Row],[Date]])</f>
        <v>2045</v>
      </c>
      <c r="F379">
        <v>104</v>
      </c>
      <c r="G379">
        <f>(automotive_demand_forecasting_dataset5678[[#This Row],[Units_Sold]] -$C$4) / $C$5</f>
        <v>0.48143859775656078</v>
      </c>
      <c r="H379" s="47" t="str">
        <f t="shared" ca="1" si="33"/>
        <v>East</v>
      </c>
      <c r="I379">
        <v>30409.146792737825</v>
      </c>
      <c r="J379">
        <v>4.5778345189999996</v>
      </c>
      <c r="K379">
        <v>1.6695555934434347</v>
      </c>
      <c r="L379">
        <v>5.4622729955502685</v>
      </c>
      <c r="M379">
        <v>75859.567042855691</v>
      </c>
      <c r="N379" s="82">
        <v>111</v>
      </c>
      <c r="O379">
        <v>59.389363896099916</v>
      </c>
      <c r="P3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79" t="str">
        <f t="shared" ca="1" si="34"/>
        <v>Print</v>
      </c>
      <c r="R379" s="46">
        <f>automotive_demand_forecasting_dataset5678[[#This Row],[Units_Sold]]*automotive_demand_forecasting_dataset5678[[#This Row],[Average_Price]]</f>
        <v>3162551.2664447338</v>
      </c>
      <c r="S379" t="str">
        <f t="shared" ca="1" si="35"/>
        <v>OK</v>
      </c>
    </row>
    <row r="380" spans="1:19">
      <c r="A380" s="1">
        <v>53075</v>
      </c>
      <c r="B380" t="s">
        <v>12</v>
      </c>
      <c r="C380" t="str">
        <f>TEXT(automotive_demand_forecasting_dataset5678[[#This Row],[Date]],"mmmm")</f>
        <v>April</v>
      </c>
      <c r="D380" t="str">
        <f>CHOOSE(MATCH(MONTH(A380), {1,4,7,10}), "Winter", "Spring", "Summer", "Autumn")</f>
        <v>Spring</v>
      </c>
      <c r="E380">
        <f>YEAR(automotive_demand_forecasting_dataset5678[[#This Row],[Date]])</f>
        <v>2045</v>
      </c>
      <c r="F380">
        <v>106</v>
      </c>
      <c r="G380">
        <f>(automotive_demand_forecasting_dataset5678[[#This Row],[Units_Sold]] -$C$4) / $C$5</f>
        <v>0.68630608616360778</v>
      </c>
      <c r="H380" s="47" t="str">
        <f t="shared" ca="1" si="33"/>
        <v>East</v>
      </c>
      <c r="I380">
        <v>29505.551734044286</v>
      </c>
      <c r="J380">
        <v>3.1240153341305903</v>
      </c>
      <c r="K380">
        <v>3.0225141052657576</v>
      </c>
      <c r="L380">
        <v>4.481885638971022</v>
      </c>
      <c r="M380">
        <v>78493.75213901524</v>
      </c>
      <c r="N380" s="82">
        <v>85</v>
      </c>
      <c r="O380">
        <v>35.385261822748042</v>
      </c>
      <c r="P3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80" t="str">
        <f t="shared" ca="1" si="34"/>
        <v>Radio</v>
      </c>
      <c r="R380" s="46">
        <f>automotive_demand_forecasting_dataset5678[[#This Row],[Units_Sold]]*automotive_demand_forecasting_dataset5678[[#This Row],[Average_Price]]</f>
        <v>3127588.4838086944</v>
      </c>
      <c r="S380" t="str">
        <f t="shared" ca="1" si="35"/>
        <v>OK</v>
      </c>
    </row>
    <row r="381" spans="1:19">
      <c r="A381" s="1">
        <v>53105</v>
      </c>
      <c r="B381" t="s">
        <v>11</v>
      </c>
      <c r="C381" t="str">
        <f>TEXT(automotive_demand_forecasting_dataset5678[[#This Row],[Date]],"mmmm")</f>
        <v>May</v>
      </c>
      <c r="D381" t="str">
        <f>CHOOSE(MATCH(MONTH(A381), {1,4,7,10}), "Winter", "Spring", "Summer", "Autumn")</f>
        <v>Spring</v>
      </c>
      <c r="E381">
        <f>YEAR(automotive_demand_forecasting_dataset5678[[#This Row],[Date]])</f>
        <v>2045</v>
      </c>
      <c r="F381">
        <v>91</v>
      </c>
      <c r="G381">
        <f>(automotive_demand_forecasting_dataset5678[[#This Row],[Units_Sold]] -$C$4) / $C$5</f>
        <v>-0.85020007688924482</v>
      </c>
      <c r="H381" s="47" t="str">
        <f t="shared" ca="1" si="33"/>
        <v>East</v>
      </c>
      <c r="I381">
        <v>34595.382414938846</v>
      </c>
      <c r="J381">
        <v>3.3404730321666909</v>
      </c>
      <c r="K381">
        <v>2.9183982208886836</v>
      </c>
      <c r="L381">
        <f>6.97388673</f>
        <v>6.9738867300000003</v>
      </c>
      <c r="M381">
        <v>133527.86054416405</v>
      </c>
      <c r="N381" s="82">
        <v>87</v>
      </c>
      <c r="O381">
        <v>57.114901076391277</v>
      </c>
      <c r="P3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81" t="str">
        <f t="shared" ca="1" si="34"/>
        <v>Print</v>
      </c>
      <c r="R381" s="46">
        <f>automotive_demand_forecasting_dataset5678[[#This Row],[Units_Sold]]*automotive_demand_forecasting_dataset5678[[#This Row],[Average_Price]]</f>
        <v>3148179.799759435</v>
      </c>
      <c r="S381" t="str">
        <f t="shared" ca="1" si="35"/>
        <v>OK</v>
      </c>
    </row>
    <row r="382" spans="1:19">
      <c r="A382" s="1">
        <v>53135</v>
      </c>
      <c r="B382" t="s">
        <v>12</v>
      </c>
      <c r="C382" t="str">
        <f>TEXT(automotive_demand_forecasting_dataset5678[[#This Row],[Date]],"mmmm")</f>
        <v>June</v>
      </c>
      <c r="D382" t="str">
        <f>CHOOSE(MATCH(MONTH(A382), {1,4,7,10}), "Winter", "Spring", "Summer", "Autumn")</f>
        <v>Spring</v>
      </c>
      <c r="E382">
        <f>YEAR(automotive_demand_forecasting_dataset5678[[#This Row],[Date]])</f>
        <v>2045</v>
      </c>
      <c r="F382">
        <v>110</v>
      </c>
      <c r="G382">
        <f>(automotive_demand_forecasting_dataset5678[[#This Row],[Units_Sold]] -$C$4) / $C$5</f>
        <v>1.0960410629777018</v>
      </c>
      <c r="H382" s="47" t="str">
        <f t="shared" ca="1" si="33"/>
        <v>South</v>
      </c>
      <c r="I382">
        <v>28548.627279056742</v>
      </c>
      <c r="J382">
        <v>3.1019870715982556</v>
      </c>
      <c r="K382">
        <v>3.9015985929464296</v>
      </c>
      <c r="L382">
        <v>3.3569602096790665</v>
      </c>
      <c r="M382">
        <v>81089.862401145379</v>
      </c>
      <c r="N382" s="82">
        <v>88</v>
      </c>
      <c r="O382">
        <v>39.665486961805968</v>
      </c>
      <c r="P3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82" t="str">
        <f t="shared" ca="1" si="34"/>
        <v>Online</v>
      </c>
      <c r="R382" s="46">
        <f>automotive_demand_forecasting_dataset5678[[#This Row],[Units_Sold]]*automotive_demand_forecasting_dataset5678[[#This Row],[Average_Price]]</f>
        <v>3140349.0006962414</v>
      </c>
      <c r="S382" t="str">
        <f t="shared" ca="1" si="35"/>
        <v>OK</v>
      </c>
    </row>
    <row r="383" spans="1:19">
      <c r="A383" s="1">
        <v>53165</v>
      </c>
      <c r="B383" t="s">
        <v>14</v>
      </c>
      <c r="C383" t="str">
        <f>TEXT(automotive_demand_forecasting_dataset5678[[#This Row],[Date]],"mmmm")</f>
        <v>July</v>
      </c>
      <c r="D383" t="str">
        <f>CHOOSE(MATCH(MONTH(A383), {1,4,7,10}), "Winter", "Spring", "Summer", "Autumn")</f>
        <v>Summer</v>
      </c>
      <c r="E383">
        <f>YEAR(automotive_demand_forecasting_dataset5678[[#This Row],[Date]])</f>
        <v>2045</v>
      </c>
      <c r="F383">
        <v>104</v>
      </c>
      <c r="G383">
        <f>(automotive_demand_forecasting_dataset5678[[#This Row],[Units_Sold]] -$C$4) / $C$5</f>
        <v>0.48143859775656078</v>
      </c>
      <c r="H383" s="47" t="str">
        <f t="shared" ca="1" si="33"/>
        <v>West</v>
      </c>
      <c r="I383">
        <v>31336.961570359515</v>
      </c>
      <c r="J383">
        <v>4.038003569299299</v>
      </c>
      <c r="K383">
        <v>3.1504500925361389</v>
      </c>
      <c r="L383">
        <v>5.0684443930570451</v>
      </c>
      <c r="M383">
        <v>76932.989788080813</v>
      </c>
      <c r="N383" s="82">
        <v>82</v>
      </c>
      <c r="O383">
        <v>93.187371988132369</v>
      </c>
      <c r="P3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83" t="str">
        <f t="shared" ca="1" si="34"/>
        <v>Online</v>
      </c>
      <c r="R383" s="46">
        <f>automotive_demand_forecasting_dataset5678[[#This Row],[Units_Sold]]*automotive_demand_forecasting_dataset5678[[#This Row],[Average_Price]]</f>
        <v>3259044.0033173896</v>
      </c>
      <c r="S383" t="str">
        <f t="shared" ca="1" si="35"/>
        <v>OK</v>
      </c>
    </row>
    <row r="384" spans="1:19">
      <c r="A384" s="1">
        <v>53195</v>
      </c>
      <c r="B384" t="s">
        <v>13</v>
      </c>
      <c r="C384" t="str">
        <f>TEXT(automotive_demand_forecasting_dataset5678[[#This Row],[Date]],"mmmm")</f>
        <v>August</v>
      </c>
      <c r="D384" t="str">
        <f>CHOOSE(MATCH(MONTH(A384), {1,4,7,10}), "Winter", "Spring", "Summer", "Autumn")</f>
        <v>Summer</v>
      </c>
      <c r="E384">
        <f>YEAR(automotive_demand_forecasting_dataset5678[[#This Row],[Date]])</f>
        <v>2045</v>
      </c>
      <c r="F384">
        <v>85</v>
      </c>
      <c r="G384">
        <f>(automotive_demand_forecasting_dataset5678[[#This Row],[Units_Sold]] -$C$4) / $C$5</f>
        <v>-1.4648025421103859</v>
      </c>
      <c r="H384" s="47" t="str">
        <f t="shared" ca="1" si="33"/>
        <v>West</v>
      </c>
      <c r="I384">
        <v>31608.489030980068</v>
      </c>
      <c r="J384">
        <v>3.5106558243359709</v>
      </c>
      <c r="K384">
        <v>0.99691969824018201</v>
      </c>
      <c r="L384">
        <v>5.8613288070300902</v>
      </c>
      <c r="M384">
        <v>122746.29084729459</v>
      </c>
      <c r="N384" s="82">
        <v>84</v>
      </c>
      <c r="O384">
        <v>46.832545079707756</v>
      </c>
      <c r="P3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84" t="str">
        <f t="shared" ca="1" si="34"/>
        <v>Online</v>
      </c>
      <c r="R384" s="46">
        <f>automotive_demand_forecasting_dataset5678[[#This Row],[Units_Sold]]*automotive_demand_forecasting_dataset5678[[#This Row],[Average_Price]]</f>
        <v>2686721.5676333057</v>
      </c>
      <c r="S384" t="str">
        <f t="shared" ca="1" si="35"/>
        <v>OK</v>
      </c>
    </row>
    <row r="385" spans="1:19">
      <c r="A385" s="1">
        <v>53225</v>
      </c>
      <c r="B385" t="s">
        <v>14</v>
      </c>
      <c r="C385" t="str">
        <f>TEXT(automotive_demand_forecasting_dataset5678[[#This Row],[Date]],"mmmm")</f>
        <v>September</v>
      </c>
      <c r="D385" t="str">
        <f>CHOOSE(MATCH(MONTH(A385), {1,4,7,10}), "Winter", "Spring", "Summer", "Autumn")</f>
        <v>Summer</v>
      </c>
      <c r="E385">
        <f>YEAR(automotive_demand_forecasting_dataset5678[[#This Row],[Date]])</f>
        <v>2045</v>
      </c>
      <c r="F385">
        <v>107</v>
      </c>
      <c r="G385">
        <f>(automotive_demand_forecasting_dataset5678[[#This Row],[Units_Sold]] -$C$4) / $C$5</f>
        <v>0.78873983036713124</v>
      </c>
      <c r="H385" s="47" t="str">
        <f t="shared" ca="1" si="33"/>
        <v>East</v>
      </c>
      <c r="I385">
        <v>26659.547731784754</v>
      </c>
      <c r="J385">
        <v>4.4505953428765039</v>
      </c>
      <c r="K385">
        <v>3.5519476177229183</v>
      </c>
      <c r="L385">
        <v>5.7206014195870054</v>
      </c>
      <c r="M385">
        <v>106771.05752571828</v>
      </c>
      <c r="N385" s="82">
        <v>79</v>
      </c>
      <c r="O385">
        <v>96.181121162669783</v>
      </c>
      <c r="P3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85" t="str">
        <f t="shared" ca="1" si="34"/>
        <v>Print</v>
      </c>
      <c r="R385" s="46">
        <f>automotive_demand_forecasting_dataset5678[[#This Row],[Units_Sold]]*automotive_demand_forecasting_dataset5678[[#This Row],[Average_Price]]</f>
        <v>2852571.6073009688</v>
      </c>
      <c r="S385" t="str">
        <f t="shared" ca="1" si="35"/>
        <v>OK</v>
      </c>
    </row>
    <row r="386" spans="1:19">
      <c r="A386" s="1">
        <v>53255</v>
      </c>
      <c r="B386" t="s">
        <v>13</v>
      </c>
      <c r="C386" t="str">
        <f>TEXT(automotive_demand_forecasting_dataset5678[[#This Row],[Date]],"mmmm")</f>
        <v>October</v>
      </c>
      <c r="D386" t="str">
        <f>CHOOSE(MATCH(MONTH(A386), {1,4,7,10}), "Winter", "Spring", "Summer", "Autumn")</f>
        <v>Autumn</v>
      </c>
      <c r="E386">
        <f>YEAR(automotive_demand_forecasting_dataset5678[[#This Row],[Date]])</f>
        <v>2045</v>
      </c>
      <c r="F386">
        <v>111</v>
      </c>
      <c r="G386">
        <f>(automotive_demand_forecasting_dataset5678[[#This Row],[Units_Sold]] -$C$4) / $C$5</f>
        <v>1.1984748071812252</v>
      </c>
      <c r="H386" s="47" t="str">
        <f t="shared" ca="1" si="33"/>
        <v>West</v>
      </c>
      <c r="I386">
        <v>34960.211747682617</v>
      </c>
      <c r="J386">
        <v>3.4696695930926897</v>
      </c>
      <c r="K386">
        <v>1.501939372685587</v>
      </c>
      <c r="L386">
        <v>5.616047043</v>
      </c>
      <c r="M386">
        <v>81241.488469272022</v>
      </c>
      <c r="N386" s="82">
        <v>87</v>
      </c>
      <c r="O386">
        <v>62.644423207576892</v>
      </c>
      <c r="P3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86" t="str">
        <f t="shared" ca="1" si="34"/>
        <v>Radio</v>
      </c>
      <c r="R386" s="46">
        <f>automotive_demand_forecasting_dataset5678[[#This Row],[Units_Sold]]*automotive_demand_forecasting_dataset5678[[#This Row],[Average_Price]]</f>
        <v>3880583.5039927703</v>
      </c>
      <c r="S386" t="str">
        <f t="shared" ca="1" si="35"/>
        <v>OK</v>
      </c>
    </row>
    <row r="387" spans="1:19">
      <c r="A387" s="1">
        <v>53285</v>
      </c>
      <c r="B387" t="s">
        <v>10</v>
      </c>
      <c r="C387" t="str">
        <f>TEXT(automotive_demand_forecasting_dataset5678[[#This Row],[Date]],"mmmm")</f>
        <v>November</v>
      </c>
      <c r="D387" t="str">
        <f>CHOOSE(MATCH(MONTH(A387), {1,4,7,10}), "Winter", "Spring", "Summer", "Autumn")</f>
        <v>Autumn</v>
      </c>
      <c r="E387">
        <f>YEAR(automotive_demand_forecasting_dataset5678[[#This Row],[Date]])</f>
        <v>2045</v>
      </c>
      <c r="F387">
        <v>100</v>
      </c>
      <c r="G387">
        <f>(automotive_demand_forecasting_dataset5678[[#This Row],[Units_Sold]] -$C$4) / $C$5</f>
        <v>7.1703620942466739E-2</v>
      </c>
      <c r="H387" s="47" t="str">
        <f t="shared" ca="1" si="33"/>
        <v>North</v>
      </c>
      <c r="I387">
        <v>29125.201216522957</v>
      </c>
      <c r="J387">
        <v>3.1457966165447688</v>
      </c>
      <c r="K387">
        <v>2.1160287280476484</v>
      </c>
      <c r="L387">
        <f>6.97388673</f>
        <v>6.9738867300000003</v>
      </c>
      <c r="M387">
        <v>104332.49950809238</v>
      </c>
      <c r="N387" s="82">
        <v>92</v>
      </c>
      <c r="O387">
        <v>70.523550294092828</v>
      </c>
      <c r="P3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87" t="str">
        <f t="shared" ca="1" si="34"/>
        <v>TV</v>
      </c>
      <c r="R387" s="46">
        <f>automotive_demand_forecasting_dataset5678[[#This Row],[Units_Sold]]*automotive_demand_forecasting_dataset5678[[#This Row],[Average_Price]]</f>
        <v>2912520.1216522958</v>
      </c>
      <c r="S387" t="str">
        <f t="shared" ca="1" si="35"/>
        <v>OK</v>
      </c>
    </row>
    <row r="388" spans="1:19">
      <c r="A388" s="1">
        <v>53315</v>
      </c>
      <c r="B388" t="s">
        <v>10</v>
      </c>
      <c r="C388" t="str">
        <f>TEXT(automotive_demand_forecasting_dataset5678[[#This Row],[Date]],"mmmm")</f>
        <v>December</v>
      </c>
      <c r="D388" t="str">
        <f>CHOOSE(MATCH(MONTH(A388), {1,4,7,10}), "Winter", "Spring", "Summer", "Autumn")</f>
        <v>Autumn</v>
      </c>
      <c r="E388">
        <f>YEAR(automotive_demand_forecasting_dataset5678[[#This Row],[Date]])</f>
        <v>2045</v>
      </c>
      <c r="F388">
        <v>94</v>
      </c>
      <c r="G388">
        <f>(automotive_demand_forecasting_dataset5678[[#This Row],[Units_Sold]] -$C$4) / $C$5</f>
        <v>-0.5428988442786743</v>
      </c>
      <c r="H388" s="47" t="str">
        <f t="shared" ca="1" si="33"/>
        <v>East</v>
      </c>
      <c r="I388">
        <v>26221.274202535777</v>
      </c>
      <c r="J388">
        <v>2.7431428036935865</v>
      </c>
      <c r="K388">
        <v>2.7502002062516944</v>
      </c>
      <c r="L388">
        <v>4.295134483789588</v>
      </c>
      <c r="M388">
        <v>79484.946327194455</v>
      </c>
      <c r="N388" s="82">
        <v>79</v>
      </c>
      <c r="O388">
        <v>63.435235559146221</v>
      </c>
      <c r="P3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388" t="str">
        <f t="shared" ca="1" si="34"/>
        <v>Radio</v>
      </c>
      <c r="R388" s="46">
        <f>automotive_demand_forecasting_dataset5678[[#This Row],[Units_Sold]]*automotive_demand_forecasting_dataset5678[[#This Row],[Average_Price]]</f>
        <v>2464799.7750383629</v>
      </c>
      <c r="S388" t="str">
        <f t="shared" ca="1" si="35"/>
        <v>OK</v>
      </c>
    </row>
    <row r="389" spans="1:19">
      <c r="A389" s="1">
        <v>53345</v>
      </c>
      <c r="B389" t="s">
        <v>10</v>
      </c>
      <c r="C389" t="str">
        <f>TEXT(automotive_demand_forecasting_dataset5678[[#This Row],[Date]],"mmmm")</f>
        <v>January</v>
      </c>
      <c r="D389" t="str">
        <f>CHOOSE(MATCH(MONTH(A389), {1,4,7,10}), "Winter", "Spring", "Summer", "Autumn")</f>
        <v>Winter</v>
      </c>
      <c r="E389">
        <f>YEAR(automotive_demand_forecasting_dataset5678[[#This Row],[Date]])</f>
        <v>2046</v>
      </c>
      <c r="F389">
        <v>91</v>
      </c>
      <c r="G389">
        <f>(automotive_demand_forecasting_dataset5678[[#This Row],[Units_Sold]] -$C$4) / $C$5</f>
        <v>-0.85020007688924482</v>
      </c>
      <c r="H389" s="47" t="str">
        <f t="shared" ca="1" si="33"/>
        <v>West</v>
      </c>
      <c r="I389">
        <v>32682.549217852018</v>
      </c>
      <c r="J389">
        <v>2.5984301618720274</v>
      </c>
      <c r="K389">
        <v>4.4956674897839646</v>
      </c>
      <c r="L389">
        <v>5.3854429034931126</v>
      </c>
      <c r="M389">
        <v>122016.4279684521</v>
      </c>
      <c r="N389" s="82">
        <v>95</v>
      </c>
      <c r="O389">
        <v>30.350449357336071</v>
      </c>
      <c r="P3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389" t="str">
        <f t="shared" ca="1" si="34"/>
        <v>Online</v>
      </c>
      <c r="R389" s="46">
        <f>automotive_demand_forecasting_dataset5678[[#This Row],[Units_Sold]]*automotive_demand_forecasting_dataset5678[[#This Row],[Average_Price]]</f>
        <v>2974111.9788245335</v>
      </c>
      <c r="S389" t="str">
        <f t="shared" ca="1" si="35"/>
        <v>OK</v>
      </c>
    </row>
    <row r="390" spans="1:19">
      <c r="A390" s="1">
        <v>53375</v>
      </c>
      <c r="B390" t="s">
        <v>12</v>
      </c>
      <c r="C390" t="str">
        <f>TEXT(automotive_demand_forecasting_dataset5678[[#This Row],[Date]],"mmmm")</f>
        <v>February</v>
      </c>
      <c r="D390" t="str">
        <f>CHOOSE(MATCH(MONTH(A390), {1,4,7,10}), "Winter", "Spring", "Summer", "Autumn")</f>
        <v>Winter</v>
      </c>
      <c r="E390">
        <f>YEAR(automotive_demand_forecasting_dataset5678[[#This Row],[Date]])</f>
        <v>2046</v>
      </c>
      <c r="F390">
        <v>89</v>
      </c>
      <c r="G390">
        <f>(automotive_demand_forecasting_dataset5678[[#This Row],[Units_Sold]] -$C$4) / $C$5</f>
        <v>-1.0550675652962918</v>
      </c>
      <c r="H390" s="47" t="str">
        <f t="shared" ca="1" si="33"/>
        <v>North</v>
      </c>
      <c r="I390">
        <v>25507.660091044814</v>
      </c>
      <c r="J390">
        <v>2.7079320284972552</v>
      </c>
      <c r="K390">
        <v>2.6520564320000002</v>
      </c>
      <c r="L390">
        <v>3.368504399840258</v>
      </c>
      <c r="M390">
        <v>121227.41929746268</v>
      </c>
      <c r="N390" s="82">
        <v>96</v>
      </c>
      <c r="O390">
        <v>50.065697520635275</v>
      </c>
      <c r="P3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390" t="str">
        <f t="shared" ca="1" si="34"/>
        <v>Online</v>
      </c>
      <c r="R390" s="46">
        <f>automotive_demand_forecasting_dataset5678[[#This Row],[Units_Sold]]*automotive_demand_forecasting_dataset5678[[#This Row],[Average_Price]]</f>
        <v>2270181.7481029886</v>
      </c>
      <c r="S390" t="str">
        <f t="shared" ca="1" si="35"/>
        <v>OK</v>
      </c>
    </row>
    <row r="391" spans="1:19">
      <c r="A391" s="1">
        <v>53405</v>
      </c>
      <c r="B391" t="s">
        <v>13</v>
      </c>
      <c r="C391" t="str">
        <f>TEXT(automotive_demand_forecasting_dataset5678[[#This Row],[Date]],"mmmm")</f>
        <v>March</v>
      </c>
      <c r="D391" t="str">
        <f>CHOOSE(MATCH(MONTH(A391), {1,4,7,10}), "Winter", "Spring", "Summer", "Autumn")</f>
        <v>Winter</v>
      </c>
      <c r="E391">
        <f>YEAR(automotive_demand_forecasting_dataset5678[[#This Row],[Date]])</f>
        <v>2046</v>
      </c>
      <c r="F391">
        <v>98</v>
      </c>
      <c r="G391">
        <f>(automotive_demand_forecasting_dataset5678[[#This Row],[Units_Sold]] -$C$4) / $C$5</f>
        <v>-0.13316386746458025</v>
      </c>
      <c r="H391" s="47" t="str">
        <f t="shared" ca="1" si="33"/>
        <v>West</v>
      </c>
      <c r="I391">
        <v>30140.90578684564</v>
      </c>
      <c r="J391">
        <v>4.5778345189999996</v>
      </c>
      <c r="K391">
        <v>3.1067230591361827</v>
      </c>
      <c r="L391">
        <v>5.4032803008438872</v>
      </c>
      <c r="M391">
        <v>110640.12397643886</v>
      </c>
      <c r="N391" s="82">
        <v>90</v>
      </c>
      <c r="O391">
        <v>27.931688982209913</v>
      </c>
      <c r="P3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391" t="str">
        <f t="shared" ca="1" si="34"/>
        <v>Billboards</v>
      </c>
      <c r="R391" s="46">
        <f>automotive_demand_forecasting_dataset5678[[#This Row],[Units_Sold]]*automotive_demand_forecasting_dataset5678[[#This Row],[Average_Price]]</f>
        <v>2953808.7671108725</v>
      </c>
      <c r="S391" t="str">
        <f t="shared" ca="1" si="35"/>
        <v>OK</v>
      </c>
    </row>
    <row r="392" spans="1:19">
      <c r="A392" s="1">
        <v>53435</v>
      </c>
      <c r="B392" t="s">
        <v>10</v>
      </c>
      <c r="C392" t="str">
        <f>TEXT(automotive_demand_forecasting_dataset5678[[#This Row],[Date]],"mmmm")</f>
        <v>April</v>
      </c>
      <c r="D392" t="str">
        <f>CHOOSE(MATCH(MONTH(A392), {1,4,7,10}), "Winter", "Spring", "Summer", "Autumn")</f>
        <v>Spring</v>
      </c>
      <c r="E392">
        <f>YEAR(automotive_demand_forecasting_dataset5678[[#This Row],[Date]])</f>
        <v>2046</v>
      </c>
      <c r="F392">
        <v>110</v>
      </c>
      <c r="G392">
        <f>(automotive_demand_forecasting_dataset5678[[#This Row],[Units_Sold]] -$C$4) / $C$5</f>
        <v>1.0960410629777018</v>
      </c>
      <c r="H392" s="47" t="str">
        <f t="shared" ca="1" si="33"/>
        <v>South</v>
      </c>
      <c r="I392">
        <v>29954.405016778983</v>
      </c>
      <c r="J392">
        <v>3.7543625116149668</v>
      </c>
      <c r="K392">
        <v>2.3168033812796121</v>
      </c>
      <c r="L392">
        <v>4.50033273159909</v>
      </c>
      <c r="M392">
        <v>107233.22122494034</v>
      </c>
      <c r="N392" s="82">
        <v>95</v>
      </c>
      <c r="O392">
        <v>69.836323534670541</v>
      </c>
      <c r="P3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392" t="str">
        <f t="shared" ca="1" si="34"/>
        <v>Billboards</v>
      </c>
      <c r="R392" s="46">
        <f>automotive_demand_forecasting_dataset5678[[#This Row],[Units_Sold]]*automotive_demand_forecasting_dataset5678[[#This Row],[Average_Price]]</f>
        <v>3294984.5518456879</v>
      </c>
      <c r="S392" t="str">
        <f t="shared" ca="1" si="35"/>
        <v>OK</v>
      </c>
    </row>
    <row r="393" spans="1:19">
      <c r="A393" s="1">
        <v>53465</v>
      </c>
      <c r="B393" t="s">
        <v>11</v>
      </c>
      <c r="C393" t="str">
        <f>TEXT(automotive_demand_forecasting_dataset5678[[#This Row],[Date]],"mmmm")</f>
        <v>May</v>
      </c>
      <c r="D393" t="str">
        <f>CHOOSE(MATCH(MONTH(A393), {1,4,7,10}), "Winter", "Spring", "Summer", "Autumn")</f>
        <v>Spring</v>
      </c>
      <c r="E393">
        <f>YEAR(automotive_demand_forecasting_dataset5678[[#This Row],[Date]])</f>
        <v>2046</v>
      </c>
      <c r="F393">
        <v>93</v>
      </c>
      <c r="G393">
        <f>(automotive_demand_forecasting_dataset5678[[#This Row],[Units_Sold]] -$C$4) / $C$5</f>
        <v>-0.64533258848219777</v>
      </c>
      <c r="H393" s="47" t="str">
        <f t="shared" ca="1" si="33"/>
        <v>South</v>
      </c>
      <c r="I393">
        <v>35429.477829157891</v>
      </c>
      <c r="J393">
        <v>2.7094046489839334</v>
      </c>
      <c r="K393">
        <v>3.0345056484805504</v>
      </c>
      <c r="L393">
        <f>6.97388673</f>
        <v>6.9738867300000003</v>
      </c>
      <c r="M393">
        <v>135223.76249734749</v>
      </c>
      <c r="N393" s="82">
        <f>111.9136842</f>
        <v>111.91368420000001</v>
      </c>
      <c r="O393">
        <v>55.749935616035117</v>
      </c>
      <c r="P3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393" t="str">
        <f t="shared" ca="1" si="34"/>
        <v>TV</v>
      </c>
      <c r="R393" s="46">
        <f>automotive_demand_forecasting_dataset5678[[#This Row],[Units_Sold]]*automotive_demand_forecasting_dataset5678[[#This Row],[Average_Price]]</f>
        <v>3294941.4381116838</v>
      </c>
      <c r="S393" t="str">
        <f t="shared" ca="1" si="35"/>
        <v>OK</v>
      </c>
    </row>
    <row r="394" spans="1:19">
      <c r="A394" s="1">
        <v>53495</v>
      </c>
      <c r="B394" t="s">
        <v>13</v>
      </c>
      <c r="C394" t="str">
        <f>TEXT(automotive_demand_forecasting_dataset5678[[#This Row],[Date]],"mmmm")</f>
        <v>June</v>
      </c>
      <c r="D394" t="str">
        <f>CHOOSE(MATCH(MONTH(A394), {1,4,7,10}), "Winter", "Spring", "Summer", "Autumn")</f>
        <v>Spring</v>
      </c>
      <c r="E394">
        <f>YEAR(automotive_demand_forecasting_dataset5678[[#This Row],[Date]])</f>
        <v>2046</v>
      </c>
      <c r="F394">
        <v>103</v>
      </c>
      <c r="G394">
        <f>(automotive_demand_forecasting_dataset5678[[#This Row],[Units_Sold]] -$C$4) / $C$5</f>
        <v>0.37900485355303726</v>
      </c>
      <c r="H394" s="47" t="str">
        <f t="shared" ca="1" si="33"/>
        <v>East</v>
      </c>
      <c r="I394">
        <v>32373.491164399762</v>
      </c>
      <c r="J394">
        <v>3.9475191570380579</v>
      </c>
      <c r="K394">
        <v>3.3876554258738363</v>
      </c>
      <c r="L394">
        <v>4.8405516704853584</v>
      </c>
      <c r="M394">
        <f>128897.2893</f>
        <v>128897.2893</v>
      </c>
      <c r="N394" s="82">
        <v>96</v>
      </c>
      <c r="O394">
        <v>82.238797725674942</v>
      </c>
      <c r="P3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394" t="str">
        <f t="shared" ca="1" si="34"/>
        <v>Print</v>
      </c>
      <c r="R394" s="46">
        <f>automotive_demand_forecasting_dataset5678[[#This Row],[Units_Sold]]*automotive_demand_forecasting_dataset5678[[#This Row],[Average_Price]]</f>
        <v>3334469.5899331756</v>
      </c>
      <c r="S394" t="str">
        <f t="shared" ca="1" si="35"/>
        <v>OK</v>
      </c>
    </row>
    <row r="395" spans="1:19">
      <c r="A395" s="1">
        <v>53525</v>
      </c>
      <c r="B395" t="s">
        <v>13</v>
      </c>
      <c r="C395" t="str">
        <f>TEXT(automotive_demand_forecasting_dataset5678[[#This Row],[Date]],"mmmm")</f>
        <v>July</v>
      </c>
      <c r="D395" t="str">
        <f>CHOOSE(MATCH(MONTH(A395), {1,4,7,10}), "Winter", "Spring", "Summer", "Autumn")</f>
        <v>Summer</v>
      </c>
      <c r="E395">
        <f>YEAR(automotive_demand_forecasting_dataset5678[[#This Row],[Date]])</f>
        <v>2046</v>
      </c>
      <c r="F395">
        <v>100</v>
      </c>
      <c r="G395">
        <f>(automotive_demand_forecasting_dataset5678[[#This Row],[Units_Sold]] -$C$4) / $C$5</f>
        <v>7.1703620942466739E-2</v>
      </c>
      <c r="H395" s="47" t="str">
        <f t="shared" ref="H395:H458" ca="1" si="38">CHOOSE(RANDBETWEEN(1,4),"North","South","East","West")</f>
        <v>North</v>
      </c>
      <c r="I395">
        <v>38106.295579999998</v>
      </c>
      <c r="J395">
        <v>4.5778345189999996</v>
      </c>
      <c r="K395">
        <v>2.1793323744428084</v>
      </c>
      <c r="L395">
        <v>5.3598809010457042</v>
      </c>
      <c r="M395">
        <v>76362.517491583974</v>
      </c>
      <c r="N395" s="82">
        <v>89</v>
      </c>
      <c r="O395">
        <v>37.637638479949587</v>
      </c>
      <c r="P3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395" t="str">
        <f t="shared" ref="Q395:Q458" ca="1" si="39">CHOOSE(RANDBETWEEN(1,5),"Online","TV","Radio","Print","Billboards")</f>
        <v>Print</v>
      </c>
      <c r="R395" s="46">
        <f>automotive_demand_forecasting_dataset5678[[#This Row],[Units_Sold]]*automotive_demand_forecasting_dataset5678[[#This Row],[Average_Price]]</f>
        <v>3810629.5579999997</v>
      </c>
      <c r="S395" t="str">
        <f t="shared" ref="S395:S458" ca="1" si="40">IF(COUNTA(A395:O395)&lt;COLUMNS(A395:O395), "Missing Data", "OK")</f>
        <v>OK</v>
      </c>
    </row>
    <row r="396" spans="1:19">
      <c r="A396" s="1">
        <v>53555</v>
      </c>
      <c r="B396" t="s">
        <v>12</v>
      </c>
      <c r="C396" t="str">
        <f>TEXT(automotive_demand_forecasting_dataset5678[[#This Row],[Date]],"mmmm")</f>
        <v>August</v>
      </c>
      <c r="D396" t="str">
        <f>CHOOSE(MATCH(MONTH(A396), {1,4,7,10}), "Winter", "Spring", "Summer", "Autumn")</f>
        <v>Summer</v>
      </c>
      <c r="E396">
        <f>YEAR(automotive_demand_forecasting_dataset5678[[#This Row],[Date]])</f>
        <v>2046</v>
      </c>
      <c r="F396">
        <v>101</v>
      </c>
      <c r="G396">
        <f>(automotive_demand_forecasting_dataset5678[[#This Row],[Units_Sold]] -$C$4) / $C$5</f>
        <v>0.17413736514599024</v>
      </c>
      <c r="H396" s="47" t="str">
        <f t="shared" ca="1" si="38"/>
        <v>East</v>
      </c>
      <c r="I396">
        <v>34088.831496001432</v>
      </c>
      <c r="J396">
        <v>3.5733965059927746</v>
      </c>
      <c r="K396">
        <v>2.6520564320000002</v>
      </c>
      <c r="L396">
        <v>4.7373305903147163</v>
      </c>
      <c r="M396">
        <f>128897.2893</f>
        <v>128897.2893</v>
      </c>
      <c r="N396" s="82">
        <v>87</v>
      </c>
      <c r="O396">
        <v>33.165284674346793</v>
      </c>
      <c r="P3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396" t="str">
        <f t="shared" ca="1" si="39"/>
        <v>Billboards</v>
      </c>
      <c r="R396" s="46">
        <f>automotive_demand_forecasting_dataset5678[[#This Row],[Units_Sold]]*automotive_demand_forecasting_dataset5678[[#This Row],[Average_Price]]</f>
        <v>3442971.9810961448</v>
      </c>
      <c r="S396" t="str">
        <f t="shared" ca="1" si="40"/>
        <v>OK</v>
      </c>
    </row>
    <row r="397" spans="1:19">
      <c r="A397" s="1">
        <v>53585</v>
      </c>
      <c r="B397" t="s">
        <v>14</v>
      </c>
      <c r="C397" t="str">
        <f>TEXT(automotive_demand_forecasting_dataset5678[[#This Row],[Date]],"mmmm")</f>
        <v>September</v>
      </c>
      <c r="D397" t="str">
        <f>CHOOSE(MATCH(MONTH(A397), {1,4,7,10}), "Winter", "Spring", "Summer", "Autumn")</f>
        <v>Summer</v>
      </c>
      <c r="E397">
        <f>YEAR(automotive_demand_forecasting_dataset5678[[#This Row],[Date]])</f>
        <v>2046</v>
      </c>
      <c r="F397">
        <v>94</v>
      </c>
      <c r="G397">
        <f>(automotive_demand_forecasting_dataset5678[[#This Row],[Units_Sold]] -$C$4) / $C$5</f>
        <v>-0.5428988442786743</v>
      </c>
      <c r="H397" s="47" t="str">
        <f t="shared" ca="1" si="38"/>
        <v>South</v>
      </c>
      <c r="I397">
        <v>30949.702720000001</v>
      </c>
      <c r="J397">
        <v>4.3061103141277126</v>
      </c>
      <c r="K397">
        <v>2.7300707591914022</v>
      </c>
      <c r="L397">
        <v>7.5866216222239977</v>
      </c>
      <c r="M397">
        <v>102916.7736</v>
      </c>
      <c r="N397" s="82">
        <v>96</v>
      </c>
      <c r="O397">
        <v>52.506578477101428</v>
      </c>
      <c r="P3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397" t="str">
        <f t="shared" ca="1" si="39"/>
        <v>Radio</v>
      </c>
      <c r="R397" s="46">
        <f>automotive_demand_forecasting_dataset5678[[#This Row],[Units_Sold]]*automotive_demand_forecasting_dataset5678[[#This Row],[Average_Price]]</f>
        <v>2909272.0556800002</v>
      </c>
      <c r="S397" t="str">
        <f t="shared" ca="1" si="40"/>
        <v>OK</v>
      </c>
    </row>
    <row r="398" spans="1:19">
      <c r="A398" s="1">
        <v>53615</v>
      </c>
      <c r="B398" t="s">
        <v>12</v>
      </c>
      <c r="C398" t="str">
        <f>TEXT(automotive_demand_forecasting_dataset5678[[#This Row],[Date]],"mmmm")</f>
        <v>October</v>
      </c>
      <c r="D398" t="str">
        <f>CHOOSE(MATCH(MONTH(A398), {1,4,7,10}), "Winter", "Spring", "Summer", "Autumn")</f>
        <v>Autumn</v>
      </c>
      <c r="E398">
        <f>YEAR(automotive_demand_forecasting_dataset5678[[#This Row],[Date]])</f>
        <v>2046</v>
      </c>
      <c r="F398">
        <v>108</v>
      </c>
      <c r="G398">
        <f>(automotive_demand_forecasting_dataset5678[[#This Row],[Units_Sold]] -$C$4) / $C$5</f>
        <v>0.89117357457065483</v>
      </c>
      <c r="H398" s="47" t="str">
        <f t="shared" ca="1" si="38"/>
        <v>West</v>
      </c>
      <c r="I398">
        <v>32789.051531759309</v>
      </c>
      <c r="J398">
        <v>3.9484196579327659</v>
      </c>
      <c r="K398">
        <v>2.9977430890913941</v>
      </c>
      <c r="L398">
        <v>5.1145086806585063</v>
      </c>
      <c r="M398">
        <v>79704.810136282962</v>
      </c>
      <c r="N398" s="82">
        <v>102</v>
      </c>
      <c r="O398">
        <v>94.126830657470492</v>
      </c>
      <c r="P3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398" t="str">
        <f t="shared" ca="1" si="39"/>
        <v>Print</v>
      </c>
      <c r="R398" s="46">
        <f>automotive_demand_forecasting_dataset5678[[#This Row],[Units_Sold]]*automotive_demand_forecasting_dataset5678[[#This Row],[Average_Price]]</f>
        <v>3541217.5654300055</v>
      </c>
      <c r="S398" t="str">
        <f t="shared" ca="1" si="40"/>
        <v>OK</v>
      </c>
    </row>
    <row r="399" spans="1:19">
      <c r="A399" s="1">
        <v>53645</v>
      </c>
      <c r="B399" t="s">
        <v>10</v>
      </c>
      <c r="C399" t="str">
        <f>TEXT(automotive_demand_forecasting_dataset5678[[#This Row],[Date]],"mmmm")</f>
        <v>November</v>
      </c>
      <c r="D399" t="str">
        <f>CHOOSE(MATCH(MONTH(A399), {1,4,7,10}), "Winter", "Spring", "Summer", "Autumn")</f>
        <v>Autumn</v>
      </c>
      <c r="E399">
        <f>YEAR(automotive_demand_forecasting_dataset5678[[#This Row],[Date]])</f>
        <v>2046</v>
      </c>
      <c r="F399">
        <v>113</v>
      </c>
      <c r="G399">
        <f>(automotive_demand_forecasting_dataset5678[[#This Row],[Units_Sold]] -$C$4) / $C$5</f>
        <v>1.4033422955882724</v>
      </c>
      <c r="H399" s="47" t="str">
        <f t="shared" ca="1" si="38"/>
        <v>South</v>
      </c>
      <c r="I399">
        <v>30051.763099216903</v>
      </c>
      <c r="J399">
        <v>3.3657346760470839</v>
      </c>
      <c r="K399">
        <v>3.1659242520544613</v>
      </c>
      <c r="L399">
        <v>7.6990684521750419</v>
      </c>
      <c r="M399">
        <v>92770.744666120285</v>
      </c>
      <c r="N399" s="82">
        <v>72</v>
      </c>
      <c r="O399">
        <v>76.833745200992936</v>
      </c>
      <c r="P3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399" t="str">
        <f t="shared" ca="1" si="39"/>
        <v>TV</v>
      </c>
      <c r="R399" s="46">
        <f>automotive_demand_forecasting_dataset5678[[#This Row],[Units_Sold]]*automotive_demand_forecasting_dataset5678[[#This Row],[Average_Price]]</f>
        <v>3395849.2302115099</v>
      </c>
      <c r="S399" t="str">
        <f t="shared" ca="1" si="40"/>
        <v>OK</v>
      </c>
    </row>
    <row r="400" spans="1:19">
      <c r="A400" s="1">
        <v>53675</v>
      </c>
      <c r="B400" t="s">
        <v>11</v>
      </c>
      <c r="C400" t="str">
        <f>TEXT(automotive_demand_forecasting_dataset5678[[#This Row],[Date]],"mmmm")</f>
        <v>December</v>
      </c>
      <c r="D400" t="str">
        <f>CHOOSE(MATCH(MONTH(A400), {1,4,7,10}), "Winter", "Spring", "Summer", "Autumn")</f>
        <v>Autumn</v>
      </c>
      <c r="E400">
        <f>YEAR(automotive_demand_forecasting_dataset5678[[#This Row],[Date]])</f>
        <v>2046</v>
      </c>
      <c r="F400">
        <v>115</v>
      </c>
      <c r="G400">
        <f>(automotive_demand_forecasting_dataset5678[[#This Row],[Units_Sold]] -$C$4) / $C$5</f>
        <v>1.6082097839953193</v>
      </c>
      <c r="H400" s="47" t="str">
        <f t="shared" ca="1" si="38"/>
        <v>East</v>
      </c>
      <c r="I400">
        <v>23440.818838249201</v>
      </c>
      <c r="J400">
        <v>3.0544038872923562</v>
      </c>
      <c r="K400">
        <v>2.9215866106144555</v>
      </c>
      <c r="L400">
        <v>6.4769821145419195</v>
      </c>
      <c r="M400">
        <f>128897.2893</f>
        <v>128897.2893</v>
      </c>
      <c r="N400" s="82">
        <v>88</v>
      </c>
      <c r="O400">
        <v>53.513889983433494</v>
      </c>
      <c r="P4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00" t="str">
        <f t="shared" ca="1" si="39"/>
        <v>Print</v>
      </c>
      <c r="R400" s="46">
        <f>automotive_demand_forecasting_dataset5678[[#This Row],[Units_Sold]]*automotive_demand_forecasting_dataset5678[[#This Row],[Average_Price]]</f>
        <v>2695694.166398658</v>
      </c>
      <c r="S400" t="str">
        <f t="shared" ca="1" si="40"/>
        <v>OK</v>
      </c>
    </row>
    <row r="401" spans="1:19">
      <c r="A401" s="1">
        <v>53705</v>
      </c>
      <c r="B401" t="s">
        <v>11</v>
      </c>
      <c r="C401" t="str">
        <f>TEXT(automotive_demand_forecasting_dataset5678[[#This Row],[Date]],"mmmm")</f>
        <v>January</v>
      </c>
      <c r="D401" t="str">
        <f>CHOOSE(MATCH(MONTH(A401), {1,4,7,10}), "Winter", "Spring", "Summer", "Autumn")</f>
        <v>Winter</v>
      </c>
      <c r="E401">
        <f>YEAR(automotive_demand_forecasting_dataset5678[[#This Row],[Date]])</f>
        <v>2047</v>
      </c>
      <c r="F401">
        <v>98</v>
      </c>
      <c r="G401">
        <f>(automotive_demand_forecasting_dataset5678[[#This Row],[Units_Sold]] -$C$4) / $C$5</f>
        <v>-0.13316386746458025</v>
      </c>
      <c r="H401" s="47" t="str">
        <f t="shared" ca="1" si="38"/>
        <v>West</v>
      </c>
      <c r="I401">
        <v>24674.431684623138</v>
      </c>
      <c r="J401">
        <v>2.4240922993353475</v>
      </c>
      <c r="K401">
        <v>3.3389405004696124</v>
      </c>
      <c r="L401">
        <v>6.0784800728024635</v>
      </c>
      <c r="M401">
        <v>98921.903019885212</v>
      </c>
      <c r="N401" s="82">
        <v>81</v>
      </c>
      <c r="O401">
        <v>61.381773580344841</v>
      </c>
      <c r="P4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01" t="str">
        <f t="shared" ca="1" si="39"/>
        <v>Billboards</v>
      </c>
      <c r="R401" s="46">
        <f>automotive_demand_forecasting_dataset5678[[#This Row],[Units_Sold]]*automotive_demand_forecasting_dataset5678[[#This Row],[Average_Price]]</f>
        <v>2418094.3050930677</v>
      </c>
      <c r="S401" t="str">
        <f t="shared" ca="1" si="40"/>
        <v>OK</v>
      </c>
    </row>
    <row r="402" spans="1:19">
      <c r="A402" s="1">
        <v>53735</v>
      </c>
      <c r="B402" t="s">
        <v>10</v>
      </c>
      <c r="C402" t="str">
        <f>TEXT(automotive_demand_forecasting_dataset5678[[#This Row],[Date]],"mmmm")</f>
        <v>February</v>
      </c>
      <c r="D402" t="str">
        <f>CHOOSE(MATCH(MONTH(A402), {1,4,7,10}), "Winter", "Spring", "Summer", "Autumn")</f>
        <v>Winter</v>
      </c>
      <c r="E402">
        <f>YEAR(automotive_demand_forecasting_dataset5678[[#This Row],[Date]])</f>
        <v>2047</v>
      </c>
      <c r="F402">
        <v>93</v>
      </c>
      <c r="G402">
        <f>(automotive_demand_forecasting_dataset5678[[#This Row],[Units_Sold]] -$C$4) / $C$5</f>
        <v>-0.64533258848219777</v>
      </c>
      <c r="H402" s="47" t="str">
        <f t="shared" ca="1" si="38"/>
        <v>East</v>
      </c>
      <c r="I402">
        <v>28473.876478226663</v>
      </c>
      <c r="J402">
        <v>3.1404233403787898</v>
      </c>
      <c r="K402">
        <v>2.6520564320000002</v>
      </c>
      <c r="L402">
        <v>5.942479776781024</v>
      </c>
      <c r="M402">
        <v>80353.928392453701</v>
      </c>
      <c r="N402" s="82">
        <v>92</v>
      </c>
      <c r="O402">
        <v>26.737040894167869</v>
      </c>
      <c r="P4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02" t="str">
        <f t="shared" ca="1" si="39"/>
        <v>TV</v>
      </c>
      <c r="R402" s="46">
        <f>automotive_demand_forecasting_dataset5678[[#This Row],[Units_Sold]]*automotive_demand_forecasting_dataset5678[[#This Row],[Average_Price]]</f>
        <v>2648070.5124750794</v>
      </c>
      <c r="S402" t="str">
        <f t="shared" ca="1" si="40"/>
        <v>OK</v>
      </c>
    </row>
    <row r="403" spans="1:19">
      <c r="A403" s="1">
        <v>53765</v>
      </c>
      <c r="B403" t="s">
        <v>11</v>
      </c>
      <c r="C403" t="str">
        <f>TEXT(automotive_demand_forecasting_dataset5678[[#This Row],[Date]],"mmmm")</f>
        <v>March</v>
      </c>
      <c r="D403" t="str">
        <f>CHOOSE(MATCH(MONTH(A403), {1,4,7,10}), "Winter", "Spring", "Summer", "Autumn")</f>
        <v>Winter</v>
      </c>
      <c r="E403">
        <f>YEAR(automotive_demand_forecasting_dataset5678[[#This Row],[Date]])</f>
        <v>2047</v>
      </c>
      <c r="F403">
        <v>104</v>
      </c>
      <c r="G403">
        <f>(automotive_demand_forecasting_dataset5678[[#This Row],[Units_Sold]] -$C$4) / $C$5</f>
        <v>0.48143859775656078</v>
      </c>
      <c r="H403" s="47" t="str">
        <f t="shared" ca="1" si="38"/>
        <v>West</v>
      </c>
      <c r="I403">
        <v>26952.438989203583</v>
      </c>
      <c r="J403">
        <v>4.5778345189999996</v>
      </c>
      <c r="K403">
        <v>1.9416982460539693</v>
      </c>
      <c r="L403">
        <v>5.9725567578595022</v>
      </c>
      <c r="M403">
        <v>122437.15712460942</v>
      </c>
      <c r="N403" s="82">
        <f>111.9136842</f>
        <v>111.91368420000001</v>
      </c>
      <c r="O403">
        <v>98.766071710089051</v>
      </c>
      <c r="P4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03" t="str">
        <f t="shared" ca="1" si="39"/>
        <v>Print</v>
      </c>
      <c r="R403" s="46">
        <f>automotive_demand_forecasting_dataset5678[[#This Row],[Units_Sold]]*automotive_demand_forecasting_dataset5678[[#This Row],[Average_Price]]</f>
        <v>2803053.6548771728</v>
      </c>
      <c r="S403" t="str">
        <f t="shared" ca="1" si="40"/>
        <v>OK</v>
      </c>
    </row>
    <row r="404" spans="1:19">
      <c r="A404" s="1">
        <v>53795</v>
      </c>
      <c r="B404" t="s">
        <v>12</v>
      </c>
      <c r="C404" t="str">
        <f>TEXT(automotive_demand_forecasting_dataset5678[[#This Row],[Date]],"mmmm")</f>
        <v>April</v>
      </c>
      <c r="D404" t="str">
        <f>CHOOSE(MATCH(MONTH(A404), {1,4,7,10}), "Winter", "Spring", "Summer", "Autumn")</f>
        <v>Spring</v>
      </c>
      <c r="E404">
        <f>YEAR(automotive_demand_forecasting_dataset5678[[#This Row],[Date]])</f>
        <v>2047</v>
      </c>
      <c r="F404">
        <v>100</v>
      </c>
      <c r="G404">
        <f>(automotive_demand_forecasting_dataset5678[[#This Row],[Units_Sold]] -$C$4) / $C$5</f>
        <v>7.1703620942466739E-2</v>
      </c>
      <c r="H404" s="47" t="str">
        <f t="shared" ca="1" si="38"/>
        <v>North</v>
      </c>
      <c r="I404">
        <v>29065.143485072771</v>
      </c>
      <c r="J404">
        <v>3.0064102364244079</v>
      </c>
      <c r="K404">
        <v>1.3998457670283051</v>
      </c>
      <c r="L404">
        <v>3.1867929047852681</v>
      </c>
      <c r="M404">
        <v>146400.81444034519</v>
      </c>
      <c r="N404" s="82">
        <v>102</v>
      </c>
      <c r="O404">
        <v>73.312584375593516</v>
      </c>
      <c r="P4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04" t="str">
        <f t="shared" ca="1" si="39"/>
        <v>Online</v>
      </c>
      <c r="R404" s="46">
        <f>automotive_demand_forecasting_dataset5678[[#This Row],[Units_Sold]]*automotive_demand_forecasting_dataset5678[[#This Row],[Average_Price]]</f>
        <v>2906514.3485072772</v>
      </c>
      <c r="S404" t="str">
        <f t="shared" ca="1" si="40"/>
        <v>OK</v>
      </c>
    </row>
    <row r="405" spans="1:19">
      <c r="A405" s="1">
        <v>53825</v>
      </c>
      <c r="B405" t="s">
        <v>12</v>
      </c>
      <c r="C405" t="str">
        <f>TEXT(automotive_demand_forecasting_dataset5678[[#This Row],[Date]],"mmmm")</f>
        <v>May</v>
      </c>
      <c r="D405" t="str">
        <f>CHOOSE(MATCH(MONTH(A405), {1,4,7,10}), "Winter", "Spring", "Summer", "Autumn")</f>
        <v>Spring</v>
      </c>
      <c r="E405">
        <f>YEAR(automotive_demand_forecasting_dataset5678[[#This Row],[Date]])</f>
        <v>2047</v>
      </c>
      <c r="F405">
        <v>89</v>
      </c>
      <c r="G405">
        <f>(automotive_demand_forecasting_dataset5678[[#This Row],[Units_Sold]] -$C$4) / $C$5</f>
        <v>-1.0550675652962918</v>
      </c>
      <c r="H405" s="47" t="str">
        <f t="shared" ca="1" si="38"/>
        <v>South</v>
      </c>
      <c r="I405">
        <v>38106.295579999998</v>
      </c>
      <c r="J405">
        <v>3.4343715164538478</v>
      </c>
      <c r="K405">
        <f>IF(ISBLANK(K374), T381, K374)</f>
        <v>3.9223698616985079</v>
      </c>
      <c r="L405">
        <v>5.1653399270190921</v>
      </c>
      <c r="M405">
        <v>103922.62918047815</v>
      </c>
      <c r="N405" s="82">
        <v>80</v>
      </c>
      <c r="O405">
        <v>42.832325477073795</v>
      </c>
      <c r="P4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05" t="str">
        <f t="shared" ca="1" si="39"/>
        <v>Print</v>
      </c>
      <c r="R405" s="46">
        <f>automotive_demand_forecasting_dataset5678[[#This Row],[Units_Sold]]*automotive_demand_forecasting_dataset5678[[#This Row],[Average_Price]]</f>
        <v>3391460.3066199999</v>
      </c>
      <c r="S405" t="str">
        <f t="shared" ca="1" si="40"/>
        <v>OK</v>
      </c>
    </row>
    <row r="406" spans="1:19">
      <c r="A406" s="1">
        <v>53855</v>
      </c>
      <c r="B406" t="s">
        <v>10</v>
      </c>
      <c r="C406" t="str">
        <f>TEXT(automotive_demand_forecasting_dataset5678[[#This Row],[Date]],"mmmm")</f>
        <v>June</v>
      </c>
      <c r="D406" t="str">
        <f>CHOOSE(MATCH(MONTH(A406), {1,4,7,10}), "Winter", "Spring", "Summer", "Autumn")</f>
        <v>Spring</v>
      </c>
      <c r="E406">
        <f>YEAR(automotive_demand_forecasting_dataset5678[[#This Row],[Date]])</f>
        <v>2047</v>
      </c>
      <c r="F406">
        <v>86</v>
      </c>
      <c r="G406">
        <f>(automotive_demand_forecasting_dataset5678[[#This Row],[Units_Sold]] -$C$4) / $C$5</f>
        <v>-1.3623687979068624</v>
      </c>
      <c r="H406" s="47" t="str">
        <f t="shared" ca="1" si="38"/>
        <v>North</v>
      </c>
      <c r="I406">
        <v>32648.463771783652</v>
      </c>
      <c r="J406">
        <v>3.5384259414793839</v>
      </c>
      <c r="K406">
        <v>3.2789365035121141</v>
      </c>
      <c r="L406">
        <v>6.5141895654211854</v>
      </c>
      <c r="M406">
        <v>81918.634205279988</v>
      </c>
      <c r="N406" s="82">
        <v>84</v>
      </c>
      <c r="O406">
        <v>80.215177969999999</v>
      </c>
      <c r="P4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06" t="str">
        <f t="shared" ca="1" si="39"/>
        <v>Billboards</v>
      </c>
      <c r="R406" s="46">
        <f>automotive_demand_forecasting_dataset5678[[#This Row],[Units_Sold]]*automotive_demand_forecasting_dataset5678[[#This Row],[Average_Price]]</f>
        <v>2807767.8843733943</v>
      </c>
      <c r="S406" t="str">
        <f t="shared" ca="1" si="40"/>
        <v>OK</v>
      </c>
    </row>
    <row r="407" spans="1:19">
      <c r="A407" s="1">
        <v>53885</v>
      </c>
      <c r="B407" t="s">
        <v>11</v>
      </c>
      <c r="C407" t="str">
        <f>TEXT(automotive_demand_forecasting_dataset5678[[#This Row],[Date]],"mmmm")</f>
        <v>July</v>
      </c>
      <c r="D407" t="str">
        <f>CHOOSE(MATCH(MONTH(A407), {1,4,7,10}), "Winter", "Spring", "Summer", "Autumn")</f>
        <v>Summer</v>
      </c>
      <c r="E407">
        <f>YEAR(automotive_demand_forecasting_dataset5678[[#This Row],[Date]])</f>
        <v>2047</v>
      </c>
      <c r="F407">
        <v>93</v>
      </c>
      <c r="G407">
        <f>(automotive_demand_forecasting_dataset5678[[#This Row],[Units_Sold]] -$C$4) / $C$5</f>
        <v>-0.64533258848219777</v>
      </c>
      <c r="H407" s="47" t="str">
        <f t="shared" ca="1" si="38"/>
        <v>South</v>
      </c>
      <c r="I407">
        <v>29647.506109704544</v>
      </c>
      <c r="J407">
        <v>3.3875720090959609</v>
      </c>
      <c r="K407">
        <v>2.9577728661518856</v>
      </c>
      <c r="L407">
        <v>5.4413233798310729</v>
      </c>
      <c r="M407">
        <v>69020.789498930506</v>
      </c>
      <c r="N407" s="82">
        <v>89</v>
      </c>
      <c r="O407">
        <v>28.75858928551952</v>
      </c>
      <c r="P4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07" t="str">
        <f t="shared" ca="1" si="39"/>
        <v>Radio</v>
      </c>
      <c r="R407" s="46">
        <f>automotive_demand_forecasting_dataset5678[[#This Row],[Units_Sold]]*automotive_demand_forecasting_dataset5678[[#This Row],[Average_Price]]</f>
        <v>2757218.0682025226</v>
      </c>
      <c r="S407" t="str">
        <f t="shared" ca="1" si="40"/>
        <v>OK</v>
      </c>
    </row>
    <row r="408" spans="1:19">
      <c r="A408" s="1">
        <v>53915</v>
      </c>
      <c r="B408" t="s">
        <v>13</v>
      </c>
      <c r="C408" t="str">
        <f>TEXT(automotive_demand_forecasting_dataset5678[[#This Row],[Date]],"mmmm")</f>
        <v>August</v>
      </c>
      <c r="D408" t="str">
        <f>CHOOSE(MATCH(MONTH(A408), {1,4,7,10}), "Winter", "Spring", "Summer", "Autumn")</f>
        <v>Summer</v>
      </c>
      <c r="E408">
        <f>YEAR(automotive_demand_forecasting_dataset5678[[#This Row],[Date]])</f>
        <v>2047</v>
      </c>
      <c r="F408">
        <v>104</v>
      </c>
      <c r="G408">
        <f>(automotive_demand_forecasting_dataset5678[[#This Row],[Units_Sold]] -$C$4) / $C$5</f>
        <v>0.48143859775656078</v>
      </c>
      <c r="H408" s="47" t="str">
        <f t="shared" ca="1" si="38"/>
        <v>South</v>
      </c>
      <c r="I408">
        <v>32432.50821913101</v>
      </c>
      <c r="J408">
        <v>3.1749987095882704</v>
      </c>
      <c r="K408">
        <v>4.1744924333475373</v>
      </c>
      <c r="L408">
        <v>3.8137721838357099</v>
      </c>
      <c r="M408">
        <v>105159.51962442361</v>
      </c>
      <c r="N408" s="82">
        <v>79</v>
      </c>
      <c r="O408">
        <v>97.266933504606683</v>
      </c>
      <c r="P4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08" t="str">
        <f t="shared" ca="1" si="39"/>
        <v>Billboards</v>
      </c>
      <c r="R408" s="46">
        <f>automotive_demand_forecasting_dataset5678[[#This Row],[Units_Sold]]*automotive_demand_forecasting_dataset5678[[#This Row],[Average_Price]]</f>
        <v>3372980.8547896249</v>
      </c>
      <c r="S408" t="str">
        <f t="shared" ca="1" si="40"/>
        <v>OK</v>
      </c>
    </row>
    <row r="409" spans="1:19">
      <c r="A409" s="1">
        <v>53945</v>
      </c>
      <c r="B409" t="s">
        <v>14</v>
      </c>
      <c r="C409" t="str">
        <f>TEXT(automotive_demand_forecasting_dataset5678[[#This Row],[Date]],"mmmm")</f>
        <v>September</v>
      </c>
      <c r="D409" t="str">
        <f>CHOOSE(MATCH(MONTH(A409), {1,4,7,10}), "Winter", "Spring", "Summer", "Autumn")</f>
        <v>Summer</v>
      </c>
      <c r="E409">
        <f>YEAR(automotive_demand_forecasting_dataset5678[[#This Row],[Date]])</f>
        <v>2047</v>
      </c>
      <c r="F409">
        <v>91</v>
      </c>
      <c r="G409">
        <f>(automotive_demand_forecasting_dataset5678[[#This Row],[Units_Sold]] -$C$4) / $C$5</f>
        <v>-0.85020007688924482</v>
      </c>
      <c r="H409" s="47" t="str">
        <f t="shared" ca="1" si="38"/>
        <v>North</v>
      </c>
      <c r="I409">
        <v>38106.295579999998</v>
      </c>
      <c r="J409">
        <v>4.5778345189999996</v>
      </c>
      <c r="K409">
        <v>2.4944039811709535</v>
      </c>
      <c r="L409">
        <v>5.4371146593070367</v>
      </c>
      <c r="M409">
        <v>122077.54686632515</v>
      </c>
      <c r="N409" s="82">
        <f>111.9136842</f>
        <v>111.91368420000001</v>
      </c>
      <c r="O409">
        <v>33.982799030669277</v>
      </c>
      <c r="P4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09" t="str">
        <f t="shared" ca="1" si="39"/>
        <v>Radio</v>
      </c>
      <c r="R409" s="46">
        <f>automotive_demand_forecasting_dataset5678[[#This Row],[Units_Sold]]*automotive_demand_forecasting_dataset5678[[#This Row],[Average_Price]]</f>
        <v>3467672.8977799998</v>
      </c>
      <c r="S409" t="str">
        <f t="shared" ca="1" si="40"/>
        <v>OK</v>
      </c>
    </row>
    <row r="410" spans="1:19">
      <c r="A410" s="1">
        <v>53975</v>
      </c>
      <c r="B410" t="s">
        <v>13</v>
      </c>
      <c r="C410" t="str">
        <f>TEXT(automotive_demand_forecasting_dataset5678[[#This Row],[Date]],"mmmm")</f>
        <v>October</v>
      </c>
      <c r="D410" t="str">
        <f>CHOOSE(MATCH(MONTH(A410), {1,4,7,10}), "Winter", "Spring", "Summer", "Autumn")</f>
        <v>Autumn</v>
      </c>
      <c r="E410">
        <f>YEAR(automotive_demand_forecasting_dataset5678[[#This Row],[Date]])</f>
        <v>2047</v>
      </c>
      <c r="F410">
        <v>113</v>
      </c>
      <c r="G410">
        <f>(automotive_demand_forecasting_dataset5678[[#This Row],[Units_Sold]] -$C$4) / $C$5</f>
        <v>1.4033422955882724</v>
      </c>
      <c r="H410" s="47" t="str">
        <f t="shared" ca="1" si="38"/>
        <v>North</v>
      </c>
      <c r="I410">
        <v>20122.667168230644</v>
      </c>
      <c r="J410">
        <v>3.7209703247847044</v>
      </c>
      <c r="K410">
        <v>3.1687416555925125</v>
      </c>
      <c r="L410">
        <v>7.5449266195065894</v>
      </c>
      <c r="M410">
        <v>102916.7736</v>
      </c>
      <c r="N410" s="82">
        <v>80</v>
      </c>
      <c r="O410">
        <v>71.842425444417131</v>
      </c>
      <c r="P4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10" t="str">
        <f t="shared" ca="1" si="39"/>
        <v>Online</v>
      </c>
      <c r="R410" s="46">
        <f>automotive_demand_forecasting_dataset5678[[#This Row],[Units_Sold]]*automotive_demand_forecasting_dataset5678[[#This Row],[Average_Price]]</f>
        <v>2273861.3900100626</v>
      </c>
      <c r="S410" t="str">
        <f t="shared" ca="1" si="40"/>
        <v>OK</v>
      </c>
    </row>
    <row r="411" spans="1:19">
      <c r="A411" s="1">
        <v>54005</v>
      </c>
      <c r="B411" t="s">
        <v>12</v>
      </c>
      <c r="C411" t="str">
        <f>TEXT(automotive_demand_forecasting_dataset5678[[#This Row],[Date]],"mmmm")</f>
        <v>November</v>
      </c>
      <c r="D411" t="str">
        <f>CHOOSE(MATCH(MONTH(A411), {1,4,7,10}), "Winter", "Spring", "Summer", "Autumn")</f>
        <v>Autumn</v>
      </c>
      <c r="E411">
        <f>YEAR(automotive_demand_forecasting_dataset5678[[#This Row],[Date]])</f>
        <v>2047</v>
      </c>
      <c r="F411">
        <v>103</v>
      </c>
      <c r="G411">
        <f>(automotive_demand_forecasting_dataset5678[[#This Row],[Units_Sold]] -$C$4) / $C$5</f>
        <v>0.37900485355303726</v>
      </c>
      <c r="H411" s="47" t="str">
        <f t="shared" ca="1" si="38"/>
        <v>South</v>
      </c>
      <c r="I411">
        <v>25303.323030906227</v>
      </c>
      <c r="J411">
        <v>2.9548004612785768</v>
      </c>
      <c r="K411">
        <v>1.4082991238606857</v>
      </c>
      <c r="L411">
        <v>6.9962700586416631</v>
      </c>
      <c r="M411">
        <v>99951.923181622929</v>
      </c>
      <c r="N411" s="82">
        <v>89</v>
      </c>
      <c r="O411">
        <v>80.215177969999999</v>
      </c>
      <c r="P4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11" t="str">
        <f t="shared" ca="1" si="39"/>
        <v>Billboards</v>
      </c>
      <c r="R411" s="46">
        <f>automotive_demand_forecasting_dataset5678[[#This Row],[Units_Sold]]*automotive_demand_forecasting_dataset5678[[#This Row],[Average_Price]]</f>
        <v>2606242.2721833414</v>
      </c>
      <c r="S411" t="str">
        <f t="shared" ca="1" si="40"/>
        <v>OK</v>
      </c>
    </row>
    <row r="412" spans="1:19">
      <c r="A412" s="1">
        <v>54035</v>
      </c>
      <c r="B412" t="s">
        <v>12</v>
      </c>
      <c r="C412" t="str">
        <f>TEXT(automotive_demand_forecasting_dataset5678[[#This Row],[Date]],"mmmm")</f>
        <v>December</v>
      </c>
      <c r="D412" t="str">
        <f>CHOOSE(MATCH(MONTH(A412), {1,4,7,10}), "Winter", "Spring", "Summer", "Autumn")</f>
        <v>Autumn</v>
      </c>
      <c r="E412">
        <f>YEAR(automotive_demand_forecasting_dataset5678[[#This Row],[Date]])</f>
        <v>2047</v>
      </c>
      <c r="F412">
        <v>98</v>
      </c>
      <c r="G412">
        <f>(automotive_demand_forecasting_dataset5678[[#This Row],[Units_Sold]] -$C$4) / $C$5</f>
        <v>-0.13316386746458025</v>
      </c>
      <c r="H412" s="47" t="str">
        <f t="shared" ca="1" si="38"/>
        <v>South</v>
      </c>
      <c r="I412">
        <v>29279.562221391923</v>
      </c>
      <c r="J412">
        <v>4.2054661898731354</v>
      </c>
      <c r="K412">
        <v>2.112900297525599</v>
      </c>
      <c r="L412">
        <v>5.4255951887607621</v>
      </c>
      <c r="M412">
        <v>88214.566964213882</v>
      </c>
      <c r="N412" s="82">
        <v>75</v>
      </c>
      <c r="O412">
        <v>77.404910611882855</v>
      </c>
      <c r="P4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12" t="str">
        <f t="shared" ca="1" si="39"/>
        <v>TV</v>
      </c>
      <c r="R412" s="46">
        <f>automotive_demand_forecasting_dataset5678[[#This Row],[Units_Sold]]*automotive_demand_forecasting_dataset5678[[#This Row],[Average_Price]]</f>
        <v>2869397.0976964086</v>
      </c>
      <c r="S412" t="str">
        <f t="shared" ca="1" si="40"/>
        <v>OK</v>
      </c>
    </row>
    <row r="413" spans="1:19">
      <c r="A413" s="1">
        <v>54065</v>
      </c>
      <c r="B413" t="s">
        <v>12</v>
      </c>
      <c r="C413" t="str">
        <f>TEXT(automotive_demand_forecasting_dataset5678[[#This Row],[Date]],"mmmm")</f>
        <v>January</v>
      </c>
      <c r="D413" t="str">
        <f>CHOOSE(MATCH(MONTH(A413), {1,4,7,10}), "Winter", "Spring", "Summer", "Autumn")</f>
        <v>Winter</v>
      </c>
      <c r="E413">
        <f>YEAR(automotive_demand_forecasting_dataset5678[[#This Row],[Date]])</f>
        <v>2048</v>
      </c>
      <c r="F413">
        <v>100</v>
      </c>
      <c r="G413">
        <f>(automotive_demand_forecasting_dataset5678[[#This Row],[Units_Sold]] -$C$4) / $C$5</f>
        <v>7.1703620942466739E-2</v>
      </c>
      <c r="H413" s="47" t="str">
        <f t="shared" ca="1" si="38"/>
        <v>South</v>
      </c>
      <c r="I413">
        <v>23951.526285794462</v>
      </c>
      <c r="J413">
        <v>3.4507059338578689</v>
      </c>
      <c r="K413">
        <v>3.1955377575657775</v>
      </c>
      <c r="L413">
        <v>6.6417391324697039</v>
      </c>
      <c r="M413">
        <v>78156.72734563821</v>
      </c>
      <c r="N413" s="82">
        <v>84</v>
      </c>
      <c r="O413">
        <v>82.145709379222481</v>
      </c>
      <c r="P4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13" t="str">
        <f t="shared" ca="1" si="39"/>
        <v>TV</v>
      </c>
      <c r="R413" s="46">
        <f>automotive_demand_forecasting_dataset5678[[#This Row],[Units_Sold]]*automotive_demand_forecasting_dataset5678[[#This Row],[Average_Price]]</f>
        <v>2395152.6285794461</v>
      </c>
      <c r="S413" t="str">
        <f t="shared" ca="1" si="40"/>
        <v>OK</v>
      </c>
    </row>
    <row r="414" spans="1:19">
      <c r="A414" s="1">
        <v>54095</v>
      </c>
      <c r="B414" t="s">
        <v>12</v>
      </c>
      <c r="C414" t="str">
        <f>TEXT(automotive_demand_forecasting_dataset5678[[#This Row],[Date]],"mmmm")</f>
        <v>February</v>
      </c>
      <c r="D414" t="str">
        <f>CHOOSE(MATCH(MONTH(A414), {1,4,7,10}), "Winter", "Spring", "Summer", "Autumn")</f>
        <v>Winter</v>
      </c>
      <c r="E414">
        <f>YEAR(automotive_demand_forecasting_dataset5678[[#This Row],[Date]])</f>
        <v>2048</v>
      </c>
      <c r="F414">
        <v>89</v>
      </c>
      <c r="G414">
        <f>(automotive_demand_forecasting_dataset5678[[#This Row],[Units_Sold]] -$C$4) / $C$5</f>
        <v>-1.0550675652962918</v>
      </c>
      <c r="H414" s="47" t="str">
        <f t="shared" ca="1" si="38"/>
        <v>West</v>
      </c>
      <c r="I414">
        <v>32999.643649981022</v>
      </c>
      <c r="J414">
        <v>3.509424811472424</v>
      </c>
      <c r="K414">
        <v>3.3491021107431438</v>
      </c>
      <c r="L414">
        <v>5.0601915755583375</v>
      </c>
      <c r="M414">
        <v>116695.02652649765</v>
      </c>
      <c r="N414" s="82">
        <v>65</v>
      </c>
      <c r="O414">
        <v>73.873578312914617</v>
      </c>
      <c r="P4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14" t="str">
        <f t="shared" ca="1" si="39"/>
        <v>Online</v>
      </c>
      <c r="R414" s="46">
        <f>automotive_demand_forecasting_dataset5678[[#This Row],[Units_Sold]]*automotive_demand_forecasting_dataset5678[[#This Row],[Average_Price]]</f>
        <v>2936968.284848311</v>
      </c>
      <c r="S414" t="str">
        <f t="shared" ca="1" si="40"/>
        <v>OK</v>
      </c>
    </row>
    <row r="415" spans="1:19">
      <c r="A415" s="1">
        <v>54125</v>
      </c>
      <c r="B415" t="s">
        <v>14</v>
      </c>
      <c r="C415" t="str">
        <f>TEXT(automotive_demand_forecasting_dataset5678[[#This Row],[Date]],"mmmm")</f>
        <v>March</v>
      </c>
      <c r="D415" t="str">
        <f>CHOOSE(MATCH(MONTH(A415), {1,4,7,10}), "Winter", "Spring", "Summer", "Autumn")</f>
        <v>Winter</v>
      </c>
      <c r="E415">
        <f>YEAR(automotive_demand_forecasting_dataset5678[[#This Row],[Date]])</f>
        <v>2048</v>
      </c>
      <c r="F415">
        <v>83</v>
      </c>
      <c r="G415">
        <f>(automotive_demand_forecasting_dataset5678[[#This Row],[Units_Sold]] -$C$4) / $C$5</f>
        <v>-1.6696700305174328</v>
      </c>
      <c r="H415" s="47" t="str">
        <f t="shared" ca="1" si="38"/>
        <v>East</v>
      </c>
      <c r="I415">
        <v>37653.754161718491</v>
      </c>
      <c r="J415">
        <v>3.8541072116282784</v>
      </c>
      <c r="K415">
        <v>2.2060330523358176</v>
      </c>
      <c r="L415">
        <v>3.4553540958079374</v>
      </c>
      <c r="M415">
        <v>118275.43242771171</v>
      </c>
      <c r="N415" s="82">
        <v>98</v>
      </c>
      <c r="O415">
        <v>69.159956820415402</v>
      </c>
      <c r="P4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15" t="str">
        <f t="shared" ca="1" si="39"/>
        <v>Print</v>
      </c>
      <c r="R415" s="46">
        <f>automotive_demand_forecasting_dataset5678[[#This Row],[Units_Sold]]*automotive_demand_forecasting_dataset5678[[#This Row],[Average_Price]]</f>
        <v>3125261.5954226349</v>
      </c>
      <c r="S415" t="str">
        <f t="shared" ca="1" si="40"/>
        <v>OK</v>
      </c>
    </row>
    <row r="416" spans="1:19">
      <c r="A416" s="1">
        <v>54155</v>
      </c>
      <c r="B416" t="s">
        <v>10</v>
      </c>
      <c r="C416" t="str">
        <f>TEXT(automotive_demand_forecasting_dataset5678[[#This Row],[Date]],"mmmm")</f>
        <v>April</v>
      </c>
      <c r="D416" t="str">
        <f>CHOOSE(MATCH(MONTH(A416), {1,4,7,10}), "Winter", "Spring", "Summer", "Autumn")</f>
        <v>Spring</v>
      </c>
      <c r="E416">
        <f>YEAR(automotive_demand_forecasting_dataset5678[[#This Row],[Date]])</f>
        <v>2048</v>
      </c>
      <c r="F416">
        <v>92</v>
      </c>
      <c r="G416">
        <f>(automotive_demand_forecasting_dataset5678[[#This Row],[Units_Sold]] -$C$4) / $C$5</f>
        <v>-0.74776633268572135</v>
      </c>
      <c r="H416" s="47" t="str">
        <f t="shared" ca="1" si="38"/>
        <v>South</v>
      </c>
      <c r="I416">
        <v>36093.809258486581</v>
      </c>
      <c r="J416">
        <v>3.616608065631751</v>
      </c>
      <c r="K416">
        <v>2.4284007481419332</v>
      </c>
      <c r="L416">
        <v>4.3906408142445343</v>
      </c>
      <c r="M416">
        <v>69085.404266185331</v>
      </c>
      <c r="N416" s="82">
        <v>89</v>
      </c>
      <c r="O416">
        <v>91.397527516160935</v>
      </c>
      <c r="P4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16" t="str">
        <f t="shared" ca="1" si="39"/>
        <v>TV</v>
      </c>
      <c r="R416" s="46">
        <f>automotive_demand_forecasting_dataset5678[[#This Row],[Units_Sold]]*automotive_demand_forecasting_dataset5678[[#This Row],[Average_Price]]</f>
        <v>3320630.4517807653</v>
      </c>
      <c r="S416" t="str">
        <f t="shared" ca="1" si="40"/>
        <v>OK</v>
      </c>
    </row>
    <row r="417" spans="1:19">
      <c r="A417" s="1">
        <v>54185</v>
      </c>
      <c r="B417" t="s">
        <v>12</v>
      </c>
      <c r="C417" t="str">
        <f>TEXT(automotive_demand_forecasting_dataset5678[[#This Row],[Date]],"mmmm")</f>
        <v>May</v>
      </c>
      <c r="D417" t="str">
        <f>CHOOSE(MATCH(MONTH(A417), {1,4,7,10}), "Winter", "Spring", "Summer", "Autumn")</f>
        <v>Spring</v>
      </c>
      <c r="E417">
        <f>YEAR(automotive_demand_forecasting_dataset5678[[#This Row],[Date]])</f>
        <v>2048</v>
      </c>
      <c r="F417">
        <v>100</v>
      </c>
      <c r="G417">
        <f>(automotive_demand_forecasting_dataset5678[[#This Row],[Units_Sold]] -$C$4) / $C$5</f>
        <v>7.1703620942466739E-2</v>
      </c>
      <c r="H417" s="47" t="str">
        <f t="shared" ca="1" si="38"/>
        <v>West</v>
      </c>
      <c r="I417">
        <v>28932.785645348958</v>
      </c>
      <c r="J417">
        <v>3.9765683169566226</v>
      </c>
      <c r="K417">
        <v>0.98212625331919057</v>
      </c>
      <c r="L417">
        <v>7.3754665222098374</v>
      </c>
      <c r="M417">
        <v>131796.77956361367</v>
      </c>
      <c r="N417" s="82">
        <v>88</v>
      </c>
      <c r="O417">
        <v>26.290136879180643</v>
      </c>
      <c r="P4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17" t="str">
        <f t="shared" ca="1" si="39"/>
        <v>Online</v>
      </c>
      <c r="R417" s="46">
        <f>automotive_demand_forecasting_dataset5678[[#This Row],[Units_Sold]]*automotive_demand_forecasting_dataset5678[[#This Row],[Average_Price]]</f>
        <v>2893278.5645348961</v>
      </c>
      <c r="S417" t="str">
        <f t="shared" ca="1" si="40"/>
        <v>OK</v>
      </c>
    </row>
    <row r="418" spans="1:19">
      <c r="A418" s="1">
        <v>54215</v>
      </c>
      <c r="B418" t="s">
        <v>11</v>
      </c>
      <c r="C418" t="str">
        <f>TEXT(automotive_demand_forecasting_dataset5678[[#This Row],[Date]],"mmmm")</f>
        <v>June</v>
      </c>
      <c r="D418" t="str">
        <f>CHOOSE(MATCH(MONTH(A418), {1,4,7,10}), "Winter", "Spring", "Summer", "Autumn")</f>
        <v>Spring</v>
      </c>
      <c r="E418">
        <f>YEAR(automotive_demand_forecasting_dataset5678[[#This Row],[Date]])</f>
        <v>2048</v>
      </c>
      <c r="F418">
        <v>100</v>
      </c>
      <c r="G418">
        <f>(automotive_demand_forecasting_dataset5678[[#This Row],[Units_Sold]] -$C$4) / $C$5</f>
        <v>7.1703620942466739E-2</v>
      </c>
      <c r="H418" s="47" t="str">
        <f t="shared" ca="1" si="38"/>
        <v>East</v>
      </c>
      <c r="I418">
        <v>37453.630684249758</v>
      </c>
      <c r="J418">
        <v>3.6435620826009121</v>
      </c>
      <c r="K418">
        <v>2.1429707991933906</v>
      </c>
      <c r="L418">
        <v>5.1712083018048354</v>
      </c>
      <c r="M418">
        <v>111481.42441788003</v>
      </c>
      <c r="N418" s="82">
        <v>98</v>
      </c>
      <c r="O418">
        <v>80.215177969999999</v>
      </c>
      <c r="P4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18" t="str">
        <f t="shared" ca="1" si="39"/>
        <v>Radio</v>
      </c>
      <c r="R418" s="46">
        <f>automotive_demand_forecasting_dataset5678[[#This Row],[Units_Sold]]*automotive_demand_forecasting_dataset5678[[#This Row],[Average_Price]]</f>
        <v>3745363.068424976</v>
      </c>
      <c r="S418" t="str">
        <f t="shared" ca="1" si="40"/>
        <v>OK</v>
      </c>
    </row>
    <row r="419" spans="1:19">
      <c r="A419" s="1">
        <v>54245</v>
      </c>
      <c r="B419" t="s">
        <v>14</v>
      </c>
      <c r="C419" t="str">
        <f>TEXT(automotive_demand_forecasting_dataset5678[[#This Row],[Date]],"mmmm")</f>
        <v>July</v>
      </c>
      <c r="D419" t="str">
        <f>CHOOSE(MATCH(MONTH(A419), {1,4,7,10}), "Winter", "Spring", "Summer", "Autumn")</f>
        <v>Summer</v>
      </c>
      <c r="E419">
        <f>YEAR(automotive_demand_forecasting_dataset5678[[#This Row],[Date]])</f>
        <v>2048</v>
      </c>
      <c r="F419">
        <v>102</v>
      </c>
      <c r="G419">
        <f>(automotive_demand_forecasting_dataset5678[[#This Row],[Units_Sold]] -$C$4) / $C$5</f>
        <v>0.27657110934951373</v>
      </c>
      <c r="H419" s="47" t="str">
        <f t="shared" ca="1" si="38"/>
        <v>South</v>
      </c>
      <c r="I419">
        <v>30743.337286010559</v>
      </c>
      <c r="J419">
        <v>3.1937813126797812</v>
      </c>
      <c r="K419">
        <v>3.3903831635197861</v>
      </c>
      <c r="L419">
        <f t="shared" ref="L419:L420" si="41">6.97388673</f>
        <v>6.9738867300000003</v>
      </c>
      <c r="M419">
        <v>127991.89290291586</v>
      </c>
      <c r="N419" s="82">
        <v>88</v>
      </c>
      <c r="O419">
        <v>39.862998370467679</v>
      </c>
      <c r="P4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19" t="str">
        <f t="shared" ca="1" si="39"/>
        <v>Billboards</v>
      </c>
      <c r="R419" s="46">
        <f>automotive_demand_forecasting_dataset5678[[#This Row],[Units_Sold]]*automotive_demand_forecasting_dataset5678[[#This Row],[Average_Price]]</f>
        <v>3135820.4031730769</v>
      </c>
      <c r="S419" t="str">
        <f t="shared" ca="1" si="40"/>
        <v>OK</v>
      </c>
    </row>
    <row r="420" spans="1:19">
      <c r="A420" s="1">
        <v>54275</v>
      </c>
      <c r="B420" t="s">
        <v>12</v>
      </c>
      <c r="C420" t="str">
        <f>TEXT(automotive_demand_forecasting_dataset5678[[#This Row],[Date]],"mmmm")</f>
        <v>August</v>
      </c>
      <c r="D420" t="str">
        <f>CHOOSE(MATCH(MONTH(A420), {1,4,7,10}), "Winter", "Spring", "Summer", "Autumn")</f>
        <v>Summer</v>
      </c>
      <c r="E420">
        <f>YEAR(automotive_demand_forecasting_dataset5678[[#This Row],[Date]])</f>
        <v>2048</v>
      </c>
      <c r="F420">
        <v>107</v>
      </c>
      <c r="G420">
        <f>(automotive_demand_forecasting_dataset5678[[#This Row],[Units_Sold]] -$C$4) / $C$5</f>
        <v>0.78873983036713124</v>
      </c>
      <c r="H420" s="47" t="str">
        <f t="shared" ca="1" si="38"/>
        <v>West</v>
      </c>
      <c r="I420">
        <v>28314.570144409805</v>
      </c>
      <c r="J420">
        <v>3.6807517626030508</v>
      </c>
      <c r="K420">
        <v>3.0752050161065663</v>
      </c>
      <c r="L420">
        <f t="shared" si="41"/>
        <v>6.9738867300000003</v>
      </c>
      <c r="M420">
        <v>73157.445030297706</v>
      </c>
      <c r="N420" s="82">
        <v>89</v>
      </c>
      <c r="O420">
        <v>99.041116965233726</v>
      </c>
      <c r="P4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20" t="str">
        <f t="shared" ca="1" si="39"/>
        <v>Billboards</v>
      </c>
      <c r="R420" s="46">
        <f>automotive_demand_forecasting_dataset5678[[#This Row],[Units_Sold]]*automotive_demand_forecasting_dataset5678[[#This Row],[Average_Price]]</f>
        <v>3029659.0054518492</v>
      </c>
      <c r="S420" t="str">
        <f t="shared" ca="1" si="40"/>
        <v>OK</v>
      </c>
    </row>
    <row r="421" spans="1:19">
      <c r="A421" s="1">
        <v>54305</v>
      </c>
      <c r="B421" t="s">
        <v>11</v>
      </c>
      <c r="C421" t="str">
        <f>TEXT(automotive_demand_forecasting_dataset5678[[#This Row],[Date]],"mmmm")</f>
        <v>September</v>
      </c>
      <c r="D421" t="str">
        <f>CHOOSE(MATCH(MONTH(A421), {1,4,7,10}), "Winter", "Spring", "Summer", "Autumn")</f>
        <v>Summer</v>
      </c>
      <c r="E421">
        <f>YEAR(automotive_demand_forecasting_dataset5678[[#This Row],[Date]])</f>
        <v>2048</v>
      </c>
      <c r="F421">
        <v>103</v>
      </c>
      <c r="G421">
        <f>(automotive_demand_forecasting_dataset5678[[#This Row],[Units_Sold]] -$C$4) / $C$5</f>
        <v>0.37900485355303726</v>
      </c>
      <c r="H421" s="47" t="str">
        <f t="shared" ca="1" si="38"/>
        <v>South</v>
      </c>
      <c r="I421">
        <v>30949.702720000001</v>
      </c>
      <c r="J421">
        <v>2.928136896339669</v>
      </c>
      <c r="K421">
        <v>3.0006657213812096</v>
      </c>
      <c r="L421">
        <v>7.784963907487608</v>
      </c>
      <c r="M421">
        <v>72683.516891691223</v>
      </c>
      <c r="N421" s="82">
        <v>103</v>
      </c>
      <c r="O421">
        <v>51.151182373349883</v>
      </c>
      <c r="P4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21" t="str">
        <f t="shared" ca="1" si="39"/>
        <v>Radio</v>
      </c>
      <c r="R421" s="46">
        <f>automotive_demand_forecasting_dataset5678[[#This Row],[Units_Sold]]*automotive_demand_forecasting_dataset5678[[#This Row],[Average_Price]]</f>
        <v>3187819.3801600002</v>
      </c>
      <c r="S421" t="str">
        <f t="shared" ca="1" si="40"/>
        <v>OK</v>
      </c>
    </row>
    <row r="422" spans="1:19">
      <c r="A422" s="1">
        <v>54335</v>
      </c>
      <c r="B422" t="s">
        <v>12</v>
      </c>
      <c r="C422" t="str">
        <f>TEXT(automotive_demand_forecasting_dataset5678[[#This Row],[Date]],"mmmm")</f>
        <v>October</v>
      </c>
      <c r="D422" t="str">
        <f>CHOOSE(MATCH(MONTH(A422), {1,4,7,10}), "Winter", "Spring", "Summer", "Autumn")</f>
        <v>Autumn</v>
      </c>
      <c r="E422">
        <f>YEAR(automotive_demand_forecasting_dataset5678[[#This Row],[Date]])</f>
        <v>2048</v>
      </c>
      <c r="F422">
        <v>100</v>
      </c>
      <c r="G422">
        <f>(automotive_demand_forecasting_dataset5678[[#This Row],[Units_Sold]] -$C$4) / $C$5</f>
        <v>7.1703620942466739E-2</v>
      </c>
      <c r="H422" s="47" t="str">
        <f t="shared" ca="1" si="38"/>
        <v>East</v>
      </c>
      <c r="I422">
        <v>38106.295579999998</v>
      </c>
      <c r="J422">
        <v>3.5542798528882615</v>
      </c>
      <c r="K422">
        <v>2.5497736871809602</v>
      </c>
      <c r="L422">
        <v>7.4511506984344757</v>
      </c>
      <c r="M422">
        <v>97020.613804654058</v>
      </c>
      <c r="N422" s="82">
        <v>85</v>
      </c>
      <c r="O422">
        <v>78.609015939231895</v>
      </c>
      <c r="P4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22" t="str">
        <f t="shared" ca="1" si="39"/>
        <v>Radio</v>
      </c>
      <c r="R422" s="46">
        <f>automotive_demand_forecasting_dataset5678[[#This Row],[Units_Sold]]*automotive_demand_forecasting_dataset5678[[#This Row],[Average_Price]]</f>
        <v>3810629.5579999997</v>
      </c>
      <c r="S422" t="str">
        <f t="shared" ca="1" si="40"/>
        <v>OK</v>
      </c>
    </row>
    <row r="423" spans="1:19">
      <c r="A423" s="1">
        <v>54365</v>
      </c>
      <c r="B423" t="s">
        <v>10</v>
      </c>
      <c r="C423" t="str">
        <f>TEXT(automotive_demand_forecasting_dataset5678[[#This Row],[Date]],"mmmm")</f>
        <v>November</v>
      </c>
      <c r="D423" t="str">
        <f>CHOOSE(MATCH(MONTH(A423), {1,4,7,10}), "Winter", "Spring", "Summer", "Autumn")</f>
        <v>Autumn</v>
      </c>
      <c r="E423">
        <f>YEAR(automotive_demand_forecasting_dataset5678[[#This Row],[Date]])</f>
        <v>2048</v>
      </c>
      <c r="F423">
        <v>100</v>
      </c>
      <c r="G423">
        <f>(automotive_demand_forecasting_dataset5678[[#This Row],[Units_Sold]] -$C$4) / $C$5</f>
        <v>7.1703620942466739E-2</v>
      </c>
      <c r="H423" s="47" t="str">
        <f t="shared" ca="1" si="38"/>
        <v>East</v>
      </c>
      <c r="I423">
        <v>28059.115907293857</v>
      </c>
      <c r="J423">
        <v>3.4833850046777695</v>
      </c>
      <c r="K423">
        <v>2.5070631586281764</v>
      </c>
      <c r="L423">
        <v>8.1625362801377612</v>
      </c>
      <c r="M423">
        <v>110055.68853790389</v>
      </c>
      <c r="N423" s="82">
        <v>90</v>
      </c>
      <c r="O423">
        <v>80.215177969999999</v>
      </c>
      <c r="P4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23" t="str">
        <f t="shared" ca="1" si="39"/>
        <v>Online</v>
      </c>
      <c r="R423" s="46">
        <f>automotive_demand_forecasting_dataset5678[[#This Row],[Units_Sold]]*automotive_demand_forecasting_dataset5678[[#This Row],[Average_Price]]</f>
        <v>2805911.5907293856</v>
      </c>
      <c r="S423" t="str">
        <f t="shared" ca="1" si="40"/>
        <v>OK</v>
      </c>
    </row>
    <row r="424" spans="1:19">
      <c r="A424" s="1">
        <v>54395</v>
      </c>
      <c r="B424" t="s">
        <v>14</v>
      </c>
      <c r="C424" t="str">
        <f>TEXT(automotive_demand_forecasting_dataset5678[[#This Row],[Date]],"mmmm")</f>
        <v>December</v>
      </c>
      <c r="D424" t="str">
        <f>CHOOSE(MATCH(MONTH(A424), {1,4,7,10}), "Winter", "Spring", "Summer", "Autumn")</f>
        <v>Autumn</v>
      </c>
      <c r="E424">
        <f>YEAR(automotive_demand_forecasting_dataset5678[[#This Row],[Date]])</f>
        <v>2048</v>
      </c>
      <c r="F424">
        <v>85</v>
      </c>
      <c r="G424">
        <f>(automotive_demand_forecasting_dataset5678[[#This Row],[Units_Sold]] -$C$4) / $C$5</f>
        <v>-1.4648025421103859</v>
      </c>
      <c r="H424" s="47" t="str">
        <f t="shared" ca="1" si="38"/>
        <v>South</v>
      </c>
      <c r="I424">
        <v>30852.08111187744</v>
      </c>
      <c r="J424">
        <v>3.3959415713637302</v>
      </c>
      <c r="K424">
        <v>1.8396788605265528</v>
      </c>
      <c r="L424">
        <v>5.3091457475199384</v>
      </c>
      <c r="M424">
        <v>135927.21645853927</v>
      </c>
      <c r="N424" s="82">
        <v>84</v>
      </c>
      <c r="O424">
        <v>36.966498998190218</v>
      </c>
      <c r="P4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24" t="str">
        <f t="shared" ca="1" si="39"/>
        <v>Print</v>
      </c>
      <c r="R424" s="46">
        <f>automotive_demand_forecasting_dataset5678[[#This Row],[Units_Sold]]*automotive_demand_forecasting_dataset5678[[#This Row],[Average_Price]]</f>
        <v>2622426.8945095823</v>
      </c>
      <c r="S424" t="str">
        <f t="shared" ca="1" si="40"/>
        <v>OK</v>
      </c>
    </row>
    <row r="425" spans="1:19">
      <c r="A425" s="1">
        <v>54425</v>
      </c>
      <c r="B425" t="s">
        <v>10</v>
      </c>
      <c r="C425" t="str">
        <f>TEXT(automotive_demand_forecasting_dataset5678[[#This Row],[Date]],"mmmm")</f>
        <v>January</v>
      </c>
      <c r="D425" t="str">
        <f>CHOOSE(MATCH(MONTH(A425), {1,4,7,10}), "Winter", "Spring", "Summer", "Autumn")</f>
        <v>Winter</v>
      </c>
      <c r="E425">
        <f>YEAR(automotive_demand_forecasting_dataset5678[[#This Row],[Date]])</f>
        <v>2049</v>
      </c>
      <c r="F425">
        <v>107</v>
      </c>
      <c r="G425">
        <f>(automotive_demand_forecasting_dataset5678[[#This Row],[Units_Sold]] -$C$4) / $C$5</f>
        <v>0.78873983036713124</v>
      </c>
      <c r="H425" s="47" t="str">
        <f t="shared" ca="1" si="38"/>
        <v>South</v>
      </c>
      <c r="I425">
        <v>30802.869905249325</v>
      </c>
      <c r="J425">
        <v>3.4357312442805346</v>
      </c>
      <c r="K425">
        <v>3.1988284202025348</v>
      </c>
      <c r="L425">
        <v>5.8547493864965139</v>
      </c>
      <c r="M425">
        <v>114121.57827630264</v>
      </c>
      <c r="N425" s="82">
        <v>78</v>
      </c>
      <c r="O425">
        <v>39.119814416924108</v>
      </c>
      <c r="P4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25" t="str">
        <f t="shared" ca="1" si="39"/>
        <v>Print</v>
      </c>
      <c r="R425" s="46">
        <f>automotive_demand_forecasting_dataset5678[[#This Row],[Units_Sold]]*automotive_demand_forecasting_dataset5678[[#This Row],[Average_Price]]</f>
        <v>3295907.0798616777</v>
      </c>
      <c r="S425" t="str">
        <f t="shared" ca="1" si="40"/>
        <v>OK</v>
      </c>
    </row>
    <row r="426" spans="1:19">
      <c r="A426" s="1">
        <v>54455</v>
      </c>
      <c r="B426" t="s">
        <v>14</v>
      </c>
      <c r="C426" t="str">
        <f>TEXT(automotive_demand_forecasting_dataset5678[[#This Row],[Date]],"mmmm")</f>
        <v>February</v>
      </c>
      <c r="D426" t="str">
        <f>CHOOSE(MATCH(MONTH(A426), {1,4,7,10}), "Winter", "Spring", "Summer", "Autumn")</f>
        <v>Winter</v>
      </c>
      <c r="E426">
        <f>YEAR(automotive_demand_forecasting_dataset5678[[#This Row],[Date]])</f>
        <v>2049</v>
      </c>
      <c r="F426">
        <v>106</v>
      </c>
      <c r="G426">
        <f>(automotive_demand_forecasting_dataset5678[[#This Row],[Units_Sold]] -$C$4) / $C$5</f>
        <v>0.68630608616360778</v>
      </c>
      <c r="H426" s="47" t="str">
        <f t="shared" ca="1" si="38"/>
        <v>East</v>
      </c>
      <c r="I426">
        <v>30015.230100767072</v>
      </c>
      <c r="J426">
        <v>2.5590754772511803</v>
      </c>
      <c r="K426">
        <v>2.9209729443893897</v>
      </c>
      <c r="L426">
        <v>3.6800289406950508</v>
      </c>
      <c r="M426">
        <v>95146.374463759334</v>
      </c>
      <c r="N426" s="82">
        <v>84</v>
      </c>
      <c r="O426">
        <v>42.502765084242725</v>
      </c>
      <c r="P4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26" t="str">
        <f t="shared" ca="1" si="39"/>
        <v>TV</v>
      </c>
      <c r="R426" s="46">
        <f>automotive_demand_forecasting_dataset5678[[#This Row],[Units_Sold]]*automotive_demand_forecasting_dataset5678[[#This Row],[Average_Price]]</f>
        <v>3181614.3906813096</v>
      </c>
      <c r="S426" t="str">
        <f t="shared" ca="1" si="40"/>
        <v>OK</v>
      </c>
    </row>
    <row r="427" spans="1:19">
      <c r="A427" s="1">
        <v>54485</v>
      </c>
      <c r="B427" t="s">
        <v>12</v>
      </c>
      <c r="C427" t="str">
        <f>TEXT(automotive_demand_forecasting_dataset5678[[#This Row],[Date]],"mmmm")</f>
        <v>March</v>
      </c>
      <c r="D427" t="str">
        <f>CHOOSE(MATCH(MONTH(A427), {1,4,7,10}), "Winter", "Spring", "Summer", "Autumn")</f>
        <v>Winter</v>
      </c>
      <c r="E427">
        <f>YEAR(automotive_demand_forecasting_dataset5678[[#This Row],[Date]])</f>
        <v>2049</v>
      </c>
      <c r="F427">
        <v>92</v>
      </c>
      <c r="G427">
        <f>(automotive_demand_forecasting_dataset5678[[#This Row],[Units_Sold]] -$C$4) / $C$5</f>
        <v>-0.74776633268572135</v>
      </c>
      <c r="H427" s="47" t="str">
        <f t="shared" ca="1" si="38"/>
        <v>South</v>
      </c>
      <c r="I427">
        <v>32184.690848731749</v>
      </c>
      <c r="J427">
        <v>3.2256375461295193</v>
      </c>
      <c r="K427">
        <v>2.9920188479927994</v>
      </c>
      <c r="L427">
        <v>7.2723213113419289</v>
      </c>
      <c r="M427">
        <v>79472.615846682165</v>
      </c>
      <c r="N427" s="82">
        <v>70</v>
      </c>
      <c r="O427">
        <v>52.890182260750336</v>
      </c>
      <c r="P4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27" t="str">
        <f t="shared" ca="1" si="39"/>
        <v>Radio</v>
      </c>
      <c r="R427" s="46">
        <f>automotive_demand_forecasting_dataset5678[[#This Row],[Units_Sold]]*automotive_demand_forecasting_dataset5678[[#This Row],[Average_Price]]</f>
        <v>2960991.558083321</v>
      </c>
      <c r="S427" t="str">
        <f t="shared" ca="1" si="40"/>
        <v>OK</v>
      </c>
    </row>
    <row r="428" spans="1:19">
      <c r="A428" s="1">
        <v>54515</v>
      </c>
      <c r="B428" t="s">
        <v>12</v>
      </c>
      <c r="C428" t="str">
        <f>TEXT(automotive_demand_forecasting_dataset5678[[#This Row],[Date]],"mmmm")</f>
        <v>April</v>
      </c>
      <c r="D428" t="str">
        <f>CHOOSE(MATCH(MONTH(A428), {1,4,7,10}), "Winter", "Spring", "Summer", "Autumn")</f>
        <v>Spring</v>
      </c>
      <c r="E428">
        <f>YEAR(automotive_demand_forecasting_dataset5678[[#This Row],[Date]])</f>
        <v>2049</v>
      </c>
      <c r="F428">
        <v>110</v>
      </c>
      <c r="G428">
        <f>(automotive_demand_forecasting_dataset5678[[#This Row],[Units_Sold]] -$C$4) / $C$5</f>
        <v>1.0960410629777018</v>
      </c>
      <c r="H428" s="47" t="str">
        <f t="shared" ca="1" si="38"/>
        <v>West</v>
      </c>
      <c r="I428">
        <v>35953.231373931703</v>
      </c>
      <c r="J428">
        <v>4.5778345189999996</v>
      </c>
      <c r="K428">
        <v>1.9739651573324197</v>
      </c>
      <c r="L428">
        <v>4.0986645384784781</v>
      </c>
      <c r="M428">
        <v>124600.011454383</v>
      </c>
      <c r="N428" s="82">
        <v>74</v>
      </c>
      <c r="O428">
        <v>38.746005252042146</v>
      </c>
      <c r="P4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28" t="str">
        <f t="shared" ca="1" si="39"/>
        <v>Radio</v>
      </c>
      <c r="R428" s="46">
        <f>automotive_demand_forecasting_dataset5678[[#This Row],[Units_Sold]]*automotive_demand_forecasting_dataset5678[[#This Row],[Average_Price]]</f>
        <v>3954855.4511324875</v>
      </c>
      <c r="S428" t="str">
        <f t="shared" ca="1" si="40"/>
        <v>OK</v>
      </c>
    </row>
    <row r="429" spans="1:19">
      <c r="A429" s="1">
        <v>54545</v>
      </c>
      <c r="B429" t="s">
        <v>14</v>
      </c>
      <c r="C429" t="str">
        <f>TEXT(automotive_demand_forecasting_dataset5678[[#This Row],[Date]],"mmmm")</f>
        <v>May</v>
      </c>
      <c r="D429" t="str">
        <f>CHOOSE(MATCH(MONTH(A429), {1,4,7,10}), "Winter", "Spring", "Summer", "Autumn")</f>
        <v>Spring</v>
      </c>
      <c r="E429">
        <f>YEAR(automotive_demand_forecasting_dataset5678[[#This Row],[Date]])</f>
        <v>2049</v>
      </c>
      <c r="F429">
        <v>93</v>
      </c>
      <c r="G429">
        <f>(automotive_demand_forecasting_dataset5678[[#This Row],[Units_Sold]] -$C$4) / $C$5</f>
        <v>-0.64533258848219777</v>
      </c>
      <c r="H429" s="47" t="str">
        <f t="shared" ca="1" si="38"/>
        <v>West</v>
      </c>
      <c r="I429">
        <v>34747.770677206616</v>
      </c>
      <c r="J429">
        <v>3.5799281959987002</v>
      </c>
      <c r="K429">
        <v>0.34665708012875562</v>
      </c>
      <c r="L429">
        <v>5.7601306765151552</v>
      </c>
      <c r="M429">
        <v>80705.89148498571</v>
      </c>
      <c r="N429" s="82">
        <v>88</v>
      </c>
      <c r="O429">
        <v>21.572118619747826</v>
      </c>
      <c r="P4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29" t="str">
        <f t="shared" ca="1" si="39"/>
        <v>Print</v>
      </c>
      <c r="R429" s="46">
        <f>automotive_demand_forecasting_dataset5678[[#This Row],[Units_Sold]]*automotive_demand_forecasting_dataset5678[[#This Row],[Average_Price]]</f>
        <v>3231542.6729802154</v>
      </c>
      <c r="S429" t="str">
        <f t="shared" ca="1" si="40"/>
        <v>OK</v>
      </c>
    </row>
    <row r="430" spans="1:19">
      <c r="A430" s="1">
        <v>54575</v>
      </c>
      <c r="B430" t="s">
        <v>11</v>
      </c>
      <c r="C430" t="str">
        <f>TEXT(automotive_demand_forecasting_dataset5678[[#This Row],[Date]],"mmmm")</f>
        <v>June</v>
      </c>
      <c r="D430" t="str">
        <f>CHOOSE(MATCH(MONTH(A430), {1,4,7,10}), "Winter", "Spring", "Summer", "Autumn")</f>
        <v>Spring</v>
      </c>
      <c r="E430">
        <f>YEAR(automotive_demand_forecasting_dataset5678[[#This Row],[Date]])</f>
        <v>2049</v>
      </c>
      <c r="F430">
        <v>100</v>
      </c>
      <c r="G430">
        <f>(automotive_demand_forecasting_dataset5678[[#This Row],[Units_Sold]] -$C$4) / $C$5</f>
        <v>7.1703620942466739E-2</v>
      </c>
      <c r="H430" s="47" t="str">
        <f t="shared" ca="1" si="38"/>
        <v>East</v>
      </c>
      <c r="I430">
        <v>22575.510157750483</v>
      </c>
      <c r="J430">
        <v>2.9861624295370208</v>
      </c>
      <c r="K430">
        <v>3.5971527117536954</v>
      </c>
      <c r="L430">
        <v>4.1832369668405871</v>
      </c>
      <c r="M430">
        <v>132569.37109544643</v>
      </c>
      <c r="N430" s="82">
        <f>111.9136842</f>
        <v>111.91368420000001</v>
      </c>
      <c r="O430">
        <v>90.351444544575642</v>
      </c>
      <c r="P4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30" t="str">
        <f t="shared" ca="1" si="39"/>
        <v>Online</v>
      </c>
      <c r="R430" s="46">
        <f>automotive_demand_forecasting_dataset5678[[#This Row],[Units_Sold]]*automotive_demand_forecasting_dataset5678[[#This Row],[Average_Price]]</f>
        <v>2257551.0157750482</v>
      </c>
      <c r="S430" t="str">
        <f t="shared" ca="1" si="40"/>
        <v>OK</v>
      </c>
    </row>
    <row r="431" spans="1:19">
      <c r="A431" s="1">
        <v>54605</v>
      </c>
      <c r="B431" t="s">
        <v>11</v>
      </c>
      <c r="C431" t="str">
        <f>TEXT(automotive_demand_forecasting_dataset5678[[#This Row],[Date]],"mmmm")</f>
        <v>July</v>
      </c>
      <c r="D431" t="str">
        <f>CHOOSE(MATCH(MONTH(A431), {1,4,7,10}), "Winter", "Spring", "Summer", "Autumn")</f>
        <v>Summer</v>
      </c>
      <c r="E431">
        <f>YEAR(automotive_demand_forecasting_dataset5678[[#This Row],[Date]])</f>
        <v>2049</v>
      </c>
      <c r="F431">
        <v>117</v>
      </c>
      <c r="G431">
        <f>(automotive_demand_forecasting_dataset5678[[#This Row],[Units_Sold]] -$C$4) / $C$5</f>
        <v>1.8130772724023663</v>
      </c>
      <c r="H431" s="47" t="str">
        <f t="shared" ca="1" si="38"/>
        <v>South</v>
      </c>
      <c r="I431">
        <v>17230.394325490226</v>
      </c>
      <c r="J431">
        <v>4.1328539204323507</v>
      </c>
      <c r="K431">
        <v>2.0211625439915957</v>
      </c>
      <c r="L431">
        <v>4.7933598079135651</v>
      </c>
      <c r="M431">
        <v>94312.307007869807</v>
      </c>
      <c r="N431" s="82">
        <v>74</v>
      </c>
      <c r="O431">
        <v>97.248786510470723</v>
      </c>
      <c r="P4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31" t="str">
        <f t="shared" ca="1" si="39"/>
        <v>Print</v>
      </c>
      <c r="R431" s="46">
        <f>automotive_demand_forecasting_dataset5678[[#This Row],[Units_Sold]]*automotive_demand_forecasting_dataset5678[[#This Row],[Average_Price]]</f>
        <v>2015956.1360823563</v>
      </c>
      <c r="S431" t="str">
        <f t="shared" ca="1" si="40"/>
        <v>OK</v>
      </c>
    </row>
    <row r="432" spans="1:19">
      <c r="A432" s="1">
        <v>54635</v>
      </c>
      <c r="B432" t="s">
        <v>12</v>
      </c>
      <c r="C432" t="str">
        <f>TEXT(automotive_demand_forecasting_dataset5678[[#This Row],[Date]],"mmmm")</f>
        <v>July</v>
      </c>
      <c r="D432" t="str">
        <f>CHOOSE(MATCH(MONTH(A432), {1,4,7,10}), "Winter", "Spring", "Summer", "Autumn")</f>
        <v>Summer</v>
      </c>
      <c r="E432">
        <f>YEAR(automotive_demand_forecasting_dataset5678[[#This Row],[Date]])</f>
        <v>2049</v>
      </c>
      <c r="F432">
        <v>122</v>
      </c>
      <c r="G432">
        <f>(automotive_demand_forecasting_dataset5678[[#This Row],[Units_Sold]] -$C$4) / $C$5</f>
        <v>2.3252459934199838</v>
      </c>
      <c r="H432" s="47" t="str">
        <f t="shared" ca="1" si="38"/>
        <v>East</v>
      </c>
      <c r="I432">
        <v>34671.599556196365</v>
      </c>
      <c r="J432">
        <v>3.0669125758927498</v>
      </c>
      <c r="K432">
        <v>1.6372242359568794</v>
      </c>
      <c r="L432">
        <v>4.4952850827403594</v>
      </c>
      <c r="M432">
        <v>131811.641452357</v>
      </c>
      <c r="N432" s="82">
        <v>85</v>
      </c>
      <c r="O432">
        <v>65.454227669999995</v>
      </c>
      <c r="P4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32" t="str">
        <f t="shared" ca="1" si="39"/>
        <v>Billboards</v>
      </c>
      <c r="R432" s="46">
        <f>automotive_demand_forecasting_dataset5678[[#This Row],[Units_Sold]]*automotive_demand_forecasting_dataset5678[[#This Row],[Average_Price]]</f>
        <v>4229935.1458559567</v>
      </c>
      <c r="S432" t="str">
        <f t="shared" ca="1" si="40"/>
        <v>OK</v>
      </c>
    </row>
    <row r="433" spans="1:19">
      <c r="A433" s="1">
        <v>54665</v>
      </c>
      <c r="B433" t="s">
        <v>12</v>
      </c>
      <c r="C433" t="str">
        <f>TEXT(automotive_demand_forecasting_dataset5678[[#This Row],[Date]],"mmmm")</f>
        <v>August</v>
      </c>
      <c r="D433" t="str">
        <f>CHOOSE(MATCH(MONTH(A433), {1,4,7,10}), "Winter", "Spring", "Summer", "Autumn")</f>
        <v>Summer</v>
      </c>
      <c r="E433">
        <f>YEAR(automotive_demand_forecasting_dataset5678[[#This Row],[Date]])</f>
        <v>2049</v>
      </c>
      <c r="F433">
        <v>90</v>
      </c>
      <c r="G433">
        <f>(automotive_demand_forecasting_dataset5678[[#This Row],[Units_Sold]] -$C$4) / $C$5</f>
        <v>-0.95263382109276828</v>
      </c>
      <c r="H433" s="47" t="str">
        <f t="shared" ca="1" si="38"/>
        <v>South</v>
      </c>
      <c r="I433">
        <v>23165.606507922894</v>
      </c>
      <c r="J433">
        <v>3.9847286002633684</v>
      </c>
      <c r="K433">
        <v>3.1934789119139939</v>
      </c>
      <c r="L433">
        <v>4.7705496871890185</v>
      </c>
      <c r="M433">
        <v>113578.62580118557</v>
      </c>
      <c r="N433" s="82">
        <v>105</v>
      </c>
      <c r="O433">
        <v>47.080550354037825</v>
      </c>
      <c r="P4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33" t="str">
        <f t="shared" ca="1" si="39"/>
        <v>Billboards</v>
      </c>
      <c r="R433" s="46">
        <f>automotive_demand_forecasting_dataset5678[[#This Row],[Units_Sold]]*automotive_demand_forecasting_dataset5678[[#This Row],[Average_Price]]</f>
        <v>2084904.5857130603</v>
      </c>
      <c r="S433" t="str">
        <f t="shared" ca="1" si="40"/>
        <v>OK</v>
      </c>
    </row>
    <row r="434" spans="1:19">
      <c r="A434" s="1">
        <v>54695</v>
      </c>
      <c r="B434" t="s">
        <v>10</v>
      </c>
      <c r="C434" t="str">
        <f>TEXT(automotive_demand_forecasting_dataset5678[[#This Row],[Date]],"mmmm")</f>
        <v>September</v>
      </c>
      <c r="D434" t="str">
        <f>CHOOSE(MATCH(MONTH(A434), {1,4,7,10}), "Winter", "Spring", "Summer", "Autumn")</f>
        <v>Summer</v>
      </c>
      <c r="E434">
        <f>YEAR(automotive_demand_forecasting_dataset5678[[#This Row],[Date]])</f>
        <v>2049</v>
      </c>
      <c r="F434">
        <v>113</v>
      </c>
      <c r="G434">
        <f>(automotive_demand_forecasting_dataset5678[[#This Row],[Units_Sold]] -$C$4) / $C$5</f>
        <v>1.4033422955882724</v>
      </c>
      <c r="H434" s="47" t="str">
        <f t="shared" ca="1" si="38"/>
        <v>West</v>
      </c>
      <c r="I434">
        <v>28876.172990536583</v>
      </c>
      <c r="J434">
        <v>3.7135971809358423</v>
      </c>
      <c r="K434">
        <v>2.1079873600808705</v>
      </c>
      <c r="L434">
        <v>4.853052756221226</v>
      </c>
      <c r="M434">
        <v>97260.090211150833</v>
      </c>
      <c r="N434" s="82">
        <v>75</v>
      </c>
      <c r="O434">
        <v>20.567345021949677</v>
      </c>
      <c r="P4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34" t="str">
        <f t="shared" ca="1" si="39"/>
        <v>TV</v>
      </c>
      <c r="R434" s="46">
        <f>automotive_demand_forecasting_dataset5678[[#This Row],[Units_Sold]]*automotive_demand_forecasting_dataset5678[[#This Row],[Average_Price]]</f>
        <v>3263007.5479306336</v>
      </c>
      <c r="S434" t="str">
        <f t="shared" ca="1" si="40"/>
        <v>OK</v>
      </c>
    </row>
    <row r="435" spans="1:19">
      <c r="A435" s="1">
        <v>54725</v>
      </c>
      <c r="B435" t="s">
        <v>12</v>
      </c>
      <c r="C435" t="str">
        <f>TEXT(automotive_demand_forecasting_dataset5678[[#This Row],[Date]],"mmmm")</f>
        <v>October</v>
      </c>
      <c r="D435" t="str">
        <f>CHOOSE(MATCH(MONTH(A435), {1,4,7,10}), "Winter", "Spring", "Summer", "Autumn")</f>
        <v>Autumn</v>
      </c>
      <c r="E435">
        <f>YEAR(automotive_demand_forecasting_dataset5678[[#This Row],[Date]])</f>
        <v>2049</v>
      </c>
      <c r="F435">
        <v>110</v>
      </c>
      <c r="G435">
        <f>(automotive_demand_forecasting_dataset5678[[#This Row],[Units_Sold]] -$C$4) / $C$5</f>
        <v>1.0960410629777018</v>
      </c>
      <c r="H435" s="47" t="str">
        <f t="shared" ca="1" si="38"/>
        <v>West</v>
      </c>
      <c r="I435">
        <v>24149.434869703204</v>
      </c>
      <c r="J435">
        <v>3.1768863450780986</v>
      </c>
      <c r="K435">
        <v>3.5599363840466216</v>
      </c>
      <c r="L435">
        <v>4.8420774460899079</v>
      </c>
      <c r="M435">
        <v>89612.072563477472</v>
      </c>
      <c r="N435" s="82">
        <v>89</v>
      </c>
      <c r="O435">
        <v>65.454227669999995</v>
      </c>
      <c r="P4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35" t="str">
        <f t="shared" ca="1" si="39"/>
        <v>TV</v>
      </c>
      <c r="R435" s="46">
        <f>automotive_demand_forecasting_dataset5678[[#This Row],[Units_Sold]]*automotive_demand_forecasting_dataset5678[[#This Row],[Average_Price]]</f>
        <v>2656437.8356673522</v>
      </c>
      <c r="S435" t="str">
        <f t="shared" ca="1" si="40"/>
        <v>OK</v>
      </c>
    </row>
    <row r="436" spans="1:19">
      <c r="A436" s="1">
        <v>54755</v>
      </c>
      <c r="B436" t="s">
        <v>14</v>
      </c>
      <c r="C436" t="str">
        <f>TEXT(automotive_demand_forecasting_dataset5678[[#This Row],[Date]],"mmmm")</f>
        <v>November</v>
      </c>
      <c r="D436" t="str">
        <f>CHOOSE(MATCH(MONTH(A436), {1,4,7,10}), "Winter", "Spring", "Summer", "Autumn")</f>
        <v>Autumn</v>
      </c>
      <c r="E436">
        <f>YEAR(automotive_demand_forecasting_dataset5678[[#This Row],[Date]])</f>
        <v>2049</v>
      </c>
      <c r="F436">
        <v>106</v>
      </c>
      <c r="G436">
        <f>(automotive_demand_forecasting_dataset5678[[#This Row],[Units_Sold]] -$C$4) / $C$5</f>
        <v>0.68630608616360778</v>
      </c>
      <c r="H436" s="47" t="str">
        <f t="shared" ca="1" si="38"/>
        <v>East</v>
      </c>
      <c r="I436">
        <v>20990.097812099899</v>
      </c>
      <c r="J436">
        <v>4.5778345189999996</v>
      </c>
      <c r="K436">
        <v>3.1170059495766975</v>
      </c>
      <c r="L436">
        <v>6.5000006941363688</v>
      </c>
      <c r="M436">
        <f>128897.2893</f>
        <v>128897.2893</v>
      </c>
      <c r="N436" s="82">
        <v>84</v>
      </c>
      <c r="O436">
        <v>80.215177969999999</v>
      </c>
      <c r="P4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36" t="str">
        <f t="shared" ca="1" si="39"/>
        <v>Print</v>
      </c>
      <c r="R436" s="46">
        <f>automotive_demand_forecasting_dataset5678[[#This Row],[Units_Sold]]*automotive_demand_forecasting_dataset5678[[#This Row],[Average_Price]]</f>
        <v>2224950.3680825895</v>
      </c>
      <c r="S436" t="str">
        <f t="shared" ca="1" si="40"/>
        <v>OK</v>
      </c>
    </row>
    <row r="437" spans="1:19">
      <c r="A437" s="1">
        <v>54785</v>
      </c>
      <c r="B437" t="s">
        <v>11</v>
      </c>
      <c r="C437" t="str">
        <f>TEXT(automotive_demand_forecasting_dataset5678[[#This Row],[Date]],"mmmm")</f>
        <v>December</v>
      </c>
      <c r="D437" t="str">
        <f>CHOOSE(MATCH(MONTH(A437), {1,4,7,10}), "Winter", "Spring", "Summer", "Autumn")</f>
        <v>Autumn</v>
      </c>
      <c r="E437">
        <f>YEAR(automotive_demand_forecasting_dataset5678[[#This Row],[Date]])</f>
        <v>2049</v>
      </c>
      <c r="F437">
        <v>92</v>
      </c>
      <c r="G437">
        <f>(automotive_demand_forecasting_dataset5678[[#This Row],[Units_Sold]] -$C$4) / $C$5</f>
        <v>-0.74776633268572135</v>
      </c>
      <c r="H437" s="47" t="str">
        <f t="shared" ca="1" si="38"/>
        <v>North</v>
      </c>
      <c r="I437">
        <v>32707.313641023939</v>
      </c>
      <c r="J437">
        <v>2.9031815841217599</v>
      </c>
      <c r="K437">
        <f t="shared" ref="K437" si="42">3.224108373</f>
        <v>3.224108373</v>
      </c>
      <c r="L437">
        <v>4.1741646483249761</v>
      </c>
      <c r="M437">
        <v>108566.33384750475</v>
      </c>
      <c r="N437" s="82">
        <v>91</v>
      </c>
      <c r="O437">
        <v>31.728664028800253</v>
      </c>
      <c r="P4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37" t="str">
        <f t="shared" ca="1" si="39"/>
        <v>Billboards</v>
      </c>
      <c r="R437" s="46">
        <f>automotive_demand_forecasting_dataset5678[[#This Row],[Units_Sold]]*automotive_demand_forecasting_dataset5678[[#This Row],[Average_Price]]</f>
        <v>3009072.8549742023</v>
      </c>
      <c r="S437" t="str">
        <f t="shared" ca="1" si="40"/>
        <v>OK</v>
      </c>
    </row>
    <row r="438" spans="1:19">
      <c r="A438" s="1">
        <v>54815</v>
      </c>
      <c r="B438" t="s">
        <v>11</v>
      </c>
      <c r="C438" t="str">
        <f>TEXT(automotive_demand_forecasting_dataset5678[[#This Row],[Date]],"mmmm")</f>
        <v>January</v>
      </c>
      <c r="D438" t="str">
        <f>CHOOSE(MATCH(MONTH(A438), {1,4,7,10}), "Winter", "Spring", "Summer", "Autumn")</f>
        <v>Winter</v>
      </c>
      <c r="E438">
        <f>YEAR(automotive_demand_forecasting_dataset5678[[#This Row],[Date]])</f>
        <v>2050</v>
      </c>
      <c r="F438">
        <v>121</v>
      </c>
      <c r="G438">
        <f>(automotive_demand_forecasting_dataset5678[[#This Row],[Units_Sold]] -$C$4) / $C$5</f>
        <v>2.2228122492164601</v>
      </c>
      <c r="H438" s="47" t="str">
        <f t="shared" ca="1" si="38"/>
        <v>East</v>
      </c>
      <c r="I438">
        <v>33795.775801513235</v>
      </c>
      <c r="J438">
        <v>3.9595770868050009</v>
      </c>
      <c r="K438">
        <v>1.1340442887994657</v>
      </c>
      <c r="L438">
        <f>6.97388673</f>
        <v>6.9738867300000003</v>
      </c>
      <c r="M438">
        <f>128897.2893</f>
        <v>128897.2893</v>
      </c>
      <c r="N438" s="82">
        <v>101</v>
      </c>
      <c r="O438">
        <v>32.773307949372061</v>
      </c>
      <c r="P4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38" t="str">
        <f t="shared" ca="1" si="39"/>
        <v>TV</v>
      </c>
      <c r="R438" s="46">
        <f>automotive_demand_forecasting_dataset5678[[#This Row],[Units_Sold]]*automotive_demand_forecasting_dataset5678[[#This Row],[Average_Price]]</f>
        <v>4089288.8719831016</v>
      </c>
      <c r="S438" t="str">
        <f t="shared" ca="1" si="40"/>
        <v>OK</v>
      </c>
    </row>
    <row r="439" spans="1:19">
      <c r="A439" s="1">
        <v>54845</v>
      </c>
      <c r="B439" t="s">
        <v>10</v>
      </c>
      <c r="C439" t="str">
        <f>TEXT(automotive_demand_forecasting_dataset5678[[#This Row],[Date]],"mmmm")</f>
        <v>February</v>
      </c>
      <c r="D439" t="str">
        <f>CHOOSE(MATCH(MONTH(A439), {1,4,7,10}), "Winter", "Spring", "Summer", "Autumn")</f>
        <v>Winter</v>
      </c>
      <c r="E439">
        <f>YEAR(automotive_demand_forecasting_dataset5678[[#This Row],[Date]])</f>
        <v>2050</v>
      </c>
      <c r="F439">
        <v>89</v>
      </c>
      <c r="G439">
        <f>(automotive_demand_forecasting_dataset5678[[#This Row],[Units_Sold]] -$C$4) / $C$5</f>
        <v>-1.0550675652962918</v>
      </c>
      <c r="H439" s="47" t="str">
        <f t="shared" ca="1" si="38"/>
        <v>South</v>
      </c>
      <c r="I439">
        <v>27117.447996366402</v>
      </c>
      <c r="J439">
        <v>4.0002911590214891</v>
      </c>
      <c r="K439">
        <v>3.7119439853864007</v>
      </c>
      <c r="L439">
        <v>6.9615509827666697</v>
      </c>
      <c r="M439">
        <v>88123.771838625893</v>
      </c>
      <c r="N439" s="82">
        <v>93</v>
      </c>
      <c r="O439">
        <v>83.206659997715022</v>
      </c>
      <c r="P4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39" t="str">
        <f t="shared" ca="1" si="39"/>
        <v>TV</v>
      </c>
      <c r="R439" s="46">
        <f>automotive_demand_forecasting_dataset5678[[#This Row],[Units_Sold]]*automotive_demand_forecasting_dataset5678[[#This Row],[Average_Price]]</f>
        <v>2413452.8716766099</v>
      </c>
      <c r="S439" t="str">
        <f t="shared" ca="1" si="40"/>
        <v>OK</v>
      </c>
    </row>
    <row r="440" spans="1:19">
      <c r="A440" s="1">
        <v>54875</v>
      </c>
      <c r="B440" t="s">
        <v>11</v>
      </c>
      <c r="C440" t="str">
        <f>TEXT(automotive_demand_forecasting_dataset5678[[#This Row],[Date]],"mmmm")</f>
        <v>March</v>
      </c>
      <c r="D440" t="str">
        <f>CHOOSE(MATCH(MONTH(A440), {1,4,7,10}), "Winter", "Spring", "Summer", "Autumn")</f>
        <v>Winter</v>
      </c>
      <c r="E440">
        <f>YEAR(automotive_demand_forecasting_dataset5678[[#This Row],[Date]])</f>
        <v>2050</v>
      </c>
      <c r="F440">
        <v>117</v>
      </c>
      <c r="G440">
        <f>(automotive_demand_forecasting_dataset5678[[#This Row],[Units_Sold]] -$C$4) / $C$5</f>
        <v>1.8130772724023663</v>
      </c>
      <c r="H440" s="47" t="str">
        <f t="shared" ca="1" si="38"/>
        <v>South</v>
      </c>
      <c r="I440">
        <v>17044.788539275451</v>
      </c>
      <c r="J440">
        <v>3.1646898954616773</v>
      </c>
      <c r="K440">
        <v>2.761250531233856</v>
      </c>
      <c r="L440">
        <v>4.8841643625839248</v>
      </c>
      <c r="M440">
        <v>102916.7736</v>
      </c>
      <c r="N440" s="82">
        <v>91</v>
      </c>
      <c r="O440">
        <v>69.303259868331565</v>
      </c>
      <c r="P4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40" t="str">
        <f t="shared" ca="1" si="39"/>
        <v>Print</v>
      </c>
      <c r="R440" s="46">
        <f>automotive_demand_forecasting_dataset5678[[#This Row],[Units_Sold]]*automotive_demand_forecasting_dataset5678[[#This Row],[Average_Price]]</f>
        <v>1994240.2590952278</v>
      </c>
      <c r="S440" t="str">
        <f t="shared" ca="1" si="40"/>
        <v>OK</v>
      </c>
    </row>
    <row r="441" spans="1:19">
      <c r="A441" s="1">
        <v>54905</v>
      </c>
      <c r="B441" t="s">
        <v>11</v>
      </c>
      <c r="C441" t="str">
        <f>TEXT(automotive_demand_forecasting_dataset5678[[#This Row],[Date]],"mmmm")</f>
        <v>April</v>
      </c>
      <c r="D441" t="str">
        <f>CHOOSE(MATCH(MONTH(A441), {1,4,7,10}), "Winter", "Spring", "Summer", "Autumn")</f>
        <v>Spring</v>
      </c>
      <c r="E441">
        <f>YEAR(automotive_demand_forecasting_dataset5678[[#This Row],[Date]])</f>
        <v>2050</v>
      </c>
      <c r="F441">
        <v>106</v>
      </c>
      <c r="G441">
        <f>(automotive_demand_forecasting_dataset5678[[#This Row],[Units_Sold]] -$C$4) / $C$5</f>
        <v>0.68630608616360778</v>
      </c>
      <c r="H441" s="47" t="str">
        <f t="shared" ca="1" si="38"/>
        <v>West</v>
      </c>
      <c r="I441">
        <v>27268.777758737586</v>
      </c>
      <c r="J441">
        <v>4.5778345189999996</v>
      </c>
      <c r="K441">
        <v>2.1307228607537967</v>
      </c>
      <c r="L441">
        <f>6.97388673</f>
        <v>6.9738867300000003</v>
      </c>
      <c r="M441">
        <v>101571.540594383</v>
      </c>
      <c r="N441" s="82">
        <v>93</v>
      </c>
      <c r="O441">
        <v>23.588844610217361</v>
      </c>
      <c r="P4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41" t="str">
        <f t="shared" ca="1" si="39"/>
        <v>Billboards</v>
      </c>
      <c r="R441" s="46">
        <f>automotive_demand_forecasting_dataset5678[[#This Row],[Units_Sold]]*automotive_demand_forecasting_dataset5678[[#This Row],[Average_Price]]</f>
        <v>2890490.4424261842</v>
      </c>
      <c r="S441" t="str">
        <f t="shared" ca="1" si="40"/>
        <v>OK</v>
      </c>
    </row>
    <row r="442" spans="1:19">
      <c r="A442" s="1">
        <v>54935</v>
      </c>
      <c r="B442" t="s">
        <v>13</v>
      </c>
      <c r="C442" t="str">
        <f>TEXT(automotive_demand_forecasting_dataset5678[[#This Row],[Date]],"mmmm")</f>
        <v>May</v>
      </c>
      <c r="D442" t="str">
        <f>CHOOSE(MATCH(MONTH(A442), {1,4,7,10}), "Winter", "Spring", "Summer", "Autumn")</f>
        <v>Spring</v>
      </c>
      <c r="E442">
        <f>YEAR(automotive_demand_forecasting_dataset5678[[#This Row],[Date]])</f>
        <v>2050</v>
      </c>
      <c r="F442">
        <v>121</v>
      </c>
      <c r="G442">
        <f>(automotive_demand_forecasting_dataset5678[[#This Row],[Units_Sold]] -$C$4) / $C$5</f>
        <v>2.2228122492164601</v>
      </c>
      <c r="H442" s="47" t="str">
        <f t="shared" ca="1" si="38"/>
        <v>West</v>
      </c>
      <c r="I442">
        <v>31959.020027012732</v>
      </c>
      <c r="J442">
        <v>3.3749767427005235</v>
      </c>
      <c r="K442">
        <v>2.643388467342251</v>
      </c>
      <c r="L442">
        <v>5.2233704497836992</v>
      </c>
      <c r="M442">
        <v>57425.31811170376</v>
      </c>
      <c r="N442" s="82">
        <v>98</v>
      </c>
      <c r="O442">
        <v>69.803759236982529</v>
      </c>
      <c r="P4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42" t="str">
        <f t="shared" ca="1" si="39"/>
        <v>Billboards</v>
      </c>
      <c r="R442" s="46">
        <f>automotive_demand_forecasting_dataset5678[[#This Row],[Units_Sold]]*automotive_demand_forecasting_dataset5678[[#This Row],[Average_Price]]</f>
        <v>3867041.4232685403</v>
      </c>
      <c r="S442" t="str">
        <f t="shared" ca="1" si="40"/>
        <v>OK</v>
      </c>
    </row>
    <row r="443" spans="1:19">
      <c r="A443" s="1">
        <v>54965</v>
      </c>
      <c r="B443" t="s">
        <v>14</v>
      </c>
      <c r="C443" t="str">
        <f>TEXT(automotive_demand_forecasting_dataset5678[[#This Row],[Date]],"mmmm")</f>
        <v>June</v>
      </c>
      <c r="D443" t="str">
        <f>CHOOSE(MATCH(MONTH(A443), {1,4,7,10}), "Winter", "Spring", "Summer", "Autumn")</f>
        <v>Spring</v>
      </c>
      <c r="E443">
        <f>YEAR(automotive_demand_forecasting_dataset5678[[#This Row],[Date]])</f>
        <v>2050</v>
      </c>
      <c r="F443">
        <v>95</v>
      </c>
      <c r="G443">
        <f>(automotive_demand_forecasting_dataset5678[[#This Row],[Units_Sold]] -$C$4) / $C$5</f>
        <v>-0.44046510007515077</v>
      </c>
      <c r="H443" s="47" t="str">
        <f t="shared" ca="1" si="38"/>
        <v>West</v>
      </c>
      <c r="I443">
        <v>22605.442156129357</v>
      </c>
      <c r="J443">
        <v>3.6443468146399285</v>
      </c>
      <c r="K443">
        <v>0.72376476710168003</v>
      </c>
      <c r="L443">
        <v>6.9156702500328517</v>
      </c>
      <c r="M443">
        <v>109163.36229577397</v>
      </c>
      <c r="N443" s="82">
        <v>87</v>
      </c>
      <c r="O443">
        <v>44.713417827501289</v>
      </c>
      <c r="P4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43" t="str">
        <f t="shared" ca="1" si="39"/>
        <v>TV</v>
      </c>
      <c r="R443" s="46">
        <f>automotive_demand_forecasting_dataset5678[[#This Row],[Units_Sold]]*automotive_demand_forecasting_dataset5678[[#This Row],[Average_Price]]</f>
        <v>2147517.0048322887</v>
      </c>
      <c r="S443" t="str">
        <f t="shared" ca="1" si="40"/>
        <v>OK</v>
      </c>
    </row>
    <row r="444" spans="1:19">
      <c r="A444" s="1">
        <v>54995</v>
      </c>
      <c r="B444" t="s">
        <v>13</v>
      </c>
      <c r="C444" t="str">
        <f>TEXT(automotive_demand_forecasting_dataset5678[[#This Row],[Date]],"mmmm")</f>
        <v>July</v>
      </c>
      <c r="D444" t="str">
        <f>CHOOSE(MATCH(MONTH(A444), {1,4,7,10}), "Winter", "Spring", "Summer", "Autumn")</f>
        <v>Summer</v>
      </c>
      <c r="E444">
        <f>YEAR(automotive_demand_forecasting_dataset5678[[#This Row],[Date]])</f>
        <v>2050</v>
      </c>
      <c r="F444">
        <v>91</v>
      </c>
      <c r="G444">
        <f>(automotive_demand_forecasting_dataset5678[[#This Row],[Units_Sold]] -$C$4) / $C$5</f>
        <v>-0.85020007688924482</v>
      </c>
      <c r="H444" s="47" t="str">
        <f t="shared" ca="1" si="38"/>
        <v>North</v>
      </c>
      <c r="I444">
        <v>30916.799598895777</v>
      </c>
      <c r="J444">
        <v>3.6301609193856104</v>
      </c>
      <c r="K444">
        <v>2.9086528114806707</v>
      </c>
      <c r="L444">
        <v>5.7329291571440288</v>
      </c>
      <c r="M444">
        <v>80405.575505663859</v>
      </c>
      <c r="N444" s="82">
        <v>88</v>
      </c>
      <c r="O444">
        <v>49.498012437667676</v>
      </c>
      <c r="P4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44" t="str">
        <f t="shared" ca="1" si="39"/>
        <v>Billboards</v>
      </c>
      <c r="R444" s="46">
        <f>automotive_demand_forecasting_dataset5678[[#This Row],[Units_Sold]]*automotive_demand_forecasting_dataset5678[[#This Row],[Average_Price]]</f>
        <v>2813428.7634995156</v>
      </c>
      <c r="S444" t="str">
        <f t="shared" ca="1" si="40"/>
        <v>OK</v>
      </c>
    </row>
    <row r="445" spans="1:19">
      <c r="A445" s="1">
        <v>55025</v>
      </c>
      <c r="B445" t="s">
        <v>11</v>
      </c>
      <c r="C445" t="str">
        <f>TEXT(automotive_demand_forecasting_dataset5678[[#This Row],[Date]],"mmmm")</f>
        <v>August</v>
      </c>
      <c r="D445" t="str">
        <f>CHOOSE(MATCH(MONTH(A445), {1,4,7,10}), "Winter", "Spring", "Summer", "Autumn")</f>
        <v>Summer</v>
      </c>
      <c r="E445">
        <f>YEAR(automotive_demand_forecasting_dataset5678[[#This Row],[Date]])</f>
        <v>2050</v>
      </c>
      <c r="F445">
        <v>82</v>
      </c>
      <c r="G445">
        <f>(automotive_demand_forecasting_dataset5678[[#This Row],[Units_Sold]] -$C$4) / $C$5</f>
        <v>-1.7721037747209563</v>
      </c>
      <c r="H445" s="47" t="str">
        <f t="shared" ca="1" si="38"/>
        <v>South</v>
      </c>
      <c r="I445">
        <v>30949.702720000001</v>
      </c>
      <c r="J445">
        <v>3.432845629264726</v>
      </c>
      <c r="K445">
        <v>1.4706284918179284</v>
      </c>
      <c r="L445">
        <v>4.8625428464708822</v>
      </c>
      <c r="M445">
        <v>76933.351935885104</v>
      </c>
      <c r="N445" s="82">
        <v>89</v>
      </c>
      <c r="O445">
        <v>65.454227669999995</v>
      </c>
      <c r="P4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45" t="str">
        <f t="shared" ca="1" si="39"/>
        <v>Radio</v>
      </c>
      <c r="R445" s="46">
        <f>automotive_demand_forecasting_dataset5678[[#This Row],[Units_Sold]]*automotive_demand_forecasting_dataset5678[[#This Row],[Average_Price]]</f>
        <v>2537875.62304</v>
      </c>
      <c r="S445" t="str">
        <f t="shared" ca="1" si="40"/>
        <v>OK</v>
      </c>
    </row>
    <row r="446" spans="1:19">
      <c r="A446" s="1">
        <v>55055</v>
      </c>
      <c r="B446" t="s">
        <v>10</v>
      </c>
      <c r="C446" t="str">
        <f>TEXT(automotive_demand_forecasting_dataset5678[[#This Row],[Date]],"mmmm")</f>
        <v>September</v>
      </c>
      <c r="D446" t="str">
        <f>CHOOSE(MATCH(MONTH(A446), {1,4,7,10}), "Winter", "Spring", "Summer", "Autumn")</f>
        <v>Summer</v>
      </c>
      <c r="E446">
        <f>YEAR(automotive_demand_forecasting_dataset5678[[#This Row],[Date]])</f>
        <v>2050</v>
      </c>
      <c r="F446">
        <v>100</v>
      </c>
      <c r="G446">
        <f>(automotive_demand_forecasting_dataset5678[[#This Row],[Units_Sold]] -$C$4) / $C$5</f>
        <v>7.1703620942466739E-2</v>
      </c>
      <c r="H446" s="47" t="str">
        <f t="shared" ca="1" si="38"/>
        <v>West</v>
      </c>
      <c r="I446">
        <v>32896.457498005439</v>
      </c>
      <c r="J446">
        <v>3.9054041365798913</v>
      </c>
      <c r="K446">
        <v>1.1473297141564656</v>
      </c>
      <c r="L446">
        <v>6.0806519814256479</v>
      </c>
      <c r="M446">
        <v>66253.113057785784</v>
      </c>
      <c r="N446" s="82">
        <v>92</v>
      </c>
      <c r="O446">
        <v>80.215177969999999</v>
      </c>
      <c r="P4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46" t="str">
        <f t="shared" ca="1" si="39"/>
        <v>Radio</v>
      </c>
      <c r="R446" s="46">
        <f>automotive_demand_forecasting_dataset5678[[#This Row],[Units_Sold]]*automotive_demand_forecasting_dataset5678[[#This Row],[Average_Price]]</f>
        <v>3289645.7498005438</v>
      </c>
      <c r="S446" t="str">
        <f t="shared" ca="1" si="40"/>
        <v>OK</v>
      </c>
    </row>
    <row r="447" spans="1:19">
      <c r="A447" s="1">
        <v>55085</v>
      </c>
      <c r="B447" t="s">
        <v>10</v>
      </c>
      <c r="C447" t="str">
        <f>TEXT(automotive_demand_forecasting_dataset5678[[#This Row],[Date]],"mmmm")</f>
        <v>October</v>
      </c>
      <c r="D447" t="str">
        <f>CHOOSE(MATCH(MONTH(A447), {1,4,7,10}), "Winter", "Spring", "Summer", "Autumn")</f>
        <v>Autumn</v>
      </c>
      <c r="E447">
        <f>YEAR(automotive_demand_forecasting_dataset5678[[#This Row],[Date]])</f>
        <v>2050</v>
      </c>
      <c r="F447">
        <v>81</v>
      </c>
      <c r="G447">
        <f>(automotive_demand_forecasting_dataset5678[[#This Row],[Units_Sold]] -$C$4) / $C$5</f>
        <v>-1.87453751892448</v>
      </c>
      <c r="H447" s="47" t="str">
        <f t="shared" ca="1" si="38"/>
        <v>North</v>
      </c>
      <c r="I447">
        <v>30597.901842070765</v>
      </c>
      <c r="J447">
        <v>3.8967443602761067</v>
      </c>
      <c r="K447">
        <v>2.6520564320000002</v>
      </c>
      <c r="L447">
        <v>4.1772494201962918</v>
      </c>
      <c r="M447">
        <v>64122.150042642192</v>
      </c>
      <c r="N447" s="82">
        <v>99</v>
      </c>
      <c r="O447">
        <v>52.028530147186451</v>
      </c>
      <c r="P4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47" t="str">
        <f t="shared" ca="1" si="39"/>
        <v>TV</v>
      </c>
      <c r="R447" s="46">
        <f>automotive_demand_forecasting_dataset5678[[#This Row],[Units_Sold]]*automotive_demand_forecasting_dataset5678[[#This Row],[Average_Price]]</f>
        <v>2478430.0492077321</v>
      </c>
      <c r="S447" t="str">
        <f t="shared" ca="1" si="40"/>
        <v>OK</v>
      </c>
    </row>
    <row r="448" spans="1:19">
      <c r="A448" s="1">
        <v>55115</v>
      </c>
      <c r="B448" t="s">
        <v>11</v>
      </c>
      <c r="C448" t="str">
        <f>TEXT(automotive_demand_forecasting_dataset5678[[#This Row],[Date]],"mmmm")</f>
        <v>November</v>
      </c>
      <c r="D448" t="str">
        <f>CHOOSE(MATCH(MONTH(A448), {1,4,7,10}), "Winter", "Spring", "Summer", "Autumn")</f>
        <v>Autumn</v>
      </c>
      <c r="E448">
        <f>YEAR(automotive_demand_forecasting_dataset5678[[#This Row],[Date]])</f>
        <v>2050</v>
      </c>
      <c r="F448">
        <v>101</v>
      </c>
      <c r="G448">
        <f>(automotive_demand_forecasting_dataset5678[[#This Row],[Units_Sold]] -$C$4) / $C$5</f>
        <v>0.17413736514599024</v>
      </c>
      <c r="H448" s="47" t="str">
        <f t="shared" ca="1" si="38"/>
        <v>West</v>
      </c>
      <c r="I448">
        <v>25134.655295592223</v>
      </c>
      <c r="J448">
        <v>2.6257340133809097</v>
      </c>
      <c r="K448">
        <v>3.6126883749899252</v>
      </c>
      <c r="L448">
        <v>6.3176314125315374</v>
      </c>
      <c r="M448">
        <v>72891.049937754215</v>
      </c>
      <c r="N448" s="82">
        <v>82</v>
      </c>
      <c r="O448">
        <v>95.772234880508378</v>
      </c>
      <c r="P4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48" t="str">
        <f t="shared" ca="1" si="39"/>
        <v>Print</v>
      </c>
      <c r="R448" s="46">
        <f>automotive_demand_forecasting_dataset5678[[#This Row],[Units_Sold]]*automotive_demand_forecasting_dataset5678[[#This Row],[Average_Price]]</f>
        <v>2538600.1848548148</v>
      </c>
      <c r="S448" t="str">
        <f t="shared" ca="1" si="40"/>
        <v>OK</v>
      </c>
    </row>
    <row r="449" spans="1:19">
      <c r="A449" s="1">
        <v>55145</v>
      </c>
      <c r="B449" t="s">
        <v>12</v>
      </c>
      <c r="C449" t="str">
        <f>TEXT(automotive_demand_forecasting_dataset5678[[#This Row],[Date]],"mmmm")</f>
        <v>December</v>
      </c>
      <c r="D449" t="str">
        <f>CHOOSE(MATCH(MONTH(A449), {1,4,7,10}), "Winter", "Spring", "Summer", "Autumn")</f>
        <v>Autumn</v>
      </c>
      <c r="E449">
        <f>YEAR(automotive_demand_forecasting_dataset5678[[#This Row],[Date]])</f>
        <v>2050</v>
      </c>
      <c r="F449">
        <v>95</v>
      </c>
      <c r="G449">
        <f>(automotive_demand_forecasting_dataset5678[[#This Row],[Units_Sold]] -$C$4) / $C$5</f>
        <v>-0.44046510007515077</v>
      </c>
      <c r="H449" s="47" t="str">
        <f t="shared" ca="1" si="38"/>
        <v>North</v>
      </c>
      <c r="I449">
        <v>35982.857508322457</v>
      </c>
      <c r="J449">
        <v>4.1521701214390765</v>
      </c>
      <c r="K449">
        <v>2.6520564320000002</v>
      </c>
      <c r="L449">
        <v>5.9903287692421214</v>
      </c>
      <c r="M449">
        <v>85819.580847390185</v>
      </c>
      <c r="N449" s="82">
        <v>83</v>
      </c>
      <c r="O449">
        <v>52.51701743616578</v>
      </c>
      <c r="P4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49" t="str">
        <f t="shared" ca="1" si="39"/>
        <v>TV</v>
      </c>
      <c r="R449" s="46">
        <f>automotive_demand_forecasting_dataset5678[[#This Row],[Units_Sold]]*automotive_demand_forecasting_dataset5678[[#This Row],[Average_Price]]</f>
        <v>3418371.4632906336</v>
      </c>
      <c r="S449" t="str">
        <f t="shared" ca="1" si="40"/>
        <v>OK</v>
      </c>
    </row>
    <row r="450" spans="1:19">
      <c r="A450" s="1">
        <v>55175</v>
      </c>
      <c r="B450" t="s">
        <v>13</v>
      </c>
      <c r="C450" t="str">
        <f>TEXT(automotive_demand_forecasting_dataset5678[[#This Row],[Date]],"mmmm")</f>
        <v>January</v>
      </c>
      <c r="D450" t="str">
        <f>CHOOSE(MATCH(MONTH(A450), {1,4,7,10}), "Winter", "Spring", "Summer", "Autumn")</f>
        <v>Winter</v>
      </c>
      <c r="E450">
        <f>YEAR(automotive_demand_forecasting_dataset5678[[#This Row],[Date]])</f>
        <v>2051</v>
      </c>
      <c r="F450">
        <v>114</v>
      </c>
      <c r="G450">
        <f>(automotive_demand_forecasting_dataset5678[[#This Row],[Units_Sold]] -$C$4) / $C$5</f>
        <v>1.5057760397917959</v>
      </c>
      <c r="H450" s="47" t="str">
        <f t="shared" ca="1" si="38"/>
        <v>West</v>
      </c>
      <c r="I450">
        <v>29207.352134865148</v>
      </c>
      <c r="J450">
        <v>2.6687540059821631</v>
      </c>
      <c r="K450">
        <v>4.0337277099164996</v>
      </c>
      <c r="L450">
        <v>5.1306298346333392</v>
      </c>
      <c r="M450">
        <v>139065.18275053136</v>
      </c>
      <c r="N450" s="82">
        <v>94</v>
      </c>
      <c r="O450">
        <v>81.746882818408793</v>
      </c>
      <c r="P4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50" t="str">
        <f t="shared" ca="1" si="39"/>
        <v>Radio</v>
      </c>
      <c r="R450" s="46">
        <f>automotive_demand_forecasting_dataset5678[[#This Row],[Units_Sold]]*automotive_demand_forecasting_dataset5678[[#This Row],[Average_Price]]</f>
        <v>3329638.143374627</v>
      </c>
      <c r="S450" t="str">
        <f t="shared" ca="1" si="40"/>
        <v>OK</v>
      </c>
    </row>
    <row r="451" spans="1:19">
      <c r="A451" s="1">
        <v>55205</v>
      </c>
      <c r="B451" t="s">
        <v>11</v>
      </c>
      <c r="C451" t="str">
        <f>TEXT(automotive_demand_forecasting_dataset5678[[#This Row],[Date]],"mmmm")</f>
        <v>February</v>
      </c>
      <c r="D451" t="str">
        <f>CHOOSE(MATCH(MONTH(A451), {1,4,7,10}), "Winter", "Spring", "Summer", "Autumn")</f>
        <v>Winter</v>
      </c>
      <c r="E451">
        <f>YEAR(automotive_demand_forecasting_dataset5678[[#This Row],[Date]])</f>
        <v>2051</v>
      </c>
      <c r="F451">
        <v>92</v>
      </c>
      <c r="G451">
        <f>(automotive_demand_forecasting_dataset5678[[#This Row],[Units_Sold]] -$C$4) / $C$5</f>
        <v>-0.74776633268572135</v>
      </c>
      <c r="H451" s="47" t="str">
        <f t="shared" ca="1" si="38"/>
        <v>East</v>
      </c>
      <c r="I451">
        <v>38106.295579999998</v>
      </c>
      <c r="J451">
        <v>4.0162731021708282</v>
      </c>
      <c r="K451">
        <v>1.9641985369477022</v>
      </c>
      <c r="L451">
        <v>4.4936970418633226</v>
      </c>
      <c r="M451">
        <v>89482.406482095917</v>
      </c>
      <c r="N451" s="82">
        <v>88</v>
      </c>
      <c r="O451">
        <v>58.710181165140725</v>
      </c>
      <c r="P4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51" t="str">
        <f t="shared" ca="1" si="39"/>
        <v>Print</v>
      </c>
      <c r="R451" s="46">
        <f>automotive_demand_forecasting_dataset5678[[#This Row],[Units_Sold]]*automotive_demand_forecasting_dataset5678[[#This Row],[Average_Price]]</f>
        <v>3505779.1933599999</v>
      </c>
      <c r="S451" t="str">
        <f t="shared" ca="1" si="40"/>
        <v>OK</v>
      </c>
    </row>
    <row r="452" spans="1:19">
      <c r="A452" s="1">
        <v>55235</v>
      </c>
      <c r="B452" t="s">
        <v>10</v>
      </c>
      <c r="C452" t="str">
        <f>TEXT(automotive_demand_forecasting_dataset5678[[#This Row],[Date]],"mmmm")</f>
        <v>March</v>
      </c>
      <c r="D452" t="str">
        <f>CHOOSE(MATCH(MONTH(A452), {1,4,7,10}), "Winter", "Spring", "Summer", "Autumn")</f>
        <v>Winter</v>
      </c>
      <c r="E452">
        <f>YEAR(automotive_demand_forecasting_dataset5678[[#This Row],[Date]])</f>
        <v>2051</v>
      </c>
      <c r="F452">
        <v>113</v>
      </c>
      <c r="G452">
        <f>(automotive_demand_forecasting_dataset5678[[#This Row],[Units_Sold]] -$C$4) / $C$5</f>
        <v>1.4033422955882724</v>
      </c>
      <c r="H452" s="47" t="str">
        <f t="shared" ca="1" si="38"/>
        <v>East</v>
      </c>
      <c r="I452">
        <v>25333.660204634019</v>
      </c>
      <c r="J452">
        <v>4.5778345189999996</v>
      </c>
      <c r="K452">
        <v>0.79264204240705327</v>
      </c>
      <c r="L452">
        <v>4.4359828932598511</v>
      </c>
      <c r="M452">
        <v>103555.00212536062</v>
      </c>
      <c r="N452" s="82">
        <v>92</v>
      </c>
      <c r="O452">
        <v>91.802586121766723</v>
      </c>
      <c r="P4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52" t="str">
        <f t="shared" ca="1" si="39"/>
        <v>Radio</v>
      </c>
      <c r="R452" s="46">
        <f>automotive_demand_forecasting_dataset5678[[#This Row],[Units_Sold]]*automotive_demand_forecasting_dataset5678[[#This Row],[Average_Price]]</f>
        <v>2862703.6031236444</v>
      </c>
      <c r="S452" t="str">
        <f t="shared" ca="1" si="40"/>
        <v>OK</v>
      </c>
    </row>
    <row r="453" spans="1:19">
      <c r="A453" s="1">
        <v>55265</v>
      </c>
      <c r="B453" t="s">
        <v>10</v>
      </c>
      <c r="C453" t="str">
        <f>TEXT(automotive_demand_forecasting_dataset5678[[#This Row],[Date]],"mmmm")</f>
        <v>April</v>
      </c>
      <c r="D453" t="str">
        <f>CHOOSE(MATCH(MONTH(A453), {1,4,7,10}), "Winter", "Spring", "Summer", "Autumn")</f>
        <v>Spring</v>
      </c>
      <c r="E453">
        <f>YEAR(automotive_demand_forecasting_dataset5678[[#This Row],[Date]])</f>
        <v>2051</v>
      </c>
      <c r="F453">
        <v>113</v>
      </c>
      <c r="G453">
        <f>(automotive_demand_forecasting_dataset5678[[#This Row],[Units_Sold]] -$C$4) / $C$5</f>
        <v>1.4033422955882724</v>
      </c>
      <c r="H453" s="47" t="str">
        <f t="shared" ca="1" si="38"/>
        <v>East</v>
      </c>
      <c r="I453">
        <v>27783.588744042449</v>
      </c>
      <c r="J453">
        <v>2.9545167848924008</v>
      </c>
      <c r="K453">
        <v>1.3834755600513409</v>
      </c>
      <c r="L453">
        <v>6.1417808036150925</v>
      </c>
      <c r="M453">
        <v>108009.62773012658</v>
      </c>
      <c r="N453" s="82">
        <v>78</v>
      </c>
      <c r="O453">
        <v>92.620899492014289</v>
      </c>
      <c r="P4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53" t="str">
        <f t="shared" ca="1" si="39"/>
        <v>Billboards</v>
      </c>
      <c r="R453" s="46">
        <f>automotive_demand_forecasting_dataset5678[[#This Row],[Units_Sold]]*automotive_demand_forecasting_dataset5678[[#This Row],[Average_Price]]</f>
        <v>3139545.5280767968</v>
      </c>
      <c r="S453" t="str">
        <f t="shared" ca="1" si="40"/>
        <v>OK</v>
      </c>
    </row>
    <row r="454" spans="1:19">
      <c r="A454" s="1">
        <v>55295</v>
      </c>
      <c r="B454" t="s">
        <v>13</v>
      </c>
      <c r="C454" t="str">
        <f>TEXT(automotive_demand_forecasting_dataset5678[[#This Row],[Date]],"mmmm")</f>
        <v>May</v>
      </c>
      <c r="D454" t="str">
        <f>CHOOSE(MATCH(MONTH(A454), {1,4,7,10}), "Winter", "Spring", "Summer", "Autumn")</f>
        <v>Spring</v>
      </c>
      <c r="E454">
        <f>YEAR(automotive_demand_forecasting_dataset5678[[#This Row],[Date]])</f>
        <v>2051</v>
      </c>
      <c r="F454">
        <v>120</v>
      </c>
      <c r="G454">
        <f>(automotive_demand_forecasting_dataset5678[[#This Row],[Units_Sold]] -$C$4) / $C$5</f>
        <v>2.1203785050129369</v>
      </c>
      <c r="H454" s="47" t="str">
        <f t="shared" ca="1" si="38"/>
        <v>East</v>
      </c>
      <c r="I454">
        <v>25575.986429865494</v>
      </c>
      <c r="J454">
        <v>3.2945928560227076</v>
      </c>
      <c r="K454">
        <v>3.7358116200069387</v>
      </c>
      <c r="L454">
        <v>6.9747766029868741</v>
      </c>
      <c r="M454">
        <f>128897.2893</f>
        <v>128897.2893</v>
      </c>
      <c r="N454" s="82">
        <v>102</v>
      </c>
      <c r="O454">
        <v>26.99334462968671</v>
      </c>
      <c r="P4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54" t="str">
        <f t="shared" ca="1" si="39"/>
        <v>Radio</v>
      </c>
      <c r="R454" s="46">
        <f>automotive_demand_forecasting_dataset5678[[#This Row],[Units_Sold]]*automotive_demand_forecasting_dataset5678[[#This Row],[Average_Price]]</f>
        <v>3069118.3715838594</v>
      </c>
      <c r="S454" t="str">
        <f t="shared" ca="1" si="40"/>
        <v>OK</v>
      </c>
    </row>
    <row r="455" spans="1:19">
      <c r="A455" s="1">
        <v>55325</v>
      </c>
      <c r="B455" t="s">
        <v>14</v>
      </c>
      <c r="C455" t="str">
        <f>TEXT(automotive_demand_forecasting_dataset5678[[#This Row],[Date]],"mmmm")</f>
        <v>June</v>
      </c>
      <c r="D455" t="str">
        <f>CHOOSE(MATCH(MONTH(A455), {1,4,7,10}), "Winter", "Spring", "Summer", "Autumn")</f>
        <v>Spring</v>
      </c>
      <c r="E455">
        <f>YEAR(automotive_demand_forecasting_dataset5678[[#This Row],[Date]])</f>
        <v>2051</v>
      </c>
      <c r="F455">
        <v>108</v>
      </c>
      <c r="G455">
        <f>(automotive_demand_forecasting_dataset5678[[#This Row],[Units_Sold]] -$C$4) / $C$5</f>
        <v>0.89117357457065483</v>
      </c>
      <c r="H455" s="47" t="str">
        <f t="shared" ca="1" si="38"/>
        <v>South</v>
      </c>
      <c r="I455">
        <v>29135.269700382883</v>
      </c>
      <c r="J455">
        <v>2.9471476657570319</v>
      </c>
      <c r="K455">
        <v>2.3441018220633323</v>
      </c>
      <c r="L455">
        <v>4.7352307035654464</v>
      </c>
      <c r="M455">
        <v>98451.130785480127</v>
      </c>
      <c r="N455" s="82">
        <v>96</v>
      </c>
      <c r="O455">
        <v>94.919466504818061</v>
      </c>
      <c r="P4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55" t="str">
        <f t="shared" ca="1" si="39"/>
        <v>Billboards</v>
      </c>
      <c r="R455" s="46">
        <f>automotive_demand_forecasting_dataset5678[[#This Row],[Units_Sold]]*automotive_demand_forecasting_dataset5678[[#This Row],[Average_Price]]</f>
        <v>3146609.1276413514</v>
      </c>
      <c r="S455" t="str">
        <f t="shared" ca="1" si="40"/>
        <v>OK</v>
      </c>
    </row>
    <row r="456" spans="1:19">
      <c r="A456" s="1">
        <v>55355</v>
      </c>
      <c r="B456" t="s">
        <v>11</v>
      </c>
      <c r="C456" t="str">
        <f>TEXT(automotive_demand_forecasting_dataset5678[[#This Row],[Date]],"mmmm")</f>
        <v>July</v>
      </c>
      <c r="D456" t="str">
        <f>CHOOSE(MATCH(MONTH(A456), {1,4,7,10}), "Winter", "Spring", "Summer", "Autumn")</f>
        <v>Summer</v>
      </c>
      <c r="E456">
        <f>YEAR(automotive_demand_forecasting_dataset5678[[#This Row],[Date]])</f>
        <v>2051</v>
      </c>
      <c r="F456">
        <v>99</v>
      </c>
      <c r="G456">
        <f>(automotive_demand_forecasting_dataset5678[[#This Row],[Units_Sold]] -$C$4) / $C$5</f>
        <v>-3.0730123261056761E-2</v>
      </c>
      <c r="H456" s="47" t="str">
        <f t="shared" ca="1" si="38"/>
        <v>South</v>
      </c>
      <c r="I456">
        <v>38558.542400711718</v>
      </c>
      <c r="J456">
        <v>3.3925394848556323</v>
      </c>
      <c r="K456">
        <v>1.9517127035093991</v>
      </c>
      <c r="L456">
        <v>6.0500640442617808</v>
      </c>
      <c r="M456">
        <v>76094.1247280151</v>
      </c>
      <c r="N456" s="82">
        <v>75</v>
      </c>
      <c r="O456">
        <v>86.042787321633256</v>
      </c>
      <c r="P4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56" t="str">
        <f t="shared" ca="1" si="39"/>
        <v>Online</v>
      </c>
      <c r="R456" s="46">
        <f>automotive_demand_forecasting_dataset5678[[#This Row],[Units_Sold]]*automotive_demand_forecasting_dataset5678[[#This Row],[Average_Price]]</f>
        <v>3817295.6976704602</v>
      </c>
      <c r="S456" t="str">
        <f t="shared" ca="1" si="40"/>
        <v>OK</v>
      </c>
    </row>
    <row r="457" spans="1:19">
      <c r="A457" s="1">
        <v>55385</v>
      </c>
      <c r="B457" t="s">
        <v>11</v>
      </c>
      <c r="C457" t="str">
        <f>TEXT(automotive_demand_forecasting_dataset5678[[#This Row],[Date]],"mmmm")</f>
        <v>August</v>
      </c>
      <c r="D457" t="str">
        <f>CHOOSE(MATCH(MONTH(A457), {1,4,7,10}), "Winter", "Spring", "Summer", "Autumn")</f>
        <v>Summer</v>
      </c>
      <c r="E457">
        <f>YEAR(automotive_demand_forecasting_dataset5678[[#This Row],[Date]])</f>
        <v>2051</v>
      </c>
      <c r="F457">
        <v>108</v>
      </c>
      <c r="G457">
        <f>(automotive_demand_forecasting_dataset5678[[#This Row],[Units_Sold]] -$C$4) / $C$5</f>
        <v>0.89117357457065483</v>
      </c>
      <c r="H457" s="47" t="str">
        <f t="shared" ca="1" si="38"/>
        <v>North</v>
      </c>
      <c r="I457">
        <v>23140.494285343219</v>
      </c>
      <c r="J457">
        <v>3.3459828579071296</v>
      </c>
      <c r="K457">
        <v>2.6600182258527876</v>
      </c>
      <c r="L457">
        <v>2.9955675776775177</v>
      </c>
      <c r="M457">
        <v>129018.55096558423</v>
      </c>
      <c r="N457" s="82">
        <v>87</v>
      </c>
      <c r="O457">
        <v>83.304857145013358</v>
      </c>
      <c r="P4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57" t="str">
        <f t="shared" ca="1" si="39"/>
        <v>TV</v>
      </c>
      <c r="R457" s="46">
        <f>automotive_demand_forecasting_dataset5678[[#This Row],[Units_Sold]]*automotive_demand_forecasting_dataset5678[[#This Row],[Average_Price]]</f>
        <v>2499173.3828170677</v>
      </c>
      <c r="S457" t="str">
        <f t="shared" ca="1" si="40"/>
        <v>OK</v>
      </c>
    </row>
    <row r="458" spans="1:19">
      <c r="A458" s="1">
        <v>55415</v>
      </c>
      <c r="B458" t="s">
        <v>14</v>
      </c>
      <c r="C458" t="str">
        <f>TEXT(automotive_demand_forecasting_dataset5678[[#This Row],[Date]],"mmmm")</f>
        <v>September</v>
      </c>
      <c r="D458" t="str">
        <f>CHOOSE(MATCH(MONTH(A458), {1,4,7,10}), "Winter", "Spring", "Summer", "Autumn")</f>
        <v>Summer</v>
      </c>
      <c r="E458">
        <f>YEAR(automotive_demand_forecasting_dataset5678[[#This Row],[Date]])</f>
        <v>2051</v>
      </c>
      <c r="F458">
        <v>98</v>
      </c>
      <c r="G458">
        <f>(automotive_demand_forecasting_dataset5678[[#This Row],[Units_Sold]] -$C$4) / $C$5</f>
        <v>-0.13316386746458025</v>
      </c>
      <c r="H458" s="47" t="str">
        <f t="shared" ca="1" si="38"/>
        <v>North</v>
      </c>
      <c r="I458">
        <v>21932.193010616294</v>
      </c>
      <c r="J458">
        <v>3.8898302661346698</v>
      </c>
      <c r="K458">
        <v>3.0017827361675451</v>
      </c>
      <c r="L458">
        <v>4.7984587232113602</v>
      </c>
      <c r="M458">
        <v>136143.93287275769</v>
      </c>
      <c r="N458" s="82">
        <v>90</v>
      </c>
      <c r="O458">
        <v>36.072907174841795</v>
      </c>
      <c r="P4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58" t="str">
        <f t="shared" ca="1" si="39"/>
        <v>TV</v>
      </c>
      <c r="R458" s="46">
        <f>automotive_demand_forecasting_dataset5678[[#This Row],[Units_Sold]]*automotive_demand_forecasting_dataset5678[[#This Row],[Average_Price]]</f>
        <v>2149354.9150403971</v>
      </c>
      <c r="S458" t="str">
        <f t="shared" ca="1" si="40"/>
        <v>OK</v>
      </c>
    </row>
    <row r="459" spans="1:19">
      <c r="A459" s="1">
        <v>55445</v>
      </c>
      <c r="B459" t="s">
        <v>13</v>
      </c>
      <c r="C459" t="str">
        <f>TEXT(automotive_demand_forecasting_dataset5678[[#This Row],[Date]],"mmmm")</f>
        <v>October</v>
      </c>
      <c r="D459" t="str">
        <f>CHOOSE(MATCH(MONTH(A459), {1,4,7,10}), "Winter", "Spring", "Summer", "Autumn")</f>
        <v>Autumn</v>
      </c>
      <c r="E459">
        <f>YEAR(automotive_demand_forecasting_dataset5678[[#This Row],[Date]])</f>
        <v>2051</v>
      </c>
      <c r="F459">
        <v>92</v>
      </c>
      <c r="G459">
        <f>(automotive_demand_forecasting_dataset5678[[#This Row],[Units_Sold]] -$C$4) / $C$5</f>
        <v>-0.74776633268572135</v>
      </c>
      <c r="H459" s="47" t="str">
        <f t="shared" ref="H459:H510" ca="1" si="43">CHOOSE(RANDBETWEEN(1,4),"North","South","East","West")</f>
        <v>West</v>
      </c>
      <c r="I459">
        <v>37355.85163746804</v>
      </c>
      <c r="J459">
        <v>4.155154373059804</v>
      </c>
      <c r="K459">
        <v>3.6173988159024608</v>
      </c>
      <c r="L459">
        <v>5.4627292805549175</v>
      </c>
      <c r="M459">
        <v>66346.826117546283</v>
      </c>
      <c r="N459" s="82">
        <v>86</v>
      </c>
      <c r="O459">
        <v>84.409536700373195</v>
      </c>
      <c r="P4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59" t="str">
        <f t="shared" ref="Q459:Q510" ca="1" si="44">CHOOSE(RANDBETWEEN(1,5),"Online","TV","Radio","Print","Billboards")</f>
        <v>Radio</v>
      </c>
      <c r="R459" s="46">
        <f>automotive_demand_forecasting_dataset5678[[#This Row],[Units_Sold]]*automotive_demand_forecasting_dataset5678[[#This Row],[Average_Price]]</f>
        <v>3436738.3506470597</v>
      </c>
      <c r="S459" t="str">
        <f t="shared" ref="S459:S510" ca="1" si="45">IF(COUNTA(A459:O459)&lt;COLUMNS(A459:O459), "Missing Data", "OK")</f>
        <v>OK</v>
      </c>
    </row>
    <row r="460" spans="1:19">
      <c r="A460" s="1">
        <v>55475</v>
      </c>
      <c r="B460" t="s">
        <v>13</v>
      </c>
      <c r="C460" t="str">
        <f>TEXT(automotive_demand_forecasting_dataset5678[[#This Row],[Date]],"mmmm")</f>
        <v>November</v>
      </c>
      <c r="D460" t="str">
        <f>CHOOSE(MATCH(MONTH(A460), {1,4,7,10}), "Winter", "Spring", "Summer", "Autumn")</f>
        <v>Autumn</v>
      </c>
      <c r="E460">
        <f>YEAR(automotive_demand_forecasting_dataset5678[[#This Row],[Date]])</f>
        <v>2051</v>
      </c>
      <c r="F460">
        <v>96</v>
      </c>
      <c r="G460">
        <f>(automotive_demand_forecasting_dataset5678[[#This Row],[Units_Sold]] -$C$4) / $C$5</f>
        <v>-0.33803135587162725</v>
      </c>
      <c r="H460" s="47" t="str">
        <f t="shared" ca="1" si="43"/>
        <v>North</v>
      </c>
      <c r="I460">
        <v>28953.381614240669</v>
      </c>
      <c r="J460">
        <v>4.197841905394978</v>
      </c>
      <c r="K460">
        <v>3.948499229892926</v>
      </c>
      <c r="L460">
        <v>4.4083798996217993</v>
      </c>
      <c r="M460">
        <v>79519.428182272415</v>
      </c>
      <c r="N460" s="82">
        <v>85</v>
      </c>
      <c r="O460">
        <v>88.01061877480295</v>
      </c>
      <c r="P4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60" t="str">
        <f t="shared" ca="1" si="44"/>
        <v>Online</v>
      </c>
      <c r="R460" s="46">
        <f>automotive_demand_forecasting_dataset5678[[#This Row],[Units_Sold]]*automotive_demand_forecasting_dataset5678[[#This Row],[Average_Price]]</f>
        <v>2779524.6349671041</v>
      </c>
      <c r="S460" t="str">
        <f t="shared" ca="1" si="45"/>
        <v>OK</v>
      </c>
    </row>
    <row r="461" spans="1:19">
      <c r="A461" s="1">
        <v>55505</v>
      </c>
      <c r="B461" t="s">
        <v>10</v>
      </c>
      <c r="C461" t="str">
        <f>TEXT(automotive_demand_forecasting_dataset5678[[#This Row],[Date]],"mmmm")</f>
        <v>December</v>
      </c>
      <c r="D461" t="str">
        <f>CHOOSE(MATCH(MONTH(A461), {1,4,7,10}), "Winter", "Spring", "Summer", "Autumn")</f>
        <v>Autumn</v>
      </c>
      <c r="E461">
        <f>YEAR(automotive_demand_forecasting_dataset5678[[#This Row],[Date]])</f>
        <v>2051</v>
      </c>
      <c r="F461">
        <v>94</v>
      </c>
      <c r="G461">
        <f>(automotive_demand_forecasting_dataset5678[[#This Row],[Units_Sold]] -$C$4) / $C$5</f>
        <v>-0.5428988442786743</v>
      </c>
      <c r="H461" s="47" t="str">
        <f t="shared" ca="1" si="43"/>
        <v>South</v>
      </c>
      <c r="I461">
        <v>26654.636306700417</v>
      </c>
      <c r="J461">
        <v>3.218915986710849</v>
      </c>
      <c r="K461">
        <v>2.6520564320000002</v>
      </c>
      <c r="L461">
        <v>4.3761923502524844</v>
      </c>
      <c r="M461">
        <f>128897.2893</f>
        <v>128897.2893</v>
      </c>
      <c r="N461" s="82">
        <v>95</v>
      </c>
      <c r="O461">
        <v>43.132026756332074</v>
      </c>
      <c r="P4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61" t="str">
        <f t="shared" ca="1" si="44"/>
        <v>Online</v>
      </c>
      <c r="R461" s="46">
        <f>automotive_demand_forecasting_dataset5678[[#This Row],[Units_Sold]]*automotive_demand_forecasting_dataset5678[[#This Row],[Average_Price]]</f>
        <v>2505535.8128298391</v>
      </c>
      <c r="S461" t="str">
        <f t="shared" ca="1" si="45"/>
        <v>OK</v>
      </c>
    </row>
    <row r="462" spans="1:19">
      <c r="A462" s="1">
        <v>55535</v>
      </c>
      <c r="B462" t="s">
        <v>14</v>
      </c>
      <c r="C462" t="str">
        <f>TEXT(automotive_demand_forecasting_dataset5678[[#This Row],[Date]],"mmmm")</f>
        <v>January</v>
      </c>
      <c r="D462" t="str">
        <f>CHOOSE(MATCH(MONTH(A462), {1,4,7,10}), "Winter", "Spring", "Summer", "Autumn")</f>
        <v>Winter</v>
      </c>
      <c r="E462">
        <f>YEAR(automotive_demand_forecasting_dataset5678[[#This Row],[Date]])</f>
        <v>2052</v>
      </c>
      <c r="F462">
        <v>75</v>
      </c>
      <c r="G462">
        <f>(automotive_demand_forecasting_dataset5678[[#This Row],[Units_Sold]] -$C$4) / $C$5</f>
        <v>-2.4891399841456208</v>
      </c>
      <c r="H462" s="47" t="str">
        <f t="shared" ca="1" si="43"/>
        <v>North</v>
      </c>
      <c r="I462">
        <v>35199.52343698038</v>
      </c>
      <c r="J462">
        <v>3.3953890631277361</v>
      </c>
      <c r="K462">
        <v>1.1739523139179617</v>
      </c>
      <c r="L462">
        <v>4.6986645322373368</v>
      </c>
      <c r="M462">
        <v>80709.244101796168</v>
      </c>
      <c r="N462" s="82">
        <v>97</v>
      </c>
      <c r="O462">
        <v>96.180806268985904</v>
      </c>
      <c r="P4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62" t="str">
        <f t="shared" ca="1" si="44"/>
        <v>TV</v>
      </c>
      <c r="R462" s="46">
        <f>automotive_demand_forecasting_dataset5678[[#This Row],[Units_Sold]]*automotive_demand_forecasting_dataset5678[[#This Row],[Average_Price]]</f>
        <v>2639964.2577735283</v>
      </c>
      <c r="S462" t="str">
        <f t="shared" ca="1" si="45"/>
        <v>OK</v>
      </c>
    </row>
    <row r="463" spans="1:19">
      <c r="A463" s="1">
        <v>55565</v>
      </c>
      <c r="B463" t="s">
        <v>13</v>
      </c>
      <c r="C463" t="str">
        <f>TEXT(automotive_demand_forecasting_dataset5678[[#This Row],[Date]],"mmmm")</f>
        <v>February</v>
      </c>
      <c r="D463" t="str">
        <f>CHOOSE(MATCH(MONTH(A463), {1,4,7,10}), "Winter", "Spring", "Summer", "Autumn")</f>
        <v>Winter</v>
      </c>
      <c r="E463">
        <f>YEAR(automotive_demand_forecasting_dataset5678[[#This Row],[Date]])</f>
        <v>2052</v>
      </c>
      <c r="F463">
        <v>97</v>
      </c>
      <c r="G463">
        <f>(automotive_demand_forecasting_dataset5678[[#This Row],[Units_Sold]] -$C$4) / $C$5</f>
        <v>-0.23559761166810378</v>
      </c>
      <c r="H463" s="47" t="str">
        <f t="shared" ca="1" si="43"/>
        <v>East</v>
      </c>
      <c r="I463">
        <v>26971.922301315681</v>
      </c>
      <c r="J463">
        <v>2.658280903889525</v>
      </c>
      <c r="K463">
        <v>2.086534838876724</v>
      </c>
      <c r="L463">
        <v>5.850631273991648</v>
      </c>
      <c r="M463">
        <v>110119.31106911731</v>
      </c>
      <c r="N463" s="82">
        <v>68</v>
      </c>
      <c r="O463">
        <v>23.988811711933138</v>
      </c>
      <c r="P4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63" t="str">
        <f t="shared" ca="1" si="44"/>
        <v>Print</v>
      </c>
      <c r="R463" s="46">
        <f>automotive_demand_forecasting_dataset5678[[#This Row],[Units_Sold]]*automotive_demand_forecasting_dataset5678[[#This Row],[Average_Price]]</f>
        <v>2616276.4632276208</v>
      </c>
      <c r="S463" t="str">
        <f t="shared" ca="1" si="45"/>
        <v>OK</v>
      </c>
    </row>
    <row r="464" spans="1:19">
      <c r="A464" s="1">
        <v>55595</v>
      </c>
      <c r="B464" t="s">
        <v>12</v>
      </c>
      <c r="C464" t="str">
        <f>TEXT(automotive_demand_forecasting_dataset5678[[#This Row],[Date]],"mmmm")</f>
        <v>March</v>
      </c>
      <c r="D464" t="str">
        <f>CHOOSE(MATCH(MONTH(A464), {1,4,7,10}), "Winter", "Spring", "Summer", "Autumn")</f>
        <v>Winter</v>
      </c>
      <c r="E464">
        <f>YEAR(automotive_demand_forecasting_dataset5678[[#This Row],[Date]])</f>
        <v>2052</v>
      </c>
      <c r="F464">
        <v>100</v>
      </c>
      <c r="G464">
        <f>(automotive_demand_forecasting_dataset5678[[#This Row],[Units_Sold]] -$C$4) / $C$5</f>
        <v>7.1703620942466739E-2</v>
      </c>
      <c r="H464" s="47" t="str">
        <f t="shared" ca="1" si="43"/>
        <v>North</v>
      </c>
      <c r="I464">
        <v>38106.295579999998</v>
      </c>
      <c r="J464">
        <v>3.0970649667519057</v>
      </c>
      <c r="K464">
        <v>2.7602805065828862</v>
      </c>
      <c r="L464">
        <v>5.2752051779123503</v>
      </c>
      <c r="M464">
        <v>85434.555951867733</v>
      </c>
      <c r="N464" s="82">
        <v>86</v>
      </c>
      <c r="O464">
        <v>31.992740259771175</v>
      </c>
      <c r="P4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64" t="str">
        <f t="shared" ca="1" si="44"/>
        <v>Billboards</v>
      </c>
      <c r="R464" s="46">
        <f>automotive_demand_forecasting_dataset5678[[#This Row],[Units_Sold]]*automotive_demand_forecasting_dataset5678[[#This Row],[Average_Price]]</f>
        <v>3810629.5579999997</v>
      </c>
      <c r="S464" t="str">
        <f t="shared" ca="1" si="45"/>
        <v>OK</v>
      </c>
    </row>
    <row r="465" spans="1:19">
      <c r="A465" s="1">
        <v>55625</v>
      </c>
      <c r="B465" t="s">
        <v>11</v>
      </c>
      <c r="C465" t="str">
        <f>TEXT(automotive_demand_forecasting_dataset5678[[#This Row],[Date]],"mmmm")</f>
        <v>April</v>
      </c>
      <c r="D465" t="str">
        <f>CHOOSE(MATCH(MONTH(A465), {1,4,7,10}), "Winter", "Spring", "Summer", "Autumn")</f>
        <v>Spring</v>
      </c>
      <c r="E465">
        <f>YEAR(automotive_demand_forecasting_dataset5678[[#This Row],[Date]])</f>
        <v>2052</v>
      </c>
      <c r="F465">
        <v>98</v>
      </c>
      <c r="G465">
        <f>(automotive_demand_forecasting_dataset5678[[#This Row],[Units_Sold]] -$C$4) / $C$5</f>
        <v>-0.13316386746458025</v>
      </c>
      <c r="H465" s="47" t="str">
        <f t="shared" ca="1" si="43"/>
        <v>North</v>
      </c>
      <c r="I465">
        <v>33389.629356696343</v>
      </c>
      <c r="J465">
        <v>3.9824258165487287</v>
      </c>
      <c r="K465">
        <v>1.5362410737893892</v>
      </c>
      <c r="L465">
        <v>2.8141225200100335</v>
      </c>
      <c r="M465">
        <v>143301.12135613203</v>
      </c>
      <c r="N465" s="82">
        <v>90</v>
      </c>
      <c r="O465">
        <v>63.006491044121148</v>
      </c>
      <c r="P4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65" t="str">
        <f t="shared" ca="1" si="44"/>
        <v>Billboards</v>
      </c>
      <c r="R465" s="46">
        <f>automotive_demand_forecasting_dataset5678[[#This Row],[Units_Sold]]*automotive_demand_forecasting_dataset5678[[#This Row],[Average_Price]]</f>
        <v>3272183.6769562415</v>
      </c>
      <c r="S465" t="str">
        <f t="shared" ca="1" si="45"/>
        <v>OK</v>
      </c>
    </row>
    <row r="466" spans="1:19">
      <c r="A466" s="1">
        <v>55655</v>
      </c>
      <c r="B466" t="s">
        <v>10</v>
      </c>
      <c r="C466" t="str">
        <f>TEXT(automotive_demand_forecasting_dataset5678[[#This Row],[Date]],"mmmm")</f>
        <v>May</v>
      </c>
      <c r="D466" t="str">
        <f>CHOOSE(MATCH(MONTH(A466), {1,4,7,10}), "Winter", "Spring", "Summer", "Autumn")</f>
        <v>Spring</v>
      </c>
      <c r="E466">
        <f>YEAR(automotive_demand_forecasting_dataset5678[[#This Row],[Date]])</f>
        <v>2052</v>
      </c>
      <c r="F466">
        <v>121</v>
      </c>
      <c r="G466">
        <f>(automotive_demand_forecasting_dataset5678[[#This Row],[Units_Sold]] -$C$4) / $C$5</f>
        <v>2.2228122492164601</v>
      </c>
      <c r="H466" s="47" t="str">
        <f t="shared" ca="1" si="43"/>
        <v>South</v>
      </c>
      <c r="I466">
        <v>27560.442959271488</v>
      </c>
      <c r="J466">
        <v>4.3077914117741161</v>
      </c>
      <c r="K466">
        <v>1.5428490851049572</v>
      </c>
      <c r="L466">
        <v>2.9551598168379205</v>
      </c>
      <c r="M466">
        <v>123810.97188687192</v>
      </c>
      <c r="N466" s="82">
        <v>80</v>
      </c>
      <c r="O466">
        <v>66.063397689784779</v>
      </c>
      <c r="P4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66" t="str">
        <f t="shared" ca="1" si="44"/>
        <v>Print</v>
      </c>
      <c r="R466" s="46">
        <f>automotive_demand_forecasting_dataset5678[[#This Row],[Units_Sold]]*automotive_demand_forecasting_dataset5678[[#This Row],[Average_Price]]</f>
        <v>3334813.5980718499</v>
      </c>
      <c r="S466" t="str">
        <f t="shared" ca="1" si="45"/>
        <v>OK</v>
      </c>
    </row>
    <row r="467" spans="1:19">
      <c r="A467" s="1">
        <v>55685</v>
      </c>
      <c r="B467" t="s">
        <v>14</v>
      </c>
      <c r="C467" t="str">
        <f>TEXT(automotive_demand_forecasting_dataset5678[[#This Row],[Date]],"mmmm")</f>
        <v>June</v>
      </c>
      <c r="D467" t="str">
        <f>CHOOSE(MATCH(MONTH(A467), {1,4,7,10}), "Winter", "Spring", "Summer", "Autumn")</f>
        <v>Spring</v>
      </c>
      <c r="E467">
        <f>YEAR(automotive_demand_forecasting_dataset5678[[#This Row],[Date]])</f>
        <v>2052</v>
      </c>
      <c r="F467">
        <v>103</v>
      </c>
      <c r="G467">
        <f>(automotive_demand_forecasting_dataset5678[[#This Row],[Units_Sold]] -$C$4) / $C$5</f>
        <v>0.37900485355303726</v>
      </c>
      <c r="H467" s="47" t="str">
        <f t="shared" ca="1" si="43"/>
        <v>South</v>
      </c>
      <c r="I467">
        <v>40786.541066327518</v>
      </c>
      <c r="J467">
        <v>4.5778345189999996</v>
      </c>
      <c r="K467">
        <v>2.6520564320000002</v>
      </c>
      <c r="L467">
        <v>4.7717617865713891</v>
      </c>
      <c r="M467">
        <v>104251.4806126443</v>
      </c>
      <c r="N467" s="82">
        <v>88</v>
      </c>
      <c r="O467">
        <v>65.454227669999995</v>
      </c>
      <c r="P4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67" t="str">
        <f t="shared" ca="1" si="44"/>
        <v>TV</v>
      </c>
      <c r="R467" s="46">
        <f>automotive_demand_forecasting_dataset5678[[#This Row],[Units_Sold]]*automotive_demand_forecasting_dataset5678[[#This Row],[Average_Price]]</f>
        <v>4201013.7298317347</v>
      </c>
      <c r="S467" t="str">
        <f t="shared" ca="1" si="45"/>
        <v>OK</v>
      </c>
    </row>
    <row r="468" spans="1:19">
      <c r="A468" s="1">
        <v>55715</v>
      </c>
      <c r="B468" t="s">
        <v>10</v>
      </c>
      <c r="C468" t="str">
        <f>TEXT(automotive_demand_forecasting_dataset5678[[#This Row],[Date]],"mmmm")</f>
        <v>July</v>
      </c>
      <c r="D468" t="str">
        <f>CHOOSE(MATCH(MONTH(A468), {1,4,7,10}), "Winter", "Spring", "Summer", "Autumn")</f>
        <v>Summer</v>
      </c>
      <c r="E468">
        <f>YEAR(automotive_demand_forecasting_dataset5678[[#This Row],[Date]])</f>
        <v>2052</v>
      </c>
      <c r="F468">
        <v>121</v>
      </c>
      <c r="G468">
        <f>(automotive_demand_forecasting_dataset5678[[#This Row],[Units_Sold]] -$C$4) / $C$5</f>
        <v>2.2228122492164601</v>
      </c>
      <c r="H468" s="47" t="str">
        <f t="shared" ca="1" si="43"/>
        <v>East</v>
      </c>
      <c r="I468">
        <v>38106.295579999998</v>
      </c>
      <c r="J468">
        <v>3.5380713799999999</v>
      </c>
      <c r="K468">
        <v>2.4513476484295489</v>
      </c>
      <c r="L468">
        <v>6.0492239032642621</v>
      </c>
      <c r="M468">
        <v>120539.72526639464</v>
      </c>
      <c r="N468" s="82">
        <v>95</v>
      </c>
      <c r="O468">
        <v>21.357530345237315</v>
      </c>
      <c r="P4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68" t="str">
        <f t="shared" ca="1" si="44"/>
        <v>TV</v>
      </c>
      <c r="R468" s="46">
        <f>automotive_demand_forecasting_dataset5678[[#This Row],[Units_Sold]]*automotive_demand_forecasting_dataset5678[[#This Row],[Average_Price]]</f>
        <v>4610861.7651800001</v>
      </c>
      <c r="S468" t="str">
        <f t="shared" ca="1" si="45"/>
        <v>OK</v>
      </c>
    </row>
    <row r="469" spans="1:19">
      <c r="A469" s="1">
        <v>55745</v>
      </c>
      <c r="B469" t="s">
        <v>13</v>
      </c>
      <c r="C469" t="str">
        <f>TEXT(automotive_demand_forecasting_dataset5678[[#This Row],[Date]],"mmmm")</f>
        <v>August</v>
      </c>
      <c r="D469" t="str">
        <f>CHOOSE(MATCH(MONTH(A469), {1,4,7,10}), "Winter", "Spring", "Summer", "Autumn")</f>
        <v>Summer</v>
      </c>
      <c r="E469">
        <f>YEAR(automotive_demand_forecasting_dataset5678[[#This Row],[Date]])</f>
        <v>2052</v>
      </c>
      <c r="F469">
        <v>103</v>
      </c>
      <c r="G469">
        <f>(automotive_demand_forecasting_dataset5678[[#This Row],[Units_Sold]] -$C$4) / $C$5</f>
        <v>0.37900485355303726</v>
      </c>
      <c r="H469" s="47" t="str">
        <f t="shared" ca="1" si="43"/>
        <v>North</v>
      </c>
      <c r="I469">
        <v>33710.476860046532</v>
      </c>
      <c r="J469">
        <v>3.4867971215205364</v>
      </c>
      <c r="K469">
        <v>2.5327969954115863</v>
      </c>
      <c r="L469">
        <v>5.616047043</v>
      </c>
      <c r="M469">
        <v>122118.00848714617</v>
      </c>
      <c r="N469" s="82">
        <v>93</v>
      </c>
      <c r="O469">
        <v>96.829341969770425</v>
      </c>
      <c r="P4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69" t="str">
        <f t="shared" ca="1" si="44"/>
        <v>Radio</v>
      </c>
      <c r="R469" s="46">
        <f>automotive_demand_forecasting_dataset5678[[#This Row],[Units_Sold]]*automotive_demand_forecasting_dataset5678[[#This Row],[Average_Price]]</f>
        <v>3472179.1165847927</v>
      </c>
      <c r="S469" t="str">
        <f t="shared" ca="1" si="45"/>
        <v>OK</v>
      </c>
    </row>
    <row r="470" spans="1:19">
      <c r="A470" s="1">
        <v>55775</v>
      </c>
      <c r="B470" t="s">
        <v>13</v>
      </c>
      <c r="C470" t="str">
        <f>TEXT(automotive_demand_forecasting_dataset5678[[#This Row],[Date]],"mmmm")</f>
        <v>September</v>
      </c>
      <c r="D470" t="str">
        <f>CHOOSE(MATCH(MONTH(A470), {1,4,7,10}), "Winter", "Spring", "Summer", "Autumn")</f>
        <v>Summer</v>
      </c>
      <c r="E470">
        <f>YEAR(automotive_demand_forecasting_dataset5678[[#This Row],[Date]])</f>
        <v>2052</v>
      </c>
      <c r="F470">
        <v>91</v>
      </c>
      <c r="G470">
        <f>(automotive_demand_forecasting_dataset5678[[#This Row],[Units_Sold]] -$C$4) / $C$5</f>
        <v>-0.85020007688924482</v>
      </c>
      <c r="H470" s="47" t="str">
        <f t="shared" ca="1" si="43"/>
        <v>East</v>
      </c>
      <c r="I470">
        <v>31496.462902032461</v>
      </c>
      <c r="J470">
        <v>4.5778345189999996</v>
      </c>
      <c r="K470">
        <v>1.7415046652999306</v>
      </c>
      <c r="L470">
        <f>6.97388673</f>
        <v>6.9738867300000003</v>
      </c>
      <c r="M470">
        <v>88721.050238835131</v>
      </c>
      <c r="N470" s="82">
        <v>95</v>
      </c>
      <c r="O470">
        <v>23.567047418731519</v>
      </c>
      <c r="P4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70" t="str">
        <f t="shared" ca="1" si="44"/>
        <v>TV</v>
      </c>
      <c r="R470" s="46">
        <f>automotive_demand_forecasting_dataset5678[[#This Row],[Units_Sold]]*automotive_demand_forecasting_dataset5678[[#This Row],[Average_Price]]</f>
        <v>2866178.1240849542</v>
      </c>
      <c r="S470" t="str">
        <f t="shared" ca="1" si="45"/>
        <v>OK</v>
      </c>
    </row>
    <row r="471" spans="1:19">
      <c r="A471" s="1">
        <v>55805</v>
      </c>
      <c r="B471" t="s">
        <v>12</v>
      </c>
      <c r="C471" t="str">
        <f>TEXT(automotive_demand_forecasting_dataset5678[[#This Row],[Date]],"mmmm")</f>
        <v>October</v>
      </c>
      <c r="D471" t="str">
        <f>CHOOSE(MATCH(MONTH(A471), {1,4,7,10}), "Winter", "Spring", "Summer", "Autumn")</f>
        <v>Autumn</v>
      </c>
      <c r="E471">
        <f>YEAR(automotive_demand_forecasting_dataset5678[[#This Row],[Date]])</f>
        <v>2052</v>
      </c>
      <c r="F471">
        <v>91</v>
      </c>
      <c r="G471">
        <f>(automotive_demand_forecasting_dataset5678[[#This Row],[Units_Sold]] -$C$4) / $C$5</f>
        <v>-0.85020007688924482</v>
      </c>
      <c r="H471" s="47" t="str">
        <f t="shared" ca="1" si="43"/>
        <v>West</v>
      </c>
      <c r="I471">
        <v>36508.706446993994</v>
      </c>
      <c r="J471">
        <v>3.0951982400391769</v>
      </c>
      <c r="K471">
        <v>2.2695992857942326</v>
      </c>
      <c r="L471">
        <v>4.8685025721790947</v>
      </c>
      <c r="M471">
        <v>83675.655109160711</v>
      </c>
      <c r="N471" s="82">
        <v>93</v>
      </c>
      <c r="O471">
        <v>31.444956217872189</v>
      </c>
      <c r="P4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71" t="str">
        <f t="shared" ca="1" si="44"/>
        <v>Billboards</v>
      </c>
      <c r="R471" s="46">
        <f>automotive_demand_forecasting_dataset5678[[#This Row],[Units_Sold]]*automotive_demand_forecasting_dataset5678[[#This Row],[Average_Price]]</f>
        <v>3322292.2866764534</v>
      </c>
      <c r="S471" t="str">
        <f t="shared" ca="1" si="45"/>
        <v>OK</v>
      </c>
    </row>
    <row r="472" spans="1:19">
      <c r="A472" s="1">
        <v>55835</v>
      </c>
      <c r="B472" t="s">
        <v>11</v>
      </c>
      <c r="C472" t="str">
        <f>TEXT(automotive_demand_forecasting_dataset5678[[#This Row],[Date]],"mmmm")</f>
        <v>November</v>
      </c>
      <c r="D472" t="str">
        <f>CHOOSE(MATCH(MONTH(A472), {1,4,7,10}), "Winter", "Spring", "Summer", "Autumn")</f>
        <v>Autumn</v>
      </c>
      <c r="E472">
        <f>YEAR(automotive_demand_forecasting_dataset5678[[#This Row],[Date]])</f>
        <v>2052</v>
      </c>
      <c r="F472">
        <v>100</v>
      </c>
      <c r="G472">
        <f>(automotive_demand_forecasting_dataset5678[[#This Row],[Units_Sold]] -$C$4) / $C$5</f>
        <v>7.1703620942466739E-2</v>
      </c>
      <c r="H472" s="47" t="str">
        <f t="shared" ca="1" si="43"/>
        <v>South</v>
      </c>
      <c r="I472">
        <v>37807.555983634265</v>
      </c>
      <c r="J472">
        <v>3.7120305222320447</v>
      </c>
      <c r="K472">
        <v>1.5757668557316955</v>
      </c>
      <c r="L472">
        <v>7.166005333850137</v>
      </c>
      <c r="M472">
        <v>101562.86125939294</v>
      </c>
      <c r="N472" s="82">
        <v>81</v>
      </c>
      <c r="O472">
        <v>21.12116140208456</v>
      </c>
      <c r="P4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72" t="str">
        <f t="shared" ca="1" si="44"/>
        <v>Radio</v>
      </c>
      <c r="R472" s="46">
        <f>automotive_demand_forecasting_dataset5678[[#This Row],[Units_Sold]]*automotive_demand_forecasting_dataset5678[[#This Row],[Average_Price]]</f>
        <v>3780755.5983634265</v>
      </c>
      <c r="S472" t="str">
        <f t="shared" ca="1" si="45"/>
        <v>OK</v>
      </c>
    </row>
    <row r="473" spans="1:19">
      <c r="A473" s="1">
        <v>55865</v>
      </c>
      <c r="B473" t="s">
        <v>14</v>
      </c>
      <c r="C473" t="str">
        <f>TEXT(automotive_demand_forecasting_dataset5678[[#This Row],[Date]],"mmmm")</f>
        <v>December</v>
      </c>
      <c r="D473" t="str">
        <f>CHOOSE(MATCH(MONTH(A473), {1,4,7,10}), "Winter", "Spring", "Summer", "Autumn")</f>
        <v>Autumn</v>
      </c>
      <c r="E473">
        <f>YEAR(automotive_demand_forecasting_dataset5678[[#This Row],[Date]])</f>
        <v>2052</v>
      </c>
      <c r="F473">
        <v>97</v>
      </c>
      <c r="G473">
        <f>(automotive_demand_forecasting_dataset5678[[#This Row],[Units_Sold]] -$C$4) / $C$5</f>
        <v>-0.23559761166810378</v>
      </c>
      <c r="H473" s="47" t="str">
        <f t="shared" ca="1" si="43"/>
        <v>West</v>
      </c>
      <c r="I473">
        <v>30160.020745328835</v>
      </c>
      <c r="J473">
        <v>3.263080326464542</v>
      </c>
      <c r="K473">
        <v>3.3901984111247869</v>
      </c>
      <c r="L473">
        <v>5.0379738259445634</v>
      </c>
      <c r="M473">
        <v>117232.72248995888</v>
      </c>
      <c r="N473" s="82">
        <v>89</v>
      </c>
      <c r="O473">
        <v>65.348674663527575</v>
      </c>
      <c r="P4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73" t="str">
        <f t="shared" ca="1" si="44"/>
        <v>Print</v>
      </c>
      <c r="R473" s="46">
        <f>automotive_demand_forecasting_dataset5678[[#This Row],[Units_Sold]]*automotive_demand_forecasting_dataset5678[[#This Row],[Average_Price]]</f>
        <v>2925522.0122968969</v>
      </c>
      <c r="S473" t="str">
        <f t="shared" ca="1" si="45"/>
        <v>OK</v>
      </c>
    </row>
    <row r="474" spans="1:19">
      <c r="A474" s="1">
        <v>55895</v>
      </c>
      <c r="B474" t="s">
        <v>10</v>
      </c>
      <c r="C474" t="str">
        <f>TEXT(automotive_demand_forecasting_dataset5678[[#This Row],[Date]],"mmmm")</f>
        <v>January</v>
      </c>
      <c r="D474" t="str">
        <f>CHOOSE(MATCH(MONTH(A474), {1,4,7,10}), "Winter", "Spring", "Summer", "Autumn")</f>
        <v>Winter</v>
      </c>
      <c r="E474">
        <f>YEAR(automotive_demand_forecasting_dataset5678[[#This Row],[Date]])</f>
        <v>2053</v>
      </c>
      <c r="F474">
        <v>106</v>
      </c>
      <c r="G474">
        <f>(automotive_demand_forecasting_dataset5678[[#This Row],[Units_Sold]] -$C$4) / $C$5</f>
        <v>0.68630608616360778</v>
      </c>
      <c r="H474" s="47" t="str">
        <f t="shared" ca="1" si="43"/>
        <v>North</v>
      </c>
      <c r="I474">
        <v>26232.910648269084</v>
      </c>
      <c r="J474">
        <v>3.4927738645608604</v>
      </c>
      <c r="K474">
        <f t="shared" ref="K474" si="46">3.224108373</f>
        <v>3.224108373</v>
      </c>
      <c r="L474">
        <v>5.9595867816891142</v>
      </c>
      <c r="M474">
        <v>102781.20797306835</v>
      </c>
      <c r="N474" s="82">
        <v>73</v>
      </c>
      <c r="O474">
        <v>94.581350713677779</v>
      </c>
      <c r="P4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74" t="str">
        <f t="shared" ca="1" si="44"/>
        <v>Radio</v>
      </c>
      <c r="R474" s="46">
        <f>automotive_demand_forecasting_dataset5678[[#This Row],[Units_Sold]]*automotive_demand_forecasting_dataset5678[[#This Row],[Average_Price]]</f>
        <v>2780688.5287165227</v>
      </c>
      <c r="S474" t="str">
        <f t="shared" ca="1" si="45"/>
        <v>OK</v>
      </c>
    </row>
    <row r="475" spans="1:19">
      <c r="A475" s="1">
        <v>55925</v>
      </c>
      <c r="B475" t="s">
        <v>11</v>
      </c>
      <c r="C475" t="str">
        <f>TEXT(automotive_demand_forecasting_dataset5678[[#This Row],[Date]],"mmmm")</f>
        <v>February</v>
      </c>
      <c r="D475" t="str">
        <f>CHOOSE(MATCH(MONTH(A475), {1,4,7,10}), "Winter", "Spring", "Summer", "Autumn")</f>
        <v>Winter</v>
      </c>
      <c r="E475">
        <f>YEAR(automotive_demand_forecasting_dataset5678[[#This Row],[Date]])</f>
        <v>2053</v>
      </c>
      <c r="F475">
        <v>110</v>
      </c>
      <c r="G475">
        <f>(automotive_demand_forecasting_dataset5678[[#This Row],[Units_Sold]] -$C$4) / $C$5</f>
        <v>1.0960410629777018</v>
      </c>
      <c r="H475" s="47" t="str">
        <f t="shared" ca="1" si="43"/>
        <v>East</v>
      </c>
      <c r="I475">
        <v>32299.860714695584</v>
      </c>
      <c r="J475">
        <v>4.5778345189999996</v>
      </c>
      <c r="K475">
        <v>0.65381213776190616</v>
      </c>
      <c r="L475">
        <v>5.616047043</v>
      </c>
      <c r="M475">
        <v>68460.070356180047</v>
      </c>
      <c r="N475" s="82">
        <v>90</v>
      </c>
      <c r="O475">
        <v>73.275773286437129</v>
      </c>
      <c r="P4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75" t="str">
        <f t="shared" ca="1" si="44"/>
        <v>Radio</v>
      </c>
      <c r="R475" s="46">
        <f>automotive_demand_forecasting_dataset5678[[#This Row],[Units_Sold]]*automotive_demand_forecasting_dataset5678[[#This Row],[Average_Price]]</f>
        <v>3552984.6786165144</v>
      </c>
      <c r="S475" t="str">
        <f t="shared" ca="1" si="45"/>
        <v>OK</v>
      </c>
    </row>
    <row r="476" spans="1:19">
      <c r="A476" s="1">
        <v>55955</v>
      </c>
      <c r="B476" t="s">
        <v>13</v>
      </c>
      <c r="C476" t="str">
        <f>TEXT(automotive_demand_forecasting_dataset5678[[#This Row],[Date]],"mmmm")</f>
        <v>March</v>
      </c>
      <c r="D476" t="str">
        <f>CHOOSE(MATCH(MONTH(A476), {1,4,7,10}), "Winter", "Spring", "Summer", "Autumn")</f>
        <v>Winter</v>
      </c>
      <c r="E476">
        <f>YEAR(automotive_demand_forecasting_dataset5678[[#This Row],[Date]])</f>
        <v>2053</v>
      </c>
      <c r="F476">
        <v>91</v>
      </c>
      <c r="G476">
        <f>(automotive_demand_forecasting_dataset5678[[#This Row],[Units_Sold]] -$C$4) / $C$5</f>
        <v>-0.85020007688924482</v>
      </c>
      <c r="H476" s="47" t="str">
        <f t="shared" ca="1" si="43"/>
        <v>North</v>
      </c>
      <c r="I476">
        <v>26611.423151239469</v>
      </c>
      <c r="J476">
        <v>3.5032111349054689</v>
      </c>
      <c r="K476">
        <v>1.57048913980759</v>
      </c>
      <c r="L476">
        <v>2.9433202242313592</v>
      </c>
      <c r="M476">
        <v>83943.511120983152</v>
      </c>
      <c r="N476" s="82">
        <v>91</v>
      </c>
      <c r="O476">
        <v>85.812597478434185</v>
      </c>
      <c r="P4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76" t="str">
        <f t="shared" ca="1" si="44"/>
        <v>Radio</v>
      </c>
      <c r="R476" s="46">
        <f>automotive_demand_forecasting_dataset5678[[#This Row],[Units_Sold]]*automotive_demand_forecasting_dataset5678[[#This Row],[Average_Price]]</f>
        <v>2421639.5067627919</v>
      </c>
      <c r="S476" t="str">
        <f t="shared" ca="1" si="45"/>
        <v>OK</v>
      </c>
    </row>
    <row r="477" spans="1:19">
      <c r="A477" s="1">
        <v>55985</v>
      </c>
      <c r="B477" t="s">
        <v>11</v>
      </c>
      <c r="C477" t="str">
        <f>TEXT(automotive_demand_forecasting_dataset5678[[#This Row],[Date]],"mmmm")</f>
        <v>April</v>
      </c>
      <c r="D477" t="str">
        <f>CHOOSE(MATCH(MONTH(A477), {1,4,7,10}), "Winter", "Spring", "Summer", "Autumn")</f>
        <v>Spring</v>
      </c>
      <c r="E477">
        <f>YEAR(automotive_demand_forecasting_dataset5678[[#This Row],[Date]])</f>
        <v>2053</v>
      </c>
      <c r="F477">
        <v>103</v>
      </c>
      <c r="G477">
        <f>(automotive_demand_forecasting_dataset5678[[#This Row],[Units_Sold]] -$C$4) / $C$5</f>
        <v>0.37900485355303726</v>
      </c>
      <c r="H477" s="47" t="str">
        <f t="shared" ca="1" si="43"/>
        <v>East</v>
      </c>
      <c r="I477">
        <v>40066.936237633112</v>
      </c>
      <c r="J477">
        <v>3.2818070547367157</v>
      </c>
      <c r="K477">
        <v>1.0034707449099209</v>
      </c>
      <c r="L477">
        <v>6.4218486599580844</v>
      </c>
      <c r="M477">
        <v>98520.542728112443</v>
      </c>
      <c r="N477" s="82">
        <v>84</v>
      </c>
      <c r="O477">
        <v>21.062496276686407</v>
      </c>
      <c r="P4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77" t="str">
        <f t="shared" ca="1" si="44"/>
        <v>Print</v>
      </c>
      <c r="R477" s="46">
        <f>automotive_demand_forecasting_dataset5678[[#This Row],[Units_Sold]]*automotive_demand_forecasting_dataset5678[[#This Row],[Average_Price]]</f>
        <v>4126894.4324762104</v>
      </c>
      <c r="S477" t="str">
        <f t="shared" ca="1" si="45"/>
        <v>OK</v>
      </c>
    </row>
    <row r="478" spans="1:19">
      <c r="A478" s="1">
        <v>56015</v>
      </c>
      <c r="B478" t="s">
        <v>10</v>
      </c>
      <c r="C478" t="str">
        <f>TEXT(automotive_demand_forecasting_dataset5678[[#This Row],[Date]],"mmmm")</f>
        <v>May</v>
      </c>
      <c r="D478" t="str">
        <f>CHOOSE(MATCH(MONTH(A478), {1,4,7,10}), "Winter", "Spring", "Summer", "Autumn")</f>
        <v>Spring</v>
      </c>
      <c r="E478">
        <f>YEAR(automotive_demand_forecasting_dataset5678[[#This Row],[Date]])</f>
        <v>2053</v>
      </c>
      <c r="F478">
        <v>84</v>
      </c>
      <c r="G478">
        <f>(automotive_demand_forecasting_dataset5678[[#This Row],[Units_Sold]] -$C$4) / $C$5</f>
        <v>-1.5672362863139093</v>
      </c>
      <c r="H478" s="47" t="str">
        <f t="shared" ca="1" si="43"/>
        <v>North</v>
      </c>
      <c r="I478">
        <v>30682.676655413688</v>
      </c>
      <c r="J478">
        <v>3.4451950980370847</v>
      </c>
      <c r="K478">
        <v>1.8499760655931019</v>
      </c>
      <c r="L478">
        <v>5.7584758065475459</v>
      </c>
      <c r="M478">
        <v>98486.687913483402</v>
      </c>
      <c r="N478" s="82">
        <v>81</v>
      </c>
      <c r="O478">
        <v>63.361223878378084</v>
      </c>
      <c r="P4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Q478" t="str">
        <f t="shared" ca="1" si="44"/>
        <v>Billboards</v>
      </c>
      <c r="R478" s="46">
        <f>automotive_demand_forecasting_dataset5678[[#This Row],[Units_Sold]]*automotive_demand_forecasting_dataset5678[[#This Row],[Average_Price]]</f>
        <v>2577344.8390547498</v>
      </c>
      <c r="S478" t="str">
        <f t="shared" ca="1" si="45"/>
        <v>OK</v>
      </c>
    </row>
    <row r="479" spans="1:19">
      <c r="A479" s="1">
        <v>56045</v>
      </c>
      <c r="B479" t="s">
        <v>11</v>
      </c>
      <c r="C479" t="str">
        <f>TEXT(automotive_demand_forecasting_dataset5678[[#This Row],[Date]],"mmmm")</f>
        <v>June</v>
      </c>
      <c r="D479" t="str">
        <f>CHOOSE(MATCH(MONTH(A479), {1,4,7,10}), "Winter", "Spring", "Summer", "Autumn")</f>
        <v>Spring</v>
      </c>
      <c r="E479">
        <f>YEAR(automotive_demand_forecasting_dataset5678[[#This Row],[Date]])</f>
        <v>2053</v>
      </c>
      <c r="F479">
        <v>93</v>
      </c>
      <c r="G479">
        <f>(automotive_demand_forecasting_dataset5678[[#This Row],[Units_Sold]] -$C$4) / $C$5</f>
        <v>-0.64533258848219777</v>
      </c>
      <c r="H479" s="47" t="str">
        <f t="shared" ca="1" si="43"/>
        <v>North</v>
      </c>
      <c r="I479">
        <v>28173.392243439455</v>
      </c>
      <c r="J479">
        <v>3.4558185203973322</v>
      </c>
      <c r="K479">
        <v>2.4165620302096391</v>
      </c>
      <c r="L479">
        <v>6.1099223676095074</v>
      </c>
      <c r="M479">
        <v>139450.84353579616</v>
      </c>
      <c r="N479" s="82">
        <v>96</v>
      </c>
      <c r="O479">
        <v>56.765038200441751</v>
      </c>
      <c r="P4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79" t="str">
        <f t="shared" ca="1" si="44"/>
        <v>Online</v>
      </c>
      <c r="R479" s="46">
        <f>automotive_demand_forecasting_dataset5678[[#This Row],[Units_Sold]]*automotive_demand_forecasting_dataset5678[[#This Row],[Average_Price]]</f>
        <v>2620125.4786398695</v>
      </c>
      <c r="S479" t="str">
        <f t="shared" ca="1" si="45"/>
        <v>OK</v>
      </c>
    </row>
    <row r="480" spans="1:19">
      <c r="A480" s="1">
        <v>56075</v>
      </c>
      <c r="B480" t="s">
        <v>13</v>
      </c>
      <c r="C480" t="str">
        <f>TEXT(automotive_demand_forecasting_dataset5678[[#This Row],[Date]],"mmmm")</f>
        <v>July</v>
      </c>
      <c r="D480" t="str">
        <f>CHOOSE(MATCH(MONTH(A480), {1,4,7,10}), "Winter", "Spring", "Summer", "Autumn")</f>
        <v>Summer</v>
      </c>
      <c r="E480">
        <f>YEAR(automotive_demand_forecasting_dataset5678[[#This Row],[Date]])</f>
        <v>2053</v>
      </c>
      <c r="F480">
        <v>113</v>
      </c>
      <c r="G480">
        <f>(automotive_demand_forecasting_dataset5678[[#This Row],[Units_Sold]] -$C$4) / $C$5</f>
        <v>1.4033422955882724</v>
      </c>
      <c r="H480" s="47" t="str">
        <f t="shared" ca="1" si="43"/>
        <v>South</v>
      </c>
      <c r="I480">
        <v>30949.702720000001</v>
      </c>
      <c r="J480">
        <v>3.3149944850589361</v>
      </c>
      <c r="K480">
        <v>1.0503547803014699</v>
      </c>
      <c r="L480">
        <v>5.616047043</v>
      </c>
      <c r="M480">
        <v>72280.24115202004</v>
      </c>
      <c r="N480" s="82">
        <v>86</v>
      </c>
      <c r="O480">
        <v>59.917435537663444</v>
      </c>
      <c r="P4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80" t="str">
        <f t="shared" ca="1" si="44"/>
        <v>Radio</v>
      </c>
      <c r="R480" s="46">
        <f>automotive_demand_forecasting_dataset5678[[#This Row],[Units_Sold]]*automotive_demand_forecasting_dataset5678[[#This Row],[Average_Price]]</f>
        <v>3497316.4073600001</v>
      </c>
      <c r="S480" t="str">
        <f t="shared" ca="1" si="45"/>
        <v>OK</v>
      </c>
    </row>
    <row r="481" spans="1:19">
      <c r="A481" s="1">
        <v>56105</v>
      </c>
      <c r="B481" t="s">
        <v>11</v>
      </c>
      <c r="C481" t="str">
        <f>TEXT(automotive_demand_forecasting_dataset5678[[#This Row],[Date]],"mmmm")</f>
        <v>August</v>
      </c>
      <c r="D481" t="str">
        <f>CHOOSE(MATCH(MONTH(A481), {1,4,7,10}), "Winter", "Spring", "Summer", "Autumn")</f>
        <v>Summer</v>
      </c>
      <c r="E481">
        <f>YEAR(automotive_demand_forecasting_dataset5678[[#This Row],[Date]])</f>
        <v>2053</v>
      </c>
      <c r="F481">
        <v>105</v>
      </c>
      <c r="G481">
        <f>(automotive_demand_forecasting_dataset5678[[#This Row],[Units_Sold]] -$C$4) / $C$5</f>
        <v>0.58387234196008431</v>
      </c>
      <c r="H481" s="47" t="str">
        <f t="shared" ca="1" si="43"/>
        <v>East</v>
      </c>
      <c r="I481">
        <v>23264.368552351516</v>
      </c>
      <c r="J481">
        <v>3.370601968666449</v>
      </c>
      <c r="K481">
        <v>1.5781401868746867</v>
      </c>
      <c r="L481">
        <v>5.616047043</v>
      </c>
      <c r="M481">
        <v>110111.78483671749</v>
      </c>
      <c r="N481" s="82">
        <v>99</v>
      </c>
      <c r="O481">
        <v>25.777054826815036</v>
      </c>
      <c r="P4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81" t="str">
        <f t="shared" ca="1" si="44"/>
        <v>Online</v>
      </c>
      <c r="R481" s="46">
        <f>automotive_demand_forecasting_dataset5678[[#This Row],[Units_Sold]]*automotive_demand_forecasting_dataset5678[[#This Row],[Average_Price]]</f>
        <v>2442758.6979969093</v>
      </c>
      <c r="S481" t="str">
        <f t="shared" ca="1" si="45"/>
        <v>OK</v>
      </c>
    </row>
    <row r="482" spans="1:19">
      <c r="A482" s="1">
        <v>56135</v>
      </c>
      <c r="B482" t="s">
        <v>14</v>
      </c>
      <c r="C482" t="str">
        <f>TEXT(automotive_demand_forecasting_dataset5678[[#This Row],[Date]],"mmmm")</f>
        <v>September</v>
      </c>
      <c r="D482" t="str">
        <f>CHOOSE(MATCH(MONTH(A482), {1,4,7,10}), "Winter", "Spring", "Summer", "Autumn")</f>
        <v>Summer</v>
      </c>
      <c r="E482">
        <f>YEAR(automotive_demand_forecasting_dataset5678[[#This Row],[Date]])</f>
        <v>2053</v>
      </c>
      <c r="F482">
        <v>83</v>
      </c>
      <c r="G482">
        <f>(automotive_demand_forecasting_dataset5678[[#This Row],[Units_Sold]] -$C$4) / $C$5</f>
        <v>-1.6696700305174328</v>
      </c>
      <c r="H482" s="47" t="str">
        <f t="shared" ca="1" si="43"/>
        <v>South</v>
      </c>
      <c r="I482">
        <v>25141.929807446744</v>
      </c>
      <c r="J482">
        <v>4.2993235852523588</v>
      </c>
      <c r="K482">
        <v>1.4960426279185015</v>
      </c>
      <c r="L482">
        <v>7.5696359797133299</v>
      </c>
      <c r="M482">
        <v>129782.26216656579</v>
      </c>
      <c r="N482" s="82">
        <v>72</v>
      </c>
      <c r="O482">
        <v>74.754828885544597</v>
      </c>
      <c r="P4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82" t="str">
        <f t="shared" ca="1" si="44"/>
        <v>TV</v>
      </c>
      <c r="R482" s="46">
        <f>automotive_demand_forecasting_dataset5678[[#This Row],[Units_Sold]]*automotive_demand_forecasting_dataset5678[[#This Row],[Average_Price]]</f>
        <v>2086780.1740180799</v>
      </c>
      <c r="S482" t="str">
        <f t="shared" ca="1" si="45"/>
        <v>OK</v>
      </c>
    </row>
    <row r="483" spans="1:19">
      <c r="A483" s="1">
        <v>56165</v>
      </c>
      <c r="B483" t="s">
        <v>11</v>
      </c>
      <c r="C483" t="str">
        <f>TEXT(automotive_demand_forecasting_dataset5678[[#This Row],[Date]],"mmmm")</f>
        <v>October</v>
      </c>
      <c r="D483" t="str">
        <f>CHOOSE(MATCH(MONTH(A483), {1,4,7,10}), "Winter", "Spring", "Summer", "Autumn")</f>
        <v>Autumn</v>
      </c>
      <c r="E483">
        <f>YEAR(automotive_demand_forecasting_dataset5678[[#This Row],[Date]])</f>
        <v>2053</v>
      </c>
      <c r="F483">
        <v>96</v>
      </c>
      <c r="G483">
        <f>(automotive_demand_forecasting_dataset5678[[#This Row],[Units_Sold]] -$C$4) / $C$5</f>
        <v>-0.33803135587162725</v>
      </c>
      <c r="H483" s="47" t="str">
        <f t="shared" ca="1" si="43"/>
        <v>East</v>
      </c>
      <c r="I483">
        <v>36002.069539722128</v>
      </c>
      <c r="J483">
        <v>3.7804597239706195</v>
      </c>
      <c r="K483">
        <v>2.707267329398944</v>
      </c>
      <c r="L483">
        <v>5.1550629767195737</v>
      </c>
      <c r="M483">
        <v>145428.99490845593</v>
      </c>
      <c r="N483" s="82">
        <v>83</v>
      </c>
      <c r="O483">
        <v>60.257633188690754</v>
      </c>
      <c r="P4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83" t="str">
        <f t="shared" ca="1" si="44"/>
        <v>Online</v>
      </c>
      <c r="R483" s="46">
        <f>automotive_demand_forecasting_dataset5678[[#This Row],[Units_Sold]]*automotive_demand_forecasting_dataset5678[[#This Row],[Average_Price]]</f>
        <v>3456198.6758133243</v>
      </c>
      <c r="S483" t="str">
        <f t="shared" ca="1" si="45"/>
        <v>OK</v>
      </c>
    </row>
    <row r="484" spans="1:19">
      <c r="A484" s="1">
        <v>56195</v>
      </c>
      <c r="B484" t="s">
        <v>14</v>
      </c>
      <c r="C484" t="str">
        <f>TEXT(automotive_demand_forecasting_dataset5678[[#This Row],[Date]],"mmmm")</f>
        <v>November</v>
      </c>
      <c r="D484" t="str">
        <f>CHOOSE(MATCH(MONTH(A484), {1,4,7,10}), "Winter", "Spring", "Summer", "Autumn")</f>
        <v>Autumn</v>
      </c>
      <c r="E484">
        <f>YEAR(automotive_demand_forecasting_dataset5678[[#This Row],[Date]])</f>
        <v>2053</v>
      </c>
      <c r="F484">
        <v>107</v>
      </c>
      <c r="G484">
        <f>(automotive_demand_forecasting_dataset5678[[#This Row],[Units_Sold]] -$C$4) / $C$5</f>
        <v>0.78873983036713124</v>
      </c>
      <c r="H484" s="47" t="str">
        <f t="shared" ca="1" si="43"/>
        <v>West</v>
      </c>
      <c r="I484">
        <v>26715.528605143023</v>
      </c>
      <c r="J484">
        <v>3.3522598409854196</v>
      </c>
      <c r="K484">
        <v>2.5693443370362505</v>
      </c>
      <c r="L484">
        <v>5.8447946852836115</v>
      </c>
      <c r="M484">
        <v>91912.051536320767</v>
      </c>
      <c r="N484" s="82">
        <v>98</v>
      </c>
      <c r="O484">
        <v>81.211907988901118</v>
      </c>
      <c r="P4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84" t="str">
        <f t="shared" ca="1" si="44"/>
        <v>Billboards</v>
      </c>
      <c r="R484" s="46">
        <f>automotive_demand_forecasting_dataset5678[[#This Row],[Units_Sold]]*automotive_demand_forecasting_dataset5678[[#This Row],[Average_Price]]</f>
        <v>2858561.5607503033</v>
      </c>
      <c r="S484" t="str">
        <f t="shared" ca="1" si="45"/>
        <v>OK</v>
      </c>
    </row>
    <row r="485" spans="1:19">
      <c r="A485" s="1">
        <v>56225</v>
      </c>
      <c r="B485" t="s">
        <v>11</v>
      </c>
      <c r="C485" t="str">
        <f>TEXT(automotive_demand_forecasting_dataset5678[[#This Row],[Date]],"mmmm")</f>
        <v>December</v>
      </c>
      <c r="D485" t="str">
        <f>CHOOSE(MATCH(MONTH(A485), {1,4,7,10}), "Winter", "Spring", "Summer", "Autumn")</f>
        <v>Autumn</v>
      </c>
      <c r="E485">
        <f>YEAR(automotive_demand_forecasting_dataset5678[[#This Row],[Date]])</f>
        <v>2053</v>
      </c>
      <c r="F485">
        <v>83</v>
      </c>
      <c r="G485">
        <f>(automotive_demand_forecasting_dataset5678[[#This Row],[Units_Sold]] -$C$4) / $C$5</f>
        <v>-1.6696700305174328</v>
      </c>
      <c r="H485" s="47" t="str">
        <f t="shared" ca="1" si="43"/>
        <v>West</v>
      </c>
      <c r="I485">
        <v>24765.445086590302</v>
      </c>
      <c r="J485">
        <v>3.8484772022553679</v>
      </c>
      <c r="K485">
        <v>1.7782624466627466</v>
      </c>
      <c r="L485">
        <v>5.4453853056385091</v>
      </c>
      <c r="M485">
        <v>109828.589054404</v>
      </c>
      <c r="N485" s="82">
        <v>101</v>
      </c>
      <c r="O485">
        <v>58.823250724937225</v>
      </c>
      <c r="P4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85" t="str">
        <f t="shared" ca="1" si="44"/>
        <v>Print</v>
      </c>
      <c r="R485" s="46">
        <f>automotive_demand_forecasting_dataset5678[[#This Row],[Units_Sold]]*automotive_demand_forecasting_dataset5678[[#This Row],[Average_Price]]</f>
        <v>2055531.9421869949</v>
      </c>
      <c r="S485" t="str">
        <f t="shared" ca="1" si="45"/>
        <v>OK</v>
      </c>
    </row>
    <row r="486" spans="1:19">
      <c r="A486" s="1">
        <v>56255</v>
      </c>
      <c r="B486" t="s">
        <v>13</v>
      </c>
      <c r="C486" t="str">
        <f>TEXT(automotive_demand_forecasting_dataset5678[[#This Row],[Date]],"mmmm")</f>
        <v>January</v>
      </c>
      <c r="D486" t="str">
        <f>CHOOSE(MATCH(MONTH(A486), {1,4,7,10}), "Winter", "Spring", "Summer", "Autumn")</f>
        <v>Winter</v>
      </c>
      <c r="E486">
        <f>YEAR(automotive_demand_forecasting_dataset5678[[#This Row],[Date]])</f>
        <v>2054</v>
      </c>
      <c r="F486">
        <v>105</v>
      </c>
      <c r="G486">
        <f>(automotive_demand_forecasting_dataset5678[[#This Row],[Units_Sold]] -$C$4) / $C$5</f>
        <v>0.58387234196008431</v>
      </c>
      <c r="H486" s="47" t="str">
        <f t="shared" ca="1" si="43"/>
        <v>North</v>
      </c>
      <c r="I486">
        <v>32683.26376263643</v>
      </c>
      <c r="J486">
        <v>3.333090255121995</v>
      </c>
      <c r="K486">
        <v>2.6768208721393978</v>
      </c>
      <c r="L486">
        <v>4.990916399922348</v>
      </c>
      <c r="M486">
        <v>111395.20714397293</v>
      </c>
      <c r="N486" s="82">
        <v>90</v>
      </c>
      <c r="O486">
        <v>31.950530898114565</v>
      </c>
      <c r="P4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86" t="str">
        <f t="shared" ca="1" si="44"/>
        <v>TV</v>
      </c>
      <c r="R486" s="46">
        <f>automotive_demand_forecasting_dataset5678[[#This Row],[Units_Sold]]*automotive_demand_forecasting_dataset5678[[#This Row],[Average_Price]]</f>
        <v>3431742.6950768251</v>
      </c>
      <c r="S486" t="str">
        <f t="shared" ca="1" si="45"/>
        <v>OK</v>
      </c>
    </row>
    <row r="487" spans="1:19">
      <c r="A487" s="1">
        <v>56285</v>
      </c>
      <c r="B487" t="s">
        <v>12</v>
      </c>
      <c r="C487" t="str">
        <f>TEXT(automotive_demand_forecasting_dataset5678[[#This Row],[Date]],"mmmm")</f>
        <v>February</v>
      </c>
      <c r="D487" t="str">
        <f>CHOOSE(MATCH(MONTH(A487), {1,4,7,10}), "Winter", "Spring", "Summer", "Autumn")</f>
        <v>Winter</v>
      </c>
      <c r="E487">
        <f>YEAR(automotive_demand_forecasting_dataset5678[[#This Row],[Date]])</f>
        <v>2054</v>
      </c>
      <c r="F487">
        <v>112</v>
      </c>
      <c r="G487">
        <f>(automotive_demand_forecasting_dataset5678[[#This Row],[Units_Sold]] -$C$4) / $C$5</f>
        <v>1.3009085513847487</v>
      </c>
      <c r="H487" s="47" t="str">
        <f t="shared" ca="1" si="43"/>
        <v>East</v>
      </c>
      <c r="I487">
        <v>35928.520773314987</v>
      </c>
      <c r="J487">
        <v>4.0865623187933204</v>
      </c>
      <c r="K487">
        <v>1.9533199154127345</v>
      </c>
      <c r="L487">
        <v>4.8162004861134893</v>
      </c>
      <c r="M487">
        <v>103909.63463106581</v>
      </c>
      <c r="N487" s="82">
        <v>71</v>
      </c>
      <c r="O487">
        <v>71.860556326225762</v>
      </c>
      <c r="P4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487" t="str">
        <f t="shared" ca="1" si="44"/>
        <v>Radio</v>
      </c>
      <c r="R487" s="46">
        <f>automotive_demand_forecasting_dataset5678[[#This Row],[Units_Sold]]*automotive_demand_forecasting_dataset5678[[#This Row],[Average_Price]]</f>
        <v>4023994.3266112786</v>
      </c>
      <c r="S487" t="str">
        <f t="shared" ca="1" si="45"/>
        <v>OK</v>
      </c>
    </row>
    <row r="488" spans="1:19">
      <c r="A488" s="1">
        <v>56315</v>
      </c>
      <c r="B488" t="s">
        <v>12</v>
      </c>
      <c r="C488" t="str">
        <f>TEXT(automotive_demand_forecasting_dataset5678[[#This Row],[Date]],"mmmm")</f>
        <v>March</v>
      </c>
      <c r="D488" t="str">
        <f>CHOOSE(MATCH(MONTH(A488), {1,4,7,10}), "Winter", "Spring", "Summer", "Autumn")</f>
        <v>Winter</v>
      </c>
      <c r="E488">
        <f>YEAR(automotive_demand_forecasting_dataset5678[[#This Row],[Date]])</f>
        <v>2054</v>
      </c>
      <c r="F488">
        <v>99</v>
      </c>
      <c r="G488">
        <f>(automotive_demand_forecasting_dataset5678[[#This Row],[Units_Sold]] -$C$4) / $C$5</f>
        <v>-3.0730123261056761E-2</v>
      </c>
      <c r="H488" s="47" t="str">
        <f t="shared" ca="1" si="43"/>
        <v>East</v>
      </c>
      <c r="I488">
        <v>33594.766553325331</v>
      </c>
      <c r="J488">
        <v>3.6848210960990468</v>
      </c>
      <c r="K488">
        <v>2.2283448896739468</v>
      </c>
      <c r="L488">
        <v>5.8954104826876108</v>
      </c>
      <c r="M488">
        <v>98023.095975213873</v>
      </c>
      <c r="N488" s="82">
        <v>85</v>
      </c>
      <c r="O488">
        <v>33.790908968413298</v>
      </c>
      <c r="P4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488" t="str">
        <f t="shared" ca="1" si="44"/>
        <v>Billboards</v>
      </c>
      <c r="R488" s="46">
        <f>automotive_demand_forecasting_dataset5678[[#This Row],[Units_Sold]]*automotive_demand_forecasting_dataset5678[[#This Row],[Average_Price]]</f>
        <v>3325881.8887792076</v>
      </c>
      <c r="S488" t="str">
        <f t="shared" ca="1" si="45"/>
        <v>OK</v>
      </c>
    </row>
    <row r="489" spans="1:19">
      <c r="A489" s="1">
        <v>56345</v>
      </c>
      <c r="B489" t="s">
        <v>14</v>
      </c>
      <c r="C489" t="str">
        <f>TEXT(automotive_demand_forecasting_dataset5678[[#This Row],[Date]],"mmmm")</f>
        <v>April</v>
      </c>
      <c r="D489" t="str">
        <f>CHOOSE(MATCH(MONTH(A489), {1,4,7,10}), "Winter", "Spring", "Summer", "Autumn")</f>
        <v>Spring</v>
      </c>
      <c r="E489">
        <f>YEAR(automotive_demand_forecasting_dataset5678[[#This Row],[Date]])</f>
        <v>2054</v>
      </c>
      <c r="F489">
        <v>111</v>
      </c>
      <c r="G489">
        <f>(automotive_demand_forecasting_dataset5678[[#This Row],[Units_Sold]] -$C$4) / $C$5</f>
        <v>1.1984748071812252</v>
      </c>
      <c r="H489" s="47" t="str">
        <f t="shared" ca="1" si="43"/>
        <v>South</v>
      </c>
      <c r="I489">
        <v>34980.238429029079</v>
      </c>
      <c r="J489">
        <v>3.4463489279978856</v>
      </c>
      <c r="K489">
        <v>4.1734520902985368</v>
      </c>
      <c r="L489">
        <v>3.6793915639939851</v>
      </c>
      <c r="M489">
        <v>108719.50779000092</v>
      </c>
      <c r="N489" s="82">
        <v>98</v>
      </c>
      <c r="O489">
        <v>89.791565068385196</v>
      </c>
      <c r="P4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89" t="str">
        <f t="shared" ca="1" si="44"/>
        <v>Print</v>
      </c>
      <c r="R489" s="46">
        <f>automotive_demand_forecasting_dataset5678[[#This Row],[Units_Sold]]*automotive_demand_forecasting_dataset5678[[#This Row],[Average_Price]]</f>
        <v>3882806.4656222276</v>
      </c>
      <c r="S489" t="str">
        <f t="shared" ca="1" si="45"/>
        <v>OK</v>
      </c>
    </row>
    <row r="490" spans="1:19">
      <c r="A490" s="1">
        <v>56375</v>
      </c>
      <c r="B490" t="s">
        <v>14</v>
      </c>
      <c r="C490" t="str">
        <f>TEXT(automotive_demand_forecasting_dataset5678[[#This Row],[Date]],"mmmm")</f>
        <v>May</v>
      </c>
      <c r="D490" t="str">
        <f>CHOOSE(MATCH(MONTH(A490), {1,4,7,10}), "Winter", "Spring", "Summer", "Autumn")</f>
        <v>Spring</v>
      </c>
      <c r="E490">
        <f>YEAR(automotive_demand_forecasting_dataset5678[[#This Row],[Date]])</f>
        <v>2054</v>
      </c>
      <c r="F490">
        <v>105</v>
      </c>
      <c r="G490">
        <f>(automotive_demand_forecasting_dataset5678[[#This Row],[Units_Sold]] -$C$4) / $C$5</f>
        <v>0.58387234196008431</v>
      </c>
      <c r="H490" s="47" t="str">
        <f t="shared" ca="1" si="43"/>
        <v>South</v>
      </c>
      <c r="I490">
        <v>26216.024557152698</v>
      </c>
      <c r="J490">
        <v>3.723858462905139</v>
      </c>
      <c r="K490">
        <v>3.8404610517903479</v>
      </c>
      <c r="L490">
        <v>6.4006950010261185</v>
      </c>
      <c r="M490">
        <v>49355.07829560629</v>
      </c>
      <c r="N490" s="82">
        <v>100</v>
      </c>
      <c r="O490">
        <v>69.049299125539321</v>
      </c>
      <c r="P4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Q490" t="str">
        <f t="shared" ca="1" si="44"/>
        <v>TV</v>
      </c>
      <c r="R490" s="46">
        <f>automotive_demand_forecasting_dataset5678[[#This Row],[Units_Sold]]*automotive_demand_forecasting_dataset5678[[#This Row],[Average_Price]]</f>
        <v>2752682.5785010331</v>
      </c>
      <c r="S490" t="str">
        <f t="shared" ca="1" si="45"/>
        <v>OK</v>
      </c>
    </row>
    <row r="491" spans="1:19">
      <c r="A491" s="1">
        <v>56405</v>
      </c>
      <c r="B491" t="s">
        <v>12</v>
      </c>
      <c r="C491" t="str">
        <f>TEXT(automotive_demand_forecasting_dataset5678[[#This Row],[Date]],"mmmm")</f>
        <v>June</v>
      </c>
      <c r="D491" t="str">
        <f>CHOOSE(MATCH(MONTH(A491), {1,4,7,10}), "Winter", "Spring", "Summer", "Autumn")</f>
        <v>Spring</v>
      </c>
      <c r="E491">
        <f>YEAR(automotive_demand_forecasting_dataset5678[[#This Row],[Date]])</f>
        <v>2054</v>
      </c>
      <c r="F491">
        <v>93</v>
      </c>
      <c r="G491">
        <f>(automotive_demand_forecasting_dataset5678[[#This Row],[Units_Sold]] -$C$4) / $C$5</f>
        <v>-0.64533258848219777</v>
      </c>
      <c r="H491" s="47" t="str">
        <f t="shared" ca="1" si="43"/>
        <v>North</v>
      </c>
      <c r="I491">
        <v>22890.94666629078</v>
      </c>
      <c r="J491">
        <v>2.7145619239657504</v>
      </c>
      <c r="K491">
        <v>1.2004187630724024</v>
      </c>
      <c r="L491">
        <v>5.0005667141376957</v>
      </c>
      <c r="M491">
        <v>113641.38980125263</v>
      </c>
      <c r="N491" s="82">
        <v>88</v>
      </c>
      <c r="O491">
        <v>32.57631068455634</v>
      </c>
      <c r="P4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Q491" t="str">
        <f t="shared" ca="1" si="44"/>
        <v>TV</v>
      </c>
      <c r="R491" s="46">
        <f>automotive_demand_forecasting_dataset5678[[#This Row],[Units_Sold]]*automotive_demand_forecasting_dataset5678[[#This Row],[Average_Price]]</f>
        <v>2128858.0399650424</v>
      </c>
      <c r="S491" t="str">
        <f t="shared" ca="1" si="45"/>
        <v>OK</v>
      </c>
    </row>
    <row r="492" spans="1:19">
      <c r="A492" s="1">
        <v>56435</v>
      </c>
      <c r="B492" t="s">
        <v>13</v>
      </c>
      <c r="C492" t="str">
        <f>TEXT(automotive_demand_forecasting_dataset5678[[#This Row],[Date]],"mmmm")</f>
        <v>July</v>
      </c>
      <c r="D492" t="str">
        <f>CHOOSE(MATCH(MONTH(A492), {1,4,7,10}), "Winter", "Spring", "Summer", "Autumn")</f>
        <v>Summer</v>
      </c>
      <c r="E492">
        <f>YEAR(automotive_demand_forecasting_dataset5678[[#This Row],[Date]])</f>
        <v>2054</v>
      </c>
      <c r="F492">
        <v>109</v>
      </c>
      <c r="G492">
        <f>(automotive_demand_forecasting_dataset5678[[#This Row],[Units_Sold]] -$C$4) / $C$5</f>
        <v>0.99360731877417829</v>
      </c>
      <c r="H492" s="47" t="str">
        <f t="shared" ca="1" si="43"/>
        <v>South</v>
      </c>
      <c r="I492">
        <v>37506.668259777434</v>
      </c>
      <c r="J492">
        <v>2.9366162655450974</v>
      </c>
      <c r="K492">
        <v>3.3297324178791747</v>
      </c>
      <c r="L492">
        <v>4.143916793151571</v>
      </c>
      <c r="M492">
        <v>102523.55807323934</v>
      </c>
      <c r="N492" s="82">
        <v>82</v>
      </c>
      <c r="O492">
        <v>96.987044598496539</v>
      </c>
      <c r="P4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Q492" t="str">
        <f t="shared" ca="1" si="44"/>
        <v>Radio</v>
      </c>
      <c r="R492" s="46">
        <f>automotive_demand_forecasting_dataset5678[[#This Row],[Units_Sold]]*automotive_demand_forecasting_dataset5678[[#This Row],[Average_Price]]</f>
        <v>4088226.8403157406</v>
      </c>
      <c r="S492" t="str">
        <f t="shared" ca="1" si="45"/>
        <v>OK</v>
      </c>
    </row>
    <row r="493" spans="1:19">
      <c r="A493" s="1">
        <v>56465</v>
      </c>
      <c r="B493" t="s">
        <v>13</v>
      </c>
      <c r="C493" t="str">
        <f>TEXT(automotive_demand_forecasting_dataset5678[[#This Row],[Date]],"mmmm")</f>
        <v>August</v>
      </c>
      <c r="D493" t="str">
        <f>CHOOSE(MATCH(MONTH(A493), {1,4,7,10}), "Winter", "Spring", "Summer", "Autumn")</f>
        <v>Summer</v>
      </c>
      <c r="E493">
        <f>YEAR(automotive_demand_forecasting_dataset5678[[#This Row],[Date]])</f>
        <v>2054</v>
      </c>
      <c r="F493">
        <v>106</v>
      </c>
      <c r="G493">
        <f>(automotive_demand_forecasting_dataset5678[[#This Row],[Units_Sold]] -$C$4) / $C$5</f>
        <v>0.68630608616360778</v>
      </c>
      <c r="H493" s="47" t="str">
        <f t="shared" ca="1" si="43"/>
        <v>East</v>
      </c>
      <c r="I493">
        <v>28386.60080578932</v>
      </c>
      <c r="J493">
        <v>2.9030374968004722</v>
      </c>
      <c r="K493">
        <v>2.6520564320000002</v>
      </c>
      <c r="L493">
        <v>4.9599845704050232</v>
      </c>
      <c r="M493">
        <v>95550.502064434695</v>
      </c>
      <c r="N493" s="82">
        <v>90</v>
      </c>
      <c r="O493">
        <v>61.469237066825649</v>
      </c>
      <c r="P4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93" t="str">
        <f t="shared" ca="1" si="44"/>
        <v>Online</v>
      </c>
      <c r="R493" s="46">
        <f>automotive_demand_forecasting_dataset5678[[#This Row],[Units_Sold]]*automotive_demand_forecasting_dataset5678[[#This Row],[Average_Price]]</f>
        <v>3008979.6854136679</v>
      </c>
      <c r="S493" t="str">
        <f t="shared" ca="1" si="45"/>
        <v>OK</v>
      </c>
    </row>
    <row r="494" spans="1:19">
      <c r="A494" s="1">
        <v>56495</v>
      </c>
      <c r="B494" t="s">
        <v>11</v>
      </c>
      <c r="C494" t="str">
        <f>TEXT(automotive_demand_forecasting_dataset5678[[#This Row],[Date]],"mmmm")</f>
        <v>September</v>
      </c>
      <c r="D494" t="str">
        <f>CHOOSE(MATCH(MONTH(A494), {1,4,7,10}), "Winter", "Spring", "Summer", "Autumn")</f>
        <v>Summer</v>
      </c>
      <c r="E494">
        <f>YEAR(automotive_demand_forecasting_dataset5678[[#This Row],[Date]])</f>
        <v>2054</v>
      </c>
      <c r="F494">
        <v>106</v>
      </c>
      <c r="G494">
        <f>(automotive_demand_forecasting_dataset5678[[#This Row],[Units_Sold]] -$C$4) / $C$5</f>
        <v>0.68630608616360778</v>
      </c>
      <c r="H494" s="47" t="str">
        <f t="shared" ca="1" si="43"/>
        <v>South</v>
      </c>
      <c r="I494">
        <v>28745.834917724762</v>
      </c>
      <c r="J494">
        <v>3.5714715473818535</v>
      </c>
      <c r="K494">
        <v>1.3517367112473817</v>
      </c>
      <c r="L494">
        <v>7.0085790602350873</v>
      </c>
      <c r="M494">
        <v>140937.24391439115</v>
      </c>
      <c r="N494" s="82">
        <v>79</v>
      </c>
      <c r="O494">
        <v>25.831876149732402</v>
      </c>
      <c r="P4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Q494" t="str">
        <f t="shared" ca="1" si="44"/>
        <v>TV</v>
      </c>
      <c r="R494" s="46">
        <f>automotive_demand_forecasting_dataset5678[[#This Row],[Units_Sold]]*automotive_demand_forecasting_dataset5678[[#This Row],[Average_Price]]</f>
        <v>3047058.5012788246</v>
      </c>
      <c r="S494" t="str">
        <f t="shared" ca="1" si="45"/>
        <v>OK</v>
      </c>
    </row>
    <row r="495" spans="1:19">
      <c r="A495" s="1">
        <v>56525</v>
      </c>
      <c r="B495" t="s">
        <v>14</v>
      </c>
      <c r="C495" t="str">
        <f>TEXT(automotive_demand_forecasting_dataset5678[[#This Row],[Date]],"mmmm")</f>
        <v>October</v>
      </c>
      <c r="D495" t="str">
        <f>CHOOSE(MATCH(MONTH(A495), {1,4,7,10}), "Winter", "Spring", "Summer", "Autumn")</f>
        <v>Autumn</v>
      </c>
      <c r="E495">
        <f>YEAR(automotive_demand_forecasting_dataset5678[[#This Row],[Date]])</f>
        <v>2054</v>
      </c>
      <c r="F495">
        <v>103</v>
      </c>
      <c r="G495">
        <f>(automotive_demand_forecasting_dataset5678[[#This Row],[Units_Sold]] -$C$4) / $C$5</f>
        <v>0.37900485355303726</v>
      </c>
      <c r="H495" s="47" t="str">
        <f t="shared" ca="1" si="43"/>
        <v>East</v>
      </c>
      <c r="I495">
        <v>36640.970709245288</v>
      </c>
      <c r="J495">
        <v>4.3662574997425461</v>
      </c>
      <c r="K495">
        <f t="shared" ref="K495" si="47">3.224108373</f>
        <v>3.224108373</v>
      </c>
      <c r="L495">
        <v>4.8575978955805326</v>
      </c>
      <c r="M495">
        <v>86501.319624188953</v>
      </c>
      <c r="N495" s="82">
        <v>92</v>
      </c>
      <c r="O495">
        <v>70.146632353205376</v>
      </c>
      <c r="P4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Q495" t="str">
        <f t="shared" ca="1" si="44"/>
        <v>TV</v>
      </c>
      <c r="R495" s="46">
        <f>automotive_demand_forecasting_dataset5678[[#This Row],[Units_Sold]]*automotive_demand_forecasting_dataset5678[[#This Row],[Average_Price]]</f>
        <v>3774019.9830522649</v>
      </c>
      <c r="S495" t="str">
        <f t="shared" ca="1" si="45"/>
        <v>OK</v>
      </c>
    </row>
    <row r="496" spans="1:19">
      <c r="A496" s="1">
        <v>56555</v>
      </c>
      <c r="B496" t="s">
        <v>13</v>
      </c>
      <c r="C496" t="str">
        <f>TEXT(automotive_demand_forecasting_dataset5678[[#This Row],[Date]],"mmmm")</f>
        <v>November</v>
      </c>
      <c r="D496" t="str">
        <f>CHOOSE(MATCH(MONTH(A496), {1,4,7,10}), "Winter", "Spring", "Summer", "Autumn")</f>
        <v>Autumn</v>
      </c>
      <c r="E496">
        <f>YEAR(automotive_demand_forecasting_dataset5678[[#This Row],[Date]])</f>
        <v>2054</v>
      </c>
      <c r="F496">
        <v>113</v>
      </c>
      <c r="G496">
        <f>(automotive_demand_forecasting_dataset5678[[#This Row],[Units_Sold]] -$C$4) / $C$5</f>
        <v>1.4033422955882724</v>
      </c>
      <c r="H496" s="47" t="str">
        <f t="shared" ca="1" si="43"/>
        <v>North</v>
      </c>
      <c r="I496">
        <v>32781.150047003299</v>
      </c>
      <c r="J496">
        <v>4.6156500730963161</v>
      </c>
      <c r="K496">
        <v>4.0379319184125526</v>
      </c>
      <c r="L496">
        <v>5.9301443418515447</v>
      </c>
      <c r="M496">
        <v>91938.480218699391</v>
      </c>
      <c r="N496" s="82">
        <f>111.9136842</f>
        <v>111.91368420000001</v>
      </c>
      <c r="O496">
        <v>40.255912561024815</v>
      </c>
      <c r="P4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Q496" t="str">
        <f t="shared" ca="1" si="44"/>
        <v>TV</v>
      </c>
      <c r="R496" s="46">
        <f>automotive_demand_forecasting_dataset5678[[#This Row],[Units_Sold]]*automotive_demand_forecasting_dataset5678[[#This Row],[Average_Price]]</f>
        <v>3704269.9553113729</v>
      </c>
      <c r="S496" t="str">
        <f t="shared" ca="1" si="45"/>
        <v>OK</v>
      </c>
    </row>
    <row r="497" spans="1:19">
      <c r="A497" s="1">
        <v>56585</v>
      </c>
      <c r="B497" t="s">
        <v>10</v>
      </c>
      <c r="C497" t="str">
        <f>TEXT(automotive_demand_forecasting_dataset5678[[#This Row],[Date]],"mmmm")</f>
        <v>December</v>
      </c>
      <c r="D497" t="str">
        <f>CHOOSE(MATCH(MONTH(A497), {1,4,7,10}), "Winter", "Spring", "Summer", "Autumn")</f>
        <v>Autumn</v>
      </c>
      <c r="E497">
        <f>YEAR(automotive_demand_forecasting_dataset5678[[#This Row],[Date]])</f>
        <v>2054</v>
      </c>
      <c r="F497">
        <v>111</v>
      </c>
      <c r="G497">
        <f>(automotive_demand_forecasting_dataset5678[[#This Row],[Units_Sold]] -$C$4) / $C$5</f>
        <v>1.1984748071812252</v>
      </c>
      <c r="H497" s="47" t="str">
        <f t="shared" ca="1" si="43"/>
        <v>South</v>
      </c>
      <c r="I497">
        <v>30949.702720000001</v>
      </c>
      <c r="J497">
        <v>3.8190255507203785</v>
      </c>
      <c r="K497">
        <v>1.3774551937555861</v>
      </c>
      <c r="L497">
        <v>4.6228524691414323</v>
      </c>
      <c r="M497">
        <v>102916.7736</v>
      </c>
      <c r="N497" s="82">
        <v>92</v>
      </c>
      <c r="O497">
        <v>84.2954761501842</v>
      </c>
      <c r="P4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Q497" t="str">
        <f t="shared" ca="1" si="44"/>
        <v>Radio</v>
      </c>
      <c r="R497" s="46">
        <f>automotive_demand_forecasting_dataset5678[[#This Row],[Units_Sold]]*automotive_demand_forecasting_dataset5678[[#This Row],[Average_Price]]</f>
        <v>3435417.0019200002</v>
      </c>
      <c r="S497" t="str">
        <f t="shared" ca="1" si="45"/>
        <v>OK</v>
      </c>
    </row>
    <row r="498" spans="1:19">
      <c r="A498" s="1">
        <v>56615</v>
      </c>
      <c r="B498" t="s">
        <v>11</v>
      </c>
      <c r="C498" t="str">
        <f>TEXT(automotive_demand_forecasting_dataset5678[[#This Row],[Date]],"mmmm")</f>
        <v>January</v>
      </c>
      <c r="D498" t="str">
        <f>CHOOSE(MATCH(MONTH(A498), {1,4,7,10}), "Winter", "Spring", "Summer", "Autumn")</f>
        <v>Winter</v>
      </c>
      <c r="E498">
        <f>YEAR(automotive_demand_forecasting_dataset5678[[#This Row],[Date]])</f>
        <v>2055</v>
      </c>
      <c r="F498">
        <v>100</v>
      </c>
      <c r="G498">
        <f>(automotive_demand_forecasting_dataset5678[[#This Row],[Units_Sold]] -$C$4) / $C$5</f>
        <v>7.1703620942466739E-2</v>
      </c>
      <c r="H498" s="47" t="str">
        <f t="shared" ca="1" si="43"/>
        <v>South</v>
      </c>
      <c r="I498">
        <v>40825.011724505421</v>
      </c>
      <c r="J498">
        <v>3.7504222374722285</v>
      </c>
      <c r="K498">
        <v>1.5824971789857365</v>
      </c>
      <c r="L498">
        <v>6.4095062199083435</v>
      </c>
      <c r="M498">
        <f>128897.2893</f>
        <v>128897.2893</v>
      </c>
      <c r="N498" s="82">
        <v>92</v>
      </c>
      <c r="O498">
        <v>85.425765885295249</v>
      </c>
      <c r="P4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Q498" t="str">
        <f t="shared" ca="1" si="44"/>
        <v>Print</v>
      </c>
      <c r="R498" s="46">
        <f>automotive_demand_forecasting_dataset5678[[#This Row],[Units_Sold]]*automotive_demand_forecasting_dataset5678[[#This Row],[Average_Price]]</f>
        <v>4082501.172450542</v>
      </c>
      <c r="S498" t="str">
        <f t="shared" ca="1" si="45"/>
        <v>OK</v>
      </c>
    </row>
    <row r="499" spans="1:19">
      <c r="A499" s="1">
        <v>56645</v>
      </c>
      <c r="B499" t="s">
        <v>11</v>
      </c>
      <c r="C499" t="str">
        <f>TEXT(automotive_demand_forecasting_dataset5678[[#This Row],[Date]],"mmmm")</f>
        <v>January</v>
      </c>
      <c r="D499" t="str">
        <f>CHOOSE(MATCH(MONTH(A499), {1,4,7,10}), "Winter", "Spring", "Summer", "Autumn")</f>
        <v>Winter</v>
      </c>
      <c r="E499">
        <f>YEAR(automotive_demand_forecasting_dataset5678[[#This Row],[Date]])</f>
        <v>2055</v>
      </c>
      <c r="F499">
        <v>89</v>
      </c>
      <c r="G499">
        <f>(automotive_demand_forecasting_dataset5678[[#This Row],[Units_Sold]] -$C$4) / $C$5</f>
        <v>-1.0550675652962918</v>
      </c>
      <c r="H499" s="47" t="str">
        <f t="shared" ca="1" si="43"/>
        <v>West</v>
      </c>
      <c r="I499">
        <v>26782.408848099287</v>
      </c>
      <c r="J499">
        <v>2.5994711329236306</v>
      </c>
      <c r="K499">
        <v>3.5176614668435024</v>
      </c>
      <c r="L499">
        <f>6.97388673</f>
        <v>6.9738867300000003</v>
      </c>
      <c r="M499">
        <v>88997.69434126922</v>
      </c>
      <c r="N499" s="82">
        <v>90</v>
      </c>
      <c r="O499">
        <v>98.315788468372943</v>
      </c>
      <c r="P4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Q499" t="str">
        <f t="shared" ca="1" si="44"/>
        <v>Online</v>
      </c>
      <c r="R499" s="46">
        <f>automotive_demand_forecasting_dataset5678[[#This Row],[Units_Sold]]*automotive_demand_forecasting_dataset5678[[#This Row],[Average_Price]]</f>
        <v>2383634.3874808364</v>
      </c>
      <c r="S499" t="str">
        <f t="shared" ca="1" si="45"/>
        <v>OK</v>
      </c>
    </row>
    <row r="500" spans="1:19">
      <c r="A500" s="1">
        <v>56675</v>
      </c>
      <c r="B500" t="s">
        <v>12</v>
      </c>
      <c r="C500" t="str">
        <f>TEXT(automotive_demand_forecasting_dataset5678[[#This Row],[Date]],"mmmm")</f>
        <v>March</v>
      </c>
      <c r="D500" t="str">
        <f>CHOOSE(MATCH(MONTH(A500), {1,4,7,10}), "Winter", "Spring", "Summer", "Autumn")</f>
        <v>Winter</v>
      </c>
      <c r="E500">
        <f>YEAR(automotive_demand_forecasting_dataset5678[[#This Row],[Date]])</f>
        <v>2055</v>
      </c>
      <c r="F500">
        <v>111</v>
      </c>
      <c r="G500">
        <f>(automotive_demand_forecasting_dataset5678[[#This Row],[Units_Sold]] -$C$4) / $C$5</f>
        <v>1.1984748071812252</v>
      </c>
      <c r="H500" s="47" t="str">
        <f t="shared" ca="1" si="43"/>
        <v>West</v>
      </c>
      <c r="I500">
        <v>34639.200640406183</v>
      </c>
      <c r="J500">
        <v>3.2286631001329891</v>
      </c>
      <c r="K500">
        <v>2.7714953108256482</v>
      </c>
      <c r="L500">
        <v>7.7183305999556939</v>
      </c>
      <c r="M500">
        <v>97059.491531382999</v>
      </c>
      <c r="N500" s="82">
        <v>82</v>
      </c>
      <c r="O500">
        <v>60.149562481960295</v>
      </c>
      <c r="P5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Q500" t="str">
        <f t="shared" ca="1" si="44"/>
        <v>Billboards</v>
      </c>
      <c r="R500" s="46">
        <f>automotive_demand_forecasting_dataset5678[[#This Row],[Units_Sold]]*automotive_demand_forecasting_dataset5678[[#This Row],[Average_Price]]</f>
        <v>3844951.2710850863</v>
      </c>
      <c r="S500" t="str">
        <f t="shared" ca="1" si="45"/>
        <v>OK</v>
      </c>
    </row>
    <row r="501" spans="1:19">
      <c r="A501" s="1">
        <v>56705</v>
      </c>
      <c r="B501" t="s">
        <v>14</v>
      </c>
      <c r="C501" t="str">
        <f>TEXT(automotive_demand_forecasting_dataset5678[[#This Row],[Date]],"mmmm")</f>
        <v>April</v>
      </c>
      <c r="D501" t="str">
        <f>CHOOSE(MATCH(MONTH(A501), {1,4,7,10}), "Winter", "Spring", "Summer", "Autumn")</f>
        <v>Spring</v>
      </c>
      <c r="E501">
        <f>YEAR(automotive_demand_forecasting_dataset5678[[#This Row],[Date]])</f>
        <v>2055</v>
      </c>
      <c r="F501">
        <v>104</v>
      </c>
      <c r="G501">
        <f>(automotive_demand_forecasting_dataset5678[[#This Row],[Units_Sold]] -$C$4) / $C$5</f>
        <v>0.48143859775656078</v>
      </c>
      <c r="H501" s="47" t="str">
        <f t="shared" ca="1" si="43"/>
        <v>South</v>
      </c>
      <c r="I501">
        <v>38106.295579999998</v>
      </c>
      <c r="J501">
        <v>3.1061081240458805</v>
      </c>
      <c r="K501">
        <v>3.0514762752395233</v>
      </c>
      <c r="L501">
        <v>5.2893232654009417</v>
      </c>
      <c r="M501">
        <v>102916.7736</v>
      </c>
      <c r="N501" s="82">
        <v>90</v>
      </c>
      <c r="O501">
        <v>56.396550378218969</v>
      </c>
      <c r="P5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Q501" t="str">
        <f t="shared" ca="1" si="44"/>
        <v>Radio</v>
      </c>
      <c r="R501" s="46">
        <f>automotive_demand_forecasting_dataset5678[[#This Row],[Units_Sold]]*automotive_demand_forecasting_dataset5678[[#This Row],[Average_Price]]</f>
        <v>3963054.7403199999</v>
      </c>
      <c r="S501" t="str">
        <f t="shared" ca="1" si="45"/>
        <v>OK</v>
      </c>
    </row>
    <row r="502" spans="1:19">
      <c r="A502" s="1">
        <v>56735</v>
      </c>
      <c r="B502" t="s">
        <v>13</v>
      </c>
      <c r="C502" t="str">
        <f>TEXT(automotive_demand_forecasting_dataset5678[[#This Row],[Date]],"mmmm")</f>
        <v>May</v>
      </c>
      <c r="D502" t="str">
        <f>CHOOSE(MATCH(MONTH(A502), {1,4,7,10}), "Winter", "Spring", "Summer", "Autumn")</f>
        <v>Spring</v>
      </c>
      <c r="E502">
        <f>YEAR(automotive_demand_forecasting_dataset5678[[#This Row],[Date]])</f>
        <v>2055</v>
      </c>
      <c r="F502">
        <v>100</v>
      </c>
      <c r="G502">
        <f>(automotive_demand_forecasting_dataset5678[[#This Row],[Units_Sold]] -$C$4) / $C$5</f>
        <v>7.1703620942466739E-2</v>
      </c>
      <c r="H502" s="47" t="str">
        <f t="shared" ca="1" si="43"/>
        <v>North</v>
      </c>
      <c r="I502">
        <v>31342.961394316284</v>
      </c>
      <c r="J502">
        <v>3.1895762008744422</v>
      </c>
      <c r="K502">
        <v>2.8405892164004967</v>
      </c>
      <c r="L502">
        <v>6.3023857657094879</v>
      </c>
      <c r="M502">
        <v>104156.05014706627</v>
      </c>
      <c r="N502" s="82">
        <v>90</v>
      </c>
      <c r="O502">
        <v>65.454227669999995</v>
      </c>
      <c r="P502"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2" t="str">
        <f t="shared" ca="1" si="44"/>
        <v>Online</v>
      </c>
      <c r="R502" s="46">
        <f>automotive_demand_forecasting_dataset5678[[#This Row],[Units_Sold]]*automotive_demand_forecasting_dataset5678[[#This Row],[Average_Price]]</f>
        <v>3134296.1394316284</v>
      </c>
      <c r="S502" t="str">
        <f t="shared" ca="1" si="45"/>
        <v>OK</v>
      </c>
    </row>
    <row r="503" spans="1:19">
      <c r="A503" s="1">
        <v>56765</v>
      </c>
      <c r="B503" t="s">
        <v>13</v>
      </c>
      <c r="C503" t="str">
        <f>TEXT(automotive_demand_forecasting_dataset5678[[#This Row],[Date]],"mmmm")</f>
        <v>May</v>
      </c>
      <c r="D503" t="str">
        <f>CHOOSE(MATCH(MONTH(A503), {1,4,7,10}), "Winter", "Spring", "Summer", "Autumn")</f>
        <v>Spring</v>
      </c>
      <c r="E503">
        <f>YEAR(automotive_demand_forecasting_dataset5678[[#This Row],[Date]])</f>
        <v>2055</v>
      </c>
      <c r="F503">
        <v>109</v>
      </c>
      <c r="G503">
        <f>(automotive_demand_forecasting_dataset5678[[#This Row],[Units_Sold]] -$C$4) / $C$5</f>
        <v>0.99360731877417829</v>
      </c>
      <c r="H503" s="47" t="str">
        <f t="shared" ca="1" si="43"/>
        <v>East</v>
      </c>
      <c r="I503">
        <v>37642.342132062658</v>
      </c>
      <c r="J503">
        <v>3.4159280907076051</v>
      </c>
      <c r="K503">
        <v>2.890695920928144</v>
      </c>
      <c r="L503">
        <v>5.6176810474467338</v>
      </c>
      <c r="M503">
        <v>74147.493056954743</v>
      </c>
      <c r="N503" s="82">
        <v>83</v>
      </c>
      <c r="O503">
        <v>30.597652507354127</v>
      </c>
      <c r="P503"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3" t="str">
        <f t="shared" ca="1" si="44"/>
        <v>Online</v>
      </c>
      <c r="R503" s="46">
        <f>automotive_demand_forecasting_dataset5678[[#This Row],[Units_Sold]]*automotive_demand_forecasting_dataset5678[[#This Row],[Average_Price]]</f>
        <v>4103015.2923948299</v>
      </c>
      <c r="S503" t="str">
        <f t="shared" ca="1" si="45"/>
        <v>OK</v>
      </c>
    </row>
    <row r="504" spans="1:19">
      <c r="A504" s="1">
        <v>56795</v>
      </c>
      <c r="B504" t="s">
        <v>11</v>
      </c>
      <c r="C504" t="str">
        <f>TEXT(automotive_demand_forecasting_dataset5678[[#This Row],[Date]],"mmmm")</f>
        <v>June</v>
      </c>
      <c r="D504" t="str">
        <f>CHOOSE(MATCH(MONTH(A504), {1,4,7,10}), "Winter", "Spring", "Summer", "Autumn")</f>
        <v>Spring</v>
      </c>
      <c r="E504">
        <f>YEAR(automotive_demand_forecasting_dataset5678[[#This Row],[Date]])</f>
        <v>2055</v>
      </c>
      <c r="F504">
        <v>108</v>
      </c>
      <c r="G504">
        <f>(automotive_demand_forecasting_dataset5678[[#This Row],[Units_Sold]] -$C$4) / $C$5</f>
        <v>0.89117357457065483</v>
      </c>
      <c r="H504" s="47" t="str">
        <f t="shared" ca="1" si="43"/>
        <v>West</v>
      </c>
      <c r="I504">
        <v>32539.178781448118</v>
      </c>
      <c r="J504">
        <v>3.2639547111514364</v>
      </c>
      <c r="K504">
        <v>1.173527871688917</v>
      </c>
      <c r="L504">
        <v>7.0550461382356175</v>
      </c>
      <c r="M504">
        <v>89356.628737456209</v>
      </c>
      <c r="N504" s="82">
        <f>111.9136842</f>
        <v>111.91368420000001</v>
      </c>
      <c r="O504">
        <v>63.753241103449938</v>
      </c>
      <c r="P504"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4" t="str">
        <f t="shared" ca="1" si="44"/>
        <v>Billboards</v>
      </c>
      <c r="R504" s="46">
        <f>automotive_demand_forecasting_dataset5678[[#This Row],[Units_Sold]]*automotive_demand_forecasting_dataset5678[[#This Row],[Average_Price]]</f>
        <v>3514231.3083963967</v>
      </c>
      <c r="S504" t="str">
        <f t="shared" ca="1" si="45"/>
        <v>OK</v>
      </c>
    </row>
    <row r="505" spans="1:19">
      <c r="A505" s="1">
        <v>56825</v>
      </c>
      <c r="B505" t="s">
        <v>14</v>
      </c>
      <c r="C505" t="str">
        <f>TEXT(automotive_demand_forecasting_dataset5678[[#This Row],[Date]],"mmmm")</f>
        <v>July</v>
      </c>
      <c r="D505" t="str">
        <f>CHOOSE(MATCH(MONTH(A505), {1,4,7,10}), "Winter", "Spring", "Summer", "Autumn")</f>
        <v>Summer</v>
      </c>
      <c r="E505">
        <f>YEAR(automotive_demand_forecasting_dataset5678[[#This Row],[Date]])</f>
        <v>2055</v>
      </c>
      <c r="F505">
        <v>100</v>
      </c>
      <c r="G505">
        <f>(automotive_demand_forecasting_dataset5678[[#This Row],[Units_Sold]] -$C$4) / $C$5</f>
        <v>7.1703620942466739E-2</v>
      </c>
      <c r="H505" s="47" t="str">
        <f t="shared" ca="1" si="43"/>
        <v>West</v>
      </c>
      <c r="I505">
        <v>32691.480395248163</v>
      </c>
      <c r="J505">
        <v>2.510350094812106</v>
      </c>
      <c r="K505">
        <v>3.5473177066214481</v>
      </c>
      <c r="L505">
        <v>4.6374011348695232</v>
      </c>
      <c r="M505">
        <v>87852.91133575578</v>
      </c>
      <c r="N505" s="82">
        <v>102</v>
      </c>
      <c r="O505">
        <v>63.699808010468075</v>
      </c>
      <c r="P505"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5" t="str">
        <f t="shared" ca="1" si="44"/>
        <v>Radio</v>
      </c>
      <c r="R505" s="46">
        <f>automotive_demand_forecasting_dataset5678[[#This Row],[Units_Sold]]*automotive_demand_forecasting_dataset5678[[#This Row],[Average_Price]]</f>
        <v>3269148.0395248164</v>
      </c>
      <c r="S505" t="str">
        <f t="shared" ca="1" si="45"/>
        <v>OK</v>
      </c>
    </row>
    <row r="506" spans="1:19">
      <c r="A506" s="1">
        <v>56855</v>
      </c>
      <c r="B506" t="s">
        <v>14</v>
      </c>
      <c r="C506" t="str">
        <f>TEXT(automotive_demand_forecasting_dataset5678[[#This Row],[Date]],"mmmm")</f>
        <v>August</v>
      </c>
      <c r="D506" t="str">
        <f>CHOOSE(MATCH(MONTH(A506), {1,4,7,10}), "Winter", "Spring", "Summer", "Autumn")</f>
        <v>Summer</v>
      </c>
      <c r="E506">
        <f>YEAR(automotive_demand_forecasting_dataset5678[[#This Row],[Date]])</f>
        <v>2055</v>
      </c>
      <c r="F506">
        <v>104</v>
      </c>
      <c r="G506">
        <f>(automotive_demand_forecasting_dataset5678[[#This Row],[Units_Sold]] -$C$4) / $C$5</f>
        <v>0.48143859775656078</v>
      </c>
      <c r="H506" s="47" t="str">
        <f t="shared" ca="1" si="43"/>
        <v>South</v>
      </c>
      <c r="I506">
        <v>35362.536686549014</v>
      </c>
      <c r="J506">
        <v>3.8739551280587667</v>
      </c>
      <c r="K506">
        <v>3.6695899924277735</v>
      </c>
      <c r="L506">
        <v>6.3940063754527374</v>
      </c>
      <c r="M506">
        <v>98455.579095539084</v>
      </c>
      <c r="N506" s="82">
        <v>76</v>
      </c>
      <c r="O506">
        <v>27.157849824830976</v>
      </c>
      <c r="P506"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6" t="str">
        <f t="shared" ca="1" si="44"/>
        <v>Radio</v>
      </c>
      <c r="R506" s="46">
        <f>automotive_demand_forecasting_dataset5678[[#This Row],[Units_Sold]]*automotive_demand_forecasting_dataset5678[[#This Row],[Average_Price]]</f>
        <v>3677703.8154010973</v>
      </c>
      <c r="S506" t="str">
        <f t="shared" ca="1" si="45"/>
        <v>OK</v>
      </c>
    </row>
    <row r="507" spans="1:19">
      <c r="A507" s="1">
        <v>56885</v>
      </c>
      <c r="B507" t="s">
        <v>14</v>
      </c>
      <c r="C507" t="str">
        <f>TEXT(automotive_demand_forecasting_dataset5678[[#This Row],[Date]],"mmmm")</f>
        <v>September</v>
      </c>
      <c r="D507" t="str">
        <f>CHOOSE(MATCH(MONTH(A507), {1,4,7,10}), "Winter", "Spring", "Summer", "Autumn")</f>
        <v>Summer</v>
      </c>
      <c r="E507">
        <f>YEAR(automotive_demand_forecasting_dataset5678[[#This Row],[Date]])</f>
        <v>2055</v>
      </c>
      <c r="F507">
        <v>106</v>
      </c>
      <c r="G507">
        <f>(automotive_demand_forecasting_dataset5678[[#This Row],[Units_Sold]] -$C$4) / $C$5</f>
        <v>0.68630608616360778</v>
      </c>
      <c r="H507" s="47" t="str">
        <f t="shared" ca="1" si="43"/>
        <v>East</v>
      </c>
      <c r="I507">
        <v>28175.236352285574</v>
      </c>
      <c r="J507">
        <v>2.9636284871300966</v>
      </c>
      <c r="K507">
        <v>2.2706092559319724</v>
      </c>
      <c r="L507">
        <v>5.2663632446599822</v>
      </c>
      <c r="M507">
        <v>108516.87317259658</v>
      </c>
      <c r="N507" s="82">
        <v>99</v>
      </c>
      <c r="O507">
        <v>53.438726840553088</v>
      </c>
      <c r="P507"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7" t="str">
        <f t="shared" ca="1" si="44"/>
        <v>Billboards</v>
      </c>
      <c r="R507" s="46">
        <f>automotive_demand_forecasting_dataset5678[[#This Row],[Units_Sold]]*automotive_demand_forecasting_dataset5678[[#This Row],[Average_Price]]</f>
        <v>2986575.0533422707</v>
      </c>
      <c r="S507" t="str">
        <f t="shared" ca="1" si="45"/>
        <v>OK</v>
      </c>
    </row>
    <row r="508" spans="1:19">
      <c r="A508" s="1">
        <v>56915</v>
      </c>
      <c r="B508" t="s">
        <v>12</v>
      </c>
      <c r="C508" t="str">
        <f>TEXT(automotive_demand_forecasting_dataset5678[[#This Row],[Date]],"mmmm")</f>
        <v>October</v>
      </c>
      <c r="D508" t="str">
        <f>CHOOSE(MATCH(MONTH(A508), {1,4,7,10}), "Winter", "Spring", "Summer", "Autumn")</f>
        <v>Autumn</v>
      </c>
      <c r="E508">
        <f>YEAR(automotive_demand_forecasting_dataset5678[[#This Row],[Date]])</f>
        <v>2055</v>
      </c>
      <c r="F508">
        <v>94</v>
      </c>
      <c r="G508">
        <f>(automotive_demand_forecasting_dataset5678[[#This Row],[Units_Sold]] -$C$4) / $C$5</f>
        <v>-0.5428988442786743</v>
      </c>
      <c r="H508" s="47" t="str">
        <f t="shared" ca="1" si="43"/>
        <v>North</v>
      </c>
      <c r="I508">
        <v>25803.951663304968</v>
      </c>
      <c r="J508">
        <v>3.6196234320555747</v>
      </c>
      <c r="K508">
        <v>2.4565230501861377</v>
      </c>
      <c r="L508">
        <v>5.4229741874698023</v>
      </c>
      <c r="M508">
        <v>108364.11511775944</v>
      </c>
      <c r="N508" s="82">
        <v>77</v>
      </c>
      <c r="O508">
        <v>88.262783885376152</v>
      </c>
      <c r="P508"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8" t="str">
        <f t="shared" ca="1" si="44"/>
        <v>Billboards</v>
      </c>
      <c r="R508" s="46">
        <f>automotive_demand_forecasting_dataset5678[[#This Row],[Units_Sold]]*automotive_demand_forecasting_dataset5678[[#This Row],[Average_Price]]</f>
        <v>2425571.4563506669</v>
      </c>
      <c r="S508" t="str">
        <f t="shared" ca="1" si="45"/>
        <v>OK</v>
      </c>
    </row>
    <row r="509" spans="1:19">
      <c r="A509" s="1">
        <v>56945</v>
      </c>
      <c r="B509" t="s">
        <v>13</v>
      </c>
      <c r="C509" t="str">
        <f>TEXT(automotive_demand_forecasting_dataset5678[[#This Row],[Date]],"mmmm")</f>
        <v>November</v>
      </c>
      <c r="D509" t="str">
        <f>CHOOSE(MATCH(MONTH(A509), {1,4,7,10}), "Winter", "Spring", "Summer", "Autumn")</f>
        <v>Autumn</v>
      </c>
      <c r="E509">
        <f>YEAR(automotive_demand_forecasting_dataset5678[[#This Row],[Date]])</f>
        <v>2055</v>
      </c>
      <c r="F509">
        <v>81</v>
      </c>
      <c r="G509">
        <f>(automotive_demand_forecasting_dataset5678[[#This Row],[Units_Sold]] -$C$4) / $C$5</f>
        <v>-1.87453751892448</v>
      </c>
      <c r="H509" s="47" t="str">
        <f t="shared" ca="1" si="43"/>
        <v>East</v>
      </c>
      <c r="I509">
        <v>24775.954029894834</v>
      </c>
      <c r="J509">
        <v>4.5370413348749867</v>
      </c>
      <c r="K509">
        <v>0.96889249744427786</v>
      </c>
      <c r="L509">
        <v>5.6101029813380476</v>
      </c>
      <c r="M509">
        <v>64479.764919031957</v>
      </c>
      <c r="N509" s="82">
        <v>101</v>
      </c>
      <c r="O509">
        <v>88.492289759572827</v>
      </c>
      <c r="P509"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09" t="str">
        <f t="shared" ca="1" si="44"/>
        <v>Print</v>
      </c>
      <c r="R509" s="46">
        <f>automotive_demand_forecasting_dataset5678[[#This Row],[Units_Sold]]*automotive_demand_forecasting_dataset5678[[#This Row],[Average_Price]]</f>
        <v>2006852.2764214815</v>
      </c>
      <c r="S509" t="str">
        <f t="shared" ca="1" si="45"/>
        <v>OK</v>
      </c>
    </row>
    <row r="510" spans="1:19">
      <c r="A510" s="1">
        <v>56975</v>
      </c>
      <c r="B510" t="s">
        <v>14</v>
      </c>
      <c r="C510" t="str">
        <f>TEXT(automotive_demand_forecasting_dataset5678[[#This Row],[Date]],"mmmm")</f>
        <v>December</v>
      </c>
      <c r="D510" t="str">
        <f>CHOOSE(MATCH(MONTH(A510), {1,4,7,10}), "Winter", "Spring", "Summer", "Autumn")</f>
        <v>Autumn</v>
      </c>
      <c r="E510">
        <f>YEAR(automotive_demand_forecasting_dataset5678[[#This Row],[Date]])</f>
        <v>2055</v>
      </c>
      <c r="F510">
        <v>95</v>
      </c>
      <c r="G510">
        <f>(automotive_demand_forecasting_dataset5678[[#This Row],[Units_Sold]] -$C$4) / $C$5</f>
        <v>-0.44046510007515077</v>
      </c>
      <c r="H510" s="47" t="str">
        <f t="shared" ca="1" si="43"/>
        <v>West</v>
      </c>
      <c r="I510">
        <v>20168.217053119992</v>
      </c>
      <c r="J510">
        <v>3.0403077042067883</v>
      </c>
      <c r="K510">
        <v>3.0142547560178348</v>
      </c>
      <c r="L510">
        <v>5.8026884757120127</v>
      </c>
      <c r="M510">
        <v>121278.81975121712</v>
      </c>
      <c r="N510" s="82">
        <v>94</v>
      </c>
      <c r="O510">
        <v>27.939013193574482</v>
      </c>
      <c r="P510" t="e">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#VALUE!</v>
      </c>
      <c r="Q510" t="str">
        <f t="shared" ca="1" si="44"/>
        <v>TV</v>
      </c>
      <c r="R510" s="46">
        <f>automotive_demand_forecasting_dataset5678[[#This Row],[Units_Sold]]*automotive_demand_forecasting_dataset5678[[#This Row],[Average_Price]]</f>
        <v>1915980.6200463993</v>
      </c>
      <c r="S510" t="str">
        <f t="shared" ca="1" si="45"/>
        <v>OK</v>
      </c>
    </row>
    <row r="511" spans="1:19">
      <c r="A511" s="162"/>
      <c r="B511" s="47"/>
      <c r="C511" s="47"/>
      <c r="D511" s="47"/>
      <c r="E511" s="47"/>
      <c r="F511" s="47"/>
      <c r="G511" s="47"/>
      <c r="H511" s="47"/>
      <c r="I511" s="47"/>
      <c r="J511" s="47"/>
      <c r="K511" s="47"/>
      <c r="L511" s="47"/>
      <c r="M511" s="47"/>
      <c r="N511" s="163"/>
      <c r="O511" s="47"/>
      <c r="P511" s="47"/>
      <c r="Q511" s="47"/>
      <c r="R511" s="157"/>
      <c r="S511" s="47"/>
    </row>
  </sheetData>
  <conditionalFormatting sqref="A10:J511 L10:O511 R10:R511">
    <cfRule type="containsBlanks" dxfId="140" priority="31">
      <formula>LEN(TRIM(A10))=0</formula>
    </cfRule>
  </conditionalFormatting>
  <conditionalFormatting sqref="F10:F511">
    <cfRule type="cellIs" dxfId="139" priority="29" operator="greaterThan">
      <formula>127</formula>
    </cfRule>
  </conditionalFormatting>
  <conditionalFormatting sqref="F11:F511">
    <cfRule type="dataBar" priority="4">
      <dataBar>
        <cfvo type="min"/>
        <cfvo type="max"/>
        <color rgb="FFFF555A"/>
      </dataBar>
      <extLst>
        <ext xmlns:x14="http://schemas.microsoft.com/office/spreadsheetml/2009/9/main" uri="{B025F937-C7B1-47D3-B67F-A62EFF666E3E}">
          <x14:id>{2D4B11B6-11F4-4C6D-ABC7-717C9864CACE}</x14:id>
        </ext>
      </extLst>
    </cfRule>
    <cfRule type="cellIs" dxfId="138" priority="19" operator="notBetween">
      <formula>75</formula>
      <formula>127</formula>
    </cfRule>
  </conditionalFormatting>
  <conditionalFormatting sqref="G11:H511">
    <cfRule type="cellIs" dxfId="137" priority="13" operator="notBetween">
      <formula>-3</formula>
      <formula>3</formula>
    </cfRule>
    <cfRule type="cellIs" dxfId="136" priority="30" operator="greaterThan">
      <formula>3</formula>
    </cfRule>
  </conditionalFormatting>
  <conditionalFormatting sqref="I11:I511">
    <cfRule type="colorScale" priority="5">
      <colorScale>
        <cfvo type="min"/>
        <cfvo type="percentile" val="50"/>
        <cfvo type="max"/>
        <color rgb="FF63BE7B"/>
        <color rgb="FFFFEB84"/>
        <color rgb="FFF8696B"/>
      </colorScale>
    </cfRule>
    <cfRule type="cellIs" dxfId="135" priority="18" operator="notBetween">
      <formula>17044.78854</formula>
      <formula>42898.54669</formula>
    </cfRule>
    <cfRule type="cellIs" dxfId="134" priority="27" operator="lessThan">
      <formula>15575.63284</formula>
    </cfRule>
    <cfRule type="cellIs" dxfId="133" priority="28" operator="greaterThan">
      <formula>45475.55713</formula>
    </cfRule>
  </conditionalFormatting>
  <conditionalFormatting sqref="J11:J511">
    <cfRule type="cellIs" dxfId="132" priority="17" operator="notBetween">
      <formula>2.130140502</formula>
      <formula>4.966738758</formula>
    </cfRule>
    <cfRule type="cellIs" dxfId="131" priority="25" operator="lessThan">
      <formula>2.130140502</formula>
    </cfRule>
    <cfRule type="cellIs" dxfId="130" priority="26" operator="greaterThan">
      <formula>4.966738758</formula>
    </cfRule>
  </conditionalFormatting>
  <conditionalFormatting sqref="K10:K511">
    <cfRule type="containsBlanks" dxfId="129" priority="12">
      <formula>LEN(TRIM(K10))=0</formula>
    </cfRule>
  </conditionalFormatting>
  <conditionalFormatting sqref="K11:K511">
    <cfRule type="cellIs" dxfId="128" priority="6" operator="notBetween">
      <formula>0.20381907</formula>
      <formula>4.599721789</formula>
    </cfRule>
    <cfRule type="cellIs" dxfId="127" priority="7" operator="notBetween">
      <formula>-0.098660428</formula>
      <formula>5.165898334</formula>
    </cfRule>
    <cfRule type="cellIs" dxfId="126" priority="8" operator="lessThan">
      <formula>-0.062333659</formula>
    </cfRule>
    <cfRule type="cellIs" dxfId="125" priority="9" operator="lessThan">
      <formula>-0.519512156</formula>
    </cfRule>
    <cfRule type="cellIs" dxfId="124" priority="10" operator="greaterThan">
      <formula>5.144343347</formula>
    </cfRule>
    <cfRule type="cellIs" dxfId="123" priority="11" operator="greaterThan">
      <formula>5.609918556</formula>
    </cfRule>
  </conditionalFormatting>
  <conditionalFormatting sqref="L11:L511">
    <cfRule type="cellIs" dxfId="122" priority="14" operator="notBetween">
      <formula>2.803732799</formula>
      <formula>8.356646994</formula>
    </cfRule>
    <cfRule type="cellIs" dxfId="121" priority="20" operator="lessThan">
      <formula>2.8037322799</formula>
    </cfRule>
    <cfRule type="cellIs" dxfId="120" priority="21" operator="greaterThan">
      <formula>8.644951709</formula>
    </cfRule>
  </conditionalFormatting>
  <conditionalFormatting sqref="M11:M511">
    <cfRule type="iconSet" priority="2">
      <iconSet iconSet="3TrafficLights2">
        <cfvo type="percent" val="0"/>
        <cfvo type="percent" val="33"/>
        <cfvo type="percent" val="67"/>
      </iconSet>
    </cfRule>
    <cfRule type="cellIs" dxfId="119" priority="22" operator="greaterThan">
      <formula>157368.0611</formula>
    </cfRule>
  </conditionalFormatting>
  <conditionalFormatting sqref="N11:N511">
    <cfRule type="dataBar" priority="1">
      <dataBar>
        <cfvo type="min"/>
        <cfvo type="max"/>
        <color rgb="FFD6007B"/>
      </dataBar>
      <extLst>
        <ext xmlns:x14="http://schemas.microsoft.com/office/spreadsheetml/2009/9/main" uri="{B025F937-C7B1-47D3-B67F-A62EFF666E3E}">
          <x14:id>{1BB4FD18-DD8C-424D-BBE0-421AC57867A8}</x14:id>
        </ext>
      </extLst>
    </cfRule>
    <cfRule type="cellIs" dxfId="118" priority="15" operator="notBetween">
      <formula>65</formula>
      <formula>113</formula>
    </cfRule>
    <cfRule type="cellIs" priority="16" operator="notBetween">
      <formula>65</formula>
      <formula>113</formula>
    </cfRule>
    <cfRule type="cellIs" dxfId="117" priority="23" operator="greaterThan">
      <formula>115</formula>
    </cfRule>
  </conditionalFormatting>
  <conditionalFormatting sqref="O11:O511 R11:R511">
    <cfRule type="cellIs" dxfId="116" priority="24" operator="greaterThan">
      <formula>99.94802404</formula>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D4B11B6-11F4-4C6D-ABC7-717C9864CACE}">
            <x14:dataBar minLength="0" maxLength="100" gradient="0">
              <x14:cfvo type="autoMin"/>
              <x14:cfvo type="autoMax"/>
              <x14:negativeFillColor rgb="FFFF0000"/>
              <x14:axisColor rgb="FF000000"/>
            </x14:dataBar>
          </x14:cfRule>
          <xm:sqref>F11:F511</xm:sqref>
        </x14:conditionalFormatting>
        <x14:conditionalFormatting xmlns:xm="http://schemas.microsoft.com/office/excel/2006/main">
          <x14:cfRule type="dataBar" id="{1BB4FD18-DD8C-424D-BBE0-421AC57867A8}">
            <x14:dataBar minLength="0" maxLength="100" border="1" negativeBarBorderColorSameAsPositive="0">
              <x14:cfvo type="autoMin"/>
              <x14:cfvo type="autoMax"/>
              <x14:borderColor rgb="FFD6007B"/>
              <x14:negativeFillColor rgb="FFFF0000"/>
              <x14:negativeBorderColor rgb="FFFF0000"/>
              <x14:axisColor rgb="FF000000"/>
            </x14:dataBar>
          </x14:cfRule>
          <xm:sqref>N11:N511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535B0-D66E-4776-8B68-E5AF0F31C928}">
  <sheetPr>
    <outlinePr summaryBelow="0"/>
  </sheetPr>
  <dimension ref="B1:G14"/>
  <sheetViews>
    <sheetView showGridLines="0" workbookViewId="0"/>
  </sheetViews>
  <sheetFormatPr defaultRowHeight="14.4" outlineLevelRow="1" outlineLevelCol="1"/>
  <cols>
    <col min="3" max="3" width="5.109375" bestFit="1" customWidth="1"/>
    <col min="4" max="7" width="13.109375" bestFit="1" customWidth="1" outlineLevel="1"/>
  </cols>
  <sheetData>
    <row r="1" spans="2:7" ht="15" thickBot="1"/>
    <row r="2" spans="2:7" ht="15.6">
      <c r="B2" s="165" t="s">
        <v>463</v>
      </c>
      <c r="C2" s="165"/>
      <c r="D2" s="170"/>
      <c r="E2" s="170"/>
      <c r="F2" s="170"/>
      <c r="G2" s="170"/>
    </row>
    <row r="3" spans="2:7" ht="15.6" collapsed="1">
      <c r="B3" s="164"/>
      <c r="C3" s="164"/>
      <c r="D3" s="171" t="s">
        <v>465</v>
      </c>
      <c r="E3" s="171" t="s">
        <v>459</v>
      </c>
      <c r="F3" s="171" t="s">
        <v>462</v>
      </c>
      <c r="G3" s="171" t="s">
        <v>461</v>
      </c>
    </row>
    <row r="4" spans="2:7" ht="30.6" hidden="1" outlineLevel="1">
      <c r="B4" s="167"/>
      <c r="C4" s="167"/>
      <c r="E4" s="173" t="s">
        <v>460</v>
      </c>
      <c r="F4" s="173" t="s">
        <v>460</v>
      </c>
      <c r="G4" s="173" t="s">
        <v>460</v>
      </c>
    </row>
    <row r="5" spans="2:7">
      <c r="B5" s="168" t="s">
        <v>464</v>
      </c>
      <c r="C5" s="168"/>
      <c r="D5" s="166"/>
      <c r="E5" s="166"/>
      <c r="F5" s="166"/>
      <c r="G5" s="166"/>
    </row>
    <row r="6" spans="2:7" outlineLevel="1">
      <c r="B6" s="167"/>
      <c r="C6" s="167" t="s">
        <v>454</v>
      </c>
      <c r="D6">
        <v>3.57101410692488</v>
      </c>
      <c r="E6" s="172">
        <v>2.5499999999999998</v>
      </c>
      <c r="F6" s="172">
        <v>3.15</v>
      </c>
      <c r="G6" s="172">
        <v>2.65</v>
      </c>
    </row>
    <row r="7" spans="2:7" outlineLevel="1">
      <c r="B7" s="167"/>
      <c r="C7" s="167" t="s">
        <v>455</v>
      </c>
      <c r="D7">
        <v>2.5457621083961599</v>
      </c>
      <c r="E7" s="172">
        <v>3.65</v>
      </c>
      <c r="F7" s="172">
        <v>2.25</v>
      </c>
      <c r="G7" s="172">
        <v>1.45</v>
      </c>
    </row>
    <row r="8" spans="2:7" outlineLevel="1">
      <c r="B8" s="167"/>
      <c r="C8" s="167" t="s">
        <v>456</v>
      </c>
      <c r="D8">
        <v>100650.830041436</v>
      </c>
      <c r="E8" s="172">
        <v>120000</v>
      </c>
      <c r="F8" s="172">
        <v>100000.65</v>
      </c>
      <c r="G8" s="172">
        <v>80500.45</v>
      </c>
    </row>
    <row r="9" spans="2:7" outlineLevel="1">
      <c r="B9" s="167"/>
      <c r="C9" s="167" t="s">
        <v>457</v>
      </c>
      <c r="D9">
        <v>61.467868191791197</v>
      </c>
      <c r="E9" s="172">
        <v>65.45</v>
      </c>
      <c r="F9" s="172">
        <v>60.45</v>
      </c>
      <c r="G9" s="172">
        <v>55.65</v>
      </c>
    </row>
    <row r="10" spans="2:7">
      <c r="B10" s="168" t="s">
        <v>466</v>
      </c>
      <c r="C10" s="168"/>
      <c r="D10" s="166"/>
      <c r="E10" s="166"/>
      <c r="F10" s="166"/>
      <c r="G10" s="166"/>
    </row>
    <row r="11" spans="2:7" ht="15" outlineLevel="1" thickBot="1">
      <c r="B11" s="169"/>
      <c r="C11" s="169" t="s">
        <v>458</v>
      </c>
      <c r="D11" s="5">
        <v>8055504.6065064296</v>
      </c>
      <c r="E11" s="5">
        <v>9603485.3864999991</v>
      </c>
      <c r="F11" s="5">
        <v>8003488.3724999996</v>
      </c>
      <c r="G11" s="5">
        <v>6443441.4644999998</v>
      </c>
    </row>
    <row r="12" spans="2:7">
      <c r="B12" t="s">
        <v>467</v>
      </c>
    </row>
    <row r="13" spans="2:7">
      <c r="B13" t="s">
        <v>468</v>
      </c>
    </row>
    <row r="14" spans="2:7">
      <c r="B14" t="s">
        <v>469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BED2C-6192-4861-A7CB-4EEA5349F229}">
  <sheetPr>
    <outlinePr summaryBelow="0"/>
  </sheetPr>
  <dimension ref="B1:G14"/>
  <sheetViews>
    <sheetView showGridLines="0" workbookViewId="0">
      <selection activeCell="G17" sqref="G17"/>
    </sheetView>
  </sheetViews>
  <sheetFormatPr defaultRowHeight="14.4" outlineLevelRow="1" outlineLevelCol="1"/>
  <cols>
    <col min="3" max="3" width="20.33203125" bestFit="1" customWidth="1"/>
    <col min="4" max="7" width="13.109375" bestFit="1" customWidth="1" outlineLevel="1"/>
  </cols>
  <sheetData>
    <row r="1" spans="2:7" ht="15" thickBot="1"/>
    <row r="2" spans="2:7" ht="15.6">
      <c r="B2" s="165" t="s">
        <v>463</v>
      </c>
      <c r="C2" s="165"/>
      <c r="D2" s="170"/>
      <c r="E2" s="170"/>
      <c r="F2" s="170"/>
      <c r="G2" s="170"/>
    </row>
    <row r="3" spans="2:7" ht="15.6" collapsed="1">
      <c r="B3" s="164"/>
      <c r="C3" s="164"/>
      <c r="D3" s="171" t="s">
        <v>465</v>
      </c>
      <c r="E3" s="171" t="s">
        <v>459</v>
      </c>
      <c r="F3" s="171" t="s">
        <v>462</v>
      </c>
      <c r="G3" s="171" t="s">
        <v>461</v>
      </c>
    </row>
    <row r="4" spans="2:7" ht="30.6" hidden="1" outlineLevel="1">
      <c r="B4" s="167"/>
      <c r="C4" s="167"/>
      <c r="E4" s="173" t="s">
        <v>460</v>
      </c>
      <c r="F4" s="173" t="s">
        <v>460</v>
      </c>
      <c r="G4" s="173" t="s">
        <v>460</v>
      </c>
    </row>
    <row r="5" spans="2:7">
      <c r="B5" s="168" t="s">
        <v>464</v>
      </c>
      <c r="C5" s="168"/>
      <c r="D5" s="166"/>
      <c r="E5" s="166"/>
      <c r="F5" s="166"/>
      <c r="G5" s="166"/>
    </row>
    <row r="6" spans="2:7" outlineLevel="1">
      <c r="B6" s="167"/>
      <c r="C6" s="167" t="s">
        <v>4</v>
      </c>
      <c r="D6">
        <v>3.57101410692488</v>
      </c>
      <c r="E6" s="172">
        <v>2.5499999999999998</v>
      </c>
      <c r="F6" s="172">
        <v>3.15</v>
      </c>
      <c r="G6" s="172">
        <v>2.65</v>
      </c>
    </row>
    <row r="7" spans="2:7" outlineLevel="1">
      <c r="B7" s="167"/>
      <c r="C7" s="167" t="s">
        <v>5</v>
      </c>
      <c r="D7">
        <v>2.5457621083961599</v>
      </c>
      <c r="E7" s="172">
        <v>3.65</v>
      </c>
      <c r="F7" s="172">
        <v>2.25</v>
      </c>
      <c r="G7" s="172">
        <v>1.45</v>
      </c>
    </row>
    <row r="8" spans="2:7" outlineLevel="1">
      <c r="B8" s="167"/>
      <c r="C8" s="167" t="s">
        <v>7</v>
      </c>
      <c r="D8">
        <v>100650.830041436</v>
      </c>
      <c r="E8" s="172">
        <v>120000</v>
      </c>
      <c r="F8" s="172">
        <v>100000.65</v>
      </c>
      <c r="G8" s="172">
        <v>80500.45</v>
      </c>
    </row>
    <row r="9" spans="2:7" outlineLevel="1">
      <c r="B9" s="167"/>
      <c r="C9" s="167" t="s">
        <v>9</v>
      </c>
      <c r="D9">
        <v>61.467868191791197</v>
      </c>
      <c r="E9" s="172">
        <v>65.45</v>
      </c>
      <c r="F9" s="172">
        <v>60.45</v>
      </c>
      <c r="G9" s="172">
        <v>55.65</v>
      </c>
    </row>
    <row r="10" spans="2:7">
      <c r="B10" s="168" t="s">
        <v>466</v>
      </c>
      <c r="C10" s="168"/>
      <c r="D10" s="166"/>
      <c r="E10" s="166"/>
      <c r="F10" s="166"/>
      <c r="G10" s="166"/>
    </row>
    <row r="11" spans="2:7" ht="15" outlineLevel="1" thickBot="1">
      <c r="B11" s="169"/>
      <c r="C11" s="169" t="s">
        <v>453</v>
      </c>
      <c r="D11" s="5">
        <v>8055504.6065064296</v>
      </c>
      <c r="E11" s="5">
        <v>9603485.3864999991</v>
      </c>
      <c r="F11" s="5">
        <v>8003488.3724999996</v>
      </c>
      <c r="G11" s="5">
        <v>6443441.4644999998</v>
      </c>
    </row>
    <row r="12" spans="2:7">
      <c r="B12" t="s">
        <v>467</v>
      </c>
    </row>
    <row r="13" spans="2:7">
      <c r="B13" t="s">
        <v>468</v>
      </c>
    </row>
    <row r="14" spans="2:7">
      <c r="B14" t="s">
        <v>469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5C23E-C84C-4B7A-9130-C92DBCC9AEC7}">
  <dimension ref="A1:B6"/>
  <sheetViews>
    <sheetView workbookViewId="0">
      <selection activeCell="B6" sqref="B6"/>
    </sheetView>
  </sheetViews>
  <sheetFormatPr defaultRowHeight="14.4"/>
  <cols>
    <col min="1" max="1" width="20.33203125" customWidth="1"/>
    <col min="2" max="2" width="13.21875" customWidth="1"/>
  </cols>
  <sheetData>
    <row r="1" spans="1:2">
      <c r="A1" s="161" t="s">
        <v>452</v>
      </c>
      <c r="B1" s="161" t="s">
        <v>470</v>
      </c>
    </row>
    <row r="2" spans="1:2">
      <c r="A2" s="156" t="s">
        <v>4</v>
      </c>
      <c r="B2">
        <v>3.57101410692488</v>
      </c>
    </row>
    <row r="3" spans="1:2">
      <c r="A3" s="156" t="s">
        <v>5</v>
      </c>
      <c r="B3">
        <v>2.5457621083961599</v>
      </c>
    </row>
    <row r="4" spans="1:2">
      <c r="A4" s="156" t="s">
        <v>7</v>
      </c>
      <c r="B4">
        <v>100650.830041436</v>
      </c>
    </row>
    <row r="5" spans="1:2">
      <c r="A5" s="156" t="s">
        <v>9</v>
      </c>
      <c r="B5">
        <v>61.467868191791197</v>
      </c>
    </row>
    <row r="6" spans="1:2">
      <c r="A6" t="s">
        <v>453</v>
      </c>
      <c r="B6">
        <f>3000 - (B2*15) + (B3*0.01) + (B4*80) + (B5*8)</f>
        <v>8055504.6065064315</v>
      </c>
    </row>
  </sheetData>
  <scenarios current="0" sqref="B6">
    <scenario name="Best Case" locked="1" count="4" user="Sabhya Singh" comment="Created by Sabhya Singh on 30-06-2025">
      <inputCells r="B2" val="2.55"/>
      <inputCells r="B3" val="3.65"/>
      <inputCells r="B4" val="120000"/>
      <inputCells r="B5" val="65.45"/>
    </scenario>
    <scenario name="Average Case" locked="1" count="4" user="Sabhya Singh" comment="Created by Sabhya Singh on 30-06-2025">
      <inputCells r="B2" val="3.15"/>
      <inputCells r="B3" val="2.25"/>
      <inputCells r="B4" val="100000.65"/>
      <inputCells r="B5" val="60.45"/>
    </scenario>
    <scenario name="Worst Case" locked="1" count="4" user="Sabhya Singh" comment="Created by Sabhya Singh on 30-06-2025">
      <inputCells r="B2" val="2.65"/>
      <inputCells r="B3" val="1.45"/>
      <inputCells r="B4" val="80500.45"/>
      <inputCells r="B5" val="55.65"/>
    </scenario>
  </scenarios>
  <conditionalFormatting sqref="A2:A5">
    <cfRule type="containsBlanks" dxfId="115" priority="1">
      <formula>LEN(TRIM(A2))=0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09A1C-7033-4D1A-840B-F0DEFC4F3478}">
  <sheetPr codeName="Sheet11"/>
  <dimension ref="A3:B12"/>
  <sheetViews>
    <sheetView topLeftCell="A2" workbookViewId="0">
      <selection activeCell="H27" sqref="H27"/>
    </sheetView>
  </sheetViews>
  <sheetFormatPr defaultRowHeight="14.4"/>
  <cols>
    <col min="1" max="1" width="12.5546875" bestFit="1" customWidth="1"/>
    <col min="2" max="2" width="16.5546875" bestFit="1" customWidth="1"/>
  </cols>
  <sheetData>
    <row r="3" spans="1:2">
      <c r="A3" s="3" t="s">
        <v>37</v>
      </c>
      <c r="B3" t="s">
        <v>39</v>
      </c>
    </row>
    <row r="4" spans="1:2">
      <c r="A4" s="4" t="s">
        <v>13</v>
      </c>
      <c r="B4">
        <v>10140</v>
      </c>
    </row>
    <row r="5" spans="1:2">
      <c r="A5" s="4" t="s">
        <v>11</v>
      </c>
      <c r="B5">
        <v>9703</v>
      </c>
    </row>
    <row r="6" spans="1:2">
      <c r="A6" s="4" t="s">
        <v>10</v>
      </c>
      <c r="B6">
        <v>10540</v>
      </c>
    </row>
    <row r="7" spans="1:2">
      <c r="A7" s="4" t="s">
        <v>12</v>
      </c>
      <c r="B7">
        <v>10691</v>
      </c>
    </row>
    <row r="8" spans="1:2">
      <c r="A8" s="4" t="s">
        <v>14</v>
      </c>
      <c r="B8">
        <v>8610</v>
      </c>
    </row>
    <row r="9" spans="1:2">
      <c r="A9" s="4" t="s">
        <v>38</v>
      </c>
      <c r="B9">
        <v>49684</v>
      </c>
    </row>
    <row r="12" spans="1:2">
      <c r="B12" s="2" t="s">
        <v>40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FE305-6818-4176-9F85-8A7A011BC15C}">
  <sheetPr codeName="Sheet22"/>
  <dimension ref="A1:N520"/>
  <sheetViews>
    <sheetView workbookViewId="0">
      <selection activeCell="E24" sqref="E24"/>
    </sheetView>
  </sheetViews>
  <sheetFormatPr defaultRowHeight="14.4"/>
  <cols>
    <col min="1" max="1" width="21.33203125" bestFit="1" customWidth="1"/>
    <col min="2" max="2" width="9.88671875" customWidth="1"/>
    <col min="3" max="3" width="16.77734375" customWidth="1"/>
    <col min="4" max="4" width="12.6640625" bestFit="1" customWidth="1"/>
    <col min="5" max="5" width="21.33203125" bestFit="1" customWidth="1"/>
    <col min="6" max="6" width="12.6640625" bestFit="1" customWidth="1"/>
    <col min="7" max="7" width="21.33203125" bestFit="1" customWidth="1"/>
    <col min="9" max="9" width="21.33203125" bestFit="1" customWidth="1"/>
    <col min="10" max="10" width="10.77734375" customWidth="1"/>
    <col min="11" max="11" width="21.33203125" bestFit="1" customWidth="1"/>
    <col min="12" max="12" width="12" bestFit="1" customWidth="1"/>
  </cols>
  <sheetData>
    <row r="1" spans="1:14">
      <c r="A1" s="35" t="s">
        <v>3</v>
      </c>
      <c r="B1" s="35"/>
      <c r="C1" s="35" t="s">
        <v>4</v>
      </c>
      <c r="D1" s="35"/>
      <c r="E1" s="35" t="s">
        <v>5</v>
      </c>
      <c r="F1" s="35"/>
      <c r="G1" s="35" t="s">
        <v>6</v>
      </c>
      <c r="H1" s="35"/>
      <c r="I1" s="35" t="s">
        <v>7</v>
      </c>
      <c r="J1" s="35"/>
      <c r="K1" s="35" t="s">
        <v>8</v>
      </c>
      <c r="L1" s="35"/>
      <c r="M1" s="35" t="s">
        <v>9</v>
      </c>
      <c r="N1" s="35"/>
    </row>
    <row r="2" spans="1:14">
      <c r="A2" s="36"/>
      <c r="B2" s="36"/>
      <c r="C2" s="36"/>
      <c r="D2" s="36"/>
      <c r="E2" s="36"/>
      <c r="F2" s="36"/>
      <c r="G2" s="36"/>
      <c r="H2" s="36"/>
      <c r="I2" s="36"/>
      <c r="J2" s="36"/>
      <c r="K2" s="36"/>
      <c r="L2" s="36"/>
      <c r="M2" s="36"/>
      <c r="N2" s="36"/>
    </row>
    <row r="3" spans="1:14">
      <c r="A3" s="36" t="s">
        <v>25</v>
      </c>
      <c r="B3" s="36">
        <v>30379.898016012652</v>
      </c>
      <c r="C3" s="36" t="s">
        <v>25</v>
      </c>
      <c r="D3" s="36">
        <v>3.514149339966318</v>
      </c>
      <c r="E3" s="36" t="s">
        <v>25</v>
      </c>
      <c r="F3" s="36">
        <v>2.5137462924642011</v>
      </c>
      <c r="G3" s="36" t="s">
        <v>25</v>
      </c>
      <c r="H3" s="36">
        <v>5.5164296807645927</v>
      </c>
      <c r="I3" s="36" t="s">
        <v>25</v>
      </c>
      <c r="J3" s="36">
        <v>99115.075579279975</v>
      </c>
      <c r="K3" s="36" t="s">
        <v>25</v>
      </c>
      <c r="L3" s="36">
        <v>89.004000000000005</v>
      </c>
      <c r="M3" s="36" t="s">
        <v>25</v>
      </c>
      <c r="N3" s="36">
        <v>60.283050764363061</v>
      </c>
    </row>
    <row r="4" spans="1:14">
      <c r="A4" s="36" t="s">
        <v>46</v>
      </c>
      <c r="B4" s="36">
        <v>221.0849556134458</v>
      </c>
      <c r="C4" s="36" t="s">
        <v>46</v>
      </c>
      <c r="D4" s="36">
        <v>2.1353881164190052E-2</v>
      </c>
      <c r="E4" s="36" t="s">
        <v>46</v>
      </c>
      <c r="F4" s="36">
        <v>3.8411403156505999E-2</v>
      </c>
      <c r="G4" s="36" t="s">
        <v>46</v>
      </c>
      <c r="H4" s="36">
        <v>4.7875636769333402E-2</v>
      </c>
      <c r="I4" s="36" t="s">
        <v>46</v>
      </c>
      <c r="J4" s="36">
        <v>908.87181037773894</v>
      </c>
      <c r="K4" s="36" t="s">
        <v>46</v>
      </c>
      <c r="L4" s="36">
        <v>0.38647469954289837</v>
      </c>
      <c r="M4" s="36" t="s">
        <v>46</v>
      </c>
      <c r="N4" s="36">
        <v>1.041742859142424</v>
      </c>
    </row>
    <row r="5" spans="1:14">
      <c r="A5" s="36" t="s">
        <v>28</v>
      </c>
      <c r="B5" s="36">
        <v>30599.02924</v>
      </c>
      <c r="C5" s="36" t="s">
        <v>28</v>
      </c>
      <c r="D5" s="36">
        <v>3.4915320310000002</v>
      </c>
      <c r="E5" s="36" t="s">
        <v>28</v>
      </c>
      <c r="F5" s="36">
        <v>2.5869878669999999</v>
      </c>
      <c r="G5" s="36" t="s">
        <v>28</v>
      </c>
      <c r="H5" s="36">
        <v>5.5237128259999997</v>
      </c>
      <c r="I5" s="36" t="s">
        <v>28</v>
      </c>
      <c r="J5" s="36">
        <v>100849.89822270619</v>
      </c>
      <c r="K5" s="36" t="s">
        <v>28</v>
      </c>
      <c r="L5" s="36">
        <v>89</v>
      </c>
      <c r="M5" s="36" t="s">
        <v>28</v>
      </c>
      <c r="N5" s="36">
        <v>62.296585590724206</v>
      </c>
    </row>
    <row r="6" spans="1:14">
      <c r="A6" s="36" t="s">
        <v>47</v>
      </c>
      <c r="B6" s="36">
        <v>30599.02924</v>
      </c>
      <c r="C6" s="36" t="s">
        <v>47</v>
      </c>
      <c r="D6" s="36">
        <v>3.4915320310000002</v>
      </c>
      <c r="E6" s="36" t="s">
        <v>47</v>
      </c>
      <c r="F6" s="36">
        <v>2.5869878669999999</v>
      </c>
      <c r="G6" s="36" t="s">
        <v>47</v>
      </c>
      <c r="H6" s="36">
        <v>5.5237128259999997</v>
      </c>
      <c r="I6" s="36" t="s">
        <v>47</v>
      </c>
      <c r="J6" s="36">
        <v>100873.2838</v>
      </c>
      <c r="K6" s="36" t="s">
        <v>47</v>
      </c>
      <c r="L6" s="36">
        <v>89</v>
      </c>
      <c r="M6" s="36" t="s">
        <v>47</v>
      </c>
      <c r="N6" s="36">
        <v>62.2965856</v>
      </c>
    </row>
    <row r="7" spans="1:14">
      <c r="A7" s="36" t="s">
        <v>48</v>
      </c>
      <c r="B7" s="36">
        <v>4943.6098955418856</v>
      </c>
      <c r="C7" s="36" t="s">
        <v>48</v>
      </c>
      <c r="D7" s="36">
        <v>0.47748729866581308</v>
      </c>
      <c r="E7" s="36" t="s">
        <v>48</v>
      </c>
      <c r="F7" s="36">
        <v>0.85890508569097412</v>
      </c>
      <c r="G7" s="36" t="s">
        <v>48</v>
      </c>
      <c r="H7" s="36">
        <v>1.0705317828231791</v>
      </c>
      <c r="I7" s="36" t="s">
        <v>48</v>
      </c>
      <c r="J7" s="36">
        <v>20322.991508379233</v>
      </c>
      <c r="K7" s="36" t="s">
        <v>48</v>
      </c>
      <c r="L7" s="36">
        <v>8.6418369976172773</v>
      </c>
      <c r="M7" s="36" t="s">
        <v>48</v>
      </c>
      <c r="N7" s="36">
        <v>23.294078481174484</v>
      </c>
    </row>
    <row r="8" spans="1:14">
      <c r="A8" s="36" t="s">
        <v>49</v>
      </c>
      <c r="B8" s="36">
        <v>24439278.79929965</v>
      </c>
      <c r="C8" s="36" t="s">
        <v>49</v>
      </c>
      <c r="D8" s="36">
        <v>0.2279941203871754</v>
      </c>
      <c r="E8" s="36" t="s">
        <v>49</v>
      </c>
      <c r="F8" s="36">
        <v>0.73771794622581965</v>
      </c>
      <c r="G8" s="36" t="s">
        <v>49</v>
      </c>
      <c r="H8" s="36">
        <v>1.1460382980345742</v>
      </c>
      <c r="I8" s="36" t="s">
        <v>49</v>
      </c>
      <c r="J8" s="36">
        <v>413023983.84965438</v>
      </c>
      <c r="K8" s="36" t="s">
        <v>49</v>
      </c>
      <c r="L8" s="36">
        <v>74.681346693386786</v>
      </c>
      <c r="M8" s="36" t="s">
        <v>49</v>
      </c>
      <c r="N8" s="36">
        <v>542.61409228711614</v>
      </c>
    </row>
    <row r="9" spans="1:14">
      <c r="A9" s="36" t="s">
        <v>50</v>
      </c>
      <c r="B9" s="36">
        <v>-0.24994497626536871</v>
      </c>
      <c r="C9" s="36" t="s">
        <v>50</v>
      </c>
      <c r="D9" s="36">
        <v>-0.20061331735087462</v>
      </c>
      <c r="E9" s="36" t="s">
        <v>50</v>
      </c>
      <c r="F9" s="36">
        <v>-0.37628838970020562</v>
      </c>
      <c r="G9" s="36" t="s">
        <v>50</v>
      </c>
      <c r="H9" s="36">
        <v>-0.16763241391417738</v>
      </c>
      <c r="I9" s="36" t="s">
        <v>50</v>
      </c>
      <c r="J9" s="36">
        <v>-0.35555739442297085</v>
      </c>
      <c r="K9" s="36" t="s">
        <v>50</v>
      </c>
      <c r="L9" s="36">
        <v>4.7227532613630885E-2</v>
      </c>
      <c r="M9" s="36" t="s">
        <v>50</v>
      </c>
      <c r="N9" s="36">
        <v>-1.2274799317179326</v>
      </c>
    </row>
    <row r="10" spans="1:14">
      <c r="A10" s="36" t="s">
        <v>51</v>
      </c>
      <c r="B10" s="36">
        <v>-1.0620455319504214E-2</v>
      </c>
      <c r="C10" s="36" t="s">
        <v>51</v>
      </c>
      <c r="D10" s="36">
        <v>6.7147894435541283E-2</v>
      </c>
      <c r="E10" s="36" t="s">
        <v>51</v>
      </c>
      <c r="F10" s="36">
        <v>-0.14567729671110644</v>
      </c>
      <c r="G10" s="36" t="s">
        <v>51</v>
      </c>
      <c r="H10" s="36">
        <v>2.6783001837988082E-2</v>
      </c>
      <c r="I10" s="36" t="s">
        <v>51</v>
      </c>
      <c r="J10" s="36">
        <v>-9.6360255564851061E-2</v>
      </c>
      <c r="K10" s="36" t="s">
        <v>51</v>
      </c>
      <c r="L10" s="36">
        <v>7.9158658812579608E-2</v>
      </c>
      <c r="M10" s="36" t="s">
        <v>51</v>
      </c>
      <c r="N10" s="36">
        <v>-6.8531921357670071E-3</v>
      </c>
    </row>
    <row r="11" spans="1:14">
      <c r="A11" s="36" t="s">
        <v>52</v>
      </c>
      <c r="B11" s="36">
        <v>25668.152362781366</v>
      </c>
      <c r="C11" s="36" t="s">
        <v>52</v>
      </c>
      <c r="D11" s="36">
        <v>2.6524577035898158</v>
      </c>
      <c r="E11" s="36" t="s">
        <v>52</v>
      </c>
      <c r="F11" s="36">
        <v>4.3014006330242802</v>
      </c>
      <c r="G11" s="36" t="s">
        <v>52</v>
      </c>
      <c r="H11" s="36">
        <v>5.5329141943247597</v>
      </c>
      <c r="I11" s="36" t="s">
        <v>52</v>
      </c>
      <c r="J11" s="36">
        <v>108056.25292958287</v>
      </c>
      <c r="K11" s="36" t="s">
        <v>52</v>
      </c>
      <c r="L11" s="36">
        <v>48</v>
      </c>
      <c r="M11" s="36" t="s">
        <v>52</v>
      </c>
      <c r="N11" s="36">
        <v>79.380679015826331</v>
      </c>
    </row>
    <row r="12" spans="1:14">
      <c r="A12" s="36" t="s">
        <v>53</v>
      </c>
      <c r="B12" s="36">
        <v>17230.394325490226</v>
      </c>
      <c r="C12" s="36" t="s">
        <v>53</v>
      </c>
      <c r="D12" s="36">
        <v>2.1483838535003814</v>
      </c>
      <c r="E12" s="36" t="s">
        <v>53</v>
      </c>
      <c r="F12" s="36">
        <v>0.28813808867049318</v>
      </c>
      <c r="G12" s="36" t="s">
        <v>53</v>
      </c>
      <c r="H12" s="36">
        <v>2.8037327992184737</v>
      </c>
      <c r="I12" s="36" t="s">
        <v>53</v>
      </c>
      <c r="J12" s="36">
        <v>40177.280581985535</v>
      </c>
      <c r="K12" s="36" t="s">
        <v>53</v>
      </c>
      <c r="L12" s="36">
        <v>65</v>
      </c>
      <c r="M12" s="36" t="s">
        <v>53</v>
      </c>
      <c r="N12" s="36">
        <v>20.567345021949677</v>
      </c>
    </row>
    <row r="13" spans="1:14">
      <c r="A13" s="36" t="s">
        <v>54</v>
      </c>
      <c r="B13" s="36">
        <v>42898.546688271592</v>
      </c>
      <c r="C13" s="36" t="s">
        <v>54</v>
      </c>
      <c r="D13" s="36">
        <v>4.8008415570901972</v>
      </c>
      <c r="E13" s="36" t="s">
        <v>54</v>
      </c>
      <c r="F13" s="36">
        <v>4.5895387216947734</v>
      </c>
      <c r="G13" s="36" t="s">
        <v>54</v>
      </c>
      <c r="H13" s="36">
        <v>8.3366469935432335</v>
      </c>
      <c r="I13" s="36" t="s">
        <v>54</v>
      </c>
      <c r="J13" s="36">
        <v>148233.53351156841</v>
      </c>
      <c r="K13" s="36" t="s">
        <v>54</v>
      </c>
      <c r="L13" s="36">
        <v>113</v>
      </c>
      <c r="M13" s="36" t="s">
        <v>54</v>
      </c>
      <c r="N13" s="36">
        <v>99.948024037776008</v>
      </c>
    </row>
    <row r="14" spans="1:14">
      <c r="A14" s="36" t="s">
        <v>55</v>
      </c>
      <c r="B14" s="36">
        <v>15189949.008006327</v>
      </c>
      <c r="C14" s="36" t="s">
        <v>55</v>
      </c>
      <c r="D14" s="36">
        <v>1757.0746699831591</v>
      </c>
      <c r="E14" s="36" t="s">
        <v>55</v>
      </c>
      <c r="F14" s="36">
        <v>1256.8731462321005</v>
      </c>
      <c r="G14" s="36" t="s">
        <v>55</v>
      </c>
      <c r="H14" s="36">
        <v>2758.2148403822962</v>
      </c>
      <c r="I14" s="36" t="s">
        <v>55</v>
      </c>
      <c r="J14" s="36">
        <v>49557537.789639987</v>
      </c>
      <c r="K14" s="36" t="s">
        <v>55</v>
      </c>
      <c r="L14" s="36">
        <v>44502</v>
      </c>
      <c r="M14" s="36" t="s">
        <v>55</v>
      </c>
      <c r="N14" s="36">
        <v>30141.525382181531</v>
      </c>
    </row>
    <row r="15" spans="1:14">
      <c r="A15" s="36" t="s">
        <v>56</v>
      </c>
      <c r="B15" s="36">
        <v>500</v>
      </c>
      <c r="C15" s="36" t="s">
        <v>56</v>
      </c>
      <c r="D15" s="36">
        <v>500</v>
      </c>
      <c r="E15" s="36" t="s">
        <v>56</v>
      </c>
      <c r="F15" s="36">
        <v>500</v>
      </c>
      <c r="G15" s="36" t="s">
        <v>56</v>
      </c>
      <c r="H15" s="36">
        <v>500</v>
      </c>
      <c r="I15" s="36" t="s">
        <v>56</v>
      </c>
      <c r="J15" s="36">
        <v>500</v>
      </c>
      <c r="K15" s="36" t="s">
        <v>56</v>
      </c>
      <c r="L15" s="36">
        <v>500</v>
      </c>
      <c r="M15" s="36" t="s">
        <v>56</v>
      </c>
      <c r="N15" s="36">
        <v>500</v>
      </c>
    </row>
    <row r="16" spans="1:14">
      <c r="A16" s="36" t="s">
        <v>57</v>
      </c>
      <c r="B16" s="36">
        <v>42898.546688271592</v>
      </c>
      <c r="C16" s="36" t="s">
        <v>57</v>
      </c>
      <c r="D16" s="36">
        <v>4.8008415570901972</v>
      </c>
      <c r="E16" s="36" t="s">
        <v>57</v>
      </c>
      <c r="F16" s="36">
        <v>4.5895387216947734</v>
      </c>
      <c r="G16" s="36" t="s">
        <v>57</v>
      </c>
      <c r="H16" s="36">
        <v>8.3366469935432335</v>
      </c>
      <c r="I16" s="36" t="s">
        <v>57</v>
      </c>
      <c r="J16" s="36">
        <v>148233.53351156841</v>
      </c>
      <c r="K16" s="36" t="s">
        <v>57</v>
      </c>
      <c r="L16" s="36">
        <v>113</v>
      </c>
      <c r="M16" s="36" t="s">
        <v>57</v>
      </c>
      <c r="N16" s="36">
        <v>99.948024037776008</v>
      </c>
    </row>
    <row r="17" spans="1:14">
      <c r="A17" s="36" t="s">
        <v>58</v>
      </c>
      <c r="B17" s="36">
        <v>17230.394325490226</v>
      </c>
      <c r="C17" s="36" t="s">
        <v>58</v>
      </c>
      <c r="D17" s="36">
        <v>2.1483838535003814</v>
      </c>
      <c r="E17" s="36" t="s">
        <v>58</v>
      </c>
      <c r="F17" s="36">
        <v>0.28813808867049318</v>
      </c>
      <c r="G17" s="36" t="s">
        <v>58</v>
      </c>
      <c r="H17" s="36">
        <v>2.8037327992184737</v>
      </c>
      <c r="I17" s="36" t="s">
        <v>58</v>
      </c>
      <c r="J17" s="36">
        <v>40177.280581985535</v>
      </c>
      <c r="K17" s="36" t="s">
        <v>58</v>
      </c>
      <c r="L17" s="36">
        <v>65</v>
      </c>
      <c r="M17" s="36" t="s">
        <v>58</v>
      </c>
      <c r="N17" s="36">
        <v>20.567345021949677</v>
      </c>
    </row>
    <row r="18" spans="1:14" ht="15" thickBot="1">
      <c r="A18" s="37" t="s">
        <v>59</v>
      </c>
      <c r="B18" s="37">
        <v>434.37211019894409</v>
      </c>
      <c r="C18" s="37" t="s">
        <v>59</v>
      </c>
      <c r="D18" s="37">
        <v>4.1954597934942453E-2</v>
      </c>
      <c r="E18" s="37" t="s">
        <v>59</v>
      </c>
      <c r="F18" s="37">
        <v>7.5468012730664363E-2</v>
      </c>
      <c r="G18" s="37" t="s">
        <v>59</v>
      </c>
      <c r="H18" s="37">
        <v>9.4062670672959883E-2</v>
      </c>
      <c r="I18" s="37" t="s">
        <v>59</v>
      </c>
      <c r="J18" s="37">
        <v>1785.687158489327</v>
      </c>
      <c r="K18" s="37" t="s">
        <v>59</v>
      </c>
      <c r="L18" s="37">
        <v>0.75931820106506609</v>
      </c>
      <c r="M18" s="37" t="s">
        <v>59</v>
      </c>
      <c r="N18" s="37">
        <v>2.0467428132086614</v>
      </c>
    </row>
    <row r="20" spans="1:14">
      <c r="A20" s="16" t="s">
        <v>2</v>
      </c>
      <c r="C20" s="48" t="s">
        <v>99</v>
      </c>
    </row>
    <row r="21" spans="1:14">
      <c r="A21" s="14">
        <v>96</v>
      </c>
      <c r="F21" s="32" t="s">
        <v>119</v>
      </c>
      <c r="G21" s="32"/>
    </row>
    <row r="22" spans="1:14">
      <c r="A22" s="15">
        <v>107</v>
      </c>
      <c r="C22" s="55" t="s">
        <v>25</v>
      </c>
      <c r="D22" s="55">
        <f>AVERAGE(A21:A520)</f>
        <v>99.367999999999995</v>
      </c>
      <c r="F22" s="32" t="s">
        <v>120</v>
      </c>
      <c r="G22" s="32"/>
    </row>
    <row r="23" spans="1:14">
      <c r="A23" s="14">
        <v>88</v>
      </c>
      <c r="C23" s="55" t="s">
        <v>28</v>
      </c>
      <c r="D23" s="55">
        <f>MEDIAN(A21:A520)</f>
        <v>100</v>
      </c>
      <c r="F23" s="32" t="s">
        <v>121</v>
      </c>
      <c r="G23" s="32"/>
    </row>
    <row r="24" spans="1:14">
      <c r="A24" s="15">
        <v>103</v>
      </c>
      <c r="C24" s="55" t="s">
        <v>47</v>
      </c>
      <c r="D24" s="55">
        <f>MODE(A21:A520)</f>
        <v>100</v>
      </c>
      <c r="F24" s="32" t="s">
        <v>122</v>
      </c>
      <c r="G24" s="32"/>
    </row>
    <row r="25" spans="1:14">
      <c r="A25" s="14">
        <v>111</v>
      </c>
      <c r="C25" s="55" t="s">
        <v>48</v>
      </c>
      <c r="D25" s="55">
        <f>_xlfn.STDEV.S(A21:A520)</f>
        <v>10.227305194580124</v>
      </c>
      <c r="F25" s="32" t="s">
        <v>125</v>
      </c>
      <c r="G25" s="32"/>
    </row>
    <row r="26" spans="1:14">
      <c r="A26" s="15">
        <v>90</v>
      </c>
      <c r="C26" s="55" t="s">
        <v>124</v>
      </c>
      <c r="D26" s="55">
        <f>_xlfn.VAR.S(A21:A520)</f>
        <v>104.59777154308559</v>
      </c>
      <c r="F26" s="32" t="s">
        <v>126</v>
      </c>
      <c r="G26" s="32"/>
    </row>
    <row r="27" spans="1:14">
      <c r="A27" s="14">
        <v>94</v>
      </c>
    </row>
    <row r="28" spans="1:14">
      <c r="A28" s="15">
        <v>98</v>
      </c>
      <c r="G28" t="s">
        <v>123</v>
      </c>
    </row>
    <row r="29" spans="1:14">
      <c r="A29" s="14">
        <v>103</v>
      </c>
      <c r="F29" t="s">
        <v>60</v>
      </c>
    </row>
    <row r="30" spans="1:14">
      <c r="A30" s="15">
        <v>94</v>
      </c>
      <c r="F30">
        <v>65</v>
      </c>
      <c r="G30" cm="1">
        <f t="array" ref="G30:G36">FREQUENCY(A21:A520,F30:F35)</f>
        <v>0</v>
      </c>
    </row>
    <row r="31" spans="1:14">
      <c r="A31" s="14">
        <v>99</v>
      </c>
      <c r="F31">
        <v>80</v>
      </c>
      <c r="G31">
        <v>12</v>
      </c>
    </row>
    <row r="32" spans="1:14">
      <c r="A32" s="15">
        <v>90</v>
      </c>
      <c r="F32">
        <v>95</v>
      </c>
      <c r="G32">
        <v>167</v>
      </c>
    </row>
    <row r="33" spans="1:7">
      <c r="A33" s="14">
        <v>100</v>
      </c>
      <c r="F33">
        <v>110</v>
      </c>
      <c r="G33">
        <v>253</v>
      </c>
    </row>
    <row r="34" spans="1:7">
      <c r="A34" s="15">
        <v>103</v>
      </c>
      <c r="F34">
        <v>125</v>
      </c>
      <c r="G34">
        <v>65</v>
      </c>
    </row>
    <row r="35" spans="1:7">
      <c r="A35" s="14">
        <v>94</v>
      </c>
      <c r="F35">
        <v>140</v>
      </c>
      <c r="G35">
        <v>3</v>
      </c>
    </row>
    <row r="36" spans="1:7">
      <c r="A36" s="15">
        <v>105</v>
      </c>
      <c r="G36">
        <v>0</v>
      </c>
    </row>
    <row r="37" spans="1:7">
      <c r="A37" s="14">
        <v>86</v>
      </c>
    </row>
    <row r="38" spans="1:7">
      <c r="A38" s="15">
        <v>92</v>
      </c>
    </row>
    <row r="39" spans="1:7">
      <c r="A39" s="14">
        <v>94</v>
      </c>
    </row>
    <row r="40" spans="1:7">
      <c r="A40" s="15">
        <v>101</v>
      </c>
    </row>
    <row r="41" spans="1:7">
      <c r="A41" s="14">
        <v>103</v>
      </c>
    </row>
    <row r="42" spans="1:7">
      <c r="A42" s="15">
        <v>84</v>
      </c>
    </row>
    <row r="43" spans="1:7">
      <c r="A43" s="14">
        <v>76</v>
      </c>
    </row>
    <row r="44" spans="1:7">
      <c r="A44" s="15">
        <v>100</v>
      </c>
    </row>
    <row r="45" spans="1:7">
      <c r="A45" s="14">
        <v>111</v>
      </c>
    </row>
    <row r="46" spans="1:7">
      <c r="A46" s="15">
        <v>93</v>
      </c>
    </row>
    <row r="47" spans="1:7">
      <c r="A47" s="14">
        <v>87</v>
      </c>
    </row>
    <row r="48" spans="1:7">
      <c r="A48" s="15">
        <v>108</v>
      </c>
    </row>
    <row r="49" spans="1:1">
      <c r="A49" s="14">
        <v>106</v>
      </c>
    </row>
    <row r="50" spans="1:1">
      <c r="A50" s="15">
        <v>108</v>
      </c>
    </row>
    <row r="51" spans="1:1">
      <c r="A51" s="14">
        <v>96</v>
      </c>
    </row>
    <row r="52" spans="1:1">
      <c r="A52" s="15">
        <v>113</v>
      </c>
    </row>
    <row r="53" spans="1:1">
      <c r="A53" s="14">
        <v>95</v>
      </c>
    </row>
    <row r="54" spans="1:1">
      <c r="A54" s="15">
        <v>94</v>
      </c>
    </row>
    <row r="55" spans="1:1">
      <c r="A55" s="14">
        <v>107</v>
      </c>
    </row>
    <row r="56" spans="1:1">
      <c r="A56" s="15">
        <v>114</v>
      </c>
    </row>
    <row r="57" spans="1:1">
      <c r="A57" s="14">
        <v>86</v>
      </c>
    </row>
    <row r="58" spans="1:1">
      <c r="A58" s="15">
        <v>100</v>
      </c>
    </row>
    <row r="59" spans="1:1">
      <c r="A59" s="14">
        <v>108</v>
      </c>
    </row>
    <row r="60" spans="1:1">
      <c r="A60" s="15">
        <v>101</v>
      </c>
    </row>
    <row r="61" spans="1:1">
      <c r="A61" s="14">
        <v>94</v>
      </c>
    </row>
    <row r="62" spans="1:1">
      <c r="A62" s="15">
        <v>116</v>
      </c>
    </row>
    <row r="63" spans="1:1">
      <c r="A63" s="14">
        <v>97</v>
      </c>
    </row>
    <row r="64" spans="1:1">
      <c r="A64" s="15">
        <f>IF(ISBLANK(A21), N22, A21)</f>
        <v>96</v>
      </c>
    </row>
    <row r="65" spans="1:1">
      <c r="A65" s="14">
        <v>94</v>
      </c>
    </row>
    <row r="66" spans="1:1">
      <c r="A66" s="15">
        <v>118</v>
      </c>
    </row>
    <row r="67" spans="1:1">
      <c r="A67" s="14">
        <v>104</v>
      </c>
    </row>
    <row r="68" spans="1:1">
      <c r="A68" s="15">
        <f>IF(ISBLANK(A21), N22, A21)</f>
        <v>96</v>
      </c>
    </row>
    <row r="69" spans="1:1">
      <c r="A69" s="14">
        <v>115</v>
      </c>
    </row>
    <row r="70" spans="1:1">
      <c r="A70" s="15">
        <v>94</v>
      </c>
    </row>
    <row r="71" spans="1:1">
      <c r="A71" s="14">
        <v>91</v>
      </c>
    </row>
    <row r="72" spans="1:1">
      <c r="A72" s="15">
        <v>110</v>
      </c>
    </row>
    <row r="73" spans="1:1">
      <c r="A73" s="14">
        <v>98</v>
      </c>
    </row>
    <row r="74" spans="1:1">
      <c r="A74" s="15">
        <v>86</v>
      </c>
    </row>
    <row r="75" spans="1:1">
      <c r="A75" s="14">
        <v>121</v>
      </c>
    </row>
    <row r="76" spans="1:1">
      <c r="A76" s="15">
        <v>100</v>
      </c>
    </row>
    <row r="77" spans="1:1">
      <c r="A77" s="14">
        <v>96</v>
      </c>
    </row>
    <row r="78" spans="1:1">
      <c r="A78" s="15">
        <v>127</v>
      </c>
    </row>
    <row r="79" spans="1:1">
      <c r="A79" s="14">
        <v>100</v>
      </c>
    </row>
    <row r="80" spans="1:1">
      <c r="A80" s="15">
        <v>93</v>
      </c>
    </row>
    <row r="81" spans="1:1">
      <c r="A81" s="14">
        <v>103</v>
      </c>
    </row>
    <row r="82" spans="1:1">
      <c r="A82" s="15">
        <v>78</v>
      </c>
    </row>
    <row r="83" spans="1:1">
      <c r="A83" s="14">
        <v>116</v>
      </c>
    </row>
    <row r="84" spans="1:1">
      <c r="A84" s="15">
        <v>88</v>
      </c>
    </row>
    <row r="85" spans="1:1">
      <c r="A85" s="14">
        <v>105</v>
      </c>
    </row>
    <row r="86" spans="1:1">
      <c r="A86" s="15">
        <v>92</v>
      </c>
    </row>
    <row r="87" spans="1:1">
      <c r="A87" s="14">
        <v>96</v>
      </c>
    </row>
    <row r="88" spans="1:1">
      <c r="A88" s="15">
        <v>104</v>
      </c>
    </row>
    <row r="89" spans="1:1">
      <c r="A89" s="14">
        <v>84</v>
      </c>
    </row>
    <row r="90" spans="1:1">
      <c r="A90" s="15">
        <v>95</v>
      </c>
    </row>
    <row r="91" spans="1:1">
      <c r="A91" s="14">
        <v>105</v>
      </c>
    </row>
    <row r="92" spans="1:1">
      <c r="A92" s="15">
        <v>100</v>
      </c>
    </row>
    <row r="93" spans="1:1">
      <c r="A93" s="14">
        <v>104</v>
      </c>
    </row>
    <row r="94" spans="1:1">
      <c r="A94" s="15">
        <v>106</v>
      </c>
    </row>
    <row r="95" spans="1:1">
      <c r="A95" s="14">
        <v>120</v>
      </c>
    </row>
    <row r="96" spans="1:1">
      <c r="A96" s="15">
        <f>IF(ISBLANK(A49), N50, A49)</f>
        <v>106</v>
      </c>
    </row>
    <row r="97" spans="1:1">
      <c r="A97" s="14">
        <v>118</v>
      </c>
    </row>
    <row r="98" spans="1:1">
      <c r="A98" s="15">
        <v>92</v>
      </c>
    </row>
    <row r="99" spans="1:1">
      <c r="A99" s="14">
        <v>110</v>
      </c>
    </row>
    <row r="100" spans="1:1">
      <c r="A100" s="15">
        <v>101</v>
      </c>
    </row>
    <row r="101" spans="1:1">
      <c r="A101" s="14">
        <v>84</v>
      </c>
    </row>
    <row r="102" spans="1:1">
      <c r="A102" s="15">
        <v>115</v>
      </c>
    </row>
    <row r="103" spans="1:1">
      <c r="A103" s="14">
        <v>95</v>
      </c>
    </row>
    <row r="104" spans="1:1">
      <c r="A104" s="15">
        <v>114</v>
      </c>
    </row>
    <row r="105" spans="1:1">
      <c r="A105" s="14">
        <v>104</v>
      </c>
    </row>
    <row r="106" spans="1:1">
      <c r="A106" s="15">
        <v>89</v>
      </c>
    </row>
    <row r="107" spans="1:1">
      <c r="A107" s="14">
        <f>IF(ISBLANK(A60), N61, A60)</f>
        <v>101</v>
      </c>
    </row>
    <row r="108" spans="1:1">
      <c r="A108" s="15">
        <v>85</v>
      </c>
    </row>
    <row r="109" spans="1:1">
      <c r="A109" s="14">
        <v>101</v>
      </c>
    </row>
    <row r="110" spans="1:1">
      <c r="A110" s="15">
        <v>104</v>
      </c>
    </row>
    <row r="111" spans="1:1">
      <c r="A111" s="14">
        <v>106</v>
      </c>
    </row>
    <row r="112" spans="1:1">
      <c r="A112" s="15">
        <v>95</v>
      </c>
    </row>
    <row r="113" spans="1:1">
      <c r="A113" s="14">
        <v>104</v>
      </c>
    </row>
    <row r="114" spans="1:1">
      <c r="A114" s="15">
        <v>105</v>
      </c>
    </row>
    <row r="115" spans="1:1">
      <c r="A115" s="14">
        <v>84</v>
      </c>
    </row>
    <row r="116" spans="1:1">
      <c r="A116" s="15">
        <v>93</v>
      </c>
    </row>
    <row r="117" spans="1:1">
      <c r="A117" s="14">
        <v>115</v>
      </c>
    </row>
    <row r="118" spans="1:1">
      <c r="A118" s="15">
        <v>109</v>
      </c>
    </row>
    <row r="119" spans="1:1">
      <c r="A119" s="14">
        <v>102</v>
      </c>
    </row>
    <row r="120" spans="1:1">
      <c r="A120" s="15">
        <v>100</v>
      </c>
    </row>
    <row r="121" spans="1:1">
      <c r="A121" s="14">
        <v>93</v>
      </c>
    </row>
    <row r="122" spans="1:1">
      <c r="A122" s="15">
        <f>IF(ISBLANK(A75), N76, A75)</f>
        <v>121</v>
      </c>
    </row>
    <row r="123" spans="1:1">
      <c r="A123" s="14">
        <v>117</v>
      </c>
    </row>
    <row r="124" spans="1:1">
      <c r="A124" s="15">
        <v>98</v>
      </c>
    </row>
    <row r="125" spans="1:1">
      <c r="A125" s="14">
        <v>94</v>
      </c>
    </row>
    <row r="126" spans="1:1">
      <c r="A126" s="15">
        <v>112</v>
      </c>
    </row>
    <row r="127" spans="1:1">
      <c r="A127" s="14">
        <v>89</v>
      </c>
    </row>
    <row r="128" spans="1:1">
      <c r="A128" s="15">
        <v>119</v>
      </c>
    </row>
    <row r="129" spans="1:1">
      <c r="A129" s="14">
        <v>102</v>
      </c>
    </row>
    <row r="130" spans="1:1">
      <c r="A130" s="15">
        <v>87</v>
      </c>
    </row>
    <row r="131" spans="1:1">
      <c r="A131" s="14">
        <v>113</v>
      </c>
    </row>
    <row r="132" spans="1:1">
      <c r="A132" s="15">
        <v>106</v>
      </c>
    </row>
    <row r="133" spans="1:1">
      <c r="A133" s="14">
        <v>96</v>
      </c>
    </row>
    <row r="134" spans="1:1">
      <c r="A134" s="15">
        <v>110</v>
      </c>
    </row>
    <row r="135" spans="1:1">
      <c r="A135" s="14">
        <v>100</v>
      </c>
    </row>
    <row r="136" spans="1:1">
      <c r="A136" s="15">
        <f>IF(ISBLANK(A89), N90, A89)</f>
        <v>84</v>
      </c>
    </row>
    <row r="137" spans="1:1">
      <c r="A137" s="14">
        <v>106</v>
      </c>
    </row>
    <row r="138" spans="1:1">
      <c r="A138" s="15">
        <v>114</v>
      </c>
    </row>
    <row r="139" spans="1:1">
      <c r="A139" s="14">
        <v>96</v>
      </c>
    </row>
    <row r="140" spans="1:1">
      <c r="A140" s="15">
        <v>102</v>
      </c>
    </row>
    <row r="141" spans="1:1">
      <c r="A141" s="14">
        <f>IF(ISBLANK(A94), N95, A94)</f>
        <v>106</v>
      </c>
    </row>
    <row r="142" spans="1:1">
      <c r="A142" s="15">
        <v>93</v>
      </c>
    </row>
    <row r="143" spans="1:1">
      <c r="A143" s="14">
        <v>100</v>
      </c>
    </row>
    <row r="144" spans="1:1">
      <c r="A144" s="15">
        <v>111</v>
      </c>
    </row>
    <row r="145" spans="1:1">
      <c r="A145" s="14">
        <v>87</v>
      </c>
    </row>
    <row r="146" spans="1:1">
      <c r="A146" s="15">
        <v>100</v>
      </c>
    </row>
    <row r="147" spans="1:1">
      <c r="A147" s="14">
        <v>104</v>
      </c>
    </row>
    <row r="148" spans="1:1">
      <c r="A148" s="15">
        <v>78</v>
      </c>
    </row>
    <row r="149" spans="1:1">
      <c r="A149" s="14">
        <v>101</v>
      </c>
    </row>
    <row r="150" spans="1:1">
      <c r="A150" s="15">
        <v>100</v>
      </c>
    </row>
    <row r="151" spans="1:1">
      <c r="A151" s="14">
        <v>109</v>
      </c>
    </row>
    <row r="152" spans="1:1">
      <c r="A152" s="15">
        <v>98</v>
      </c>
    </row>
    <row r="153" spans="1:1">
      <c r="A153" s="14">
        <v>111</v>
      </c>
    </row>
    <row r="154" spans="1:1">
      <c r="A154" s="15">
        <v>97</v>
      </c>
    </row>
    <row r="155" spans="1:1">
      <c r="A155" s="14">
        <v>88</v>
      </c>
    </row>
    <row r="156" spans="1:1">
      <c r="A156" s="15">
        <v>101</v>
      </c>
    </row>
    <row r="157" spans="1:1">
      <c r="A157" s="14">
        <v>105</v>
      </c>
    </row>
    <row r="158" spans="1:1">
      <c r="A158" s="15">
        <v>102</v>
      </c>
    </row>
    <row r="159" spans="1:1">
      <c r="A159" s="14">
        <v>98</v>
      </c>
    </row>
    <row r="160" spans="1:1">
      <c r="A160" s="15">
        <v>96</v>
      </c>
    </row>
    <row r="161" spans="1:1">
      <c r="A161" s="14">
        <v>76</v>
      </c>
    </row>
    <row r="162" spans="1:1">
      <c r="A162" s="15">
        <v>112</v>
      </c>
    </row>
    <row r="163" spans="1:1">
      <c r="A163" s="14">
        <v>99</v>
      </c>
    </row>
    <row r="164" spans="1:1">
      <c r="A164" s="15">
        <v>100</v>
      </c>
    </row>
    <row r="165" spans="1:1">
      <c r="A165" s="14">
        <v>89</v>
      </c>
    </row>
    <row r="166" spans="1:1">
      <c r="A166" s="15">
        <f>IF(ISBLANK(A119), N120, A119)</f>
        <v>102</v>
      </c>
    </row>
    <row r="167" spans="1:1">
      <c r="A167" s="14">
        <v>104</v>
      </c>
    </row>
    <row r="168" spans="1:1">
      <c r="A168" s="15">
        <v>96</v>
      </c>
    </row>
    <row r="169" spans="1:1">
      <c r="A169" s="14">
        <v>100</v>
      </c>
    </row>
    <row r="170" spans="1:1">
      <c r="A170" s="15">
        <v>105</v>
      </c>
    </row>
    <row r="171" spans="1:1">
      <c r="A171" s="14">
        <v>81</v>
      </c>
    </row>
    <row r="172" spans="1:1">
      <c r="A172" s="15">
        <v>120</v>
      </c>
    </row>
    <row r="173" spans="1:1">
      <c r="A173" s="14">
        <v>97</v>
      </c>
    </row>
    <row r="174" spans="1:1">
      <c r="A174" s="15">
        <v>99</v>
      </c>
    </row>
    <row r="175" spans="1:1">
      <c r="A175" s="14">
        <v>120</v>
      </c>
    </row>
    <row r="176" spans="1:1">
      <c r="A176" s="15">
        <v>90</v>
      </c>
    </row>
    <row r="177" spans="1:1">
      <c r="A177" s="14">
        <v>85</v>
      </c>
    </row>
    <row r="178" spans="1:1">
      <c r="A178" s="15">
        <v>84</v>
      </c>
    </row>
    <row r="179" spans="1:1">
      <c r="A179" s="14">
        <f>IF(ISBLANK(A132), N133, A132)</f>
        <v>106</v>
      </c>
    </row>
    <row r="180" spans="1:1">
      <c r="A180" s="15">
        <v>112</v>
      </c>
    </row>
    <row r="181" spans="1:1">
      <c r="A181" s="14">
        <v>110</v>
      </c>
    </row>
    <row r="182" spans="1:1">
      <c r="A182" s="15">
        <v>86</v>
      </c>
    </row>
    <row r="183" spans="1:1">
      <c r="A183" s="14">
        <v>104</v>
      </c>
    </row>
    <row r="184" spans="1:1">
      <c r="A184" s="15">
        <v>107</v>
      </c>
    </row>
    <row r="185" spans="1:1">
      <c r="A185" s="14">
        <v>93</v>
      </c>
    </row>
    <row r="186" spans="1:1">
      <c r="A186" s="15">
        <v>108</v>
      </c>
    </row>
    <row r="187" spans="1:1">
      <c r="A187" s="14">
        <v>96</v>
      </c>
    </row>
    <row r="188" spans="1:1">
      <c r="A188" s="15">
        <v>95</v>
      </c>
    </row>
    <row r="189" spans="1:1">
      <c r="A189" s="14">
        <v>112</v>
      </c>
    </row>
    <row r="190" spans="1:1">
      <c r="A190" s="15">
        <v>108</v>
      </c>
    </row>
    <row r="191" spans="1:1">
      <c r="A191" s="14">
        <v>85</v>
      </c>
    </row>
    <row r="192" spans="1:1">
      <c r="A192" s="15">
        <f>IF(ISBLANK(A145), N146, A145)</f>
        <v>87</v>
      </c>
    </row>
    <row r="193" spans="1:1">
      <c r="A193" s="14">
        <v>95</v>
      </c>
    </row>
    <row r="194" spans="1:1">
      <c r="A194" s="15">
        <v>97</v>
      </c>
    </row>
    <row r="195" spans="1:1">
      <c r="A195" s="14">
        <v>116</v>
      </c>
    </row>
    <row r="196" spans="1:1">
      <c r="A196" s="15">
        <v>95</v>
      </c>
    </row>
    <row r="197" spans="1:1">
      <c r="A197" s="14">
        <v>123</v>
      </c>
    </row>
    <row r="198" spans="1:1">
      <c r="A198" s="15">
        <v>104</v>
      </c>
    </row>
    <row r="199" spans="1:1">
      <c r="A199" s="14">
        <v>94</v>
      </c>
    </row>
    <row r="200" spans="1:1">
      <c r="A200" s="15">
        <v>105</v>
      </c>
    </row>
    <row r="201" spans="1:1">
      <c r="A201" s="14">
        <v>109</v>
      </c>
    </row>
    <row r="202" spans="1:1">
      <c r="A202" s="15">
        <v>84</v>
      </c>
    </row>
    <row r="203" spans="1:1">
      <c r="A203" s="14">
        <v>79</v>
      </c>
    </row>
    <row r="204" spans="1:1">
      <c r="A204" s="15">
        <v>98</v>
      </c>
    </row>
    <row r="205" spans="1:1">
      <c r="A205" s="14">
        <v>96</v>
      </c>
    </row>
    <row r="206" spans="1:1">
      <c r="A206" s="15">
        <v>88</v>
      </c>
    </row>
    <row r="207" spans="1:1">
      <c r="A207" s="14">
        <v>103</v>
      </c>
    </row>
    <row r="208" spans="1:1">
      <c r="A208" s="15">
        <v>83</v>
      </c>
    </row>
    <row r="209" spans="1:1">
      <c r="A209" s="14">
        <v>82</v>
      </c>
    </row>
    <row r="210" spans="1:1">
      <c r="A210" s="15">
        <v>106</v>
      </c>
    </row>
    <row r="211" spans="1:1">
      <c r="A211" s="14">
        <v>96</v>
      </c>
    </row>
    <row r="212" spans="1:1">
      <c r="A212" s="15">
        <v>96</v>
      </c>
    </row>
    <row r="213" spans="1:1">
      <c r="A213" s="14">
        <v>109</v>
      </c>
    </row>
    <row r="214" spans="1:1">
      <c r="A214" s="15">
        <v>98</v>
      </c>
    </row>
    <row r="215" spans="1:1">
      <c r="A215" s="14">
        <v>86</v>
      </c>
    </row>
    <row r="216" spans="1:1">
      <c r="A216" s="15">
        <v>79</v>
      </c>
    </row>
    <row r="217" spans="1:1">
      <c r="A217" s="14">
        <v>86</v>
      </c>
    </row>
    <row r="218" spans="1:1">
      <c r="A218" s="15">
        <v>108</v>
      </c>
    </row>
    <row r="219" spans="1:1">
      <c r="A219" s="14">
        <v>127</v>
      </c>
    </row>
    <row r="220" spans="1:1">
      <c r="A220" s="15">
        <v>93</v>
      </c>
    </row>
    <row r="221" spans="1:1">
      <c r="A221" s="14">
        <v>82</v>
      </c>
    </row>
    <row r="222" spans="1:1">
      <c r="A222" s="15">
        <v>104</v>
      </c>
    </row>
    <row r="223" spans="1:1">
      <c r="A223" s="14">
        <v>99</v>
      </c>
    </row>
    <row r="224" spans="1:1">
      <c r="A224" s="15">
        <v>102</v>
      </c>
    </row>
    <row r="225" spans="1:1">
      <c r="A225" s="14">
        <v>76</v>
      </c>
    </row>
    <row r="226" spans="1:1">
      <c r="A226" s="15">
        <v>99</v>
      </c>
    </row>
    <row r="227" spans="1:1">
      <c r="A227" s="14">
        <v>93</v>
      </c>
    </row>
    <row r="228" spans="1:1">
      <c r="A228" s="15">
        <v>99</v>
      </c>
    </row>
    <row r="229" spans="1:1">
      <c r="A229" s="14">
        <v>102</v>
      </c>
    </row>
    <row r="230" spans="1:1">
      <c r="A230" s="15">
        <v>106</v>
      </c>
    </row>
    <row r="231" spans="1:1">
      <c r="A231" s="14">
        <v>94</v>
      </c>
    </row>
    <row r="232" spans="1:1">
      <c r="A232" s="15">
        <v>105</v>
      </c>
    </row>
    <row r="233" spans="1:1">
      <c r="A233" s="14">
        <v>100</v>
      </c>
    </row>
    <row r="234" spans="1:1">
      <c r="A234" s="15">
        <v>122</v>
      </c>
    </row>
    <row r="235" spans="1:1">
      <c r="A235" s="14">
        <v>103</v>
      </c>
    </row>
    <row r="236" spans="1:1">
      <c r="A236" s="15">
        <v>119</v>
      </c>
    </row>
    <row r="237" spans="1:1">
      <c r="A237" s="14">
        <v>76</v>
      </c>
    </row>
    <row r="238" spans="1:1">
      <c r="A238" s="15">
        <v>96</v>
      </c>
    </row>
    <row r="239" spans="1:1">
      <c r="A239" s="14">
        <v>103</v>
      </c>
    </row>
    <row r="240" spans="1:1">
      <c r="A240" s="15">
        <v>111</v>
      </c>
    </row>
    <row r="241" spans="1:1">
      <c r="A241" s="14">
        <v>97</v>
      </c>
    </row>
    <row r="242" spans="1:1">
      <c r="A242" s="15">
        <v>112</v>
      </c>
    </row>
    <row r="243" spans="1:1">
      <c r="A243" s="14">
        <v>99</v>
      </c>
    </row>
    <row r="244" spans="1:1">
      <c r="A244" s="15">
        <v>124</v>
      </c>
    </row>
    <row r="245" spans="1:1">
      <c r="A245" s="14">
        <v>91</v>
      </c>
    </row>
    <row r="246" spans="1:1">
      <c r="A246" s="15">
        <v>103</v>
      </c>
    </row>
    <row r="247" spans="1:1">
      <c r="A247" s="14">
        <v>86</v>
      </c>
    </row>
    <row r="248" spans="1:1">
      <c r="A248" s="15">
        <v>101</v>
      </c>
    </row>
    <row r="249" spans="1:1">
      <c r="A249" s="14">
        <v>101</v>
      </c>
    </row>
    <row r="250" spans="1:1">
      <c r="A250" s="15">
        <v>101</v>
      </c>
    </row>
    <row r="251" spans="1:1">
      <c r="A251" s="14">
        <v>113</v>
      </c>
    </row>
    <row r="252" spans="1:1">
      <c r="A252" s="15">
        <v>87</v>
      </c>
    </row>
    <row r="253" spans="1:1">
      <c r="A253" s="14">
        <v>108</v>
      </c>
    </row>
    <row r="254" spans="1:1">
      <c r="A254" s="15">
        <v>100</v>
      </c>
    </row>
    <row r="255" spans="1:1">
      <c r="A255" s="14">
        <v>87</v>
      </c>
    </row>
    <row r="256" spans="1:1">
      <c r="A256" s="15">
        <v>96</v>
      </c>
    </row>
    <row r="257" spans="1:1">
      <c r="A257" s="14">
        <v>97</v>
      </c>
    </row>
    <row r="258" spans="1:1">
      <c r="A258" s="15">
        <v>116</v>
      </c>
    </row>
    <row r="259" spans="1:1">
      <c r="A259" s="14">
        <v>100</v>
      </c>
    </row>
    <row r="260" spans="1:1">
      <c r="A260" s="15">
        <v>97</v>
      </c>
    </row>
    <row r="261" spans="1:1">
      <c r="A261" s="14">
        <v>100</v>
      </c>
    </row>
    <row r="262" spans="1:1">
      <c r="A262" s="15">
        <v>99</v>
      </c>
    </row>
    <row r="263" spans="1:1">
      <c r="A263" s="14">
        <v>100</v>
      </c>
    </row>
    <row r="264" spans="1:1">
      <c r="A264" s="15">
        <v>100</v>
      </c>
    </row>
    <row r="265" spans="1:1">
      <c r="A265" s="14">
        <v>82</v>
      </c>
    </row>
    <row r="266" spans="1:1">
      <c r="A266" s="15">
        <v>87</v>
      </c>
    </row>
    <row r="267" spans="1:1">
      <c r="A267" s="14">
        <v>87</v>
      </c>
    </row>
    <row r="268" spans="1:1">
      <c r="A268" s="15">
        <v>90</v>
      </c>
    </row>
    <row r="269" spans="1:1">
      <c r="A269" s="14">
        <v>115</v>
      </c>
    </row>
    <row r="270" spans="1:1">
      <c r="A270" s="15">
        <v>105</v>
      </c>
    </row>
    <row r="271" spans="1:1">
      <c r="A271" s="14">
        <v>90</v>
      </c>
    </row>
    <row r="272" spans="1:1">
      <c r="A272" s="15">
        <v>89</v>
      </c>
    </row>
    <row r="273" spans="1:1">
      <c r="A273" s="14">
        <v>89</v>
      </c>
    </row>
    <row r="274" spans="1:1">
      <c r="A274" s="15">
        <v>86</v>
      </c>
    </row>
    <row r="275" spans="1:1">
      <c r="A275" s="14">
        <v>91</v>
      </c>
    </row>
    <row r="276" spans="1:1">
      <c r="A276" s="15">
        <v>100</v>
      </c>
    </row>
    <row r="277" spans="1:1">
      <c r="A277" s="14">
        <v>104</v>
      </c>
    </row>
    <row r="278" spans="1:1">
      <c r="A278" s="15">
        <v>80</v>
      </c>
    </row>
    <row r="279" spans="1:1">
      <c r="A279" s="14">
        <v>110</v>
      </c>
    </row>
    <row r="280" spans="1:1">
      <c r="A280" s="15">
        <v>90</v>
      </c>
    </row>
    <row r="281" spans="1:1">
      <c r="A281" s="14">
        <v>96</v>
      </c>
    </row>
    <row r="282" spans="1:1">
      <c r="A282" s="15">
        <v>103</v>
      </c>
    </row>
    <row r="283" spans="1:1">
      <c r="A283" s="14">
        <v>99</v>
      </c>
    </row>
    <row r="284" spans="1:1">
      <c r="A284" s="15">
        <f>IF(ISBLANK(A237), N238, A237)</f>
        <v>76</v>
      </c>
    </row>
    <row r="285" spans="1:1">
      <c r="A285" s="14">
        <v>106</v>
      </c>
    </row>
    <row r="286" spans="1:1">
      <c r="A286" s="15">
        <v>100</v>
      </c>
    </row>
    <row r="287" spans="1:1">
      <c r="A287" s="14">
        <v>85</v>
      </c>
    </row>
    <row r="288" spans="1:1">
      <c r="A288" s="15">
        <v>101</v>
      </c>
    </row>
    <row r="289" spans="1:1">
      <c r="A289" s="14">
        <v>93</v>
      </c>
    </row>
    <row r="290" spans="1:1">
      <c r="A290" s="15">
        <v>91</v>
      </c>
    </row>
    <row r="291" spans="1:1">
      <c r="A291" s="14">
        <v>103</v>
      </c>
    </row>
    <row r="292" spans="1:1">
      <c r="A292" s="15">
        <v>109</v>
      </c>
    </row>
    <row r="293" spans="1:1">
      <c r="A293" s="14">
        <v>83</v>
      </c>
    </row>
    <row r="294" spans="1:1">
      <c r="A294" s="15">
        <v>102</v>
      </c>
    </row>
    <row r="295" spans="1:1">
      <c r="A295" s="14">
        <v>98</v>
      </c>
    </row>
    <row r="296" spans="1:1">
      <c r="A296" s="15">
        <v>93</v>
      </c>
    </row>
    <row r="297" spans="1:1">
      <c r="A297" s="14">
        <v>104</v>
      </c>
    </row>
    <row r="298" spans="1:1">
      <c r="A298" s="15">
        <v>96</v>
      </c>
    </row>
    <row r="299" spans="1:1">
      <c r="A299" s="14">
        <v>103</v>
      </c>
    </row>
    <row r="300" spans="1:1">
      <c r="A300" s="15">
        <v>85</v>
      </c>
    </row>
    <row r="301" spans="1:1">
      <c r="A301" s="14">
        <v>92</v>
      </c>
    </row>
    <row r="302" spans="1:1">
      <c r="A302" s="15">
        <v>90</v>
      </c>
    </row>
    <row r="303" spans="1:1">
      <c r="A303" s="14">
        <v>83</v>
      </c>
    </row>
    <row r="304" spans="1:1">
      <c r="A304" s="15">
        <v>86</v>
      </c>
    </row>
    <row r="305" spans="1:1">
      <c r="A305" s="14">
        <v>110</v>
      </c>
    </row>
    <row r="306" spans="1:1">
      <c r="A306" s="15">
        <v>89</v>
      </c>
    </row>
    <row r="307" spans="1:1">
      <c r="A307" s="14">
        <v>118</v>
      </c>
    </row>
    <row r="308" spans="1:1">
      <c r="A308" s="15">
        <v>102</v>
      </c>
    </row>
    <row r="309" spans="1:1">
      <c r="A309" s="14">
        <v>108</v>
      </c>
    </row>
    <row r="310" spans="1:1">
      <c r="A310" s="15">
        <v>95</v>
      </c>
    </row>
    <row r="311" spans="1:1">
      <c r="A311" s="14">
        <v>100</v>
      </c>
    </row>
    <row r="312" spans="1:1">
      <c r="A312" s="15">
        <v>86</v>
      </c>
    </row>
    <row r="313" spans="1:1">
      <c r="A313" s="14">
        <v>94</v>
      </c>
    </row>
    <row r="314" spans="1:1">
      <c r="A314" s="15">
        <v>88</v>
      </c>
    </row>
    <row r="315" spans="1:1">
      <c r="A315" s="14">
        <v>100</v>
      </c>
    </row>
    <row r="316" spans="1:1">
      <c r="A316" s="15">
        <v>95</v>
      </c>
    </row>
    <row r="317" spans="1:1">
      <c r="A317" s="14">
        <v>95</v>
      </c>
    </row>
    <row r="318" spans="1:1">
      <c r="A318" s="15">
        <v>92</v>
      </c>
    </row>
    <row r="319" spans="1:1">
      <c r="A319" s="14">
        <v>108</v>
      </c>
    </row>
    <row r="320" spans="1:1">
      <c r="A320" s="15">
        <v>99</v>
      </c>
    </row>
    <row r="321" spans="1:1">
      <c r="A321" s="14">
        <v>95</v>
      </c>
    </row>
    <row r="322" spans="1:1">
      <c r="A322" s="15">
        <v>86</v>
      </c>
    </row>
    <row r="323" spans="1:1">
      <c r="A323" s="14">
        <v>120</v>
      </c>
    </row>
    <row r="324" spans="1:1">
      <c r="A324" s="15">
        <v>81</v>
      </c>
    </row>
    <row r="325" spans="1:1">
      <c r="A325" s="14">
        <v>102</v>
      </c>
    </row>
    <row r="326" spans="1:1">
      <c r="A326" s="15">
        <v>87</v>
      </c>
    </row>
    <row r="327" spans="1:1">
      <c r="A327" s="14">
        <v>90</v>
      </c>
    </row>
    <row r="328" spans="1:1">
      <c r="A328" s="15">
        <v>89</v>
      </c>
    </row>
    <row r="329" spans="1:1">
      <c r="A329" s="14">
        <v>105</v>
      </c>
    </row>
    <row r="330" spans="1:1">
      <c r="A330" s="15">
        <v>96</v>
      </c>
    </row>
    <row r="331" spans="1:1">
      <c r="A331" s="14">
        <v>97</v>
      </c>
    </row>
    <row r="332" spans="1:1">
      <c r="A332" s="15">
        <v>98</v>
      </c>
    </row>
    <row r="333" spans="1:1">
      <c r="A333" s="14">
        <v>100</v>
      </c>
    </row>
    <row r="334" spans="1:1">
      <c r="A334" s="15">
        <v>108</v>
      </c>
    </row>
    <row r="335" spans="1:1">
      <c r="A335" s="14">
        <v>92</v>
      </c>
    </row>
    <row r="336" spans="1:1">
      <c r="A336" s="15">
        <v>97</v>
      </c>
    </row>
    <row r="337" spans="1:1">
      <c r="A337" s="14">
        <v>116</v>
      </c>
    </row>
    <row r="338" spans="1:1">
      <c r="A338" s="15">
        <f>IF(ISBLANK(A291), N292, A291)</f>
        <v>103</v>
      </c>
    </row>
    <row r="339" spans="1:1">
      <c r="A339" s="14">
        <v>87</v>
      </c>
    </row>
    <row r="340" spans="1:1">
      <c r="A340" s="15">
        <v>103</v>
      </c>
    </row>
    <row r="341" spans="1:1">
      <c r="A341" s="14">
        <v>115</v>
      </c>
    </row>
    <row r="342" spans="1:1">
      <c r="A342" s="15">
        <v>88</v>
      </c>
    </row>
    <row r="343" spans="1:1">
      <c r="A343" s="14">
        <v>100</v>
      </c>
    </row>
    <row r="344" spans="1:1">
      <c r="A344" s="15">
        <v>108</v>
      </c>
    </row>
    <row r="345" spans="1:1">
      <c r="A345" s="14">
        <f>IF(ISBLANK(A298), N299, A298)</f>
        <v>96</v>
      </c>
    </row>
    <row r="346" spans="1:1">
      <c r="A346" s="15">
        <v>86</v>
      </c>
    </row>
    <row r="347" spans="1:1">
      <c r="A347" s="14">
        <v>87</v>
      </c>
    </row>
    <row r="348" spans="1:1">
      <c r="A348" s="15">
        <v>109</v>
      </c>
    </row>
    <row r="349" spans="1:1">
      <c r="A349" s="14">
        <v>91</v>
      </c>
    </row>
    <row r="350" spans="1:1">
      <c r="A350" s="15">
        <v>107</v>
      </c>
    </row>
    <row r="351" spans="1:1">
      <c r="A351" s="14">
        <v>106</v>
      </c>
    </row>
    <row r="352" spans="1:1">
      <c r="A352" s="15">
        <v>92</v>
      </c>
    </row>
    <row r="353" spans="1:1">
      <c r="A353" s="14">
        <v>90</v>
      </c>
    </row>
    <row r="354" spans="1:1">
      <c r="A354" s="15">
        <v>102</v>
      </c>
    </row>
    <row r="355" spans="1:1">
      <c r="A355" s="14">
        <v>99</v>
      </c>
    </row>
    <row r="356" spans="1:1">
      <c r="A356" s="15">
        <v>88</v>
      </c>
    </row>
    <row r="357" spans="1:1">
      <c r="A357" s="14">
        <v>100</v>
      </c>
    </row>
    <row r="358" spans="1:1">
      <c r="A358" s="15">
        <f>IF(ISBLANK(A311), N312, A311)</f>
        <v>100</v>
      </c>
    </row>
    <row r="359" spans="1:1">
      <c r="A359" s="14">
        <v>106</v>
      </c>
    </row>
    <row r="360" spans="1:1">
      <c r="A360" s="15">
        <f>IF(ISBLANK(A313), N314, A313)</f>
        <v>94</v>
      </c>
    </row>
    <row r="361" spans="1:1">
      <c r="A361" s="14">
        <v>98</v>
      </c>
    </row>
    <row r="362" spans="1:1">
      <c r="A362" s="15">
        <v>119</v>
      </c>
    </row>
    <row r="363" spans="1:1">
      <c r="A363" s="14">
        <v>99</v>
      </c>
    </row>
    <row r="364" spans="1:1">
      <c r="A364" s="15">
        <v>87</v>
      </c>
    </row>
    <row r="365" spans="1:1">
      <c r="A365" s="14">
        <f>IF(ISBLANK(A318), N319, A318)</f>
        <v>92</v>
      </c>
    </row>
    <row r="366" spans="1:1">
      <c r="A366" s="15">
        <v>103</v>
      </c>
    </row>
    <row r="367" spans="1:1">
      <c r="A367" s="14">
        <v>79</v>
      </c>
    </row>
    <row r="368" spans="1:1">
      <c r="A368" s="15">
        <v>110</v>
      </c>
    </row>
    <row r="369" spans="1:1">
      <c r="A369" s="14">
        <v>95</v>
      </c>
    </row>
    <row r="370" spans="1:1">
      <c r="A370" s="15">
        <v>101</v>
      </c>
    </row>
    <row r="371" spans="1:1">
      <c r="A371" s="14">
        <v>95</v>
      </c>
    </row>
    <row r="372" spans="1:1">
      <c r="A372" s="15">
        <v>107</v>
      </c>
    </row>
    <row r="373" spans="1:1">
      <c r="A373" s="14">
        <v>91</v>
      </c>
    </row>
    <row r="374" spans="1:1">
      <c r="A374" s="15">
        <v>87</v>
      </c>
    </row>
    <row r="375" spans="1:1">
      <c r="A375" s="14">
        <v>100</v>
      </c>
    </row>
    <row r="376" spans="1:1">
      <c r="A376" s="15">
        <v>117</v>
      </c>
    </row>
    <row r="377" spans="1:1">
      <c r="A377" s="14">
        <v>102</v>
      </c>
    </row>
    <row r="378" spans="1:1">
      <c r="A378" s="15">
        <v>88</v>
      </c>
    </row>
    <row r="379" spans="1:1">
      <c r="A379" s="14">
        <v>100</v>
      </c>
    </row>
    <row r="380" spans="1:1">
      <c r="A380" s="15">
        <v>81</v>
      </c>
    </row>
    <row r="381" spans="1:1">
      <c r="A381" s="14">
        <v>91</v>
      </c>
    </row>
    <row r="382" spans="1:1">
      <c r="A382" s="15">
        <v>90</v>
      </c>
    </row>
    <row r="383" spans="1:1">
      <c r="A383" s="14">
        <v>102</v>
      </c>
    </row>
    <row r="384" spans="1:1">
      <c r="A384" s="15">
        <v>109</v>
      </c>
    </row>
    <row r="385" spans="1:1">
      <c r="A385" s="14">
        <v>101</v>
      </c>
    </row>
    <row r="386" spans="1:1">
      <c r="A386" s="15">
        <v>97</v>
      </c>
    </row>
    <row r="387" spans="1:1">
      <c r="A387" s="14">
        <v>88</v>
      </c>
    </row>
    <row r="388" spans="1:1">
      <c r="A388" s="15">
        <v>100</v>
      </c>
    </row>
    <row r="389" spans="1:1">
      <c r="A389" s="14">
        <v>104</v>
      </c>
    </row>
    <row r="390" spans="1:1">
      <c r="A390" s="15">
        <v>106</v>
      </c>
    </row>
    <row r="391" spans="1:1">
      <c r="A391" s="14">
        <v>91</v>
      </c>
    </row>
    <row r="392" spans="1:1">
      <c r="A392" s="15">
        <v>110</v>
      </c>
    </row>
    <row r="393" spans="1:1">
      <c r="A393" s="14">
        <v>104</v>
      </c>
    </row>
    <row r="394" spans="1:1">
      <c r="A394" s="15">
        <v>85</v>
      </c>
    </row>
    <row r="395" spans="1:1">
      <c r="A395" s="14">
        <v>107</v>
      </c>
    </row>
    <row r="396" spans="1:1">
      <c r="A396" s="15">
        <v>111</v>
      </c>
    </row>
    <row r="397" spans="1:1">
      <c r="A397" s="14">
        <f>IF(ISBLANK(A350), N351, A350)</f>
        <v>107</v>
      </c>
    </row>
    <row r="398" spans="1:1">
      <c r="A398" s="15">
        <v>94</v>
      </c>
    </row>
    <row r="399" spans="1:1">
      <c r="A399" s="14">
        <v>91</v>
      </c>
    </row>
    <row r="400" spans="1:1">
      <c r="A400" s="15">
        <v>89</v>
      </c>
    </row>
    <row r="401" spans="1:1">
      <c r="A401" s="14">
        <v>98</v>
      </c>
    </row>
    <row r="402" spans="1:1">
      <c r="A402" s="15">
        <v>110</v>
      </c>
    </row>
    <row r="403" spans="1:1">
      <c r="A403" s="14">
        <v>93</v>
      </c>
    </row>
    <row r="404" spans="1:1">
      <c r="A404" s="15">
        <v>103</v>
      </c>
    </row>
    <row r="405" spans="1:1">
      <c r="A405" s="14">
        <f>IF(ISBLANK(A358), N359, A358)</f>
        <v>100</v>
      </c>
    </row>
    <row r="406" spans="1:1">
      <c r="A406" s="15">
        <v>101</v>
      </c>
    </row>
    <row r="407" spans="1:1">
      <c r="A407" s="14">
        <v>94</v>
      </c>
    </row>
    <row r="408" spans="1:1">
      <c r="A408" s="15">
        <v>108</v>
      </c>
    </row>
    <row r="409" spans="1:1">
      <c r="A409" s="14">
        <v>113</v>
      </c>
    </row>
    <row r="410" spans="1:1">
      <c r="A410" s="15">
        <v>115</v>
      </c>
    </row>
    <row r="411" spans="1:1">
      <c r="A411" s="14">
        <v>98</v>
      </c>
    </row>
    <row r="412" spans="1:1">
      <c r="A412" s="15">
        <v>93</v>
      </c>
    </row>
    <row r="413" spans="1:1">
      <c r="A413" s="14">
        <v>104</v>
      </c>
    </row>
    <row r="414" spans="1:1">
      <c r="A414" s="15">
        <v>100</v>
      </c>
    </row>
    <row r="415" spans="1:1">
      <c r="A415" s="14">
        <v>89</v>
      </c>
    </row>
    <row r="416" spans="1:1">
      <c r="A416" s="15">
        <v>86</v>
      </c>
    </row>
    <row r="417" spans="1:1">
      <c r="A417" s="14">
        <v>93</v>
      </c>
    </row>
    <row r="418" spans="1:1">
      <c r="A418" s="15">
        <v>104</v>
      </c>
    </row>
    <row r="419" spans="1:1">
      <c r="A419" s="14">
        <v>91</v>
      </c>
    </row>
    <row r="420" spans="1:1">
      <c r="A420" s="15">
        <v>113</v>
      </c>
    </row>
    <row r="421" spans="1:1">
      <c r="A421" s="14">
        <v>103</v>
      </c>
    </row>
    <row r="422" spans="1:1">
      <c r="A422" s="15">
        <v>98</v>
      </c>
    </row>
    <row r="423" spans="1:1">
      <c r="A423" s="14">
        <v>100</v>
      </c>
    </row>
    <row r="424" spans="1:1">
      <c r="A424" s="15">
        <v>89</v>
      </c>
    </row>
    <row r="425" spans="1:1">
      <c r="A425" s="14">
        <v>83</v>
      </c>
    </row>
    <row r="426" spans="1:1">
      <c r="A426" s="15">
        <v>92</v>
      </c>
    </row>
    <row r="427" spans="1:1">
      <c r="A427" s="14">
        <f>IF(ISBLANK(A380), N381, A380)</f>
        <v>81</v>
      </c>
    </row>
    <row r="428" spans="1:1">
      <c r="A428" s="15">
        <f>IF(ISBLANK(A381), N382, A381)</f>
        <v>91</v>
      </c>
    </row>
    <row r="429" spans="1:1">
      <c r="A429" s="14">
        <v>102</v>
      </c>
    </row>
    <row r="430" spans="1:1">
      <c r="A430" s="15">
        <v>107</v>
      </c>
    </row>
    <row r="431" spans="1:1">
      <c r="A431" s="14">
        <v>103</v>
      </c>
    </row>
    <row r="432" spans="1:1">
      <c r="A432" s="15">
        <v>100</v>
      </c>
    </row>
    <row r="433" spans="1:1">
      <c r="A433" s="14">
        <f>IF(ISBLANK(A386), N387, A386)</f>
        <v>97</v>
      </c>
    </row>
    <row r="434" spans="1:1">
      <c r="A434" s="15">
        <v>85</v>
      </c>
    </row>
    <row r="435" spans="1:1">
      <c r="A435" s="14">
        <v>107</v>
      </c>
    </row>
    <row r="436" spans="1:1">
      <c r="A436" s="15">
        <v>106</v>
      </c>
    </row>
    <row r="437" spans="1:1">
      <c r="A437" s="14">
        <v>92</v>
      </c>
    </row>
    <row r="438" spans="1:1">
      <c r="A438" s="15">
        <v>110</v>
      </c>
    </row>
    <row r="439" spans="1:1">
      <c r="A439" s="14">
        <v>93</v>
      </c>
    </row>
    <row r="440" spans="1:1">
      <c r="A440" s="15">
        <f>IF(ISBLANK(A393), N394, A393)</f>
        <v>104</v>
      </c>
    </row>
    <row r="441" spans="1:1">
      <c r="A441" s="14">
        <v>117</v>
      </c>
    </row>
    <row r="442" spans="1:1">
      <c r="A442" s="15">
        <v>122</v>
      </c>
    </row>
    <row r="443" spans="1:1">
      <c r="A443" s="14">
        <v>90</v>
      </c>
    </row>
    <row r="444" spans="1:1">
      <c r="A444" s="15">
        <v>113</v>
      </c>
    </row>
    <row r="445" spans="1:1">
      <c r="A445" s="14">
        <v>110</v>
      </c>
    </row>
    <row r="446" spans="1:1">
      <c r="A446" s="15">
        <v>106</v>
      </c>
    </row>
    <row r="447" spans="1:1">
      <c r="A447" s="14">
        <v>92</v>
      </c>
    </row>
    <row r="448" spans="1:1">
      <c r="A448" s="15">
        <v>121</v>
      </c>
    </row>
    <row r="449" spans="1:1">
      <c r="A449" s="14">
        <v>89</v>
      </c>
    </row>
    <row r="450" spans="1:1">
      <c r="A450" s="15">
        <v>117</v>
      </c>
    </row>
    <row r="451" spans="1:1">
      <c r="A451" s="14">
        <v>106</v>
      </c>
    </row>
    <row r="452" spans="1:1">
      <c r="A452" s="15">
        <v>121</v>
      </c>
    </row>
    <row r="453" spans="1:1">
      <c r="A453" s="14">
        <v>95</v>
      </c>
    </row>
    <row r="454" spans="1:1">
      <c r="A454" s="15">
        <v>91</v>
      </c>
    </row>
    <row r="455" spans="1:1">
      <c r="A455" s="14">
        <v>82</v>
      </c>
    </row>
    <row r="456" spans="1:1">
      <c r="A456" s="15">
        <v>100</v>
      </c>
    </row>
    <row r="457" spans="1:1">
      <c r="A457" s="14">
        <v>81</v>
      </c>
    </row>
    <row r="458" spans="1:1">
      <c r="A458" s="15">
        <v>101</v>
      </c>
    </row>
    <row r="459" spans="1:1">
      <c r="A459" s="14">
        <v>95</v>
      </c>
    </row>
    <row r="460" spans="1:1">
      <c r="A460" s="15">
        <v>114</v>
      </c>
    </row>
    <row r="461" spans="1:1">
      <c r="A461" s="14">
        <v>92</v>
      </c>
    </row>
    <row r="462" spans="1:1">
      <c r="A462" s="15">
        <v>113</v>
      </c>
    </row>
    <row r="463" spans="1:1">
      <c r="A463" s="14">
        <v>113</v>
      </c>
    </row>
    <row r="464" spans="1:1">
      <c r="A464" s="15">
        <v>120</v>
      </c>
    </row>
    <row r="465" spans="1:1">
      <c r="A465" s="14">
        <v>108</v>
      </c>
    </row>
    <row r="466" spans="1:1">
      <c r="A466" s="15">
        <v>99</v>
      </c>
    </row>
    <row r="467" spans="1:1">
      <c r="A467" s="14">
        <v>108</v>
      </c>
    </row>
    <row r="468" spans="1:1">
      <c r="A468" s="15">
        <v>98</v>
      </c>
    </row>
    <row r="469" spans="1:1">
      <c r="A469" s="14">
        <v>92</v>
      </c>
    </row>
    <row r="470" spans="1:1">
      <c r="A470" s="15">
        <v>96</v>
      </c>
    </row>
    <row r="471" spans="1:1">
      <c r="A471" s="14">
        <v>94</v>
      </c>
    </row>
    <row r="472" spans="1:1">
      <c r="A472" s="15">
        <v>75</v>
      </c>
    </row>
    <row r="473" spans="1:1">
      <c r="A473" s="14">
        <v>97</v>
      </c>
    </row>
    <row r="474" spans="1:1">
      <c r="A474" s="15">
        <v>100</v>
      </c>
    </row>
    <row r="475" spans="1:1">
      <c r="A475" s="14">
        <v>98</v>
      </c>
    </row>
    <row r="476" spans="1:1">
      <c r="A476" s="15">
        <v>121</v>
      </c>
    </row>
    <row r="477" spans="1:1">
      <c r="A477" s="14">
        <v>103</v>
      </c>
    </row>
    <row r="478" spans="1:1">
      <c r="A478" s="15">
        <v>121</v>
      </c>
    </row>
    <row r="479" spans="1:1">
      <c r="A479" s="14">
        <v>103</v>
      </c>
    </row>
    <row r="480" spans="1:1">
      <c r="A480" s="15">
        <v>91</v>
      </c>
    </row>
    <row r="481" spans="1:1">
      <c r="A481" s="14">
        <v>91</v>
      </c>
    </row>
    <row r="482" spans="1:1">
      <c r="A482" s="15">
        <f>IF(ISBLANK(A435), N436, A435)</f>
        <v>107</v>
      </c>
    </row>
    <row r="483" spans="1:1">
      <c r="A483" s="14">
        <v>97</v>
      </c>
    </row>
    <row r="484" spans="1:1">
      <c r="A484" s="15">
        <v>106</v>
      </c>
    </row>
    <row r="485" spans="1:1">
      <c r="A485" s="14">
        <v>110</v>
      </c>
    </row>
    <row r="486" spans="1:1">
      <c r="A486" s="15">
        <v>91</v>
      </c>
    </row>
    <row r="487" spans="1:1">
      <c r="A487" s="14">
        <v>103</v>
      </c>
    </row>
    <row r="488" spans="1:1">
      <c r="A488" s="15">
        <v>84</v>
      </c>
    </row>
    <row r="489" spans="1:1">
      <c r="A489" s="14">
        <v>93</v>
      </c>
    </row>
    <row r="490" spans="1:1">
      <c r="A490" s="15">
        <v>113</v>
      </c>
    </row>
    <row r="491" spans="1:1">
      <c r="A491" s="14">
        <v>105</v>
      </c>
    </row>
    <row r="492" spans="1:1">
      <c r="A492" s="15">
        <v>83</v>
      </c>
    </row>
    <row r="493" spans="1:1">
      <c r="A493" s="14">
        <v>96</v>
      </c>
    </row>
    <row r="494" spans="1:1">
      <c r="A494" s="15">
        <v>107</v>
      </c>
    </row>
    <row r="495" spans="1:1">
      <c r="A495" s="14">
        <v>83</v>
      </c>
    </row>
    <row r="496" spans="1:1">
      <c r="A496" s="15">
        <v>105</v>
      </c>
    </row>
    <row r="497" spans="1:1">
      <c r="A497" s="14">
        <v>112</v>
      </c>
    </row>
    <row r="498" spans="1:1">
      <c r="A498" s="15">
        <v>99</v>
      </c>
    </row>
    <row r="499" spans="1:1">
      <c r="A499" s="14">
        <v>111</v>
      </c>
    </row>
    <row r="500" spans="1:1">
      <c r="A500" s="15">
        <v>105</v>
      </c>
    </row>
    <row r="501" spans="1:1">
      <c r="A501" s="14">
        <v>93</v>
      </c>
    </row>
    <row r="502" spans="1:1">
      <c r="A502" s="15">
        <v>109</v>
      </c>
    </row>
    <row r="503" spans="1:1">
      <c r="A503" s="14">
        <v>106</v>
      </c>
    </row>
    <row r="504" spans="1:1">
      <c r="A504" s="15">
        <v>106</v>
      </c>
    </row>
    <row r="505" spans="1:1">
      <c r="A505" s="14">
        <v>103</v>
      </c>
    </row>
    <row r="506" spans="1:1">
      <c r="A506" s="15">
        <v>113</v>
      </c>
    </row>
    <row r="507" spans="1:1">
      <c r="A507" s="14">
        <v>111</v>
      </c>
    </row>
    <row r="508" spans="1:1">
      <c r="A508" s="15">
        <f>IF(ISBLANK(A461), N462, A461)</f>
        <v>92</v>
      </c>
    </row>
    <row r="509" spans="1:1">
      <c r="A509" s="14">
        <v>89</v>
      </c>
    </row>
    <row r="510" spans="1:1">
      <c r="A510" s="15">
        <v>111</v>
      </c>
    </row>
    <row r="511" spans="1:1">
      <c r="A511" s="14">
        <v>104</v>
      </c>
    </row>
    <row r="512" spans="1:1">
      <c r="A512" s="15">
        <f>IF(ISBLANK(A465), N466, A465)</f>
        <v>108</v>
      </c>
    </row>
    <row r="513" spans="1:1">
      <c r="A513" s="14">
        <v>109</v>
      </c>
    </row>
    <row r="514" spans="1:1">
      <c r="A514" s="15">
        <v>108</v>
      </c>
    </row>
    <row r="515" spans="1:1">
      <c r="A515" s="14">
        <v>127</v>
      </c>
    </row>
    <row r="516" spans="1:1">
      <c r="A516" s="15">
        <v>104</v>
      </c>
    </row>
    <row r="517" spans="1:1">
      <c r="A517" s="14">
        <v>106</v>
      </c>
    </row>
    <row r="518" spans="1:1">
      <c r="A518" s="15">
        <v>94</v>
      </c>
    </row>
    <row r="519" spans="1:1">
      <c r="A519" s="14">
        <v>81</v>
      </c>
    </row>
    <row r="520" spans="1:1">
      <c r="A520" s="15">
        <v>95</v>
      </c>
    </row>
  </sheetData>
  <conditionalFormatting sqref="A20:A520">
    <cfRule type="cellIs" dxfId="114" priority="2" operator="greaterThan">
      <formula>127</formula>
    </cfRule>
    <cfRule type="containsBlanks" dxfId="113" priority="3">
      <formula>LEN(TRIM(A20))=0</formula>
    </cfRule>
  </conditionalFormatting>
  <conditionalFormatting sqref="A21:A520">
    <cfRule type="cellIs" dxfId="112" priority="1" operator="notBetween">
      <formula>75</formula>
      <formula>127</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C4CC9-3D9A-41D9-B7D4-D88323BC50E6}">
  <sheetPr codeName="Sheet23"/>
  <dimension ref="A1:AU56"/>
  <sheetViews>
    <sheetView workbookViewId="0">
      <selection activeCell="AW12" sqref="AW12"/>
    </sheetView>
  </sheetViews>
  <sheetFormatPr defaultRowHeight="14.4"/>
  <cols>
    <col min="6" max="6" width="5.44140625" bestFit="1" customWidth="1"/>
    <col min="7" max="7" width="14.5546875" customWidth="1"/>
  </cols>
  <sheetData>
    <row r="1" spans="1:47">
      <c r="A1" s="7" t="s">
        <v>2</v>
      </c>
      <c r="B1" s="7"/>
    </row>
    <row r="2" spans="1:47" ht="15" thickBot="1"/>
    <row r="3" spans="1:47">
      <c r="A3" t="s">
        <v>25</v>
      </c>
      <c r="B3">
        <v>99.367999999999995</v>
      </c>
      <c r="D3" t="s">
        <v>60</v>
      </c>
      <c r="F3" s="6" t="s">
        <v>60</v>
      </c>
      <c r="G3" s="6" t="s">
        <v>62</v>
      </c>
      <c r="H3" s="6" t="s">
        <v>63</v>
      </c>
      <c r="I3" s="6" t="s">
        <v>60</v>
      </c>
      <c r="J3" s="6" t="s">
        <v>62</v>
      </c>
      <c r="K3" s="6" t="s">
        <v>63</v>
      </c>
      <c r="O3" s="6" t="s">
        <v>60</v>
      </c>
      <c r="P3" s="6" t="s">
        <v>62</v>
      </c>
      <c r="Q3" s="6" t="s">
        <v>63</v>
      </c>
      <c r="R3" s="6" t="s">
        <v>60</v>
      </c>
      <c r="S3" s="6" t="s">
        <v>62</v>
      </c>
      <c r="T3" s="6" t="s">
        <v>63</v>
      </c>
      <c r="V3" s="10" t="s">
        <v>60</v>
      </c>
      <c r="X3" s="6" t="s">
        <v>60</v>
      </c>
      <c r="Y3" s="6" t="s">
        <v>62</v>
      </c>
      <c r="Z3" s="6" t="s">
        <v>63</v>
      </c>
      <c r="AA3" s="6" t="s">
        <v>60</v>
      </c>
      <c r="AB3" s="6" t="s">
        <v>62</v>
      </c>
      <c r="AC3" s="6" t="s">
        <v>63</v>
      </c>
      <c r="AE3" s="10" t="s">
        <v>60</v>
      </c>
      <c r="AG3" s="6" t="s">
        <v>60</v>
      </c>
      <c r="AH3" s="6" t="s">
        <v>62</v>
      </c>
      <c r="AI3" s="6" t="s">
        <v>63</v>
      </c>
      <c r="AJ3" s="6" t="s">
        <v>60</v>
      </c>
      <c r="AK3" s="6" t="s">
        <v>62</v>
      </c>
      <c r="AL3" s="6" t="s">
        <v>63</v>
      </c>
      <c r="AN3" s="10" t="s">
        <v>60</v>
      </c>
      <c r="AP3" s="6" t="s">
        <v>60</v>
      </c>
      <c r="AQ3" s="6" t="s">
        <v>62</v>
      </c>
      <c r="AR3" s="6" t="s">
        <v>63</v>
      </c>
      <c r="AS3" s="6" t="s">
        <v>60</v>
      </c>
      <c r="AT3" s="6" t="s">
        <v>62</v>
      </c>
      <c r="AU3" s="6" t="s">
        <v>63</v>
      </c>
    </row>
    <row r="4" spans="1:47">
      <c r="A4" t="s">
        <v>46</v>
      </c>
      <c r="B4">
        <v>0.4573789928343574</v>
      </c>
      <c r="D4">
        <v>65</v>
      </c>
      <c r="F4">
        <v>65</v>
      </c>
      <c r="G4">
        <v>0</v>
      </c>
      <c r="H4" s="8">
        <v>0</v>
      </c>
      <c r="I4">
        <v>110</v>
      </c>
      <c r="J4">
        <v>252</v>
      </c>
      <c r="K4" s="8">
        <v>0.50501002004008011</v>
      </c>
      <c r="M4" s="10" t="s">
        <v>60</v>
      </c>
      <c r="O4">
        <v>0</v>
      </c>
      <c r="P4">
        <v>0</v>
      </c>
      <c r="Q4" s="8">
        <v>0</v>
      </c>
      <c r="R4">
        <v>3</v>
      </c>
      <c r="S4">
        <v>213</v>
      </c>
      <c r="T4" s="8">
        <v>0.42685370741482964</v>
      </c>
      <c r="V4">
        <v>40000</v>
      </c>
      <c r="X4">
        <v>40000</v>
      </c>
      <c r="Y4">
        <v>0</v>
      </c>
      <c r="Z4" s="8">
        <v>0</v>
      </c>
      <c r="AA4">
        <v>120000</v>
      </c>
      <c r="AB4">
        <v>172</v>
      </c>
      <c r="AC4" s="8">
        <v>0.34468937875751504</v>
      </c>
      <c r="AE4">
        <v>50</v>
      </c>
      <c r="AG4">
        <v>50</v>
      </c>
      <c r="AH4">
        <v>0</v>
      </c>
      <c r="AI4" s="8">
        <v>0</v>
      </c>
      <c r="AJ4">
        <v>95</v>
      </c>
      <c r="AK4">
        <v>311</v>
      </c>
      <c r="AL4" s="8">
        <v>0.6232464929859719</v>
      </c>
      <c r="AN4">
        <v>20</v>
      </c>
      <c r="AP4">
        <v>20</v>
      </c>
      <c r="AQ4">
        <v>0</v>
      </c>
      <c r="AR4" s="8">
        <v>0</v>
      </c>
      <c r="AS4">
        <v>80</v>
      </c>
      <c r="AT4">
        <v>134</v>
      </c>
      <c r="AU4" s="8">
        <v>0.26853707414829658</v>
      </c>
    </row>
    <row r="5" spans="1:47">
      <c r="A5" t="s">
        <v>28</v>
      </c>
      <c r="B5">
        <v>100</v>
      </c>
      <c r="D5">
        <v>80</v>
      </c>
      <c r="F5">
        <v>80</v>
      </c>
      <c r="G5">
        <v>12</v>
      </c>
      <c r="H5" s="8">
        <v>2.4048096192384769E-2</v>
      </c>
      <c r="I5">
        <v>95</v>
      </c>
      <c r="J5">
        <v>167</v>
      </c>
      <c r="K5" s="8">
        <v>0.83967935871743482</v>
      </c>
      <c r="M5">
        <v>0</v>
      </c>
      <c r="O5">
        <v>1</v>
      </c>
      <c r="P5">
        <v>25</v>
      </c>
      <c r="Q5" s="8">
        <v>5.0100200400801605E-2</v>
      </c>
      <c r="R5">
        <v>4</v>
      </c>
      <c r="S5">
        <v>130</v>
      </c>
      <c r="T5" s="8">
        <v>0.68737474949899802</v>
      </c>
      <c r="V5">
        <v>80000</v>
      </c>
      <c r="X5">
        <v>80000</v>
      </c>
      <c r="Y5">
        <v>93</v>
      </c>
      <c r="Z5" s="8">
        <v>0.18637274549098196</v>
      </c>
      <c r="AA5">
        <v>100000</v>
      </c>
      <c r="AB5">
        <v>151</v>
      </c>
      <c r="AC5" s="8">
        <v>0.64729458917835669</v>
      </c>
      <c r="AE5">
        <v>65</v>
      </c>
      <c r="AG5">
        <v>65</v>
      </c>
      <c r="AH5">
        <v>1</v>
      </c>
      <c r="AI5" s="8">
        <v>2.004008016032064E-3</v>
      </c>
      <c r="AJ5">
        <v>110</v>
      </c>
      <c r="AK5">
        <v>104</v>
      </c>
      <c r="AL5" s="8">
        <v>0.83166332665330667</v>
      </c>
      <c r="AN5">
        <v>40</v>
      </c>
      <c r="AP5">
        <v>40</v>
      </c>
      <c r="AQ5">
        <v>130</v>
      </c>
      <c r="AR5" s="8">
        <v>0.26052104208416832</v>
      </c>
      <c r="AS5">
        <v>40</v>
      </c>
      <c r="AT5">
        <v>130</v>
      </c>
      <c r="AU5" s="8">
        <v>0.5290581162324649</v>
      </c>
    </row>
    <row r="6" spans="1:47">
      <c r="A6" t="s">
        <v>47</v>
      </c>
      <c r="B6">
        <v>100</v>
      </c>
      <c r="D6">
        <v>95</v>
      </c>
      <c r="F6">
        <v>95</v>
      </c>
      <c r="G6">
        <v>167</v>
      </c>
      <c r="H6" s="8">
        <v>0.3587174348697395</v>
      </c>
      <c r="I6">
        <v>125</v>
      </c>
      <c r="J6">
        <v>65</v>
      </c>
      <c r="K6" s="8">
        <v>0.96993987975951901</v>
      </c>
      <c r="M6">
        <v>1</v>
      </c>
      <c r="O6">
        <v>2</v>
      </c>
      <c r="P6">
        <v>112</v>
      </c>
      <c r="Q6" s="8">
        <v>0.27454909819639278</v>
      </c>
      <c r="R6">
        <v>2</v>
      </c>
      <c r="S6">
        <v>112</v>
      </c>
      <c r="T6" s="8">
        <v>0.9118236472945892</v>
      </c>
      <c r="V6">
        <v>100000</v>
      </c>
      <c r="X6">
        <v>100000</v>
      </c>
      <c r="Y6">
        <v>151</v>
      </c>
      <c r="Z6" s="8">
        <v>0.48897795591182364</v>
      </c>
      <c r="AA6">
        <v>80000</v>
      </c>
      <c r="AB6">
        <v>93</v>
      </c>
      <c r="AC6" s="8">
        <v>0.83366733466933862</v>
      </c>
      <c r="AE6">
        <v>80</v>
      </c>
      <c r="AG6">
        <v>80</v>
      </c>
      <c r="AH6">
        <v>78</v>
      </c>
      <c r="AI6" s="8">
        <v>0.15831663326653306</v>
      </c>
      <c r="AJ6">
        <v>80</v>
      </c>
      <c r="AK6">
        <v>78</v>
      </c>
      <c r="AL6" s="8">
        <v>0.9879759519038076</v>
      </c>
      <c r="AN6">
        <v>60</v>
      </c>
      <c r="AP6">
        <v>60</v>
      </c>
      <c r="AQ6">
        <v>109</v>
      </c>
      <c r="AR6" s="8">
        <v>0.47895791583166331</v>
      </c>
      <c r="AS6">
        <v>100</v>
      </c>
      <c r="AT6">
        <v>126</v>
      </c>
      <c r="AU6" s="8">
        <v>0.78156312625250501</v>
      </c>
    </row>
    <row r="7" spans="1:47">
      <c r="A7" t="s">
        <v>48</v>
      </c>
      <c r="B7">
        <v>10.227305194580124</v>
      </c>
      <c r="D7">
        <v>110</v>
      </c>
      <c r="F7">
        <v>110</v>
      </c>
      <c r="G7">
        <v>252</v>
      </c>
      <c r="H7" s="8">
        <v>0.86372745490981961</v>
      </c>
      <c r="I7">
        <v>80</v>
      </c>
      <c r="J7">
        <v>12</v>
      </c>
      <c r="K7" s="8">
        <v>0.9939879759519038</v>
      </c>
      <c r="M7">
        <v>2</v>
      </c>
      <c r="O7">
        <v>3</v>
      </c>
      <c r="P7">
        <v>213</v>
      </c>
      <c r="Q7" s="8">
        <v>0.70140280561122248</v>
      </c>
      <c r="R7">
        <v>1</v>
      </c>
      <c r="S7">
        <v>25</v>
      </c>
      <c r="T7" s="8">
        <v>0.96192384769539074</v>
      </c>
      <c r="V7">
        <v>120000</v>
      </c>
      <c r="X7">
        <v>120000</v>
      </c>
      <c r="Y7">
        <v>172</v>
      </c>
      <c r="Z7" s="8">
        <v>0.83366733466933862</v>
      </c>
      <c r="AA7">
        <v>140000</v>
      </c>
      <c r="AB7">
        <v>77</v>
      </c>
      <c r="AC7" s="8">
        <v>0.9879759519038076</v>
      </c>
      <c r="AE7">
        <v>95</v>
      </c>
      <c r="AG7">
        <v>95</v>
      </c>
      <c r="AH7">
        <v>311</v>
      </c>
      <c r="AI7" s="8">
        <v>0.78156312625250501</v>
      </c>
      <c r="AJ7">
        <v>125</v>
      </c>
      <c r="AK7">
        <v>5</v>
      </c>
      <c r="AL7" s="8">
        <v>0.99799599198396793</v>
      </c>
      <c r="AN7">
        <v>80</v>
      </c>
      <c r="AP7">
        <v>80</v>
      </c>
      <c r="AQ7">
        <v>134</v>
      </c>
      <c r="AR7" s="8">
        <v>0.74749498997995989</v>
      </c>
      <c r="AS7">
        <v>60</v>
      </c>
      <c r="AT7">
        <v>109</v>
      </c>
      <c r="AU7" s="8">
        <v>1</v>
      </c>
    </row>
    <row r="8" spans="1:47">
      <c r="A8" t="s">
        <v>49</v>
      </c>
      <c r="B8">
        <v>104.59777154308559</v>
      </c>
      <c r="D8">
        <v>125</v>
      </c>
      <c r="F8">
        <v>125</v>
      </c>
      <c r="G8">
        <v>65</v>
      </c>
      <c r="H8" s="8">
        <v>0.9939879759519038</v>
      </c>
      <c r="I8">
        <v>140</v>
      </c>
      <c r="J8">
        <v>3</v>
      </c>
      <c r="K8" s="8">
        <v>1</v>
      </c>
      <c r="M8">
        <v>3</v>
      </c>
      <c r="O8">
        <v>4</v>
      </c>
      <c r="P8">
        <v>130</v>
      </c>
      <c r="Q8" s="8">
        <v>0.96192384769539074</v>
      </c>
      <c r="R8">
        <v>5</v>
      </c>
      <c r="S8">
        <v>19</v>
      </c>
      <c r="T8" s="8">
        <v>1</v>
      </c>
      <c r="V8">
        <v>140000</v>
      </c>
      <c r="X8">
        <v>140000</v>
      </c>
      <c r="Y8">
        <v>77</v>
      </c>
      <c r="Z8" s="8">
        <v>0.9879759519038076</v>
      </c>
      <c r="AA8">
        <v>160000</v>
      </c>
      <c r="AB8">
        <v>6</v>
      </c>
      <c r="AC8" s="8">
        <v>1</v>
      </c>
      <c r="AE8">
        <v>110</v>
      </c>
      <c r="AG8">
        <v>110</v>
      </c>
      <c r="AH8">
        <v>104</v>
      </c>
      <c r="AI8" s="8">
        <v>0.98997995991983967</v>
      </c>
      <c r="AJ8">
        <v>65</v>
      </c>
      <c r="AK8">
        <v>1</v>
      </c>
      <c r="AL8" s="8">
        <v>1</v>
      </c>
      <c r="AN8">
        <v>100</v>
      </c>
      <c r="AP8">
        <v>100</v>
      </c>
      <c r="AQ8">
        <v>126</v>
      </c>
      <c r="AR8" s="8">
        <v>1</v>
      </c>
      <c r="AS8">
        <v>20</v>
      </c>
      <c r="AT8">
        <v>0</v>
      </c>
      <c r="AU8" s="8">
        <v>1</v>
      </c>
    </row>
    <row r="9" spans="1:47" ht="15" thickBot="1">
      <c r="A9" t="s">
        <v>50</v>
      </c>
      <c r="B9">
        <v>-0.27888422360820719</v>
      </c>
      <c r="D9">
        <v>140</v>
      </c>
      <c r="F9">
        <v>140</v>
      </c>
      <c r="G9">
        <v>3</v>
      </c>
      <c r="H9" s="8">
        <v>1</v>
      </c>
      <c r="I9">
        <v>65</v>
      </c>
      <c r="J9">
        <v>0</v>
      </c>
      <c r="K9" s="8">
        <v>1</v>
      </c>
      <c r="M9">
        <v>4</v>
      </c>
      <c r="O9">
        <v>5</v>
      </c>
      <c r="P9">
        <v>19</v>
      </c>
      <c r="Q9" s="8">
        <v>1</v>
      </c>
      <c r="R9">
        <v>0</v>
      </c>
      <c r="S9">
        <v>0</v>
      </c>
      <c r="T9" s="8">
        <v>1</v>
      </c>
      <c r="V9">
        <v>160000</v>
      </c>
      <c r="X9">
        <v>160000</v>
      </c>
      <c r="Y9">
        <v>6</v>
      </c>
      <c r="Z9" s="8">
        <v>1</v>
      </c>
      <c r="AA9">
        <v>40000</v>
      </c>
      <c r="AB9">
        <v>0</v>
      </c>
      <c r="AC9" s="8">
        <v>1</v>
      </c>
      <c r="AE9">
        <v>125</v>
      </c>
      <c r="AG9">
        <v>125</v>
      </c>
      <c r="AH9">
        <v>5</v>
      </c>
      <c r="AI9" s="8">
        <v>1</v>
      </c>
      <c r="AJ9">
        <v>50</v>
      </c>
      <c r="AK9">
        <v>0</v>
      </c>
      <c r="AL9" s="8">
        <v>1</v>
      </c>
      <c r="AP9" s="5" t="s">
        <v>61</v>
      </c>
      <c r="AQ9" s="5">
        <v>0</v>
      </c>
      <c r="AR9" s="9">
        <v>1</v>
      </c>
      <c r="AS9" s="5" t="s">
        <v>61</v>
      </c>
      <c r="AT9" s="5">
        <v>0</v>
      </c>
      <c r="AU9" s="9">
        <v>1</v>
      </c>
    </row>
    <row r="10" spans="1:47" ht="15" thickBot="1">
      <c r="A10" t="s">
        <v>51</v>
      </c>
      <c r="B10">
        <v>0.11912349256568711</v>
      </c>
      <c r="F10" s="5" t="s">
        <v>61</v>
      </c>
      <c r="G10" s="5">
        <v>0</v>
      </c>
      <c r="H10" s="9">
        <v>1</v>
      </c>
      <c r="I10" s="5" t="s">
        <v>61</v>
      </c>
      <c r="J10" s="5">
        <v>0</v>
      </c>
      <c r="K10" s="9">
        <v>1</v>
      </c>
      <c r="M10">
        <v>5</v>
      </c>
      <c r="O10" s="5" t="s">
        <v>61</v>
      </c>
      <c r="P10" s="5">
        <v>0</v>
      </c>
      <c r="Q10" s="9">
        <v>1</v>
      </c>
      <c r="R10" s="5" t="s">
        <v>61</v>
      </c>
      <c r="S10" s="5">
        <v>0</v>
      </c>
      <c r="T10" s="9">
        <v>1</v>
      </c>
      <c r="X10" s="5" t="s">
        <v>61</v>
      </c>
      <c r="Y10" s="5">
        <v>0</v>
      </c>
      <c r="Z10" s="9">
        <v>1</v>
      </c>
      <c r="AA10" s="5" t="s">
        <v>61</v>
      </c>
      <c r="AB10" s="5">
        <v>0</v>
      </c>
      <c r="AC10" s="9">
        <v>1</v>
      </c>
      <c r="AG10" s="5" t="s">
        <v>61</v>
      </c>
      <c r="AH10" s="5">
        <v>0</v>
      </c>
      <c r="AI10" s="9">
        <v>1</v>
      </c>
      <c r="AJ10" s="5" t="s">
        <v>61</v>
      </c>
      <c r="AK10" s="5">
        <v>0</v>
      </c>
      <c r="AL10" s="9">
        <v>1</v>
      </c>
    </row>
    <row r="11" spans="1:47">
      <c r="A11" t="s">
        <v>52</v>
      </c>
      <c r="B11">
        <v>52</v>
      </c>
      <c r="H11" s="8"/>
      <c r="K11" s="8"/>
    </row>
    <row r="12" spans="1:47" ht="15" thickBot="1">
      <c r="A12" t="s">
        <v>53</v>
      </c>
      <c r="B12">
        <v>75</v>
      </c>
      <c r="F12" s="5"/>
      <c r="G12" s="5"/>
      <c r="H12" s="9"/>
      <c r="I12" s="5"/>
      <c r="J12" s="5"/>
      <c r="K12" s="9"/>
    </row>
    <row r="13" spans="1:47">
      <c r="A13" t="s">
        <v>54</v>
      </c>
      <c r="B13">
        <v>127</v>
      </c>
      <c r="H13" s="8"/>
      <c r="K13" s="8"/>
    </row>
    <row r="14" spans="1:47">
      <c r="A14" t="s">
        <v>55</v>
      </c>
      <c r="B14">
        <v>49684</v>
      </c>
    </row>
    <row r="15" spans="1:47">
      <c r="A15" t="s">
        <v>56</v>
      </c>
      <c r="B15">
        <v>500</v>
      </c>
    </row>
    <row r="16" spans="1:47">
      <c r="A16" t="s">
        <v>57</v>
      </c>
      <c r="B16">
        <v>127</v>
      </c>
    </row>
    <row r="17" spans="1:2">
      <c r="A17" t="s">
        <v>58</v>
      </c>
      <c r="B17">
        <v>75</v>
      </c>
    </row>
    <row r="18" spans="1:2" ht="15" thickBot="1">
      <c r="A18" s="5" t="s">
        <v>59</v>
      </c>
      <c r="B18" s="5">
        <v>0.89862595004200641</v>
      </c>
    </row>
    <row r="32" spans="1:2" ht="15" thickBot="1"/>
    <row r="33" spans="14:19">
      <c r="N33" s="6"/>
      <c r="O33" s="6"/>
      <c r="P33" s="6"/>
      <c r="Q33" s="6"/>
      <c r="R33" s="6"/>
      <c r="S33" s="6"/>
    </row>
    <row r="34" spans="14:19">
      <c r="P34" s="8"/>
      <c r="S34" s="8"/>
    </row>
    <row r="35" spans="14:19">
      <c r="P35" s="8"/>
      <c r="S35" s="8"/>
    </row>
    <row r="36" spans="14:19">
      <c r="P36" s="8"/>
      <c r="S36" s="8"/>
    </row>
    <row r="37" spans="14:19">
      <c r="P37" s="8"/>
      <c r="S37" s="8"/>
    </row>
    <row r="38" spans="14:19">
      <c r="P38" s="8"/>
      <c r="S38" s="8"/>
    </row>
    <row r="39" spans="14:19">
      <c r="P39" s="8"/>
      <c r="S39" s="8"/>
    </row>
    <row r="40" spans="14:19">
      <c r="P40" s="8"/>
      <c r="S40" s="8"/>
    </row>
    <row r="41" spans="14:19">
      <c r="P41" s="8"/>
      <c r="S41" s="8"/>
    </row>
    <row r="42" spans="14:19">
      <c r="P42" s="8"/>
      <c r="S42" s="8"/>
    </row>
    <row r="43" spans="14:19">
      <c r="P43" s="8"/>
      <c r="S43" s="8"/>
    </row>
    <row r="44" spans="14:19">
      <c r="P44" s="8"/>
      <c r="S44" s="8"/>
    </row>
    <row r="45" spans="14:19">
      <c r="P45" s="8"/>
      <c r="S45" s="8"/>
    </row>
    <row r="46" spans="14:19">
      <c r="P46" s="8"/>
      <c r="S46" s="8"/>
    </row>
    <row r="47" spans="14:19">
      <c r="P47" s="8"/>
      <c r="S47" s="8"/>
    </row>
    <row r="48" spans="14:19">
      <c r="P48" s="8"/>
      <c r="S48" s="8"/>
    </row>
    <row r="49" spans="14:19">
      <c r="P49" s="8"/>
      <c r="S49" s="8"/>
    </row>
    <row r="50" spans="14:19">
      <c r="P50" s="8"/>
      <c r="S50" s="8"/>
    </row>
    <row r="51" spans="14:19">
      <c r="P51" s="8"/>
      <c r="S51" s="8"/>
    </row>
    <row r="52" spans="14:19">
      <c r="P52" s="8"/>
      <c r="S52" s="8"/>
    </row>
    <row r="53" spans="14:19">
      <c r="P53" s="8"/>
      <c r="S53" s="8"/>
    </row>
    <row r="54" spans="14:19">
      <c r="P54" s="8"/>
      <c r="S54" s="8"/>
    </row>
    <row r="55" spans="14:19">
      <c r="P55" s="8"/>
      <c r="S55" s="8"/>
    </row>
    <row r="56" spans="14:19" ht="15" thickBot="1">
      <c r="N56" s="5"/>
      <c r="O56" s="5"/>
      <c r="P56" s="9"/>
      <c r="Q56" s="5"/>
      <c r="R56" s="5"/>
      <c r="S56" s="9"/>
    </row>
  </sheetData>
  <sortState xmlns:xlrd2="http://schemas.microsoft.com/office/spreadsheetml/2017/richdata2" ref="AS4:AT9">
    <sortCondition descending="1" ref="AT4"/>
  </sortState>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598D-55E2-4E53-987F-6B0B2B6F9B4E}">
  <sheetPr codeName="Sheet15"/>
  <dimension ref="A1:O511"/>
  <sheetViews>
    <sheetView workbookViewId="0">
      <selection activeCell="L5" sqref="L5"/>
    </sheetView>
  </sheetViews>
  <sheetFormatPr defaultRowHeight="14.4"/>
  <cols>
    <col min="1" max="1" width="19.21875" bestFit="1" customWidth="1"/>
    <col min="2" max="2" width="13.21875" bestFit="1" customWidth="1"/>
    <col min="3" max="3" width="12.6640625" bestFit="1" customWidth="1"/>
    <col min="4" max="4" width="17" bestFit="1" customWidth="1"/>
    <col min="5" max="5" width="19.6640625" bestFit="1" customWidth="1"/>
  </cols>
  <sheetData>
    <row r="1" spans="1:15">
      <c r="A1" s="6"/>
      <c r="B1" s="34" t="s">
        <v>3</v>
      </c>
      <c r="C1" s="34" t="s">
        <v>4</v>
      </c>
      <c r="D1" s="34" t="s">
        <v>5</v>
      </c>
      <c r="E1" s="34" t="s">
        <v>6</v>
      </c>
      <c r="F1" s="34" t="s">
        <v>7</v>
      </c>
      <c r="G1" s="34" t="s">
        <v>8</v>
      </c>
      <c r="H1" s="34" t="s">
        <v>9</v>
      </c>
      <c r="I1" s="2"/>
    </row>
    <row r="2" spans="1:15">
      <c r="A2" t="s">
        <v>3</v>
      </c>
      <c r="B2">
        <v>1</v>
      </c>
    </row>
    <row r="3" spans="1:15">
      <c r="A3" t="s">
        <v>4</v>
      </c>
      <c r="B3">
        <v>-3.9066054285930005E-2</v>
      </c>
      <c r="C3">
        <v>1</v>
      </c>
    </row>
    <row r="4" spans="1:15">
      <c r="A4" t="s">
        <v>5</v>
      </c>
      <c r="B4">
        <v>-2.554774692894345E-2</v>
      </c>
      <c r="C4">
        <v>-6.2597035477295462E-2</v>
      </c>
      <c r="D4">
        <v>1</v>
      </c>
    </row>
    <row r="5" spans="1:15">
      <c r="A5" t="s">
        <v>6</v>
      </c>
      <c r="B5">
        <v>-4.0198974298785328E-2</v>
      </c>
      <c r="C5">
        <v>-1.1444240381534292E-2</v>
      </c>
      <c r="D5">
        <v>1.5799496973678783E-2</v>
      </c>
      <c r="E5">
        <v>1</v>
      </c>
    </row>
    <row r="6" spans="1:15">
      <c r="A6" t="s">
        <v>7</v>
      </c>
      <c r="B6">
        <v>-4.5645674557269877E-3</v>
      </c>
      <c r="C6">
        <v>-4.3280507649508485E-2</v>
      </c>
      <c r="D6">
        <v>3.7727296086890495E-2</v>
      </c>
      <c r="E6">
        <v>-0.10939541250504924</v>
      </c>
      <c r="F6">
        <v>1</v>
      </c>
    </row>
    <row r="7" spans="1:15">
      <c r="A7" t="s">
        <v>8</v>
      </c>
      <c r="B7">
        <v>-2.7247993453990958E-2</v>
      </c>
      <c r="C7">
        <v>1.7081778243706297E-2</v>
      </c>
      <c r="D7">
        <v>2.7146031382466042E-2</v>
      </c>
      <c r="E7">
        <v>-4.7308114894787028E-2</v>
      </c>
      <c r="F7">
        <v>-3.0797001427583032E-2</v>
      </c>
      <c r="G7">
        <v>1</v>
      </c>
    </row>
    <row r="8" spans="1:15" ht="15" thickBot="1">
      <c r="A8" s="5" t="s">
        <v>9</v>
      </c>
      <c r="B8" s="5">
        <v>2.1217058819287524E-2</v>
      </c>
      <c r="C8" s="5">
        <v>-1.0500468105752435E-2</v>
      </c>
      <c r="D8" s="5">
        <v>4.4678171037636674E-2</v>
      </c>
      <c r="E8" s="5">
        <v>-5.0606601893447012E-2</v>
      </c>
      <c r="F8" s="5">
        <v>-6.2781369632533182E-2</v>
      </c>
      <c r="G8" s="5">
        <v>-2.7754400554441557E-2</v>
      </c>
      <c r="H8" s="5">
        <v>1</v>
      </c>
    </row>
    <row r="10" spans="1:15">
      <c r="D10" s="31" t="s">
        <v>93</v>
      </c>
      <c r="E10" s="31"/>
      <c r="F10" s="31"/>
      <c r="H10" s="16" t="s">
        <v>2</v>
      </c>
      <c r="I10" s="16" t="s">
        <v>7</v>
      </c>
      <c r="K10" s="16" t="s">
        <v>2</v>
      </c>
      <c r="L10" s="16" t="s">
        <v>9</v>
      </c>
      <c r="N10" s="16" t="s">
        <v>2</v>
      </c>
      <c r="O10" s="16" t="s">
        <v>3</v>
      </c>
    </row>
    <row r="11" spans="1:15">
      <c r="A11" s="16" t="s">
        <v>2</v>
      </c>
      <c r="B11" s="16" t="s">
        <v>8</v>
      </c>
      <c r="C11" s="2"/>
      <c r="D11" s="2">
        <f>CORREL(A12:A511,B12:B511)</f>
        <v>1.0640190564934558E-2</v>
      </c>
      <c r="F11" s="2"/>
      <c r="H11" s="14">
        <v>96</v>
      </c>
      <c r="I11" s="14">
        <v>97675.419137560835</v>
      </c>
      <c r="K11" s="14">
        <v>96</v>
      </c>
      <c r="L11" s="14">
        <v>62.296585590724206</v>
      </c>
      <c r="N11" s="14">
        <v>96</v>
      </c>
      <c r="O11" s="14">
        <v>27205.390763642099</v>
      </c>
    </row>
    <row r="12" spans="1:15">
      <c r="A12" s="14">
        <v>96</v>
      </c>
      <c r="B12" s="14">
        <v>99</v>
      </c>
      <c r="H12" s="15">
        <v>107</v>
      </c>
      <c r="I12" s="15">
        <v>104294.26366341053</v>
      </c>
      <c r="K12" s="15">
        <v>107</v>
      </c>
      <c r="L12" s="15">
        <v>22.750148668138017</v>
      </c>
      <c r="N12" s="15">
        <v>107</v>
      </c>
      <c r="O12" s="15">
        <v>31886.059375322606</v>
      </c>
    </row>
    <row r="13" spans="1:15">
      <c r="A13" s="15">
        <v>107</v>
      </c>
      <c r="B13" s="15">
        <v>100</v>
      </c>
      <c r="D13" s="13" t="s">
        <v>94</v>
      </c>
      <c r="E13" s="13"/>
      <c r="F13" s="13"/>
      <c r="H13" s="14">
        <v>88</v>
      </c>
      <c r="I13" s="14">
        <v>131562.36115124368</v>
      </c>
      <c r="K13" s="14">
        <v>88</v>
      </c>
      <c r="L13" s="14">
        <v>71.117041757862765</v>
      </c>
      <c r="N13" s="14">
        <v>88</v>
      </c>
      <c r="O13" s="14">
        <f>IF(ISBLANK(O11), Y14, O11)</f>
        <v>27205.390763642099</v>
      </c>
    </row>
    <row r="14" spans="1:15">
      <c r="A14" s="14">
        <v>88</v>
      </c>
      <c r="B14" s="14">
        <v>98</v>
      </c>
      <c r="D14" s="2">
        <f>CORREL(H11:H510,I11:I510)</f>
        <v>-4.0908468452746628E-2</v>
      </c>
      <c r="H14" s="15">
        <v>103</v>
      </c>
      <c r="I14" s="15">
        <v>119708.99371230436</v>
      </c>
      <c r="K14" s="15">
        <v>103</v>
      </c>
      <c r="L14" s="15">
        <v>26.515777031292735</v>
      </c>
      <c r="N14" s="15">
        <v>103</v>
      </c>
      <c r="O14" s="15">
        <v>29671.248694635098</v>
      </c>
    </row>
    <row r="15" spans="1:15">
      <c r="A15" s="15">
        <v>103</v>
      </c>
      <c r="B15" s="15">
        <v>88</v>
      </c>
      <c r="H15" s="14">
        <v>111</v>
      </c>
      <c r="I15" s="14">
        <v>117383.09184993793</v>
      </c>
      <c r="K15" s="14">
        <v>111</v>
      </c>
      <c r="L15" s="14">
        <v>54.801167547217872</v>
      </c>
      <c r="N15" s="14">
        <v>111</v>
      </c>
      <c r="O15" s="14">
        <v>27224.002366534009</v>
      </c>
    </row>
    <row r="16" spans="1:15">
      <c r="A16" s="14">
        <v>111</v>
      </c>
      <c r="B16" s="14">
        <v>91</v>
      </c>
      <c r="D16" s="12" t="s">
        <v>95</v>
      </c>
      <c r="E16" s="12"/>
      <c r="F16" s="12"/>
      <c r="H16" s="15">
        <v>90</v>
      </c>
      <c r="I16" s="15">
        <v>90889.209479522586</v>
      </c>
      <c r="K16" s="15">
        <v>90</v>
      </c>
      <c r="L16" s="15">
        <v>43.412407813392626</v>
      </c>
      <c r="N16" s="15">
        <v>90</v>
      </c>
      <c r="O16" s="15">
        <v>39405.785347202953</v>
      </c>
    </row>
    <row r="17" spans="1:15">
      <c r="A17" s="15">
        <v>90</v>
      </c>
      <c r="B17" s="15">
        <v>82</v>
      </c>
      <c r="D17" s="2">
        <f>CORREL(K11:K510,L11:L510)</f>
        <v>6.9729091212555744E-2</v>
      </c>
      <c r="H17" s="14">
        <v>94</v>
      </c>
      <c r="I17" s="14">
        <v>82215.183435433515</v>
      </c>
      <c r="K17" s="14">
        <v>94</v>
      </c>
      <c r="L17" s="14">
        <v>62.2965856</v>
      </c>
      <c r="N17" s="14">
        <v>94</v>
      </c>
      <c r="O17" s="14">
        <v>22759.93049791878</v>
      </c>
    </row>
    <row r="18" spans="1:15">
      <c r="A18" s="14">
        <v>94</v>
      </c>
      <c r="B18" s="14">
        <v>92</v>
      </c>
      <c r="H18" s="15">
        <v>98</v>
      </c>
      <c r="I18" s="15">
        <v>119106.01116475507</v>
      </c>
      <c r="K18" s="15">
        <v>98</v>
      </c>
      <c r="L18" s="15">
        <v>30.673306841856565</v>
      </c>
      <c r="N18" s="15">
        <v>98</v>
      </c>
      <c r="O18" s="15">
        <v>19005.97021689959</v>
      </c>
    </row>
    <row r="19" spans="1:15">
      <c r="A19" s="15">
        <v>98</v>
      </c>
      <c r="B19" s="15">
        <v>71</v>
      </c>
      <c r="D19" s="21" t="s">
        <v>92</v>
      </c>
      <c r="E19" s="21"/>
      <c r="F19" s="21"/>
      <c r="H19" s="14">
        <v>103</v>
      </c>
      <c r="I19" s="14">
        <v>117520.93585059588</v>
      </c>
      <c r="K19" s="14">
        <v>103</v>
      </c>
      <c r="L19" s="14">
        <v>75.331472157865448</v>
      </c>
      <c r="N19" s="14">
        <v>103</v>
      </c>
      <c r="O19" s="14">
        <v>32200.072250266661</v>
      </c>
    </row>
    <row r="20" spans="1:15">
      <c r="A20" s="14">
        <v>103</v>
      </c>
      <c r="B20" s="14">
        <v>98</v>
      </c>
      <c r="D20" s="2">
        <f>CORREL(N11:N510,O11:O510)</f>
        <v>4.6198283691220893E-2</v>
      </c>
      <c r="H20" s="15">
        <v>94</v>
      </c>
      <c r="I20" s="15">
        <f>IF(ISBLANK(I11), O22, I11)</f>
        <v>97675.419137560835</v>
      </c>
      <c r="K20" s="15">
        <v>94</v>
      </c>
      <c r="L20" s="15">
        <v>83.600922954277621</v>
      </c>
      <c r="N20" s="15">
        <v>94</v>
      </c>
      <c r="O20" s="15">
        <v>27489.728878236943</v>
      </c>
    </row>
    <row r="21" spans="1:15">
      <c r="A21" s="15">
        <v>94</v>
      </c>
      <c r="B21" s="15">
        <v>82</v>
      </c>
      <c r="H21" s="14">
        <v>99</v>
      </c>
      <c r="I21" s="14">
        <v>87920.387480615405</v>
      </c>
      <c r="K21" s="14">
        <v>99</v>
      </c>
      <c r="L21" s="14">
        <v>33.068355979452519</v>
      </c>
      <c r="N21" s="14">
        <v>99</v>
      </c>
      <c r="O21" s="14">
        <v>24893.835914346433</v>
      </c>
    </row>
    <row r="22" spans="1:15">
      <c r="A22" s="14">
        <v>99</v>
      </c>
      <c r="B22" s="14">
        <f>IF(ISBLANK(B12), G25, B12)</f>
        <v>99</v>
      </c>
      <c r="H22" s="15">
        <v>90</v>
      </c>
      <c r="I22" s="15">
        <v>95409.026892793059</v>
      </c>
      <c r="K22" s="15">
        <v>90</v>
      </c>
      <c r="L22" s="15">
        <v>28.345046988150571</v>
      </c>
      <c r="N22" s="15">
        <v>90</v>
      </c>
      <c r="O22" s="15">
        <v>33541.782236496765</v>
      </c>
    </row>
    <row r="23" spans="1:15">
      <c r="A23" s="15">
        <v>90</v>
      </c>
      <c r="B23" s="15">
        <v>79</v>
      </c>
      <c r="H23" s="14">
        <v>100</v>
      </c>
      <c r="I23" s="14">
        <v>67210.316749491321</v>
      </c>
      <c r="K23" s="14">
        <v>100</v>
      </c>
      <c r="L23" s="14">
        <v>31.64123862298873</v>
      </c>
      <c r="N23" s="14">
        <v>100</v>
      </c>
      <c r="O23" s="14">
        <v>31219.003568855995</v>
      </c>
    </row>
    <row r="24" spans="1:15">
      <c r="A24" s="14">
        <v>100</v>
      </c>
      <c r="B24" s="14">
        <v>81</v>
      </c>
      <c r="H24" s="15">
        <v>103</v>
      </c>
      <c r="I24" s="15">
        <v>92150.57787878254</v>
      </c>
      <c r="K24" s="15">
        <v>103</v>
      </c>
      <c r="L24" s="15">
        <v>90.170204951880137</v>
      </c>
      <c r="N24" s="15">
        <v>103</v>
      </c>
      <c r="O24" s="15">
        <v>27179.606846316357</v>
      </c>
    </row>
    <row r="25" spans="1:15">
      <c r="A25" s="15">
        <v>103</v>
      </c>
      <c r="B25" s="15">
        <v>89</v>
      </c>
      <c r="H25" s="14">
        <v>94</v>
      </c>
      <c r="I25" s="14">
        <v>119931.41021158894</v>
      </c>
      <c r="K25" s="14">
        <v>94</v>
      </c>
      <c r="L25" s="14">
        <v>62.255140940508497</v>
      </c>
      <c r="N25" s="14">
        <v>94</v>
      </c>
      <c r="O25" s="14">
        <v>23598.478006645528</v>
      </c>
    </row>
    <row r="26" spans="1:15">
      <c r="A26" s="14">
        <v>94</v>
      </c>
      <c r="B26" s="14">
        <v>90</v>
      </c>
      <c r="H26" s="15">
        <v>105</v>
      </c>
      <c r="I26" s="15">
        <v>100873.2838</v>
      </c>
      <c r="K26" s="15">
        <v>105</v>
      </c>
      <c r="L26" s="15">
        <v>57.380879680600209</v>
      </c>
      <c r="N26" s="15">
        <v>105</v>
      </c>
      <c r="O26" s="15">
        <v>34362.286641400722</v>
      </c>
    </row>
    <row r="27" spans="1:15">
      <c r="A27" s="15">
        <v>105</v>
      </c>
      <c r="B27" s="15">
        <v>87</v>
      </c>
      <c r="H27" s="14">
        <v>86</v>
      </c>
      <c r="I27" s="14">
        <v>112809.59590401647</v>
      </c>
      <c r="K27" s="14">
        <v>86</v>
      </c>
      <c r="L27" s="14">
        <v>28.53694552818834</v>
      </c>
      <c r="N27" s="14">
        <v>86</v>
      </c>
      <c r="O27" s="14">
        <v>33251.005889793305</v>
      </c>
    </row>
    <row r="28" spans="1:15">
      <c r="A28" s="14">
        <v>86</v>
      </c>
      <c r="B28" s="14">
        <v>78</v>
      </c>
      <c r="H28" s="15">
        <v>92</v>
      </c>
      <c r="I28" s="15">
        <v>96189.93788004377</v>
      </c>
      <c r="K28" s="15">
        <v>92</v>
      </c>
      <c r="L28" s="15">
        <v>71.964480540556934</v>
      </c>
      <c r="N28" s="15">
        <v>92</v>
      </c>
      <c r="O28" s="15">
        <v>29504.120681103086</v>
      </c>
    </row>
    <row r="29" spans="1:15">
      <c r="A29" s="15">
        <v>92</v>
      </c>
      <c r="B29" s="15">
        <v>71</v>
      </c>
      <c r="H29" s="14">
        <v>94</v>
      </c>
      <c r="I29" s="14">
        <v>106481.14056443122</v>
      </c>
      <c r="K29" s="14">
        <v>94</v>
      </c>
      <c r="L29" s="14">
        <v>89.439967351607194</v>
      </c>
      <c r="N29" s="14">
        <v>94</v>
      </c>
      <c r="O29" s="14">
        <v>39233.184980238329</v>
      </c>
    </row>
    <row r="30" spans="1:15">
      <c r="A30" s="14">
        <v>94</v>
      </c>
      <c r="B30" s="14">
        <v>92</v>
      </c>
      <c r="H30" s="15">
        <v>101</v>
      </c>
      <c r="I30" s="15">
        <v>77046.172203686656</v>
      </c>
      <c r="K30" s="15">
        <v>101</v>
      </c>
      <c r="L30" s="15">
        <v>86.254869545876232</v>
      </c>
      <c r="N30" s="15">
        <v>101</v>
      </c>
      <c r="O30" s="15">
        <v>24649.576168369236</v>
      </c>
    </row>
    <row r="31" spans="1:15">
      <c r="A31" s="15">
        <v>101</v>
      </c>
      <c r="B31" s="15">
        <v>103</v>
      </c>
      <c r="H31" s="14">
        <v>103</v>
      </c>
      <c r="I31" s="14">
        <v>100873.2838</v>
      </c>
      <c r="K31" s="14">
        <v>103</v>
      </c>
      <c r="L31" s="14">
        <v>70.0843767184641</v>
      </c>
      <c r="N31" s="14">
        <v>103</v>
      </c>
      <c r="O31" s="14">
        <v>22372.374145376307</v>
      </c>
    </row>
    <row r="32" spans="1:15">
      <c r="A32" s="14">
        <v>103</v>
      </c>
      <c r="B32" s="14">
        <v>89</v>
      </c>
      <c r="H32" s="15">
        <v>84</v>
      </c>
      <c r="I32" s="15">
        <v>40177.280581985535</v>
      </c>
      <c r="K32" s="15">
        <v>84</v>
      </c>
      <c r="L32" s="15">
        <f>IF(ISBLANK(L11), P26, L11)</f>
        <v>62.296585590724206</v>
      </c>
      <c r="N32" s="15">
        <v>84</v>
      </c>
      <c r="O32" s="15">
        <v>26540.459650593777</v>
      </c>
    </row>
    <row r="33" spans="1:15">
      <c r="A33" s="15">
        <v>84</v>
      </c>
      <c r="B33" s="15">
        <v>75</v>
      </c>
      <c r="H33" s="14">
        <v>76</v>
      </c>
      <c r="I33" s="14">
        <v>96262.076836760301</v>
      </c>
      <c r="K33" s="14">
        <v>76</v>
      </c>
      <c r="L33" s="14">
        <v>28.991762174081039</v>
      </c>
      <c r="N33" s="14">
        <v>76</v>
      </c>
      <c r="O33" s="14">
        <v>29772.069918222511</v>
      </c>
    </row>
    <row r="34" spans="1:15">
      <c r="A34" s="14">
        <v>76</v>
      </c>
      <c r="B34" s="14">
        <v>80</v>
      </c>
      <c r="H34" s="15">
        <v>100</v>
      </c>
      <c r="I34" s="15">
        <v>67390.535125697206</v>
      </c>
      <c r="K34" s="15">
        <v>100</v>
      </c>
      <c r="L34" s="15">
        <v>23.944718968785974</v>
      </c>
      <c r="N34" s="15">
        <v>100</v>
      </c>
      <c r="O34" s="15">
        <v>31216.697246613458</v>
      </c>
    </row>
    <row r="35" spans="1:15">
      <c r="A35" s="15">
        <v>100</v>
      </c>
      <c r="B35" s="15">
        <v>94</v>
      </c>
      <c r="H35" s="14">
        <v>111</v>
      </c>
      <c r="I35" s="14">
        <v>124119.89033093632</v>
      </c>
      <c r="K35" s="14">
        <v>111</v>
      </c>
      <c r="L35" s="14">
        <v>40.598337319397544</v>
      </c>
      <c r="N35" s="14">
        <v>111</v>
      </c>
      <c r="O35" s="14">
        <v>28793.819710718351</v>
      </c>
    </row>
    <row r="36" spans="1:15">
      <c r="A36" s="14">
        <v>111</v>
      </c>
      <c r="B36" s="14">
        <v>110</v>
      </c>
      <c r="H36" s="15">
        <v>93</v>
      </c>
      <c r="I36" s="15">
        <f>IF(ISBLANK(I27), O38, I27)</f>
        <v>112809.59590401647</v>
      </c>
      <c r="K36" s="15">
        <v>93</v>
      </c>
      <c r="L36" s="15">
        <v>30.85291737283022</v>
      </c>
      <c r="N36" s="15">
        <v>93</v>
      </c>
      <c r="O36" s="15">
        <f>IF(ISBLANK(O11), Y14, O11)</f>
        <v>27205.390763642099</v>
      </c>
    </row>
    <row r="37" spans="1:15">
      <c r="A37" s="15">
        <v>93</v>
      </c>
      <c r="B37" s="15">
        <v>84</v>
      </c>
      <c r="H37" s="14">
        <v>87</v>
      </c>
      <c r="I37" s="14">
        <f>IF(ISBLANK(I28), O39, I28)</f>
        <v>96189.93788004377</v>
      </c>
      <c r="K37" s="14">
        <v>87</v>
      </c>
      <c r="L37" s="14">
        <v>40.803843220194707</v>
      </c>
      <c r="N37" s="14">
        <v>87</v>
      </c>
      <c r="O37" s="14">
        <v>23742.30287904778</v>
      </c>
    </row>
    <row r="38" spans="1:15">
      <c r="A38" s="14">
        <v>87</v>
      </c>
      <c r="B38" s="14">
        <v>80</v>
      </c>
      <c r="H38" s="15">
        <v>108</v>
      </c>
      <c r="I38" s="15">
        <v>130420.1245431876</v>
      </c>
      <c r="K38" s="15">
        <v>108</v>
      </c>
      <c r="L38" s="15">
        <v>50.804644457516936</v>
      </c>
      <c r="N38" s="15">
        <v>108</v>
      </c>
      <c r="O38" s="15">
        <v>37218.823020366297</v>
      </c>
    </row>
    <row r="39" spans="1:15">
      <c r="A39" s="15">
        <v>108</v>
      </c>
      <c r="B39" s="15">
        <v>77</v>
      </c>
      <c r="H39" s="14">
        <v>106</v>
      </c>
      <c r="I39" s="14">
        <v>81021.669583503259</v>
      </c>
      <c r="K39" s="14">
        <v>106</v>
      </c>
      <c r="L39" s="14">
        <v>95.438622725690848</v>
      </c>
      <c r="N39" s="14">
        <v>106</v>
      </c>
      <c r="O39" s="14">
        <v>29589.244108037157</v>
      </c>
    </row>
    <row r="40" spans="1:15">
      <c r="A40" s="14">
        <v>106</v>
      </c>
      <c r="B40" s="14">
        <v>82</v>
      </c>
      <c r="H40" s="15">
        <v>108</v>
      </c>
      <c r="I40" s="15">
        <v>134947.26395831117</v>
      </c>
      <c r="K40" s="15">
        <v>108</v>
      </c>
      <c r="L40" s="15">
        <v>68.830084782535366</v>
      </c>
      <c r="N40" s="15">
        <v>108</v>
      </c>
      <c r="O40" s="15">
        <v>35586.479157940637</v>
      </c>
    </row>
    <row r="41" spans="1:15">
      <c r="A41" s="15">
        <v>108</v>
      </c>
      <c r="B41" s="15">
        <v>111</v>
      </c>
      <c r="H41" s="14">
        <v>96</v>
      </c>
      <c r="I41" s="14">
        <v>118643.83128520769</v>
      </c>
      <c r="K41" s="14">
        <v>96</v>
      </c>
      <c r="L41" s="14">
        <v>86.797902854636988</v>
      </c>
      <c r="N41" s="14">
        <v>96</v>
      </c>
      <c r="O41" s="14">
        <v>31713.626731888522</v>
      </c>
    </row>
    <row r="42" spans="1:15">
      <c r="A42" s="14">
        <v>96</v>
      </c>
      <c r="B42" s="14">
        <v>87</v>
      </c>
      <c r="H42" s="15">
        <v>113</v>
      </c>
      <c r="I42" s="15">
        <v>95268.894255621082</v>
      </c>
      <c r="K42" s="15">
        <v>113</v>
      </c>
      <c r="L42" s="15">
        <v>76.828120056986577</v>
      </c>
      <c r="N42" s="15">
        <v>113</v>
      </c>
      <c r="O42" s="15">
        <v>32283.766095768919</v>
      </c>
    </row>
    <row r="43" spans="1:15">
      <c r="A43" s="15">
        <v>113</v>
      </c>
      <c r="B43" s="15">
        <v>73</v>
      </c>
      <c r="H43" s="14">
        <v>95</v>
      </c>
      <c r="I43" s="14">
        <v>122712.40294365888</v>
      </c>
      <c r="K43" s="14">
        <v>95</v>
      </c>
      <c r="L43" s="14">
        <v>29.00025044213054</v>
      </c>
      <c r="N43" s="14">
        <v>95</v>
      </c>
      <c r="O43" s="14">
        <v>32848.836401161017</v>
      </c>
    </row>
    <row r="44" spans="1:15">
      <c r="A44" s="14">
        <v>95</v>
      </c>
      <c r="B44" s="14">
        <v>95</v>
      </c>
      <c r="H44" s="15">
        <v>94</v>
      </c>
      <c r="I44" s="15">
        <v>77874.129751767323</v>
      </c>
      <c r="K44" s="15">
        <v>94</v>
      </c>
      <c r="L44" s="15">
        <v>78.873632509915907</v>
      </c>
      <c r="N44" s="15">
        <v>94</v>
      </c>
      <c r="O44" s="15">
        <v>32238.542800086576</v>
      </c>
    </row>
    <row r="45" spans="1:15">
      <c r="A45" s="15">
        <v>94</v>
      </c>
      <c r="B45" s="15">
        <v>87</v>
      </c>
      <c r="H45" s="14">
        <v>107</v>
      </c>
      <c r="I45" s="14">
        <v>83509.716769446532</v>
      </c>
      <c r="K45" s="14">
        <v>107</v>
      </c>
      <c r="L45" s="14">
        <v>42.007910524729951</v>
      </c>
      <c r="N45" s="14">
        <v>107</v>
      </c>
      <c r="O45" s="14">
        <v>33213.61379933772</v>
      </c>
    </row>
    <row r="46" spans="1:15">
      <c r="A46" s="14">
        <v>107</v>
      </c>
      <c r="B46" s="14">
        <v>88</v>
      </c>
      <c r="H46" s="15">
        <v>114</v>
      </c>
      <c r="I46" s="15">
        <v>100873.2838</v>
      </c>
      <c r="K46" s="15">
        <v>114</v>
      </c>
      <c r="L46" s="15">
        <f>IF(ISBLANK(L25), P40, L25)</f>
        <v>62.255140940508497</v>
      </c>
      <c r="N46" s="15">
        <v>114</v>
      </c>
      <c r="O46" s="15">
        <v>36645.76265066216</v>
      </c>
    </row>
    <row r="47" spans="1:15">
      <c r="A47" s="15">
        <v>114</v>
      </c>
      <c r="B47" s="15">
        <v>85</v>
      </c>
      <c r="H47" s="14">
        <v>86</v>
      </c>
      <c r="I47" s="14">
        <v>89420.445838719694</v>
      </c>
      <c r="K47" s="14">
        <v>86</v>
      </c>
      <c r="L47" s="14">
        <v>47.276957891439082</v>
      </c>
      <c r="N47" s="14">
        <v>86</v>
      </c>
      <c r="O47" s="14">
        <v>30982.605848507352</v>
      </c>
    </row>
    <row r="48" spans="1:15">
      <c r="A48" s="14">
        <v>86</v>
      </c>
      <c r="B48" s="14">
        <v>93</v>
      </c>
      <c r="H48" s="15">
        <v>100</v>
      </c>
      <c r="I48" s="15">
        <v>78868.847144794941</v>
      </c>
      <c r="K48" s="15">
        <v>100</v>
      </c>
      <c r="L48" s="15">
        <v>99.813781061172733</v>
      </c>
      <c r="N48" s="15">
        <v>100</v>
      </c>
      <c r="O48" s="15">
        <v>33545.018787942565</v>
      </c>
    </row>
    <row r="49" spans="1:15">
      <c r="A49" s="15">
        <v>100</v>
      </c>
      <c r="B49" s="15">
        <v>85</v>
      </c>
      <c r="H49" s="14">
        <v>108</v>
      </c>
      <c r="I49" s="14">
        <v>124461.6613419065</v>
      </c>
      <c r="K49" s="14">
        <v>108</v>
      </c>
      <c r="L49" s="14">
        <v>41.084118359742227</v>
      </c>
      <c r="N49" s="14">
        <v>108</v>
      </c>
      <c r="O49" s="14">
        <v>29551.321528563865</v>
      </c>
    </row>
    <row r="50" spans="1:15">
      <c r="A50" s="14">
        <v>108</v>
      </c>
      <c r="B50" s="14">
        <v>89</v>
      </c>
      <c r="H50" s="15">
        <v>101</v>
      </c>
      <c r="I50" s="15">
        <v>94822.91199260336</v>
      </c>
      <c r="K50" s="15">
        <v>101</v>
      </c>
      <c r="L50" s="15">
        <v>42.330437661941573</v>
      </c>
      <c r="N50" s="15">
        <v>101</v>
      </c>
      <c r="O50" s="15">
        <v>37200.586077247368</v>
      </c>
    </row>
    <row r="51" spans="1:15">
      <c r="A51" s="15">
        <v>101</v>
      </c>
      <c r="B51" s="15">
        <v>80</v>
      </c>
      <c r="H51" s="14">
        <v>94</v>
      </c>
      <c r="I51" s="14">
        <v>107050.09936713759</v>
      </c>
      <c r="K51" s="14">
        <v>94</v>
      </c>
      <c r="L51" s="14">
        <v>94.453780444991864</v>
      </c>
      <c r="N51" s="14">
        <v>94</v>
      </c>
      <c r="O51" s="14">
        <v>26618.038489703653</v>
      </c>
    </row>
    <row r="52" spans="1:15">
      <c r="A52" s="14">
        <v>94</v>
      </c>
      <c r="B52" s="14">
        <v>95</v>
      </c>
      <c r="H52" s="15">
        <v>116</v>
      </c>
      <c r="I52" s="15">
        <f>IF(ISBLANK(I43), O54, I43)</f>
        <v>122712.40294365888</v>
      </c>
      <c r="K52" s="15">
        <v>116</v>
      </c>
      <c r="L52" s="15">
        <v>21.971552370905812</v>
      </c>
      <c r="N52" s="15">
        <v>116</v>
      </c>
      <c r="O52" s="15">
        <v>39004.702164554081</v>
      </c>
    </row>
    <row r="53" spans="1:15">
      <c r="A53" s="15">
        <v>116</v>
      </c>
      <c r="B53" s="15">
        <v>89</v>
      </c>
      <c r="H53" s="14">
        <v>97</v>
      </c>
      <c r="I53" s="14">
        <v>63587.933989029654</v>
      </c>
      <c r="K53" s="14">
        <v>97</v>
      </c>
      <c r="L53" s="14">
        <v>75.735119029855753</v>
      </c>
      <c r="N53" s="14">
        <v>97</v>
      </c>
      <c r="O53" s="14">
        <v>29799.210246778282</v>
      </c>
    </row>
    <row r="54" spans="1:15">
      <c r="A54" s="14">
        <v>97</v>
      </c>
      <c r="B54" s="14">
        <v>73</v>
      </c>
      <c r="H54" s="15">
        <f>IF(ISBLANK(H11), U12, H11)</f>
        <v>96</v>
      </c>
      <c r="I54" s="15">
        <v>105401.14716782844</v>
      </c>
      <c r="K54" s="15">
        <f>IF(ISBLANK(K11), X12, K11)</f>
        <v>96</v>
      </c>
      <c r="L54" s="15">
        <v>78.026111258870259</v>
      </c>
      <c r="N54" s="15">
        <f>IF(ISBLANK(N11), AA12, N11)</f>
        <v>96</v>
      </c>
      <c r="O54" s="15">
        <v>22846.124489409758</v>
      </c>
    </row>
    <row r="55" spans="1:15">
      <c r="A55" s="15">
        <f>IF(ISBLANK(A12), M13, A12)</f>
        <v>96</v>
      </c>
      <c r="B55" s="15">
        <v>86</v>
      </c>
      <c r="H55" s="14">
        <v>94</v>
      </c>
      <c r="I55" s="14">
        <v>61754.900491604465</v>
      </c>
      <c r="K55" s="14">
        <v>94</v>
      </c>
      <c r="L55" s="14">
        <v>86.910286192831947</v>
      </c>
      <c r="N55" s="14">
        <v>94</v>
      </c>
      <c r="O55" s="14">
        <v>30640.522074553948</v>
      </c>
    </row>
    <row r="56" spans="1:15">
      <c r="A56" s="14">
        <v>94</v>
      </c>
      <c r="B56" s="14">
        <v>82</v>
      </c>
      <c r="H56" s="15">
        <v>118</v>
      </c>
      <c r="I56" s="15">
        <v>98627.319078290631</v>
      </c>
      <c r="K56" s="15">
        <v>118</v>
      </c>
      <c r="L56" s="15">
        <v>97.955144851078032</v>
      </c>
      <c r="N56" s="15">
        <v>118</v>
      </c>
      <c r="O56" s="15">
        <v>26594.741712625597</v>
      </c>
    </row>
    <row r="57" spans="1:15">
      <c r="A57" s="15">
        <v>118</v>
      </c>
      <c r="B57" s="15">
        <v>80</v>
      </c>
      <c r="H57" s="14">
        <v>104</v>
      </c>
      <c r="I57" s="14">
        <v>72633.699223343792</v>
      </c>
      <c r="K57" s="14">
        <v>104</v>
      </c>
      <c r="L57" s="14">
        <v>98.048153532532197</v>
      </c>
      <c r="N57" s="14">
        <v>104</v>
      </c>
      <c r="O57" s="14">
        <v>34203.21774494362</v>
      </c>
    </row>
    <row r="58" spans="1:15">
      <c r="A58" s="14">
        <v>104</v>
      </c>
      <c r="B58" s="14">
        <v>85</v>
      </c>
      <c r="H58" s="15">
        <f>IF(ISBLANK(H11), U12, H11)</f>
        <v>96</v>
      </c>
      <c r="I58" s="15">
        <v>139745.51998461617</v>
      </c>
      <c r="K58" s="15">
        <f>IF(ISBLANK(K11), X12, K11)</f>
        <v>96</v>
      </c>
      <c r="L58" s="15">
        <v>25.222140605317112</v>
      </c>
      <c r="N58" s="15">
        <f>IF(ISBLANK(N11), AA12, N11)</f>
        <v>96</v>
      </c>
      <c r="O58" s="15">
        <v>26736.880103488045</v>
      </c>
    </row>
    <row r="59" spans="1:15">
      <c r="A59" s="15">
        <f>IF(ISBLANK(A12), M13, A12)</f>
        <v>96</v>
      </c>
      <c r="B59" s="15">
        <v>88</v>
      </c>
      <c r="H59" s="14">
        <v>115</v>
      </c>
      <c r="I59" s="14">
        <v>118227.25444349443</v>
      </c>
      <c r="K59" s="14">
        <v>115</v>
      </c>
      <c r="L59" s="14">
        <v>85.747145820232205</v>
      </c>
      <c r="N59" s="14">
        <v>115</v>
      </c>
      <c r="O59" s="14">
        <v>27769.082833926102</v>
      </c>
    </row>
    <row r="60" spans="1:15">
      <c r="A60" s="14">
        <v>115</v>
      </c>
      <c r="B60" s="14">
        <v>100</v>
      </c>
      <c r="H60" s="15">
        <v>94</v>
      </c>
      <c r="I60" s="15">
        <v>102115.07582542961</v>
      </c>
      <c r="K60" s="15">
        <v>94</v>
      </c>
      <c r="L60" s="15">
        <v>71.704794692590497</v>
      </c>
      <c r="N60" s="15">
        <v>94</v>
      </c>
      <c r="O60" s="15">
        <v>20552.296345272345</v>
      </c>
    </row>
    <row r="61" spans="1:15">
      <c r="A61" s="15">
        <v>94</v>
      </c>
      <c r="B61" s="15">
        <v>102</v>
      </c>
      <c r="H61" s="14">
        <v>91</v>
      </c>
      <c r="I61" s="14">
        <v>125274.13355309337</v>
      </c>
      <c r="K61" s="14">
        <v>91</v>
      </c>
      <c r="L61" s="14">
        <v>71.787370749847298</v>
      </c>
      <c r="N61" s="14">
        <v>91</v>
      </c>
      <c r="O61" s="14">
        <v>27738.468403754618</v>
      </c>
    </row>
    <row r="62" spans="1:15">
      <c r="A62" s="14">
        <v>91</v>
      </c>
      <c r="B62" s="14">
        <v>95</v>
      </c>
      <c r="H62" s="15">
        <v>110</v>
      </c>
      <c r="I62" s="15">
        <v>83073.680450685279</v>
      </c>
      <c r="K62" s="15">
        <v>110</v>
      </c>
      <c r="L62" s="15">
        <v>30.267994129175584</v>
      </c>
      <c r="N62" s="15">
        <v>110</v>
      </c>
      <c r="O62" s="15">
        <v>17880.603366855219</v>
      </c>
    </row>
    <row r="63" spans="1:15">
      <c r="A63" s="15">
        <v>110</v>
      </c>
      <c r="B63" s="15">
        <v>88</v>
      </c>
      <c r="H63" s="14">
        <v>98</v>
      </c>
      <c r="I63" s="14">
        <v>110869.58757340186</v>
      </c>
      <c r="K63" s="14">
        <v>98</v>
      </c>
      <c r="L63" s="14">
        <f>IF(ISBLANK(L42), P57, L42)</f>
        <v>76.828120056986577</v>
      </c>
      <c r="N63" s="14">
        <v>98</v>
      </c>
      <c r="O63" s="14">
        <v>22080.485882571382</v>
      </c>
    </row>
    <row r="64" spans="1:15">
      <c r="A64" s="14">
        <v>98</v>
      </c>
      <c r="B64" s="14">
        <v>87</v>
      </c>
      <c r="H64" s="15">
        <v>86</v>
      </c>
      <c r="I64" s="15">
        <v>103996.20867437427</v>
      </c>
      <c r="K64" s="15">
        <v>86</v>
      </c>
      <c r="L64" s="15">
        <v>98.598606448099829</v>
      </c>
      <c r="N64" s="15">
        <v>86</v>
      </c>
      <c r="O64" s="15">
        <v>33802.073280721488</v>
      </c>
    </row>
    <row r="65" spans="1:15">
      <c r="A65" s="15">
        <v>86</v>
      </c>
      <c r="B65" s="15">
        <v>95</v>
      </c>
      <c r="H65" s="14">
        <v>121</v>
      </c>
      <c r="I65" s="14">
        <v>105280.4016266734</v>
      </c>
      <c r="K65" s="14">
        <v>121</v>
      </c>
      <c r="L65" s="14">
        <v>62.2965856</v>
      </c>
      <c r="N65" s="14">
        <v>121</v>
      </c>
      <c r="O65" s="14">
        <f>IF(ISBLANK(O40), Y43, O40)</f>
        <v>35586.479157940637</v>
      </c>
    </row>
    <row r="66" spans="1:15">
      <c r="A66" s="14">
        <v>121</v>
      </c>
      <c r="B66" s="14">
        <v>78</v>
      </c>
      <c r="H66" s="15">
        <v>100</v>
      </c>
      <c r="I66" s="15">
        <v>125447.07000213536</v>
      </c>
      <c r="K66" s="15">
        <v>100</v>
      </c>
      <c r="L66" s="15">
        <v>55.13045286438804</v>
      </c>
      <c r="N66" s="15">
        <v>100</v>
      </c>
      <c r="O66" s="15">
        <v>32127.287808924822</v>
      </c>
    </row>
    <row r="67" spans="1:15">
      <c r="A67" s="15">
        <v>100</v>
      </c>
      <c r="B67" s="15">
        <v>89</v>
      </c>
      <c r="H67" s="14">
        <v>96</v>
      </c>
      <c r="I67" s="14">
        <v>114649.84205559605</v>
      </c>
      <c r="K67" s="14">
        <v>96</v>
      </c>
      <c r="L67" s="14">
        <v>23.195837862887547</v>
      </c>
      <c r="N67" s="14">
        <v>96</v>
      </c>
      <c r="O67" s="14">
        <v>25165.119284353936</v>
      </c>
    </row>
    <row r="68" spans="1:15">
      <c r="A68" s="14">
        <v>96</v>
      </c>
      <c r="B68" s="14">
        <v>95</v>
      </c>
      <c r="H68" s="15">
        <v>127</v>
      </c>
      <c r="I68" s="15">
        <v>105774.47325650047</v>
      </c>
      <c r="K68" s="15">
        <v>127</v>
      </c>
      <c r="L68" s="15">
        <v>48.98347920001639</v>
      </c>
      <c r="N68" s="15">
        <v>127</v>
      </c>
      <c r="O68" s="15">
        <v>29761.4432192901</v>
      </c>
    </row>
    <row r="69" spans="1:15">
      <c r="A69" s="15">
        <v>127</v>
      </c>
      <c r="B69" s="15">
        <v>88</v>
      </c>
      <c r="H69" s="14">
        <v>100</v>
      </c>
      <c r="I69" s="14">
        <v>66902.251275434071</v>
      </c>
      <c r="K69" s="14">
        <v>100</v>
      </c>
      <c r="L69" s="14">
        <v>86.111224928044422</v>
      </c>
      <c r="N69" s="14">
        <v>100</v>
      </c>
      <c r="O69" s="14">
        <v>29981.987304547158</v>
      </c>
    </row>
    <row r="70" spans="1:15">
      <c r="A70" s="14">
        <v>100</v>
      </c>
      <c r="B70" s="14">
        <f>IF(ISBLANK(B60), G73, B60)</f>
        <v>100</v>
      </c>
      <c r="H70" s="15">
        <v>93</v>
      </c>
      <c r="I70" s="15">
        <v>80799.074094410724</v>
      </c>
      <c r="K70" s="15">
        <v>93</v>
      </c>
      <c r="L70" s="15">
        <v>76.119928117213277</v>
      </c>
      <c r="N70" s="15">
        <v>93</v>
      </c>
      <c r="O70" s="15">
        <v>24208.176554037287</v>
      </c>
    </row>
    <row r="71" spans="1:15">
      <c r="A71" s="15">
        <v>93</v>
      </c>
      <c r="B71" s="15">
        <v>79</v>
      </c>
      <c r="H71" s="14">
        <v>103</v>
      </c>
      <c r="I71" s="14">
        <v>97545.821328085513</v>
      </c>
      <c r="K71" s="14">
        <v>103</v>
      </c>
      <c r="L71" s="14">
        <v>56.747492447516514</v>
      </c>
      <c r="N71" s="14">
        <v>103</v>
      </c>
      <c r="O71" s="14">
        <v>37516.991508835752</v>
      </c>
    </row>
    <row r="72" spans="1:15">
      <c r="A72" s="14">
        <v>103</v>
      </c>
      <c r="B72" s="14">
        <v>91</v>
      </c>
      <c r="H72" s="15">
        <v>78</v>
      </c>
      <c r="I72" s="15">
        <v>101867.44748553302</v>
      </c>
      <c r="K72" s="15">
        <v>78</v>
      </c>
      <c r="L72" s="15">
        <f>IF(ISBLANK(L51), P66, L51)</f>
        <v>94.453780444991864</v>
      </c>
      <c r="N72" s="15">
        <v>78</v>
      </c>
      <c r="O72" s="15">
        <v>34386.811452878355</v>
      </c>
    </row>
    <row r="73" spans="1:15">
      <c r="A73" s="15">
        <v>78</v>
      </c>
      <c r="B73" s="15">
        <v>81</v>
      </c>
      <c r="H73" s="14">
        <v>116</v>
      </c>
      <c r="I73" s="14">
        <v>77395.925506521526</v>
      </c>
      <c r="K73" s="14">
        <v>116</v>
      </c>
      <c r="L73" s="14">
        <v>54.151578225864213</v>
      </c>
      <c r="N73" s="14">
        <v>116</v>
      </c>
      <c r="O73" s="14">
        <v>30599.02924</v>
      </c>
    </row>
    <row r="74" spans="1:15">
      <c r="A74" s="14">
        <v>116</v>
      </c>
      <c r="B74" s="14">
        <v>98</v>
      </c>
      <c r="H74" s="15">
        <v>88</v>
      </c>
      <c r="I74" s="15">
        <v>148233.53351156841</v>
      </c>
      <c r="K74" s="15">
        <v>88</v>
      </c>
      <c r="L74" s="15">
        <v>57.521995177430682</v>
      </c>
      <c r="N74" s="15">
        <v>88</v>
      </c>
      <c r="O74" s="15">
        <v>30134.429194972654</v>
      </c>
    </row>
    <row r="75" spans="1:15">
      <c r="A75" s="15">
        <v>88</v>
      </c>
      <c r="B75" s="15">
        <v>83</v>
      </c>
      <c r="H75" s="14">
        <v>105</v>
      </c>
      <c r="I75" s="14">
        <v>130327.88110507146</v>
      </c>
      <c r="K75" s="14">
        <v>105</v>
      </c>
      <c r="L75" s="14">
        <v>94.284442631530879</v>
      </c>
      <c r="N75" s="14">
        <v>105</v>
      </c>
      <c r="O75" s="14">
        <v>31041.914039737763</v>
      </c>
    </row>
    <row r="76" spans="1:15">
      <c r="A76" s="14">
        <v>105</v>
      </c>
      <c r="B76" s="14">
        <f>IF(ISBLANK(B66), G79, B66)</f>
        <v>78</v>
      </c>
      <c r="H76" s="15">
        <v>92</v>
      </c>
      <c r="I76" s="15">
        <v>112042.36640784967</v>
      </c>
      <c r="K76" s="15">
        <v>92</v>
      </c>
      <c r="L76" s="15">
        <v>71.286888286572747</v>
      </c>
      <c r="N76" s="15">
        <v>92</v>
      </c>
      <c r="O76" s="15">
        <v>19791.325657878548</v>
      </c>
    </row>
    <row r="77" spans="1:15">
      <c r="A77" s="15">
        <v>92</v>
      </c>
      <c r="B77" s="15">
        <v>97</v>
      </c>
      <c r="H77" s="14">
        <v>96</v>
      </c>
      <c r="I77" s="14">
        <v>101440.73722567489</v>
      </c>
      <c r="K77" s="14">
        <v>96</v>
      </c>
      <c r="L77" s="14">
        <v>44.932233332371908</v>
      </c>
      <c r="N77" s="14">
        <v>96</v>
      </c>
      <c r="O77" s="14">
        <v>28764.113087397014</v>
      </c>
    </row>
    <row r="78" spans="1:15">
      <c r="A78" s="14">
        <v>96</v>
      </c>
      <c r="B78" s="14">
        <v>90</v>
      </c>
      <c r="H78" s="15">
        <v>104</v>
      </c>
      <c r="I78" s="15">
        <v>95755.820601976971</v>
      </c>
      <c r="K78" s="15">
        <v>104</v>
      </c>
      <c r="L78" s="15">
        <v>62.025461156057709</v>
      </c>
      <c r="N78" s="15">
        <v>104</v>
      </c>
      <c r="O78" s="15">
        <v>26590.078760011005</v>
      </c>
    </row>
    <row r="79" spans="1:15">
      <c r="A79" s="15">
        <v>104</v>
      </c>
      <c r="B79" s="15">
        <v>83</v>
      </c>
      <c r="H79" s="14">
        <v>84</v>
      </c>
      <c r="I79" s="14">
        <v>80961.630799555292</v>
      </c>
      <c r="K79" s="14">
        <v>84</v>
      </c>
      <c r="L79" s="14">
        <v>25.284424625772807</v>
      </c>
      <c r="N79" s="14">
        <v>84</v>
      </c>
      <c r="O79" s="14">
        <v>30599.02924</v>
      </c>
    </row>
    <row r="80" spans="1:15">
      <c r="A80" s="14">
        <v>84</v>
      </c>
      <c r="B80" s="14">
        <v>93</v>
      </c>
      <c r="H80" s="15">
        <v>95</v>
      </c>
      <c r="I80" s="15">
        <v>101549.61037037725</v>
      </c>
      <c r="K80" s="15">
        <v>95</v>
      </c>
      <c r="L80" s="15">
        <v>97.805458851978941</v>
      </c>
      <c r="N80" s="15">
        <v>95</v>
      </c>
      <c r="O80" s="15">
        <v>28594.498535570227</v>
      </c>
    </row>
    <row r="81" spans="1:15">
      <c r="A81" s="15">
        <v>95</v>
      </c>
      <c r="B81" s="15">
        <v>84</v>
      </c>
      <c r="H81" s="14">
        <v>105</v>
      </c>
      <c r="I81" s="14">
        <v>105155.05080285501</v>
      </c>
      <c r="K81" s="14">
        <v>105</v>
      </c>
      <c r="L81" s="14">
        <v>48.804792154458084</v>
      </c>
      <c r="N81" s="14">
        <v>105</v>
      </c>
      <c r="O81" s="14">
        <v>38988.432634247612</v>
      </c>
    </row>
    <row r="82" spans="1:15">
      <c r="A82" s="14">
        <v>105</v>
      </c>
      <c r="B82" s="14">
        <v>90</v>
      </c>
      <c r="H82" s="15">
        <v>100</v>
      </c>
      <c r="I82" s="15">
        <v>75164.788490367515</v>
      </c>
      <c r="K82" s="15">
        <v>100</v>
      </c>
      <c r="L82" s="15">
        <v>58.229388393050868</v>
      </c>
      <c r="N82" s="15">
        <v>100</v>
      </c>
      <c r="O82" s="15">
        <v>33204.214306335052</v>
      </c>
    </row>
    <row r="83" spans="1:15">
      <c r="A83" s="15">
        <v>100</v>
      </c>
      <c r="B83" s="15">
        <v>97</v>
      </c>
      <c r="H83" s="14">
        <v>104</v>
      </c>
      <c r="I83" s="14">
        <v>106683.52834489795</v>
      </c>
      <c r="K83" s="14">
        <v>104</v>
      </c>
      <c r="L83" s="14">
        <v>48.422717938953809</v>
      </c>
      <c r="N83" s="14">
        <v>104</v>
      </c>
      <c r="O83" s="14">
        <v>27144.105051086015</v>
      </c>
    </row>
    <row r="84" spans="1:15">
      <c r="A84" s="14">
        <v>104</v>
      </c>
      <c r="B84" s="14">
        <v>92</v>
      </c>
      <c r="H84" s="15">
        <v>106</v>
      </c>
      <c r="I84" s="15">
        <v>96894.819023505028</v>
      </c>
      <c r="K84" s="15">
        <v>106</v>
      </c>
      <c r="L84" s="15">
        <v>74.60093840929602</v>
      </c>
      <c r="N84" s="15">
        <v>106</v>
      </c>
      <c r="O84" s="15">
        <v>32862.913906780792</v>
      </c>
    </row>
    <row r="85" spans="1:15">
      <c r="A85" s="15">
        <v>106</v>
      </c>
      <c r="B85" s="15">
        <v>80</v>
      </c>
      <c r="H85" s="14">
        <v>120</v>
      </c>
      <c r="I85" s="14">
        <v>61843.848842452178</v>
      </c>
      <c r="K85" s="14">
        <v>120</v>
      </c>
      <c r="L85" s="14">
        <v>72.978572666367441</v>
      </c>
      <c r="N85" s="14">
        <v>120</v>
      </c>
      <c r="O85" s="14">
        <v>36996.777182930011</v>
      </c>
    </row>
    <row r="86" spans="1:15">
      <c r="A86" s="14">
        <v>120</v>
      </c>
      <c r="B86" s="14">
        <v>75</v>
      </c>
      <c r="H86" s="15">
        <f>IF(ISBLANK(H39), U40, H39)</f>
        <v>106</v>
      </c>
      <c r="I86" s="15">
        <v>82792.299784409959</v>
      </c>
      <c r="K86" s="15">
        <f>IF(ISBLANK(K39), X40, K39)</f>
        <v>106</v>
      </c>
      <c r="L86" s="15">
        <v>77.225784842330853</v>
      </c>
      <c r="N86" s="15">
        <f>IF(ISBLANK(N39), AA40, N39)</f>
        <v>106</v>
      </c>
      <c r="O86" s="15">
        <f>IF(ISBLANK(O61), Y64, O61)</f>
        <v>27738.468403754618</v>
      </c>
    </row>
    <row r="87" spans="1:15">
      <c r="A87" s="15">
        <f>IF(ISBLANK(A40), M41, A40)</f>
        <v>106</v>
      </c>
      <c r="B87" s="15">
        <v>91</v>
      </c>
      <c r="H87" s="14">
        <v>118</v>
      </c>
      <c r="I87" s="14">
        <v>91727.889331567116</v>
      </c>
      <c r="K87" s="14">
        <v>118</v>
      </c>
      <c r="L87" s="14">
        <v>41.451458368953666</v>
      </c>
      <c r="N87" s="14">
        <v>118</v>
      </c>
      <c r="O87" s="14">
        <v>30298.151849600872</v>
      </c>
    </row>
    <row r="88" spans="1:15">
      <c r="A88" s="14">
        <v>118</v>
      </c>
      <c r="B88" s="14">
        <v>91</v>
      </c>
      <c r="H88" s="15">
        <v>92</v>
      </c>
      <c r="I88" s="15">
        <v>137753.75314680382</v>
      </c>
      <c r="K88" s="15">
        <v>92</v>
      </c>
      <c r="L88" s="15">
        <v>45.253478493125279</v>
      </c>
      <c r="N88" s="15">
        <v>92</v>
      </c>
      <c r="O88" s="15">
        <v>26765.31611147213</v>
      </c>
    </row>
    <row r="89" spans="1:15">
      <c r="A89" s="15">
        <v>92</v>
      </c>
      <c r="B89" s="15">
        <v>81</v>
      </c>
      <c r="H89" s="14">
        <v>110</v>
      </c>
      <c r="I89" s="14">
        <v>111131.06249067516</v>
      </c>
      <c r="K89" s="14">
        <v>110</v>
      </c>
      <c r="L89" s="14">
        <v>30.020098487696636</v>
      </c>
      <c r="N89" s="14">
        <v>110</v>
      </c>
      <c r="O89" s="14">
        <v>33491.116568067948</v>
      </c>
    </row>
    <row r="90" spans="1:15">
      <c r="A90" s="14">
        <v>110</v>
      </c>
      <c r="B90" s="14">
        <f>IF(ISBLANK(B80), G93, B80)</f>
        <v>93</v>
      </c>
      <c r="H90" s="15">
        <v>101</v>
      </c>
      <c r="I90" s="15">
        <v>73290.368618002176</v>
      </c>
      <c r="K90" s="15">
        <v>101</v>
      </c>
      <c r="L90" s="15">
        <v>72.440797747689004</v>
      </c>
      <c r="N90" s="15">
        <v>101</v>
      </c>
      <c r="O90" s="15">
        <v>31967.426927108747</v>
      </c>
    </row>
    <row r="91" spans="1:15">
      <c r="A91" s="15">
        <v>101</v>
      </c>
      <c r="B91" s="15">
        <v>104</v>
      </c>
      <c r="H91" s="14">
        <v>84</v>
      </c>
      <c r="I91" s="14">
        <v>109720.72578835273</v>
      </c>
      <c r="K91" s="14">
        <v>84</v>
      </c>
      <c r="L91" s="14">
        <v>23.183770186852204</v>
      </c>
      <c r="N91" s="14">
        <v>84</v>
      </c>
      <c r="O91" s="14">
        <v>34475.966100138663</v>
      </c>
    </row>
    <row r="92" spans="1:15">
      <c r="A92" s="14">
        <v>84</v>
      </c>
      <c r="B92" s="14">
        <v>99</v>
      </c>
      <c r="H92" s="15">
        <v>115</v>
      </c>
      <c r="I92" s="15">
        <v>69053.920221232693</v>
      </c>
      <c r="K92" s="15">
        <v>115</v>
      </c>
      <c r="L92" s="15">
        <v>67.814586841876718</v>
      </c>
      <c r="N92" s="15">
        <v>115</v>
      </c>
      <c r="O92" s="15">
        <v>33175.859008409847</v>
      </c>
    </row>
    <row r="93" spans="1:15">
      <c r="A93" s="15">
        <v>115</v>
      </c>
      <c r="B93" s="15">
        <v>92</v>
      </c>
      <c r="H93" s="14">
        <v>95</v>
      </c>
      <c r="I93" s="14">
        <v>121653.82107774146</v>
      </c>
      <c r="K93" s="14">
        <v>95</v>
      </c>
      <c r="L93" s="14">
        <v>89.575670788130708</v>
      </c>
      <c r="N93" s="14">
        <v>95</v>
      </c>
      <c r="O93" s="14">
        <v>35247.763576596677</v>
      </c>
    </row>
    <row r="94" spans="1:15">
      <c r="A94" s="14">
        <v>95</v>
      </c>
      <c r="B94" s="14">
        <v>83</v>
      </c>
      <c r="H94" s="15">
        <v>114</v>
      </c>
      <c r="I94" s="15">
        <v>90577.50696364243</v>
      </c>
      <c r="K94" s="15">
        <v>114</v>
      </c>
      <c r="L94" s="15">
        <v>91.266571863170682</v>
      </c>
      <c r="N94" s="15">
        <v>114</v>
      </c>
      <c r="O94" s="15">
        <v>27323.823942197159</v>
      </c>
    </row>
    <row r="95" spans="1:15">
      <c r="A95" s="15">
        <v>114</v>
      </c>
      <c r="B95" s="15">
        <f>IF(ISBLANK(B85), G98, B85)</f>
        <v>80</v>
      </c>
      <c r="H95" s="14">
        <v>104</v>
      </c>
      <c r="I95" s="14">
        <v>98127.276225216585</v>
      </c>
      <c r="K95" s="14">
        <v>104</v>
      </c>
      <c r="L95" s="14">
        <v>55.923020829596936</v>
      </c>
      <c r="N95" s="14">
        <v>104</v>
      </c>
      <c r="O95" s="14">
        <v>36586.970328171628</v>
      </c>
    </row>
    <row r="96" spans="1:15">
      <c r="A96" s="14">
        <v>104</v>
      </c>
      <c r="B96" s="14">
        <v>91</v>
      </c>
      <c r="H96" s="15">
        <v>89</v>
      </c>
      <c r="I96" s="15">
        <v>126515.93295084379</v>
      </c>
      <c r="K96" s="15">
        <v>89</v>
      </c>
      <c r="L96" s="15">
        <v>56.744295057045903</v>
      </c>
      <c r="N96" s="15">
        <v>89</v>
      </c>
      <c r="O96" s="15">
        <v>30987.998023461998</v>
      </c>
    </row>
    <row r="97" spans="1:15">
      <c r="A97" s="15">
        <v>89</v>
      </c>
      <c r="B97" s="15">
        <f>IF(ISBLANK(B87), G100, B87)</f>
        <v>91</v>
      </c>
      <c r="H97" s="14">
        <f>IF(ISBLANK(H50), U51, H50)</f>
        <v>101</v>
      </c>
      <c r="I97" s="14">
        <v>74256.728628315002</v>
      </c>
      <c r="K97" s="14">
        <f>IF(ISBLANK(K50), X51, K50)</f>
        <v>101</v>
      </c>
      <c r="L97" s="14">
        <v>26.157534640641387</v>
      </c>
      <c r="N97" s="14">
        <f>IF(ISBLANK(N50), AA51, N50)</f>
        <v>101</v>
      </c>
      <c r="O97" s="14">
        <v>40376.304363126328</v>
      </c>
    </row>
    <row r="98" spans="1:15">
      <c r="A98" s="14">
        <f>IF(ISBLANK(A51), M52, A51)</f>
        <v>101</v>
      </c>
      <c r="B98" s="14">
        <v>74</v>
      </c>
      <c r="H98" s="15">
        <v>85</v>
      </c>
      <c r="I98" s="15">
        <v>72057.636297740173</v>
      </c>
      <c r="K98" s="15">
        <v>85</v>
      </c>
      <c r="L98" s="15">
        <v>73.661202035442855</v>
      </c>
      <c r="N98" s="15">
        <v>85</v>
      </c>
      <c r="O98" s="15">
        <v>26554.060909552161</v>
      </c>
    </row>
    <row r="99" spans="1:15">
      <c r="A99" s="15">
        <v>85</v>
      </c>
      <c r="B99" s="15">
        <v>80</v>
      </c>
      <c r="H99" s="14">
        <v>101</v>
      </c>
      <c r="I99" s="14">
        <v>88328.013473079904</v>
      </c>
      <c r="K99" s="14">
        <v>101</v>
      </c>
      <c r="L99" s="14">
        <v>85.700753629827645</v>
      </c>
      <c r="N99" s="14">
        <v>101</v>
      </c>
      <c r="O99" s="14">
        <v>38679.819015826244</v>
      </c>
    </row>
    <row r="100" spans="1:15">
      <c r="A100" s="14">
        <v>101</v>
      </c>
      <c r="B100" s="14">
        <v>81</v>
      </c>
      <c r="H100" s="15">
        <v>104</v>
      </c>
      <c r="I100" s="15">
        <v>120767.57702038634</v>
      </c>
      <c r="K100" s="15">
        <v>104</v>
      </c>
      <c r="L100" s="15">
        <v>39.572404368377043</v>
      </c>
      <c r="N100" s="15">
        <v>104</v>
      </c>
      <c r="O100" s="15">
        <v>30989.553917313238</v>
      </c>
    </row>
    <row r="101" spans="1:15">
      <c r="A101" s="15">
        <v>104</v>
      </c>
      <c r="B101" s="15">
        <v>87</v>
      </c>
      <c r="H101" s="14">
        <v>106</v>
      </c>
      <c r="I101" s="14">
        <v>69613.078490463144</v>
      </c>
      <c r="K101" s="14">
        <v>106</v>
      </c>
      <c r="L101" s="14">
        <v>53.704070530669171</v>
      </c>
      <c r="N101" s="14">
        <v>106</v>
      </c>
      <c r="O101" s="14">
        <f>IF(ISBLANK(O76), Y79, O76)</f>
        <v>19791.325657878548</v>
      </c>
    </row>
    <row r="102" spans="1:15">
      <c r="A102" s="14">
        <v>106</v>
      </c>
      <c r="B102" s="14">
        <v>95</v>
      </c>
      <c r="H102" s="15">
        <v>95</v>
      </c>
      <c r="I102" s="15">
        <v>43356.888037788623</v>
      </c>
      <c r="K102" s="15">
        <v>95</v>
      </c>
      <c r="L102" s="15">
        <v>87.107146941221629</v>
      </c>
      <c r="N102" s="15">
        <v>95</v>
      </c>
      <c r="O102" s="15">
        <v>27580.570829728393</v>
      </c>
    </row>
    <row r="103" spans="1:15">
      <c r="A103" s="15">
        <v>95</v>
      </c>
      <c r="B103" s="15">
        <v>108</v>
      </c>
      <c r="H103" s="14">
        <v>104</v>
      </c>
      <c r="I103" s="14">
        <v>90976.822831820027</v>
      </c>
      <c r="K103" s="14">
        <v>104</v>
      </c>
      <c r="L103" s="14">
        <v>90.169637412983036</v>
      </c>
      <c r="N103" s="14">
        <v>104</v>
      </c>
      <c r="O103" s="14">
        <v>28398.2634590284</v>
      </c>
    </row>
    <row r="104" spans="1:15">
      <c r="A104" s="14">
        <v>104</v>
      </c>
      <c r="B104" s="14">
        <v>79</v>
      </c>
      <c r="H104" s="15">
        <v>105</v>
      </c>
      <c r="I104" s="15">
        <f>IF(ISBLANK(I95), O106, I95)</f>
        <v>98127.276225216585</v>
      </c>
      <c r="K104" s="15">
        <v>105</v>
      </c>
      <c r="L104" s="15">
        <v>39.454398421138073</v>
      </c>
      <c r="N104" s="15">
        <v>105</v>
      </c>
      <c r="O104" s="15">
        <v>32120.829732009581</v>
      </c>
    </row>
    <row r="105" spans="1:15">
      <c r="A105" s="15">
        <v>105</v>
      </c>
      <c r="B105" s="15">
        <v>89</v>
      </c>
      <c r="H105" s="14">
        <v>84</v>
      </c>
      <c r="I105" s="14">
        <v>124005.23499477659</v>
      </c>
      <c r="K105" s="14">
        <v>84</v>
      </c>
      <c r="L105" s="14">
        <v>64.045650763309141</v>
      </c>
      <c r="N105" s="14">
        <v>84</v>
      </c>
      <c r="O105" s="14">
        <v>32614.177440177496</v>
      </c>
    </row>
    <row r="106" spans="1:15">
      <c r="A106" s="14">
        <v>84</v>
      </c>
      <c r="B106" s="14">
        <v>95</v>
      </c>
      <c r="H106" s="15">
        <v>93</v>
      </c>
      <c r="I106" s="15">
        <v>90736.77275829202</v>
      </c>
      <c r="K106" s="15">
        <v>93</v>
      </c>
      <c r="L106" s="15">
        <v>35.399452050866167</v>
      </c>
      <c r="N106" s="15">
        <v>93</v>
      </c>
      <c r="O106" s="15">
        <v>27131.499980307104</v>
      </c>
    </row>
    <row r="107" spans="1:15">
      <c r="A107" s="15">
        <v>93</v>
      </c>
      <c r="B107" s="15">
        <v>96</v>
      </c>
      <c r="H107" s="14">
        <v>115</v>
      </c>
      <c r="I107" s="14">
        <v>91771.467857679949</v>
      </c>
      <c r="K107" s="14">
        <v>115</v>
      </c>
      <c r="L107" s="14">
        <v>28.150301131164525</v>
      </c>
      <c r="N107" s="14">
        <v>115</v>
      </c>
      <c r="O107" s="14">
        <v>29878.227038695084</v>
      </c>
    </row>
    <row r="108" spans="1:15">
      <c r="A108" s="14">
        <v>115</v>
      </c>
      <c r="B108" s="14">
        <v>103</v>
      </c>
      <c r="H108" s="15">
        <v>109</v>
      </c>
      <c r="I108" s="15">
        <v>123078.01468511495</v>
      </c>
      <c r="K108" s="15">
        <v>109</v>
      </c>
      <c r="L108" s="15">
        <v>92.889640111356599</v>
      </c>
      <c r="N108" s="15">
        <v>109</v>
      </c>
      <c r="O108" s="15">
        <v>40711.351793059323</v>
      </c>
    </row>
    <row r="109" spans="1:15">
      <c r="A109" s="15">
        <v>109</v>
      </c>
      <c r="B109" s="15">
        <v>82</v>
      </c>
      <c r="H109" s="14">
        <v>102</v>
      </c>
      <c r="I109" s="14">
        <v>62605.166006091589</v>
      </c>
      <c r="K109" s="14">
        <v>102</v>
      </c>
      <c r="L109" s="14">
        <v>85.640600338568731</v>
      </c>
      <c r="N109" s="14">
        <v>102</v>
      </c>
      <c r="O109" s="14">
        <v>38637.715850503555</v>
      </c>
    </row>
    <row r="110" spans="1:15">
      <c r="A110" s="14">
        <v>102</v>
      </c>
      <c r="B110" s="14">
        <v>83</v>
      </c>
      <c r="H110" s="15">
        <v>100</v>
      </c>
      <c r="I110" s="15">
        <v>92229.584496339812</v>
      </c>
      <c r="K110" s="15">
        <v>100</v>
      </c>
      <c r="L110" s="15">
        <v>80.802792144253914</v>
      </c>
      <c r="N110" s="15">
        <v>100</v>
      </c>
      <c r="O110" s="15">
        <v>32181.618348370161</v>
      </c>
    </row>
    <row r="111" spans="1:15">
      <c r="A111" s="15">
        <v>100</v>
      </c>
      <c r="B111" s="15">
        <v>78</v>
      </c>
      <c r="H111" s="14">
        <v>93</v>
      </c>
      <c r="I111" s="14">
        <v>103808.47779850116</v>
      </c>
      <c r="K111" s="14">
        <v>93</v>
      </c>
      <c r="L111" s="14">
        <v>23.901305505051234</v>
      </c>
      <c r="N111" s="14">
        <v>93</v>
      </c>
      <c r="O111" s="14">
        <v>30190.017390841</v>
      </c>
    </row>
    <row r="112" spans="1:15">
      <c r="A112" s="14">
        <v>93</v>
      </c>
      <c r="B112" s="14">
        <v>90</v>
      </c>
      <c r="H112" s="15">
        <f>IF(ISBLANK(H65), U66, H65)</f>
        <v>121</v>
      </c>
      <c r="I112" s="15">
        <v>108984.37442570069</v>
      </c>
      <c r="K112" s="15">
        <f>IF(ISBLANK(K65), X66, K65)</f>
        <v>121</v>
      </c>
      <c r="L112" s="15">
        <v>87.49830341682059</v>
      </c>
      <c r="N112" s="15">
        <f>IF(ISBLANK(N65), AA66, N65)</f>
        <v>121</v>
      </c>
      <c r="O112" s="15">
        <v>30600.156633591305</v>
      </c>
    </row>
    <row r="113" spans="1:15">
      <c r="A113" s="15">
        <f>IF(ISBLANK(A66), M67, A66)</f>
        <v>121</v>
      </c>
      <c r="B113" s="15">
        <v>89</v>
      </c>
      <c r="H113" s="14">
        <v>117</v>
      </c>
      <c r="I113" s="14">
        <v>100873.2838</v>
      </c>
      <c r="K113" s="14">
        <v>117</v>
      </c>
      <c r="L113" s="14">
        <v>55.043526072430701</v>
      </c>
      <c r="N113" s="14">
        <v>117</v>
      </c>
      <c r="O113" s="14">
        <v>33067.589863652087</v>
      </c>
    </row>
    <row r="114" spans="1:15">
      <c r="A114" s="14">
        <v>117</v>
      </c>
      <c r="B114" s="14">
        <v>98</v>
      </c>
      <c r="H114" s="15">
        <v>98</v>
      </c>
      <c r="I114" s="15">
        <v>100688.82023411682</v>
      </c>
      <c r="K114" s="15">
        <v>98</v>
      </c>
      <c r="L114" s="15">
        <v>47.391609863668769</v>
      </c>
      <c r="N114" s="15">
        <v>98</v>
      </c>
      <c r="O114" s="15">
        <v>24886.037174007972</v>
      </c>
    </row>
    <row r="115" spans="1:15">
      <c r="A115" s="15">
        <v>98</v>
      </c>
      <c r="B115" s="15">
        <v>87</v>
      </c>
      <c r="H115" s="14">
        <v>94</v>
      </c>
      <c r="I115" s="14">
        <v>50233.452931740212</v>
      </c>
      <c r="K115" s="14">
        <v>94</v>
      </c>
      <c r="L115" s="14">
        <v>63.718108882030116</v>
      </c>
      <c r="N115" s="14">
        <v>94</v>
      </c>
      <c r="O115" s="14">
        <v>28713.117312883274</v>
      </c>
    </row>
    <row r="116" spans="1:15">
      <c r="A116" s="14">
        <v>94</v>
      </c>
      <c r="B116" s="14">
        <v>108</v>
      </c>
      <c r="H116" s="15">
        <v>112</v>
      </c>
      <c r="I116" s="15">
        <v>86835.031753323041</v>
      </c>
      <c r="K116" s="15">
        <v>112</v>
      </c>
      <c r="L116" s="15">
        <v>27.308259417884464</v>
      </c>
      <c r="N116" s="15">
        <v>112</v>
      </c>
      <c r="O116" s="15">
        <v>21657.079630612054</v>
      </c>
    </row>
    <row r="117" spans="1:15">
      <c r="A117" s="15">
        <v>112</v>
      </c>
      <c r="B117" s="15">
        <v>98</v>
      </c>
      <c r="H117" s="14">
        <v>89</v>
      </c>
      <c r="I117" s="14">
        <v>109070.17425108935</v>
      </c>
      <c r="K117" s="14">
        <v>89</v>
      </c>
      <c r="L117" s="14">
        <v>80.53172394819191</v>
      </c>
      <c r="N117" s="14">
        <v>89</v>
      </c>
      <c r="O117" s="14">
        <v>31996.115613026395</v>
      </c>
    </row>
    <row r="118" spans="1:15">
      <c r="A118" s="14">
        <v>89</v>
      </c>
      <c r="B118" s="14">
        <v>87</v>
      </c>
      <c r="H118" s="15">
        <v>119</v>
      </c>
      <c r="I118" s="15">
        <v>80354.119314906406</v>
      </c>
      <c r="K118" s="15">
        <v>119</v>
      </c>
      <c r="L118" s="15">
        <v>66.594806151063665</v>
      </c>
      <c r="N118" s="15">
        <v>119</v>
      </c>
      <c r="O118" s="15">
        <v>33235.979698513707</v>
      </c>
    </row>
    <row r="119" spans="1:15">
      <c r="A119" s="15">
        <v>119</v>
      </c>
      <c r="B119" s="15">
        <v>95</v>
      </c>
      <c r="H119" s="14">
        <v>102</v>
      </c>
      <c r="I119" s="14">
        <f>IF(ISBLANK(I110), O121, I110)</f>
        <v>92229.584496339812</v>
      </c>
      <c r="K119" s="14">
        <v>102</v>
      </c>
      <c r="L119" s="14">
        <v>34.927207749853402</v>
      </c>
      <c r="N119" s="14">
        <v>102</v>
      </c>
      <c r="O119" s="14">
        <v>27584.067688503128</v>
      </c>
    </row>
    <row r="120" spans="1:15">
      <c r="A120" s="14">
        <v>102</v>
      </c>
      <c r="B120" s="14">
        <v>92</v>
      </c>
      <c r="H120" s="15">
        <v>87</v>
      </c>
      <c r="I120" s="15">
        <v>108937.45001605396</v>
      </c>
      <c r="K120" s="15">
        <v>87</v>
      </c>
      <c r="L120" s="15">
        <v>35.058575981523646</v>
      </c>
      <c r="N120" s="15">
        <v>87</v>
      </c>
      <c r="O120" s="15">
        <v>37869.933816450168</v>
      </c>
    </row>
    <row r="121" spans="1:15">
      <c r="A121" s="15">
        <v>87</v>
      </c>
      <c r="B121" s="15">
        <v>90</v>
      </c>
      <c r="H121" s="14">
        <v>113</v>
      </c>
      <c r="I121" s="14">
        <v>93149.015982844707</v>
      </c>
      <c r="K121" s="14">
        <v>113</v>
      </c>
      <c r="L121" s="14">
        <v>34.739892125813938</v>
      </c>
      <c r="N121" s="14">
        <v>113</v>
      </c>
      <c r="O121" s="14">
        <v>23871.171684988294</v>
      </c>
    </row>
    <row r="122" spans="1:15">
      <c r="A122" s="14">
        <v>113</v>
      </c>
      <c r="B122" s="14">
        <v>88</v>
      </c>
      <c r="H122" s="15">
        <v>106</v>
      </c>
      <c r="I122" s="15">
        <v>103409.27541993142</v>
      </c>
      <c r="K122" s="15">
        <v>106</v>
      </c>
      <c r="L122" s="15">
        <v>24.560191004154717</v>
      </c>
      <c r="N122" s="15">
        <v>106</v>
      </c>
      <c r="O122" s="15">
        <v>22678.125598950901</v>
      </c>
    </row>
    <row r="123" spans="1:15">
      <c r="A123" s="15">
        <v>106</v>
      </c>
      <c r="B123" s="15">
        <f>IF(ISBLANK(B113), G126, B113)</f>
        <v>89</v>
      </c>
      <c r="H123" s="14">
        <v>96</v>
      </c>
      <c r="I123" s="14">
        <v>80745.348694307759</v>
      </c>
      <c r="K123" s="14">
        <v>96</v>
      </c>
      <c r="L123" s="14">
        <v>67.023875949734787</v>
      </c>
      <c r="N123" s="14">
        <v>96</v>
      </c>
      <c r="O123" s="14">
        <f>IF(ISBLANK(O98), Y101, O98)</f>
        <v>26554.060909552161</v>
      </c>
    </row>
    <row r="124" spans="1:15">
      <c r="A124" s="14">
        <v>96</v>
      </c>
      <c r="B124" s="14">
        <v>87</v>
      </c>
      <c r="H124" s="15">
        <v>110</v>
      </c>
      <c r="I124" s="15">
        <v>95867.774406079072</v>
      </c>
      <c r="K124" s="15">
        <v>110</v>
      </c>
      <c r="L124" s="15">
        <v>87.227854207080654</v>
      </c>
      <c r="N124" s="15">
        <v>110</v>
      </c>
      <c r="O124" s="15">
        <v>35235.49151306077</v>
      </c>
    </row>
    <row r="125" spans="1:15">
      <c r="A125" s="15">
        <v>110</v>
      </c>
      <c r="B125" s="15">
        <v>81</v>
      </c>
      <c r="H125" s="14">
        <v>100</v>
      </c>
      <c r="I125" s="14">
        <v>100873.2838</v>
      </c>
      <c r="K125" s="14">
        <v>100</v>
      </c>
      <c r="L125" s="14">
        <v>21.399857118991086</v>
      </c>
      <c r="N125" s="14">
        <v>100</v>
      </c>
      <c r="O125" s="14">
        <v>38419.638457289344</v>
      </c>
    </row>
    <row r="126" spans="1:15">
      <c r="A126" s="14">
        <v>100</v>
      </c>
      <c r="B126" s="14">
        <v>105</v>
      </c>
      <c r="H126" s="15">
        <f>IF(ISBLANK(H79), U80, H79)</f>
        <v>84</v>
      </c>
      <c r="I126" s="15">
        <v>103139.45921936868</v>
      </c>
      <c r="K126" s="15">
        <f>IF(ISBLANK(K79), X80, K79)</f>
        <v>84</v>
      </c>
      <c r="L126" s="15">
        <v>23.920371597701884</v>
      </c>
      <c r="N126" s="15">
        <f>IF(ISBLANK(N79), AA80, N79)</f>
        <v>84</v>
      </c>
      <c r="O126" s="15">
        <v>27705.578685655299</v>
      </c>
    </row>
    <row r="127" spans="1:15">
      <c r="A127" s="15">
        <f>IF(ISBLANK(A80), M81, A80)</f>
        <v>84</v>
      </c>
      <c r="B127" s="15">
        <v>101</v>
      </c>
      <c r="H127" s="14">
        <v>106</v>
      </c>
      <c r="I127" s="14">
        <v>88269.374608721293</v>
      </c>
      <c r="K127" s="14">
        <v>106</v>
      </c>
      <c r="L127" s="14">
        <v>65.82162213495566</v>
      </c>
      <c r="N127" s="14">
        <v>106</v>
      </c>
      <c r="O127" s="14">
        <v>35393.404167156477</v>
      </c>
    </row>
    <row r="128" spans="1:15">
      <c r="A128" s="14">
        <v>106</v>
      </c>
      <c r="B128" s="14">
        <v>113</v>
      </c>
      <c r="H128" s="15">
        <v>114</v>
      </c>
      <c r="I128" s="15">
        <v>104484.32808581585</v>
      </c>
      <c r="K128" s="15">
        <v>114</v>
      </c>
      <c r="L128" s="15">
        <v>85.559654830884185</v>
      </c>
      <c r="N128" s="15">
        <v>114</v>
      </c>
      <c r="O128" s="15">
        <v>29807.457652496465</v>
      </c>
    </row>
    <row r="129" spans="1:15">
      <c r="A129" s="15">
        <v>114</v>
      </c>
      <c r="B129" s="15">
        <v>85</v>
      </c>
      <c r="H129" s="14">
        <v>96</v>
      </c>
      <c r="I129" s="14">
        <v>114292.19581273236</v>
      </c>
      <c r="K129" s="14">
        <v>96</v>
      </c>
      <c r="L129" s="14">
        <v>46.139111245490689</v>
      </c>
      <c r="N129" s="14">
        <v>96</v>
      </c>
      <c r="O129" s="14">
        <v>29136.863500295902</v>
      </c>
    </row>
    <row r="130" spans="1:15">
      <c r="A130" s="14">
        <v>96</v>
      </c>
      <c r="B130" s="14">
        <v>90</v>
      </c>
      <c r="H130" s="15">
        <v>102</v>
      </c>
      <c r="I130" s="15">
        <v>59001.174428450438</v>
      </c>
      <c r="K130" s="15">
        <v>102</v>
      </c>
      <c r="L130" s="15">
        <v>47.969151904617775</v>
      </c>
      <c r="N130" s="15">
        <v>102</v>
      </c>
      <c r="O130" s="15">
        <v>34418.299687433362</v>
      </c>
    </row>
    <row r="131" spans="1:15">
      <c r="A131" s="15">
        <v>102</v>
      </c>
      <c r="B131" s="15">
        <v>83</v>
      </c>
      <c r="H131" s="14">
        <f>IF(ISBLANK(H84), U85, H84)</f>
        <v>106</v>
      </c>
      <c r="I131" s="14">
        <v>123181.48129911795</v>
      </c>
      <c r="K131" s="14">
        <f>IF(ISBLANK(K84), X85, K84)</f>
        <v>106</v>
      </c>
      <c r="L131" s="14">
        <v>67.70771979974208</v>
      </c>
      <c r="N131" s="14">
        <f>IF(ISBLANK(N84), AA85, N84)</f>
        <v>106</v>
      </c>
      <c r="O131" s="14">
        <v>33261.614392067095</v>
      </c>
    </row>
    <row r="132" spans="1:15">
      <c r="A132" s="14">
        <f>IF(ISBLANK(A85), M86, A85)</f>
        <v>106</v>
      </c>
      <c r="B132" s="14">
        <v>99</v>
      </c>
      <c r="H132" s="15">
        <v>93</v>
      </c>
      <c r="I132" s="15">
        <v>93274.905226378556</v>
      </c>
      <c r="K132" s="15">
        <v>93</v>
      </c>
      <c r="L132" s="15">
        <v>41.937031129931761</v>
      </c>
      <c r="N132" s="15">
        <v>93</v>
      </c>
      <c r="O132" s="15">
        <v>22118.039215078752</v>
      </c>
    </row>
    <row r="133" spans="1:15">
      <c r="A133" s="15">
        <v>93</v>
      </c>
      <c r="B133" s="15">
        <v>84</v>
      </c>
      <c r="H133" s="14">
        <v>100</v>
      </c>
      <c r="I133" s="14">
        <v>108509.79866480461</v>
      </c>
      <c r="K133" s="14">
        <v>100</v>
      </c>
      <c r="L133" s="14">
        <v>22.128669286214731</v>
      </c>
      <c r="N133" s="14">
        <v>100</v>
      </c>
      <c r="O133" s="14">
        <v>37382.701748629479</v>
      </c>
    </row>
    <row r="134" spans="1:15">
      <c r="A134" s="14">
        <v>100</v>
      </c>
      <c r="B134" s="14">
        <f>IF(ISBLANK(B124), G137, B124)</f>
        <v>87</v>
      </c>
      <c r="H134" s="15">
        <v>111</v>
      </c>
      <c r="I134" s="15">
        <v>123944.93847290456</v>
      </c>
      <c r="K134" s="15">
        <v>111</v>
      </c>
      <c r="L134" s="15">
        <v>78.818281448127692</v>
      </c>
      <c r="N134" s="15">
        <v>111</v>
      </c>
      <c r="O134" s="15">
        <v>36900.456770737255</v>
      </c>
    </row>
    <row r="135" spans="1:15">
      <c r="A135" s="15">
        <v>111</v>
      </c>
      <c r="B135" s="15">
        <v>78</v>
      </c>
      <c r="H135" s="14">
        <v>87</v>
      </c>
      <c r="I135" s="14">
        <v>72566.526055390685</v>
      </c>
      <c r="K135" s="14">
        <v>87</v>
      </c>
      <c r="L135" s="14">
        <f>IF(ISBLANK(L114), P129, L114)</f>
        <v>47.391609863668769</v>
      </c>
      <c r="N135" s="14">
        <v>87</v>
      </c>
      <c r="O135" s="14">
        <f>IF(ISBLANK(O110), Y113, O110)</f>
        <v>32181.618348370161</v>
      </c>
    </row>
    <row r="136" spans="1:15">
      <c r="A136" s="14">
        <v>87</v>
      </c>
      <c r="B136" s="14">
        <v>110</v>
      </c>
      <c r="H136" s="15">
        <v>100</v>
      </c>
      <c r="I136" s="15">
        <v>85811.17995144907</v>
      </c>
      <c r="K136" s="15">
        <v>100</v>
      </c>
      <c r="L136" s="15">
        <v>66.460479924452727</v>
      </c>
      <c r="N136" s="15">
        <v>100</v>
      </c>
      <c r="O136" s="15">
        <v>31979.017667187047</v>
      </c>
    </row>
    <row r="137" spans="1:15">
      <c r="A137" s="15">
        <v>100</v>
      </c>
      <c r="B137" s="15">
        <v>85</v>
      </c>
      <c r="H137" s="14">
        <v>104</v>
      </c>
      <c r="I137" s="14">
        <v>100873.2838</v>
      </c>
      <c r="K137" s="14">
        <v>104</v>
      </c>
      <c r="L137" s="14">
        <v>79.334730319345852</v>
      </c>
      <c r="N137" s="14">
        <v>104</v>
      </c>
      <c r="O137" s="14">
        <v>32470.150931413693</v>
      </c>
    </row>
    <row r="138" spans="1:15">
      <c r="A138" s="14">
        <v>104</v>
      </c>
      <c r="B138" s="14">
        <v>94</v>
      </c>
      <c r="H138" s="15">
        <v>78</v>
      </c>
      <c r="I138" s="15">
        <v>84324.92957751143</v>
      </c>
      <c r="K138" s="15">
        <v>78</v>
      </c>
      <c r="L138" s="15">
        <v>74.018467004963</v>
      </c>
      <c r="N138" s="15">
        <v>78</v>
      </c>
      <c r="O138" s="15">
        <v>30599.02924</v>
      </c>
    </row>
    <row r="139" spans="1:15">
      <c r="A139" s="15">
        <v>78</v>
      </c>
      <c r="B139" s="15">
        <v>77</v>
      </c>
      <c r="H139" s="14">
        <v>101</v>
      </c>
      <c r="I139" s="14">
        <v>134698.73151673615</v>
      </c>
      <c r="K139" s="14">
        <v>101</v>
      </c>
      <c r="L139" s="14">
        <v>36.470559054265692</v>
      </c>
      <c r="N139" s="14">
        <v>101</v>
      </c>
      <c r="O139" s="14">
        <v>27248.474230772899</v>
      </c>
    </row>
    <row r="140" spans="1:15">
      <c r="A140" s="14">
        <v>101</v>
      </c>
      <c r="B140" s="14">
        <v>99</v>
      </c>
      <c r="H140" s="15">
        <v>100</v>
      </c>
      <c r="I140" s="15">
        <f>IF(ISBLANK(I131), O142, I131)</f>
        <v>123181.48129911795</v>
      </c>
      <c r="K140" s="15">
        <v>100</v>
      </c>
      <c r="L140" s="15">
        <v>48.198483755468089</v>
      </c>
      <c r="N140" s="15">
        <v>100</v>
      </c>
      <c r="O140" s="15">
        <v>26641.883160309742</v>
      </c>
    </row>
    <row r="141" spans="1:15">
      <c r="A141" s="15">
        <v>100</v>
      </c>
      <c r="B141" s="15">
        <v>85</v>
      </c>
      <c r="H141" s="14">
        <v>109</v>
      </c>
      <c r="I141" s="14">
        <v>88889.064410262668</v>
      </c>
      <c r="K141" s="14">
        <v>109</v>
      </c>
      <c r="L141" s="14">
        <v>30.08881133429</v>
      </c>
      <c r="N141" s="14">
        <v>109</v>
      </c>
      <c r="O141" s="14">
        <v>29872.229645042775</v>
      </c>
    </row>
    <row r="142" spans="1:15">
      <c r="A142" s="14">
        <v>109</v>
      </c>
      <c r="B142" s="14">
        <v>97</v>
      </c>
      <c r="H142" s="15">
        <v>98</v>
      </c>
      <c r="I142" s="15">
        <v>104087.78063205954</v>
      </c>
      <c r="K142" s="15">
        <v>98</v>
      </c>
      <c r="L142" s="15">
        <v>30.388561073430481</v>
      </c>
      <c r="N142" s="15">
        <v>98</v>
      </c>
      <c r="O142" s="15">
        <v>35863.645096296823</v>
      </c>
    </row>
    <row r="143" spans="1:15">
      <c r="A143" s="15">
        <v>98</v>
      </c>
      <c r="B143" s="15">
        <f>IF(ISBLANK(B133), G146, B133)</f>
        <v>84</v>
      </c>
      <c r="H143" s="14">
        <v>111</v>
      </c>
      <c r="I143" s="14">
        <v>75957.009478478227</v>
      </c>
      <c r="K143" s="14">
        <v>111</v>
      </c>
      <c r="L143" s="14">
        <v>74.095659708523129</v>
      </c>
      <c r="N143" s="14">
        <v>111</v>
      </c>
      <c r="O143" s="14">
        <v>32718.000772972162</v>
      </c>
    </row>
    <row r="144" spans="1:15">
      <c r="A144" s="14">
        <v>111</v>
      </c>
      <c r="B144" s="14">
        <v>102</v>
      </c>
      <c r="H144" s="15">
        <v>97</v>
      </c>
      <c r="I144" s="15">
        <f>IF(ISBLANK(I135), O146, I135)</f>
        <v>72566.526055390685</v>
      </c>
      <c r="K144" s="15">
        <v>97</v>
      </c>
      <c r="L144" s="15">
        <v>88.688008558599861</v>
      </c>
      <c r="N144" s="15">
        <v>97</v>
      </c>
      <c r="O144" s="15">
        <v>28146.928339569469</v>
      </c>
    </row>
    <row r="145" spans="1:15">
      <c r="A145" s="15">
        <v>97</v>
      </c>
      <c r="B145" s="15">
        <v>96</v>
      </c>
      <c r="H145" s="14">
        <v>88</v>
      </c>
      <c r="I145" s="14">
        <v>106349.06522500351</v>
      </c>
      <c r="K145" s="14">
        <v>88</v>
      </c>
      <c r="L145" s="14">
        <v>97.018606708891127</v>
      </c>
      <c r="N145" s="14">
        <v>88</v>
      </c>
      <c r="O145" s="14">
        <v>33858.493553241722</v>
      </c>
    </row>
    <row r="146" spans="1:15">
      <c r="A146" s="14">
        <v>88</v>
      </c>
      <c r="B146" s="14">
        <v>95</v>
      </c>
      <c r="H146" s="15">
        <v>101</v>
      </c>
      <c r="I146" s="15">
        <v>93342.79191234977</v>
      </c>
      <c r="K146" s="15">
        <v>101</v>
      </c>
      <c r="L146" s="15">
        <v>70.267769403955555</v>
      </c>
      <c r="N146" s="15">
        <v>101</v>
      </c>
      <c r="O146" s="15">
        <v>30599.02924</v>
      </c>
    </row>
    <row r="147" spans="1:15">
      <c r="A147" s="15">
        <v>101</v>
      </c>
      <c r="B147" s="15">
        <v>103</v>
      </c>
      <c r="H147" s="14">
        <v>105</v>
      </c>
      <c r="I147" s="14">
        <v>98132.262822001037</v>
      </c>
      <c r="K147" s="14">
        <v>105</v>
      </c>
      <c r="L147" s="14">
        <v>34.728105868876554</v>
      </c>
      <c r="N147" s="14">
        <v>105</v>
      </c>
      <c r="O147" s="14">
        <v>35743.828501860517</v>
      </c>
    </row>
    <row r="148" spans="1:15">
      <c r="A148" s="14">
        <v>105</v>
      </c>
      <c r="B148" s="14">
        <v>89</v>
      </c>
      <c r="H148" s="15">
        <v>102</v>
      </c>
      <c r="I148" s="15">
        <v>89413.357751032585</v>
      </c>
      <c r="K148" s="15">
        <v>102</v>
      </c>
      <c r="L148" s="15">
        <v>28.452027635914455</v>
      </c>
      <c r="N148" s="15">
        <v>102</v>
      </c>
      <c r="O148" s="15">
        <v>21301.4311061095</v>
      </c>
    </row>
    <row r="149" spans="1:15">
      <c r="A149" s="15">
        <v>102</v>
      </c>
      <c r="B149" s="15">
        <v>87</v>
      </c>
      <c r="H149" s="14">
        <v>98</v>
      </c>
      <c r="I149" s="14">
        <v>69710.593816384659</v>
      </c>
      <c r="K149" s="14">
        <v>98</v>
      </c>
      <c r="L149" s="14">
        <v>85.028077722940623</v>
      </c>
      <c r="N149" s="14">
        <v>98</v>
      </c>
      <c r="O149" s="14">
        <v>28187.795292984338</v>
      </c>
    </row>
    <row r="150" spans="1:15">
      <c r="A150" s="14">
        <v>98</v>
      </c>
      <c r="B150" s="14">
        <v>101</v>
      </c>
      <c r="H150" s="15">
        <v>96</v>
      </c>
      <c r="I150" s="15">
        <v>106431.86422678478</v>
      </c>
      <c r="K150" s="15">
        <v>96</v>
      </c>
      <c r="L150" s="15">
        <v>66.300518108799935</v>
      </c>
      <c r="N150" s="15">
        <v>96</v>
      </c>
      <c r="O150" s="15">
        <v>24401.650526869282</v>
      </c>
    </row>
    <row r="151" spans="1:15">
      <c r="A151" s="15">
        <v>96</v>
      </c>
      <c r="B151" s="15">
        <v>80</v>
      </c>
      <c r="H151" s="14">
        <v>76</v>
      </c>
      <c r="I151" s="14">
        <v>135098.66143294482</v>
      </c>
      <c r="K151" s="14">
        <v>76</v>
      </c>
      <c r="L151" s="14">
        <v>69.462801681097588</v>
      </c>
      <c r="N151" s="14">
        <v>76</v>
      </c>
      <c r="O151" s="14">
        <v>23526.59262139547</v>
      </c>
    </row>
    <row r="152" spans="1:15">
      <c r="A152" s="14">
        <v>76</v>
      </c>
      <c r="B152" s="14">
        <v>90</v>
      </c>
      <c r="H152" s="15">
        <v>112</v>
      </c>
      <c r="I152" s="15">
        <v>100368.03261566877</v>
      </c>
      <c r="K152" s="15">
        <v>112</v>
      </c>
      <c r="L152" s="15">
        <v>82.516967100376746</v>
      </c>
      <c r="N152" s="15">
        <v>112</v>
      </c>
      <c r="O152" s="15">
        <v>35804.133936892598</v>
      </c>
    </row>
    <row r="153" spans="1:15">
      <c r="A153" s="15">
        <v>112</v>
      </c>
      <c r="B153" s="15">
        <v>89</v>
      </c>
      <c r="H153" s="14">
        <v>99</v>
      </c>
      <c r="I153" s="14">
        <f>IF(ISBLANK(I144), O155, I144)</f>
        <v>72566.526055390685</v>
      </c>
      <c r="K153" s="14">
        <v>99</v>
      </c>
      <c r="L153" s="14">
        <v>76.262178218596119</v>
      </c>
      <c r="N153" s="14">
        <v>99</v>
      </c>
      <c r="O153" s="14">
        <v>27661.493993440545</v>
      </c>
    </row>
    <row r="154" spans="1:15">
      <c r="A154" s="14">
        <v>99</v>
      </c>
      <c r="B154" s="14">
        <v>100</v>
      </c>
      <c r="H154" s="15">
        <v>100</v>
      </c>
      <c r="I154" s="15">
        <v>113854.45510233719</v>
      </c>
      <c r="K154" s="15">
        <v>100</v>
      </c>
      <c r="L154" s="15">
        <v>86.756660228487732</v>
      </c>
      <c r="N154" s="15">
        <v>100</v>
      </c>
      <c r="O154" s="15">
        <v>31732.519408653578</v>
      </c>
    </row>
    <row r="155" spans="1:15">
      <c r="A155" s="15">
        <v>100</v>
      </c>
      <c r="B155" s="15">
        <v>76</v>
      </c>
      <c r="H155" s="14">
        <v>89</v>
      </c>
      <c r="I155" s="14">
        <v>74613.390069066023</v>
      </c>
      <c r="K155" s="14">
        <v>89</v>
      </c>
      <c r="L155" s="14">
        <v>24.497112436790278</v>
      </c>
      <c r="N155" s="14">
        <v>89</v>
      </c>
      <c r="O155" s="14">
        <v>29765.397105604079</v>
      </c>
    </row>
    <row r="156" spans="1:15">
      <c r="A156" s="14">
        <v>89</v>
      </c>
      <c r="B156" s="14">
        <v>95</v>
      </c>
      <c r="H156" s="15">
        <f>IF(ISBLANK(H109), U110, H109)</f>
        <v>102</v>
      </c>
      <c r="I156" s="15">
        <v>134050.2931625921</v>
      </c>
      <c r="K156" s="15">
        <f>IF(ISBLANK(K109), X110, K109)</f>
        <v>102</v>
      </c>
      <c r="L156" s="15">
        <v>79.801650939720389</v>
      </c>
      <c r="N156" s="15">
        <f>IF(ISBLANK(N109), AA110, N109)</f>
        <v>102</v>
      </c>
      <c r="O156" s="15">
        <v>32385.204136115608</v>
      </c>
    </row>
    <row r="157" spans="1:15">
      <c r="A157" s="15">
        <f>IF(ISBLANK(A110), M111, A110)</f>
        <v>102</v>
      </c>
      <c r="B157" s="15">
        <v>86</v>
      </c>
      <c r="H157" s="14">
        <v>104</v>
      </c>
      <c r="I157" s="14">
        <v>104046.57592845603</v>
      </c>
      <c r="K157" s="14">
        <v>104</v>
      </c>
      <c r="L157" s="14">
        <v>88.068220585767634</v>
      </c>
      <c r="N157" s="14">
        <v>104</v>
      </c>
      <c r="O157" s="14">
        <v>30384.109455301277</v>
      </c>
    </row>
    <row r="158" spans="1:15">
      <c r="A158" s="14">
        <v>104</v>
      </c>
      <c r="B158" s="14">
        <v>96</v>
      </c>
      <c r="H158" s="15">
        <v>96</v>
      </c>
      <c r="I158" s="15">
        <v>132637.13798178217</v>
      </c>
      <c r="K158" s="15">
        <v>96</v>
      </c>
      <c r="L158" s="15">
        <v>42.890803396665149</v>
      </c>
      <c r="N158" s="15">
        <v>96</v>
      </c>
      <c r="O158" s="15">
        <v>23585.038879057152</v>
      </c>
    </row>
    <row r="159" spans="1:15">
      <c r="A159" s="15">
        <v>96</v>
      </c>
      <c r="B159" s="15">
        <v>87</v>
      </c>
      <c r="H159" s="14">
        <v>100</v>
      </c>
      <c r="I159" s="14">
        <v>85339.340089520207</v>
      </c>
      <c r="K159" s="14">
        <v>100</v>
      </c>
      <c r="L159" s="14">
        <v>71.235781919460237</v>
      </c>
      <c r="N159" s="14">
        <v>100</v>
      </c>
      <c r="O159" s="14">
        <v>34981.334097235696</v>
      </c>
    </row>
    <row r="160" spans="1:15">
      <c r="A160" s="14">
        <v>100</v>
      </c>
      <c r="B160" s="14">
        <v>95</v>
      </c>
      <c r="H160" s="15">
        <v>105</v>
      </c>
      <c r="I160" s="15">
        <v>136361.2384511565</v>
      </c>
      <c r="K160" s="15">
        <v>105</v>
      </c>
      <c r="L160" s="15">
        <v>45.132965106957769</v>
      </c>
      <c r="N160" s="15">
        <v>105</v>
      </c>
      <c r="O160" s="15">
        <v>27531.217084193438</v>
      </c>
    </row>
    <row r="161" spans="1:15">
      <c r="A161" s="15">
        <v>105</v>
      </c>
      <c r="B161" s="15">
        <v>83</v>
      </c>
      <c r="H161" s="14">
        <v>81</v>
      </c>
      <c r="I161" s="14">
        <v>115503.10988069566</v>
      </c>
      <c r="K161" s="14">
        <v>81</v>
      </c>
      <c r="L161" s="14">
        <v>96.637685318596326</v>
      </c>
      <c r="N161" s="14">
        <v>81</v>
      </c>
      <c r="O161" s="14">
        <v>22217.090506701243</v>
      </c>
    </row>
    <row r="162" spans="1:15">
      <c r="A162" s="14">
        <v>81</v>
      </c>
      <c r="B162" s="14">
        <v>109</v>
      </c>
      <c r="H162" s="15">
        <v>120</v>
      </c>
      <c r="I162" s="15">
        <v>111060.80171704717</v>
      </c>
      <c r="K162" s="15">
        <v>120</v>
      </c>
      <c r="L162" s="15">
        <v>22.673885794840302</v>
      </c>
      <c r="N162" s="15">
        <v>120</v>
      </c>
      <c r="O162" s="15">
        <v>27859.424195170439</v>
      </c>
    </row>
    <row r="163" spans="1:15">
      <c r="A163" s="15">
        <v>120</v>
      </c>
      <c r="B163" s="15">
        <v>98</v>
      </c>
      <c r="H163" s="14">
        <v>97</v>
      </c>
      <c r="I163" s="14">
        <v>104680.48908706296</v>
      </c>
      <c r="K163" s="14">
        <v>97</v>
      </c>
      <c r="L163" s="14">
        <v>66.383427506636394</v>
      </c>
      <c r="N163" s="14">
        <v>97</v>
      </c>
      <c r="O163" s="14">
        <v>37503.798953171558</v>
      </c>
    </row>
    <row r="164" spans="1:15">
      <c r="A164" s="14">
        <v>97</v>
      </c>
      <c r="B164" s="14">
        <v>78</v>
      </c>
      <c r="H164" s="15">
        <v>99</v>
      </c>
      <c r="I164" s="15">
        <v>95029.427638511013</v>
      </c>
      <c r="K164" s="15">
        <v>99</v>
      </c>
      <c r="L164" s="15">
        <v>33.320283763961207</v>
      </c>
      <c r="N164" s="15">
        <v>99</v>
      </c>
      <c r="O164" s="15">
        <v>34251.108710567467</v>
      </c>
    </row>
    <row r="165" spans="1:15">
      <c r="A165" s="15">
        <v>99</v>
      </c>
      <c r="B165" s="15">
        <v>91</v>
      </c>
      <c r="H165" s="14">
        <v>120</v>
      </c>
      <c r="I165" s="14">
        <v>124010.63316947746</v>
      </c>
      <c r="K165" s="14">
        <v>120</v>
      </c>
      <c r="L165" s="14">
        <f>IF(ISBLANK(L144), P159, L144)</f>
        <v>88.688008558599861</v>
      </c>
      <c r="N165" s="14">
        <v>120</v>
      </c>
      <c r="O165" s="14">
        <v>28256.739327960706</v>
      </c>
    </row>
    <row r="166" spans="1:15">
      <c r="A166" s="14">
        <v>120</v>
      </c>
      <c r="B166" s="14">
        <v>86</v>
      </c>
      <c r="H166" s="15">
        <v>90</v>
      </c>
      <c r="I166" s="15">
        <v>102807.19739696094</v>
      </c>
      <c r="K166" s="15">
        <v>90</v>
      </c>
      <c r="L166" s="15">
        <v>34.071222673492969</v>
      </c>
      <c r="N166" s="15">
        <v>90</v>
      </c>
      <c r="O166" s="15">
        <v>28253.711478407855</v>
      </c>
    </row>
    <row r="167" spans="1:15">
      <c r="A167" s="15">
        <v>90</v>
      </c>
      <c r="B167" s="15">
        <v>86</v>
      </c>
      <c r="H167" s="14">
        <v>85</v>
      </c>
      <c r="I167" s="14">
        <v>60658.605928256955</v>
      </c>
      <c r="K167" s="14">
        <v>85</v>
      </c>
      <c r="L167" s="14">
        <v>38.830660951868609</v>
      </c>
      <c r="N167" s="14">
        <v>85</v>
      </c>
      <c r="O167" s="14">
        <v>28391.824743913086</v>
      </c>
    </row>
    <row r="168" spans="1:15">
      <c r="A168" s="14">
        <v>85</v>
      </c>
      <c r="B168" s="14">
        <v>88</v>
      </c>
      <c r="H168" s="15">
        <v>84</v>
      </c>
      <c r="I168" s="15">
        <v>77656.270765859954</v>
      </c>
      <c r="K168" s="15">
        <v>84</v>
      </c>
      <c r="L168" s="15">
        <v>59.549664883660647</v>
      </c>
      <c r="N168" s="15">
        <v>84</v>
      </c>
      <c r="O168" s="15">
        <v>40383.739917804203</v>
      </c>
    </row>
    <row r="169" spans="1:15">
      <c r="A169" s="15">
        <v>84</v>
      </c>
      <c r="B169" s="15">
        <v>90</v>
      </c>
      <c r="H169" s="14">
        <f>IF(ISBLANK(H122), U123, H122)</f>
        <v>106</v>
      </c>
      <c r="I169" s="14">
        <v>96283.08495614506</v>
      </c>
      <c r="K169" s="14">
        <f>IF(ISBLANK(K122), X123, K122)</f>
        <v>106</v>
      </c>
      <c r="L169" s="14">
        <v>93.186795999750245</v>
      </c>
      <c r="N169" s="14">
        <f>IF(ISBLANK(N122), AA123, N122)</f>
        <v>106</v>
      </c>
      <c r="O169" s="14">
        <v>31909.677261157765</v>
      </c>
    </row>
    <row r="170" spans="1:15">
      <c r="A170" s="14">
        <f>IF(ISBLANK(A123), M124, A123)</f>
        <v>106</v>
      </c>
      <c r="B170" s="14">
        <v>83</v>
      </c>
      <c r="H170" s="15">
        <v>112</v>
      </c>
      <c r="I170" s="15">
        <v>106199.9796633111</v>
      </c>
      <c r="K170" s="15">
        <v>112</v>
      </c>
      <c r="L170" s="15">
        <v>36.937149771837667</v>
      </c>
      <c r="N170" s="15">
        <v>112</v>
      </c>
      <c r="O170" s="15">
        <v>32150.20823595535</v>
      </c>
    </row>
    <row r="171" spans="1:15">
      <c r="A171" s="15">
        <v>112</v>
      </c>
      <c r="B171" s="15">
        <f>IF(ISBLANK(B161), G174, B161)</f>
        <v>83</v>
      </c>
      <c r="H171" s="14">
        <v>110</v>
      </c>
      <c r="I171" s="14">
        <v>98868.230222002079</v>
      </c>
      <c r="K171" s="14">
        <v>110</v>
      </c>
      <c r="L171" s="14">
        <v>31.539201689448284</v>
      </c>
      <c r="N171" s="14">
        <v>110</v>
      </c>
      <c r="O171" s="14">
        <v>35151.417270159211</v>
      </c>
    </row>
    <row r="172" spans="1:15">
      <c r="A172" s="14">
        <v>110</v>
      </c>
      <c r="B172" s="14">
        <v>88</v>
      </c>
      <c r="H172" s="15">
        <v>86</v>
      </c>
      <c r="I172" s="15">
        <v>124379.41579587327</v>
      </c>
      <c r="K172" s="15">
        <v>86</v>
      </c>
      <c r="L172" s="15">
        <v>80.718146548322451</v>
      </c>
      <c r="N172" s="15">
        <v>86</v>
      </c>
      <c r="O172" s="15">
        <v>31193.945795132568</v>
      </c>
    </row>
    <row r="173" spans="1:15">
      <c r="A173" s="15">
        <v>86</v>
      </c>
      <c r="B173" s="15">
        <v>99</v>
      </c>
      <c r="H173" s="14">
        <v>104</v>
      </c>
      <c r="I173" s="14">
        <v>60977.9627192275</v>
      </c>
      <c r="K173" s="14">
        <v>104</v>
      </c>
      <c r="L173" s="14">
        <v>60.04956258671448</v>
      </c>
      <c r="N173" s="14">
        <v>104</v>
      </c>
      <c r="O173" s="14">
        <v>30599.02924</v>
      </c>
    </row>
    <row r="174" spans="1:15">
      <c r="A174" s="14">
        <v>104</v>
      </c>
      <c r="B174" s="14">
        <v>100</v>
      </c>
      <c r="H174" s="15">
        <v>107</v>
      </c>
      <c r="I174" s="15">
        <v>102871.7587301032</v>
      </c>
      <c r="K174" s="15">
        <v>107</v>
      </c>
      <c r="L174" s="15">
        <v>92.942808990541707</v>
      </c>
      <c r="N174" s="15">
        <v>107</v>
      </c>
      <c r="O174" s="15">
        <v>29018.250754575107</v>
      </c>
    </row>
    <row r="175" spans="1:15">
      <c r="A175" s="15">
        <v>107</v>
      </c>
      <c r="B175" s="15">
        <v>88</v>
      </c>
      <c r="H175" s="14">
        <v>93</v>
      </c>
      <c r="I175" s="14">
        <v>63640.415492256907</v>
      </c>
      <c r="K175" s="14">
        <v>93</v>
      </c>
      <c r="L175" s="14">
        <v>31.729164572787383</v>
      </c>
      <c r="N175" s="14">
        <v>93</v>
      </c>
      <c r="O175" s="14">
        <v>29641.993702929682</v>
      </c>
    </row>
    <row r="176" spans="1:15">
      <c r="A176" s="14">
        <v>93</v>
      </c>
      <c r="B176" s="14">
        <v>83</v>
      </c>
      <c r="H176" s="15">
        <v>108</v>
      </c>
      <c r="I176" s="15">
        <v>115194.24590968336</v>
      </c>
      <c r="K176" s="15">
        <v>108</v>
      </c>
      <c r="L176" s="15">
        <v>71.674231441843148</v>
      </c>
      <c r="N176" s="15">
        <v>108</v>
      </c>
      <c r="O176" s="15">
        <v>29813.888817450792</v>
      </c>
    </row>
    <row r="177" spans="1:15">
      <c r="A177" s="15">
        <v>108</v>
      </c>
      <c r="B177" s="15">
        <v>90</v>
      </c>
      <c r="H177" s="14">
        <v>96</v>
      </c>
      <c r="I177" s="14">
        <v>98110.825711159938</v>
      </c>
      <c r="K177" s="14">
        <v>96</v>
      </c>
      <c r="L177" s="14">
        <v>38.630331692145205</v>
      </c>
      <c r="N177" s="14">
        <v>96</v>
      </c>
      <c r="O177" s="14">
        <v>33638.147718184897</v>
      </c>
    </row>
    <row r="178" spans="1:15">
      <c r="A178" s="14">
        <v>96</v>
      </c>
      <c r="B178" s="14">
        <v>88</v>
      </c>
      <c r="H178" s="15">
        <v>95</v>
      </c>
      <c r="I178" s="15">
        <f>IF(ISBLANK(I169), O180, I169)</f>
        <v>96283.08495614506</v>
      </c>
      <c r="K178" s="15">
        <v>95</v>
      </c>
      <c r="L178" s="15">
        <v>32.540834292131144</v>
      </c>
      <c r="N178" s="15">
        <v>95</v>
      </c>
      <c r="O178" s="15">
        <v>30259.729429036499</v>
      </c>
    </row>
    <row r="179" spans="1:15">
      <c r="A179" s="15">
        <v>95</v>
      </c>
      <c r="B179" s="15">
        <v>86</v>
      </c>
      <c r="H179" s="14">
        <v>112</v>
      </c>
      <c r="I179" s="14">
        <v>82722.340788204674</v>
      </c>
      <c r="K179" s="14">
        <v>112</v>
      </c>
      <c r="L179" s="14">
        <v>74.67435321258165</v>
      </c>
      <c r="N179" s="14">
        <v>112</v>
      </c>
      <c r="O179" s="14">
        <v>33663.200386077893</v>
      </c>
    </row>
    <row r="180" spans="1:15">
      <c r="A180" s="14">
        <v>112</v>
      </c>
      <c r="B180" s="14">
        <v>81</v>
      </c>
      <c r="H180" s="15">
        <v>108</v>
      </c>
      <c r="I180" s="15">
        <v>125589.29863315502</v>
      </c>
      <c r="K180" s="15">
        <v>108</v>
      </c>
      <c r="L180" s="15">
        <v>67.49476959269866</v>
      </c>
      <c r="N180" s="15">
        <v>108</v>
      </c>
      <c r="O180" s="15">
        <v>29596.417099457089</v>
      </c>
    </row>
    <row r="181" spans="1:15">
      <c r="A181" s="15">
        <v>108</v>
      </c>
      <c r="B181" s="15">
        <v>82</v>
      </c>
      <c r="H181" s="14">
        <v>85</v>
      </c>
      <c r="I181" s="14">
        <v>120834.49328117703</v>
      </c>
      <c r="K181" s="14">
        <v>85</v>
      </c>
      <c r="L181" s="14">
        <v>80.3861966689865</v>
      </c>
      <c r="N181" s="14">
        <v>85</v>
      </c>
      <c r="O181" s="14">
        <v>30393.175951580452</v>
      </c>
    </row>
    <row r="182" spans="1:15">
      <c r="A182" s="14">
        <v>85</v>
      </c>
      <c r="B182" s="14">
        <v>106</v>
      </c>
      <c r="H182" s="15">
        <f>IF(ISBLANK(H135), U136, H135)</f>
        <v>87</v>
      </c>
      <c r="I182" s="15">
        <v>111670.88606023775</v>
      </c>
      <c r="K182" s="15">
        <f>IF(ISBLANK(K135), X136, K135)</f>
        <v>87</v>
      </c>
      <c r="L182" s="15">
        <v>44.757006115694587</v>
      </c>
      <c r="N182" s="15">
        <f>IF(ISBLANK(N135), AA136, N135)</f>
        <v>87</v>
      </c>
      <c r="O182" s="15">
        <v>20008.996577339462</v>
      </c>
    </row>
    <row r="183" spans="1:15">
      <c r="A183" s="15">
        <f>IF(ISBLANK(A136), M137, A136)</f>
        <v>87</v>
      </c>
      <c r="B183" s="15">
        <v>97</v>
      </c>
      <c r="H183" s="14">
        <v>95</v>
      </c>
      <c r="I183" s="14">
        <f>IF(ISBLANK(I174), O185, I174)</f>
        <v>102871.7587301032</v>
      </c>
      <c r="K183" s="14">
        <v>95</v>
      </c>
      <c r="L183" s="14">
        <v>55.837732510575194</v>
      </c>
      <c r="N183" s="14">
        <v>95</v>
      </c>
      <c r="O183" s="14">
        <v>34581.638373512411</v>
      </c>
    </row>
    <row r="184" spans="1:15">
      <c r="A184" s="14">
        <v>95</v>
      </c>
      <c r="B184" s="14">
        <v>77</v>
      </c>
      <c r="H184" s="15">
        <v>97</v>
      </c>
      <c r="I184" s="15">
        <v>111597.14570590264</v>
      </c>
      <c r="K184" s="15">
        <v>97</v>
      </c>
      <c r="L184" s="15">
        <v>52.437734106433481</v>
      </c>
      <c r="N184" s="15">
        <v>97</v>
      </c>
      <c r="O184" s="15">
        <v>31732.442379489963</v>
      </c>
    </row>
    <row r="185" spans="1:15">
      <c r="A185" s="15">
        <v>97</v>
      </c>
      <c r="B185" s="15">
        <v>88</v>
      </c>
      <c r="H185" s="14">
        <v>116</v>
      </c>
      <c r="I185" s="14">
        <v>85862.148640253028</v>
      </c>
      <c r="K185" s="14">
        <v>116</v>
      </c>
      <c r="L185" s="14">
        <v>62.2965856</v>
      </c>
      <c r="N185" s="14">
        <v>116</v>
      </c>
      <c r="O185" s="14">
        <v>34990.050549298263</v>
      </c>
    </row>
    <row r="186" spans="1:15">
      <c r="A186" s="14">
        <v>116</v>
      </c>
      <c r="B186" s="14">
        <v>90</v>
      </c>
      <c r="H186" s="15">
        <v>95</v>
      </c>
      <c r="I186" s="15">
        <v>117111.11318041425</v>
      </c>
      <c r="K186" s="15">
        <v>95</v>
      </c>
      <c r="L186" s="15">
        <v>43.379916539151033</v>
      </c>
      <c r="N186" s="15">
        <v>95</v>
      </c>
      <c r="O186" s="15">
        <v>30599.02924</v>
      </c>
    </row>
    <row r="187" spans="1:15">
      <c r="A187" s="15">
        <v>95</v>
      </c>
      <c r="B187" s="15">
        <v>86</v>
      </c>
      <c r="H187" s="14">
        <v>123</v>
      </c>
      <c r="I187" s="14">
        <v>132989.61788647843</v>
      </c>
      <c r="K187" s="14">
        <v>123</v>
      </c>
      <c r="L187" s="14">
        <v>43.58537906774135</v>
      </c>
      <c r="N187" s="14">
        <v>123</v>
      </c>
      <c r="O187" s="14">
        <v>40441.87352390364</v>
      </c>
    </row>
    <row r="188" spans="1:15">
      <c r="A188" s="14">
        <v>123</v>
      </c>
      <c r="B188" s="14">
        <v>96</v>
      </c>
      <c r="H188" s="15">
        <v>104</v>
      </c>
      <c r="I188" s="15">
        <v>121412.21119958372</v>
      </c>
      <c r="K188" s="15">
        <v>104</v>
      </c>
      <c r="L188" s="15">
        <f>IF(ISBLANK(L167), P182, L167)</f>
        <v>38.830660951868609</v>
      </c>
      <c r="N188" s="15">
        <v>104</v>
      </c>
      <c r="O188" s="15">
        <v>29302.051859224131</v>
      </c>
    </row>
    <row r="189" spans="1:15">
      <c r="A189" s="15">
        <v>104</v>
      </c>
      <c r="B189" s="15">
        <v>82</v>
      </c>
      <c r="H189" s="14">
        <v>94</v>
      </c>
      <c r="I189" s="14">
        <v>85407.950603851816</v>
      </c>
      <c r="K189" s="14">
        <v>94</v>
      </c>
      <c r="L189" s="14">
        <v>65.16752650322573</v>
      </c>
      <c r="N189" s="14">
        <v>94</v>
      </c>
      <c r="O189" s="14">
        <v>35540.914083687581</v>
      </c>
    </row>
    <row r="190" spans="1:15">
      <c r="A190" s="14">
        <v>94</v>
      </c>
      <c r="B190" s="14">
        <v>80</v>
      </c>
      <c r="H190" s="15">
        <v>105</v>
      </c>
      <c r="I190" s="15">
        <v>100873.2838</v>
      </c>
      <c r="K190" s="15">
        <v>105</v>
      </c>
      <c r="L190" s="15">
        <v>40.185819541099619</v>
      </c>
      <c r="N190" s="15">
        <v>105</v>
      </c>
      <c r="O190" s="15">
        <v>24800.470364372348</v>
      </c>
    </row>
    <row r="191" spans="1:15">
      <c r="A191" s="15">
        <v>105</v>
      </c>
      <c r="B191" s="15">
        <v>87</v>
      </c>
      <c r="H191" s="14">
        <v>109</v>
      </c>
      <c r="I191" s="14">
        <v>74137.169124827051</v>
      </c>
      <c r="K191" s="14">
        <v>109</v>
      </c>
      <c r="L191" s="14">
        <v>93.223195230341915</v>
      </c>
      <c r="N191" s="14">
        <v>109</v>
      </c>
      <c r="O191" s="14">
        <v>33063.869525312846</v>
      </c>
    </row>
    <row r="192" spans="1:15">
      <c r="A192" s="14">
        <v>109</v>
      </c>
      <c r="B192" s="14">
        <v>85</v>
      </c>
      <c r="H192" s="15">
        <v>84</v>
      </c>
      <c r="I192" s="15">
        <v>111447.80622351351</v>
      </c>
      <c r="K192" s="15">
        <v>84</v>
      </c>
      <c r="L192" s="15">
        <v>41.254845189301079</v>
      </c>
      <c r="N192" s="15">
        <v>84</v>
      </c>
      <c r="O192" s="15">
        <v>24732.922184131719</v>
      </c>
    </row>
    <row r="193" spans="1:15">
      <c r="A193" s="15">
        <v>84</v>
      </c>
      <c r="B193" s="15">
        <v>95</v>
      </c>
      <c r="H193" s="14">
        <v>79</v>
      </c>
      <c r="I193" s="14">
        <v>109012.06825725078</v>
      </c>
      <c r="K193" s="14">
        <v>79</v>
      </c>
      <c r="L193" s="14">
        <v>91.66525852481557</v>
      </c>
      <c r="N193" s="14">
        <v>79</v>
      </c>
      <c r="O193" s="14">
        <v>26881.155196520973</v>
      </c>
    </row>
    <row r="194" spans="1:15">
      <c r="A194" s="14">
        <v>79</v>
      </c>
      <c r="B194" s="14">
        <v>97</v>
      </c>
      <c r="H194" s="15">
        <v>98</v>
      </c>
      <c r="I194" s="15">
        <v>62603.673209356719</v>
      </c>
      <c r="K194" s="15">
        <v>98</v>
      </c>
      <c r="L194" s="15">
        <v>28.278005091726772</v>
      </c>
      <c r="N194" s="15">
        <v>98</v>
      </c>
      <c r="O194" s="15">
        <v>39570.156769333931</v>
      </c>
    </row>
    <row r="195" spans="1:15">
      <c r="A195" s="15">
        <v>98</v>
      </c>
      <c r="B195" s="15">
        <v>102</v>
      </c>
      <c r="H195" s="14">
        <v>96</v>
      </c>
      <c r="I195" s="14">
        <v>76764.323121752721</v>
      </c>
      <c r="K195" s="14">
        <v>96</v>
      </c>
      <c r="L195" s="14">
        <v>72.525016191972185</v>
      </c>
      <c r="N195" s="14">
        <v>96</v>
      </c>
      <c r="O195" s="14">
        <v>29046.587996183269</v>
      </c>
    </row>
    <row r="196" spans="1:15">
      <c r="A196" s="14">
        <v>96</v>
      </c>
      <c r="B196" s="14">
        <v>96</v>
      </c>
      <c r="H196" s="15">
        <v>88</v>
      </c>
      <c r="I196" s="15">
        <v>94337.222065124661</v>
      </c>
      <c r="K196" s="15">
        <v>88</v>
      </c>
      <c r="L196" s="15">
        <v>62.2965856</v>
      </c>
      <c r="N196" s="15">
        <v>88</v>
      </c>
      <c r="O196" s="15">
        <v>31087.164365898614</v>
      </c>
    </row>
    <row r="197" spans="1:15">
      <c r="A197" s="15">
        <v>88</v>
      </c>
      <c r="B197" s="15">
        <v>82</v>
      </c>
      <c r="H197" s="14">
        <v>103</v>
      </c>
      <c r="I197" s="14">
        <v>93982.805057183476</v>
      </c>
      <c r="K197" s="14">
        <v>103</v>
      </c>
      <c r="L197" s="14">
        <v>33.499955071858366</v>
      </c>
      <c r="N197" s="14">
        <v>103</v>
      </c>
      <c r="O197" s="14">
        <v>34350.338653443774</v>
      </c>
    </row>
    <row r="198" spans="1:15">
      <c r="A198" s="14">
        <v>103</v>
      </c>
      <c r="B198" s="14">
        <v>85</v>
      </c>
      <c r="H198" s="15">
        <v>83</v>
      </c>
      <c r="I198" s="15">
        <v>75810.461291623898</v>
      </c>
      <c r="K198" s="15">
        <v>83</v>
      </c>
      <c r="L198" s="15">
        <v>97.466156807940393</v>
      </c>
      <c r="N198" s="15">
        <v>83</v>
      </c>
      <c r="O198" s="15">
        <v>32478.409439863022</v>
      </c>
    </row>
    <row r="199" spans="1:15">
      <c r="A199" s="15">
        <v>83</v>
      </c>
      <c r="B199" s="15">
        <v>82</v>
      </c>
      <c r="H199" s="14">
        <v>82</v>
      </c>
      <c r="I199" s="14">
        <v>107779.57458704368</v>
      </c>
      <c r="K199" s="14">
        <v>82</v>
      </c>
      <c r="L199" s="14">
        <v>56.230668833240934</v>
      </c>
      <c r="N199" s="14">
        <v>82</v>
      </c>
      <c r="O199" s="14">
        <v>30752.094525717883</v>
      </c>
    </row>
    <row r="200" spans="1:15">
      <c r="A200" s="14">
        <v>82</v>
      </c>
      <c r="B200" s="14">
        <f>IF(ISBLANK(B190), G203, B190)</f>
        <v>80</v>
      </c>
      <c r="H200" s="15">
        <v>106</v>
      </c>
      <c r="I200" s="15">
        <v>105029.47217881025</v>
      </c>
      <c r="K200" s="15">
        <v>106</v>
      </c>
      <c r="L200" s="15">
        <f>IF(ISBLANK(L179), P194, L179)</f>
        <v>74.67435321258165</v>
      </c>
      <c r="N200" s="15">
        <v>106</v>
      </c>
      <c r="O200" s="15">
        <v>31824.805012331126</v>
      </c>
    </row>
    <row r="201" spans="1:15">
      <c r="A201" s="15">
        <v>106</v>
      </c>
      <c r="B201" s="15">
        <v>91</v>
      </c>
      <c r="H201" s="14">
        <v>96</v>
      </c>
      <c r="I201" s="14">
        <v>96114.61736042962</v>
      </c>
      <c r="K201" s="14">
        <v>96</v>
      </c>
      <c r="L201" s="14">
        <v>74.145603490403758</v>
      </c>
      <c r="N201" s="14">
        <v>96</v>
      </c>
      <c r="O201" s="14">
        <v>42017.077926191378</v>
      </c>
    </row>
    <row r="202" spans="1:15">
      <c r="A202" s="14">
        <v>96</v>
      </c>
      <c r="B202" s="14">
        <v>88</v>
      </c>
      <c r="H202" s="15">
        <v>96</v>
      </c>
      <c r="I202" s="15">
        <v>84884.169996832745</v>
      </c>
      <c r="K202" s="15">
        <v>96</v>
      </c>
      <c r="L202" s="15">
        <v>44.12694958988412</v>
      </c>
      <c r="N202" s="15">
        <v>96</v>
      </c>
      <c r="O202" s="15">
        <v>29711.906014832071</v>
      </c>
    </row>
    <row r="203" spans="1:15">
      <c r="A203" s="15">
        <v>96</v>
      </c>
      <c r="B203" s="15">
        <v>90</v>
      </c>
      <c r="H203" s="14">
        <v>109</v>
      </c>
      <c r="I203" s="14">
        <v>120974.14252833127</v>
      </c>
      <c r="K203" s="14">
        <v>109</v>
      </c>
      <c r="L203" s="14">
        <v>35.064201993368513</v>
      </c>
      <c r="N203" s="14">
        <v>109</v>
      </c>
      <c r="O203" s="14">
        <v>31005.495233574838</v>
      </c>
    </row>
    <row r="204" spans="1:15">
      <c r="A204" s="14">
        <v>109</v>
      </c>
      <c r="B204" s="14">
        <v>89</v>
      </c>
      <c r="H204" s="15">
        <v>98</v>
      </c>
      <c r="I204" s="15">
        <v>133108.1422617659</v>
      </c>
      <c r="K204" s="15">
        <v>98</v>
      </c>
      <c r="L204" s="15">
        <v>44.298803698007951</v>
      </c>
      <c r="N204" s="15">
        <v>98</v>
      </c>
      <c r="O204" s="15">
        <v>35253.271980038058</v>
      </c>
    </row>
    <row r="205" spans="1:15">
      <c r="A205" s="15">
        <v>98</v>
      </c>
      <c r="B205" s="15">
        <v>84</v>
      </c>
      <c r="H205" s="14">
        <v>86</v>
      </c>
      <c r="I205" s="14">
        <f>IF(ISBLANK(I196), O207, I196)</f>
        <v>94337.222065124661</v>
      </c>
      <c r="K205" s="14">
        <v>86</v>
      </c>
      <c r="L205" s="14">
        <v>27.441392741013999</v>
      </c>
      <c r="N205" s="14">
        <v>86</v>
      </c>
      <c r="O205" s="14">
        <v>35527.629664789922</v>
      </c>
    </row>
    <row r="206" spans="1:15">
      <c r="A206" s="14">
        <v>86</v>
      </c>
      <c r="B206" s="14">
        <v>79</v>
      </c>
      <c r="H206" s="15">
        <v>79</v>
      </c>
      <c r="I206" s="15">
        <v>87756.661656903583</v>
      </c>
      <c r="K206" s="15">
        <v>79</v>
      </c>
      <c r="L206" s="15">
        <v>31.509437307466381</v>
      </c>
      <c r="N206" s="15">
        <v>79</v>
      </c>
      <c r="O206" s="15">
        <v>35935.1515278019</v>
      </c>
    </row>
    <row r="207" spans="1:15">
      <c r="A207" s="15">
        <v>79</v>
      </c>
      <c r="B207" s="15">
        <v>77</v>
      </c>
      <c r="H207" s="14">
        <v>86</v>
      </c>
      <c r="I207" s="14">
        <v>109824.15330823993</v>
      </c>
      <c r="K207" s="14">
        <v>86</v>
      </c>
      <c r="L207" s="14">
        <v>28.37283522771849</v>
      </c>
      <c r="N207" s="14">
        <v>86</v>
      </c>
      <c r="O207" s="14">
        <f>IF(ISBLANK(O182), Y185, O182)</f>
        <v>20008.996577339462</v>
      </c>
    </row>
    <row r="208" spans="1:15">
      <c r="A208" s="14">
        <v>86</v>
      </c>
      <c r="B208" s="14">
        <v>77</v>
      </c>
      <c r="H208" s="15">
        <v>108</v>
      </c>
      <c r="I208" s="15">
        <v>92839.41240506027</v>
      </c>
      <c r="K208" s="15">
        <v>108</v>
      </c>
      <c r="L208" s="15">
        <v>53.835483499324617</v>
      </c>
      <c r="N208" s="15">
        <v>108</v>
      </c>
      <c r="O208" s="15">
        <v>24284.97543634758</v>
      </c>
    </row>
    <row r="209" spans="1:15">
      <c r="A209" s="15">
        <v>108</v>
      </c>
      <c r="B209" s="15">
        <v>105</v>
      </c>
      <c r="H209" s="14">
        <v>127</v>
      </c>
      <c r="I209" s="14">
        <v>97212.055986735315</v>
      </c>
      <c r="K209" s="14">
        <v>127</v>
      </c>
      <c r="L209" s="14">
        <v>83.646270100606912</v>
      </c>
      <c r="N209" s="14">
        <v>127</v>
      </c>
      <c r="O209" s="14">
        <v>38167.15766150548</v>
      </c>
    </row>
    <row r="210" spans="1:15">
      <c r="A210" s="14">
        <v>127</v>
      </c>
      <c r="B210" s="14">
        <v>100</v>
      </c>
      <c r="H210" s="15">
        <v>93</v>
      </c>
      <c r="I210" s="15">
        <v>114793.06303449343</v>
      </c>
      <c r="K210" s="15">
        <v>93</v>
      </c>
      <c r="L210" s="15">
        <v>31.310684337307215</v>
      </c>
      <c r="N210" s="15">
        <v>93</v>
      </c>
      <c r="O210" s="15">
        <v>24268.27303490656</v>
      </c>
    </row>
    <row r="211" spans="1:15">
      <c r="A211" s="15">
        <v>93</v>
      </c>
      <c r="B211" s="15">
        <v>82</v>
      </c>
      <c r="H211" s="14">
        <v>82</v>
      </c>
      <c r="I211" s="14">
        <v>61812.87824985414</v>
      </c>
      <c r="K211" s="14">
        <v>82</v>
      </c>
      <c r="L211" s="14">
        <v>30.425634653786872</v>
      </c>
      <c r="N211" s="14">
        <v>82</v>
      </c>
      <c r="O211" s="14">
        <v>31513.177326195168</v>
      </c>
    </row>
    <row r="212" spans="1:15">
      <c r="A212" s="14">
        <v>82</v>
      </c>
      <c r="B212" s="14">
        <v>105</v>
      </c>
      <c r="H212" s="15">
        <v>104</v>
      </c>
      <c r="I212" s="15">
        <v>126366.04649705338</v>
      </c>
      <c r="K212" s="15">
        <v>104</v>
      </c>
      <c r="L212" s="15">
        <v>71.474315961386452</v>
      </c>
      <c r="N212" s="15">
        <v>104</v>
      </c>
      <c r="O212" s="15">
        <v>26228.62074990321</v>
      </c>
    </row>
    <row r="213" spans="1:15">
      <c r="A213" s="15">
        <v>104</v>
      </c>
      <c r="B213" s="15">
        <v>103</v>
      </c>
      <c r="H213" s="14">
        <v>99</v>
      </c>
      <c r="I213" s="14">
        <v>101453.61048658683</v>
      </c>
      <c r="K213" s="14">
        <v>99</v>
      </c>
      <c r="L213" s="14">
        <v>35.7746385574453</v>
      </c>
      <c r="N213" s="14">
        <v>99</v>
      </c>
      <c r="O213" s="14">
        <v>29679.308267035038</v>
      </c>
    </row>
    <row r="214" spans="1:15">
      <c r="A214" s="14">
        <v>99</v>
      </c>
      <c r="B214" s="14">
        <v>84</v>
      </c>
      <c r="H214" s="15">
        <v>102</v>
      </c>
      <c r="I214" s="15">
        <v>91770.137108756389</v>
      </c>
      <c r="K214" s="15">
        <v>102</v>
      </c>
      <c r="L214" s="15">
        <v>27.808803048719327</v>
      </c>
      <c r="N214" s="15">
        <v>102</v>
      </c>
      <c r="O214" s="15">
        <v>31643.812051517401</v>
      </c>
    </row>
    <row r="215" spans="1:15">
      <c r="A215" s="15">
        <v>102</v>
      </c>
      <c r="B215" s="15">
        <v>89</v>
      </c>
      <c r="H215" s="14">
        <v>76</v>
      </c>
      <c r="I215" s="14">
        <v>98215.31691557102</v>
      </c>
      <c r="K215" s="14">
        <v>76</v>
      </c>
      <c r="L215" s="14">
        <v>33.347886256446209</v>
      </c>
      <c r="N215" s="14">
        <v>76</v>
      </c>
      <c r="O215" s="14">
        <f>IF(ISBLANK(O190), Y193, O190)</f>
        <v>24800.470364372348</v>
      </c>
    </row>
    <row r="216" spans="1:15">
      <c r="A216" s="14">
        <v>76</v>
      </c>
      <c r="B216" s="14">
        <v>91</v>
      </c>
      <c r="H216" s="15">
        <v>99</v>
      </c>
      <c r="I216" s="15">
        <v>99248.587100410368</v>
      </c>
      <c r="K216" s="15">
        <v>99</v>
      </c>
      <c r="L216" s="15">
        <v>93.898511670142085</v>
      </c>
      <c r="N216" s="15">
        <v>99</v>
      </c>
      <c r="O216" s="15">
        <v>32109.603771176422</v>
      </c>
    </row>
    <row r="217" spans="1:15">
      <c r="A217" s="15">
        <v>99</v>
      </c>
      <c r="B217" s="15">
        <v>95</v>
      </c>
      <c r="H217" s="14">
        <v>93</v>
      </c>
      <c r="I217" s="14">
        <v>65375.973931101493</v>
      </c>
      <c r="K217" s="14">
        <v>93</v>
      </c>
      <c r="L217" s="14">
        <v>85.71770022209526</v>
      </c>
      <c r="N217" s="14">
        <v>93</v>
      </c>
      <c r="O217" s="14">
        <v>38068.556345293233</v>
      </c>
    </row>
    <row r="218" spans="1:15">
      <c r="A218" s="14">
        <v>93</v>
      </c>
      <c r="B218" s="14">
        <v>85</v>
      </c>
      <c r="H218" s="15">
        <v>99</v>
      </c>
      <c r="I218" s="15">
        <v>129898.76454906471</v>
      </c>
      <c r="K218" s="15">
        <v>99</v>
      </c>
      <c r="L218" s="15">
        <v>48.325164988407529</v>
      </c>
      <c r="N218" s="15">
        <v>99</v>
      </c>
      <c r="O218" s="15">
        <v>32267.671507569899</v>
      </c>
    </row>
    <row r="219" spans="1:15">
      <c r="A219" s="15">
        <v>99</v>
      </c>
      <c r="B219" s="15">
        <v>99</v>
      </c>
      <c r="H219" s="14">
        <v>102</v>
      </c>
      <c r="I219" s="14">
        <v>100826.51264541237</v>
      </c>
      <c r="K219" s="14">
        <v>102</v>
      </c>
      <c r="L219" s="14">
        <v>72.465661386191428</v>
      </c>
      <c r="N219" s="14">
        <v>102</v>
      </c>
      <c r="O219" s="14">
        <v>28779.216823546758</v>
      </c>
    </row>
    <row r="220" spans="1:15">
      <c r="A220" s="14">
        <v>102</v>
      </c>
      <c r="B220" s="14">
        <v>94</v>
      </c>
      <c r="H220" s="15">
        <v>106</v>
      </c>
      <c r="I220" s="15">
        <v>108860.04260894751</v>
      </c>
      <c r="K220" s="15">
        <v>106</v>
      </c>
      <c r="L220" s="15">
        <v>62.982053893443045</v>
      </c>
      <c r="N220" s="15">
        <v>106</v>
      </c>
      <c r="O220" s="15">
        <v>34820.435841441787</v>
      </c>
    </row>
    <row r="221" spans="1:15">
      <c r="A221" s="15">
        <v>106</v>
      </c>
      <c r="B221" s="15">
        <v>91</v>
      </c>
      <c r="H221" s="14">
        <v>94</v>
      </c>
      <c r="I221" s="14">
        <v>119030.99541148086</v>
      </c>
      <c r="K221" s="14">
        <v>94</v>
      </c>
      <c r="L221" s="14">
        <v>74.16994107860512</v>
      </c>
      <c r="N221" s="14">
        <v>94</v>
      </c>
      <c r="O221" s="14">
        <v>35947.352444623204</v>
      </c>
    </row>
    <row r="222" spans="1:15">
      <c r="A222" s="14">
        <v>94</v>
      </c>
      <c r="B222" s="14">
        <v>87</v>
      </c>
      <c r="H222" s="15">
        <v>105</v>
      </c>
      <c r="I222" s="15">
        <v>79576.750848793992</v>
      </c>
      <c r="K222" s="15">
        <v>105</v>
      </c>
      <c r="L222" s="15">
        <v>74.613692197020754</v>
      </c>
      <c r="N222" s="15">
        <v>105</v>
      </c>
      <c r="O222" s="15">
        <v>23861.960924315037</v>
      </c>
    </row>
    <row r="223" spans="1:15">
      <c r="A223" s="15">
        <v>105</v>
      </c>
      <c r="B223" s="15">
        <v>66</v>
      </c>
      <c r="H223" s="14">
        <v>100</v>
      </c>
      <c r="I223" s="14">
        <v>109469.43798070456</v>
      </c>
      <c r="K223" s="14">
        <v>100</v>
      </c>
      <c r="L223" s="14">
        <v>70.298721204799435</v>
      </c>
      <c r="N223" s="14">
        <v>100</v>
      </c>
      <c r="O223" s="14">
        <v>32987.000349249291</v>
      </c>
    </row>
    <row r="224" spans="1:15">
      <c r="A224" s="14">
        <v>100</v>
      </c>
      <c r="B224" s="14">
        <v>86</v>
      </c>
      <c r="H224" s="15">
        <v>122</v>
      </c>
      <c r="I224" s="15">
        <v>94647.17818202413</v>
      </c>
      <c r="K224" s="15">
        <v>122</v>
      </c>
      <c r="L224" s="15">
        <v>41.288109482984687</v>
      </c>
      <c r="N224" s="15">
        <v>122</v>
      </c>
      <c r="O224" s="15">
        <v>33505.863711554492</v>
      </c>
    </row>
    <row r="225" spans="1:15">
      <c r="A225" s="15">
        <v>122</v>
      </c>
      <c r="B225" s="15">
        <v>80</v>
      </c>
      <c r="H225" s="14">
        <v>103</v>
      </c>
      <c r="I225" s="14">
        <v>116935.41550432987</v>
      </c>
      <c r="K225" s="14">
        <v>103</v>
      </c>
      <c r="L225" s="14">
        <v>23.120513661025448</v>
      </c>
      <c r="N225" s="14">
        <v>103</v>
      </c>
      <c r="O225" s="14">
        <v>28512.182483200042</v>
      </c>
    </row>
    <row r="226" spans="1:15">
      <c r="A226" s="14">
        <v>103</v>
      </c>
      <c r="B226" s="14">
        <v>111</v>
      </c>
      <c r="H226" s="15">
        <v>119</v>
      </c>
      <c r="I226" s="15">
        <f>IF(ISBLANK(I217), O228, I217)</f>
        <v>65375.973931101493</v>
      </c>
      <c r="K226" s="15">
        <v>119</v>
      </c>
      <c r="L226" s="15">
        <v>62.2965856</v>
      </c>
      <c r="N226" s="15">
        <v>119</v>
      </c>
      <c r="O226" s="15">
        <v>36878.534066558095</v>
      </c>
    </row>
    <row r="227" spans="1:15">
      <c r="A227" s="15">
        <v>119</v>
      </c>
      <c r="B227" s="15">
        <v>98</v>
      </c>
      <c r="H227" s="14">
        <v>76</v>
      </c>
      <c r="I227" s="14">
        <v>98018.113995174615</v>
      </c>
      <c r="K227" s="14">
        <v>76</v>
      </c>
      <c r="L227" s="14">
        <v>91.277910775256302</v>
      </c>
      <c r="N227" s="14">
        <v>76</v>
      </c>
      <c r="O227" s="14">
        <v>29249.722064837366</v>
      </c>
    </row>
    <row r="228" spans="1:15">
      <c r="A228" s="14">
        <v>76</v>
      </c>
      <c r="B228" s="14">
        <v>98</v>
      </c>
      <c r="H228" s="15">
        <v>96</v>
      </c>
      <c r="I228" s="15">
        <v>87943.586884320772</v>
      </c>
      <c r="K228" s="15">
        <v>96</v>
      </c>
      <c r="L228" s="15">
        <v>65.559780681486075</v>
      </c>
      <c r="N228" s="15">
        <v>96</v>
      </c>
      <c r="O228" s="15">
        <f>IF(ISBLANK(O203), Y206, O203)</f>
        <v>31005.495233574838</v>
      </c>
    </row>
    <row r="229" spans="1:15">
      <c r="A229" s="15">
        <v>96</v>
      </c>
      <c r="B229" s="15">
        <v>93</v>
      </c>
      <c r="H229" s="14">
        <v>103</v>
      </c>
      <c r="I229" s="14">
        <v>108645.25901268311</v>
      </c>
      <c r="K229" s="14">
        <v>103</v>
      </c>
      <c r="L229" s="14">
        <v>86.591283336152628</v>
      </c>
      <c r="N229" s="14">
        <v>103</v>
      </c>
      <c r="O229" s="14">
        <v>29134.640878580652</v>
      </c>
    </row>
    <row r="230" spans="1:15">
      <c r="A230" s="14">
        <v>103</v>
      </c>
      <c r="B230" s="14">
        <v>106</v>
      </c>
      <c r="H230" s="15">
        <v>111</v>
      </c>
      <c r="I230" s="15">
        <v>109400.88374736405</v>
      </c>
      <c r="K230" s="15">
        <v>111</v>
      </c>
      <c r="L230" s="15">
        <f>IF(ISBLANK(L209), P224, L209)</f>
        <v>83.646270100606912</v>
      </c>
      <c r="N230" s="15">
        <v>111</v>
      </c>
      <c r="O230" s="15">
        <v>30077.895237907338</v>
      </c>
    </row>
    <row r="231" spans="1:15">
      <c r="A231" s="15">
        <v>111</v>
      </c>
      <c r="B231" s="15">
        <v>93</v>
      </c>
      <c r="H231" s="14">
        <v>97</v>
      </c>
      <c r="I231" s="14">
        <v>85847.48210355948</v>
      </c>
      <c r="K231" s="14">
        <v>97</v>
      </c>
      <c r="L231" s="14">
        <v>33.089296331062101</v>
      </c>
      <c r="N231" s="14">
        <v>97</v>
      </c>
      <c r="O231" s="14">
        <v>24518.624565523991</v>
      </c>
    </row>
    <row r="232" spans="1:15">
      <c r="A232" s="14">
        <v>97</v>
      </c>
      <c r="B232" s="14">
        <v>72</v>
      </c>
      <c r="H232" s="15">
        <v>112</v>
      </c>
      <c r="I232" s="15">
        <v>85756.522716479129</v>
      </c>
      <c r="K232" s="15">
        <v>112</v>
      </c>
      <c r="L232" s="15">
        <v>62.2965856</v>
      </c>
      <c r="N232" s="15">
        <v>112</v>
      </c>
      <c r="O232" s="15">
        <v>22799.745587028527</v>
      </c>
    </row>
    <row r="233" spans="1:15">
      <c r="A233" s="15">
        <v>112</v>
      </c>
      <c r="B233" s="15">
        <v>85</v>
      </c>
      <c r="H233" s="14">
        <v>99</v>
      </c>
      <c r="I233" s="14">
        <v>97786.692628853416</v>
      </c>
      <c r="K233" s="14">
        <v>99</v>
      </c>
      <c r="L233" s="14">
        <v>73.943485896001974</v>
      </c>
      <c r="N233" s="14">
        <v>99</v>
      </c>
      <c r="O233" s="14">
        <v>37972.525316124862</v>
      </c>
    </row>
    <row r="234" spans="1:15">
      <c r="A234" s="14">
        <v>99</v>
      </c>
      <c r="B234" s="14">
        <v>86</v>
      </c>
      <c r="H234" s="15">
        <v>124</v>
      </c>
      <c r="I234" s="15">
        <v>82067.155453695828</v>
      </c>
      <c r="K234" s="15">
        <v>124</v>
      </c>
      <c r="L234" s="15">
        <v>98.396435788662274</v>
      </c>
      <c r="N234" s="15">
        <v>124</v>
      </c>
      <c r="O234" s="15">
        <v>25765.193258408362</v>
      </c>
    </row>
    <row r="235" spans="1:15">
      <c r="A235" s="15">
        <v>124</v>
      </c>
      <c r="B235" s="15">
        <v>93</v>
      </c>
      <c r="H235" s="14">
        <v>91</v>
      </c>
      <c r="I235" s="14">
        <v>116839.67390904254</v>
      </c>
      <c r="K235" s="14">
        <v>91</v>
      </c>
      <c r="L235" s="14">
        <v>98.848058716224031</v>
      </c>
      <c r="N235" s="14">
        <v>91</v>
      </c>
      <c r="O235" s="14">
        <v>25043.038252718463</v>
      </c>
    </row>
    <row r="236" spans="1:15">
      <c r="A236" s="14">
        <v>91</v>
      </c>
      <c r="B236" s="14">
        <v>87</v>
      </c>
      <c r="H236" s="15">
        <v>103</v>
      </c>
      <c r="I236" s="15">
        <v>92615.855991051081</v>
      </c>
      <c r="K236" s="15">
        <v>103</v>
      </c>
      <c r="L236" s="15">
        <v>74.934288937930361</v>
      </c>
      <c r="N236" s="15">
        <v>103</v>
      </c>
      <c r="O236" s="15">
        <v>19233.049431981424</v>
      </c>
    </row>
    <row r="237" spans="1:15">
      <c r="A237" s="15">
        <v>103</v>
      </c>
      <c r="B237" s="15">
        <v>81</v>
      </c>
      <c r="H237" s="14">
        <v>86</v>
      </c>
      <c r="I237" s="14">
        <v>41860.235613567173</v>
      </c>
      <c r="K237" s="14">
        <v>86</v>
      </c>
      <c r="L237" s="14">
        <v>39.489183358575545</v>
      </c>
      <c r="N237" s="14">
        <v>86</v>
      </c>
      <c r="O237" s="14">
        <v>26805.191261552489</v>
      </c>
    </row>
    <row r="238" spans="1:15">
      <c r="A238" s="14">
        <v>86</v>
      </c>
      <c r="B238" s="14">
        <v>84</v>
      </c>
      <c r="H238" s="15">
        <v>101</v>
      </c>
      <c r="I238" s="15">
        <v>92503.558867563872</v>
      </c>
      <c r="K238" s="15">
        <v>101</v>
      </c>
      <c r="L238" s="15">
        <v>83.884467050447924</v>
      </c>
      <c r="N238" s="15">
        <v>101</v>
      </c>
      <c r="O238" s="15">
        <v>23384.55103296251</v>
      </c>
    </row>
    <row r="239" spans="1:15">
      <c r="A239" s="15">
        <v>101</v>
      </c>
      <c r="B239" s="15">
        <v>93</v>
      </c>
      <c r="H239" s="14">
        <v>101</v>
      </c>
      <c r="I239" s="14">
        <v>79229.123583120556</v>
      </c>
      <c r="K239" s="14">
        <v>101</v>
      </c>
      <c r="L239" s="14">
        <v>28.562330736883048</v>
      </c>
      <c r="N239" s="14">
        <v>101</v>
      </c>
      <c r="O239" s="14">
        <v>38210.075800681843</v>
      </c>
    </row>
    <row r="240" spans="1:15">
      <c r="A240" s="14">
        <v>101</v>
      </c>
      <c r="B240" s="14">
        <v>86</v>
      </c>
      <c r="H240" s="15">
        <v>101</v>
      </c>
      <c r="I240" s="15">
        <v>67374.483690781082</v>
      </c>
      <c r="K240" s="15">
        <v>101</v>
      </c>
      <c r="L240" s="15">
        <v>82.455944333730287</v>
      </c>
      <c r="N240" s="15">
        <v>101</v>
      </c>
      <c r="O240" s="15">
        <v>35049.085446713172</v>
      </c>
    </row>
    <row r="241" spans="1:15">
      <c r="A241" s="15">
        <v>101</v>
      </c>
      <c r="B241" s="15">
        <v>81</v>
      </c>
      <c r="H241" s="14">
        <v>113</v>
      </c>
      <c r="I241" s="14">
        <v>75251.467235548553</v>
      </c>
      <c r="K241" s="14">
        <v>113</v>
      </c>
      <c r="L241" s="14">
        <v>92.815689931575719</v>
      </c>
      <c r="N241" s="14">
        <v>113</v>
      </c>
      <c r="O241" s="14">
        <v>26559.248274111382</v>
      </c>
    </row>
    <row r="242" spans="1:15">
      <c r="A242" s="14">
        <v>113</v>
      </c>
      <c r="B242" s="14">
        <v>99</v>
      </c>
      <c r="H242" s="15">
        <v>87</v>
      </c>
      <c r="I242" s="15">
        <v>102188.1694366594</v>
      </c>
      <c r="K242" s="15">
        <v>87</v>
      </c>
      <c r="L242" s="15">
        <v>50.626671581474824</v>
      </c>
      <c r="N242" s="15">
        <v>87</v>
      </c>
      <c r="O242" s="15">
        <v>41262.17902672154</v>
      </c>
    </row>
    <row r="243" spans="1:15">
      <c r="A243" s="15">
        <v>87</v>
      </c>
      <c r="B243" s="15">
        <v>86</v>
      </c>
      <c r="H243" s="14">
        <v>108</v>
      </c>
      <c r="I243" s="14">
        <f>IF(ISBLANK(I234), O245, I234)</f>
        <v>82067.155453695828</v>
      </c>
      <c r="K243" s="14">
        <v>108</v>
      </c>
      <c r="L243" s="14">
        <v>70.450823598646437</v>
      </c>
      <c r="N243" s="14">
        <v>108</v>
      </c>
      <c r="O243" s="14">
        <v>34908.827434957973</v>
      </c>
    </row>
    <row r="244" spans="1:15">
      <c r="A244" s="14">
        <v>108</v>
      </c>
      <c r="B244" s="14">
        <v>85</v>
      </c>
      <c r="H244" s="15">
        <v>100</v>
      </c>
      <c r="I244" s="15">
        <v>106263.6894772996</v>
      </c>
      <c r="K244" s="15">
        <v>100</v>
      </c>
      <c r="L244" s="15">
        <v>54.411418567746104</v>
      </c>
      <c r="N244" s="15">
        <v>100</v>
      </c>
      <c r="O244" s="15">
        <v>30599.02924</v>
      </c>
    </row>
    <row r="245" spans="1:15">
      <c r="A245" s="15">
        <v>100</v>
      </c>
      <c r="B245" s="15">
        <v>93</v>
      </c>
      <c r="H245" s="14">
        <v>87</v>
      </c>
      <c r="I245" s="14">
        <v>87869.932235685206</v>
      </c>
      <c r="K245" s="14">
        <v>87</v>
      </c>
      <c r="L245" s="14">
        <v>55.021204399050276</v>
      </c>
      <c r="N245" s="14">
        <v>87</v>
      </c>
      <c r="O245" s="14">
        <v>17502.971425632135</v>
      </c>
    </row>
    <row r="246" spans="1:15">
      <c r="A246" s="14">
        <v>87</v>
      </c>
      <c r="B246" s="14">
        <v>87</v>
      </c>
      <c r="H246" s="15">
        <v>96</v>
      </c>
      <c r="I246" s="15">
        <v>109118.08390341405</v>
      </c>
      <c r="K246" s="15">
        <v>96</v>
      </c>
      <c r="L246" s="15">
        <v>62.2965856</v>
      </c>
      <c r="N246" s="15">
        <v>96</v>
      </c>
      <c r="O246" s="15">
        <v>41454.712862953711</v>
      </c>
    </row>
    <row r="247" spans="1:15">
      <c r="A247" s="15">
        <v>96</v>
      </c>
      <c r="B247" s="15">
        <v>78</v>
      </c>
      <c r="H247" s="14">
        <v>97</v>
      </c>
      <c r="I247" s="14">
        <f>IF(ISBLANK(I238), O249, I238)</f>
        <v>92503.558867563872</v>
      </c>
      <c r="K247" s="14">
        <v>97</v>
      </c>
      <c r="L247" s="14">
        <v>80.970369636025964</v>
      </c>
      <c r="N247" s="14">
        <v>97</v>
      </c>
      <c r="O247" s="14">
        <v>23052.137666182018</v>
      </c>
    </row>
    <row r="248" spans="1:15">
      <c r="A248" s="14">
        <v>97</v>
      </c>
      <c r="B248" s="14">
        <v>75</v>
      </c>
      <c r="H248" s="15">
        <v>116</v>
      </c>
      <c r="I248" s="15">
        <v>86107.992616737116</v>
      </c>
      <c r="K248" s="15">
        <v>116</v>
      </c>
      <c r="L248" s="15">
        <v>94.894125133320415</v>
      </c>
      <c r="N248" s="15">
        <v>116</v>
      </c>
      <c r="O248" s="15">
        <f>IF(ISBLANK(O223), Y226, O223)</f>
        <v>32987.000349249291</v>
      </c>
    </row>
    <row r="249" spans="1:15">
      <c r="A249" s="15">
        <v>116</v>
      </c>
      <c r="B249" s="15">
        <v>77</v>
      </c>
      <c r="H249" s="14">
        <v>100</v>
      </c>
      <c r="I249" s="14">
        <v>76912.746635340314</v>
      </c>
      <c r="K249" s="14">
        <v>100</v>
      </c>
      <c r="L249" s="14">
        <v>95.260068738756885</v>
      </c>
      <c r="N249" s="14">
        <v>100</v>
      </c>
      <c r="O249" s="14">
        <v>35112.852160048198</v>
      </c>
    </row>
    <row r="250" spans="1:15">
      <c r="A250" s="14">
        <v>100</v>
      </c>
      <c r="B250" s="14">
        <f>IF(ISBLANK(B240), G253, B240)</f>
        <v>86</v>
      </c>
      <c r="H250" s="15">
        <v>97</v>
      </c>
      <c r="I250" s="15">
        <v>64963.423864965618</v>
      </c>
      <c r="K250" s="15">
        <v>97</v>
      </c>
      <c r="L250" s="15">
        <v>33.982502789994705</v>
      </c>
      <c r="N250" s="15">
        <v>97</v>
      </c>
      <c r="O250" s="15">
        <v>42198.762031696366</v>
      </c>
    </row>
    <row r="251" spans="1:15">
      <c r="A251" s="15">
        <v>97</v>
      </c>
      <c r="B251" s="15">
        <v>89</v>
      </c>
      <c r="H251" s="14">
        <v>100</v>
      </c>
      <c r="I251" s="14">
        <f>IF(ISBLANK(I242), O253, I242)</f>
        <v>102188.1694366594</v>
      </c>
      <c r="K251" s="14">
        <v>100</v>
      </c>
      <c r="L251" s="14">
        <v>89.979491972525281</v>
      </c>
      <c r="N251" s="14">
        <v>100</v>
      </c>
      <c r="O251" s="14">
        <v>36921.364092552591</v>
      </c>
    </row>
    <row r="252" spans="1:15">
      <c r="A252" s="14">
        <v>100</v>
      </c>
      <c r="B252" s="14">
        <v>97</v>
      </c>
      <c r="H252" s="15">
        <v>99</v>
      </c>
      <c r="I252" s="15">
        <v>103161.06979840263</v>
      </c>
      <c r="K252" s="15">
        <v>99</v>
      </c>
      <c r="L252" s="15">
        <v>78.994515314169774</v>
      </c>
      <c r="N252" s="15">
        <v>99</v>
      </c>
      <c r="O252" s="15">
        <v>32819.545600261801</v>
      </c>
    </row>
    <row r="253" spans="1:15">
      <c r="A253" s="15">
        <v>99</v>
      </c>
      <c r="B253" s="15">
        <v>103</v>
      </c>
      <c r="H253" s="14">
        <v>100</v>
      </c>
      <c r="I253" s="14">
        <v>98067.526599702207</v>
      </c>
      <c r="K253" s="14">
        <v>100</v>
      </c>
      <c r="L253" s="14">
        <v>40.226992055223143</v>
      </c>
      <c r="N253" s="14">
        <v>100</v>
      </c>
      <c r="O253" s="14">
        <v>32973.771708326429</v>
      </c>
    </row>
    <row r="254" spans="1:15">
      <c r="A254" s="14">
        <v>100</v>
      </c>
      <c r="B254" s="14">
        <f>IF(ISBLANK(B244), G257, B244)</f>
        <v>85</v>
      </c>
      <c r="H254" s="15">
        <v>100</v>
      </c>
      <c r="I254" s="15">
        <v>91680.661441052827</v>
      </c>
      <c r="K254" s="15">
        <v>100</v>
      </c>
      <c r="L254" s="15">
        <v>25.382769033721164</v>
      </c>
      <c r="N254" s="15">
        <v>100</v>
      </c>
      <c r="O254" s="15">
        <v>34267.077793901539</v>
      </c>
    </row>
    <row r="255" spans="1:15">
      <c r="A255" s="15">
        <v>100</v>
      </c>
      <c r="B255" s="15">
        <v>85</v>
      </c>
      <c r="H255" s="14">
        <v>82</v>
      </c>
      <c r="I255" s="14">
        <v>81085.078786064376</v>
      </c>
      <c r="K255" s="14">
        <v>82</v>
      </c>
      <c r="L255" s="14">
        <v>41.439781350750238</v>
      </c>
      <c r="N255" s="14">
        <v>82</v>
      </c>
      <c r="O255" s="14">
        <v>33794.642948933826</v>
      </c>
    </row>
    <row r="256" spans="1:15">
      <c r="A256" s="14">
        <v>82</v>
      </c>
      <c r="B256" s="14">
        <v>98</v>
      </c>
      <c r="H256" s="15">
        <v>87</v>
      </c>
      <c r="I256" s="15">
        <v>112164.92383369937</v>
      </c>
      <c r="K256" s="15">
        <v>87</v>
      </c>
      <c r="L256" s="15">
        <v>92.97665894252205</v>
      </c>
      <c r="N256" s="15">
        <v>87</v>
      </c>
      <c r="O256" s="15">
        <v>31405.95711984688</v>
      </c>
    </row>
    <row r="257" spans="1:15">
      <c r="A257" s="15">
        <v>87</v>
      </c>
      <c r="B257" s="15">
        <v>93</v>
      </c>
      <c r="H257" s="14">
        <v>87</v>
      </c>
      <c r="I257" s="14">
        <v>73657.361601068304</v>
      </c>
      <c r="K257" s="14">
        <v>87</v>
      </c>
      <c r="L257" s="14">
        <v>70.654293991661774</v>
      </c>
      <c r="N257" s="14">
        <v>87</v>
      </c>
      <c r="O257" s="14">
        <v>30521.005519759379</v>
      </c>
    </row>
    <row r="258" spans="1:15">
      <c r="A258" s="14">
        <v>87</v>
      </c>
      <c r="B258" s="14">
        <v>69</v>
      </c>
      <c r="H258" s="15">
        <v>90</v>
      </c>
      <c r="I258" s="15">
        <v>115520.5582768695</v>
      </c>
      <c r="K258" s="15">
        <v>90</v>
      </c>
      <c r="L258" s="15">
        <v>77.684372871829751</v>
      </c>
      <c r="N258" s="15">
        <v>90</v>
      </c>
      <c r="O258" s="15">
        <v>29687.034360502388</v>
      </c>
    </row>
    <row r="259" spans="1:15">
      <c r="A259" s="15">
        <v>90</v>
      </c>
      <c r="B259" s="15">
        <v>89</v>
      </c>
      <c r="H259" s="14">
        <v>115</v>
      </c>
      <c r="I259" s="14">
        <v>79955.6596214655</v>
      </c>
      <c r="K259" s="14">
        <v>115</v>
      </c>
      <c r="L259" s="14">
        <v>40.572188088727671</v>
      </c>
      <c r="N259" s="14">
        <v>115</v>
      </c>
      <c r="O259" s="14">
        <v>26230.17705566662</v>
      </c>
    </row>
    <row r="260" spans="1:15">
      <c r="A260" s="14">
        <v>115</v>
      </c>
      <c r="B260" s="14">
        <v>88</v>
      </c>
      <c r="H260" s="15">
        <v>105</v>
      </c>
      <c r="I260" s="15">
        <v>84951.295252939308</v>
      </c>
      <c r="K260" s="15">
        <v>105</v>
      </c>
      <c r="L260" s="15">
        <v>77.551052445985619</v>
      </c>
      <c r="N260" s="15">
        <v>105</v>
      </c>
      <c r="O260" s="15">
        <v>28596.624615666129</v>
      </c>
    </row>
    <row r="261" spans="1:15">
      <c r="A261" s="15">
        <v>105</v>
      </c>
      <c r="B261" s="15">
        <v>89</v>
      </c>
      <c r="H261" s="14">
        <v>90</v>
      </c>
      <c r="I261" s="14">
        <v>70664.296187686457</v>
      </c>
      <c r="K261" s="14">
        <v>90</v>
      </c>
      <c r="L261" s="14">
        <v>62.2965856</v>
      </c>
      <c r="N261" s="14">
        <v>90</v>
      </c>
      <c r="O261" s="14">
        <v>21535.21592902307</v>
      </c>
    </row>
    <row r="262" spans="1:15">
      <c r="A262" s="14">
        <v>90</v>
      </c>
      <c r="B262" s="14">
        <v>90</v>
      </c>
      <c r="H262" s="15">
        <v>89</v>
      </c>
      <c r="I262" s="15">
        <v>89971.957062287271</v>
      </c>
      <c r="K262" s="15">
        <v>89</v>
      </c>
      <c r="L262" s="15">
        <v>50.025707661841103</v>
      </c>
      <c r="N262" s="15">
        <v>89</v>
      </c>
      <c r="O262" s="15">
        <v>29508.30186602625</v>
      </c>
    </row>
    <row r="263" spans="1:15">
      <c r="A263" s="15">
        <v>89</v>
      </c>
      <c r="B263" s="15">
        <v>105</v>
      </c>
      <c r="H263" s="14">
        <v>89</v>
      </c>
      <c r="I263" s="14">
        <v>119506.24916955958</v>
      </c>
      <c r="K263" s="14">
        <v>89</v>
      </c>
      <c r="L263" s="14">
        <v>70.1402678833865</v>
      </c>
      <c r="N263" s="14">
        <v>89</v>
      </c>
      <c r="O263" s="14">
        <v>25057.044464245413</v>
      </c>
    </row>
    <row r="264" spans="1:15">
      <c r="A264" s="14">
        <v>89</v>
      </c>
      <c r="B264" s="14">
        <v>98</v>
      </c>
      <c r="H264" s="15">
        <v>86</v>
      </c>
      <c r="I264" s="15">
        <v>110312.56176887912</v>
      </c>
      <c r="K264" s="15">
        <v>86</v>
      </c>
      <c r="L264" s="15">
        <v>31.687725243305618</v>
      </c>
      <c r="N264" s="15">
        <v>86</v>
      </c>
      <c r="O264" s="15">
        <f>IF(ISBLANK(O239), Y242, O239)</f>
        <v>38210.075800681843</v>
      </c>
    </row>
    <row r="265" spans="1:15">
      <c r="A265" s="15">
        <v>86</v>
      </c>
      <c r="B265" s="15">
        <v>85</v>
      </c>
      <c r="H265" s="14">
        <v>91</v>
      </c>
      <c r="I265" s="14">
        <v>119568.4422405607</v>
      </c>
      <c r="K265" s="14">
        <v>91</v>
      </c>
      <c r="L265" s="14">
        <v>85.84028595575478</v>
      </c>
      <c r="N265" s="14">
        <v>91</v>
      </c>
      <c r="O265" s="14">
        <v>30899.470755767394</v>
      </c>
    </row>
    <row r="266" spans="1:15">
      <c r="A266" s="14">
        <v>91</v>
      </c>
      <c r="B266" s="14">
        <v>101</v>
      </c>
      <c r="H266" s="15">
        <v>100</v>
      </c>
      <c r="I266" s="15">
        <v>110442.85091867871</v>
      </c>
      <c r="K266" s="15">
        <v>100</v>
      </c>
      <c r="L266" s="15">
        <v>38.80250390495349</v>
      </c>
      <c r="N266" s="15">
        <v>100</v>
      </c>
      <c r="O266" s="15">
        <v>36960.011431722996</v>
      </c>
    </row>
    <row r="267" spans="1:15">
      <c r="A267" s="15">
        <v>100</v>
      </c>
      <c r="B267" s="15">
        <v>93</v>
      </c>
      <c r="H267" s="14">
        <v>104</v>
      </c>
      <c r="I267" s="14">
        <v>77926.60342939262</v>
      </c>
      <c r="K267" s="14">
        <v>104</v>
      </c>
      <c r="L267" s="14">
        <v>72.182489025475704</v>
      </c>
      <c r="N267" s="14">
        <v>104</v>
      </c>
      <c r="O267" s="14">
        <v>34591.583030011563</v>
      </c>
    </row>
    <row r="268" spans="1:15">
      <c r="A268" s="14">
        <v>104</v>
      </c>
      <c r="B268" s="14">
        <v>99</v>
      </c>
      <c r="H268" s="15">
        <v>80</v>
      </c>
      <c r="I268" s="15">
        <v>93384.215513448857</v>
      </c>
      <c r="K268" s="15">
        <v>80</v>
      </c>
      <c r="L268" s="15">
        <v>52.415771406026373</v>
      </c>
      <c r="N268" s="15">
        <v>80</v>
      </c>
      <c r="O268" s="15">
        <v>22147.496981884113</v>
      </c>
    </row>
    <row r="269" spans="1:15">
      <c r="A269" s="15">
        <v>80</v>
      </c>
      <c r="B269" s="15">
        <v>87</v>
      </c>
      <c r="H269" s="14">
        <v>110</v>
      </c>
      <c r="I269" s="14">
        <v>84396.017417650743</v>
      </c>
      <c r="K269" s="14">
        <v>110</v>
      </c>
      <c r="L269" s="14">
        <v>67.683487638211773</v>
      </c>
      <c r="N269" s="14">
        <v>110</v>
      </c>
      <c r="O269" s="14">
        <v>25051.859317148312</v>
      </c>
    </row>
    <row r="270" spans="1:15">
      <c r="A270" s="14">
        <v>110</v>
      </c>
      <c r="B270" s="14">
        <v>87</v>
      </c>
      <c r="H270" s="15">
        <v>90</v>
      </c>
      <c r="I270" s="15">
        <v>126611.4980807808</v>
      </c>
      <c r="K270" s="15">
        <v>90</v>
      </c>
      <c r="L270" s="15">
        <f>IF(ISBLANK(L249), P264, L249)</f>
        <v>95.260068738756885</v>
      </c>
      <c r="N270" s="15">
        <v>90</v>
      </c>
      <c r="O270" s="15">
        <v>34703.855939941081</v>
      </c>
    </row>
    <row r="271" spans="1:15">
      <c r="A271" s="15">
        <v>90</v>
      </c>
      <c r="B271" s="15">
        <v>89</v>
      </c>
      <c r="H271" s="14">
        <v>96</v>
      </c>
      <c r="I271" s="14">
        <v>76064.227071473768</v>
      </c>
      <c r="K271" s="14">
        <v>96</v>
      </c>
      <c r="L271" s="14">
        <v>21.353023993728584</v>
      </c>
      <c r="N271" s="14">
        <v>96</v>
      </c>
      <c r="O271" s="14">
        <v>25087.563032308452</v>
      </c>
    </row>
    <row r="272" spans="1:15">
      <c r="A272" s="14">
        <v>96</v>
      </c>
      <c r="B272" s="14">
        <v>86</v>
      </c>
      <c r="H272" s="15">
        <v>103</v>
      </c>
      <c r="I272" s="15">
        <v>117873.95378778221</v>
      </c>
      <c r="K272" s="15">
        <v>103</v>
      </c>
      <c r="L272" s="15">
        <v>92.765154190424099</v>
      </c>
      <c r="N272" s="15">
        <v>103</v>
      </c>
      <c r="O272" s="15">
        <v>28876.834250014876</v>
      </c>
    </row>
    <row r="273" spans="1:15">
      <c r="A273" s="15">
        <v>103</v>
      </c>
      <c r="B273" s="15">
        <v>80</v>
      </c>
      <c r="H273" s="14">
        <v>99</v>
      </c>
      <c r="I273" s="14">
        <v>117859.07740217539</v>
      </c>
      <c r="K273" s="14">
        <v>99</v>
      </c>
      <c r="L273" s="14">
        <v>41.570400701374624</v>
      </c>
      <c r="N273" s="14">
        <v>99</v>
      </c>
      <c r="O273" s="14">
        <v>32750.260495122759</v>
      </c>
    </row>
    <row r="274" spans="1:15">
      <c r="A274" s="14">
        <v>99</v>
      </c>
      <c r="B274" s="14">
        <v>91</v>
      </c>
      <c r="H274" s="15">
        <f>IF(ISBLANK(H227), U228, H227)</f>
        <v>76</v>
      </c>
      <c r="I274" s="15">
        <v>136592.40403432175</v>
      </c>
      <c r="K274" s="15">
        <f>IF(ISBLANK(K227), X228, K227)</f>
        <v>76</v>
      </c>
      <c r="L274" s="15">
        <v>85.574160222436731</v>
      </c>
      <c r="N274" s="15">
        <f>IF(ISBLANK(N227), AA228, N227)</f>
        <v>76</v>
      </c>
      <c r="O274" s="15">
        <v>25158.277725681823</v>
      </c>
    </row>
    <row r="275" spans="1:15">
      <c r="A275" s="15">
        <f>IF(ISBLANK(A228), M229, A228)</f>
        <v>76</v>
      </c>
      <c r="B275" s="15">
        <v>84</v>
      </c>
      <c r="H275" s="14">
        <v>106</v>
      </c>
      <c r="I275" s="14">
        <v>91806.268147410054</v>
      </c>
      <c r="K275" s="14">
        <v>106</v>
      </c>
      <c r="L275" s="14">
        <v>99.948024037776008</v>
      </c>
      <c r="N275" s="14">
        <v>106</v>
      </c>
      <c r="O275" s="14">
        <v>30526.877530729798</v>
      </c>
    </row>
    <row r="276" spans="1:15">
      <c r="A276" s="14">
        <v>106</v>
      </c>
      <c r="B276" s="14">
        <v>89</v>
      </c>
      <c r="H276" s="15">
        <v>100</v>
      </c>
      <c r="I276" s="15">
        <v>114246.44319160325</v>
      </c>
      <c r="K276" s="15">
        <v>100</v>
      </c>
      <c r="L276" s="15">
        <v>36.914500639912895</v>
      </c>
      <c r="N276" s="15">
        <v>100</v>
      </c>
      <c r="O276" s="15">
        <f>IF(ISBLANK(O251), Y254, O251)</f>
        <v>36921.364092552591</v>
      </c>
    </row>
    <row r="277" spans="1:15">
      <c r="A277" s="15">
        <v>100</v>
      </c>
      <c r="B277" s="15">
        <v>113</v>
      </c>
      <c r="H277" s="14">
        <v>85</v>
      </c>
      <c r="I277" s="14">
        <v>145633.03673077686</v>
      </c>
      <c r="K277" s="14">
        <v>85</v>
      </c>
      <c r="L277" s="14">
        <v>41.213659294668446</v>
      </c>
      <c r="N277" s="14">
        <v>85</v>
      </c>
      <c r="O277" s="14">
        <v>26993.161780243932</v>
      </c>
    </row>
    <row r="278" spans="1:15">
      <c r="A278" s="14">
        <v>85</v>
      </c>
      <c r="B278" s="14">
        <v>89</v>
      </c>
      <c r="H278" s="15">
        <v>101</v>
      </c>
      <c r="I278" s="15">
        <v>87647.166461326065</v>
      </c>
      <c r="K278" s="15">
        <v>101</v>
      </c>
      <c r="L278" s="15">
        <v>73.028783010773253</v>
      </c>
      <c r="N278" s="15">
        <v>101</v>
      </c>
      <c r="O278" s="15">
        <v>31598.909670712685</v>
      </c>
    </row>
    <row r="279" spans="1:15">
      <c r="A279" s="15">
        <v>101</v>
      </c>
      <c r="B279" s="15">
        <v>91</v>
      </c>
      <c r="H279" s="14">
        <v>93</v>
      </c>
      <c r="I279" s="14">
        <v>69299.195049352798</v>
      </c>
      <c r="K279" s="14">
        <v>93</v>
      </c>
      <c r="L279" s="14">
        <v>97.2358907680497</v>
      </c>
      <c r="N279" s="14">
        <v>93</v>
      </c>
      <c r="O279" s="14">
        <v>22035.031332341656</v>
      </c>
    </row>
    <row r="280" spans="1:15">
      <c r="A280" s="14">
        <v>93</v>
      </c>
      <c r="B280" s="14">
        <v>83</v>
      </c>
      <c r="H280" s="15">
        <v>91</v>
      </c>
      <c r="I280" s="15">
        <v>62399.79932184473</v>
      </c>
      <c r="K280" s="15">
        <v>91</v>
      </c>
      <c r="L280" s="15">
        <v>93.265147855259514</v>
      </c>
      <c r="N280" s="15">
        <v>91</v>
      </c>
      <c r="O280" s="15">
        <v>32202.373689801996</v>
      </c>
    </row>
    <row r="281" spans="1:15">
      <c r="A281" s="15">
        <v>91</v>
      </c>
      <c r="B281" s="15">
        <v>77</v>
      </c>
      <c r="H281" s="14">
        <v>103</v>
      </c>
      <c r="I281" s="14">
        <v>114254.24057722662</v>
      </c>
      <c r="K281" s="14">
        <v>103</v>
      </c>
      <c r="L281" s="14">
        <v>60.23004160524679</v>
      </c>
      <c r="N281" s="14">
        <v>103</v>
      </c>
      <c r="O281" s="14">
        <v>29901.811005366595</v>
      </c>
    </row>
    <row r="282" spans="1:15">
      <c r="A282" s="14">
        <v>103</v>
      </c>
      <c r="B282" s="14">
        <v>95</v>
      </c>
      <c r="H282" s="15">
        <v>109</v>
      </c>
      <c r="I282" s="15">
        <v>62336.995838828327</v>
      </c>
      <c r="K282" s="15">
        <v>109</v>
      </c>
      <c r="L282" s="15">
        <v>83.608822602137977</v>
      </c>
      <c r="N282" s="15">
        <v>109</v>
      </c>
      <c r="O282" s="15">
        <v>30599.02924</v>
      </c>
    </row>
    <row r="283" spans="1:15">
      <c r="A283" s="15">
        <v>109</v>
      </c>
      <c r="B283" s="15">
        <v>91</v>
      </c>
      <c r="H283" s="14">
        <v>83</v>
      </c>
      <c r="I283" s="14">
        <v>92553.618941241541</v>
      </c>
      <c r="K283" s="14">
        <v>83</v>
      </c>
      <c r="L283" s="14">
        <f>IF(ISBLANK(L262), P277, L262)</f>
        <v>50.025707661841103</v>
      </c>
      <c r="N283" s="14">
        <v>83</v>
      </c>
      <c r="O283" s="14">
        <v>31119.570670323308</v>
      </c>
    </row>
    <row r="284" spans="1:15">
      <c r="A284" s="14">
        <v>83</v>
      </c>
      <c r="B284" s="14">
        <v>97</v>
      </c>
      <c r="H284" s="15">
        <v>102</v>
      </c>
      <c r="I284" s="15">
        <v>108746.26374077922</v>
      </c>
      <c r="K284" s="15">
        <v>102</v>
      </c>
      <c r="L284" s="15">
        <v>98.195054736320984</v>
      </c>
      <c r="N284" s="15">
        <v>102</v>
      </c>
      <c r="O284" s="15">
        <v>36820.702149869219</v>
      </c>
    </row>
    <row r="285" spans="1:15">
      <c r="A285" s="15">
        <v>102</v>
      </c>
      <c r="B285" s="15">
        <v>97</v>
      </c>
      <c r="H285" s="14">
        <v>98</v>
      </c>
      <c r="I285" s="14">
        <v>103703.51073659828</v>
      </c>
      <c r="K285" s="14">
        <v>98</v>
      </c>
      <c r="L285" s="14">
        <v>97.148258722878921</v>
      </c>
      <c r="N285" s="14">
        <v>98</v>
      </c>
      <c r="O285" s="14">
        <v>30626.122513239538</v>
      </c>
    </row>
    <row r="286" spans="1:15">
      <c r="A286" s="14">
        <v>98</v>
      </c>
      <c r="B286" s="14">
        <v>85</v>
      </c>
      <c r="H286" s="15">
        <v>93</v>
      </c>
      <c r="I286" s="15">
        <v>108508.89728368344</v>
      </c>
      <c r="K286" s="15">
        <v>93</v>
      </c>
      <c r="L286" s="15">
        <v>33.098316630333677</v>
      </c>
      <c r="N286" s="15">
        <v>93</v>
      </c>
      <c r="O286" s="15">
        <v>27852.972294373736</v>
      </c>
    </row>
    <row r="287" spans="1:15">
      <c r="A287" s="15">
        <v>93</v>
      </c>
      <c r="B287" s="15">
        <v>77</v>
      </c>
      <c r="H287" s="14">
        <v>104</v>
      </c>
      <c r="I287" s="14">
        <f>IF(ISBLANK(I278), O289, I278)</f>
        <v>87647.166461326065</v>
      </c>
      <c r="K287" s="14">
        <v>104</v>
      </c>
      <c r="L287" s="14">
        <v>43.953849984248528</v>
      </c>
      <c r="N287" s="14">
        <v>104</v>
      </c>
      <c r="O287" s="14">
        <v>30611.487515161418</v>
      </c>
    </row>
    <row r="288" spans="1:15">
      <c r="A288" s="14">
        <v>104</v>
      </c>
      <c r="B288" s="14">
        <v>100</v>
      </c>
      <c r="H288" s="15">
        <v>96</v>
      </c>
      <c r="I288" s="15">
        <v>125577.31626626787</v>
      </c>
      <c r="K288" s="15">
        <v>96</v>
      </c>
      <c r="L288" s="15">
        <v>28.012399800541353</v>
      </c>
      <c r="N288" s="15">
        <v>96</v>
      </c>
      <c r="O288" s="15">
        <v>32716.490145181939</v>
      </c>
    </row>
    <row r="289" spans="1:15">
      <c r="A289" s="15">
        <v>96</v>
      </c>
      <c r="B289" s="15">
        <v>87</v>
      </c>
      <c r="H289" s="14">
        <v>103</v>
      </c>
      <c r="I289" s="14">
        <v>80953.672385224054</v>
      </c>
      <c r="K289" s="14">
        <v>103</v>
      </c>
      <c r="L289" s="14">
        <v>41.737407911854376</v>
      </c>
      <c r="N289" s="14">
        <v>103</v>
      </c>
      <c r="O289" s="14">
        <v>30244.300351628521</v>
      </c>
    </row>
    <row r="290" spans="1:15">
      <c r="A290" s="14">
        <v>103</v>
      </c>
      <c r="B290" s="14">
        <v>102</v>
      </c>
      <c r="H290" s="15">
        <v>85</v>
      </c>
      <c r="I290" s="15">
        <v>86460.097230829371</v>
      </c>
      <c r="K290" s="15">
        <v>85</v>
      </c>
      <c r="L290" s="15">
        <v>85.276463153216525</v>
      </c>
      <c r="N290" s="15">
        <v>85</v>
      </c>
      <c r="O290" s="15">
        <v>30202.958456019413</v>
      </c>
    </row>
    <row r="291" spans="1:15">
      <c r="A291" s="15">
        <v>85</v>
      </c>
      <c r="B291" s="15">
        <v>102</v>
      </c>
      <c r="H291" s="14">
        <v>92</v>
      </c>
      <c r="I291" s="14">
        <v>84546.811094583521</v>
      </c>
      <c r="K291" s="14">
        <v>92</v>
      </c>
      <c r="L291" s="14">
        <v>50.265248573220759</v>
      </c>
      <c r="N291" s="14">
        <v>92</v>
      </c>
      <c r="O291" s="14">
        <v>26490.041560966223</v>
      </c>
    </row>
    <row r="292" spans="1:15">
      <c r="A292" s="14">
        <v>92</v>
      </c>
      <c r="B292" s="14">
        <v>98</v>
      </c>
      <c r="H292" s="15">
        <v>90</v>
      </c>
      <c r="I292" s="15">
        <v>116603.8362372522</v>
      </c>
      <c r="K292" s="15">
        <v>90</v>
      </c>
      <c r="L292" s="15">
        <v>27.07175737174067</v>
      </c>
      <c r="N292" s="15">
        <v>90</v>
      </c>
      <c r="O292" s="15">
        <v>26685.495412245258</v>
      </c>
    </row>
    <row r="293" spans="1:15">
      <c r="A293" s="15">
        <v>90</v>
      </c>
      <c r="B293" s="15">
        <v>80</v>
      </c>
      <c r="H293" s="14">
        <v>83</v>
      </c>
      <c r="I293" s="14">
        <v>118007.97176790127</v>
      </c>
      <c r="K293" s="14">
        <v>83</v>
      </c>
      <c r="L293" s="14">
        <v>47.378041982312368</v>
      </c>
      <c r="N293" s="14">
        <v>83</v>
      </c>
      <c r="O293" s="14">
        <v>22986.973641001532</v>
      </c>
    </row>
    <row r="294" spans="1:15">
      <c r="A294" s="14">
        <v>83</v>
      </c>
      <c r="B294" s="14">
        <v>79</v>
      </c>
      <c r="H294" s="15">
        <v>86</v>
      </c>
      <c r="I294" s="15">
        <v>109024.50638637017</v>
      </c>
      <c r="K294" s="15">
        <v>86</v>
      </c>
      <c r="L294" s="15">
        <v>98.510666739302408</v>
      </c>
      <c r="N294" s="15">
        <v>86</v>
      </c>
      <c r="O294" s="15">
        <v>38747.883715934695</v>
      </c>
    </row>
    <row r="295" spans="1:15">
      <c r="A295" s="15">
        <v>86</v>
      </c>
      <c r="B295" s="15">
        <v>91</v>
      </c>
      <c r="H295" s="14">
        <v>110</v>
      </c>
      <c r="I295" s="14">
        <v>123669.87333779855</v>
      </c>
      <c r="K295" s="14">
        <v>110</v>
      </c>
      <c r="L295" s="14">
        <v>70.374687620736239</v>
      </c>
      <c r="N295" s="14">
        <v>110</v>
      </c>
      <c r="O295" s="14">
        <v>23780.683823043575</v>
      </c>
    </row>
    <row r="296" spans="1:15">
      <c r="A296" s="14">
        <v>110</v>
      </c>
      <c r="B296" s="14">
        <v>81</v>
      </c>
      <c r="H296" s="15">
        <v>89</v>
      </c>
      <c r="I296" s="15">
        <v>76439.182652472387</v>
      </c>
      <c r="K296" s="15">
        <v>89</v>
      </c>
      <c r="L296" s="15">
        <v>53.292875712492616</v>
      </c>
      <c r="N296" s="15">
        <v>89</v>
      </c>
      <c r="O296" s="15">
        <f>IF(ISBLANK(O271), Y274, O271)</f>
        <v>25087.563032308452</v>
      </c>
    </row>
    <row r="297" spans="1:15">
      <c r="A297" s="15">
        <v>89</v>
      </c>
      <c r="B297" s="15">
        <v>66</v>
      </c>
      <c r="H297" s="14">
        <v>118</v>
      </c>
      <c r="I297" s="14">
        <v>133344.48223102273</v>
      </c>
      <c r="K297" s="14">
        <v>118</v>
      </c>
      <c r="L297" s="14">
        <v>33.323081079781602</v>
      </c>
      <c r="N297" s="14">
        <v>118</v>
      </c>
      <c r="O297" s="14">
        <v>30599.02924</v>
      </c>
    </row>
    <row r="298" spans="1:15">
      <c r="A298" s="14">
        <v>118</v>
      </c>
      <c r="B298" s="14">
        <v>92</v>
      </c>
      <c r="H298" s="15">
        <v>102</v>
      </c>
      <c r="I298" s="15">
        <v>130464.77243424517</v>
      </c>
      <c r="K298" s="15">
        <v>102</v>
      </c>
      <c r="L298" s="15">
        <v>98.894143782695579</v>
      </c>
      <c r="N298" s="15">
        <v>102</v>
      </c>
      <c r="O298" s="15">
        <v>34474.621884722204</v>
      </c>
    </row>
    <row r="299" spans="1:15">
      <c r="A299" s="15">
        <v>102</v>
      </c>
      <c r="B299" s="15">
        <v>95</v>
      </c>
      <c r="H299" s="14">
        <v>108</v>
      </c>
      <c r="I299" s="14">
        <v>114712.43994491494</v>
      </c>
      <c r="K299" s="14">
        <v>108</v>
      </c>
      <c r="L299" s="14">
        <v>85.667920741050295</v>
      </c>
      <c r="N299" s="14">
        <v>108</v>
      </c>
      <c r="O299" s="14">
        <v>28525.25160853986</v>
      </c>
    </row>
    <row r="300" spans="1:15">
      <c r="A300" s="14">
        <v>108</v>
      </c>
      <c r="B300" s="14">
        <f>IF(ISBLANK(B290), G303, B290)</f>
        <v>102</v>
      </c>
      <c r="H300" s="15">
        <v>95</v>
      </c>
      <c r="I300" s="15">
        <v>135635.97817542119</v>
      </c>
      <c r="K300" s="15">
        <v>95</v>
      </c>
      <c r="L300" s="15">
        <f>IF(ISBLANK(L279), P294, L279)</f>
        <v>97.2358907680497</v>
      </c>
      <c r="N300" s="15">
        <v>95</v>
      </c>
      <c r="O300" s="15">
        <v>36238.710363368671</v>
      </c>
    </row>
    <row r="301" spans="1:15">
      <c r="A301" s="15">
        <v>95</v>
      </c>
      <c r="B301" s="15">
        <v>108</v>
      </c>
      <c r="H301" s="14">
        <v>100</v>
      </c>
      <c r="I301" s="14">
        <v>66867.535846444516</v>
      </c>
      <c r="K301" s="14">
        <v>100</v>
      </c>
      <c r="L301" s="14">
        <v>25.605495657695158</v>
      </c>
      <c r="N301" s="14">
        <v>100</v>
      </c>
      <c r="O301" s="14">
        <v>26632.546878780657</v>
      </c>
    </row>
    <row r="302" spans="1:15">
      <c r="A302" s="14">
        <v>100</v>
      </c>
      <c r="B302" s="14">
        <v>83</v>
      </c>
      <c r="H302" s="15">
        <v>86</v>
      </c>
      <c r="I302" s="15">
        <v>89511.037274746966</v>
      </c>
      <c r="K302" s="15">
        <v>86</v>
      </c>
      <c r="L302" s="15">
        <v>24.530044590204643</v>
      </c>
      <c r="N302" s="15">
        <v>86</v>
      </c>
      <c r="O302" s="15">
        <v>31394.970811119008</v>
      </c>
    </row>
    <row r="303" spans="1:15">
      <c r="A303" s="15">
        <v>86</v>
      </c>
      <c r="B303" s="15">
        <v>96</v>
      </c>
      <c r="H303" s="14">
        <v>94</v>
      </c>
      <c r="I303" s="14">
        <v>85293.930786360957</v>
      </c>
      <c r="K303" s="14">
        <v>94</v>
      </c>
      <c r="L303" s="14">
        <v>29.630251960442706</v>
      </c>
      <c r="N303" s="14">
        <v>94</v>
      </c>
      <c r="O303" s="14">
        <v>25823.264733701213</v>
      </c>
    </row>
    <row r="304" spans="1:15">
      <c r="A304" s="14">
        <v>94</v>
      </c>
      <c r="B304" s="14">
        <v>84</v>
      </c>
      <c r="H304" s="15">
        <v>88</v>
      </c>
      <c r="I304" s="15">
        <v>114429.58647514686</v>
      </c>
      <c r="K304" s="15">
        <v>88</v>
      </c>
      <c r="L304" s="15">
        <v>66.46148668915373</v>
      </c>
      <c r="N304" s="15">
        <v>88</v>
      </c>
      <c r="O304" s="15">
        <v>40725.745638866938</v>
      </c>
    </row>
    <row r="305" spans="1:15">
      <c r="A305" s="15">
        <v>88</v>
      </c>
      <c r="B305" s="15">
        <v>92</v>
      </c>
      <c r="H305" s="14">
        <v>100</v>
      </c>
      <c r="I305" s="14">
        <v>78997.185207957082</v>
      </c>
      <c r="K305" s="14">
        <v>100</v>
      </c>
      <c r="L305" s="14">
        <v>94.301073696439389</v>
      </c>
      <c r="N305" s="14">
        <v>100</v>
      </c>
      <c r="O305" s="14">
        <v>24062.007904852435</v>
      </c>
    </row>
    <row r="306" spans="1:15">
      <c r="A306" s="14">
        <v>100</v>
      </c>
      <c r="B306" s="14">
        <v>89</v>
      </c>
      <c r="H306" s="15">
        <v>95</v>
      </c>
      <c r="I306" s="15">
        <v>115149.90298674972</v>
      </c>
      <c r="K306" s="15">
        <v>95</v>
      </c>
      <c r="L306" s="15">
        <v>59.739474240478756</v>
      </c>
      <c r="N306" s="15">
        <v>95</v>
      </c>
      <c r="O306" s="15">
        <v>31549.103551135137</v>
      </c>
    </row>
    <row r="307" spans="1:15">
      <c r="A307" s="15">
        <v>95</v>
      </c>
      <c r="B307" s="15">
        <v>98</v>
      </c>
      <c r="H307" s="14">
        <v>95</v>
      </c>
      <c r="I307" s="14">
        <v>127410.72287993427</v>
      </c>
      <c r="K307" s="14">
        <v>95</v>
      </c>
      <c r="L307" s="14">
        <v>87.435638596495778</v>
      </c>
      <c r="N307" s="14">
        <v>95</v>
      </c>
      <c r="O307" s="14">
        <v>33168.884404660494</v>
      </c>
    </row>
    <row r="308" spans="1:15">
      <c r="A308" s="14">
        <v>95</v>
      </c>
      <c r="B308" s="14">
        <v>89</v>
      </c>
      <c r="H308" s="15">
        <v>92</v>
      </c>
      <c r="I308" s="15">
        <v>113904.05800167998</v>
      </c>
      <c r="K308" s="15">
        <v>92</v>
      </c>
      <c r="L308" s="15">
        <v>55.670929588784624</v>
      </c>
      <c r="N308" s="15">
        <v>92</v>
      </c>
      <c r="O308" s="15">
        <v>32068.995487257493</v>
      </c>
    </row>
    <row r="309" spans="1:15">
      <c r="A309" s="15">
        <v>92</v>
      </c>
      <c r="B309" s="15">
        <v>93</v>
      </c>
      <c r="H309" s="14">
        <v>108</v>
      </c>
      <c r="I309" s="14">
        <v>105675.02047323002</v>
      </c>
      <c r="K309" s="14">
        <v>108</v>
      </c>
      <c r="L309" s="14">
        <v>76.686683661426017</v>
      </c>
      <c r="N309" s="14">
        <v>108</v>
      </c>
      <c r="O309" s="14">
        <v>29073.561705611457</v>
      </c>
    </row>
    <row r="310" spans="1:15">
      <c r="A310" s="14">
        <v>108</v>
      </c>
      <c r="B310" s="14">
        <v>90</v>
      </c>
      <c r="H310" s="15">
        <v>99</v>
      </c>
      <c r="I310" s="15">
        <v>80242.533181985025</v>
      </c>
      <c r="K310" s="15">
        <v>99</v>
      </c>
      <c r="L310" s="15">
        <v>78.549818982920073</v>
      </c>
      <c r="N310" s="15">
        <v>99</v>
      </c>
      <c r="O310" s="15">
        <v>29350.896501332871</v>
      </c>
    </row>
    <row r="311" spans="1:15">
      <c r="A311" s="15">
        <v>99</v>
      </c>
      <c r="B311" s="15">
        <v>85</v>
      </c>
      <c r="H311" s="14">
        <v>95</v>
      </c>
      <c r="I311" s="14">
        <v>83062.980677492713</v>
      </c>
      <c r="K311" s="14">
        <v>95</v>
      </c>
      <c r="L311" s="14">
        <v>33.91709647226709</v>
      </c>
      <c r="N311" s="14">
        <v>95</v>
      </c>
      <c r="O311" s="14">
        <v>30219.057359895549</v>
      </c>
    </row>
    <row r="312" spans="1:15">
      <c r="A312" s="14">
        <v>95</v>
      </c>
      <c r="B312" s="14">
        <v>81</v>
      </c>
      <c r="H312" s="15">
        <v>86</v>
      </c>
      <c r="I312" s="15">
        <v>124992.37810593334</v>
      </c>
      <c r="K312" s="15">
        <v>86</v>
      </c>
      <c r="L312" s="15">
        <v>48.897284718064938</v>
      </c>
      <c r="N312" s="15">
        <v>86</v>
      </c>
      <c r="O312" s="15">
        <v>29264.989991857557</v>
      </c>
    </row>
    <row r="313" spans="1:15">
      <c r="A313" s="15">
        <v>86</v>
      </c>
      <c r="B313" s="15">
        <v>80</v>
      </c>
      <c r="H313" s="14">
        <v>120</v>
      </c>
      <c r="I313" s="14">
        <v>115586.98007810664</v>
      </c>
      <c r="K313" s="14">
        <v>120</v>
      </c>
      <c r="L313" s="14">
        <v>70.984172523041906</v>
      </c>
      <c r="N313" s="14">
        <v>120</v>
      </c>
      <c r="O313" s="14">
        <v>34819.395583974547</v>
      </c>
    </row>
    <row r="314" spans="1:15">
      <c r="A314" s="14">
        <v>120</v>
      </c>
      <c r="B314" s="14">
        <v>88</v>
      </c>
      <c r="H314" s="15">
        <v>81</v>
      </c>
      <c r="I314" s="15">
        <v>99219.609612449116</v>
      </c>
      <c r="K314" s="15">
        <v>81</v>
      </c>
      <c r="L314" s="15">
        <f>IF(ISBLANK(L293), P308, L293)</f>
        <v>47.378041982312368</v>
      </c>
      <c r="N314" s="15">
        <v>81</v>
      </c>
      <c r="O314" s="15">
        <v>41052.61500795676</v>
      </c>
    </row>
    <row r="315" spans="1:15">
      <c r="A315" s="15">
        <v>81</v>
      </c>
      <c r="B315" s="15">
        <v>88</v>
      </c>
      <c r="H315" s="14">
        <v>102</v>
      </c>
      <c r="I315" s="14">
        <v>91641.809084682187</v>
      </c>
      <c r="K315" s="14">
        <v>102</v>
      </c>
      <c r="L315" s="14">
        <v>48.923215021036526</v>
      </c>
      <c r="N315" s="14">
        <v>102</v>
      </c>
      <c r="O315" s="14">
        <v>30599.02924</v>
      </c>
    </row>
    <row r="316" spans="1:15">
      <c r="A316" s="14">
        <v>102</v>
      </c>
      <c r="B316" s="14">
        <v>92</v>
      </c>
      <c r="H316" s="15">
        <v>87</v>
      </c>
      <c r="I316" s="15">
        <v>59483.842537772463</v>
      </c>
      <c r="K316" s="15">
        <v>87</v>
      </c>
      <c r="L316" s="15">
        <v>62.783957302495395</v>
      </c>
      <c r="N316" s="15">
        <v>87</v>
      </c>
      <c r="O316" s="15">
        <v>23150.985102104612</v>
      </c>
    </row>
    <row r="317" spans="1:15">
      <c r="A317" s="15">
        <v>87</v>
      </c>
      <c r="B317" s="15">
        <v>90</v>
      </c>
      <c r="H317" s="14">
        <v>90</v>
      </c>
      <c r="I317" s="14">
        <v>78582.951626311231</v>
      </c>
      <c r="K317" s="14">
        <v>90</v>
      </c>
      <c r="L317" s="14">
        <v>99.697959443571094</v>
      </c>
      <c r="N317" s="14">
        <v>90</v>
      </c>
      <c r="O317" s="14">
        <v>29558.589758243725</v>
      </c>
    </row>
    <row r="318" spans="1:15">
      <c r="A318" s="14">
        <v>90</v>
      </c>
      <c r="B318" s="14">
        <v>97</v>
      </c>
      <c r="H318" s="15">
        <v>89</v>
      </c>
      <c r="I318" s="15">
        <v>138228.38174279447</v>
      </c>
      <c r="K318" s="15">
        <v>89</v>
      </c>
      <c r="L318" s="15">
        <f>IF(ISBLANK(L297), P312, L297)</f>
        <v>33.323081079781602</v>
      </c>
      <c r="N318" s="15">
        <v>89</v>
      </c>
      <c r="O318" s="15">
        <v>42898.546688271592</v>
      </c>
    </row>
    <row r="319" spans="1:15">
      <c r="A319" s="15">
        <v>89</v>
      </c>
      <c r="B319" s="15">
        <v>89</v>
      </c>
      <c r="H319" s="14">
        <v>105</v>
      </c>
      <c r="I319" s="14">
        <v>74390.888579950668</v>
      </c>
      <c r="K319" s="14">
        <v>105</v>
      </c>
      <c r="L319" s="14">
        <v>85.284540569145889</v>
      </c>
      <c r="N319" s="14">
        <v>105</v>
      </c>
      <c r="O319" s="14">
        <v>25981.627160151347</v>
      </c>
    </row>
    <row r="320" spans="1:15">
      <c r="A320" s="14">
        <v>105</v>
      </c>
      <c r="B320" s="14">
        <v>106</v>
      </c>
      <c r="H320" s="15">
        <v>96</v>
      </c>
      <c r="I320" s="15">
        <v>103789.59642442162</v>
      </c>
      <c r="K320" s="15">
        <v>96</v>
      </c>
      <c r="L320" s="15">
        <v>54.565382805329421</v>
      </c>
      <c r="N320" s="15">
        <v>96</v>
      </c>
      <c r="O320" s="15">
        <v>38195.584027220335</v>
      </c>
    </row>
    <row r="321" spans="1:15">
      <c r="A321" s="15">
        <v>96</v>
      </c>
      <c r="B321" s="15">
        <v>91</v>
      </c>
      <c r="H321" s="14">
        <v>97</v>
      </c>
      <c r="I321" s="14">
        <v>120148.87946390397</v>
      </c>
      <c r="K321" s="14">
        <v>97</v>
      </c>
      <c r="L321" s="14">
        <v>83.711257809576708</v>
      </c>
      <c r="N321" s="14">
        <v>97</v>
      </c>
      <c r="O321" s="14">
        <v>38388.504070382201</v>
      </c>
    </row>
    <row r="322" spans="1:15">
      <c r="A322" s="14">
        <v>97</v>
      </c>
      <c r="B322" s="14">
        <f>IF(ISBLANK(B312), G325, B312)</f>
        <v>81</v>
      </c>
      <c r="H322" s="15">
        <v>98</v>
      </c>
      <c r="I322" s="15">
        <v>74901.546639954147</v>
      </c>
      <c r="K322" s="15">
        <v>98</v>
      </c>
      <c r="L322" s="15">
        <v>67.633184129608679</v>
      </c>
      <c r="N322" s="15">
        <v>98</v>
      </c>
      <c r="O322" s="15">
        <v>27232.058791460026</v>
      </c>
    </row>
    <row r="323" spans="1:15">
      <c r="A323" s="15">
        <v>98</v>
      </c>
      <c r="B323" s="15">
        <v>93</v>
      </c>
      <c r="H323" s="14">
        <v>100</v>
      </c>
      <c r="I323" s="14">
        <v>103694.20949562166</v>
      </c>
      <c r="K323" s="14">
        <v>100</v>
      </c>
      <c r="L323" s="14">
        <v>90.927635320191868</v>
      </c>
      <c r="N323" s="14">
        <v>100</v>
      </c>
      <c r="O323" s="14">
        <v>32844.915395926379</v>
      </c>
    </row>
    <row r="324" spans="1:15">
      <c r="A324" s="14">
        <v>100</v>
      </c>
      <c r="B324" s="14">
        <v>89</v>
      </c>
      <c r="H324" s="15">
        <v>108</v>
      </c>
      <c r="I324" s="15">
        <v>118758.3107502131</v>
      </c>
      <c r="K324" s="15">
        <v>108</v>
      </c>
      <c r="L324" s="15">
        <v>52.875404188008794</v>
      </c>
      <c r="N324" s="15">
        <v>108</v>
      </c>
      <c r="O324" s="15">
        <v>38141.983115642688</v>
      </c>
    </row>
    <row r="325" spans="1:15">
      <c r="A325" s="15">
        <v>108</v>
      </c>
      <c r="B325" s="15">
        <v>73</v>
      </c>
      <c r="H325" s="14">
        <v>92</v>
      </c>
      <c r="I325" s="14">
        <v>100249.986438145</v>
      </c>
      <c r="K325" s="14">
        <v>92</v>
      </c>
      <c r="L325" s="14">
        <v>68.344353585718309</v>
      </c>
      <c r="N325" s="14">
        <v>92</v>
      </c>
      <c r="O325" s="14">
        <v>28104.361295062565</v>
      </c>
    </row>
    <row r="326" spans="1:15">
      <c r="A326" s="14">
        <v>92</v>
      </c>
      <c r="B326" s="14">
        <v>101</v>
      </c>
      <c r="H326" s="15">
        <v>97</v>
      </c>
      <c r="I326" s="15">
        <v>100873.2838</v>
      </c>
      <c r="K326" s="15">
        <v>97</v>
      </c>
      <c r="L326" s="15">
        <v>70.401494449506188</v>
      </c>
      <c r="N326" s="15">
        <v>97</v>
      </c>
      <c r="O326" s="15">
        <v>28982.098199488191</v>
      </c>
    </row>
    <row r="327" spans="1:15">
      <c r="A327" s="15">
        <v>97</v>
      </c>
      <c r="B327" s="15">
        <v>81</v>
      </c>
      <c r="H327" s="14">
        <v>116</v>
      </c>
      <c r="I327" s="14">
        <v>66628.014822436089</v>
      </c>
      <c r="K327" s="14">
        <v>116</v>
      </c>
      <c r="L327" s="14">
        <v>53.390635344037861</v>
      </c>
      <c r="N327" s="14">
        <v>116</v>
      </c>
      <c r="O327" s="14">
        <v>27091.595430256781</v>
      </c>
    </row>
    <row r="328" spans="1:15">
      <c r="A328" s="14">
        <v>116</v>
      </c>
      <c r="B328" s="14">
        <v>98</v>
      </c>
      <c r="H328" s="15">
        <f>IF(ISBLANK(H281), U282, H281)</f>
        <v>103</v>
      </c>
      <c r="I328" s="15">
        <v>121174.57059767758</v>
      </c>
      <c r="K328" s="15">
        <f>IF(ISBLANK(K281), X282, K281)</f>
        <v>103</v>
      </c>
      <c r="L328" s="15">
        <v>31.54496349499852</v>
      </c>
      <c r="N328" s="15">
        <f>IF(ISBLANK(N281), AA282, N281)</f>
        <v>103</v>
      </c>
      <c r="O328" s="15">
        <v>24926.216346535664</v>
      </c>
    </row>
    <row r="329" spans="1:15">
      <c r="A329" s="15">
        <f>IF(ISBLANK(A282), M283, A282)</f>
        <v>103</v>
      </c>
      <c r="B329" s="15">
        <v>92</v>
      </c>
      <c r="H329" s="14">
        <v>87</v>
      </c>
      <c r="I329" s="14">
        <v>96543.965252070717</v>
      </c>
      <c r="K329" s="14">
        <v>87</v>
      </c>
      <c r="L329" s="14">
        <v>27.484752552986844</v>
      </c>
      <c r="N329" s="14">
        <v>87</v>
      </c>
      <c r="O329" s="14">
        <v>26753.612274669966</v>
      </c>
    </row>
    <row r="330" spans="1:15">
      <c r="A330" s="14">
        <v>87</v>
      </c>
      <c r="B330" s="14">
        <f>IF(ISBLANK(B320), G333, B320)</f>
        <v>106</v>
      </c>
      <c r="H330" s="15">
        <v>103</v>
      </c>
      <c r="I330" s="15">
        <v>115438.4030967335</v>
      </c>
      <c r="K330" s="15">
        <v>103</v>
      </c>
      <c r="L330" s="15">
        <v>21.333724047970648</v>
      </c>
      <c r="N330" s="15">
        <v>103</v>
      </c>
      <c r="O330" s="15">
        <v>23880.298666188719</v>
      </c>
    </row>
    <row r="331" spans="1:15">
      <c r="A331" s="15">
        <v>103</v>
      </c>
      <c r="B331" s="15">
        <v>101</v>
      </c>
      <c r="H331" s="14">
        <v>115</v>
      </c>
      <c r="I331" s="14">
        <v>108826.14303398492</v>
      </c>
      <c r="K331" s="14">
        <v>115</v>
      </c>
      <c r="L331" s="14">
        <v>89.882741139617167</v>
      </c>
      <c r="N331" s="14">
        <v>115</v>
      </c>
      <c r="O331" s="14">
        <v>30170.417341296132</v>
      </c>
    </row>
    <row r="332" spans="1:15">
      <c r="A332" s="14">
        <v>115</v>
      </c>
      <c r="B332" s="14">
        <v>67</v>
      </c>
      <c r="H332" s="15">
        <v>88</v>
      </c>
      <c r="I332" s="15">
        <v>85336.876057800066</v>
      </c>
      <c r="K332" s="15">
        <v>88</v>
      </c>
      <c r="L332" s="15">
        <f>IF(ISBLANK(L311), P326, L311)</f>
        <v>33.91709647226709</v>
      </c>
      <c r="N332" s="15">
        <v>88</v>
      </c>
      <c r="O332" s="15">
        <v>26150.13384470679</v>
      </c>
    </row>
    <row r="333" spans="1:15">
      <c r="A333" s="15">
        <v>88</v>
      </c>
      <c r="B333" s="15">
        <v>101</v>
      </c>
      <c r="H333" s="14">
        <v>100</v>
      </c>
      <c r="I333" s="14">
        <v>104579.9278491868</v>
      </c>
      <c r="K333" s="14">
        <v>100</v>
      </c>
      <c r="L333" s="14">
        <v>36.920539942541446</v>
      </c>
      <c r="N333" s="14">
        <v>100</v>
      </c>
      <c r="O333" s="14">
        <v>31168.92955895374</v>
      </c>
    </row>
    <row r="334" spans="1:15">
      <c r="A334" s="14">
        <v>100</v>
      </c>
      <c r="B334" s="14">
        <v>88</v>
      </c>
      <c r="H334" s="15">
        <v>108</v>
      </c>
      <c r="I334" s="15">
        <v>62841.970972034258</v>
      </c>
      <c r="K334" s="15">
        <v>108</v>
      </c>
      <c r="L334" s="15">
        <v>78.88283203408524</v>
      </c>
      <c r="N334" s="15">
        <v>108</v>
      </c>
      <c r="O334" s="15">
        <v>22220.521768981864</v>
      </c>
    </row>
    <row r="335" spans="1:15">
      <c r="A335" s="15">
        <v>108</v>
      </c>
      <c r="B335" s="15">
        <v>89</v>
      </c>
      <c r="H335" s="14">
        <f>IF(ISBLANK(H288), U289, H288)</f>
        <v>96</v>
      </c>
      <c r="I335" s="14">
        <v>112064.95001142788</v>
      </c>
      <c r="K335" s="14">
        <f>IF(ISBLANK(K288), X289, K288)</f>
        <v>96</v>
      </c>
      <c r="L335" s="14">
        <v>45.60128904699134</v>
      </c>
      <c r="N335" s="14">
        <f>IF(ISBLANK(N288), AA289, N288)</f>
        <v>96</v>
      </c>
      <c r="O335" s="14">
        <v>31654.401161072285</v>
      </c>
    </row>
    <row r="336" spans="1:15">
      <c r="A336" s="14">
        <f>IF(ISBLANK(A289), M290, A289)</f>
        <v>96</v>
      </c>
      <c r="B336" s="14">
        <v>92</v>
      </c>
      <c r="H336" s="15">
        <v>86</v>
      </c>
      <c r="I336" s="15">
        <v>105963.16931981052</v>
      </c>
      <c r="K336" s="15">
        <v>86</v>
      </c>
      <c r="L336" s="15">
        <v>62.2965856</v>
      </c>
      <c r="N336" s="15">
        <v>86</v>
      </c>
      <c r="O336" s="15">
        <v>34167.644808044621</v>
      </c>
    </row>
    <row r="337" spans="1:15">
      <c r="A337" s="15">
        <v>86</v>
      </c>
      <c r="B337" s="15">
        <v>85</v>
      </c>
      <c r="H337" s="14">
        <v>87</v>
      </c>
      <c r="I337" s="14">
        <v>112773.20337286204</v>
      </c>
      <c r="K337" s="14">
        <v>87</v>
      </c>
      <c r="L337" s="14">
        <v>33.000885223796502</v>
      </c>
      <c r="N337" s="14">
        <v>87</v>
      </c>
      <c r="O337" s="14">
        <v>20031.321787142722</v>
      </c>
    </row>
    <row r="338" spans="1:15">
      <c r="A338" s="14">
        <v>87</v>
      </c>
      <c r="B338" s="14">
        <v>86</v>
      </c>
      <c r="H338" s="15">
        <v>109</v>
      </c>
      <c r="I338" s="15">
        <v>121162.366501743</v>
      </c>
      <c r="K338" s="15">
        <v>109</v>
      </c>
      <c r="L338" s="15">
        <v>96.779657716957544</v>
      </c>
      <c r="N338" s="15">
        <v>109</v>
      </c>
      <c r="O338" s="15">
        <v>31870.282849237861</v>
      </c>
    </row>
    <row r="339" spans="1:15">
      <c r="A339" s="15">
        <v>109</v>
      </c>
      <c r="B339" s="15">
        <v>93</v>
      </c>
      <c r="H339" s="14">
        <v>91</v>
      </c>
      <c r="I339" s="14">
        <v>107352.39680419421</v>
      </c>
      <c r="K339" s="14">
        <v>91</v>
      </c>
      <c r="L339" s="14">
        <v>88.126512001378984</v>
      </c>
      <c r="N339" s="14">
        <v>91</v>
      </c>
      <c r="O339" s="14">
        <v>36138.344962366464</v>
      </c>
    </row>
    <row r="340" spans="1:15">
      <c r="A340" s="14">
        <v>91</v>
      </c>
      <c r="B340" s="14">
        <v>84</v>
      </c>
      <c r="H340" s="15">
        <v>107</v>
      </c>
      <c r="I340" s="15">
        <v>102961.78839596553</v>
      </c>
      <c r="K340" s="15">
        <v>107</v>
      </c>
      <c r="L340" s="15">
        <v>89.103169837200255</v>
      </c>
      <c r="N340" s="15">
        <v>107</v>
      </c>
      <c r="O340" s="15">
        <v>23951.794906543972</v>
      </c>
    </row>
    <row r="341" spans="1:15">
      <c r="A341" s="15">
        <v>107</v>
      </c>
      <c r="B341" s="15">
        <v>89</v>
      </c>
      <c r="H341" s="14">
        <v>106</v>
      </c>
      <c r="I341" s="14">
        <v>82378.633266774152</v>
      </c>
      <c r="K341" s="14">
        <v>106</v>
      </c>
      <c r="L341" s="14">
        <v>52.541899885760415</v>
      </c>
      <c r="N341" s="14">
        <v>106</v>
      </c>
      <c r="O341" s="14">
        <v>38362.861934188521</v>
      </c>
    </row>
    <row r="342" spans="1:15">
      <c r="A342" s="14">
        <v>106</v>
      </c>
      <c r="B342" s="14">
        <v>98</v>
      </c>
      <c r="H342" s="15">
        <v>92</v>
      </c>
      <c r="I342" s="15">
        <v>85755.584727018984</v>
      </c>
      <c r="K342" s="15">
        <v>92</v>
      </c>
      <c r="L342" s="15">
        <v>62.2965856</v>
      </c>
      <c r="N342" s="15">
        <v>92</v>
      </c>
      <c r="O342" s="15">
        <v>32095.095046830225</v>
      </c>
    </row>
    <row r="343" spans="1:15">
      <c r="A343" s="15">
        <v>92</v>
      </c>
      <c r="B343" s="15">
        <v>85</v>
      </c>
      <c r="H343" s="14">
        <v>90</v>
      </c>
      <c r="I343" s="14">
        <v>100873.2838</v>
      </c>
      <c r="K343" s="14">
        <v>90</v>
      </c>
      <c r="L343" s="14">
        <v>31.510092431182414</v>
      </c>
      <c r="N343" s="14">
        <v>90</v>
      </c>
      <c r="O343" s="14">
        <v>26474.940721207957</v>
      </c>
    </row>
    <row r="344" spans="1:15">
      <c r="A344" s="14">
        <v>90</v>
      </c>
      <c r="B344" s="14">
        <v>70</v>
      </c>
      <c r="H344" s="15">
        <v>102</v>
      </c>
      <c r="I344" s="15">
        <v>100873.2838</v>
      </c>
      <c r="K344" s="15">
        <v>102</v>
      </c>
      <c r="L344" s="15">
        <v>20.689520207342422</v>
      </c>
      <c r="N344" s="15">
        <v>102</v>
      </c>
      <c r="O344" s="15">
        <v>29721.15461171147</v>
      </c>
    </row>
    <row r="345" spans="1:15">
      <c r="A345" s="15">
        <v>102</v>
      </c>
      <c r="B345" s="15">
        <v>106</v>
      </c>
      <c r="H345" s="14">
        <v>99</v>
      </c>
      <c r="I345" s="14">
        <v>95237.791273758921</v>
      </c>
      <c r="K345" s="14">
        <v>99</v>
      </c>
      <c r="L345" s="14">
        <v>21.597834606242252</v>
      </c>
      <c r="N345" s="14">
        <v>99</v>
      </c>
      <c r="O345" s="14">
        <v>32791.634562608611</v>
      </c>
    </row>
    <row r="346" spans="1:15">
      <c r="A346" s="14">
        <v>99</v>
      </c>
      <c r="B346" s="14">
        <v>91</v>
      </c>
      <c r="H346" s="15">
        <v>88</v>
      </c>
      <c r="I346" s="15">
        <v>100920.05494506548</v>
      </c>
      <c r="K346" s="15">
        <v>88</v>
      </c>
      <c r="L346" s="15">
        <v>66.928138992364836</v>
      </c>
      <c r="N346" s="15">
        <v>88</v>
      </c>
      <c r="O346" s="15">
        <f>IF(ISBLANK(O321), Y324, O321)</f>
        <v>38388.504070382201</v>
      </c>
    </row>
    <row r="347" spans="1:15">
      <c r="A347" s="15">
        <v>88</v>
      </c>
      <c r="B347" s="15">
        <v>86</v>
      </c>
      <c r="H347" s="14">
        <v>100</v>
      </c>
      <c r="I347" s="14">
        <v>81907.712500124675</v>
      </c>
      <c r="K347" s="14">
        <v>100</v>
      </c>
      <c r="L347" s="14">
        <v>56.431592419835262</v>
      </c>
      <c r="N347" s="14">
        <v>100</v>
      </c>
      <c r="O347" s="14">
        <v>32693.779962231845</v>
      </c>
    </row>
    <row r="348" spans="1:15">
      <c r="A348" s="14">
        <v>100</v>
      </c>
      <c r="B348" s="14">
        <v>92</v>
      </c>
      <c r="H348" s="15">
        <f>IF(ISBLANK(H301), U302, H301)</f>
        <v>100</v>
      </c>
      <c r="I348" s="15">
        <v>123455.13690534889</v>
      </c>
      <c r="K348" s="15">
        <f>IF(ISBLANK(K301), X302, K301)</f>
        <v>100</v>
      </c>
      <c r="L348" s="15">
        <v>61.441227912681583</v>
      </c>
      <c r="N348" s="15">
        <f>IF(ISBLANK(N301), AA302, N301)</f>
        <v>100</v>
      </c>
      <c r="O348" s="15">
        <v>25396.632034603168</v>
      </c>
    </row>
    <row r="349" spans="1:15">
      <c r="A349" s="15">
        <f>IF(ISBLANK(A302), M303, A302)</f>
        <v>100</v>
      </c>
      <c r="B349" s="15">
        <v>75</v>
      </c>
      <c r="H349" s="14">
        <v>106</v>
      </c>
      <c r="I349" s="14">
        <v>113308.33647383557</v>
      </c>
      <c r="K349" s="14">
        <v>106</v>
      </c>
      <c r="L349" s="14">
        <f>IF(ISBLANK(L328), P343, L328)</f>
        <v>31.54496349499852</v>
      </c>
      <c r="N349" s="14">
        <v>106</v>
      </c>
      <c r="O349" s="14">
        <v>30846.80412018039</v>
      </c>
    </row>
    <row r="350" spans="1:15">
      <c r="A350" s="14">
        <v>106</v>
      </c>
      <c r="B350" s="14">
        <v>89</v>
      </c>
      <c r="H350" s="15">
        <f>IF(ISBLANK(H303), U304, H303)</f>
        <v>94</v>
      </c>
      <c r="I350" s="15">
        <v>138824.34872927499</v>
      </c>
      <c r="K350" s="15">
        <f>IF(ISBLANK(K303), X304, K303)</f>
        <v>94</v>
      </c>
      <c r="L350" s="15">
        <v>53.814929572594053</v>
      </c>
      <c r="N350" s="15">
        <f>IF(ISBLANK(N303), AA304, N303)</f>
        <v>94</v>
      </c>
      <c r="O350" s="15">
        <v>22931.427515475101</v>
      </c>
    </row>
    <row r="351" spans="1:15">
      <c r="A351" s="15">
        <f>IF(ISBLANK(A304), M305, A304)</f>
        <v>94</v>
      </c>
      <c r="B351" s="15">
        <v>93</v>
      </c>
      <c r="H351" s="14">
        <v>98</v>
      </c>
      <c r="I351" s="14">
        <v>82433.538456405222</v>
      </c>
      <c r="K351" s="14">
        <v>98</v>
      </c>
      <c r="L351" s="14">
        <v>77.445452896068872</v>
      </c>
      <c r="N351" s="14">
        <v>98</v>
      </c>
      <c r="O351" s="14">
        <v>29443.8696932565</v>
      </c>
    </row>
    <row r="352" spans="1:15">
      <c r="A352" s="14">
        <v>98</v>
      </c>
      <c r="B352" s="14">
        <v>92</v>
      </c>
      <c r="H352" s="15">
        <v>119</v>
      </c>
      <c r="I352" s="15">
        <v>92439.84201963566</v>
      </c>
      <c r="K352" s="15">
        <v>119</v>
      </c>
      <c r="L352" s="15">
        <v>55.41549615739487</v>
      </c>
      <c r="N352" s="15">
        <v>119</v>
      </c>
      <c r="O352" s="15">
        <v>30599.02924</v>
      </c>
    </row>
    <row r="353" spans="1:15">
      <c r="A353" s="15">
        <v>119</v>
      </c>
      <c r="B353" s="15">
        <v>92</v>
      </c>
      <c r="H353" s="14">
        <v>99</v>
      </c>
      <c r="I353" s="14">
        <v>104628.91845051144</v>
      </c>
      <c r="K353" s="14">
        <v>99</v>
      </c>
      <c r="L353" s="14">
        <v>78.577536504977786</v>
      </c>
      <c r="N353" s="14">
        <v>99</v>
      </c>
      <c r="O353" s="14">
        <v>26322.350287051166</v>
      </c>
    </row>
    <row r="354" spans="1:15">
      <c r="A354" s="14">
        <v>99</v>
      </c>
      <c r="B354" s="14">
        <f>IF(ISBLANK(B344), G357, B344)</f>
        <v>70</v>
      </c>
      <c r="H354" s="15">
        <v>87</v>
      </c>
      <c r="I354" s="15">
        <v>112929.79075451542</v>
      </c>
      <c r="K354" s="15">
        <v>87</v>
      </c>
      <c r="L354" s="15">
        <v>38.641517151746783</v>
      </c>
      <c r="N354" s="15">
        <v>87</v>
      </c>
      <c r="O354" s="15">
        <v>36180.465876052185</v>
      </c>
    </row>
    <row r="355" spans="1:15">
      <c r="A355" s="15">
        <v>87</v>
      </c>
      <c r="B355" s="15">
        <v>94</v>
      </c>
      <c r="H355" s="14">
        <f>IF(ISBLANK(H308), U309, H308)</f>
        <v>92</v>
      </c>
      <c r="I355" s="14">
        <v>95686.647249047353</v>
      </c>
      <c r="K355" s="14">
        <f>IF(ISBLANK(K308), X309, K308)</f>
        <v>92</v>
      </c>
      <c r="L355" s="14">
        <v>85.051360358538034</v>
      </c>
      <c r="N355" s="14">
        <f>IF(ISBLANK(N308), AA309, N308)</f>
        <v>92</v>
      </c>
      <c r="O355" s="14">
        <v>35456.550602971343</v>
      </c>
    </row>
    <row r="356" spans="1:15">
      <c r="A356" s="14">
        <f>IF(ISBLANK(A309), M310, A309)</f>
        <v>92</v>
      </c>
      <c r="B356" s="14">
        <v>93</v>
      </c>
      <c r="H356" s="15">
        <v>103</v>
      </c>
      <c r="I356" s="15">
        <v>82540.778190925994</v>
      </c>
      <c r="K356" s="15">
        <v>103</v>
      </c>
      <c r="L356" s="15">
        <v>67.074499236276182</v>
      </c>
      <c r="N356" s="15">
        <v>103</v>
      </c>
      <c r="O356" s="15">
        <v>33045.690604535885</v>
      </c>
    </row>
    <row r="357" spans="1:15">
      <c r="A357" s="15">
        <v>103</v>
      </c>
      <c r="B357" s="15">
        <v>84</v>
      </c>
      <c r="H357" s="14">
        <v>79</v>
      </c>
      <c r="I357" s="14">
        <v>117628.15057847142</v>
      </c>
      <c r="K357" s="14">
        <v>79</v>
      </c>
      <c r="L357" s="14">
        <v>36.861047954392497</v>
      </c>
      <c r="N357" s="14">
        <v>79</v>
      </c>
      <c r="O357" s="14">
        <v>24538.436176637104</v>
      </c>
    </row>
    <row r="358" spans="1:15">
      <c r="A358" s="14">
        <v>79</v>
      </c>
      <c r="B358" s="14">
        <v>89</v>
      </c>
      <c r="H358" s="15">
        <v>110</v>
      </c>
      <c r="I358" s="15">
        <v>114422.70725091163</v>
      </c>
      <c r="K358" s="15">
        <v>110</v>
      </c>
      <c r="L358" s="15">
        <v>38.937638068306633</v>
      </c>
      <c r="N358" s="15">
        <v>110</v>
      </c>
      <c r="O358" s="15">
        <v>28417.957751525992</v>
      </c>
    </row>
    <row r="359" spans="1:15">
      <c r="A359" s="15">
        <v>110</v>
      </c>
      <c r="B359" s="15">
        <v>95</v>
      </c>
      <c r="H359" s="14">
        <v>95</v>
      </c>
      <c r="I359" s="14">
        <v>81674.517988725507</v>
      </c>
      <c r="K359" s="14">
        <v>95</v>
      </c>
      <c r="L359" s="14">
        <v>70.242437165562961</v>
      </c>
      <c r="N359" s="14">
        <v>95</v>
      </c>
      <c r="O359" s="14">
        <v>36065.488499895917</v>
      </c>
    </row>
    <row r="360" spans="1:15">
      <c r="A360" s="14">
        <v>95</v>
      </c>
      <c r="B360" s="14">
        <v>80</v>
      </c>
      <c r="H360" s="15">
        <v>101</v>
      </c>
      <c r="I360" s="15">
        <v>127108.85602210992</v>
      </c>
      <c r="K360" s="15">
        <v>101</v>
      </c>
      <c r="L360" s="15">
        <v>86.395167456995466</v>
      </c>
      <c r="N360" s="15">
        <v>101</v>
      </c>
      <c r="O360" s="15">
        <v>30708.584568199523</v>
      </c>
    </row>
    <row r="361" spans="1:15">
      <c r="A361" s="15">
        <v>101</v>
      </c>
      <c r="B361" s="15">
        <v>89</v>
      </c>
      <c r="H361" s="14">
        <v>95</v>
      </c>
      <c r="I361" s="14">
        <v>123403.97418393208</v>
      </c>
      <c r="K361" s="14">
        <v>95</v>
      </c>
      <c r="L361" s="14">
        <f>IF(ISBLANK(L340), P355, L340)</f>
        <v>89.103169837200255</v>
      </c>
      <c r="N361" s="14">
        <v>95</v>
      </c>
      <c r="O361" s="14">
        <v>41596.64769990847</v>
      </c>
    </row>
    <row r="362" spans="1:15">
      <c r="A362" s="14">
        <v>95</v>
      </c>
      <c r="B362" s="14">
        <v>93</v>
      </c>
      <c r="H362" s="15">
        <v>107</v>
      </c>
      <c r="I362" s="15">
        <v>102685.92994495586</v>
      </c>
      <c r="K362" s="15">
        <v>107</v>
      </c>
      <c r="L362" s="15">
        <v>40.664034330207379</v>
      </c>
      <c r="N362" s="15">
        <v>107</v>
      </c>
      <c r="O362" s="15">
        <v>31966.589196971858</v>
      </c>
    </row>
    <row r="363" spans="1:15">
      <c r="A363" s="15">
        <v>107</v>
      </c>
      <c r="B363" s="15">
        <v>85</v>
      </c>
      <c r="H363" s="14">
        <v>91</v>
      </c>
      <c r="I363" s="14">
        <v>101591.95724752072</v>
      </c>
      <c r="K363" s="14">
        <v>91</v>
      </c>
      <c r="L363" s="14">
        <v>89.360928552848037</v>
      </c>
      <c r="N363" s="14">
        <v>91</v>
      </c>
      <c r="O363" s="14">
        <f>IF(ISBLANK(O338), Y341, O338)</f>
        <v>31870.282849237861</v>
      </c>
    </row>
    <row r="364" spans="1:15">
      <c r="A364" s="14">
        <v>91</v>
      </c>
      <c r="B364" s="14">
        <v>81</v>
      </c>
      <c r="H364" s="15">
        <v>87</v>
      </c>
      <c r="I364" s="15">
        <v>111081.15542231814</v>
      </c>
      <c r="K364" s="15">
        <v>87</v>
      </c>
      <c r="L364" s="15">
        <f>IF(ISBLANK(L343), P358, L343)</f>
        <v>31.510092431182414</v>
      </c>
      <c r="N364" s="15">
        <v>87</v>
      </c>
      <c r="O364" s="15">
        <v>28454.417678987495</v>
      </c>
    </row>
    <row r="365" spans="1:15">
      <c r="A365" s="15">
        <v>87</v>
      </c>
      <c r="B365" s="15">
        <v>81</v>
      </c>
      <c r="H365" s="14">
        <v>100</v>
      </c>
      <c r="I365" s="14">
        <v>82765.938594874839</v>
      </c>
      <c r="K365" s="14">
        <v>100</v>
      </c>
      <c r="L365" s="14">
        <v>55.846838982646119</v>
      </c>
      <c r="N365" s="14">
        <v>100</v>
      </c>
      <c r="O365" s="14">
        <v>30667.704523911412</v>
      </c>
    </row>
    <row r="366" spans="1:15">
      <c r="A366" s="14">
        <v>100</v>
      </c>
      <c r="B366" s="14">
        <v>88</v>
      </c>
      <c r="H366" s="15">
        <v>117</v>
      </c>
      <c r="I366" s="15">
        <v>100600.62958328164</v>
      </c>
      <c r="K366" s="15">
        <v>117</v>
      </c>
      <c r="L366" s="15">
        <v>59.032015622344147</v>
      </c>
      <c r="N366" s="15">
        <v>117</v>
      </c>
      <c r="O366" s="15">
        <v>29237.650818097281</v>
      </c>
    </row>
    <row r="367" spans="1:15">
      <c r="A367" s="15">
        <v>117</v>
      </c>
      <c r="B367" s="15">
        <v>88</v>
      </c>
      <c r="H367" s="14">
        <v>102</v>
      </c>
      <c r="I367" s="14">
        <v>56952.329107816389</v>
      </c>
      <c r="K367" s="14">
        <v>102</v>
      </c>
      <c r="L367" s="14">
        <f>IF(ISBLANK(L346), P361, L346)</f>
        <v>66.928138992364836</v>
      </c>
      <c r="N367" s="14">
        <v>102</v>
      </c>
      <c r="O367" s="14">
        <f>IF(ISBLANK(O342), Y345, O342)</f>
        <v>32095.095046830225</v>
      </c>
    </row>
    <row r="368" spans="1:15">
      <c r="A368" s="14">
        <v>102</v>
      </c>
      <c r="B368" s="14">
        <v>103</v>
      </c>
      <c r="H368" s="15">
        <v>88</v>
      </c>
      <c r="I368" s="15">
        <v>117529.11291005871</v>
      </c>
      <c r="K368" s="15">
        <v>88</v>
      </c>
      <c r="L368" s="15">
        <v>70.144210405187522</v>
      </c>
      <c r="N368" s="15">
        <v>88</v>
      </c>
      <c r="O368" s="15">
        <v>34783.511583972919</v>
      </c>
    </row>
    <row r="369" spans="1:15">
      <c r="A369" s="15">
        <v>88</v>
      </c>
      <c r="B369" s="15">
        <v>91</v>
      </c>
      <c r="H369" s="14">
        <v>100</v>
      </c>
      <c r="I369" s="14">
        <v>68770.135551162821</v>
      </c>
      <c r="K369" s="14">
        <v>100</v>
      </c>
      <c r="L369" s="14">
        <v>48.699400843431093</v>
      </c>
      <c r="N369" s="14">
        <v>100</v>
      </c>
      <c r="O369" s="14">
        <v>26070.052697460254</v>
      </c>
    </row>
    <row r="370" spans="1:15">
      <c r="A370" s="14">
        <v>100</v>
      </c>
      <c r="B370" s="14">
        <f>IF(ISBLANK(B360), G373, B360)</f>
        <v>80</v>
      </c>
      <c r="H370" s="15">
        <v>81</v>
      </c>
      <c r="I370" s="15">
        <v>130068.39656857998</v>
      </c>
      <c r="K370" s="15">
        <v>81</v>
      </c>
      <c r="L370" s="15">
        <v>99.651614133947945</v>
      </c>
      <c r="N370" s="15">
        <v>81</v>
      </c>
      <c r="O370" s="15">
        <v>23343.83523221111</v>
      </c>
    </row>
    <row r="371" spans="1:15">
      <c r="A371" s="15">
        <v>81</v>
      </c>
      <c r="B371" s="15">
        <v>95</v>
      </c>
      <c r="H371" s="14">
        <v>91</v>
      </c>
      <c r="I371" s="14">
        <v>93397.598120670998</v>
      </c>
      <c r="K371" s="14">
        <v>91</v>
      </c>
      <c r="L371" s="14">
        <v>58.414681220951024</v>
      </c>
      <c r="N371" s="14">
        <v>91</v>
      </c>
      <c r="O371" s="14">
        <v>20818.973134483516</v>
      </c>
    </row>
    <row r="372" spans="1:15">
      <c r="A372" s="14">
        <v>91</v>
      </c>
      <c r="B372" s="14">
        <v>109</v>
      </c>
      <c r="H372" s="15">
        <v>90</v>
      </c>
      <c r="I372" s="15">
        <v>95766.66036137646</v>
      </c>
      <c r="K372" s="15">
        <v>90</v>
      </c>
      <c r="L372" s="15">
        <v>58.870848495169056</v>
      </c>
      <c r="N372" s="15">
        <v>90</v>
      </c>
      <c r="O372" s="15">
        <v>32539.956634562717</v>
      </c>
    </row>
    <row r="373" spans="1:15">
      <c r="A373" s="15">
        <v>90</v>
      </c>
      <c r="B373" s="15">
        <v>85</v>
      </c>
      <c r="H373" s="14">
        <v>102</v>
      </c>
      <c r="I373" s="14">
        <v>87445.321878309886</v>
      </c>
      <c r="K373" s="14">
        <v>102</v>
      </c>
      <c r="L373" s="14">
        <v>65.268142992853754</v>
      </c>
      <c r="N373" s="14">
        <v>102</v>
      </c>
      <c r="O373" s="14">
        <v>24483.166969130631</v>
      </c>
    </row>
    <row r="374" spans="1:15">
      <c r="A374" s="14">
        <v>102</v>
      </c>
      <c r="B374" s="14">
        <v>81</v>
      </c>
      <c r="H374" s="15">
        <v>109</v>
      </c>
      <c r="I374" s="15">
        <v>94239.222521558477</v>
      </c>
      <c r="K374" s="15">
        <v>109</v>
      </c>
      <c r="L374" s="15">
        <v>93.340480249499734</v>
      </c>
      <c r="N374" s="15">
        <v>109</v>
      </c>
      <c r="O374" s="15">
        <v>19235.547035237585</v>
      </c>
    </row>
    <row r="375" spans="1:15">
      <c r="A375" s="15">
        <v>109</v>
      </c>
      <c r="B375" s="15">
        <v>97</v>
      </c>
      <c r="H375" s="14">
        <v>101</v>
      </c>
      <c r="I375" s="14">
        <v>128370.62690296074</v>
      </c>
      <c r="K375" s="14">
        <v>101</v>
      </c>
      <c r="L375" s="14">
        <v>84.065447988780022</v>
      </c>
      <c r="N375" s="14">
        <v>101</v>
      </c>
      <c r="O375" s="14">
        <v>31942.893022654822</v>
      </c>
    </row>
    <row r="376" spans="1:15">
      <c r="A376" s="14">
        <v>101</v>
      </c>
      <c r="B376" s="14">
        <v>87</v>
      </c>
      <c r="H376" s="15">
        <v>97</v>
      </c>
      <c r="I376" s="15">
        <v>50243.826869298413</v>
      </c>
      <c r="K376" s="15">
        <v>97</v>
      </c>
      <c r="L376" s="15">
        <v>56.090405583827312</v>
      </c>
      <c r="N376" s="15">
        <v>97</v>
      </c>
      <c r="O376" s="15">
        <v>42464.997587163954</v>
      </c>
    </row>
    <row r="377" spans="1:15">
      <c r="A377" s="15">
        <v>97</v>
      </c>
      <c r="B377" s="15">
        <v>94</v>
      </c>
      <c r="H377" s="14">
        <v>88</v>
      </c>
      <c r="I377" s="14">
        <v>125539.30772176376</v>
      </c>
      <c r="K377" s="14">
        <v>88</v>
      </c>
      <c r="L377" s="14">
        <v>77.495941277823675</v>
      </c>
      <c r="N377" s="14">
        <v>88</v>
      </c>
      <c r="O377" s="14">
        <v>29969.645442300534</v>
      </c>
    </row>
    <row r="378" spans="1:15">
      <c r="A378" s="14">
        <v>88</v>
      </c>
      <c r="B378" s="14">
        <v>89</v>
      </c>
      <c r="H378" s="15">
        <v>100</v>
      </c>
      <c r="I378" s="15">
        <v>106760.46962203416</v>
      </c>
      <c r="K378" s="15">
        <v>100</v>
      </c>
      <c r="L378" s="15">
        <v>66.898839902460935</v>
      </c>
      <c r="N378" s="15">
        <v>100</v>
      </c>
      <c r="O378" s="15">
        <v>34192.453872258207</v>
      </c>
    </row>
    <row r="379" spans="1:15">
      <c r="A379" s="15">
        <v>100</v>
      </c>
      <c r="B379" s="15">
        <f>IF(ISBLANK(B369), G382, B369)</f>
        <v>91</v>
      </c>
      <c r="H379" s="14">
        <v>104</v>
      </c>
      <c r="I379" s="14">
        <v>75859.567042855691</v>
      </c>
      <c r="K379" s="14">
        <v>104</v>
      </c>
      <c r="L379" s="14">
        <v>59.389363896099916</v>
      </c>
      <c r="N379" s="14">
        <v>104</v>
      </c>
      <c r="O379" s="14">
        <v>30409.146792737825</v>
      </c>
    </row>
    <row r="380" spans="1:15">
      <c r="A380" s="14">
        <v>104</v>
      </c>
      <c r="B380" s="14">
        <v>111</v>
      </c>
      <c r="H380" s="15">
        <v>106</v>
      </c>
      <c r="I380" s="15">
        <v>78493.75213901524</v>
      </c>
      <c r="K380" s="15">
        <v>106</v>
      </c>
      <c r="L380" s="15">
        <v>35.385261822748042</v>
      </c>
      <c r="N380" s="15">
        <v>106</v>
      </c>
      <c r="O380" s="15">
        <v>29505.551734044286</v>
      </c>
    </row>
    <row r="381" spans="1:15">
      <c r="A381" s="15">
        <v>106</v>
      </c>
      <c r="B381" s="15">
        <v>85</v>
      </c>
      <c r="H381" s="14">
        <v>91</v>
      </c>
      <c r="I381" s="14">
        <v>133527.86054416405</v>
      </c>
      <c r="K381" s="14">
        <v>91</v>
      </c>
      <c r="L381" s="14">
        <v>57.114901076391277</v>
      </c>
      <c r="N381" s="14">
        <v>91</v>
      </c>
      <c r="O381" s="14">
        <v>34595.382414938846</v>
      </c>
    </row>
    <row r="382" spans="1:15">
      <c r="A382" s="14">
        <v>91</v>
      </c>
      <c r="B382" s="14">
        <v>87</v>
      </c>
      <c r="H382" s="15">
        <v>110</v>
      </c>
      <c r="I382" s="15">
        <v>81089.862401145379</v>
      </c>
      <c r="K382" s="15">
        <v>110</v>
      </c>
      <c r="L382" s="15">
        <v>39.665486961805968</v>
      </c>
      <c r="N382" s="15">
        <v>110</v>
      </c>
      <c r="O382" s="15">
        <v>28548.627279056742</v>
      </c>
    </row>
    <row r="383" spans="1:15">
      <c r="A383" s="15">
        <v>110</v>
      </c>
      <c r="B383" s="15">
        <v>88</v>
      </c>
      <c r="H383" s="14">
        <v>104</v>
      </c>
      <c r="I383" s="14">
        <v>76932.989788080813</v>
      </c>
      <c r="K383" s="14">
        <v>104</v>
      </c>
      <c r="L383" s="14">
        <v>93.187371988132369</v>
      </c>
      <c r="N383" s="14">
        <v>104</v>
      </c>
      <c r="O383" s="14">
        <v>31336.961570359515</v>
      </c>
    </row>
    <row r="384" spans="1:15">
      <c r="A384" s="14">
        <v>104</v>
      </c>
      <c r="B384" s="14">
        <v>82</v>
      </c>
      <c r="H384" s="15">
        <v>85</v>
      </c>
      <c r="I384" s="15">
        <v>122746.29084729459</v>
      </c>
      <c r="K384" s="15">
        <v>85</v>
      </c>
      <c r="L384" s="15">
        <v>46.832545079707756</v>
      </c>
      <c r="N384" s="15">
        <v>85</v>
      </c>
      <c r="O384" s="15">
        <v>31608.489030980068</v>
      </c>
    </row>
    <row r="385" spans="1:15">
      <c r="A385" s="15">
        <v>85</v>
      </c>
      <c r="B385" s="15">
        <v>84</v>
      </c>
      <c r="H385" s="14">
        <v>107</v>
      </c>
      <c r="I385" s="14">
        <v>106771.05752571828</v>
      </c>
      <c r="K385" s="14">
        <v>107</v>
      </c>
      <c r="L385" s="14">
        <v>96.181121162669783</v>
      </c>
      <c r="N385" s="14">
        <v>107</v>
      </c>
      <c r="O385" s="14">
        <v>26659.547731784754</v>
      </c>
    </row>
    <row r="386" spans="1:15">
      <c r="A386" s="14">
        <v>107</v>
      </c>
      <c r="B386" s="14">
        <v>79</v>
      </c>
      <c r="H386" s="15">
        <v>111</v>
      </c>
      <c r="I386" s="15">
        <v>81241.488469272022</v>
      </c>
      <c r="K386" s="15">
        <v>111</v>
      </c>
      <c r="L386" s="15">
        <v>62.644423207576892</v>
      </c>
      <c r="N386" s="15">
        <v>111</v>
      </c>
      <c r="O386" s="15">
        <v>34960.211747682617</v>
      </c>
    </row>
    <row r="387" spans="1:15">
      <c r="A387" s="15">
        <v>111</v>
      </c>
      <c r="B387" s="15">
        <v>87</v>
      </c>
      <c r="H387" s="14">
        <f>IF(ISBLANK(H340), U341, H340)</f>
        <v>107</v>
      </c>
      <c r="I387" s="14">
        <v>104332.49950809238</v>
      </c>
      <c r="K387" s="14">
        <f>IF(ISBLANK(K340), X341, K340)</f>
        <v>107</v>
      </c>
      <c r="L387" s="14">
        <v>70.523550294092828</v>
      </c>
      <c r="N387" s="14">
        <f>IF(ISBLANK(N340), AA341, N340)</f>
        <v>107</v>
      </c>
      <c r="O387" s="14">
        <v>29125.201216522957</v>
      </c>
    </row>
    <row r="388" spans="1:15">
      <c r="A388" s="14">
        <f>IF(ISBLANK(A341), M342, A341)</f>
        <v>107</v>
      </c>
      <c r="B388" s="14">
        <v>92</v>
      </c>
      <c r="H388" s="15">
        <v>94</v>
      </c>
      <c r="I388" s="15">
        <v>79484.946327194455</v>
      </c>
      <c r="K388" s="15">
        <v>94</v>
      </c>
      <c r="L388" s="15">
        <v>63.435235559146221</v>
      </c>
      <c r="N388" s="15">
        <v>94</v>
      </c>
      <c r="O388" s="15">
        <v>26221.274202535777</v>
      </c>
    </row>
    <row r="389" spans="1:15">
      <c r="A389" s="15">
        <v>94</v>
      </c>
      <c r="B389" s="15">
        <v>79</v>
      </c>
      <c r="H389" s="14">
        <v>91</v>
      </c>
      <c r="I389" s="14">
        <v>122016.4279684521</v>
      </c>
      <c r="K389" s="14">
        <v>91</v>
      </c>
      <c r="L389" s="14">
        <v>30.350449357336071</v>
      </c>
      <c r="N389" s="14">
        <v>91</v>
      </c>
      <c r="O389" s="14">
        <v>32682.549217852018</v>
      </c>
    </row>
    <row r="390" spans="1:15">
      <c r="A390" s="14">
        <v>91</v>
      </c>
      <c r="B390" s="14">
        <v>95</v>
      </c>
      <c r="H390" s="15">
        <v>89</v>
      </c>
      <c r="I390" s="15">
        <v>121227.41929746268</v>
      </c>
      <c r="K390" s="15">
        <v>89</v>
      </c>
      <c r="L390" s="15">
        <v>50.065697520635275</v>
      </c>
      <c r="N390" s="15">
        <v>89</v>
      </c>
      <c r="O390" s="15">
        <v>25507.660091044814</v>
      </c>
    </row>
    <row r="391" spans="1:15">
      <c r="A391" s="15">
        <v>89</v>
      </c>
      <c r="B391" s="15">
        <v>96</v>
      </c>
      <c r="H391" s="14">
        <v>98</v>
      </c>
      <c r="I391" s="14">
        <v>110640.12397643886</v>
      </c>
      <c r="K391" s="14">
        <v>98</v>
      </c>
      <c r="L391" s="14">
        <v>27.931688982209913</v>
      </c>
      <c r="N391" s="14">
        <v>98</v>
      </c>
      <c r="O391" s="14">
        <v>30140.90578684564</v>
      </c>
    </row>
    <row r="392" spans="1:15">
      <c r="A392" s="14">
        <v>98</v>
      </c>
      <c r="B392" s="14">
        <v>90</v>
      </c>
      <c r="H392" s="15">
        <v>110</v>
      </c>
      <c r="I392" s="15">
        <v>107233.22122494034</v>
      </c>
      <c r="K392" s="15">
        <v>110</v>
      </c>
      <c r="L392" s="15">
        <v>69.836323534670541</v>
      </c>
      <c r="N392" s="15">
        <v>110</v>
      </c>
      <c r="O392" s="15">
        <v>29954.405016778983</v>
      </c>
    </row>
    <row r="393" spans="1:15">
      <c r="A393" s="15">
        <v>110</v>
      </c>
      <c r="B393" s="15">
        <v>95</v>
      </c>
      <c r="H393" s="14">
        <v>93</v>
      </c>
      <c r="I393" s="14">
        <v>135223.76249734749</v>
      </c>
      <c r="K393" s="14">
        <v>93</v>
      </c>
      <c r="L393" s="14">
        <v>55.749935616035117</v>
      </c>
      <c r="N393" s="14">
        <v>93</v>
      </c>
      <c r="O393" s="14">
        <v>35429.477829157891</v>
      </c>
    </row>
    <row r="394" spans="1:15">
      <c r="A394" s="14">
        <v>93</v>
      </c>
      <c r="B394" s="14">
        <f>IF(ISBLANK(B384), G397, B384)</f>
        <v>82</v>
      </c>
      <c r="H394" s="15">
        <v>103</v>
      </c>
      <c r="I394" s="15">
        <f>IF(ISBLANK(I385), O396, I385)</f>
        <v>106771.05752571828</v>
      </c>
      <c r="K394" s="15">
        <v>103</v>
      </c>
      <c r="L394" s="15">
        <v>82.238797725674942</v>
      </c>
      <c r="N394" s="15">
        <v>103</v>
      </c>
      <c r="O394" s="15">
        <v>32373.491164399762</v>
      </c>
    </row>
    <row r="395" spans="1:15">
      <c r="A395" s="15">
        <v>103</v>
      </c>
      <c r="B395" s="15">
        <v>96</v>
      </c>
      <c r="H395" s="14">
        <f>IF(ISBLANK(H348), U349, H348)</f>
        <v>100</v>
      </c>
      <c r="I395" s="14">
        <v>76362.517491583974</v>
      </c>
      <c r="K395" s="14">
        <f>IF(ISBLANK(K348), X349, K348)</f>
        <v>100</v>
      </c>
      <c r="L395" s="14">
        <v>37.637638479949587</v>
      </c>
      <c r="N395" s="14">
        <f>IF(ISBLANK(N348), AA349, N348)</f>
        <v>100</v>
      </c>
      <c r="O395" s="14">
        <f>IF(ISBLANK(O370), Y373, O370)</f>
        <v>23343.83523221111</v>
      </c>
    </row>
    <row r="396" spans="1:15">
      <c r="A396" s="14">
        <f>IF(ISBLANK(A349), M350, A349)</f>
        <v>100</v>
      </c>
      <c r="B396" s="14">
        <v>89</v>
      </c>
      <c r="H396" s="15">
        <v>101</v>
      </c>
      <c r="I396" s="15">
        <f>IF(ISBLANK(I387), O398, I387)</f>
        <v>104332.49950809238</v>
      </c>
      <c r="K396" s="15">
        <v>101</v>
      </c>
      <c r="L396" s="15">
        <v>33.165284674346793</v>
      </c>
      <c r="N396" s="15">
        <v>101</v>
      </c>
      <c r="O396" s="15">
        <v>34088.831496001432</v>
      </c>
    </row>
    <row r="397" spans="1:15">
      <c r="A397" s="15">
        <v>101</v>
      </c>
      <c r="B397" s="15">
        <v>87</v>
      </c>
      <c r="H397" s="14">
        <v>94</v>
      </c>
      <c r="I397" s="14">
        <v>100873.2838</v>
      </c>
      <c r="K397" s="14">
        <v>94</v>
      </c>
      <c r="L397" s="14">
        <v>52.506578477101428</v>
      </c>
      <c r="N397" s="14">
        <v>94</v>
      </c>
      <c r="O397" s="14">
        <v>30599.02924</v>
      </c>
    </row>
    <row r="398" spans="1:15">
      <c r="A398" s="14">
        <v>94</v>
      </c>
      <c r="B398" s="14">
        <v>96</v>
      </c>
      <c r="H398" s="15">
        <v>108</v>
      </c>
      <c r="I398" s="15">
        <v>79704.810136282962</v>
      </c>
      <c r="K398" s="15">
        <v>108</v>
      </c>
      <c r="L398" s="15">
        <v>94.126830657470492</v>
      </c>
      <c r="N398" s="15">
        <v>108</v>
      </c>
      <c r="O398" s="15">
        <v>32789.051531759309</v>
      </c>
    </row>
    <row r="399" spans="1:15">
      <c r="A399" s="15">
        <v>108</v>
      </c>
      <c r="B399" s="15">
        <v>102</v>
      </c>
      <c r="H399" s="14">
        <v>113</v>
      </c>
      <c r="I399" s="14">
        <v>92770.744666120285</v>
      </c>
      <c r="K399" s="14">
        <v>113</v>
      </c>
      <c r="L399" s="14">
        <v>76.833745200992936</v>
      </c>
      <c r="N399" s="14">
        <v>113</v>
      </c>
      <c r="O399" s="14">
        <v>30051.763099216903</v>
      </c>
    </row>
    <row r="400" spans="1:15">
      <c r="A400" s="14">
        <v>113</v>
      </c>
      <c r="B400" s="14">
        <v>72</v>
      </c>
      <c r="H400" s="15">
        <v>115</v>
      </c>
      <c r="I400" s="15">
        <f>IF(ISBLANK(I391), O402, I391)</f>
        <v>110640.12397643886</v>
      </c>
      <c r="K400" s="15">
        <v>115</v>
      </c>
      <c r="L400" s="15">
        <v>53.513889983433494</v>
      </c>
      <c r="N400" s="15">
        <v>115</v>
      </c>
      <c r="O400" s="15">
        <v>23440.818838249201</v>
      </c>
    </row>
    <row r="401" spans="1:15">
      <c r="A401" s="15">
        <v>115</v>
      </c>
      <c r="B401" s="15">
        <v>88</v>
      </c>
      <c r="H401" s="14">
        <v>98</v>
      </c>
      <c r="I401" s="14">
        <v>98921.903019885212</v>
      </c>
      <c r="K401" s="14">
        <v>98</v>
      </c>
      <c r="L401" s="14">
        <v>61.381773580344841</v>
      </c>
      <c r="N401" s="14">
        <v>98</v>
      </c>
      <c r="O401" s="14">
        <v>24674.431684623138</v>
      </c>
    </row>
    <row r="402" spans="1:15">
      <c r="A402" s="14">
        <v>98</v>
      </c>
      <c r="B402" s="14">
        <v>81</v>
      </c>
      <c r="H402" s="15">
        <v>93</v>
      </c>
      <c r="I402" s="15">
        <v>80353.928392453701</v>
      </c>
      <c r="K402" s="15">
        <v>93</v>
      </c>
      <c r="L402" s="15">
        <v>26.737040894167869</v>
      </c>
      <c r="N402" s="15">
        <v>93</v>
      </c>
      <c r="O402" s="15">
        <v>28473.876478226663</v>
      </c>
    </row>
    <row r="403" spans="1:15">
      <c r="A403" s="15">
        <v>93</v>
      </c>
      <c r="B403" s="15">
        <v>92</v>
      </c>
      <c r="H403" s="14">
        <v>104</v>
      </c>
      <c r="I403" s="14">
        <v>122437.15712460942</v>
      </c>
      <c r="K403" s="14">
        <v>104</v>
      </c>
      <c r="L403" s="14">
        <v>98.766071710089051</v>
      </c>
      <c r="N403" s="14">
        <v>104</v>
      </c>
      <c r="O403" s="14">
        <v>26952.438989203583</v>
      </c>
    </row>
    <row r="404" spans="1:15">
      <c r="A404" s="14">
        <v>104</v>
      </c>
      <c r="B404" s="14">
        <f>IF(ISBLANK(B394), G407, B394)</f>
        <v>82</v>
      </c>
      <c r="H404" s="15">
        <v>100</v>
      </c>
      <c r="I404" s="15">
        <v>146400.81444034519</v>
      </c>
      <c r="K404" s="15">
        <v>100</v>
      </c>
      <c r="L404" s="15">
        <v>73.312584375593516</v>
      </c>
      <c r="N404" s="15">
        <v>100</v>
      </c>
      <c r="O404" s="15">
        <v>29065.143485072771</v>
      </c>
    </row>
    <row r="405" spans="1:15">
      <c r="A405" s="15">
        <v>100</v>
      </c>
      <c r="B405" s="15">
        <v>102</v>
      </c>
      <c r="H405" s="14">
        <v>89</v>
      </c>
      <c r="I405" s="14">
        <v>103922.62918047815</v>
      </c>
      <c r="K405" s="14">
        <v>89</v>
      </c>
      <c r="L405" s="14">
        <v>42.832325477073795</v>
      </c>
      <c r="N405" s="14">
        <v>89</v>
      </c>
      <c r="O405" s="14">
        <f>IF(ISBLANK(O380), Y383, O380)</f>
        <v>29505.551734044286</v>
      </c>
    </row>
    <row r="406" spans="1:15">
      <c r="A406" s="14">
        <v>89</v>
      </c>
      <c r="B406" s="14">
        <v>80</v>
      </c>
      <c r="H406" s="15">
        <v>86</v>
      </c>
      <c r="I406" s="15">
        <v>81918.634205279988</v>
      </c>
      <c r="K406" s="15">
        <v>86</v>
      </c>
      <c r="L406" s="15">
        <f>IF(ISBLANK(L385), P400, L385)</f>
        <v>96.181121162669783</v>
      </c>
      <c r="N406" s="15">
        <v>86</v>
      </c>
      <c r="O406" s="15">
        <v>32648.463771783652</v>
      </c>
    </row>
    <row r="407" spans="1:15">
      <c r="A407" s="15">
        <v>86</v>
      </c>
      <c r="B407" s="15">
        <v>84</v>
      </c>
      <c r="H407" s="14">
        <v>93</v>
      </c>
      <c r="I407" s="14">
        <v>69020.789498930506</v>
      </c>
      <c r="K407" s="14">
        <v>93</v>
      </c>
      <c r="L407" s="14">
        <v>28.75858928551952</v>
      </c>
      <c r="N407" s="14">
        <v>93</v>
      </c>
      <c r="O407" s="14">
        <v>29647.506109704544</v>
      </c>
    </row>
    <row r="408" spans="1:15">
      <c r="A408" s="14">
        <v>93</v>
      </c>
      <c r="B408" s="14">
        <v>89</v>
      </c>
      <c r="H408" s="15">
        <v>104</v>
      </c>
      <c r="I408" s="15">
        <v>105159.51962442361</v>
      </c>
      <c r="K408" s="15">
        <v>104</v>
      </c>
      <c r="L408" s="15">
        <v>97.266933504606683</v>
      </c>
      <c r="N408" s="15">
        <v>104</v>
      </c>
      <c r="O408" s="15">
        <v>32432.50821913101</v>
      </c>
    </row>
    <row r="409" spans="1:15">
      <c r="A409" s="15">
        <v>104</v>
      </c>
      <c r="B409" s="15">
        <v>79</v>
      </c>
      <c r="H409" s="14">
        <v>91</v>
      </c>
      <c r="I409" s="14">
        <v>122077.54686632515</v>
      </c>
      <c r="K409" s="14">
        <v>91</v>
      </c>
      <c r="L409" s="14">
        <v>33.982799030669277</v>
      </c>
      <c r="N409" s="14">
        <v>91</v>
      </c>
      <c r="O409" s="14">
        <f>IF(ISBLANK(O384), Y387, O384)</f>
        <v>31608.489030980068</v>
      </c>
    </row>
    <row r="410" spans="1:15">
      <c r="A410" s="14">
        <v>91</v>
      </c>
      <c r="B410" s="14">
        <f>IF(ISBLANK(B400), G413, B400)</f>
        <v>72</v>
      </c>
      <c r="H410" s="15">
        <v>113</v>
      </c>
      <c r="I410" s="15">
        <v>100873.2838</v>
      </c>
      <c r="K410" s="15">
        <v>113</v>
      </c>
      <c r="L410" s="15">
        <v>71.842425444417131</v>
      </c>
      <c r="N410" s="15">
        <v>113</v>
      </c>
      <c r="O410" s="15">
        <v>20122.667168230644</v>
      </c>
    </row>
    <row r="411" spans="1:15">
      <c r="A411" s="15">
        <v>113</v>
      </c>
      <c r="B411" s="15">
        <v>80</v>
      </c>
      <c r="H411" s="14">
        <v>103</v>
      </c>
      <c r="I411" s="14">
        <v>99951.923181622929</v>
      </c>
      <c r="K411" s="14">
        <v>103</v>
      </c>
      <c r="L411" s="14">
        <f>IF(ISBLANK(L390), P405, L390)</f>
        <v>50.065697520635275</v>
      </c>
      <c r="N411" s="14">
        <v>103</v>
      </c>
      <c r="O411" s="14">
        <v>25303.323030906227</v>
      </c>
    </row>
    <row r="412" spans="1:15">
      <c r="A412" s="14">
        <v>103</v>
      </c>
      <c r="B412" s="14">
        <v>89</v>
      </c>
      <c r="H412" s="15">
        <v>98</v>
      </c>
      <c r="I412" s="15">
        <v>88214.566964213882</v>
      </c>
      <c r="K412" s="15">
        <v>98</v>
      </c>
      <c r="L412" s="15">
        <v>77.404910611882855</v>
      </c>
      <c r="N412" s="15">
        <v>98</v>
      </c>
      <c r="O412" s="15">
        <v>29279.562221391923</v>
      </c>
    </row>
    <row r="413" spans="1:15">
      <c r="A413" s="15">
        <v>98</v>
      </c>
      <c r="B413" s="15">
        <v>75</v>
      </c>
      <c r="H413" s="14">
        <v>100</v>
      </c>
      <c r="I413" s="14">
        <v>78156.72734563821</v>
      </c>
      <c r="K413" s="14">
        <v>100</v>
      </c>
      <c r="L413" s="14">
        <v>82.145709379222481</v>
      </c>
      <c r="N413" s="14">
        <v>100</v>
      </c>
      <c r="O413" s="14">
        <v>23951.526285794462</v>
      </c>
    </row>
    <row r="414" spans="1:15">
      <c r="A414" s="14">
        <v>100</v>
      </c>
      <c r="B414" s="14">
        <v>84</v>
      </c>
      <c r="H414" s="15">
        <v>89</v>
      </c>
      <c r="I414" s="15">
        <v>116695.02652649765</v>
      </c>
      <c r="K414" s="15">
        <v>89</v>
      </c>
      <c r="L414" s="15">
        <v>73.873578312914617</v>
      </c>
      <c r="N414" s="15">
        <v>89</v>
      </c>
      <c r="O414" s="15">
        <v>32999.643649981022</v>
      </c>
    </row>
    <row r="415" spans="1:15">
      <c r="A415" s="15">
        <v>89</v>
      </c>
      <c r="B415" s="15">
        <v>65</v>
      </c>
      <c r="H415" s="14">
        <v>83</v>
      </c>
      <c r="I415" s="14">
        <v>118275.43242771171</v>
      </c>
      <c r="K415" s="14">
        <v>83</v>
      </c>
      <c r="L415" s="14">
        <v>69.159956820415402</v>
      </c>
      <c r="N415" s="14">
        <v>83</v>
      </c>
      <c r="O415" s="14">
        <v>37653.754161718491</v>
      </c>
    </row>
    <row r="416" spans="1:15">
      <c r="A416" s="14">
        <v>83</v>
      </c>
      <c r="B416" s="14">
        <v>98</v>
      </c>
      <c r="H416" s="15">
        <v>92</v>
      </c>
      <c r="I416" s="15">
        <v>69085.404266185331</v>
      </c>
      <c r="K416" s="15">
        <v>92</v>
      </c>
      <c r="L416" s="15">
        <v>91.397527516160935</v>
      </c>
      <c r="N416" s="15">
        <v>92</v>
      </c>
      <c r="O416" s="15">
        <v>36093.809258486581</v>
      </c>
    </row>
    <row r="417" spans="1:15">
      <c r="A417" s="15">
        <v>92</v>
      </c>
      <c r="B417" s="15">
        <v>89</v>
      </c>
      <c r="H417" s="14">
        <f>IF(ISBLANK(H370), U371, H370)</f>
        <v>81</v>
      </c>
      <c r="I417" s="14">
        <v>131796.77956361367</v>
      </c>
      <c r="K417" s="14">
        <f>IF(ISBLANK(K370), X371, K370)</f>
        <v>81</v>
      </c>
      <c r="L417" s="14">
        <v>26.290136879180643</v>
      </c>
      <c r="N417" s="14">
        <f>IF(ISBLANK(N370), AA371, N370)</f>
        <v>81</v>
      </c>
      <c r="O417" s="14">
        <v>28932.785645348958</v>
      </c>
    </row>
    <row r="418" spans="1:15">
      <c r="A418" s="14">
        <f>IF(ISBLANK(A371), M372, A371)</f>
        <v>81</v>
      </c>
      <c r="B418" s="14">
        <v>88</v>
      </c>
      <c r="H418" s="15">
        <f>IF(ISBLANK(H371), U372, H371)</f>
        <v>91</v>
      </c>
      <c r="I418" s="15">
        <v>111481.42441788003</v>
      </c>
      <c r="K418" s="15">
        <f>IF(ISBLANK(K371), X372, K371)</f>
        <v>91</v>
      </c>
      <c r="L418" s="15">
        <f>IF(ISBLANK(L397), P412, L397)</f>
        <v>52.506578477101428</v>
      </c>
      <c r="N418" s="15">
        <f>IF(ISBLANK(N371), AA372, N371)</f>
        <v>91</v>
      </c>
      <c r="O418" s="15">
        <v>37453.630684249758</v>
      </c>
    </row>
    <row r="419" spans="1:15">
      <c r="A419" s="15">
        <f>IF(ISBLANK(A372), M373, A372)</f>
        <v>91</v>
      </c>
      <c r="B419" s="15">
        <v>98</v>
      </c>
      <c r="H419" s="14">
        <v>102</v>
      </c>
      <c r="I419" s="14">
        <v>127991.89290291586</v>
      </c>
      <c r="K419" s="14">
        <v>102</v>
      </c>
      <c r="L419" s="14">
        <v>39.862998370467679</v>
      </c>
      <c r="N419" s="14">
        <v>102</v>
      </c>
      <c r="O419" s="14">
        <v>30743.337286010559</v>
      </c>
    </row>
    <row r="420" spans="1:15">
      <c r="A420" s="14">
        <v>102</v>
      </c>
      <c r="B420" s="14">
        <v>88</v>
      </c>
      <c r="H420" s="15">
        <v>107</v>
      </c>
      <c r="I420" s="15">
        <v>73157.445030297706</v>
      </c>
      <c r="K420" s="15">
        <v>107</v>
      </c>
      <c r="L420" s="15">
        <v>99.041116965233726</v>
      </c>
      <c r="N420" s="15">
        <v>107</v>
      </c>
      <c r="O420" s="15">
        <v>28314.570144409805</v>
      </c>
    </row>
    <row r="421" spans="1:15">
      <c r="A421" s="15">
        <v>107</v>
      </c>
      <c r="B421" s="15">
        <v>89</v>
      </c>
      <c r="H421" s="14">
        <v>103</v>
      </c>
      <c r="I421" s="14">
        <v>72683.516891691223</v>
      </c>
      <c r="K421" s="14">
        <v>103</v>
      </c>
      <c r="L421" s="14">
        <v>51.151182373349883</v>
      </c>
      <c r="N421" s="14">
        <v>103</v>
      </c>
      <c r="O421" s="14">
        <v>30599.02924</v>
      </c>
    </row>
    <row r="422" spans="1:15">
      <c r="A422" s="14">
        <v>103</v>
      </c>
      <c r="B422" s="14">
        <v>103</v>
      </c>
      <c r="H422" s="15">
        <v>100</v>
      </c>
      <c r="I422" s="15">
        <v>97020.613804654058</v>
      </c>
      <c r="K422" s="15">
        <v>100</v>
      </c>
      <c r="L422" s="15">
        <v>78.609015939231895</v>
      </c>
      <c r="N422" s="15">
        <v>100</v>
      </c>
      <c r="O422" s="15">
        <f>IF(ISBLANK(O397), Y400, O397)</f>
        <v>30599.02924</v>
      </c>
    </row>
    <row r="423" spans="1:15">
      <c r="A423" s="15">
        <v>100</v>
      </c>
      <c r="B423" s="15">
        <v>85</v>
      </c>
      <c r="H423" s="14">
        <f>IF(ISBLANK(H376), U377, H376)</f>
        <v>97</v>
      </c>
      <c r="I423" s="14">
        <v>110055.68853790389</v>
      </c>
      <c r="K423" s="14">
        <f>IF(ISBLANK(K376), X377, K376)</f>
        <v>97</v>
      </c>
      <c r="L423" s="14">
        <f>IF(ISBLANK(L402), P417, L402)</f>
        <v>26.737040894167869</v>
      </c>
      <c r="N423" s="14">
        <f>IF(ISBLANK(N376), AA377, N376)</f>
        <v>97</v>
      </c>
      <c r="O423" s="14">
        <v>28059.115907293857</v>
      </c>
    </row>
    <row r="424" spans="1:15">
      <c r="A424" s="14">
        <f>IF(ISBLANK(A377), M378, A377)</f>
        <v>97</v>
      </c>
      <c r="B424" s="14">
        <v>90</v>
      </c>
      <c r="H424" s="15">
        <v>85</v>
      </c>
      <c r="I424" s="15">
        <v>135927.21645853927</v>
      </c>
      <c r="K424" s="15">
        <v>85</v>
      </c>
      <c r="L424" s="15">
        <v>36.966498998190218</v>
      </c>
      <c r="N424" s="15">
        <v>85</v>
      </c>
      <c r="O424" s="15">
        <v>30852.08111187744</v>
      </c>
    </row>
    <row r="425" spans="1:15">
      <c r="A425" s="15">
        <v>85</v>
      </c>
      <c r="B425" s="15">
        <v>84</v>
      </c>
      <c r="H425" s="14">
        <v>107</v>
      </c>
      <c r="I425" s="14">
        <v>114121.57827630264</v>
      </c>
      <c r="K425" s="14">
        <v>107</v>
      </c>
      <c r="L425" s="14">
        <v>39.119814416924108</v>
      </c>
      <c r="N425" s="14">
        <v>107</v>
      </c>
      <c r="O425" s="14">
        <v>30802.869905249325</v>
      </c>
    </row>
    <row r="426" spans="1:15">
      <c r="A426" s="14">
        <v>107</v>
      </c>
      <c r="B426" s="14">
        <v>78</v>
      </c>
      <c r="H426" s="15">
        <v>106</v>
      </c>
      <c r="I426" s="15">
        <v>95146.374463759334</v>
      </c>
      <c r="K426" s="15">
        <v>106</v>
      </c>
      <c r="L426" s="15">
        <v>42.502765084242725</v>
      </c>
      <c r="N426" s="15">
        <v>106</v>
      </c>
      <c r="O426" s="15">
        <v>30015.230100767072</v>
      </c>
    </row>
    <row r="427" spans="1:15">
      <c r="A427" s="15">
        <v>106</v>
      </c>
      <c r="B427" s="15">
        <v>84</v>
      </c>
      <c r="H427" s="14">
        <v>92</v>
      </c>
      <c r="I427" s="14">
        <v>79472.615846682165</v>
      </c>
      <c r="K427" s="14">
        <v>92</v>
      </c>
      <c r="L427" s="14">
        <v>52.890182260750336</v>
      </c>
      <c r="N427" s="14">
        <v>92</v>
      </c>
      <c r="O427" s="14">
        <v>32184.690848731749</v>
      </c>
    </row>
    <row r="428" spans="1:15">
      <c r="A428" s="14">
        <v>92</v>
      </c>
      <c r="B428" s="14">
        <v>70</v>
      </c>
      <c r="H428" s="15">
        <v>110</v>
      </c>
      <c r="I428" s="15">
        <v>124600.011454383</v>
      </c>
      <c r="K428" s="15">
        <v>110</v>
      </c>
      <c r="L428" s="15">
        <v>38.746005252042146</v>
      </c>
      <c r="N428" s="15">
        <v>110</v>
      </c>
      <c r="O428" s="15">
        <v>35953.231373931703</v>
      </c>
    </row>
    <row r="429" spans="1:15">
      <c r="A429" s="15">
        <v>110</v>
      </c>
      <c r="B429" s="15">
        <v>74</v>
      </c>
      <c r="H429" s="14">
        <v>93</v>
      </c>
      <c r="I429" s="14">
        <v>80705.89148498571</v>
      </c>
      <c r="K429" s="14">
        <v>93</v>
      </c>
      <c r="L429" s="14">
        <v>21.572118619747826</v>
      </c>
      <c r="N429" s="14">
        <v>93</v>
      </c>
      <c r="O429" s="14">
        <v>34747.770677206616</v>
      </c>
    </row>
    <row r="430" spans="1:15">
      <c r="A430" s="14">
        <v>93</v>
      </c>
      <c r="B430" s="14">
        <v>88</v>
      </c>
      <c r="H430" s="15">
        <f>IF(ISBLANK(H383), U384, H383)</f>
        <v>104</v>
      </c>
      <c r="I430" s="15">
        <v>132569.37109544643</v>
      </c>
      <c r="K430" s="15">
        <f>IF(ISBLANK(K383), X384, K383)</f>
        <v>104</v>
      </c>
      <c r="L430" s="15">
        <v>90.351444544575642</v>
      </c>
      <c r="N430" s="15">
        <f>IF(ISBLANK(N383), AA384, N383)</f>
        <v>104</v>
      </c>
      <c r="O430" s="15">
        <v>22575.510157750483</v>
      </c>
    </row>
    <row r="431" spans="1:15">
      <c r="A431" s="15">
        <f>IF(ISBLANK(A384), M385, A384)</f>
        <v>104</v>
      </c>
      <c r="B431" s="15">
        <f>IF(ISBLANK(B421), G434, B421)</f>
        <v>89</v>
      </c>
      <c r="H431" s="14">
        <v>117</v>
      </c>
      <c r="I431" s="14">
        <v>94312.307007869807</v>
      </c>
      <c r="K431" s="14">
        <v>117</v>
      </c>
      <c r="L431" s="14">
        <v>97.248786510470723</v>
      </c>
      <c r="N431" s="14">
        <v>117</v>
      </c>
      <c r="O431" s="14">
        <v>17230.394325490226</v>
      </c>
    </row>
    <row r="432" spans="1:15">
      <c r="A432" s="14">
        <v>117</v>
      </c>
      <c r="B432" s="14">
        <v>74</v>
      </c>
      <c r="H432" s="15">
        <v>122</v>
      </c>
      <c r="I432" s="15">
        <v>131811.641452357</v>
      </c>
      <c r="K432" s="15">
        <v>122</v>
      </c>
      <c r="L432" s="15">
        <v>62.2965856</v>
      </c>
      <c r="N432" s="15">
        <v>122</v>
      </c>
      <c r="O432" s="15">
        <v>34671.599556196365</v>
      </c>
    </row>
    <row r="433" spans="1:15">
      <c r="A433" s="15">
        <v>122</v>
      </c>
      <c r="B433" s="15">
        <v>85</v>
      </c>
      <c r="H433" s="14">
        <v>90</v>
      </c>
      <c r="I433" s="14">
        <v>113578.62580118557</v>
      </c>
      <c r="K433" s="14">
        <v>90</v>
      </c>
      <c r="L433" s="14">
        <v>47.080550354037825</v>
      </c>
      <c r="N433" s="14">
        <v>90</v>
      </c>
      <c r="O433" s="14">
        <v>23165.606507922894</v>
      </c>
    </row>
    <row r="434" spans="1:15">
      <c r="A434" s="14">
        <v>90</v>
      </c>
      <c r="B434" s="14">
        <v>105</v>
      </c>
      <c r="H434" s="15">
        <v>113</v>
      </c>
      <c r="I434" s="15">
        <v>97260.090211150833</v>
      </c>
      <c r="K434" s="15">
        <v>113</v>
      </c>
      <c r="L434" s="15">
        <v>20.567345021949677</v>
      </c>
      <c r="N434" s="15">
        <v>113</v>
      </c>
      <c r="O434" s="15">
        <v>28876.172990536583</v>
      </c>
    </row>
    <row r="435" spans="1:15">
      <c r="A435" s="15">
        <v>113</v>
      </c>
      <c r="B435" s="15">
        <v>75</v>
      </c>
      <c r="H435" s="14">
        <v>110</v>
      </c>
      <c r="I435" s="14">
        <v>89612.072563477472</v>
      </c>
      <c r="K435" s="14">
        <v>110</v>
      </c>
      <c r="L435" s="14">
        <v>62.2965856</v>
      </c>
      <c r="N435" s="14">
        <v>110</v>
      </c>
      <c r="O435" s="14">
        <v>24149.434869703204</v>
      </c>
    </row>
    <row r="436" spans="1:15">
      <c r="A436" s="14">
        <v>110</v>
      </c>
      <c r="B436" s="14">
        <v>89</v>
      </c>
      <c r="H436" s="15">
        <v>106</v>
      </c>
      <c r="I436" s="15">
        <f>IF(ISBLANK(I427), O438, I427)</f>
        <v>79472.615846682165</v>
      </c>
      <c r="K436" s="15">
        <v>106</v>
      </c>
      <c r="L436" s="15">
        <f>IF(ISBLANK(L415), P430, L415)</f>
        <v>69.159956820415402</v>
      </c>
      <c r="N436" s="15">
        <v>106</v>
      </c>
      <c r="O436" s="15">
        <v>20990.097812099899</v>
      </c>
    </row>
    <row r="437" spans="1:15">
      <c r="A437" s="15">
        <v>106</v>
      </c>
      <c r="B437" s="15">
        <v>84</v>
      </c>
      <c r="H437" s="14">
        <v>92</v>
      </c>
      <c r="I437" s="14">
        <v>108566.33384750475</v>
      </c>
      <c r="K437" s="14">
        <v>92</v>
      </c>
      <c r="L437" s="14">
        <v>31.728664028800253</v>
      </c>
      <c r="N437" s="14">
        <v>92</v>
      </c>
      <c r="O437" s="14">
        <v>32707.313641023939</v>
      </c>
    </row>
    <row r="438" spans="1:15">
      <c r="A438" s="14">
        <v>92</v>
      </c>
      <c r="B438" s="14">
        <v>91</v>
      </c>
      <c r="H438" s="15">
        <v>121</v>
      </c>
      <c r="I438" s="15">
        <f>IF(ISBLANK(I429), O440, I429)</f>
        <v>80705.89148498571</v>
      </c>
      <c r="K438" s="15">
        <v>121</v>
      </c>
      <c r="L438" s="15">
        <v>32.773307949372061</v>
      </c>
      <c r="N438" s="15">
        <v>121</v>
      </c>
      <c r="O438" s="15">
        <v>33795.775801513235</v>
      </c>
    </row>
    <row r="439" spans="1:15">
      <c r="A439" s="15">
        <v>121</v>
      </c>
      <c r="B439" s="15">
        <v>101</v>
      </c>
      <c r="H439" s="14">
        <v>89</v>
      </c>
      <c r="I439" s="14">
        <v>88123.771838625893</v>
      </c>
      <c r="K439" s="14">
        <v>89</v>
      </c>
      <c r="L439" s="14">
        <v>83.206659997715022</v>
      </c>
      <c r="N439" s="14">
        <v>89</v>
      </c>
      <c r="O439" s="14">
        <v>27117.447996366402</v>
      </c>
    </row>
    <row r="440" spans="1:15">
      <c r="A440" s="14">
        <v>89</v>
      </c>
      <c r="B440" s="14">
        <v>93</v>
      </c>
      <c r="H440" s="15">
        <v>117</v>
      </c>
      <c r="I440" s="15">
        <v>100873.2838</v>
      </c>
      <c r="K440" s="15">
        <v>117</v>
      </c>
      <c r="L440" s="15">
        <v>69.303259868331565</v>
      </c>
      <c r="N440" s="15">
        <v>117</v>
      </c>
      <c r="O440" s="15">
        <v>30599.02924</v>
      </c>
    </row>
    <row r="441" spans="1:15">
      <c r="A441" s="15">
        <v>117</v>
      </c>
      <c r="B441" s="15">
        <v>91</v>
      </c>
      <c r="H441" s="14">
        <v>106</v>
      </c>
      <c r="I441" s="14">
        <v>101571.540594383</v>
      </c>
      <c r="K441" s="14">
        <v>106</v>
      </c>
      <c r="L441" s="14">
        <v>23.588844610217361</v>
      </c>
      <c r="N441" s="14">
        <v>106</v>
      </c>
      <c r="O441" s="14">
        <v>27268.777758737586</v>
      </c>
    </row>
    <row r="442" spans="1:15">
      <c r="A442" s="14">
        <v>106</v>
      </c>
      <c r="B442" s="14">
        <v>93</v>
      </c>
      <c r="H442" s="15">
        <v>121</v>
      </c>
      <c r="I442" s="15">
        <v>57425.31811170376</v>
      </c>
      <c r="K442" s="15">
        <v>121</v>
      </c>
      <c r="L442" s="15">
        <v>69.803759236982529</v>
      </c>
      <c r="N442" s="15">
        <v>121</v>
      </c>
      <c r="O442" s="15">
        <v>31959.020027012732</v>
      </c>
    </row>
    <row r="443" spans="1:15">
      <c r="A443" s="15">
        <v>121</v>
      </c>
      <c r="B443" s="15">
        <v>98</v>
      </c>
      <c r="H443" s="14">
        <v>95</v>
      </c>
      <c r="I443" s="14">
        <v>109163.36229577397</v>
      </c>
      <c r="K443" s="14">
        <v>95</v>
      </c>
      <c r="L443" s="14">
        <v>44.713417827501289</v>
      </c>
      <c r="N443" s="14">
        <v>95</v>
      </c>
      <c r="O443" s="14">
        <v>22605.442156129357</v>
      </c>
    </row>
    <row r="444" spans="1:15">
      <c r="A444" s="14">
        <v>95</v>
      </c>
      <c r="B444" s="14">
        <v>87</v>
      </c>
      <c r="H444" s="15">
        <v>91</v>
      </c>
      <c r="I444" s="15">
        <v>80405.575505663859</v>
      </c>
      <c r="K444" s="15">
        <v>91</v>
      </c>
      <c r="L444" s="15">
        <v>49.498012437667676</v>
      </c>
      <c r="N444" s="15">
        <v>91</v>
      </c>
      <c r="O444" s="15">
        <v>30916.799598895777</v>
      </c>
    </row>
    <row r="445" spans="1:15">
      <c r="A445" s="15">
        <v>91</v>
      </c>
      <c r="B445" s="15">
        <v>88</v>
      </c>
      <c r="H445" s="14">
        <v>82</v>
      </c>
      <c r="I445" s="14">
        <v>76933.351935885104</v>
      </c>
      <c r="K445" s="14">
        <v>82</v>
      </c>
      <c r="L445" s="14">
        <v>62.2965856</v>
      </c>
      <c r="N445" s="14">
        <v>82</v>
      </c>
      <c r="O445" s="14">
        <v>30599.02924</v>
      </c>
    </row>
    <row r="446" spans="1:15">
      <c r="A446" s="14">
        <v>82</v>
      </c>
      <c r="B446" s="14">
        <v>89</v>
      </c>
      <c r="H446" s="15">
        <v>100</v>
      </c>
      <c r="I446" s="15">
        <v>66253.113057785784</v>
      </c>
      <c r="K446" s="15">
        <v>100</v>
      </c>
      <c r="L446" s="15">
        <f>IF(ISBLANK(L425), P440, L425)</f>
        <v>39.119814416924108</v>
      </c>
      <c r="N446" s="15">
        <v>100</v>
      </c>
      <c r="O446" s="15">
        <v>32896.457498005439</v>
      </c>
    </row>
    <row r="447" spans="1:15">
      <c r="A447" s="15">
        <v>100</v>
      </c>
      <c r="B447" s="15">
        <v>92</v>
      </c>
      <c r="H447" s="14">
        <v>81</v>
      </c>
      <c r="I447" s="14">
        <v>64122.150042642192</v>
      </c>
      <c r="K447" s="14">
        <v>81</v>
      </c>
      <c r="L447" s="14">
        <v>52.028530147186451</v>
      </c>
      <c r="N447" s="14">
        <v>81</v>
      </c>
      <c r="O447" s="14">
        <v>30597.901842070765</v>
      </c>
    </row>
    <row r="448" spans="1:15">
      <c r="A448" s="14">
        <v>81</v>
      </c>
      <c r="B448" s="14">
        <v>99</v>
      </c>
      <c r="H448" s="15">
        <v>101</v>
      </c>
      <c r="I448" s="15">
        <v>72891.049937754215</v>
      </c>
      <c r="K448" s="15">
        <v>101</v>
      </c>
      <c r="L448" s="15">
        <v>95.772234880508378</v>
      </c>
      <c r="N448" s="15">
        <v>101</v>
      </c>
      <c r="O448" s="15">
        <v>25134.655295592223</v>
      </c>
    </row>
    <row r="449" spans="1:15">
      <c r="A449" s="15">
        <v>101</v>
      </c>
      <c r="B449" s="15">
        <v>82</v>
      </c>
      <c r="H449" s="14">
        <v>95</v>
      </c>
      <c r="I449" s="14">
        <v>85819.580847390185</v>
      </c>
      <c r="K449" s="14">
        <v>95</v>
      </c>
      <c r="L449" s="14">
        <v>52.51701743616578</v>
      </c>
      <c r="N449" s="14">
        <v>95</v>
      </c>
      <c r="O449" s="14">
        <v>35982.857508322457</v>
      </c>
    </row>
    <row r="450" spans="1:15">
      <c r="A450" s="14">
        <v>95</v>
      </c>
      <c r="B450" s="14">
        <v>83</v>
      </c>
      <c r="H450" s="15">
        <v>114</v>
      </c>
      <c r="I450" s="15">
        <v>139065.18275053136</v>
      </c>
      <c r="K450" s="15">
        <v>114</v>
      </c>
      <c r="L450" s="15">
        <v>81.746882818408793</v>
      </c>
      <c r="N450" s="15">
        <v>114</v>
      </c>
      <c r="O450" s="15">
        <v>29207.352134865148</v>
      </c>
    </row>
    <row r="451" spans="1:15">
      <c r="A451" s="15">
        <v>114</v>
      </c>
      <c r="B451" s="15">
        <v>94</v>
      </c>
      <c r="H451" s="14">
        <v>92</v>
      </c>
      <c r="I451" s="14">
        <v>89482.406482095917</v>
      </c>
      <c r="K451" s="14">
        <v>92</v>
      </c>
      <c r="L451" s="14">
        <v>58.710181165140725</v>
      </c>
      <c r="N451" s="14">
        <v>92</v>
      </c>
      <c r="O451" s="14">
        <f>IF(ISBLANK(O426), Y429, O426)</f>
        <v>30015.230100767072</v>
      </c>
    </row>
    <row r="452" spans="1:15">
      <c r="A452" s="14">
        <v>92</v>
      </c>
      <c r="B452" s="14">
        <v>88</v>
      </c>
      <c r="H452" s="15">
        <v>113</v>
      </c>
      <c r="I452" s="15">
        <v>103555.00212536062</v>
      </c>
      <c r="K452" s="15">
        <v>113</v>
      </c>
      <c r="L452" s="15">
        <v>91.802586121766723</v>
      </c>
      <c r="N452" s="15">
        <v>113</v>
      </c>
      <c r="O452" s="15">
        <v>25333.660204634019</v>
      </c>
    </row>
    <row r="453" spans="1:15">
      <c r="A453" s="15">
        <v>113</v>
      </c>
      <c r="B453" s="15">
        <v>92</v>
      </c>
      <c r="H453" s="14">
        <v>113</v>
      </c>
      <c r="I453" s="14">
        <v>108009.62773012658</v>
      </c>
      <c r="K453" s="14">
        <v>113</v>
      </c>
      <c r="L453" s="14">
        <v>92.620899492014289</v>
      </c>
      <c r="N453" s="14">
        <v>113</v>
      </c>
      <c r="O453" s="14">
        <v>27783.588744042449</v>
      </c>
    </row>
    <row r="454" spans="1:15">
      <c r="A454" s="14">
        <v>113</v>
      </c>
      <c r="B454" s="14">
        <v>78</v>
      </c>
      <c r="H454" s="15">
        <v>120</v>
      </c>
      <c r="I454" s="15">
        <f>IF(ISBLANK(I445), O456, I445)</f>
        <v>76933.351935885104</v>
      </c>
      <c r="K454" s="15">
        <v>120</v>
      </c>
      <c r="L454" s="15">
        <v>26.99334462968671</v>
      </c>
      <c r="N454" s="15">
        <v>120</v>
      </c>
      <c r="O454" s="15">
        <v>25575.986429865494</v>
      </c>
    </row>
    <row r="455" spans="1:15">
      <c r="A455" s="15">
        <v>120</v>
      </c>
      <c r="B455" s="15">
        <v>102</v>
      </c>
      <c r="H455" s="14">
        <v>108</v>
      </c>
      <c r="I455" s="14">
        <v>98451.130785480127</v>
      </c>
      <c r="K455" s="14">
        <v>108</v>
      </c>
      <c r="L455" s="14">
        <v>94.919466504818061</v>
      </c>
      <c r="N455" s="14">
        <v>108</v>
      </c>
      <c r="O455" s="14">
        <v>29135.269700382883</v>
      </c>
    </row>
    <row r="456" spans="1:15">
      <c r="A456" s="14">
        <v>108</v>
      </c>
      <c r="B456" s="14">
        <v>96</v>
      </c>
      <c r="H456" s="15">
        <v>99</v>
      </c>
      <c r="I456" s="15">
        <v>76094.1247280151</v>
      </c>
      <c r="K456" s="15">
        <v>99</v>
      </c>
      <c r="L456" s="15">
        <v>86.042787321633256</v>
      </c>
      <c r="N456" s="15">
        <v>99</v>
      </c>
      <c r="O456" s="15">
        <v>38558.542400711718</v>
      </c>
    </row>
    <row r="457" spans="1:15">
      <c r="A457" s="15">
        <v>99</v>
      </c>
      <c r="B457" s="15">
        <v>75</v>
      </c>
      <c r="H457" s="14">
        <v>108</v>
      </c>
      <c r="I457" s="14">
        <v>129018.55096558423</v>
      </c>
      <c r="K457" s="14">
        <v>108</v>
      </c>
      <c r="L457" s="14">
        <v>83.304857145013358</v>
      </c>
      <c r="N457" s="14">
        <v>108</v>
      </c>
      <c r="O457" s="14">
        <v>23140.494285343219</v>
      </c>
    </row>
    <row r="458" spans="1:15">
      <c r="A458" s="14">
        <v>108</v>
      </c>
      <c r="B458" s="14">
        <v>87</v>
      </c>
      <c r="H458" s="15">
        <v>98</v>
      </c>
      <c r="I458" s="15">
        <v>136143.93287275769</v>
      </c>
      <c r="K458" s="15">
        <v>98</v>
      </c>
      <c r="L458" s="15">
        <v>36.072907174841795</v>
      </c>
      <c r="N458" s="15">
        <v>98</v>
      </c>
      <c r="O458" s="15">
        <v>21932.193010616294</v>
      </c>
    </row>
    <row r="459" spans="1:15">
      <c r="A459" s="15">
        <v>98</v>
      </c>
      <c r="B459" s="15">
        <v>89</v>
      </c>
      <c r="H459" s="14">
        <v>92</v>
      </c>
      <c r="I459" s="14">
        <v>66346.826117546283</v>
      </c>
      <c r="K459" s="14">
        <v>92</v>
      </c>
      <c r="L459" s="14">
        <v>84.409536700373195</v>
      </c>
      <c r="N459" s="14">
        <v>92</v>
      </c>
      <c r="O459" s="14">
        <v>37355.85163746804</v>
      </c>
    </row>
    <row r="460" spans="1:15">
      <c r="A460" s="14">
        <v>92</v>
      </c>
      <c r="B460" s="14">
        <v>86</v>
      </c>
      <c r="H460" s="15">
        <v>96</v>
      </c>
      <c r="I460" s="15">
        <v>79519.428182272415</v>
      </c>
      <c r="K460" s="15">
        <v>96</v>
      </c>
      <c r="L460" s="15">
        <v>88.01061877480295</v>
      </c>
      <c r="N460" s="15">
        <v>96</v>
      </c>
      <c r="O460" s="15">
        <v>28953.381614240669</v>
      </c>
    </row>
    <row r="461" spans="1:15">
      <c r="A461" s="15">
        <v>96</v>
      </c>
      <c r="B461" s="15">
        <v>85</v>
      </c>
      <c r="H461" s="14">
        <v>94</v>
      </c>
      <c r="I461" s="14">
        <f>IF(ISBLANK(I452), O463, I452)</f>
        <v>103555.00212536062</v>
      </c>
      <c r="K461" s="14">
        <v>94</v>
      </c>
      <c r="L461" s="14">
        <v>43.132026756332074</v>
      </c>
      <c r="N461" s="14">
        <v>94</v>
      </c>
      <c r="O461" s="14">
        <v>26654.636306700417</v>
      </c>
    </row>
    <row r="462" spans="1:15">
      <c r="A462" s="14">
        <v>94</v>
      </c>
      <c r="B462" s="14">
        <v>95</v>
      </c>
      <c r="H462" s="15">
        <v>75</v>
      </c>
      <c r="I462" s="15">
        <v>80709.244101796168</v>
      </c>
      <c r="K462" s="15">
        <v>75</v>
      </c>
      <c r="L462" s="15">
        <v>96.180806268985904</v>
      </c>
      <c r="N462" s="15">
        <v>75</v>
      </c>
      <c r="O462" s="15">
        <v>35199.52343698038</v>
      </c>
    </row>
    <row r="463" spans="1:15">
      <c r="A463" s="15">
        <v>75</v>
      </c>
      <c r="B463" s="15">
        <v>97</v>
      </c>
      <c r="H463" s="14">
        <v>97</v>
      </c>
      <c r="I463" s="14">
        <v>110119.31106911731</v>
      </c>
      <c r="K463" s="14">
        <v>97</v>
      </c>
      <c r="L463" s="14">
        <v>23.988811711933138</v>
      </c>
      <c r="N463" s="14">
        <v>97</v>
      </c>
      <c r="O463" s="14">
        <v>26971.922301315681</v>
      </c>
    </row>
    <row r="464" spans="1:15">
      <c r="A464" s="14">
        <v>97</v>
      </c>
      <c r="B464" s="14">
        <v>68</v>
      </c>
      <c r="H464" s="15">
        <v>100</v>
      </c>
      <c r="I464" s="15">
        <v>85434.555951867733</v>
      </c>
      <c r="K464" s="15">
        <v>100</v>
      </c>
      <c r="L464" s="15">
        <v>31.992740259771175</v>
      </c>
      <c r="N464" s="15">
        <v>100</v>
      </c>
      <c r="O464" s="15">
        <f>IF(ISBLANK(O439), Y442, O439)</f>
        <v>27117.447996366402</v>
      </c>
    </row>
    <row r="465" spans="1:15">
      <c r="A465" s="15">
        <v>100</v>
      </c>
      <c r="B465" s="15">
        <v>86</v>
      </c>
      <c r="H465" s="14">
        <v>98</v>
      </c>
      <c r="I465" s="14">
        <v>143301.12135613203</v>
      </c>
      <c r="K465" s="14">
        <v>98</v>
      </c>
      <c r="L465" s="14">
        <v>63.006491044121148</v>
      </c>
      <c r="N465" s="14">
        <v>98</v>
      </c>
      <c r="O465" s="14">
        <v>33389.629356696343</v>
      </c>
    </row>
    <row r="466" spans="1:15">
      <c r="A466" s="14">
        <v>98</v>
      </c>
      <c r="B466" s="14">
        <v>90</v>
      </c>
      <c r="H466" s="15">
        <v>121</v>
      </c>
      <c r="I466" s="15">
        <v>123810.97188687192</v>
      </c>
      <c r="K466" s="15">
        <v>121</v>
      </c>
      <c r="L466" s="15">
        <v>66.063397689784779</v>
      </c>
      <c r="N466" s="15">
        <v>121</v>
      </c>
      <c r="O466" s="15">
        <v>27560.442959271488</v>
      </c>
    </row>
    <row r="467" spans="1:15">
      <c r="A467" s="15">
        <v>121</v>
      </c>
      <c r="B467" s="15">
        <v>80</v>
      </c>
      <c r="H467" s="14">
        <v>103</v>
      </c>
      <c r="I467" s="14">
        <v>104251.4806126443</v>
      </c>
      <c r="K467" s="14">
        <v>103</v>
      </c>
      <c r="L467" s="14">
        <v>62.2965856</v>
      </c>
      <c r="N467" s="14">
        <v>103</v>
      </c>
      <c r="O467" s="14">
        <v>40786.541066327518</v>
      </c>
    </row>
    <row r="468" spans="1:15">
      <c r="A468" s="14">
        <v>103</v>
      </c>
      <c r="B468" s="14">
        <v>88</v>
      </c>
      <c r="H468" s="15">
        <v>121</v>
      </c>
      <c r="I468" s="15">
        <v>120539.72526639464</v>
      </c>
      <c r="K468" s="15">
        <v>121</v>
      </c>
      <c r="L468" s="15">
        <v>21.357530345237315</v>
      </c>
      <c r="N468" s="15">
        <v>121</v>
      </c>
      <c r="O468" s="15">
        <f>IF(ISBLANK(O443), Y446, O443)</f>
        <v>22605.442156129357</v>
      </c>
    </row>
    <row r="469" spans="1:15">
      <c r="A469" s="15">
        <v>121</v>
      </c>
      <c r="B469" s="15">
        <v>95</v>
      </c>
      <c r="H469" s="14">
        <v>103</v>
      </c>
      <c r="I469" s="14">
        <v>122118.00848714617</v>
      </c>
      <c r="K469" s="14">
        <v>103</v>
      </c>
      <c r="L469" s="14">
        <v>96.829341969770425</v>
      </c>
      <c r="N469" s="14">
        <v>103</v>
      </c>
      <c r="O469" s="14">
        <v>33710.476860046532</v>
      </c>
    </row>
    <row r="470" spans="1:15">
      <c r="A470" s="14">
        <v>103</v>
      </c>
      <c r="B470" s="14">
        <v>93</v>
      </c>
      <c r="H470" s="15">
        <v>91</v>
      </c>
      <c r="I470" s="15">
        <v>88721.050238835131</v>
      </c>
      <c r="K470" s="15">
        <v>91</v>
      </c>
      <c r="L470" s="15">
        <v>23.567047418731519</v>
      </c>
      <c r="N470" s="15">
        <v>91</v>
      </c>
      <c r="O470" s="15">
        <v>31496.462902032461</v>
      </c>
    </row>
    <row r="471" spans="1:15">
      <c r="A471" s="15">
        <v>91</v>
      </c>
      <c r="B471" s="15">
        <v>95</v>
      </c>
      <c r="H471" s="14">
        <v>91</v>
      </c>
      <c r="I471" s="14">
        <v>83675.655109160711</v>
      </c>
      <c r="K471" s="14">
        <v>91</v>
      </c>
      <c r="L471" s="14">
        <v>31.444956217872189</v>
      </c>
      <c r="N471" s="14">
        <v>91</v>
      </c>
      <c r="O471" s="14">
        <v>36508.706446993994</v>
      </c>
    </row>
    <row r="472" spans="1:15">
      <c r="A472" s="14">
        <v>91</v>
      </c>
      <c r="B472" s="14">
        <v>93</v>
      </c>
      <c r="H472" s="15">
        <f>IF(ISBLANK(H425), U426, H425)</f>
        <v>107</v>
      </c>
      <c r="I472" s="15">
        <v>101562.86125939294</v>
      </c>
      <c r="K472" s="15">
        <f>IF(ISBLANK(K425), X426, K425)</f>
        <v>107</v>
      </c>
      <c r="L472" s="15">
        <v>21.12116140208456</v>
      </c>
      <c r="N472" s="15">
        <f>IF(ISBLANK(N425), AA426, N425)</f>
        <v>107</v>
      </c>
      <c r="O472" s="15">
        <v>37807.555983634265</v>
      </c>
    </row>
    <row r="473" spans="1:15">
      <c r="A473" s="15">
        <f>IF(ISBLANK(A426), M427, A426)</f>
        <v>107</v>
      </c>
      <c r="B473" s="15">
        <v>81</v>
      </c>
      <c r="H473" s="14">
        <v>97</v>
      </c>
      <c r="I473" s="14">
        <v>117232.72248995888</v>
      </c>
      <c r="K473" s="14">
        <v>97</v>
      </c>
      <c r="L473" s="14">
        <v>65.348674663527575</v>
      </c>
      <c r="N473" s="14">
        <v>97</v>
      </c>
      <c r="O473" s="14">
        <v>30160.020745328835</v>
      </c>
    </row>
    <row r="474" spans="1:15">
      <c r="A474" s="14">
        <v>97</v>
      </c>
      <c r="B474" s="14">
        <v>89</v>
      </c>
      <c r="H474" s="15">
        <v>106</v>
      </c>
      <c r="I474" s="15">
        <v>102781.20797306835</v>
      </c>
      <c r="K474" s="15">
        <v>106</v>
      </c>
      <c r="L474" s="15">
        <v>94.581350713677779</v>
      </c>
      <c r="N474" s="15">
        <v>106</v>
      </c>
      <c r="O474" s="15">
        <v>26232.910648269084</v>
      </c>
    </row>
    <row r="475" spans="1:15">
      <c r="A475" s="15">
        <v>106</v>
      </c>
      <c r="B475" s="15">
        <v>73</v>
      </c>
      <c r="H475" s="14">
        <v>110</v>
      </c>
      <c r="I475" s="14">
        <v>68460.070356180047</v>
      </c>
      <c r="K475" s="14">
        <v>110</v>
      </c>
      <c r="L475" s="14">
        <v>73.275773286437129</v>
      </c>
      <c r="N475" s="14">
        <v>110</v>
      </c>
      <c r="O475" s="14">
        <v>32299.860714695584</v>
      </c>
    </row>
    <row r="476" spans="1:15">
      <c r="A476" s="14">
        <v>110</v>
      </c>
      <c r="B476" s="14">
        <v>89</v>
      </c>
      <c r="H476" s="15">
        <v>91</v>
      </c>
      <c r="I476" s="15">
        <v>83943.511120983152</v>
      </c>
      <c r="K476" s="15">
        <v>91</v>
      </c>
      <c r="L476" s="15">
        <v>85.812597478434185</v>
      </c>
      <c r="N476" s="15">
        <v>91</v>
      </c>
      <c r="O476" s="15">
        <v>26611.423151239469</v>
      </c>
    </row>
    <row r="477" spans="1:15">
      <c r="A477" s="15">
        <v>91</v>
      </c>
      <c r="B477" s="15">
        <v>91</v>
      </c>
      <c r="H477" s="14">
        <v>103</v>
      </c>
      <c r="I477" s="14">
        <v>98520.542728112443</v>
      </c>
      <c r="K477" s="14">
        <v>103</v>
      </c>
      <c r="L477" s="14">
        <v>21.062496276686407</v>
      </c>
      <c r="N477" s="14">
        <v>103</v>
      </c>
      <c r="O477" s="14">
        <v>40066.936237633112</v>
      </c>
    </row>
    <row r="478" spans="1:15">
      <c r="A478" s="14">
        <v>103</v>
      </c>
      <c r="B478" s="14">
        <v>84</v>
      </c>
      <c r="H478" s="15">
        <v>84</v>
      </c>
      <c r="I478" s="15">
        <v>98486.687913483402</v>
      </c>
      <c r="K478" s="15">
        <v>84</v>
      </c>
      <c r="L478" s="15">
        <v>63.361223878378084</v>
      </c>
      <c r="N478" s="15">
        <v>84</v>
      </c>
      <c r="O478" s="15">
        <v>30682.676655413688</v>
      </c>
    </row>
    <row r="479" spans="1:15">
      <c r="A479" s="15">
        <v>84</v>
      </c>
      <c r="B479" s="15">
        <v>81</v>
      </c>
      <c r="H479" s="14">
        <v>93</v>
      </c>
      <c r="I479" s="14">
        <v>139450.84353579616</v>
      </c>
      <c r="K479" s="14">
        <v>93</v>
      </c>
      <c r="L479" s="14">
        <v>56.765038200441751</v>
      </c>
      <c r="N479" s="14">
        <v>93</v>
      </c>
      <c r="O479" s="14">
        <v>28173.392243439455</v>
      </c>
    </row>
    <row r="480" spans="1:15">
      <c r="A480" s="14">
        <v>93</v>
      </c>
      <c r="B480" s="14">
        <v>96</v>
      </c>
      <c r="H480" s="15">
        <v>113</v>
      </c>
      <c r="I480" s="15">
        <v>72280.24115202004</v>
      </c>
      <c r="K480" s="15">
        <v>113</v>
      </c>
      <c r="L480" s="15">
        <v>59.917435537663444</v>
      </c>
      <c r="N480" s="15">
        <v>113</v>
      </c>
      <c r="O480" s="15">
        <v>30599.02924</v>
      </c>
    </row>
    <row r="481" spans="1:15">
      <c r="A481" s="15">
        <v>113</v>
      </c>
      <c r="B481" s="15">
        <v>86</v>
      </c>
      <c r="H481" s="14">
        <v>105</v>
      </c>
      <c r="I481" s="14">
        <v>110111.78483671749</v>
      </c>
      <c r="K481" s="14">
        <v>105</v>
      </c>
      <c r="L481" s="14">
        <v>25.777054826815036</v>
      </c>
      <c r="N481" s="14">
        <v>105</v>
      </c>
      <c r="O481" s="14">
        <v>23264.368552351516</v>
      </c>
    </row>
    <row r="482" spans="1:15">
      <c r="A482" s="14">
        <v>105</v>
      </c>
      <c r="B482" s="14">
        <v>99</v>
      </c>
      <c r="H482" s="15">
        <v>83</v>
      </c>
      <c r="I482" s="15">
        <v>129782.26216656579</v>
      </c>
      <c r="K482" s="15">
        <v>83</v>
      </c>
      <c r="L482" s="15">
        <v>74.754828885544597</v>
      </c>
      <c r="N482" s="15">
        <v>83</v>
      </c>
      <c r="O482" s="15">
        <v>25141.929807446744</v>
      </c>
    </row>
    <row r="483" spans="1:15">
      <c r="A483" s="15">
        <v>83</v>
      </c>
      <c r="B483" s="15">
        <v>72</v>
      </c>
      <c r="H483" s="14">
        <v>96</v>
      </c>
      <c r="I483" s="14">
        <v>145428.99490845593</v>
      </c>
      <c r="K483" s="14">
        <v>96</v>
      </c>
      <c r="L483" s="14">
        <v>60.257633188690754</v>
      </c>
      <c r="N483" s="14">
        <v>96</v>
      </c>
      <c r="O483" s="14">
        <v>36002.069539722128</v>
      </c>
    </row>
    <row r="484" spans="1:15">
      <c r="A484" s="14">
        <v>96</v>
      </c>
      <c r="B484" s="14">
        <v>83</v>
      </c>
      <c r="H484" s="15">
        <v>107</v>
      </c>
      <c r="I484" s="15">
        <v>91912.051536320767</v>
      </c>
      <c r="K484" s="15">
        <v>107</v>
      </c>
      <c r="L484" s="15">
        <v>81.211907988901118</v>
      </c>
      <c r="N484" s="15">
        <v>107</v>
      </c>
      <c r="O484" s="15">
        <v>26715.528605143023</v>
      </c>
    </row>
    <row r="485" spans="1:15">
      <c r="A485" s="15">
        <v>107</v>
      </c>
      <c r="B485" s="15">
        <v>98</v>
      </c>
      <c r="H485" s="14">
        <v>83</v>
      </c>
      <c r="I485" s="14">
        <v>109828.589054404</v>
      </c>
      <c r="K485" s="14">
        <v>83</v>
      </c>
      <c r="L485" s="14">
        <v>58.823250724937225</v>
      </c>
      <c r="N485" s="14">
        <v>83</v>
      </c>
      <c r="O485" s="14">
        <v>24765.445086590302</v>
      </c>
    </row>
    <row r="486" spans="1:15">
      <c r="A486" s="14">
        <v>83</v>
      </c>
      <c r="B486" s="14">
        <v>101</v>
      </c>
      <c r="H486" s="15">
        <v>105</v>
      </c>
      <c r="I486" s="15">
        <v>111395.20714397293</v>
      </c>
      <c r="K486" s="15">
        <v>105</v>
      </c>
      <c r="L486" s="15">
        <v>31.950530898114565</v>
      </c>
      <c r="N486" s="15">
        <v>105</v>
      </c>
      <c r="O486" s="15">
        <v>32683.26376263643</v>
      </c>
    </row>
    <row r="487" spans="1:15">
      <c r="A487" s="15">
        <v>105</v>
      </c>
      <c r="B487" s="15">
        <v>89</v>
      </c>
      <c r="H487" s="14">
        <v>112</v>
      </c>
      <c r="I487" s="14">
        <v>103909.63463106581</v>
      </c>
      <c r="K487" s="14">
        <v>112</v>
      </c>
      <c r="L487" s="14">
        <v>71.860556326225762</v>
      </c>
      <c r="N487" s="14">
        <v>112</v>
      </c>
      <c r="O487" s="14">
        <v>35928.520773314987</v>
      </c>
    </row>
    <row r="488" spans="1:15">
      <c r="A488" s="14">
        <v>112</v>
      </c>
      <c r="B488" s="14">
        <v>71</v>
      </c>
      <c r="H488" s="15">
        <v>99</v>
      </c>
      <c r="I488" s="15">
        <v>98023.095975213873</v>
      </c>
      <c r="K488" s="15">
        <v>99</v>
      </c>
      <c r="L488" s="15">
        <v>33.790908968413298</v>
      </c>
      <c r="N488" s="15">
        <v>99</v>
      </c>
      <c r="O488" s="15">
        <v>33594.766553325331</v>
      </c>
    </row>
    <row r="489" spans="1:15">
      <c r="A489" s="15">
        <v>99</v>
      </c>
      <c r="B489" s="15">
        <v>85</v>
      </c>
      <c r="H489" s="14">
        <v>111</v>
      </c>
      <c r="I489" s="14">
        <v>108719.50779000092</v>
      </c>
      <c r="K489" s="14">
        <v>111</v>
      </c>
      <c r="L489" s="14">
        <v>89.791565068385196</v>
      </c>
      <c r="N489" s="14">
        <v>111</v>
      </c>
      <c r="O489" s="14">
        <v>34980.238429029079</v>
      </c>
    </row>
    <row r="490" spans="1:15">
      <c r="A490" s="14">
        <v>111</v>
      </c>
      <c r="B490" s="14">
        <v>98</v>
      </c>
      <c r="H490" s="15">
        <v>105</v>
      </c>
      <c r="I490" s="15">
        <v>49355.07829560629</v>
      </c>
      <c r="K490" s="15">
        <v>105</v>
      </c>
      <c r="L490" s="15">
        <v>69.049299125539321</v>
      </c>
      <c r="N490" s="15">
        <v>105</v>
      </c>
      <c r="O490" s="15">
        <v>26216.024557152698</v>
      </c>
    </row>
    <row r="491" spans="1:15">
      <c r="A491" s="15">
        <v>105</v>
      </c>
      <c r="B491" s="15">
        <v>100</v>
      </c>
      <c r="H491" s="14">
        <v>93</v>
      </c>
      <c r="I491" s="14">
        <v>113641.38980125263</v>
      </c>
      <c r="K491" s="14">
        <v>93</v>
      </c>
      <c r="L491" s="14">
        <v>32.57631068455634</v>
      </c>
      <c r="N491" s="14">
        <v>93</v>
      </c>
      <c r="O491" s="14">
        <v>22890.94666629078</v>
      </c>
    </row>
    <row r="492" spans="1:15">
      <c r="A492" s="14">
        <v>93</v>
      </c>
      <c r="B492" s="14">
        <v>88</v>
      </c>
      <c r="H492" s="15">
        <v>109</v>
      </c>
      <c r="I492" s="15">
        <v>102523.55807323934</v>
      </c>
      <c r="K492" s="15">
        <v>109</v>
      </c>
      <c r="L492" s="15">
        <v>96.987044598496539</v>
      </c>
      <c r="N492" s="15">
        <v>109</v>
      </c>
      <c r="O492" s="15">
        <v>37506.668259777434</v>
      </c>
    </row>
    <row r="493" spans="1:15">
      <c r="A493" s="15">
        <v>109</v>
      </c>
      <c r="B493" s="15">
        <v>82</v>
      </c>
      <c r="H493" s="14">
        <v>106</v>
      </c>
      <c r="I493" s="14">
        <v>95550.502064434695</v>
      </c>
      <c r="K493" s="14">
        <v>106</v>
      </c>
      <c r="L493" s="14">
        <v>61.469237066825649</v>
      </c>
      <c r="N493" s="14">
        <v>106</v>
      </c>
      <c r="O493" s="14">
        <v>28386.60080578932</v>
      </c>
    </row>
    <row r="494" spans="1:15">
      <c r="A494" s="14">
        <v>106</v>
      </c>
      <c r="B494" s="14">
        <v>89</v>
      </c>
      <c r="H494" s="15">
        <v>106</v>
      </c>
      <c r="I494" s="15">
        <v>140937.24391439115</v>
      </c>
      <c r="K494" s="15">
        <v>106</v>
      </c>
      <c r="L494" s="15">
        <v>25.831876149732402</v>
      </c>
      <c r="N494" s="15">
        <v>106</v>
      </c>
      <c r="O494" s="15">
        <v>28745.834917724762</v>
      </c>
    </row>
    <row r="495" spans="1:15">
      <c r="A495" s="15">
        <v>106</v>
      </c>
      <c r="B495" s="15">
        <v>79</v>
      </c>
      <c r="H495" s="14">
        <v>103</v>
      </c>
      <c r="I495" s="14">
        <v>86501.319624188953</v>
      </c>
      <c r="K495" s="14">
        <v>103</v>
      </c>
      <c r="L495" s="14">
        <v>70.146632353205376</v>
      </c>
      <c r="N495" s="14">
        <v>103</v>
      </c>
      <c r="O495" s="14">
        <v>36640.970709245288</v>
      </c>
    </row>
    <row r="496" spans="1:15">
      <c r="A496" s="14">
        <v>103</v>
      </c>
      <c r="B496" s="14">
        <v>92</v>
      </c>
      <c r="H496" s="15">
        <v>113</v>
      </c>
      <c r="I496" s="15">
        <v>91938.480218699391</v>
      </c>
      <c r="K496" s="15">
        <v>113</v>
      </c>
      <c r="L496" s="15">
        <v>40.255912561024815</v>
      </c>
      <c r="N496" s="15">
        <v>113</v>
      </c>
      <c r="O496" s="15">
        <v>32781.150047003299</v>
      </c>
    </row>
    <row r="497" spans="1:15">
      <c r="A497" s="15">
        <v>113</v>
      </c>
      <c r="B497" s="15">
        <f>IF(ISBLANK(B487), G500, B487)</f>
        <v>89</v>
      </c>
      <c r="H497" s="14">
        <v>111</v>
      </c>
      <c r="I497" s="14">
        <v>100873.2838</v>
      </c>
      <c r="K497" s="14">
        <v>111</v>
      </c>
      <c r="L497" s="14">
        <v>84.2954761501842</v>
      </c>
      <c r="N497" s="14">
        <v>111</v>
      </c>
      <c r="O497" s="14">
        <v>30599.02924</v>
      </c>
    </row>
    <row r="498" spans="1:15">
      <c r="A498" s="14">
        <v>111</v>
      </c>
      <c r="B498" s="14">
        <v>92</v>
      </c>
      <c r="H498" s="15">
        <f>IF(ISBLANK(H451), U452, H451)</f>
        <v>92</v>
      </c>
      <c r="I498" s="15">
        <f>IF(ISBLANK(I489), O500, I489)</f>
        <v>108719.50779000092</v>
      </c>
      <c r="K498" s="15">
        <f>IF(ISBLANK(K451), X452, K451)</f>
        <v>92</v>
      </c>
      <c r="L498" s="15">
        <v>85.425765885295249</v>
      </c>
      <c r="N498" s="15">
        <f>IF(ISBLANK(N451), AA452, N451)</f>
        <v>92</v>
      </c>
      <c r="O498" s="15">
        <v>40825.011724505421</v>
      </c>
    </row>
    <row r="499" spans="1:15">
      <c r="A499" s="15">
        <f>IF(ISBLANK(A452), M453, A452)</f>
        <v>92</v>
      </c>
      <c r="B499" s="15">
        <v>92</v>
      </c>
      <c r="H499" s="14">
        <v>89</v>
      </c>
      <c r="I499" s="14">
        <v>88997.69434126922</v>
      </c>
      <c r="K499" s="14">
        <v>89</v>
      </c>
      <c r="L499" s="14">
        <v>98.315788468372943</v>
      </c>
      <c r="N499" s="14">
        <v>89</v>
      </c>
      <c r="O499" s="14">
        <v>26782.408848099287</v>
      </c>
    </row>
    <row r="500" spans="1:15">
      <c r="A500" s="14">
        <v>89</v>
      </c>
      <c r="B500" s="14">
        <v>90</v>
      </c>
      <c r="H500" s="15">
        <v>111</v>
      </c>
      <c r="I500" s="15">
        <v>97059.491531382999</v>
      </c>
      <c r="K500" s="15">
        <v>111</v>
      </c>
      <c r="L500" s="15">
        <v>60.149562481960295</v>
      </c>
      <c r="N500" s="15">
        <v>111</v>
      </c>
      <c r="O500" s="15">
        <v>34639.200640406183</v>
      </c>
    </row>
    <row r="501" spans="1:15">
      <c r="A501" s="15">
        <v>111</v>
      </c>
      <c r="B501" s="15">
        <v>82</v>
      </c>
      <c r="H501" s="14">
        <v>104</v>
      </c>
      <c r="I501" s="14">
        <v>100873.2838</v>
      </c>
      <c r="K501" s="14">
        <v>104</v>
      </c>
      <c r="L501" s="14">
        <v>56.396550378218969</v>
      </c>
      <c r="N501" s="14">
        <v>104</v>
      </c>
      <c r="O501" s="14">
        <f>IF(ISBLANK(O476), Y479, O476)</f>
        <v>26611.423151239469</v>
      </c>
    </row>
    <row r="502" spans="1:15">
      <c r="A502" s="14">
        <v>104</v>
      </c>
      <c r="B502" s="14">
        <v>89</v>
      </c>
      <c r="H502" s="15">
        <f>IF(ISBLANK(H455), U456, H455)</f>
        <v>108</v>
      </c>
      <c r="I502" s="15">
        <v>104156.05014706627</v>
      </c>
      <c r="K502" s="15">
        <f>IF(ISBLANK(K455), X456, K455)</f>
        <v>108</v>
      </c>
      <c r="L502" s="15">
        <v>62.2965856</v>
      </c>
      <c r="N502" s="15">
        <f>IF(ISBLANK(N455), AA456, N455)</f>
        <v>108</v>
      </c>
      <c r="O502" s="15">
        <v>31342.961394316284</v>
      </c>
    </row>
    <row r="503" spans="1:15">
      <c r="A503" s="15">
        <f>IF(ISBLANK(A456), M457, A456)</f>
        <v>108</v>
      </c>
      <c r="B503" s="15">
        <v>90</v>
      </c>
      <c r="H503" s="14">
        <v>109</v>
      </c>
      <c r="I503" s="14">
        <v>74147.493056954743</v>
      </c>
      <c r="K503" s="14">
        <v>109</v>
      </c>
      <c r="L503" s="14">
        <v>30.597652507354127</v>
      </c>
      <c r="N503" s="14">
        <v>109</v>
      </c>
      <c r="O503" s="14">
        <v>37642.342132062658</v>
      </c>
    </row>
    <row r="504" spans="1:15">
      <c r="A504" s="14">
        <v>109</v>
      </c>
      <c r="B504" s="14">
        <v>83</v>
      </c>
      <c r="H504" s="15">
        <v>108</v>
      </c>
      <c r="I504" s="15">
        <v>89356.628737456209</v>
      </c>
      <c r="K504" s="15">
        <v>108</v>
      </c>
      <c r="L504" s="15">
        <v>63.753241103449938</v>
      </c>
      <c r="N504" s="15">
        <v>108</v>
      </c>
      <c r="O504" s="15">
        <v>32539.178781448118</v>
      </c>
    </row>
    <row r="505" spans="1:15">
      <c r="A505" s="15">
        <v>108</v>
      </c>
      <c r="B505" s="15">
        <f>IF(ISBLANK(B495), G508, B495)</f>
        <v>79</v>
      </c>
      <c r="H505" s="14">
        <v>127</v>
      </c>
      <c r="I505" s="14">
        <v>87852.91133575578</v>
      </c>
      <c r="K505" s="14">
        <v>127</v>
      </c>
      <c r="L505" s="14">
        <v>63.699808010468075</v>
      </c>
      <c r="N505" s="14">
        <v>127</v>
      </c>
      <c r="O505" s="14">
        <v>32691.480395248163</v>
      </c>
    </row>
    <row r="506" spans="1:15">
      <c r="A506" s="14">
        <v>127</v>
      </c>
      <c r="B506" s="14">
        <v>102</v>
      </c>
      <c r="H506" s="15">
        <v>104</v>
      </c>
      <c r="I506" s="15">
        <v>98455.579095539084</v>
      </c>
      <c r="K506" s="15">
        <v>104</v>
      </c>
      <c r="L506" s="15">
        <v>27.157849824830976</v>
      </c>
      <c r="N506" s="15">
        <v>104</v>
      </c>
      <c r="O506" s="15">
        <v>35362.536686549014</v>
      </c>
    </row>
    <row r="507" spans="1:15">
      <c r="A507" s="15">
        <v>104</v>
      </c>
      <c r="B507" s="15">
        <v>76</v>
      </c>
      <c r="H507" s="14">
        <v>106</v>
      </c>
      <c r="I507" s="14">
        <v>108516.87317259658</v>
      </c>
      <c r="K507" s="14">
        <v>106</v>
      </c>
      <c r="L507" s="14">
        <v>53.438726840553088</v>
      </c>
      <c r="N507" s="14">
        <v>106</v>
      </c>
      <c r="O507" s="14">
        <v>28175.236352285574</v>
      </c>
    </row>
    <row r="508" spans="1:15">
      <c r="A508" s="14">
        <v>106</v>
      </c>
      <c r="B508" s="14">
        <v>99</v>
      </c>
      <c r="H508" s="15">
        <v>94</v>
      </c>
      <c r="I508" s="15">
        <v>108364.11511775944</v>
      </c>
      <c r="K508" s="15">
        <v>94</v>
      </c>
      <c r="L508" s="15">
        <v>88.262783885376152</v>
      </c>
      <c r="N508" s="15">
        <v>94</v>
      </c>
      <c r="O508" s="15">
        <v>25803.951663304968</v>
      </c>
    </row>
    <row r="509" spans="1:15">
      <c r="A509" s="15">
        <v>94</v>
      </c>
      <c r="B509" s="15">
        <v>77</v>
      </c>
      <c r="H509" s="14">
        <v>81</v>
      </c>
      <c r="I509" s="14">
        <v>64479.764919031957</v>
      </c>
      <c r="K509" s="14">
        <v>81</v>
      </c>
      <c r="L509" s="14">
        <v>88.492289759572827</v>
      </c>
      <c r="N509" s="14">
        <v>81</v>
      </c>
      <c r="O509" s="14">
        <v>24775.954029894834</v>
      </c>
    </row>
    <row r="510" spans="1:15">
      <c r="A510" s="14">
        <v>81</v>
      </c>
      <c r="B510" s="14">
        <v>101</v>
      </c>
      <c r="H510" s="15">
        <v>95</v>
      </c>
      <c r="I510" s="15">
        <v>121278.81975121712</v>
      </c>
      <c r="K510" s="15">
        <v>95</v>
      </c>
      <c r="L510" s="15">
        <v>27.939013193574482</v>
      </c>
      <c r="N510" s="15">
        <v>95</v>
      </c>
      <c r="O510" s="15">
        <v>20168.217053119992</v>
      </c>
    </row>
    <row r="511" spans="1:15">
      <c r="A511" s="15">
        <v>95</v>
      </c>
      <c r="B511" s="15">
        <v>94</v>
      </c>
    </row>
  </sheetData>
  <conditionalFormatting sqref="A11:A511">
    <cfRule type="cellIs" dxfId="111" priority="28" operator="greaterThan">
      <formula>127</formula>
    </cfRule>
    <cfRule type="containsBlanks" dxfId="110" priority="29">
      <formula>LEN(TRIM(A11))=0</formula>
    </cfRule>
  </conditionalFormatting>
  <conditionalFormatting sqref="A12:A511">
    <cfRule type="cellIs" dxfId="109" priority="27" operator="notBetween">
      <formula>75</formula>
      <formula>127</formula>
    </cfRule>
  </conditionalFormatting>
  <conditionalFormatting sqref="B11:B511">
    <cfRule type="containsBlanks" dxfId="108" priority="22">
      <formula>LEN(TRIM(B11))=0</formula>
    </cfRule>
  </conditionalFormatting>
  <conditionalFormatting sqref="B12:B511">
    <cfRule type="cellIs" dxfId="107" priority="19" operator="notBetween">
      <formula>65</formula>
      <formula>113</formula>
    </cfRule>
    <cfRule type="cellIs" priority="20" operator="notBetween">
      <formula>65</formula>
      <formula>113</formula>
    </cfRule>
    <cfRule type="cellIs" dxfId="106" priority="21" operator="greaterThan">
      <formula>115</formula>
    </cfRule>
  </conditionalFormatting>
  <conditionalFormatting sqref="B2:H8">
    <cfRule type="colorScale" priority="1">
      <colorScale>
        <cfvo type="min"/>
        <cfvo type="percentile" val="50"/>
        <cfvo type="max"/>
        <color rgb="FFF8696B"/>
        <color rgb="FFFCFCFF"/>
        <color rgb="FF5A8AC6"/>
      </colorScale>
    </cfRule>
  </conditionalFormatting>
  <conditionalFormatting sqref="H10:H510">
    <cfRule type="cellIs" dxfId="105" priority="17" operator="greaterThan">
      <formula>127</formula>
    </cfRule>
    <cfRule type="containsBlanks" dxfId="104" priority="18">
      <formula>LEN(TRIM(H10))=0</formula>
    </cfRule>
  </conditionalFormatting>
  <conditionalFormatting sqref="H11:H510">
    <cfRule type="cellIs" dxfId="103" priority="16" operator="notBetween">
      <formula>75</formula>
      <formula>127</formula>
    </cfRule>
  </conditionalFormatting>
  <conditionalFormatting sqref="I10:I510">
    <cfRule type="containsBlanks" dxfId="102" priority="15">
      <formula>LEN(TRIM(I10))=0</formula>
    </cfRule>
  </conditionalFormatting>
  <conditionalFormatting sqref="I11:I510">
    <cfRule type="cellIs" dxfId="101" priority="14" operator="greaterThan">
      <formula>157368.0611</formula>
    </cfRule>
  </conditionalFormatting>
  <conditionalFormatting sqref="K10:K510">
    <cfRule type="cellIs" dxfId="100" priority="10" operator="greaterThan">
      <formula>127</formula>
    </cfRule>
    <cfRule type="containsBlanks" dxfId="99" priority="11">
      <formula>LEN(TRIM(K10))=0</formula>
    </cfRule>
  </conditionalFormatting>
  <conditionalFormatting sqref="K11:K510">
    <cfRule type="cellIs" dxfId="98" priority="9" operator="notBetween">
      <formula>75</formula>
      <formula>127</formula>
    </cfRule>
  </conditionalFormatting>
  <conditionalFormatting sqref="L10:L510">
    <cfRule type="containsBlanks" dxfId="97" priority="13">
      <formula>LEN(TRIM(L10))=0</formula>
    </cfRule>
  </conditionalFormatting>
  <conditionalFormatting sqref="L11:L510">
    <cfRule type="cellIs" dxfId="96" priority="12" operator="greaterThan">
      <formula>99.94802404</formula>
    </cfRule>
  </conditionalFormatting>
  <conditionalFormatting sqref="N10:N510">
    <cfRule type="cellIs" dxfId="95" priority="7" operator="greaterThan">
      <formula>127</formula>
    </cfRule>
    <cfRule type="containsBlanks" dxfId="94" priority="8">
      <formula>LEN(TRIM(N10))=0</formula>
    </cfRule>
  </conditionalFormatting>
  <conditionalFormatting sqref="N11:N510">
    <cfRule type="cellIs" dxfId="93" priority="6" operator="notBetween">
      <formula>75</formula>
      <formula>127</formula>
    </cfRule>
  </conditionalFormatting>
  <conditionalFormatting sqref="O10:O510">
    <cfRule type="containsBlanks" dxfId="92" priority="5">
      <formula>LEN(TRIM(O10))=0</formula>
    </cfRule>
  </conditionalFormatting>
  <conditionalFormatting sqref="O11:O510">
    <cfRule type="cellIs" dxfId="91" priority="2" operator="notBetween">
      <formula>17044.78854</formula>
      <formula>42898.54669</formula>
    </cfRule>
    <cfRule type="cellIs" dxfId="90" priority="3" operator="lessThan">
      <formula>15575.63284</formula>
    </cfRule>
    <cfRule type="cellIs" dxfId="89" priority="4" operator="greaterThan">
      <formula>45475.55713</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B82C-3745-4D08-9BEF-F87D80BF7226}">
  <dimension ref="B1:I108"/>
  <sheetViews>
    <sheetView topLeftCell="A7" workbookViewId="0">
      <selection activeCell="J23" sqref="J23"/>
    </sheetView>
  </sheetViews>
  <sheetFormatPr defaultRowHeight="14.4"/>
  <cols>
    <col min="3" max="3" width="11.88671875" customWidth="1"/>
    <col min="7" max="7" width="14.109375" customWidth="1"/>
    <col min="8" max="8" width="15.109375" customWidth="1"/>
    <col min="9" max="9" width="22.5546875" customWidth="1"/>
  </cols>
  <sheetData>
    <row r="1" spans="2:9">
      <c r="B1" s="2" t="s">
        <v>411</v>
      </c>
      <c r="C1" s="2" t="s">
        <v>412</v>
      </c>
    </row>
    <row r="2" spans="2:9">
      <c r="B2" s="14">
        <v>103</v>
      </c>
      <c r="C2" s="14">
        <v>96</v>
      </c>
    </row>
    <row r="3" spans="2:9">
      <c r="B3" s="15">
        <v>111</v>
      </c>
      <c r="C3" s="15">
        <v>107</v>
      </c>
      <c r="G3" s="2" t="s">
        <v>413</v>
      </c>
    </row>
    <row r="4" spans="2:9">
      <c r="B4" s="14">
        <v>90</v>
      </c>
      <c r="C4" s="14">
        <v>94</v>
      </c>
      <c r="G4" s="2" t="s">
        <v>414</v>
      </c>
    </row>
    <row r="5" spans="2:9">
      <c r="B5" s="15">
        <v>94</v>
      </c>
      <c r="C5" s="15">
        <v>103</v>
      </c>
    </row>
    <row r="6" spans="2:9">
      <c r="B6" s="14">
        <v>105</v>
      </c>
      <c r="C6" s="14">
        <v>90</v>
      </c>
      <c r="G6" s="2" t="s">
        <v>415</v>
      </c>
      <c r="H6" s="2"/>
      <c r="I6" s="2"/>
    </row>
    <row r="7" spans="2:9" ht="15" thickBot="1">
      <c r="B7" s="15">
        <v>103</v>
      </c>
      <c r="C7" s="15">
        <v>100</v>
      </c>
    </row>
    <row r="8" spans="2:9">
      <c r="B8" s="14">
        <v>100</v>
      </c>
      <c r="C8" s="14">
        <v>103</v>
      </c>
      <c r="G8" s="6"/>
      <c r="H8" s="6" t="s">
        <v>411</v>
      </c>
      <c r="I8" s="6" t="s">
        <v>412</v>
      </c>
    </row>
    <row r="9" spans="2:9">
      <c r="B9" s="15">
        <v>106</v>
      </c>
      <c r="C9" s="15">
        <v>94</v>
      </c>
      <c r="G9" t="s">
        <v>25</v>
      </c>
      <c r="H9">
        <v>100.59433962264151</v>
      </c>
      <c r="I9">
        <v>98.803738317757009</v>
      </c>
    </row>
    <row r="10" spans="2:9">
      <c r="B10" s="14">
        <v>95</v>
      </c>
      <c r="C10" s="14">
        <v>108</v>
      </c>
      <c r="G10" t="s">
        <v>124</v>
      </c>
      <c r="H10">
        <v>87.824348607367469</v>
      </c>
      <c r="I10">
        <v>91.9139481572915</v>
      </c>
    </row>
    <row r="11" spans="2:9">
      <c r="B11" s="15">
        <v>94</v>
      </c>
      <c r="C11" s="15">
        <v>114</v>
      </c>
      <c r="G11" t="s">
        <v>416</v>
      </c>
      <c r="H11">
        <v>106</v>
      </c>
      <c r="I11">
        <v>107</v>
      </c>
    </row>
    <row r="12" spans="2:9">
      <c r="B12" s="14">
        <v>121</v>
      </c>
      <c r="C12" s="14">
        <v>86</v>
      </c>
      <c r="G12" t="s">
        <v>417</v>
      </c>
      <c r="H12">
        <v>0</v>
      </c>
    </row>
    <row r="13" spans="2:9">
      <c r="B13" s="15">
        <v>100</v>
      </c>
      <c r="C13" s="15">
        <v>108</v>
      </c>
      <c r="G13" t="s">
        <v>418</v>
      </c>
      <c r="H13">
        <v>211</v>
      </c>
    </row>
    <row r="14" spans="2:9">
      <c r="B14" s="14">
        <v>103</v>
      </c>
      <c r="C14" s="14">
        <v>100</v>
      </c>
      <c r="G14" t="s">
        <v>419</v>
      </c>
      <c r="H14">
        <v>1.3783890062497333</v>
      </c>
    </row>
    <row r="15" spans="2:9">
      <c r="B15" s="15">
        <v>96</v>
      </c>
      <c r="C15" s="15">
        <v>104</v>
      </c>
      <c r="G15" t="s">
        <v>420</v>
      </c>
      <c r="H15">
        <v>8.4771487317414684E-2</v>
      </c>
    </row>
    <row r="16" spans="2:9">
      <c r="B16" s="14">
        <v>95</v>
      </c>
      <c r="C16" s="14">
        <v>115</v>
      </c>
      <c r="G16" t="s">
        <v>421</v>
      </c>
      <c r="H16">
        <v>1.6521072861608714</v>
      </c>
    </row>
    <row r="17" spans="2:9">
      <c r="B17" s="15">
        <v>106</v>
      </c>
      <c r="C17" s="15">
        <v>100</v>
      </c>
      <c r="G17" t="s">
        <v>422</v>
      </c>
      <c r="H17">
        <v>0.16954297463482937</v>
      </c>
    </row>
    <row r="18" spans="2:9" ht="15" thickBot="1">
      <c r="B18" s="14">
        <v>100</v>
      </c>
      <c r="C18" s="14">
        <v>96</v>
      </c>
      <c r="G18" s="5" t="s">
        <v>423</v>
      </c>
      <c r="H18" s="5">
        <v>1.9712706460485967</v>
      </c>
      <c r="I18" s="5"/>
    </row>
    <row r="19" spans="2:9">
      <c r="B19" s="15">
        <v>118</v>
      </c>
      <c r="C19" s="15">
        <v>93</v>
      </c>
    </row>
    <row r="20" spans="2:9">
      <c r="B20" s="14">
        <v>115</v>
      </c>
      <c r="C20" s="14">
        <v>78</v>
      </c>
    </row>
    <row r="21" spans="2:9">
      <c r="B21" s="15">
        <v>104</v>
      </c>
      <c r="C21" s="15">
        <v>100</v>
      </c>
      <c r="G21" s="2" t="s">
        <v>424</v>
      </c>
      <c r="H21" t="str">
        <f>IF(H15&lt;0.05, "Reject H₀","Fail to reject H₀")</f>
        <v>Fail to reject H₀</v>
      </c>
    </row>
    <row r="22" spans="2:9">
      <c r="B22" s="14">
        <v>106</v>
      </c>
      <c r="C22" s="14">
        <v>114</v>
      </c>
      <c r="G22" s="2" t="s">
        <v>450</v>
      </c>
      <c r="H22" t="s">
        <v>449</v>
      </c>
    </row>
    <row r="23" spans="2:9">
      <c r="B23" s="15">
        <v>105</v>
      </c>
      <c r="C23" s="15">
        <v>89</v>
      </c>
    </row>
    <row r="24" spans="2:9">
      <c r="B24" s="14">
        <v>109</v>
      </c>
      <c r="C24" s="14">
        <v>104</v>
      </c>
    </row>
    <row r="25" spans="2:9">
      <c r="B25" s="15">
        <v>100</v>
      </c>
      <c r="C25" s="15">
        <v>110</v>
      </c>
    </row>
    <row r="26" spans="2:9">
      <c r="B26" s="14">
        <v>93</v>
      </c>
      <c r="C26" s="14">
        <v>100</v>
      </c>
    </row>
    <row r="27" spans="2:9">
      <c r="B27" s="15">
        <v>87</v>
      </c>
      <c r="C27" s="15">
        <v>100</v>
      </c>
    </row>
    <row r="28" spans="2:9">
      <c r="B28" s="14">
        <v>113</v>
      </c>
      <c r="C28" s="14">
        <v>100</v>
      </c>
    </row>
    <row r="29" spans="2:9">
      <c r="B29" s="15">
        <v>106</v>
      </c>
      <c r="C29" s="15">
        <v>101</v>
      </c>
    </row>
    <row r="30" spans="2:9">
      <c r="B30" s="14">
        <v>114</v>
      </c>
      <c r="C30" s="14">
        <v>100</v>
      </c>
    </row>
    <row r="31" spans="2:9">
      <c r="B31" s="15">
        <v>105</v>
      </c>
      <c r="C31" s="15">
        <v>97</v>
      </c>
    </row>
    <row r="32" spans="2:9">
      <c r="B32" s="14">
        <v>112</v>
      </c>
      <c r="C32" s="14">
        <v>98</v>
      </c>
    </row>
    <row r="33" spans="2:3">
      <c r="B33" s="15">
        <v>96</v>
      </c>
      <c r="C33" s="15">
        <v>100</v>
      </c>
    </row>
    <row r="34" spans="2:3">
      <c r="B34" s="14">
        <v>100</v>
      </c>
      <c r="C34" s="14">
        <v>99</v>
      </c>
    </row>
    <row r="35" spans="2:3">
      <c r="B35" s="15">
        <v>81</v>
      </c>
      <c r="C35" s="15">
        <v>84</v>
      </c>
    </row>
    <row r="36" spans="2:3">
      <c r="B36" s="14">
        <v>86</v>
      </c>
      <c r="C36" s="14">
        <v>100</v>
      </c>
    </row>
    <row r="37" spans="2:3">
      <c r="B37" s="15">
        <v>107</v>
      </c>
      <c r="C37" s="15">
        <v>104</v>
      </c>
    </row>
    <row r="38" spans="2:3">
      <c r="B38" s="14">
        <v>85</v>
      </c>
      <c r="C38" s="14">
        <v>108</v>
      </c>
    </row>
    <row r="39" spans="2:3">
      <c r="B39" s="15">
        <v>100</v>
      </c>
      <c r="C39" s="15">
        <v>96</v>
      </c>
    </row>
    <row r="40" spans="2:3">
      <c r="B40" s="14">
        <v>116</v>
      </c>
      <c r="C40" s="14">
        <v>112</v>
      </c>
    </row>
    <row r="41" spans="2:3">
      <c r="B41" s="15">
        <v>105</v>
      </c>
      <c r="C41" s="15">
        <v>82</v>
      </c>
    </row>
    <row r="42" spans="2:3">
      <c r="B42" s="14">
        <v>84</v>
      </c>
      <c r="C42" s="14">
        <v>96</v>
      </c>
    </row>
    <row r="43" spans="2:3">
      <c r="B43" s="15">
        <v>106</v>
      </c>
      <c r="C43" s="15">
        <v>98</v>
      </c>
    </row>
    <row r="44" spans="2:3">
      <c r="B44" s="14">
        <v>96</v>
      </c>
      <c r="C44" s="14">
        <v>93</v>
      </c>
    </row>
    <row r="45" spans="2:3">
      <c r="B45" s="15">
        <v>86</v>
      </c>
      <c r="C45" s="15">
        <v>82</v>
      </c>
    </row>
    <row r="46" spans="2:3">
      <c r="B46" s="14">
        <v>100</v>
      </c>
      <c r="C46" s="14">
        <v>104</v>
      </c>
    </row>
    <row r="47" spans="2:3">
      <c r="B47" s="15">
        <v>99</v>
      </c>
      <c r="C47" s="15">
        <v>102</v>
      </c>
    </row>
    <row r="48" spans="2:3">
      <c r="B48" s="14">
        <v>102</v>
      </c>
      <c r="C48" s="14">
        <v>76</v>
      </c>
    </row>
    <row r="49" spans="2:3">
      <c r="B49" s="15">
        <v>105</v>
      </c>
      <c r="C49" s="15">
        <v>93</v>
      </c>
    </row>
    <row r="50" spans="2:3">
      <c r="B50" s="14">
        <v>122</v>
      </c>
      <c r="C50" s="14">
        <v>112</v>
      </c>
    </row>
    <row r="51" spans="2:3">
      <c r="B51" s="15">
        <v>96</v>
      </c>
      <c r="C51" s="15">
        <v>99</v>
      </c>
    </row>
    <row r="52" spans="2:3">
      <c r="B52" s="14">
        <v>97</v>
      </c>
      <c r="C52" s="14">
        <v>101</v>
      </c>
    </row>
    <row r="53" spans="2:3">
      <c r="B53" s="15">
        <v>87</v>
      </c>
      <c r="C53" s="15">
        <v>101</v>
      </c>
    </row>
    <row r="54" spans="2:3">
      <c r="B54" s="14">
        <v>96</v>
      </c>
      <c r="C54" s="14">
        <v>113</v>
      </c>
    </row>
    <row r="55" spans="2:3">
      <c r="B55" s="15">
        <v>97</v>
      </c>
      <c r="C55" s="15">
        <v>100</v>
      </c>
    </row>
    <row r="56" spans="2:3">
      <c r="B56" s="14">
        <v>97</v>
      </c>
      <c r="C56" s="14">
        <v>87</v>
      </c>
    </row>
    <row r="57" spans="2:3">
      <c r="B57" s="15">
        <v>99</v>
      </c>
      <c r="C57" s="15">
        <v>115</v>
      </c>
    </row>
    <row r="58" spans="2:3">
      <c r="B58" s="14">
        <v>82</v>
      </c>
      <c r="C58" s="14">
        <v>105</v>
      </c>
    </row>
    <row r="59" spans="2:3">
      <c r="B59" s="15">
        <v>86</v>
      </c>
      <c r="C59" s="15">
        <v>89</v>
      </c>
    </row>
    <row r="60" spans="2:3">
      <c r="B60" s="14">
        <v>91</v>
      </c>
      <c r="C60" s="14">
        <v>89</v>
      </c>
    </row>
    <row r="61" spans="2:3">
      <c r="B61" s="15">
        <v>110</v>
      </c>
      <c r="C61" s="15">
        <v>96</v>
      </c>
    </row>
    <row r="62" spans="2:3">
      <c r="B62" s="14">
        <v>103</v>
      </c>
      <c r="C62" s="14">
        <v>100</v>
      </c>
    </row>
    <row r="63" spans="2:3">
      <c r="B63" s="15">
        <v>109</v>
      </c>
      <c r="C63" s="15">
        <v>93</v>
      </c>
    </row>
    <row r="64" spans="2:3">
      <c r="B64" s="14">
        <v>83</v>
      </c>
      <c r="C64" s="14">
        <v>103</v>
      </c>
    </row>
    <row r="65" spans="2:3">
      <c r="B65" s="15">
        <v>98</v>
      </c>
      <c r="C65" s="15">
        <v>92</v>
      </c>
    </row>
    <row r="66" spans="2:3">
      <c r="B66" s="14">
        <v>118</v>
      </c>
      <c r="C66" s="14">
        <v>90</v>
      </c>
    </row>
    <row r="67" spans="2:3">
      <c r="B67" s="15">
        <v>100</v>
      </c>
      <c r="C67" s="15">
        <v>102</v>
      </c>
    </row>
    <row r="68" spans="2:3">
      <c r="B68" s="14">
        <v>100</v>
      </c>
      <c r="C68" s="14">
        <v>95</v>
      </c>
    </row>
    <row r="69" spans="2:3">
      <c r="B69" s="15">
        <v>108</v>
      </c>
      <c r="C69" s="15">
        <v>86</v>
      </c>
    </row>
    <row r="70" spans="2:3">
      <c r="B70" s="14">
        <v>97</v>
      </c>
      <c r="C70" s="14">
        <v>88</v>
      </c>
    </row>
    <row r="71" spans="2:3">
      <c r="B71" s="15">
        <v>100</v>
      </c>
      <c r="C71" s="15">
        <v>95</v>
      </c>
    </row>
    <row r="72" spans="2:3">
      <c r="B72" s="14">
        <v>97</v>
      </c>
      <c r="C72" s="14">
        <v>86</v>
      </c>
    </row>
    <row r="73" spans="2:3">
      <c r="B73" s="15">
        <v>109</v>
      </c>
      <c r="C73" s="15">
        <v>81</v>
      </c>
    </row>
    <row r="74" spans="2:3">
      <c r="B74" s="14">
        <v>106</v>
      </c>
      <c r="C74" s="14">
        <v>103</v>
      </c>
    </row>
    <row r="75" spans="2:3">
      <c r="B75" s="15">
        <v>102</v>
      </c>
      <c r="C75" s="15">
        <v>115</v>
      </c>
    </row>
    <row r="76" spans="2:3">
      <c r="B76" s="14">
        <v>100</v>
      </c>
      <c r="C76" s="14">
        <v>100</v>
      </c>
    </row>
    <row r="77" spans="2:3">
      <c r="B77" s="15">
        <v>79</v>
      </c>
      <c r="C77" s="15">
        <v>86</v>
      </c>
    </row>
    <row r="78" spans="2:3">
      <c r="B78" s="14">
        <v>107</v>
      </c>
      <c r="C78" s="14">
        <v>90</v>
      </c>
    </row>
    <row r="79" spans="2:3">
      <c r="B79" s="15">
        <v>117</v>
      </c>
      <c r="C79" s="15">
        <v>99</v>
      </c>
    </row>
    <row r="80" spans="2:3">
      <c r="B80" s="14">
        <v>88</v>
      </c>
      <c r="C80" s="14">
        <v>103</v>
      </c>
    </row>
    <row r="81" spans="2:3">
      <c r="B81" s="15">
        <v>106</v>
      </c>
      <c r="C81" s="15">
        <v>95</v>
      </c>
    </row>
    <row r="82" spans="2:3">
      <c r="B82" s="14">
        <v>110</v>
      </c>
      <c r="C82" s="14">
        <v>101</v>
      </c>
    </row>
    <row r="83" spans="2:3">
      <c r="B83" s="15">
        <v>89</v>
      </c>
      <c r="C83" s="15">
        <v>102</v>
      </c>
    </row>
    <row r="84" spans="2:3">
      <c r="B84" s="14">
        <v>101</v>
      </c>
      <c r="C84" s="14">
        <v>109</v>
      </c>
    </row>
    <row r="85" spans="2:3">
      <c r="B85" s="15">
        <v>108</v>
      </c>
      <c r="C85" s="15">
        <v>88</v>
      </c>
    </row>
    <row r="86" spans="2:3">
      <c r="B86" s="14">
        <v>100</v>
      </c>
      <c r="C86" s="14">
        <v>100</v>
      </c>
    </row>
    <row r="87" spans="2:3">
      <c r="B87" s="15">
        <v>89</v>
      </c>
      <c r="C87" s="15">
        <v>100</v>
      </c>
    </row>
    <row r="88" spans="2:3">
      <c r="B88" s="14">
        <v>103</v>
      </c>
      <c r="C88" s="14">
        <v>94</v>
      </c>
    </row>
    <row r="89" spans="2:3">
      <c r="B89" s="15">
        <v>98</v>
      </c>
      <c r="C89" s="15">
        <v>91</v>
      </c>
    </row>
    <row r="90" spans="2:3">
      <c r="B90" s="14">
        <v>100</v>
      </c>
      <c r="C90" s="14">
        <v>110</v>
      </c>
    </row>
    <row r="91" spans="2:3">
      <c r="B91" s="15">
        <v>89</v>
      </c>
      <c r="C91" s="15">
        <v>113</v>
      </c>
    </row>
    <row r="92" spans="2:3">
      <c r="B92" s="14">
        <v>100</v>
      </c>
      <c r="C92" s="14">
        <v>93</v>
      </c>
    </row>
    <row r="93" spans="2:3">
      <c r="B93" s="15">
        <v>107</v>
      </c>
      <c r="C93" s="15">
        <v>86</v>
      </c>
    </row>
    <row r="94" spans="2:3">
      <c r="B94" s="14">
        <v>100</v>
      </c>
      <c r="C94" s="14">
        <v>92</v>
      </c>
    </row>
    <row r="95" spans="2:3">
      <c r="B95" s="15">
        <v>92</v>
      </c>
      <c r="C95" s="15">
        <v>100</v>
      </c>
    </row>
    <row r="96" spans="2:3">
      <c r="B96" s="14">
        <v>110</v>
      </c>
      <c r="C96" s="14">
        <v>107</v>
      </c>
    </row>
    <row r="97" spans="2:3">
      <c r="B97" s="15">
        <v>122</v>
      </c>
      <c r="C97" s="15">
        <v>113</v>
      </c>
    </row>
    <row r="98" spans="2:3">
      <c r="B98" s="14">
        <v>90</v>
      </c>
      <c r="C98" s="14">
        <v>89</v>
      </c>
    </row>
    <row r="99" spans="2:3">
      <c r="B99" s="15">
        <v>110</v>
      </c>
      <c r="C99" s="15">
        <v>100</v>
      </c>
    </row>
    <row r="100" spans="2:3">
      <c r="B100" s="14">
        <v>95</v>
      </c>
      <c r="C100" s="14">
        <v>81</v>
      </c>
    </row>
    <row r="101" spans="2:3">
      <c r="B101" s="15">
        <v>100</v>
      </c>
      <c r="C101" s="15">
        <v>113</v>
      </c>
    </row>
    <row r="102" spans="2:3">
      <c r="B102" s="14">
        <v>91</v>
      </c>
      <c r="C102" s="14">
        <v>113</v>
      </c>
    </row>
    <row r="103" spans="2:3">
      <c r="B103" s="15">
        <v>112</v>
      </c>
      <c r="C103" s="15">
        <v>94</v>
      </c>
    </row>
    <row r="104" spans="2:3">
      <c r="B104" s="14">
        <v>99</v>
      </c>
      <c r="C104" s="14">
        <v>121</v>
      </c>
    </row>
    <row r="105" spans="2:3">
      <c r="B105" s="15">
        <v>93</v>
      </c>
      <c r="C105" s="15">
        <v>121</v>
      </c>
    </row>
    <row r="106" spans="2:3">
      <c r="B106" s="14">
        <v>111</v>
      </c>
      <c r="C106" s="14">
        <v>106</v>
      </c>
    </row>
    <row r="107" spans="2:3">
      <c r="B107" s="15">
        <v>94</v>
      </c>
      <c r="C107" s="15">
        <v>84</v>
      </c>
    </row>
    <row r="108" spans="2:3">
      <c r="C108" s="14">
        <v>111</v>
      </c>
    </row>
  </sheetData>
  <conditionalFormatting sqref="B2:B107">
    <cfRule type="cellIs" dxfId="88" priority="5" operator="notBetween">
      <formula>75</formula>
      <formula>127</formula>
    </cfRule>
    <cfRule type="cellIs" dxfId="87" priority="6" operator="greaterThan">
      <formula>127</formula>
    </cfRule>
    <cfRule type="containsBlanks" dxfId="86" priority="7">
      <formula>LEN(TRIM(B2))=0</formula>
    </cfRule>
  </conditionalFormatting>
  <conditionalFormatting sqref="C2:C108">
    <cfRule type="cellIs" dxfId="85" priority="2" operator="notBetween">
      <formula>75</formula>
      <formula>127</formula>
    </cfRule>
    <cfRule type="cellIs" dxfId="84" priority="3" operator="greaterThan">
      <formula>127</formula>
    </cfRule>
    <cfRule type="containsBlanks" dxfId="83" priority="4">
      <formula>LEN(TRIM(C2))=0</formula>
    </cfRule>
  </conditionalFormatting>
  <conditionalFormatting sqref="H21">
    <cfRule type="containsText" dxfId="82" priority="1" operator="containsText" text="F">
      <formula>NOT(ISERROR(SEARCH("F",H21)))</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14CF9-5AFD-4CBA-BC60-23C77BC35A72}">
  <dimension ref="A1:M108"/>
  <sheetViews>
    <sheetView topLeftCell="A11" workbookViewId="0">
      <selection activeCell="O23" sqref="O23"/>
    </sheetView>
  </sheetViews>
  <sheetFormatPr defaultRowHeight="14.4"/>
  <cols>
    <col min="1" max="1" width="11.109375" customWidth="1"/>
    <col min="2" max="2" width="12.77734375" customWidth="1"/>
    <col min="3" max="3" width="15.6640625" customWidth="1"/>
    <col min="4" max="4" width="12.77734375" customWidth="1"/>
    <col min="5" max="5" width="11.44140625" customWidth="1"/>
    <col min="7" max="7" width="16.21875" customWidth="1"/>
  </cols>
  <sheetData>
    <row r="1" spans="1:11">
      <c r="A1" s="2" t="s">
        <v>428</v>
      </c>
      <c r="B1" s="2" t="s">
        <v>429</v>
      </c>
      <c r="C1" s="2" t="s">
        <v>430</v>
      </c>
      <c r="D1" s="2" t="s">
        <v>431</v>
      </c>
      <c r="E1" s="2" t="s">
        <v>432</v>
      </c>
    </row>
    <row r="2" spans="1:11">
      <c r="A2" s="14">
        <v>103</v>
      </c>
      <c r="B2" s="14">
        <v>96</v>
      </c>
      <c r="C2" s="14">
        <v>88</v>
      </c>
      <c r="D2" s="14">
        <v>98</v>
      </c>
      <c r="E2" s="14">
        <v>99</v>
      </c>
    </row>
    <row r="3" spans="1:11">
      <c r="A3" s="15">
        <v>111</v>
      </c>
      <c r="B3" s="15">
        <v>107</v>
      </c>
      <c r="C3" s="15">
        <v>87</v>
      </c>
      <c r="D3" s="15">
        <v>94</v>
      </c>
      <c r="E3" s="15">
        <v>76</v>
      </c>
      <c r="G3" s="2" t="s">
        <v>433</v>
      </c>
    </row>
    <row r="4" spans="1:11">
      <c r="A4" s="14">
        <v>90</v>
      </c>
      <c r="B4" s="14">
        <v>94</v>
      </c>
      <c r="C4" s="14">
        <v>96</v>
      </c>
      <c r="D4" s="14">
        <v>86</v>
      </c>
      <c r="E4" s="14">
        <v>111</v>
      </c>
      <c r="G4" s="2" t="s">
        <v>434</v>
      </c>
    </row>
    <row r="5" spans="1:11">
      <c r="A5" s="15">
        <v>94</v>
      </c>
      <c r="B5" s="15">
        <v>103</v>
      </c>
      <c r="C5" s="15">
        <v>113</v>
      </c>
      <c r="D5" s="15">
        <v>92</v>
      </c>
      <c r="E5" s="15">
        <v>108</v>
      </c>
    </row>
    <row r="6" spans="1:11">
      <c r="A6" s="14">
        <v>105</v>
      </c>
      <c r="B6" s="14">
        <v>90</v>
      </c>
      <c r="C6" s="14">
        <v>107</v>
      </c>
      <c r="D6" s="14">
        <v>101</v>
      </c>
      <c r="E6" s="14">
        <v>100</v>
      </c>
      <c r="G6" t="s">
        <v>435</v>
      </c>
    </row>
    <row r="7" spans="1:11">
      <c r="A7" s="15">
        <v>103</v>
      </c>
      <c r="B7" s="15">
        <v>100</v>
      </c>
      <c r="C7" s="15">
        <v>101</v>
      </c>
      <c r="D7" s="15">
        <v>84</v>
      </c>
      <c r="E7" s="15">
        <v>94</v>
      </c>
    </row>
    <row r="8" spans="1:11" ht="15" thickBot="1">
      <c r="A8" s="14">
        <v>100</v>
      </c>
      <c r="B8" s="14">
        <v>103</v>
      </c>
      <c r="C8" s="14">
        <v>94</v>
      </c>
      <c r="D8" s="14">
        <v>93</v>
      </c>
      <c r="E8" s="14">
        <v>100</v>
      </c>
      <c r="G8" t="s">
        <v>436</v>
      </c>
    </row>
    <row r="9" spans="1:11">
      <c r="A9" s="15">
        <v>106</v>
      </c>
      <c r="B9" s="15">
        <v>94</v>
      </c>
      <c r="C9" s="15">
        <v>97</v>
      </c>
      <c r="D9" s="15">
        <v>116</v>
      </c>
      <c r="E9" s="15">
        <v>116</v>
      </c>
      <c r="G9" s="6" t="s">
        <v>437</v>
      </c>
      <c r="H9" s="6" t="s">
        <v>56</v>
      </c>
      <c r="I9" s="6" t="s">
        <v>55</v>
      </c>
      <c r="J9" s="6" t="s">
        <v>438</v>
      </c>
      <c r="K9" s="6" t="s">
        <v>124</v>
      </c>
    </row>
    <row r="10" spans="1:11">
      <c r="A10" s="14">
        <v>95</v>
      </c>
      <c r="B10" s="14">
        <v>108</v>
      </c>
      <c r="C10" s="14">
        <v>91</v>
      </c>
      <c r="D10" s="14">
        <v>118</v>
      </c>
      <c r="E10" s="14">
        <v>105</v>
      </c>
      <c r="G10" t="s">
        <v>428</v>
      </c>
      <c r="H10">
        <v>106</v>
      </c>
      <c r="I10">
        <v>10663</v>
      </c>
      <c r="J10">
        <v>100.59433962264151</v>
      </c>
      <c r="K10">
        <v>87.824348607367469</v>
      </c>
    </row>
    <row r="11" spans="1:11">
      <c r="A11" s="15">
        <v>94</v>
      </c>
      <c r="B11" s="15">
        <v>114</v>
      </c>
      <c r="C11" s="15">
        <v>98</v>
      </c>
      <c r="D11" s="15">
        <v>94</v>
      </c>
      <c r="E11" s="15">
        <v>92</v>
      </c>
      <c r="G11" t="s">
        <v>429</v>
      </c>
      <c r="H11">
        <v>107</v>
      </c>
      <c r="I11">
        <v>10572</v>
      </c>
      <c r="J11">
        <v>98.803738317757009</v>
      </c>
      <c r="K11">
        <v>91.9139481572915</v>
      </c>
    </row>
    <row r="12" spans="1:11">
      <c r="A12" s="14">
        <v>121</v>
      </c>
      <c r="B12" s="14">
        <v>86</v>
      </c>
      <c r="C12" s="14">
        <v>100</v>
      </c>
      <c r="D12" s="14">
        <v>110</v>
      </c>
      <c r="E12" s="14">
        <v>110</v>
      </c>
      <c r="G12" t="s">
        <v>430</v>
      </c>
      <c r="H12">
        <v>98</v>
      </c>
      <c r="I12">
        <v>9722</v>
      </c>
      <c r="J12">
        <v>99.204081632653057</v>
      </c>
      <c r="K12">
        <v>71.463075952030295</v>
      </c>
    </row>
    <row r="13" spans="1:11">
      <c r="A13" s="15">
        <v>100</v>
      </c>
      <c r="B13" s="15">
        <v>108</v>
      </c>
      <c r="C13" s="15">
        <v>88</v>
      </c>
      <c r="D13" s="15">
        <v>86</v>
      </c>
      <c r="E13" s="15">
        <v>85</v>
      </c>
      <c r="G13" t="s">
        <v>431</v>
      </c>
      <c r="H13">
        <v>101</v>
      </c>
      <c r="I13">
        <v>10109</v>
      </c>
      <c r="J13">
        <v>100.08910891089108</v>
      </c>
      <c r="K13">
        <v>127.90198019801988</v>
      </c>
    </row>
    <row r="14" spans="1:11" ht="15" thickBot="1">
      <c r="A14" s="14">
        <v>103</v>
      </c>
      <c r="B14" s="14">
        <v>100</v>
      </c>
      <c r="C14" s="14">
        <v>92</v>
      </c>
      <c r="D14" s="14">
        <v>104</v>
      </c>
      <c r="E14" s="14">
        <v>84</v>
      </c>
      <c r="G14" s="5" t="s">
        <v>432</v>
      </c>
      <c r="H14" s="5">
        <v>88</v>
      </c>
      <c r="I14" s="5">
        <v>8584</v>
      </c>
      <c r="J14" s="5">
        <v>97.545454545454547</v>
      </c>
      <c r="K14" s="5">
        <v>95.76802507836986</v>
      </c>
    </row>
    <row r="15" spans="1:11">
      <c r="A15" s="15">
        <v>96</v>
      </c>
      <c r="B15" s="15">
        <v>104</v>
      </c>
      <c r="C15" s="15">
        <v>104</v>
      </c>
      <c r="D15" s="15">
        <v>120</v>
      </c>
      <c r="E15" s="15">
        <v>93</v>
      </c>
    </row>
    <row r="16" spans="1:11">
      <c r="A16" s="14">
        <v>95</v>
      </c>
      <c r="B16" s="14">
        <v>115</v>
      </c>
      <c r="C16" s="14">
        <v>84</v>
      </c>
      <c r="D16" s="14">
        <v>84</v>
      </c>
      <c r="E16" s="14">
        <v>115</v>
      </c>
    </row>
    <row r="17" spans="1:13" ht="15" thickBot="1">
      <c r="A17" s="15">
        <v>106</v>
      </c>
      <c r="B17" s="15">
        <v>100</v>
      </c>
      <c r="C17" s="15">
        <v>105</v>
      </c>
      <c r="D17" s="15">
        <v>95</v>
      </c>
      <c r="E17" s="15">
        <v>112</v>
      </c>
      <c r="G17" t="s">
        <v>439</v>
      </c>
    </row>
    <row r="18" spans="1:13">
      <c r="A18" s="14">
        <v>100</v>
      </c>
      <c r="B18" s="14">
        <v>96</v>
      </c>
      <c r="C18" s="14">
        <v>101</v>
      </c>
      <c r="D18" s="14">
        <v>100</v>
      </c>
      <c r="E18" s="14">
        <v>119</v>
      </c>
      <c r="G18" s="6" t="s">
        <v>440</v>
      </c>
      <c r="H18" s="6" t="s">
        <v>441</v>
      </c>
      <c r="I18" s="6" t="s">
        <v>418</v>
      </c>
      <c r="J18" s="6" t="s">
        <v>442</v>
      </c>
      <c r="K18" s="6" t="s">
        <v>443</v>
      </c>
      <c r="L18" s="6" t="s">
        <v>444</v>
      </c>
      <c r="M18" s="6" t="s">
        <v>445</v>
      </c>
    </row>
    <row r="19" spans="1:13">
      <c r="A19" s="15">
        <v>118</v>
      </c>
      <c r="B19" s="15">
        <v>93</v>
      </c>
      <c r="C19" s="15">
        <v>95</v>
      </c>
      <c r="D19" s="15">
        <v>117</v>
      </c>
      <c r="E19" s="15">
        <v>96</v>
      </c>
      <c r="G19" t="s">
        <v>446</v>
      </c>
      <c r="H19">
        <v>538.6303225863885</v>
      </c>
      <c r="I19">
        <v>4</v>
      </c>
      <c r="J19">
        <v>134.65758064659713</v>
      </c>
      <c r="K19">
        <v>1.4176480996125473</v>
      </c>
      <c r="L19">
        <v>0.22687854639175475</v>
      </c>
      <c r="M19">
        <v>2.3899478444582041</v>
      </c>
    </row>
    <row r="20" spans="1:13">
      <c r="A20" s="14">
        <v>115</v>
      </c>
      <c r="B20" s="14">
        <v>78</v>
      </c>
      <c r="C20" s="14">
        <v>100</v>
      </c>
      <c r="D20" s="14">
        <v>94</v>
      </c>
      <c r="E20" s="14">
        <v>96</v>
      </c>
      <c r="G20" t="s">
        <v>447</v>
      </c>
      <c r="H20">
        <v>47018.369677413575</v>
      </c>
      <c r="I20">
        <v>495</v>
      </c>
      <c r="J20">
        <v>94.986605408916319</v>
      </c>
    </row>
    <row r="21" spans="1:13">
      <c r="A21" s="15">
        <v>104</v>
      </c>
      <c r="B21" s="15">
        <v>100</v>
      </c>
      <c r="C21" s="15">
        <v>101</v>
      </c>
      <c r="D21" s="15">
        <v>89</v>
      </c>
      <c r="E21" s="15">
        <v>93</v>
      </c>
    </row>
    <row r="22" spans="1:13" ht="15" thickBot="1">
      <c r="A22" s="14">
        <v>106</v>
      </c>
      <c r="B22" s="14">
        <v>114</v>
      </c>
      <c r="C22" s="14">
        <v>104</v>
      </c>
      <c r="D22" s="14">
        <v>106</v>
      </c>
      <c r="E22" s="14">
        <v>100</v>
      </c>
      <c r="G22" s="5" t="s">
        <v>448</v>
      </c>
      <c r="H22" s="5">
        <v>47556.999999999964</v>
      </c>
      <c r="I22" s="5">
        <v>499</v>
      </c>
      <c r="J22" s="5"/>
      <c r="K22" s="5"/>
      <c r="L22" s="5"/>
      <c r="M22" s="5"/>
    </row>
    <row r="23" spans="1:13">
      <c r="A23" s="15">
        <v>105</v>
      </c>
      <c r="B23" s="15">
        <v>89</v>
      </c>
      <c r="C23" s="15">
        <v>102</v>
      </c>
      <c r="D23" s="15">
        <v>102</v>
      </c>
      <c r="E23" s="15">
        <v>87</v>
      </c>
    </row>
    <row r="24" spans="1:13">
      <c r="A24" s="14">
        <v>109</v>
      </c>
      <c r="B24" s="14">
        <v>104</v>
      </c>
      <c r="C24" s="14">
        <v>98</v>
      </c>
      <c r="D24" s="14">
        <v>111</v>
      </c>
      <c r="E24" s="14">
        <v>101</v>
      </c>
    </row>
    <row r="25" spans="1:13">
      <c r="A25" s="15">
        <v>100</v>
      </c>
      <c r="B25" s="15">
        <v>110</v>
      </c>
      <c r="C25" s="15">
        <v>102</v>
      </c>
      <c r="D25" s="15">
        <v>100</v>
      </c>
      <c r="E25" s="15">
        <v>102</v>
      </c>
      <c r="G25" s="2" t="s">
        <v>424</v>
      </c>
      <c r="H25" t="str">
        <f>IF(L19 &lt; 0.5, " Reject H₀", "Fail to reject H₀")</f>
        <v xml:space="preserve"> Reject H₀</v>
      </c>
    </row>
    <row r="26" spans="1:13">
      <c r="A26" s="14">
        <v>93</v>
      </c>
      <c r="B26" s="14">
        <v>100</v>
      </c>
      <c r="C26" s="14">
        <v>104</v>
      </c>
      <c r="D26" s="14">
        <v>78</v>
      </c>
      <c r="E26" s="14">
        <v>85</v>
      </c>
      <c r="G26" s="2" t="s">
        <v>450</v>
      </c>
      <c r="H26" t="s">
        <v>451</v>
      </c>
    </row>
    <row r="27" spans="1:13">
      <c r="A27" s="15">
        <v>87</v>
      </c>
      <c r="B27" s="15">
        <v>100</v>
      </c>
      <c r="C27" s="15">
        <v>98</v>
      </c>
      <c r="D27" s="15">
        <v>109</v>
      </c>
      <c r="E27" s="15">
        <v>95</v>
      </c>
    </row>
    <row r="28" spans="1:13">
      <c r="A28" s="14">
        <v>113</v>
      </c>
      <c r="B28" s="14">
        <v>100</v>
      </c>
      <c r="C28" s="14">
        <v>111</v>
      </c>
      <c r="D28" s="14">
        <v>76</v>
      </c>
      <c r="E28" s="14">
        <v>95</v>
      </c>
    </row>
    <row r="29" spans="1:13">
      <c r="A29" s="15">
        <v>106</v>
      </c>
      <c r="B29" s="15">
        <v>101</v>
      </c>
      <c r="C29" s="15">
        <v>88</v>
      </c>
      <c r="D29" s="15">
        <v>99</v>
      </c>
      <c r="E29" s="15">
        <v>94</v>
      </c>
    </row>
    <row r="30" spans="1:13">
      <c r="A30" s="14">
        <v>114</v>
      </c>
      <c r="B30" s="14">
        <v>100</v>
      </c>
      <c r="C30" s="14">
        <v>96</v>
      </c>
      <c r="D30" s="14">
        <v>100</v>
      </c>
      <c r="E30" s="14">
        <v>98</v>
      </c>
    </row>
    <row r="31" spans="1:13">
      <c r="A31" s="15">
        <v>105</v>
      </c>
      <c r="B31" s="15">
        <v>97</v>
      </c>
      <c r="C31" s="15">
        <v>89</v>
      </c>
      <c r="D31" s="15">
        <v>104</v>
      </c>
      <c r="E31" s="15">
        <v>88</v>
      </c>
    </row>
    <row r="32" spans="1:13">
      <c r="A32" s="14">
        <v>112</v>
      </c>
      <c r="B32" s="14">
        <v>98</v>
      </c>
      <c r="C32" s="14">
        <v>105</v>
      </c>
      <c r="D32" s="14">
        <v>120</v>
      </c>
      <c r="E32" s="14">
        <v>83</v>
      </c>
    </row>
    <row r="33" spans="1:5">
      <c r="A33" s="15">
        <v>96</v>
      </c>
      <c r="B33" s="15">
        <v>100</v>
      </c>
      <c r="C33" s="15">
        <v>90</v>
      </c>
      <c r="D33" s="15">
        <v>97</v>
      </c>
      <c r="E33" s="15">
        <v>94</v>
      </c>
    </row>
    <row r="34" spans="1:5">
      <c r="A34" s="14">
        <v>100</v>
      </c>
      <c r="B34" s="14">
        <v>99</v>
      </c>
      <c r="C34" s="14">
        <v>112</v>
      </c>
      <c r="D34" s="14">
        <v>120</v>
      </c>
      <c r="E34" s="14">
        <v>76</v>
      </c>
    </row>
    <row r="35" spans="1:5">
      <c r="A35" s="15">
        <v>81</v>
      </c>
      <c r="B35" s="15">
        <v>84</v>
      </c>
      <c r="C35" s="15">
        <v>110</v>
      </c>
      <c r="D35" s="15">
        <v>93</v>
      </c>
      <c r="E35" s="15">
        <v>103</v>
      </c>
    </row>
    <row r="36" spans="1:5">
      <c r="A36" s="14">
        <v>86</v>
      </c>
      <c r="B36" s="14">
        <v>100</v>
      </c>
      <c r="C36" s="14">
        <v>95</v>
      </c>
      <c r="D36" s="14">
        <v>108</v>
      </c>
      <c r="E36" s="14">
        <v>111</v>
      </c>
    </row>
    <row r="37" spans="1:5">
      <c r="A37" s="15">
        <v>107</v>
      </c>
      <c r="B37" s="15">
        <v>104</v>
      </c>
      <c r="C37" s="15">
        <v>79</v>
      </c>
      <c r="D37" s="15">
        <v>97</v>
      </c>
      <c r="E37" s="15">
        <v>124</v>
      </c>
    </row>
    <row r="38" spans="1:5">
      <c r="A38" s="14">
        <v>85</v>
      </c>
      <c r="B38" s="14">
        <v>108</v>
      </c>
      <c r="C38" s="14">
        <v>96</v>
      </c>
      <c r="D38" s="14">
        <v>123</v>
      </c>
      <c r="E38" s="14">
        <v>103</v>
      </c>
    </row>
    <row r="39" spans="1:5">
      <c r="A39" s="15">
        <v>100</v>
      </c>
      <c r="B39" s="15">
        <v>96</v>
      </c>
      <c r="C39" s="15">
        <v>109</v>
      </c>
      <c r="D39" s="15">
        <v>104</v>
      </c>
      <c r="E39" s="15">
        <v>86</v>
      </c>
    </row>
    <row r="40" spans="1:5">
      <c r="A40" s="14">
        <v>116</v>
      </c>
      <c r="B40" s="14">
        <v>112</v>
      </c>
      <c r="C40" s="14">
        <v>99</v>
      </c>
      <c r="D40" s="14">
        <v>109</v>
      </c>
      <c r="E40" s="14">
        <v>101</v>
      </c>
    </row>
    <row r="41" spans="1:5">
      <c r="A41" s="15">
        <v>105</v>
      </c>
      <c r="B41" s="15">
        <v>82</v>
      </c>
      <c r="C41" s="15">
        <v>106</v>
      </c>
      <c r="D41" s="15">
        <v>103</v>
      </c>
      <c r="E41" s="15">
        <v>87</v>
      </c>
    </row>
    <row r="42" spans="1:5">
      <c r="A42" s="14">
        <v>84</v>
      </c>
      <c r="B42" s="14">
        <v>96</v>
      </c>
      <c r="C42" s="14">
        <v>91</v>
      </c>
      <c r="D42" s="14">
        <v>86</v>
      </c>
      <c r="E42" s="14">
        <v>100</v>
      </c>
    </row>
    <row r="43" spans="1:5">
      <c r="A43" s="15">
        <v>106</v>
      </c>
      <c r="B43" s="15">
        <v>98</v>
      </c>
      <c r="C43" s="15">
        <v>108</v>
      </c>
      <c r="D43" s="15">
        <v>79</v>
      </c>
      <c r="E43" s="15">
        <v>100</v>
      </c>
    </row>
    <row r="44" spans="1:5">
      <c r="A44" s="14">
        <v>96</v>
      </c>
      <c r="B44" s="14">
        <v>93</v>
      </c>
      <c r="C44" s="14">
        <v>100</v>
      </c>
      <c r="D44" s="14">
        <v>108</v>
      </c>
      <c r="E44" s="14">
        <v>100</v>
      </c>
    </row>
    <row r="45" spans="1:5">
      <c r="A45" s="15">
        <v>86</v>
      </c>
      <c r="B45" s="15">
        <v>82</v>
      </c>
      <c r="C45" s="15">
        <v>100</v>
      </c>
      <c r="D45" s="15">
        <v>99</v>
      </c>
      <c r="E45" s="15">
        <v>87</v>
      </c>
    </row>
    <row r="46" spans="1:5">
      <c r="A46" s="14">
        <v>100</v>
      </c>
      <c r="B46" s="14">
        <v>104</v>
      </c>
      <c r="C46" s="14">
        <v>101</v>
      </c>
      <c r="D46" s="14">
        <v>100</v>
      </c>
      <c r="E46" s="14">
        <v>100</v>
      </c>
    </row>
    <row r="47" spans="1:5">
      <c r="A47" s="15">
        <v>99</v>
      </c>
      <c r="B47" s="15">
        <v>102</v>
      </c>
      <c r="C47" s="15">
        <v>102</v>
      </c>
      <c r="D47" s="15">
        <v>103</v>
      </c>
      <c r="E47" s="15">
        <v>104</v>
      </c>
    </row>
    <row r="48" spans="1:5">
      <c r="A48" s="14">
        <v>102</v>
      </c>
      <c r="B48" s="14">
        <v>76</v>
      </c>
      <c r="C48" s="14">
        <v>85</v>
      </c>
      <c r="D48" s="14">
        <v>119</v>
      </c>
      <c r="E48" s="14">
        <v>80</v>
      </c>
    </row>
    <row r="49" spans="1:5">
      <c r="A49" s="15">
        <v>105</v>
      </c>
      <c r="B49" s="15">
        <v>93</v>
      </c>
      <c r="C49" s="15">
        <v>105</v>
      </c>
      <c r="D49" s="15">
        <v>116</v>
      </c>
      <c r="E49" s="15">
        <v>90</v>
      </c>
    </row>
    <row r="50" spans="1:5">
      <c r="A50" s="14">
        <v>122</v>
      </c>
      <c r="B50" s="14">
        <v>112</v>
      </c>
      <c r="C50" s="14">
        <v>96</v>
      </c>
      <c r="D50" s="14">
        <v>90</v>
      </c>
      <c r="E50" s="14">
        <v>99</v>
      </c>
    </row>
    <row r="51" spans="1:5">
      <c r="A51" s="15">
        <v>96</v>
      </c>
      <c r="B51" s="15">
        <v>99</v>
      </c>
      <c r="C51" s="15">
        <v>98</v>
      </c>
      <c r="D51" s="15">
        <v>90</v>
      </c>
      <c r="E51" s="15">
        <v>106</v>
      </c>
    </row>
    <row r="52" spans="1:5">
      <c r="A52" s="14">
        <v>97</v>
      </c>
      <c r="B52" s="14">
        <v>101</v>
      </c>
      <c r="C52" s="14">
        <v>108</v>
      </c>
      <c r="D52" s="14">
        <v>91</v>
      </c>
      <c r="E52" s="14">
        <v>85</v>
      </c>
    </row>
    <row r="53" spans="1:5">
      <c r="A53" s="15">
        <v>87</v>
      </c>
      <c r="B53" s="15">
        <v>101</v>
      </c>
      <c r="C53" s="15">
        <v>116</v>
      </c>
      <c r="D53" s="15">
        <v>104</v>
      </c>
      <c r="E53" s="15">
        <v>93</v>
      </c>
    </row>
    <row r="54" spans="1:5">
      <c r="A54" s="14">
        <v>96</v>
      </c>
      <c r="B54" s="14">
        <v>113</v>
      </c>
      <c r="C54" s="14">
        <v>87</v>
      </c>
      <c r="D54" s="14">
        <v>96</v>
      </c>
      <c r="E54" s="14">
        <v>103</v>
      </c>
    </row>
    <row r="55" spans="1:5">
      <c r="A55" s="15">
        <v>97</v>
      </c>
      <c r="B55" s="15">
        <v>100</v>
      </c>
      <c r="C55" s="15">
        <v>107</v>
      </c>
      <c r="D55" s="15">
        <v>83</v>
      </c>
      <c r="E55" s="15">
        <v>86</v>
      </c>
    </row>
    <row r="56" spans="1:5">
      <c r="A56" s="14">
        <v>97</v>
      </c>
      <c r="B56" s="14">
        <v>87</v>
      </c>
      <c r="C56" s="14">
        <v>92</v>
      </c>
      <c r="D56" s="14">
        <v>110</v>
      </c>
      <c r="E56" s="14">
        <v>95</v>
      </c>
    </row>
    <row r="57" spans="1:5">
      <c r="A57" s="15">
        <v>99</v>
      </c>
      <c r="B57" s="15">
        <v>115</v>
      </c>
      <c r="C57" s="15">
        <v>99</v>
      </c>
      <c r="D57" s="15">
        <v>89</v>
      </c>
      <c r="E57" s="15">
        <v>102</v>
      </c>
    </row>
    <row r="58" spans="1:5">
      <c r="A58" s="14">
        <v>82</v>
      </c>
      <c r="B58" s="14">
        <v>105</v>
      </c>
      <c r="C58" s="14">
        <v>88</v>
      </c>
      <c r="D58" s="14">
        <v>108</v>
      </c>
      <c r="E58" s="14">
        <v>92</v>
      </c>
    </row>
    <row r="59" spans="1:5">
      <c r="A59" s="15">
        <v>86</v>
      </c>
      <c r="B59" s="15">
        <v>89</v>
      </c>
      <c r="C59" s="15">
        <v>100</v>
      </c>
      <c r="D59" s="15">
        <v>94</v>
      </c>
      <c r="E59" s="15">
        <v>100</v>
      </c>
    </row>
    <row r="60" spans="1:5">
      <c r="A60" s="14">
        <v>91</v>
      </c>
      <c r="B60" s="14">
        <v>89</v>
      </c>
      <c r="C60" s="14">
        <v>100</v>
      </c>
      <c r="D60" s="14">
        <v>92</v>
      </c>
      <c r="E60" s="14">
        <v>88</v>
      </c>
    </row>
    <row r="61" spans="1:5">
      <c r="A61" s="15">
        <v>110</v>
      </c>
      <c r="B61" s="15">
        <v>96</v>
      </c>
      <c r="C61" s="15">
        <v>110</v>
      </c>
      <c r="D61" s="15">
        <v>99</v>
      </c>
      <c r="E61" s="15">
        <v>100</v>
      </c>
    </row>
    <row r="62" spans="1:5">
      <c r="A62" s="14">
        <v>103</v>
      </c>
      <c r="B62" s="14">
        <v>100</v>
      </c>
      <c r="C62" s="14">
        <v>91</v>
      </c>
      <c r="D62" s="14">
        <v>95</v>
      </c>
      <c r="E62" s="14">
        <v>91</v>
      </c>
    </row>
    <row r="63" spans="1:5">
      <c r="A63" s="15">
        <v>109</v>
      </c>
      <c r="B63" s="15">
        <v>93</v>
      </c>
      <c r="C63" s="15">
        <v>87</v>
      </c>
      <c r="D63" s="15">
        <v>120</v>
      </c>
      <c r="E63" s="15">
        <v>101</v>
      </c>
    </row>
    <row r="64" spans="1:5">
      <c r="A64" s="14">
        <v>83</v>
      </c>
      <c r="B64" s="14">
        <v>103</v>
      </c>
      <c r="C64" s="14">
        <v>102</v>
      </c>
      <c r="D64" s="14">
        <v>87</v>
      </c>
      <c r="E64" s="14">
        <v>104</v>
      </c>
    </row>
    <row r="65" spans="1:5">
      <c r="A65" s="15">
        <v>98</v>
      </c>
      <c r="B65" s="15">
        <v>92</v>
      </c>
      <c r="C65" s="15">
        <v>100</v>
      </c>
      <c r="D65" s="15">
        <v>90</v>
      </c>
      <c r="E65" s="15">
        <v>107</v>
      </c>
    </row>
    <row r="66" spans="1:5">
      <c r="A66" s="14">
        <v>118</v>
      </c>
      <c r="B66" s="14">
        <v>90</v>
      </c>
      <c r="C66" s="14">
        <v>90</v>
      </c>
      <c r="D66" s="14">
        <v>89</v>
      </c>
      <c r="E66" s="14">
        <v>94</v>
      </c>
    </row>
    <row r="67" spans="1:5">
      <c r="A67" s="15">
        <v>100</v>
      </c>
      <c r="B67" s="15">
        <v>102</v>
      </c>
      <c r="C67" s="15">
        <v>97</v>
      </c>
      <c r="D67" s="15">
        <v>100</v>
      </c>
      <c r="E67" s="15">
        <v>91</v>
      </c>
    </row>
    <row r="68" spans="1:5">
      <c r="A68" s="14">
        <v>100</v>
      </c>
      <c r="B68" s="14">
        <v>95</v>
      </c>
      <c r="C68" s="14">
        <v>104</v>
      </c>
      <c r="D68" s="14">
        <v>108</v>
      </c>
      <c r="E68" s="14">
        <v>83</v>
      </c>
    </row>
    <row r="69" spans="1:5">
      <c r="A69" s="15">
        <v>108</v>
      </c>
      <c r="B69" s="15">
        <v>86</v>
      </c>
      <c r="C69" s="15">
        <v>91</v>
      </c>
      <c r="D69" s="15">
        <v>87</v>
      </c>
      <c r="E69" s="15">
        <v>102</v>
      </c>
    </row>
    <row r="70" spans="1:5">
      <c r="A70" s="14">
        <v>97</v>
      </c>
      <c r="B70" s="14">
        <v>88</v>
      </c>
      <c r="C70" s="14">
        <v>93</v>
      </c>
      <c r="D70" s="14">
        <v>91</v>
      </c>
      <c r="E70" s="14">
        <v>85</v>
      </c>
    </row>
    <row r="71" spans="1:5">
      <c r="A71" s="15">
        <v>100</v>
      </c>
      <c r="B71" s="15">
        <v>95</v>
      </c>
      <c r="C71" s="15">
        <v>115</v>
      </c>
      <c r="D71" s="15">
        <v>106</v>
      </c>
      <c r="E71" s="15">
        <v>106</v>
      </c>
    </row>
    <row r="72" spans="1:5">
      <c r="A72" s="14">
        <v>97</v>
      </c>
      <c r="B72" s="14">
        <v>86</v>
      </c>
      <c r="C72" s="14">
        <v>98</v>
      </c>
      <c r="D72" s="14">
        <v>98</v>
      </c>
      <c r="E72" s="14">
        <v>93</v>
      </c>
    </row>
    <row r="73" spans="1:5">
      <c r="A73" s="15">
        <v>109</v>
      </c>
      <c r="B73" s="15">
        <v>81</v>
      </c>
      <c r="C73" s="15">
        <v>104</v>
      </c>
      <c r="D73" s="15">
        <v>119</v>
      </c>
      <c r="E73" s="15">
        <v>106</v>
      </c>
    </row>
    <row r="74" spans="1:5">
      <c r="A74" s="14">
        <v>106</v>
      </c>
      <c r="B74" s="14">
        <v>103</v>
      </c>
      <c r="C74" s="14">
        <v>93</v>
      </c>
      <c r="D74" s="14">
        <v>87</v>
      </c>
      <c r="E74" s="14">
        <v>95</v>
      </c>
    </row>
    <row r="75" spans="1:5">
      <c r="A75" s="15">
        <v>102</v>
      </c>
      <c r="B75" s="15">
        <v>115</v>
      </c>
      <c r="C75" s="15">
        <v>100</v>
      </c>
      <c r="D75" s="15">
        <v>95</v>
      </c>
      <c r="E75" s="15">
        <v>108</v>
      </c>
    </row>
    <row r="76" spans="1:5">
      <c r="A76" s="14">
        <v>100</v>
      </c>
      <c r="B76" s="14">
        <v>100</v>
      </c>
      <c r="C76" s="14">
        <v>103</v>
      </c>
      <c r="D76" s="14">
        <v>100</v>
      </c>
      <c r="E76" s="14">
        <v>98</v>
      </c>
    </row>
    <row r="77" spans="1:5">
      <c r="A77" s="15">
        <v>79</v>
      </c>
      <c r="B77" s="15">
        <v>86</v>
      </c>
      <c r="C77" s="15">
        <v>100</v>
      </c>
      <c r="D77" s="15">
        <v>81</v>
      </c>
      <c r="E77" s="15">
        <v>75</v>
      </c>
    </row>
    <row r="78" spans="1:5">
      <c r="A78" s="14">
        <v>107</v>
      </c>
      <c r="B78" s="14">
        <v>90</v>
      </c>
      <c r="C78" s="14">
        <v>117</v>
      </c>
      <c r="D78" s="14">
        <v>85</v>
      </c>
      <c r="E78" s="14">
        <v>103</v>
      </c>
    </row>
    <row r="79" spans="1:5">
      <c r="A79" s="15">
        <v>117</v>
      </c>
      <c r="B79" s="15">
        <v>99</v>
      </c>
      <c r="C79" s="15">
        <v>92</v>
      </c>
      <c r="D79" s="15">
        <v>111</v>
      </c>
      <c r="E79" s="15">
        <v>97</v>
      </c>
    </row>
    <row r="80" spans="1:5">
      <c r="A80" s="14">
        <v>88</v>
      </c>
      <c r="B80" s="14">
        <v>103</v>
      </c>
      <c r="C80" s="14">
        <v>121</v>
      </c>
      <c r="D80" s="14">
        <v>98</v>
      </c>
      <c r="E80" s="14">
        <v>83</v>
      </c>
    </row>
    <row r="81" spans="1:5">
      <c r="A81" s="15">
        <v>106</v>
      </c>
      <c r="B81" s="15">
        <v>95</v>
      </c>
      <c r="C81" s="15">
        <v>117</v>
      </c>
      <c r="D81" s="15">
        <v>103</v>
      </c>
      <c r="E81" s="15">
        <v>107</v>
      </c>
    </row>
    <row r="82" spans="1:5">
      <c r="A82" s="14">
        <v>110</v>
      </c>
      <c r="B82" s="14">
        <v>101</v>
      </c>
      <c r="C82" s="14">
        <v>106</v>
      </c>
      <c r="D82" s="14">
        <v>100</v>
      </c>
      <c r="E82" s="14">
        <v>111</v>
      </c>
    </row>
    <row r="83" spans="1:5">
      <c r="A83" s="15">
        <v>89</v>
      </c>
      <c r="B83" s="15">
        <v>102</v>
      </c>
      <c r="C83" s="15">
        <v>82</v>
      </c>
      <c r="D83" s="15">
        <v>104</v>
      </c>
      <c r="E83" s="15">
        <v>105</v>
      </c>
    </row>
    <row r="84" spans="1:5">
      <c r="A84" s="14">
        <v>101</v>
      </c>
      <c r="B84" s="14">
        <v>109</v>
      </c>
      <c r="C84" s="14">
        <v>101</v>
      </c>
      <c r="D84" s="14">
        <v>113</v>
      </c>
      <c r="E84" s="14">
        <v>103</v>
      </c>
    </row>
    <row r="85" spans="1:5">
      <c r="A85" s="15">
        <v>108</v>
      </c>
      <c r="B85" s="15">
        <v>88</v>
      </c>
      <c r="C85" s="15">
        <v>92</v>
      </c>
      <c r="D85" s="15">
        <v>121</v>
      </c>
      <c r="E85" s="15">
        <v>104</v>
      </c>
    </row>
    <row r="86" spans="1:5">
      <c r="A86" s="14">
        <v>100</v>
      </c>
      <c r="B86" s="14">
        <v>100</v>
      </c>
      <c r="C86" s="14">
        <v>99</v>
      </c>
      <c r="D86" s="14">
        <v>91</v>
      </c>
      <c r="E86" s="14">
        <v>100</v>
      </c>
    </row>
    <row r="87" spans="1:5">
      <c r="A87" s="15">
        <v>89</v>
      </c>
      <c r="B87" s="15">
        <v>100</v>
      </c>
      <c r="C87" s="15">
        <v>108</v>
      </c>
      <c r="D87" s="15">
        <v>114</v>
      </c>
      <c r="E87" s="15">
        <v>104</v>
      </c>
    </row>
    <row r="88" spans="1:5">
      <c r="A88" s="14">
        <v>103</v>
      </c>
      <c r="B88" s="14">
        <v>94</v>
      </c>
      <c r="C88" s="14">
        <v>98</v>
      </c>
      <c r="D88" s="14">
        <v>120</v>
      </c>
      <c r="E88" s="14">
        <v>106</v>
      </c>
    </row>
    <row r="89" spans="1:5">
      <c r="A89" s="15">
        <v>98</v>
      </c>
      <c r="B89" s="15">
        <v>91</v>
      </c>
      <c r="C89" s="15">
        <v>100</v>
      </c>
      <c r="D89" s="15">
        <v>92</v>
      </c>
      <c r="E89" s="15">
        <v>95</v>
      </c>
    </row>
    <row r="90" spans="1:5">
      <c r="A90" s="14">
        <v>100</v>
      </c>
      <c r="B90" s="14">
        <v>110</v>
      </c>
      <c r="C90" s="14">
        <v>110</v>
      </c>
      <c r="D90" s="14">
        <v>96</v>
      </c>
    </row>
    <row r="91" spans="1:5">
      <c r="A91" s="15">
        <v>89</v>
      </c>
      <c r="B91" s="15">
        <v>113</v>
      </c>
      <c r="C91" s="15">
        <v>103</v>
      </c>
      <c r="D91" s="15">
        <v>97</v>
      </c>
    </row>
    <row r="92" spans="1:5">
      <c r="A92" s="14">
        <v>100</v>
      </c>
      <c r="B92" s="14">
        <v>93</v>
      </c>
      <c r="C92" s="14">
        <v>93</v>
      </c>
      <c r="D92" s="14">
        <v>103</v>
      </c>
    </row>
    <row r="93" spans="1:5">
      <c r="A93" s="15">
        <v>107</v>
      </c>
      <c r="B93" s="15">
        <v>86</v>
      </c>
      <c r="C93" s="15">
        <v>105</v>
      </c>
      <c r="D93" s="15">
        <v>91</v>
      </c>
    </row>
    <row r="94" spans="1:5">
      <c r="A94" s="14">
        <v>100</v>
      </c>
      <c r="B94" s="14">
        <v>92</v>
      </c>
      <c r="C94" s="14">
        <v>96</v>
      </c>
      <c r="D94" s="14">
        <v>91</v>
      </c>
    </row>
    <row r="95" spans="1:5">
      <c r="A95" s="15">
        <v>92</v>
      </c>
      <c r="B95" s="15">
        <v>100</v>
      </c>
      <c r="C95" s="15">
        <v>83</v>
      </c>
      <c r="D95" s="15">
        <v>113</v>
      </c>
    </row>
    <row r="96" spans="1:5">
      <c r="A96" s="14">
        <v>110</v>
      </c>
      <c r="B96" s="14">
        <v>107</v>
      </c>
      <c r="C96" s="14">
        <v>106</v>
      </c>
      <c r="D96" s="14">
        <v>105</v>
      </c>
    </row>
    <row r="97" spans="1:4">
      <c r="A97" s="15">
        <v>122</v>
      </c>
      <c r="B97" s="15">
        <v>113</v>
      </c>
      <c r="C97" s="15">
        <v>100</v>
      </c>
      <c r="D97" s="15">
        <v>109</v>
      </c>
    </row>
    <row r="98" spans="1:4">
      <c r="A98" s="14">
        <v>90</v>
      </c>
      <c r="B98" s="14">
        <v>89</v>
      </c>
      <c r="C98" s="14">
        <v>89</v>
      </c>
      <c r="D98" s="14">
        <v>106</v>
      </c>
    </row>
    <row r="99" spans="1:4">
      <c r="A99" s="15">
        <v>110</v>
      </c>
      <c r="B99" s="15">
        <v>100</v>
      </c>
      <c r="C99" s="15">
        <v>108</v>
      </c>
      <c r="D99" s="15">
        <v>113</v>
      </c>
    </row>
    <row r="100" spans="1:4">
      <c r="A100" s="14">
        <v>95</v>
      </c>
      <c r="B100" s="14">
        <v>81</v>
      </c>
      <c r="D100" s="14">
        <v>100</v>
      </c>
    </row>
    <row r="101" spans="1:4">
      <c r="A101" s="15">
        <v>100</v>
      </c>
      <c r="B101" s="15">
        <v>113</v>
      </c>
      <c r="D101" s="15">
        <v>109</v>
      </c>
    </row>
    <row r="102" spans="1:4">
      <c r="A102" s="14">
        <v>91</v>
      </c>
      <c r="B102" s="14">
        <v>113</v>
      </c>
      <c r="D102" s="14">
        <v>81</v>
      </c>
    </row>
    <row r="103" spans="1:4">
      <c r="A103" s="15">
        <v>112</v>
      </c>
      <c r="B103" s="15">
        <v>94</v>
      </c>
    </row>
    <row r="104" spans="1:4">
      <c r="A104" s="14">
        <v>99</v>
      </c>
      <c r="B104" s="14">
        <v>121</v>
      </c>
    </row>
    <row r="105" spans="1:4">
      <c r="A105" s="15">
        <v>93</v>
      </c>
      <c r="B105" s="15">
        <v>121</v>
      </c>
    </row>
    <row r="106" spans="1:4">
      <c r="A106" s="14">
        <v>111</v>
      </c>
      <c r="B106" s="14">
        <v>106</v>
      </c>
    </row>
    <row r="107" spans="1:4">
      <c r="A107" s="15">
        <v>94</v>
      </c>
      <c r="B107" s="15">
        <v>84</v>
      </c>
    </row>
    <row r="108" spans="1:4">
      <c r="B108" s="14">
        <v>111</v>
      </c>
    </row>
  </sheetData>
  <conditionalFormatting sqref="A2:A107">
    <cfRule type="cellIs" dxfId="81" priority="14" operator="notBetween">
      <formula>75</formula>
      <formula>127</formula>
    </cfRule>
    <cfRule type="cellIs" dxfId="80" priority="15" operator="greaterThan">
      <formula>127</formula>
    </cfRule>
    <cfRule type="containsBlanks" dxfId="79" priority="16">
      <formula>LEN(TRIM(A2))=0</formula>
    </cfRule>
  </conditionalFormatting>
  <conditionalFormatting sqref="B2:B108">
    <cfRule type="cellIs" dxfId="78" priority="11" operator="notBetween">
      <formula>75</formula>
      <formula>127</formula>
    </cfRule>
    <cfRule type="cellIs" dxfId="77" priority="12" operator="greaterThan">
      <formula>127</formula>
    </cfRule>
    <cfRule type="containsBlanks" dxfId="76" priority="13">
      <formula>LEN(TRIM(B2))=0</formula>
    </cfRule>
  </conditionalFormatting>
  <conditionalFormatting sqref="C2:C99">
    <cfRule type="cellIs" dxfId="75" priority="8" operator="notBetween">
      <formula>75</formula>
      <formula>127</formula>
    </cfRule>
    <cfRule type="cellIs" dxfId="74" priority="9" operator="greaterThan">
      <formula>127</formula>
    </cfRule>
    <cfRule type="containsBlanks" dxfId="73" priority="10">
      <formula>LEN(TRIM(C2))=0</formula>
    </cfRule>
  </conditionalFormatting>
  <conditionalFormatting sqref="D2:D102">
    <cfRule type="cellIs" dxfId="72" priority="5" operator="notBetween">
      <formula>75</formula>
      <formula>127</formula>
    </cfRule>
    <cfRule type="cellIs" dxfId="71" priority="6" operator="greaterThan">
      <formula>127</formula>
    </cfRule>
    <cfRule type="containsBlanks" dxfId="70" priority="7">
      <formula>LEN(TRIM(D2))=0</formula>
    </cfRule>
  </conditionalFormatting>
  <conditionalFormatting sqref="E2:E89">
    <cfRule type="cellIs" dxfId="69" priority="2" operator="notBetween">
      <formula>75</formula>
      <formula>127</formula>
    </cfRule>
    <cfRule type="cellIs" dxfId="68" priority="3" operator="greaterThan">
      <formula>127</formula>
    </cfRule>
    <cfRule type="containsBlanks" dxfId="67" priority="4">
      <formula>LEN(TRIM(E2))=0</formula>
    </cfRule>
  </conditionalFormatting>
  <conditionalFormatting sqref="H25">
    <cfRule type="containsText" dxfId="66" priority="1" operator="containsText" text="R">
      <formula>NOT(ISERROR(SEARCH("R",H25)))</formula>
    </cfRule>
  </conditionalFormatting>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A21FF-9D0F-49A8-9A8F-BFF4B1556DED}">
  <dimension ref="I5:O31"/>
  <sheetViews>
    <sheetView tabSelected="1" workbookViewId="0"/>
  </sheetViews>
  <sheetFormatPr defaultRowHeight="14.4"/>
  <cols>
    <col min="1" max="9" width="8.88671875" style="87"/>
    <col min="10" max="10" width="12.21875" style="87" customWidth="1"/>
    <col min="11" max="13" width="8.88671875" style="87"/>
    <col min="14" max="14" width="9.33203125" style="87" customWidth="1"/>
    <col min="15" max="15" width="8.77734375" style="87" customWidth="1"/>
    <col min="16" max="16384" width="8.88671875" style="87"/>
  </cols>
  <sheetData>
    <row r="5" spans="9:15" ht="25.8">
      <c r="I5" s="21"/>
      <c r="J5" s="149" t="s">
        <v>392</v>
      </c>
      <c r="K5" s="21"/>
      <c r="M5" s="150" t="s">
        <v>393</v>
      </c>
      <c r="N5" s="148"/>
      <c r="O5" s="30"/>
    </row>
    <row r="7" spans="9:15" ht="18">
      <c r="I7" s="96" t="s">
        <v>391</v>
      </c>
      <c r="J7" s="96"/>
      <c r="K7" s="147"/>
    </row>
    <row r="8" spans="9:15">
      <c r="N8" s="146"/>
    </row>
    <row r="9" spans="9:15" ht="18">
      <c r="I9" s="96" t="s">
        <v>394</v>
      </c>
      <c r="J9" s="96"/>
      <c r="K9" s="96"/>
    </row>
    <row r="11" spans="9:15" ht="18">
      <c r="I11" s="96" t="s">
        <v>395</v>
      </c>
      <c r="J11" s="96"/>
      <c r="K11" s="96"/>
    </row>
    <row r="13" spans="9:15" ht="18">
      <c r="I13" s="96" t="s">
        <v>397</v>
      </c>
      <c r="J13" s="96"/>
      <c r="K13" s="147"/>
    </row>
    <row r="15" spans="9:15" ht="18">
      <c r="I15" s="96" t="s">
        <v>398</v>
      </c>
      <c r="J15" s="96"/>
      <c r="K15" s="96"/>
    </row>
    <row r="17" spans="9:9" ht="18">
      <c r="I17" s="96" t="s">
        <v>400</v>
      </c>
    </row>
    <row r="19" spans="9:9" ht="18">
      <c r="I19" s="96" t="s">
        <v>403</v>
      </c>
    </row>
    <row r="21" spans="9:9" ht="18">
      <c r="I21" s="96" t="s">
        <v>401</v>
      </c>
    </row>
    <row r="22" spans="9:9" ht="14.4" customHeight="1">
      <c r="I22" s="96"/>
    </row>
    <row r="23" spans="9:9" ht="18">
      <c r="I23" s="96" t="s">
        <v>405</v>
      </c>
    </row>
    <row r="25" spans="9:9" ht="18">
      <c r="I25" s="96" t="s">
        <v>407</v>
      </c>
    </row>
    <row r="27" spans="9:9" ht="18">
      <c r="I27" s="96" t="s">
        <v>409</v>
      </c>
    </row>
    <row r="29" spans="9:9" ht="18">
      <c r="I29" s="96" t="s">
        <v>387</v>
      </c>
    </row>
    <row r="31" spans="9:9" ht="18">
      <c r="I31" s="96" t="s">
        <v>410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AF36-2097-46AA-AC28-11CA201C2E0D}">
  <sheetPr codeName="Sheet58"/>
  <dimension ref="A1:D501"/>
  <sheetViews>
    <sheetView workbookViewId="0">
      <selection activeCell="H5" sqref="H5"/>
    </sheetView>
  </sheetViews>
  <sheetFormatPr defaultRowHeight="14.4"/>
  <cols>
    <col min="1" max="1" width="10.33203125" bestFit="1" customWidth="1"/>
    <col min="2" max="2" width="14.109375" customWidth="1"/>
    <col min="3" max="3" width="11.88671875" customWidth="1"/>
    <col min="4" max="4" width="17.109375" customWidth="1"/>
  </cols>
  <sheetData>
    <row r="1" spans="1:4">
      <c r="A1" s="16" t="s">
        <v>0</v>
      </c>
      <c r="B1" s="16" t="s">
        <v>1</v>
      </c>
      <c r="C1" s="16" t="s">
        <v>2</v>
      </c>
      <c r="D1" t="s">
        <v>114</v>
      </c>
    </row>
    <row r="2" spans="1:4">
      <c r="A2" s="53">
        <v>42005</v>
      </c>
      <c r="B2" s="14" t="s">
        <v>10</v>
      </c>
      <c r="C2" s="14">
        <v>96</v>
      </c>
    </row>
    <row r="3" spans="1:4">
      <c r="A3" s="54">
        <v>42035</v>
      </c>
      <c r="B3" s="15" t="s">
        <v>10</v>
      </c>
      <c r="C3" s="15">
        <v>107</v>
      </c>
    </row>
    <row r="4" spans="1:4">
      <c r="A4" s="53">
        <v>42065</v>
      </c>
      <c r="B4" s="14" t="s">
        <v>11</v>
      </c>
      <c r="C4" s="14">
        <v>88</v>
      </c>
    </row>
    <row r="5" spans="1:4">
      <c r="A5" s="54">
        <v>42095</v>
      </c>
      <c r="B5" s="15" t="s">
        <v>12</v>
      </c>
      <c r="C5" s="15">
        <v>103</v>
      </c>
    </row>
    <row r="6" spans="1:4">
      <c r="A6" s="53">
        <v>42125</v>
      </c>
      <c r="B6" s="14" t="s">
        <v>12</v>
      </c>
      <c r="C6" s="14">
        <v>111</v>
      </c>
    </row>
    <row r="7" spans="1:4">
      <c r="A7" s="54">
        <v>42155</v>
      </c>
      <c r="B7" s="15" t="s">
        <v>12</v>
      </c>
      <c r="C7" s="15">
        <v>90</v>
      </c>
      <c r="D7">
        <v>101</v>
      </c>
    </row>
    <row r="8" spans="1:4">
      <c r="A8" s="53">
        <v>42185</v>
      </c>
      <c r="B8" s="14" t="s">
        <v>10</v>
      </c>
      <c r="C8" s="14">
        <v>94</v>
      </c>
    </row>
    <row r="9" spans="1:4">
      <c r="A9" s="54">
        <v>42215</v>
      </c>
      <c r="B9" s="15" t="s">
        <v>13</v>
      </c>
      <c r="C9" s="15">
        <v>98</v>
      </c>
    </row>
    <row r="10" spans="1:4">
      <c r="A10" s="53">
        <v>42245</v>
      </c>
      <c r="B10" s="14" t="s">
        <v>10</v>
      </c>
      <c r="C10" s="14">
        <v>103</v>
      </c>
    </row>
    <row r="11" spans="1:4">
      <c r="A11" s="54">
        <v>42275</v>
      </c>
      <c r="B11" s="15" t="s">
        <v>13</v>
      </c>
      <c r="C11" s="15">
        <v>94</v>
      </c>
    </row>
    <row r="12" spans="1:4">
      <c r="A12" s="53">
        <v>42305</v>
      </c>
      <c r="B12" s="14" t="s">
        <v>14</v>
      </c>
      <c r="C12" s="14">
        <v>99</v>
      </c>
    </row>
    <row r="13" spans="1:4">
      <c r="A13" s="54">
        <v>42335</v>
      </c>
      <c r="B13" s="15" t="s">
        <v>10</v>
      </c>
      <c r="C13" s="15">
        <v>90</v>
      </c>
    </row>
    <row r="14" spans="1:4">
      <c r="A14" s="53">
        <v>42365</v>
      </c>
      <c r="B14" s="14" t="s">
        <v>10</v>
      </c>
      <c r="C14" s="14">
        <v>100</v>
      </c>
    </row>
    <row r="15" spans="1:4">
      <c r="A15" s="54">
        <v>42395</v>
      </c>
      <c r="B15" s="15" t="s">
        <v>10</v>
      </c>
      <c r="C15" s="15">
        <v>103</v>
      </c>
      <c r="D15">
        <v>96</v>
      </c>
    </row>
    <row r="16" spans="1:4">
      <c r="A16" s="53">
        <v>42425</v>
      </c>
      <c r="B16" s="14" t="s">
        <v>12</v>
      </c>
      <c r="C16" s="14">
        <v>94</v>
      </c>
    </row>
    <row r="17" spans="1:3">
      <c r="A17" s="54">
        <v>42455</v>
      </c>
      <c r="B17" s="15" t="s">
        <v>12</v>
      </c>
      <c r="C17" s="15">
        <v>105</v>
      </c>
    </row>
    <row r="18" spans="1:3">
      <c r="A18" s="53">
        <v>42485</v>
      </c>
      <c r="B18" s="14" t="s">
        <v>13</v>
      </c>
      <c r="C18" s="14">
        <v>86</v>
      </c>
    </row>
    <row r="19" spans="1:3">
      <c r="A19" s="54">
        <v>42515</v>
      </c>
      <c r="B19" s="15" t="s">
        <v>13</v>
      </c>
      <c r="C19" s="15">
        <v>92</v>
      </c>
    </row>
    <row r="20" spans="1:3">
      <c r="A20" s="53">
        <v>42545</v>
      </c>
      <c r="B20" s="14" t="s">
        <v>10</v>
      </c>
      <c r="C20" s="14">
        <v>94</v>
      </c>
    </row>
    <row r="21" spans="1:3">
      <c r="A21" s="54">
        <v>42575</v>
      </c>
      <c r="B21" s="15" t="s">
        <v>13</v>
      </c>
      <c r="C21" s="15">
        <v>101</v>
      </c>
    </row>
    <row r="22" spans="1:3">
      <c r="A22" s="53">
        <v>42605</v>
      </c>
      <c r="B22" s="14" t="s">
        <v>12</v>
      </c>
      <c r="C22" s="14">
        <v>103</v>
      </c>
    </row>
    <row r="23" spans="1:3">
      <c r="A23" s="54">
        <v>42635</v>
      </c>
      <c r="B23" s="15" t="s">
        <v>13</v>
      </c>
      <c r="C23" s="15">
        <v>84</v>
      </c>
    </row>
    <row r="24" spans="1:3">
      <c r="A24" s="53">
        <v>42665</v>
      </c>
      <c r="B24" s="14" t="s">
        <v>14</v>
      </c>
      <c r="C24" s="14">
        <v>76</v>
      </c>
    </row>
    <row r="25" spans="1:3">
      <c r="A25" s="54">
        <v>42695</v>
      </c>
      <c r="B25" s="15" t="s">
        <v>12</v>
      </c>
      <c r="C25" s="15">
        <v>100</v>
      </c>
    </row>
    <row r="26" spans="1:3">
      <c r="A26" s="53">
        <v>42725</v>
      </c>
      <c r="B26" s="14" t="s">
        <v>14</v>
      </c>
      <c r="C26" s="14">
        <v>111</v>
      </c>
    </row>
    <row r="27" spans="1:3">
      <c r="A27" s="54">
        <v>42755</v>
      </c>
      <c r="B27" s="15" t="s">
        <v>13</v>
      </c>
      <c r="C27" s="15">
        <v>93</v>
      </c>
    </row>
    <row r="28" spans="1:3">
      <c r="A28" s="53">
        <v>42785</v>
      </c>
      <c r="B28" s="14" t="s">
        <v>11</v>
      </c>
      <c r="C28" s="14">
        <v>87</v>
      </c>
    </row>
    <row r="29" spans="1:3">
      <c r="A29" s="54">
        <v>42815</v>
      </c>
      <c r="B29" s="15" t="s">
        <v>10</v>
      </c>
      <c r="C29" s="15">
        <v>108</v>
      </c>
    </row>
    <row r="30" spans="1:3">
      <c r="A30" s="53">
        <v>42845</v>
      </c>
      <c r="B30" s="14" t="s">
        <v>12</v>
      </c>
      <c r="C30" s="14">
        <v>106</v>
      </c>
    </row>
    <row r="31" spans="1:3">
      <c r="A31" s="54">
        <v>42875</v>
      </c>
      <c r="B31" s="15" t="s">
        <v>14</v>
      </c>
      <c r="C31" s="15">
        <v>108</v>
      </c>
    </row>
    <row r="32" spans="1:3">
      <c r="A32" s="53">
        <v>42905</v>
      </c>
      <c r="B32" s="14" t="s">
        <v>11</v>
      </c>
      <c r="C32" s="14">
        <v>96</v>
      </c>
    </row>
    <row r="33" spans="1:3">
      <c r="A33" s="54">
        <v>42935</v>
      </c>
      <c r="B33" s="15" t="s">
        <v>11</v>
      </c>
      <c r="C33" s="15">
        <v>113</v>
      </c>
    </row>
    <row r="34" spans="1:3">
      <c r="A34" s="53">
        <v>42965</v>
      </c>
      <c r="B34" s="14" t="s">
        <v>12</v>
      </c>
      <c r="C34" s="14">
        <v>95</v>
      </c>
    </row>
    <row r="35" spans="1:3">
      <c r="A35" s="54">
        <v>42995</v>
      </c>
      <c r="B35" s="15" t="s">
        <v>12</v>
      </c>
      <c r="C35" s="15">
        <v>94</v>
      </c>
    </row>
    <row r="36" spans="1:3">
      <c r="A36" s="53">
        <v>43025</v>
      </c>
      <c r="B36" s="14" t="s">
        <v>11</v>
      </c>
      <c r="C36" s="14">
        <v>107</v>
      </c>
    </row>
    <row r="37" spans="1:3">
      <c r="A37" s="54">
        <v>43055</v>
      </c>
      <c r="B37" s="15" t="s">
        <v>10</v>
      </c>
      <c r="C37" s="15">
        <v>114</v>
      </c>
    </row>
    <row r="38" spans="1:3">
      <c r="A38" s="53">
        <v>43085</v>
      </c>
      <c r="B38" s="14" t="s">
        <v>10</v>
      </c>
      <c r="C38" s="14">
        <v>86</v>
      </c>
    </row>
    <row r="39" spans="1:3">
      <c r="A39" s="54">
        <v>43115</v>
      </c>
      <c r="B39" s="15" t="s">
        <v>14</v>
      </c>
      <c r="C39" s="15">
        <v>100</v>
      </c>
    </row>
    <row r="40" spans="1:3">
      <c r="A40" s="53">
        <v>43145</v>
      </c>
      <c r="B40" s="14" t="s">
        <v>10</v>
      </c>
      <c r="C40" s="14">
        <v>108</v>
      </c>
    </row>
    <row r="41" spans="1:3">
      <c r="A41" s="54">
        <v>43175</v>
      </c>
      <c r="B41" s="15" t="s">
        <v>11</v>
      </c>
      <c r="C41" s="15">
        <v>101</v>
      </c>
    </row>
    <row r="42" spans="1:3">
      <c r="A42" s="53">
        <v>43205</v>
      </c>
      <c r="B42" s="14" t="s">
        <v>11</v>
      </c>
      <c r="C42" s="14">
        <v>94</v>
      </c>
    </row>
    <row r="43" spans="1:3">
      <c r="A43" s="54">
        <v>43235</v>
      </c>
      <c r="B43" s="15" t="s">
        <v>13</v>
      </c>
      <c r="C43" s="15">
        <v>116</v>
      </c>
    </row>
    <row r="44" spans="1:3">
      <c r="A44" s="53">
        <v>43265</v>
      </c>
      <c r="B44" s="14" t="s">
        <v>11</v>
      </c>
      <c r="C44" s="14">
        <v>97</v>
      </c>
    </row>
    <row r="45" spans="1:3">
      <c r="A45" s="54">
        <v>43295</v>
      </c>
      <c r="B45" s="15" t="s">
        <v>10</v>
      </c>
      <c r="C45" s="15">
        <f>IF(ISBLANK(C2), O3, C2)</f>
        <v>96</v>
      </c>
    </row>
    <row r="46" spans="1:3">
      <c r="A46" s="53">
        <v>43325</v>
      </c>
      <c r="B46" s="14" t="s">
        <v>14</v>
      </c>
      <c r="C46" s="14">
        <v>94</v>
      </c>
    </row>
    <row r="47" spans="1:3">
      <c r="A47" s="54">
        <v>43355</v>
      </c>
      <c r="B47" s="15" t="s">
        <v>13</v>
      </c>
      <c r="C47" s="15">
        <v>118</v>
      </c>
    </row>
    <row r="48" spans="1:3">
      <c r="A48" s="53">
        <v>43385</v>
      </c>
      <c r="B48" s="14" t="s">
        <v>10</v>
      </c>
      <c r="C48" s="14">
        <v>104</v>
      </c>
    </row>
    <row r="49" spans="1:3">
      <c r="A49" s="54">
        <v>43415</v>
      </c>
      <c r="B49" s="15" t="s">
        <v>14</v>
      </c>
      <c r="C49" s="15">
        <f>IF(ISBLANK(C2), O3, C2)</f>
        <v>96</v>
      </c>
    </row>
    <row r="50" spans="1:3">
      <c r="A50" s="53">
        <v>43445</v>
      </c>
      <c r="B50" s="14" t="s">
        <v>10</v>
      </c>
      <c r="C50" s="14">
        <v>115</v>
      </c>
    </row>
    <row r="51" spans="1:3">
      <c r="A51" s="54">
        <v>43475</v>
      </c>
      <c r="B51" s="15" t="s">
        <v>13</v>
      </c>
      <c r="C51" s="15">
        <v>94</v>
      </c>
    </row>
    <row r="52" spans="1:3">
      <c r="A52" s="53">
        <v>43505</v>
      </c>
      <c r="B52" s="14" t="s">
        <v>11</v>
      </c>
      <c r="C52" s="14">
        <v>91</v>
      </c>
    </row>
    <row r="53" spans="1:3">
      <c r="A53" s="54">
        <v>43535</v>
      </c>
      <c r="B53" s="15" t="s">
        <v>13</v>
      </c>
      <c r="C53" s="15">
        <v>110</v>
      </c>
    </row>
    <row r="54" spans="1:3">
      <c r="A54" s="53">
        <v>43565</v>
      </c>
      <c r="B54" s="14" t="s">
        <v>11</v>
      </c>
      <c r="C54" s="14">
        <v>98</v>
      </c>
    </row>
    <row r="55" spans="1:3">
      <c r="A55" s="54">
        <v>43595</v>
      </c>
      <c r="B55" s="15" t="s">
        <v>13</v>
      </c>
      <c r="C55" s="15">
        <v>86</v>
      </c>
    </row>
    <row r="56" spans="1:3">
      <c r="A56" s="53">
        <v>43625</v>
      </c>
      <c r="B56" s="14" t="s">
        <v>12</v>
      </c>
      <c r="C56" s="14">
        <v>121</v>
      </c>
    </row>
    <row r="57" spans="1:3">
      <c r="A57" s="54">
        <v>43655</v>
      </c>
      <c r="B57" s="15" t="s">
        <v>10</v>
      </c>
      <c r="C57" s="15">
        <v>100</v>
      </c>
    </row>
    <row r="58" spans="1:3">
      <c r="A58" s="53">
        <v>43685</v>
      </c>
      <c r="B58" s="14" t="s">
        <v>10</v>
      </c>
      <c r="C58" s="14">
        <v>96</v>
      </c>
    </row>
    <row r="59" spans="1:3">
      <c r="A59" s="54">
        <v>43715</v>
      </c>
      <c r="B59" s="15" t="s">
        <v>12</v>
      </c>
      <c r="C59" s="15">
        <v>127</v>
      </c>
    </row>
    <row r="60" spans="1:3">
      <c r="A60" s="53">
        <v>43745</v>
      </c>
      <c r="B60" s="14" t="s">
        <v>11</v>
      </c>
      <c r="C60" s="14">
        <v>100</v>
      </c>
    </row>
    <row r="61" spans="1:3">
      <c r="A61" s="54">
        <v>43775</v>
      </c>
      <c r="B61" s="15" t="s">
        <v>10</v>
      </c>
      <c r="C61" s="15">
        <v>93</v>
      </c>
    </row>
    <row r="62" spans="1:3">
      <c r="A62" s="53">
        <v>43805</v>
      </c>
      <c r="B62" s="14" t="s">
        <v>12</v>
      </c>
      <c r="C62" s="14">
        <v>103</v>
      </c>
    </row>
    <row r="63" spans="1:3">
      <c r="A63" s="54">
        <v>43835</v>
      </c>
      <c r="B63" s="15" t="s">
        <v>10</v>
      </c>
      <c r="C63" s="15">
        <v>78</v>
      </c>
    </row>
    <row r="64" spans="1:3">
      <c r="A64" s="53">
        <v>43865</v>
      </c>
      <c r="B64" s="14" t="s">
        <v>14</v>
      </c>
      <c r="C64" s="14">
        <v>116</v>
      </c>
    </row>
    <row r="65" spans="1:3">
      <c r="A65" s="54">
        <v>43895</v>
      </c>
      <c r="B65" s="15" t="s">
        <v>11</v>
      </c>
      <c r="C65" s="15">
        <v>88</v>
      </c>
    </row>
    <row r="66" spans="1:3">
      <c r="A66" s="53">
        <v>43925</v>
      </c>
      <c r="B66" s="14" t="s">
        <v>14</v>
      </c>
      <c r="C66" s="14">
        <v>105</v>
      </c>
    </row>
    <row r="67" spans="1:3">
      <c r="A67" s="54">
        <v>43955</v>
      </c>
      <c r="B67" s="15" t="s">
        <v>11</v>
      </c>
      <c r="C67" s="15">
        <v>92</v>
      </c>
    </row>
    <row r="68" spans="1:3">
      <c r="A68" s="53">
        <v>43985</v>
      </c>
      <c r="B68" s="14" t="s">
        <v>12</v>
      </c>
      <c r="C68" s="14">
        <v>96</v>
      </c>
    </row>
    <row r="69" spans="1:3">
      <c r="A69" s="54">
        <v>44015</v>
      </c>
      <c r="B69" s="15" t="s">
        <v>11</v>
      </c>
      <c r="C69" s="15">
        <v>104</v>
      </c>
    </row>
    <row r="70" spans="1:3">
      <c r="A70" s="53">
        <v>44045</v>
      </c>
      <c r="B70" s="14" t="s">
        <v>11</v>
      </c>
      <c r="C70" s="14">
        <v>84</v>
      </c>
    </row>
    <row r="71" spans="1:3">
      <c r="A71" s="54">
        <v>44075</v>
      </c>
      <c r="B71" s="15" t="s">
        <v>12</v>
      </c>
      <c r="C71" s="15">
        <v>95</v>
      </c>
    </row>
    <row r="72" spans="1:3">
      <c r="A72" s="53">
        <v>44105</v>
      </c>
      <c r="B72" s="14" t="s">
        <v>11</v>
      </c>
      <c r="C72" s="14">
        <v>105</v>
      </c>
    </row>
    <row r="73" spans="1:3">
      <c r="A73" s="54">
        <v>44135</v>
      </c>
      <c r="B73" s="15" t="s">
        <v>10</v>
      </c>
      <c r="C73" s="15">
        <v>100</v>
      </c>
    </row>
    <row r="74" spans="1:3">
      <c r="A74" s="53">
        <v>44165</v>
      </c>
      <c r="B74" s="14" t="s">
        <v>13</v>
      </c>
      <c r="C74" s="14">
        <v>104</v>
      </c>
    </row>
    <row r="75" spans="1:3">
      <c r="A75" s="54">
        <v>44195</v>
      </c>
      <c r="B75" s="15" t="s">
        <v>12</v>
      </c>
      <c r="C75" s="15">
        <v>106</v>
      </c>
    </row>
    <row r="76" spans="1:3">
      <c r="A76" s="53">
        <v>44225</v>
      </c>
      <c r="B76" s="14" t="s">
        <v>13</v>
      </c>
      <c r="C76" s="14">
        <v>120</v>
      </c>
    </row>
    <row r="77" spans="1:3">
      <c r="A77" s="54">
        <v>44255</v>
      </c>
      <c r="B77" s="15" t="s">
        <v>12</v>
      </c>
      <c r="C77" s="15">
        <f>IF(ISBLANK(C30), O31, C30)</f>
        <v>106</v>
      </c>
    </row>
    <row r="78" spans="1:3">
      <c r="A78" s="53">
        <v>44285</v>
      </c>
      <c r="B78" s="14" t="s">
        <v>12</v>
      </c>
      <c r="C78" s="14">
        <v>118</v>
      </c>
    </row>
    <row r="79" spans="1:3">
      <c r="A79" s="54">
        <v>44315</v>
      </c>
      <c r="B79" s="15" t="s">
        <v>14</v>
      </c>
      <c r="C79" s="15">
        <v>92</v>
      </c>
    </row>
    <row r="80" spans="1:3">
      <c r="A80" s="53">
        <v>44345</v>
      </c>
      <c r="B80" s="14" t="s">
        <v>14</v>
      </c>
      <c r="C80" s="14">
        <v>110</v>
      </c>
    </row>
    <row r="81" spans="1:3">
      <c r="A81" s="54">
        <v>44375</v>
      </c>
      <c r="B81" s="15" t="s">
        <v>11</v>
      </c>
      <c r="C81" s="15">
        <v>101</v>
      </c>
    </row>
    <row r="82" spans="1:3">
      <c r="A82" s="53">
        <v>44405</v>
      </c>
      <c r="B82" s="14" t="s">
        <v>13</v>
      </c>
      <c r="C82" s="14">
        <v>84</v>
      </c>
    </row>
    <row r="83" spans="1:3">
      <c r="A83" s="54">
        <v>44435</v>
      </c>
      <c r="B83" s="15" t="s">
        <v>12</v>
      </c>
      <c r="C83" s="15">
        <v>115</v>
      </c>
    </row>
    <row r="84" spans="1:3">
      <c r="A84" s="53">
        <v>44465</v>
      </c>
      <c r="B84" s="14" t="s">
        <v>11</v>
      </c>
      <c r="C84" s="14">
        <v>95</v>
      </c>
    </row>
    <row r="85" spans="1:3">
      <c r="A85" s="54">
        <v>44495</v>
      </c>
      <c r="B85" s="15" t="s">
        <v>10</v>
      </c>
      <c r="C85" s="15">
        <v>114</v>
      </c>
    </row>
    <row r="86" spans="1:3">
      <c r="A86" s="53">
        <v>44525</v>
      </c>
      <c r="B86" s="14" t="s">
        <v>12</v>
      </c>
      <c r="C86" s="14">
        <v>104</v>
      </c>
    </row>
    <row r="87" spans="1:3">
      <c r="A87" s="54">
        <v>44555</v>
      </c>
      <c r="B87" s="15" t="s">
        <v>10</v>
      </c>
      <c r="C87" s="15">
        <v>89</v>
      </c>
    </row>
    <row r="88" spans="1:3">
      <c r="A88" s="53">
        <v>44585</v>
      </c>
      <c r="B88" s="14" t="s">
        <v>11</v>
      </c>
      <c r="C88" s="14">
        <f>IF(ISBLANK(C41), O42, C41)</f>
        <v>101</v>
      </c>
    </row>
    <row r="89" spans="1:3">
      <c r="A89" s="54">
        <v>44615</v>
      </c>
      <c r="B89" s="15" t="s">
        <v>14</v>
      </c>
      <c r="C89" s="15">
        <v>85</v>
      </c>
    </row>
    <row r="90" spans="1:3">
      <c r="A90" s="53">
        <v>44645</v>
      </c>
      <c r="B90" s="14" t="s">
        <v>11</v>
      </c>
      <c r="C90" s="14">
        <v>101</v>
      </c>
    </row>
    <row r="91" spans="1:3">
      <c r="A91" s="54">
        <v>44675</v>
      </c>
      <c r="B91" s="15" t="s">
        <v>10</v>
      </c>
      <c r="C91" s="15">
        <v>104</v>
      </c>
    </row>
    <row r="92" spans="1:3">
      <c r="A92" s="53">
        <v>44705</v>
      </c>
      <c r="B92" s="14" t="s">
        <v>12</v>
      </c>
      <c r="C92" s="14">
        <v>106</v>
      </c>
    </row>
    <row r="93" spans="1:3">
      <c r="A93" s="54">
        <v>44735</v>
      </c>
      <c r="B93" s="15" t="s">
        <v>13</v>
      </c>
      <c r="C93" s="15">
        <v>95</v>
      </c>
    </row>
    <row r="94" spans="1:3">
      <c r="A94" s="53">
        <v>44765</v>
      </c>
      <c r="B94" s="14" t="s">
        <v>11</v>
      </c>
      <c r="C94" s="14">
        <v>104</v>
      </c>
    </row>
    <row r="95" spans="1:3">
      <c r="A95" s="54">
        <v>44795</v>
      </c>
      <c r="B95" s="15" t="s">
        <v>12</v>
      </c>
      <c r="C95" s="15">
        <v>105</v>
      </c>
    </row>
    <row r="96" spans="1:3">
      <c r="A96" s="53">
        <v>44825</v>
      </c>
      <c r="B96" s="14" t="s">
        <v>14</v>
      </c>
      <c r="C96" s="14">
        <v>84</v>
      </c>
    </row>
    <row r="97" spans="1:4">
      <c r="A97" s="54">
        <v>44855</v>
      </c>
      <c r="B97" s="15" t="s">
        <v>14</v>
      </c>
      <c r="C97" s="15">
        <v>93</v>
      </c>
    </row>
    <row r="98" spans="1:4">
      <c r="A98" s="53">
        <v>44885</v>
      </c>
      <c r="B98" s="14" t="s">
        <v>14</v>
      </c>
      <c r="C98" s="14">
        <v>115</v>
      </c>
      <c r="D98">
        <v>94</v>
      </c>
    </row>
    <row r="99" spans="1:4">
      <c r="A99" s="54">
        <v>44915</v>
      </c>
      <c r="B99" s="15" t="s">
        <v>12</v>
      </c>
      <c r="C99" s="15">
        <v>109</v>
      </c>
    </row>
    <row r="100" spans="1:4">
      <c r="A100" s="53">
        <v>44945</v>
      </c>
      <c r="B100" s="14" t="s">
        <v>11</v>
      </c>
      <c r="C100" s="14">
        <v>102</v>
      </c>
    </row>
    <row r="101" spans="1:4">
      <c r="A101" s="54">
        <v>44975</v>
      </c>
      <c r="B101" s="15" t="s">
        <v>12</v>
      </c>
      <c r="C101" s="15">
        <v>100</v>
      </c>
    </row>
    <row r="102" spans="1:4">
      <c r="A102" s="53">
        <v>45005</v>
      </c>
      <c r="B102" s="14" t="s">
        <v>12</v>
      </c>
      <c r="C102" s="14">
        <v>93</v>
      </c>
    </row>
    <row r="103" spans="1:4">
      <c r="A103" s="54">
        <v>45035</v>
      </c>
      <c r="B103" s="15" t="s">
        <v>13</v>
      </c>
      <c r="C103" s="15">
        <f>IF(ISBLANK(C56), O57, C56)</f>
        <v>121</v>
      </c>
    </row>
    <row r="104" spans="1:4">
      <c r="A104" s="53">
        <v>45065</v>
      </c>
      <c r="B104" s="14" t="s">
        <v>13</v>
      </c>
      <c r="C104" s="14">
        <v>117</v>
      </c>
    </row>
    <row r="105" spans="1:4">
      <c r="A105" s="54">
        <v>45095</v>
      </c>
      <c r="B105" s="15" t="s">
        <v>11</v>
      </c>
      <c r="C105" s="15">
        <v>98</v>
      </c>
    </row>
    <row r="106" spans="1:4">
      <c r="A106" s="53">
        <v>45125</v>
      </c>
      <c r="B106" s="14" t="s">
        <v>13</v>
      </c>
      <c r="C106" s="14">
        <v>94</v>
      </c>
    </row>
    <row r="107" spans="1:4">
      <c r="A107" s="54">
        <v>45155</v>
      </c>
      <c r="B107" s="15" t="s">
        <v>14</v>
      </c>
      <c r="C107" s="15">
        <v>112</v>
      </c>
    </row>
    <row r="108" spans="1:4">
      <c r="A108" s="53">
        <v>45185</v>
      </c>
      <c r="B108" s="14" t="s">
        <v>13</v>
      </c>
      <c r="C108" s="14">
        <v>89</v>
      </c>
    </row>
    <row r="109" spans="1:4">
      <c r="A109" s="54">
        <v>45215</v>
      </c>
      <c r="B109" s="15" t="s">
        <v>14</v>
      </c>
      <c r="C109" s="15">
        <v>119</v>
      </c>
    </row>
    <row r="110" spans="1:4">
      <c r="A110" s="53">
        <v>45245</v>
      </c>
      <c r="B110" s="14" t="s">
        <v>11</v>
      </c>
      <c r="C110" s="14">
        <v>102</v>
      </c>
    </row>
    <row r="111" spans="1:4">
      <c r="A111" s="54">
        <v>45275</v>
      </c>
      <c r="B111" s="15" t="s">
        <v>12</v>
      </c>
      <c r="C111" s="15">
        <v>87</v>
      </c>
    </row>
    <row r="112" spans="1:4">
      <c r="A112" s="53">
        <v>45305</v>
      </c>
      <c r="B112" s="14" t="s">
        <v>12</v>
      </c>
      <c r="C112" s="14">
        <v>113</v>
      </c>
    </row>
    <row r="113" spans="1:4">
      <c r="A113" s="54">
        <v>45335</v>
      </c>
      <c r="B113" s="15" t="s">
        <v>13</v>
      </c>
      <c r="C113" s="15">
        <v>106</v>
      </c>
    </row>
    <row r="114" spans="1:4">
      <c r="A114" s="53">
        <v>45365</v>
      </c>
      <c r="B114" s="14" t="s">
        <v>14</v>
      </c>
      <c r="C114" s="14">
        <v>96</v>
      </c>
    </row>
    <row r="115" spans="1:4">
      <c r="A115" s="54">
        <v>45395</v>
      </c>
      <c r="B115" s="15" t="s">
        <v>10</v>
      </c>
      <c r="C115" s="15">
        <v>110</v>
      </c>
    </row>
    <row r="116" spans="1:4">
      <c r="A116" s="53">
        <v>45425</v>
      </c>
      <c r="B116" s="14" t="s">
        <v>10</v>
      </c>
      <c r="C116" s="14">
        <v>100</v>
      </c>
    </row>
    <row r="117" spans="1:4">
      <c r="A117" s="54">
        <v>45455</v>
      </c>
      <c r="B117" s="15" t="s">
        <v>10</v>
      </c>
      <c r="C117" s="15">
        <f>IF(ISBLANK(C70), O71, C70)</f>
        <v>84</v>
      </c>
      <c r="D117">
        <v>102</v>
      </c>
    </row>
    <row r="118" spans="1:4">
      <c r="A118" s="53">
        <v>45485</v>
      </c>
      <c r="B118" s="14" t="s">
        <v>12</v>
      </c>
      <c r="C118" s="14">
        <v>106</v>
      </c>
    </row>
    <row r="119" spans="1:4">
      <c r="A119" s="54">
        <v>45515</v>
      </c>
      <c r="B119" s="15" t="s">
        <v>12</v>
      </c>
      <c r="C119" s="15">
        <v>114</v>
      </c>
    </row>
    <row r="120" spans="1:4">
      <c r="A120" s="53">
        <v>45545</v>
      </c>
      <c r="B120" s="14" t="s">
        <v>14</v>
      </c>
      <c r="C120" s="14">
        <v>96</v>
      </c>
    </row>
    <row r="121" spans="1:4">
      <c r="A121" s="54">
        <v>45575</v>
      </c>
      <c r="B121" s="15" t="s">
        <v>13</v>
      </c>
      <c r="C121" s="15">
        <v>102</v>
      </c>
    </row>
    <row r="122" spans="1:4">
      <c r="A122" s="53">
        <v>45605</v>
      </c>
      <c r="B122" s="14" t="s">
        <v>10</v>
      </c>
      <c r="C122" s="14">
        <f>IF(ISBLANK(C75), O76, C75)</f>
        <v>106</v>
      </c>
    </row>
    <row r="123" spans="1:4">
      <c r="A123" s="54">
        <v>45635</v>
      </c>
      <c r="B123" s="15" t="s">
        <v>14</v>
      </c>
      <c r="C123" s="15">
        <v>93</v>
      </c>
    </row>
    <row r="124" spans="1:4">
      <c r="A124" s="53">
        <v>45665</v>
      </c>
      <c r="B124" s="14" t="s">
        <v>14</v>
      </c>
      <c r="C124" s="14">
        <v>100</v>
      </c>
    </row>
    <row r="125" spans="1:4">
      <c r="A125" s="54">
        <v>45695</v>
      </c>
      <c r="B125" s="15" t="s">
        <v>13</v>
      </c>
      <c r="C125" s="15">
        <v>111</v>
      </c>
    </row>
    <row r="126" spans="1:4">
      <c r="A126" s="53">
        <v>45725</v>
      </c>
      <c r="B126" s="14" t="s">
        <v>14</v>
      </c>
      <c r="C126" s="14">
        <v>87</v>
      </c>
    </row>
    <row r="127" spans="1:4">
      <c r="A127" s="54">
        <v>45755</v>
      </c>
      <c r="B127" s="15" t="s">
        <v>13</v>
      </c>
      <c r="C127" s="15">
        <v>100</v>
      </c>
    </row>
    <row r="128" spans="1:4">
      <c r="A128" s="53">
        <v>45785</v>
      </c>
      <c r="B128" s="14" t="s">
        <v>11</v>
      </c>
      <c r="C128" s="14">
        <v>104</v>
      </c>
    </row>
    <row r="129" spans="1:3">
      <c r="A129" s="54">
        <v>45815</v>
      </c>
      <c r="B129" s="15" t="s">
        <v>13</v>
      </c>
      <c r="C129" s="15">
        <v>78</v>
      </c>
    </row>
    <row r="130" spans="1:3">
      <c r="A130" s="53">
        <v>45845</v>
      </c>
      <c r="B130" s="14" t="s">
        <v>10</v>
      </c>
      <c r="C130" s="14">
        <v>101</v>
      </c>
    </row>
    <row r="131" spans="1:3">
      <c r="A131" s="54">
        <v>45875</v>
      </c>
      <c r="B131" s="15" t="s">
        <v>10</v>
      </c>
      <c r="C131" s="15">
        <v>100</v>
      </c>
    </row>
    <row r="132" spans="1:3">
      <c r="A132" s="53">
        <v>45905</v>
      </c>
      <c r="B132" s="14" t="s">
        <v>13</v>
      </c>
      <c r="C132" s="14">
        <v>109</v>
      </c>
    </row>
    <row r="133" spans="1:3">
      <c r="A133" s="54">
        <v>45935</v>
      </c>
      <c r="B133" s="15" t="s">
        <v>11</v>
      </c>
      <c r="C133" s="15">
        <v>98</v>
      </c>
    </row>
    <row r="134" spans="1:3">
      <c r="A134" s="53">
        <v>45965</v>
      </c>
      <c r="B134" s="14" t="s">
        <v>11</v>
      </c>
      <c r="C134" s="14">
        <v>111</v>
      </c>
    </row>
    <row r="135" spans="1:3">
      <c r="A135" s="54">
        <v>45995</v>
      </c>
      <c r="B135" s="15" t="s">
        <v>10</v>
      </c>
      <c r="C135" s="15">
        <v>97</v>
      </c>
    </row>
    <row r="136" spans="1:3">
      <c r="A136" s="53">
        <v>46025</v>
      </c>
      <c r="B136" s="14" t="s">
        <v>11</v>
      </c>
      <c r="C136" s="14">
        <v>88</v>
      </c>
    </row>
    <row r="137" spans="1:3">
      <c r="A137" s="54">
        <v>46055</v>
      </c>
      <c r="B137" s="15" t="s">
        <v>14</v>
      </c>
      <c r="C137" s="15">
        <v>101</v>
      </c>
    </row>
    <row r="138" spans="1:3">
      <c r="A138" s="53">
        <v>46085</v>
      </c>
      <c r="B138" s="14" t="s">
        <v>12</v>
      </c>
      <c r="C138" s="14">
        <v>105</v>
      </c>
    </row>
    <row r="139" spans="1:3">
      <c r="A139" s="54">
        <v>46115</v>
      </c>
      <c r="B139" s="15" t="s">
        <v>14</v>
      </c>
      <c r="C139" s="15">
        <v>102</v>
      </c>
    </row>
    <row r="140" spans="1:3">
      <c r="A140" s="53">
        <v>46145</v>
      </c>
      <c r="B140" s="14" t="s">
        <v>10</v>
      </c>
      <c r="C140" s="14">
        <v>98</v>
      </c>
    </row>
    <row r="141" spans="1:3">
      <c r="A141" s="54">
        <v>46175</v>
      </c>
      <c r="B141" s="15" t="s">
        <v>11</v>
      </c>
      <c r="C141" s="15">
        <v>96</v>
      </c>
    </row>
    <row r="142" spans="1:3">
      <c r="A142" s="53">
        <v>46205</v>
      </c>
      <c r="B142" s="14" t="s">
        <v>13</v>
      </c>
      <c r="C142" s="14">
        <v>76</v>
      </c>
    </row>
    <row r="143" spans="1:3">
      <c r="A143" s="54">
        <v>46235</v>
      </c>
      <c r="B143" s="15" t="s">
        <v>12</v>
      </c>
      <c r="C143" s="15">
        <v>112</v>
      </c>
    </row>
    <row r="144" spans="1:3">
      <c r="A144" s="53">
        <v>46265</v>
      </c>
      <c r="B144" s="14" t="s">
        <v>13</v>
      </c>
      <c r="C144" s="14">
        <v>99</v>
      </c>
    </row>
    <row r="145" spans="1:3">
      <c r="A145" s="54">
        <v>46295</v>
      </c>
      <c r="B145" s="15" t="s">
        <v>10</v>
      </c>
      <c r="C145" s="15">
        <v>100</v>
      </c>
    </row>
    <row r="146" spans="1:3">
      <c r="A146" s="53">
        <v>46325</v>
      </c>
      <c r="B146" s="14" t="s">
        <v>11</v>
      </c>
      <c r="C146" s="14">
        <v>89</v>
      </c>
    </row>
    <row r="147" spans="1:3">
      <c r="A147" s="54">
        <v>46355</v>
      </c>
      <c r="B147" s="15" t="s">
        <v>13</v>
      </c>
      <c r="C147" s="15">
        <f>IF(ISBLANK(C100), O101, C100)</f>
        <v>102</v>
      </c>
    </row>
    <row r="148" spans="1:3">
      <c r="A148" s="53">
        <v>46385</v>
      </c>
      <c r="B148" s="14" t="s">
        <v>13</v>
      </c>
      <c r="C148" s="14">
        <v>104</v>
      </c>
    </row>
    <row r="149" spans="1:3">
      <c r="A149" s="54">
        <v>46415</v>
      </c>
      <c r="B149" s="15" t="s">
        <v>12</v>
      </c>
      <c r="C149" s="15">
        <v>96</v>
      </c>
    </row>
    <row r="150" spans="1:3">
      <c r="A150" s="53">
        <v>46445</v>
      </c>
      <c r="B150" s="14" t="s">
        <v>12</v>
      </c>
      <c r="C150" s="14">
        <v>100</v>
      </c>
    </row>
    <row r="151" spans="1:3">
      <c r="A151" s="54">
        <v>46475</v>
      </c>
      <c r="B151" s="15" t="s">
        <v>11</v>
      </c>
      <c r="C151" s="15">
        <v>105</v>
      </c>
    </row>
    <row r="152" spans="1:3">
      <c r="A152" s="53">
        <v>46505</v>
      </c>
      <c r="B152" s="14" t="s">
        <v>12</v>
      </c>
      <c r="C152" s="14">
        <v>81</v>
      </c>
    </row>
    <row r="153" spans="1:3">
      <c r="A153" s="54">
        <v>46535</v>
      </c>
      <c r="B153" s="15" t="s">
        <v>13</v>
      </c>
      <c r="C153" s="15">
        <v>120</v>
      </c>
    </row>
    <row r="154" spans="1:3">
      <c r="A154" s="53">
        <v>46565</v>
      </c>
      <c r="B154" s="14" t="s">
        <v>13</v>
      </c>
      <c r="C154" s="14">
        <v>97</v>
      </c>
    </row>
    <row r="155" spans="1:3">
      <c r="A155" s="54">
        <v>46595</v>
      </c>
      <c r="B155" s="15" t="s">
        <v>10</v>
      </c>
      <c r="C155" s="15">
        <v>99</v>
      </c>
    </row>
    <row r="156" spans="1:3">
      <c r="A156" s="53">
        <v>46625</v>
      </c>
      <c r="B156" s="14" t="s">
        <v>13</v>
      </c>
      <c r="C156" s="14">
        <v>120</v>
      </c>
    </row>
    <row r="157" spans="1:3">
      <c r="A157" s="54">
        <v>46655</v>
      </c>
      <c r="B157" s="15" t="s">
        <v>11</v>
      </c>
      <c r="C157" s="15">
        <v>90</v>
      </c>
    </row>
    <row r="158" spans="1:3">
      <c r="A158" s="53">
        <v>46685</v>
      </c>
      <c r="B158" s="14" t="s">
        <v>14</v>
      </c>
      <c r="C158" s="14">
        <v>85</v>
      </c>
    </row>
    <row r="159" spans="1:3">
      <c r="A159" s="54">
        <v>46715</v>
      </c>
      <c r="B159" s="15" t="s">
        <v>10</v>
      </c>
      <c r="C159" s="15">
        <v>84</v>
      </c>
    </row>
    <row r="160" spans="1:3">
      <c r="A160" s="53">
        <v>46745</v>
      </c>
      <c r="B160" s="14" t="s">
        <v>10</v>
      </c>
      <c r="C160" s="14">
        <f>IF(ISBLANK(C113), O114, C113)</f>
        <v>106</v>
      </c>
    </row>
    <row r="161" spans="1:3">
      <c r="A161" s="54">
        <v>46775</v>
      </c>
      <c r="B161" s="15" t="s">
        <v>11</v>
      </c>
      <c r="C161" s="15">
        <v>112</v>
      </c>
    </row>
    <row r="162" spans="1:3">
      <c r="A162" s="53">
        <v>46805</v>
      </c>
      <c r="B162" s="14" t="s">
        <v>11</v>
      </c>
      <c r="C162" s="14">
        <v>110</v>
      </c>
    </row>
    <row r="163" spans="1:3">
      <c r="A163" s="54">
        <v>46835</v>
      </c>
      <c r="B163" s="15" t="s">
        <v>12</v>
      </c>
      <c r="C163" s="15">
        <v>86</v>
      </c>
    </row>
    <row r="164" spans="1:3">
      <c r="A164" s="53">
        <v>46865</v>
      </c>
      <c r="B164" s="14" t="s">
        <v>10</v>
      </c>
      <c r="C164" s="14">
        <v>104</v>
      </c>
    </row>
    <row r="165" spans="1:3">
      <c r="A165" s="54">
        <v>46895</v>
      </c>
      <c r="B165" s="15" t="s">
        <v>12</v>
      </c>
      <c r="C165" s="15">
        <v>107</v>
      </c>
    </row>
    <row r="166" spans="1:3">
      <c r="A166" s="53">
        <v>46925</v>
      </c>
      <c r="B166" s="14" t="s">
        <v>13</v>
      </c>
      <c r="C166" s="14">
        <v>93</v>
      </c>
    </row>
    <row r="167" spans="1:3">
      <c r="A167" s="54">
        <v>46955</v>
      </c>
      <c r="B167" s="15" t="s">
        <v>10</v>
      </c>
      <c r="C167" s="15">
        <v>108</v>
      </c>
    </row>
    <row r="168" spans="1:3">
      <c r="A168" s="53">
        <v>46985</v>
      </c>
      <c r="B168" s="14" t="s">
        <v>10</v>
      </c>
      <c r="C168" s="14">
        <v>96</v>
      </c>
    </row>
    <row r="169" spans="1:3">
      <c r="A169" s="54">
        <v>47015</v>
      </c>
      <c r="B169" s="15" t="s">
        <v>14</v>
      </c>
      <c r="C169" s="15">
        <v>95</v>
      </c>
    </row>
    <row r="170" spans="1:3">
      <c r="A170" s="53">
        <v>47045</v>
      </c>
      <c r="B170" s="14" t="s">
        <v>10</v>
      </c>
      <c r="C170" s="14">
        <v>112</v>
      </c>
    </row>
    <row r="171" spans="1:3">
      <c r="A171" s="54">
        <v>47075</v>
      </c>
      <c r="B171" s="15" t="s">
        <v>13</v>
      </c>
      <c r="C171" s="15">
        <v>108</v>
      </c>
    </row>
    <row r="172" spans="1:3">
      <c r="A172" s="53">
        <v>47105</v>
      </c>
      <c r="B172" s="14" t="s">
        <v>12</v>
      </c>
      <c r="C172" s="14">
        <v>85</v>
      </c>
    </row>
    <row r="173" spans="1:3">
      <c r="A173" s="54">
        <v>47135</v>
      </c>
      <c r="B173" s="15" t="s">
        <v>12</v>
      </c>
      <c r="C173" s="15">
        <f>IF(ISBLANK(C126), O127, C126)</f>
        <v>87</v>
      </c>
    </row>
    <row r="174" spans="1:3">
      <c r="A174" s="53">
        <v>47165</v>
      </c>
      <c r="B174" s="14" t="s">
        <v>14</v>
      </c>
      <c r="C174" s="14">
        <v>95</v>
      </c>
    </row>
    <row r="175" spans="1:3">
      <c r="A175" s="54">
        <v>47195</v>
      </c>
      <c r="B175" s="15" t="s">
        <v>13</v>
      </c>
      <c r="C175" s="15">
        <v>97</v>
      </c>
    </row>
    <row r="176" spans="1:3">
      <c r="A176" s="53">
        <v>47225</v>
      </c>
      <c r="B176" s="14" t="s">
        <v>12</v>
      </c>
      <c r="C176" s="14">
        <v>116</v>
      </c>
    </row>
    <row r="177" spans="1:3">
      <c r="A177" s="54">
        <v>47255</v>
      </c>
      <c r="B177" s="15" t="s">
        <v>11</v>
      </c>
      <c r="C177" s="15">
        <v>95</v>
      </c>
    </row>
    <row r="178" spans="1:3">
      <c r="A178" s="53">
        <v>47285</v>
      </c>
      <c r="B178" s="14" t="s">
        <v>13</v>
      </c>
      <c r="C178" s="14">
        <v>123</v>
      </c>
    </row>
    <row r="179" spans="1:3">
      <c r="A179" s="54">
        <v>47315</v>
      </c>
      <c r="B179" s="15" t="s">
        <v>13</v>
      </c>
      <c r="C179" s="15">
        <v>104</v>
      </c>
    </row>
    <row r="180" spans="1:3">
      <c r="A180" s="53">
        <v>47345</v>
      </c>
      <c r="B180" s="14" t="s">
        <v>14</v>
      </c>
      <c r="C180" s="14">
        <v>94</v>
      </c>
    </row>
    <row r="181" spans="1:3">
      <c r="A181" s="54">
        <v>47375</v>
      </c>
      <c r="B181" s="15" t="s">
        <v>12</v>
      </c>
      <c r="C181" s="15">
        <v>105</v>
      </c>
    </row>
    <row r="182" spans="1:3">
      <c r="A182" s="53">
        <v>47405</v>
      </c>
      <c r="B182" s="14" t="s">
        <v>13</v>
      </c>
      <c r="C182" s="14">
        <v>109</v>
      </c>
    </row>
    <row r="183" spans="1:3">
      <c r="A183" s="54">
        <v>47435</v>
      </c>
      <c r="B183" s="15" t="s">
        <v>12</v>
      </c>
      <c r="C183" s="15">
        <v>84</v>
      </c>
    </row>
    <row r="184" spans="1:3">
      <c r="A184" s="53">
        <v>47465</v>
      </c>
      <c r="B184" s="14" t="s">
        <v>11</v>
      </c>
      <c r="C184" s="14">
        <v>79</v>
      </c>
    </row>
    <row r="185" spans="1:3">
      <c r="A185" s="54">
        <v>47495</v>
      </c>
      <c r="B185" s="15" t="s">
        <v>14</v>
      </c>
      <c r="C185" s="15">
        <v>98</v>
      </c>
    </row>
    <row r="186" spans="1:3">
      <c r="A186" s="53">
        <v>47525</v>
      </c>
      <c r="B186" s="14" t="s">
        <v>11</v>
      </c>
      <c r="C186" s="14">
        <v>96</v>
      </c>
    </row>
    <row r="187" spans="1:3">
      <c r="A187" s="54">
        <v>47555</v>
      </c>
      <c r="B187" s="15" t="s">
        <v>14</v>
      </c>
      <c r="C187" s="15">
        <v>88</v>
      </c>
    </row>
    <row r="188" spans="1:3">
      <c r="A188" s="53">
        <v>47585</v>
      </c>
      <c r="B188" s="14" t="s">
        <v>13</v>
      </c>
      <c r="C188" s="14">
        <v>103</v>
      </c>
    </row>
    <row r="189" spans="1:3">
      <c r="A189" s="54">
        <v>47615</v>
      </c>
      <c r="B189" s="15" t="s">
        <v>14</v>
      </c>
      <c r="C189" s="15">
        <v>83</v>
      </c>
    </row>
    <row r="190" spans="1:3">
      <c r="A190" s="53">
        <v>47645</v>
      </c>
      <c r="B190" s="14" t="s">
        <v>10</v>
      </c>
      <c r="C190" s="14">
        <v>82</v>
      </c>
    </row>
    <row r="191" spans="1:3">
      <c r="A191" s="54">
        <v>47675</v>
      </c>
      <c r="B191" s="15" t="s">
        <v>12</v>
      </c>
      <c r="C191" s="15">
        <v>106</v>
      </c>
    </row>
    <row r="192" spans="1:3">
      <c r="A192" s="53">
        <v>47705</v>
      </c>
      <c r="B192" s="14" t="s">
        <v>12</v>
      </c>
      <c r="C192" s="14">
        <v>96</v>
      </c>
    </row>
    <row r="193" spans="1:4">
      <c r="A193" s="54">
        <v>47735</v>
      </c>
      <c r="B193" s="15" t="s">
        <v>10</v>
      </c>
      <c r="C193" s="15">
        <v>96</v>
      </c>
    </row>
    <row r="194" spans="1:4">
      <c r="A194" s="53">
        <v>47765</v>
      </c>
      <c r="B194" s="14" t="s">
        <v>11</v>
      </c>
      <c r="C194" s="14">
        <v>109</v>
      </c>
    </row>
    <row r="195" spans="1:4">
      <c r="A195" s="54">
        <v>47795</v>
      </c>
      <c r="B195" s="15" t="s">
        <v>10</v>
      </c>
      <c r="C195" s="15">
        <v>98</v>
      </c>
    </row>
    <row r="196" spans="1:4">
      <c r="A196" s="53">
        <v>47825</v>
      </c>
      <c r="B196" s="14" t="s">
        <v>13</v>
      </c>
      <c r="C196" s="14">
        <v>86</v>
      </c>
    </row>
    <row r="197" spans="1:4">
      <c r="A197" s="54">
        <v>47855</v>
      </c>
      <c r="B197" s="15" t="s">
        <v>13</v>
      </c>
      <c r="C197" s="15">
        <v>79</v>
      </c>
    </row>
    <row r="198" spans="1:4">
      <c r="A198" s="53">
        <v>47885</v>
      </c>
      <c r="B198" s="14" t="s">
        <v>12</v>
      </c>
      <c r="C198" s="14">
        <v>86</v>
      </c>
    </row>
    <row r="199" spans="1:4">
      <c r="A199" s="54">
        <v>47915</v>
      </c>
      <c r="B199" s="15" t="s">
        <v>13</v>
      </c>
      <c r="C199" s="15">
        <v>108</v>
      </c>
    </row>
    <row r="200" spans="1:4">
      <c r="A200" s="53">
        <v>47945</v>
      </c>
      <c r="B200" s="14" t="s">
        <v>12</v>
      </c>
      <c r="C200" s="14">
        <v>127</v>
      </c>
    </row>
    <row r="201" spans="1:4">
      <c r="A201" s="54">
        <v>47975</v>
      </c>
      <c r="B201" s="15" t="s">
        <v>10</v>
      </c>
      <c r="C201" s="15">
        <v>93</v>
      </c>
    </row>
    <row r="202" spans="1:4">
      <c r="A202" s="53">
        <v>48005</v>
      </c>
      <c r="B202" s="14" t="s">
        <v>10</v>
      </c>
      <c r="C202" s="14">
        <v>82</v>
      </c>
    </row>
    <row r="203" spans="1:4">
      <c r="A203" s="54">
        <v>48035</v>
      </c>
      <c r="B203" s="15" t="s">
        <v>10</v>
      </c>
      <c r="C203" s="15">
        <v>104</v>
      </c>
      <c r="D203">
        <v>101</v>
      </c>
    </row>
    <row r="204" spans="1:4">
      <c r="A204" s="53">
        <v>48065</v>
      </c>
      <c r="B204" s="14" t="s">
        <v>12</v>
      </c>
      <c r="C204" s="14">
        <v>99</v>
      </c>
    </row>
    <row r="205" spans="1:4">
      <c r="A205" s="54">
        <v>48095</v>
      </c>
      <c r="B205" s="15" t="s">
        <v>10</v>
      </c>
      <c r="C205" s="15">
        <v>102</v>
      </c>
    </row>
    <row r="206" spans="1:4">
      <c r="A206" s="53">
        <v>48125</v>
      </c>
      <c r="B206" s="14" t="s">
        <v>10</v>
      </c>
      <c r="C206" s="14">
        <v>76</v>
      </c>
    </row>
    <row r="207" spans="1:4">
      <c r="A207" s="54">
        <v>48155</v>
      </c>
      <c r="B207" s="15" t="s">
        <v>11</v>
      </c>
      <c r="C207" s="15">
        <v>99</v>
      </c>
    </row>
    <row r="208" spans="1:4">
      <c r="A208" s="53">
        <v>48185</v>
      </c>
      <c r="B208" s="14" t="s">
        <v>10</v>
      </c>
      <c r="C208" s="14">
        <v>93</v>
      </c>
    </row>
    <row r="209" spans="1:3">
      <c r="A209" s="54">
        <v>48215</v>
      </c>
      <c r="B209" s="15" t="s">
        <v>13</v>
      </c>
      <c r="C209" s="15">
        <v>99</v>
      </c>
    </row>
    <row r="210" spans="1:3">
      <c r="A210" s="53">
        <v>48245</v>
      </c>
      <c r="B210" s="14" t="s">
        <v>12</v>
      </c>
      <c r="C210" s="14">
        <v>102</v>
      </c>
    </row>
    <row r="211" spans="1:3">
      <c r="A211" s="54">
        <v>48275</v>
      </c>
      <c r="B211" s="15" t="s">
        <v>11</v>
      </c>
      <c r="C211" s="15">
        <v>106</v>
      </c>
    </row>
    <row r="212" spans="1:3">
      <c r="A212" s="53">
        <v>48305</v>
      </c>
      <c r="B212" s="14" t="s">
        <v>14</v>
      </c>
      <c r="C212" s="14">
        <v>94</v>
      </c>
    </row>
    <row r="213" spans="1:3">
      <c r="A213" s="54">
        <v>48335</v>
      </c>
      <c r="B213" s="15" t="s">
        <v>12</v>
      </c>
      <c r="C213" s="15">
        <v>105</v>
      </c>
    </row>
    <row r="214" spans="1:3">
      <c r="A214" s="53">
        <v>48365</v>
      </c>
      <c r="B214" s="14" t="s">
        <v>13</v>
      </c>
      <c r="C214" s="14">
        <v>100</v>
      </c>
    </row>
    <row r="215" spans="1:3">
      <c r="A215" s="54">
        <v>48395</v>
      </c>
      <c r="B215" s="15" t="s">
        <v>12</v>
      </c>
      <c r="C215" s="15">
        <v>122</v>
      </c>
    </row>
    <row r="216" spans="1:3">
      <c r="A216" s="53">
        <v>48425</v>
      </c>
      <c r="B216" s="14" t="s">
        <v>13</v>
      </c>
      <c r="C216" s="14">
        <v>103</v>
      </c>
    </row>
    <row r="217" spans="1:3">
      <c r="A217" s="54">
        <v>48455</v>
      </c>
      <c r="B217" s="15" t="s">
        <v>13</v>
      </c>
      <c r="C217" s="15">
        <v>119</v>
      </c>
    </row>
    <row r="218" spans="1:3">
      <c r="A218" s="53">
        <v>48485</v>
      </c>
      <c r="B218" s="14" t="s">
        <v>14</v>
      </c>
      <c r="C218" s="14">
        <v>76</v>
      </c>
    </row>
    <row r="219" spans="1:3">
      <c r="A219" s="54">
        <v>48515</v>
      </c>
      <c r="B219" s="15" t="s">
        <v>12</v>
      </c>
      <c r="C219" s="15">
        <v>96</v>
      </c>
    </row>
    <row r="220" spans="1:3">
      <c r="A220" s="53">
        <v>48545</v>
      </c>
      <c r="B220" s="14" t="s">
        <v>14</v>
      </c>
      <c r="C220" s="14">
        <v>103</v>
      </c>
    </row>
    <row r="221" spans="1:3">
      <c r="A221" s="54">
        <v>48575</v>
      </c>
      <c r="B221" s="15" t="s">
        <v>14</v>
      </c>
      <c r="C221" s="15">
        <v>111</v>
      </c>
    </row>
    <row r="222" spans="1:3">
      <c r="A222" s="53">
        <v>48605</v>
      </c>
      <c r="B222" s="14" t="s">
        <v>12</v>
      </c>
      <c r="C222" s="14">
        <v>97</v>
      </c>
    </row>
    <row r="223" spans="1:3">
      <c r="A223" s="54">
        <v>48635</v>
      </c>
      <c r="B223" s="15" t="s">
        <v>10</v>
      </c>
      <c r="C223" s="15">
        <v>112</v>
      </c>
    </row>
    <row r="224" spans="1:3">
      <c r="A224" s="53">
        <v>48665</v>
      </c>
      <c r="B224" s="14" t="s">
        <v>10</v>
      </c>
      <c r="C224" s="14">
        <v>99</v>
      </c>
    </row>
    <row r="225" spans="1:4">
      <c r="A225" s="54">
        <v>48695</v>
      </c>
      <c r="B225" s="15" t="s">
        <v>14</v>
      </c>
      <c r="C225" s="15">
        <v>124</v>
      </c>
    </row>
    <row r="226" spans="1:4">
      <c r="A226" s="53">
        <v>48725</v>
      </c>
      <c r="B226" s="14" t="s">
        <v>11</v>
      </c>
      <c r="C226" s="14">
        <v>91</v>
      </c>
    </row>
    <row r="227" spans="1:4">
      <c r="A227" s="54">
        <v>48755</v>
      </c>
      <c r="B227" s="15" t="s">
        <v>14</v>
      </c>
      <c r="C227" s="15">
        <v>103</v>
      </c>
    </row>
    <row r="228" spans="1:4">
      <c r="A228" s="53">
        <v>48785</v>
      </c>
      <c r="B228" s="14" t="s">
        <v>14</v>
      </c>
      <c r="C228" s="14">
        <v>86</v>
      </c>
    </row>
    <row r="229" spans="1:4">
      <c r="A229" s="54">
        <v>48815</v>
      </c>
      <c r="B229" s="15" t="s">
        <v>14</v>
      </c>
      <c r="C229" s="15">
        <v>101</v>
      </c>
      <c r="D229">
        <v>93</v>
      </c>
    </row>
    <row r="230" spans="1:4">
      <c r="A230" s="53">
        <v>48845</v>
      </c>
      <c r="B230" s="14" t="s">
        <v>10</v>
      </c>
      <c r="C230" s="14">
        <v>101</v>
      </c>
    </row>
    <row r="231" spans="1:4">
      <c r="A231" s="54">
        <v>48875</v>
      </c>
      <c r="B231" s="15" t="s">
        <v>10</v>
      </c>
      <c r="C231" s="15">
        <v>101</v>
      </c>
    </row>
    <row r="232" spans="1:4">
      <c r="A232" s="53">
        <v>48905</v>
      </c>
      <c r="B232" s="14" t="s">
        <v>10</v>
      </c>
      <c r="C232" s="14">
        <v>113</v>
      </c>
      <c r="D232">
        <v>101</v>
      </c>
    </row>
    <row r="233" spans="1:4">
      <c r="A233" s="54">
        <v>48935</v>
      </c>
      <c r="B233" s="15" t="s">
        <v>14</v>
      </c>
      <c r="C233" s="15">
        <v>87</v>
      </c>
    </row>
    <row r="234" spans="1:4">
      <c r="A234" s="53">
        <v>48965</v>
      </c>
      <c r="B234" s="14" t="s">
        <v>11</v>
      </c>
      <c r="C234" s="14">
        <v>108</v>
      </c>
    </row>
    <row r="235" spans="1:4">
      <c r="A235" s="54">
        <v>48995</v>
      </c>
      <c r="B235" s="15" t="s">
        <v>10</v>
      </c>
      <c r="C235" s="15">
        <v>100</v>
      </c>
    </row>
    <row r="236" spans="1:4">
      <c r="A236" s="53">
        <v>49025</v>
      </c>
      <c r="B236" s="14" t="s">
        <v>12</v>
      </c>
      <c r="C236" s="14">
        <v>87</v>
      </c>
    </row>
    <row r="237" spans="1:4">
      <c r="A237" s="54">
        <v>49055</v>
      </c>
      <c r="B237" s="15" t="s">
        <v>12</v>
      </c>
      <c r="C237" s="15">
        <v>96</v>
      </c>
    </row>
    <row r="238" spans="1:4">
      <c r="A238" s="53">
        <v>49085</v>
      </c>
      <c r="B238" s="14" t="s">
        <v>12</v>
      </c>
      <c r="C238" s="14">
        <v>97</v>
      </c>
      <c r="D238">
        <v>94</v>
      </c>
    </row>
    <row r="239" spans="1:4">
      <c r="A239" s="54">
        <v>49115</v>
      </c>
      <c r="B239" s="15" t="s">
        <v>13</v>
      </c>
      <c r="C239" s="15">
        <v>116</v>
      </c>
    </row>
    <row r="240" spans="1:4">
      <c r="A240" s="53">
        <v>49145</v>
      </c>
      <c r="B240" s="14" t="s">
        <v>14</v>
      </c>
      <c r="C240" s="14">
        <v>100</v>
      </c>
    </row>
    <row r="241" spans="1:3">
      <c r="A241" s="54">
        <v>49175</v>
      </c>
      <c r="B241" s="15" t="s">
        <v>12</v>
      </c>
      <c r="C241" s="15">
        <v>97</v>
      </c>
    </row>
    <row r="242" spans="1:3">
      <c r="A242" s="53">
        <v>49205</v>
      </c>
      <c r="B242" s="14" t="s">
        <v>14</v>
      </c>
      <c r="C242" s="14">
        <v>100</v>
      </c>
    </row>
    <row r="243" spans="1:3">
      <c r="A243" s="54">
        <v>49235</v>
      </c>
      <c r="B243" s="15" t="s">
        <v>12</v>
      </c>
      <c r="C243" s="15">
        <v>99</v>
      </c>
    </row>
    <row r="244" spans="1:3">
      <c r="A244" s="53">
        <v>49265</v>
      </c>
      <c r="B244" s="14" t="s">
        <v>11</v>
      </c>
      <c r="C244" s="14">
        <v>100</v>
      </c>
    </row>
    <row r="245" spans="1:3">
      <c r="A245" s="54">
        <v>49295</v>
      </c>
      <c r="B245" s="15" t="s">
        <v>14</v>
      </c>
      <c r="C245" s="15">
        <v>100</v>
      </c>
    </row>
    <row r="246" spans="1:3">
      <c r="A246" s="53">
        <v>49325</v>
      </c>
      <c r="B246" s="14" t="s">
        <v>12</v>
      </c>
      <c r="C246" s="14">
        <v>82</v>
      </c>
    </row>
    <row r="247" spans="1:3">
      <c r="A247" s="54">
        <v>49355</v>
      </c>
      <c r="B247" s="15" t="s">
        <v>10</v>
      </c>
      <c r="C247" s="15">
        <v>87</v>
      </c>
    </row>
    <row r="248" spans="1:3">
      <c r="A248" s="53">
        <v>49385</v>
      </c>
      <c r="B248" s="14" t="s">
        <v>14</v>
      </c>
      <c r="C248" s="14">
        <v>87</v>
      </c>
    </row>
    <row r="249" spans="1:3">
      <c r="A249" s="54">
        <v>49415</v>
      </c>
      <c r="B249" s="15" t="s">
        <v>13</v>
      </c>
      <c r="C249" s="15">
        <v>90</v>
      </c>
    </row>
    <row r="250" spans="1:3">
      <c r="A250" s="53">
        <v>49445</v>
      </c>
      <c r="B250" s="14" t="s">
        <v>10</v>
      </c>
      <c r="C250" s="14">
        <v>115</v>
      </c>
    </row>
    <row r="251" spans="1:3">
      <c r="A251" s="54">
        <v>49475</v>
      </c>
      <c r="B251" s="15" t="s">
        <v>10</v>
      </c>
      <c r="C251" s="15">
        <v>105</v>
      </c>
    </row>
    <row r="252" spans="1:3">
      <c r="A252" s="53">
        <v>49505</v>
      </c>
      <c r="B252" s="14" t="s">
        <v>13</v>
      </c>
      <c r="C252" s="14">
        <v>90</v>
      </c>
    </row>
    <row r="253" spans="1:3">
      <c r="A253" s="54">
        <v>49535</v>
      </c>
      <c r="B253" s="15" t="s">
        <v>10</v>
      </c>
      <c r="C253" s="15">
        <v>89</v>
      </c>
    </row>
    <row r="254" spans="1:3">
      <c r="A254" s="53">
        <v>49565</v>
      </c>
      <c r="B254" s="14" t="s">
        <v>10</v>
      </c>
      <c r="C254" s="14">
        <v>89</v>
      </c>
    </row>
    <row r="255" spans="1:3">
      <c r="A255" s="54">
        <v>49595</v>
      </c>
      <c r="B255" s="15" t="s">
        <v>12</v>
      </c>
      <c r="C255" s="15">
        <v>86</v>
      </c>
    </row>
    <row r="256" spans="1:3">
      <c r="A256" s="53">
        <v>49625</v>
      </c>
      <c r="B256" s="14" t="s">
        <v>12</v>
      </c>
      <c r="C256" s="14">
        <v>91</v>
      </c>
    </row>
    <row r="257" spans="1:4">
      <c r="A257" s="54">
        <v>49655</v>
      </c>
      <c r="B257" s="15" t="s">
        <v>14</v>
      </c>
      <c r="C257" s="15">
        <v>100</v>
      </c>
    </row>
    <row r="258" spans="1:4">
      <c r="A258" s="53">
        <v>49685</v>
      </c>
      <c r="B258" s="14" t="s">
        <v>14</v>
      </c>
      <c r="C258" s="14">
        <v>104</v>
      </c>
    </row>
    <row r="259" spans="1:4">
      <c r="A259" s="54">
        <v>49715</v>
      </c>
      <c r="B259" s="15" t="s">
        <v>14</v>
      </c>
      <c r="C259" s="15">
        <v>80</v>
      </c>
      <c r="D259">
        <v>98</v>
      </c>
    </row>
    <row r="260" spans="1:4">
      <c r="A260" s="53">
        <v>49745</v>
      </c>
      <c r="B260" s="14" t="s">
        <v>12</v>
      </c>
      <c r="C260" s="14">
        <v>110</v>
      </c>
    </row>
    <row r="261" spans="1:4">
      <c r="A261" s="54">
        <v>49775</v>
      </c>
      <c r="B261" s="15" t="s">
        <v>14</v>
      </c>
      <c r="C261" s="15">
        <v>90</v>
      </c>
    </row>
    <row r="262" spans="1:4">
      <c r="A262" s="53">
        <v>49805</v>
      </c>
      <c r="B262" s="14" t="s">
        <v>10</v>
      </c>
      <c r="C262" s="14">
        <v>96</v>
      </c>
    </row>
    <row r="263" spans="1:4">
      <c r="A263" s="54">
        <v>49835</v>
      </c>
      <c r="B263" s="15" t="s">
        <v>12</v>
      </c>
      <c r="C263" s="15">
        <v>103</v>
      </c>
    </row>
    <row r="264" spans="1:4">
      <c r="A264" s="53">
        <v>49865</v>
      </c>
      <c r="B264" s="14" t="s">
        <v>14</v>
      </c>
      <c r="C264" s="14">
        <v>99</v>
      </c>
    </row>
    <row r="265" spans="1:4">
      <c r="A265" s="54">
        <v>49895</v>
      </c>
      <c r="B265" s="15" t="s">
        <v>10</v>
      </c>
      <c r="C265" s="15">
        <f>IF(ISBLANK(C218), O219, C218)</f>
        <v>76</v>
      </c>
    </row>
    <row r="266" spans="1:4">
      <c r="A266" s="53">
        <v>49925</v>
      </c>
      <c r="B266" s="14" t="s">
        <v>14</v>
      </c>
      <c r="C266" s="14">
        <v>106</v>
      </c>
    </row>
    <row r="267" spans="1:4">
      <c r="A267" s="54">
        <v>49955</v>
      </c>
      <c r="B267" s="15" t="s">
        <v>11</v>
      </c>
      <c r="C267" s="15">
        <v>100</v>
      </c>
    </row>
    <row r="268" spans="1:4">
      <c r="A268" s="53">
        <v>49985</v>
      </c>
      <c r="B268" s="14" t="s">
        <v>14</v>
      </c>
      <c r="C268" s="14">
        <v>85</v>
      </c>
    </row>
    <row r="269" spans="1:4">
      <c r="A269" s="54">
        <v>50015</v>
      </c>
      <c r="B269" s="15" t="s">
        <v>11</v>
      </c>
      <c r="C269" s="15">
        <v>101</v>
      </c>
    </row>
    <row r="270" spans="1:4">
      <c r="A270" s="53">
        <v>50045</v>
      </c>
      <c r="B270" s="14" t="s">
        <v>14</v>
      </c>
      <c r="C270" s="14">
        <v>93</v>
      </c>
    </row>
    <row r="271" spans="1:4">
      <c r="A271" s="54">
        <v>50075</v>
      </c>
      <c r="B271" s="15" t="s">
        <v>13</v>
      </c>
      <c r="C271" s="15">
        <v>91</v>
      </c>
    </row>
    <row r="272" spans="1:4">
      <c r="A272" s="53">
        <v>50105</v>
      </c>
      <c r="B272" s="14" t="s">
        <v>14</v>
      </c>
      <c r="C272" s="14">
        <v>103</v>
      </c>
    </row>
    <row r="273" spans="1:3">
      <c r="A273" s="54">
        <v>50135</v>
      </c>
      <c r="B273" s="15" t="s">
        <v>12</v>
      </c>
      <c r="C273" s="15">
        <v>109</v>
      </c>
    </row>
    <row r="274" spans="1:3">
      <c r="A274" s="53">
        <v>50165</v>
      </c>
      <c r="B274" s="14" t="s">
        <v>12</v>
      </c>
      <c r="C274" s="14">
        <v>83</v>
      </c>
    </row>
    <row r="275" spans="1:3">
      <c r="A275" s="54">
        <v>50195</v>
      </c>
      <c r="B275" s="15" t="s">
        <v>11</v>
      </c>
      <c r="C275" s="15">
        <v>102</v>
      </c>
    </row>
    <row r="276" spans="1:3">
      <c r="A276" s="53">
        <v>50225</v>
      </c>
      <c r="B276" s="14" t="s">
        <v>12</v>
      </c>
      <c r="C276" s="14">
        <v>98</v>
      </c>
    </row>
    <row r="277" spans="1:3">
      <c r="A277" s="54">
        <v>50255</v>
      </c>
      <c r="B277" s="15" t="s">
        <v>10</v>
      </c>
      <c r="C277" s="15">
        <v>93</v>
      </c>
    </row>
    <row r="278" spans="1:3">
      <c r="A278" s="53">
        <v>50285</v>
      </c>
      <c r="B278" s="14" t="s">
        <v>13</v>
      </c>
      <c r="C278" s="14">
        <v>104</v>
      </c>
    </row>
    <row r="279" spans="1:3">
      <c r="A279" s="54">
        <v>50315</v>
      </c>
      <c r="B279" s="15" t="s">
        <v>13</v>
      </c>
      <c r="C279" s="15">
        <v>96</v>
      </c>
    </row>
    <row r="280" spans="1:3">
      <c r="A280" s="53">
        <v>50345</v>
      </c>
      <c r="B280" s="14" t="s">
        <v>10</v>
      </c>
      <c r="C280" s="14">
        <v>103</v>
      </c>
    </row>
    <row r="281" spans="1:3">
      <c r="A281" s="54">
        <v>50375</v>
      </c>
      <c r="B281" s="15" t="s">
        <v>11</v>
      </c>
      <c r="C281" s="15">
        <v>85</v>
      </c>
    </row>
    <row r="282" spans="1:3">
      <c r="A282" s="53">
        <v>50405</v>
      </c>
      <c r="B282" s="14" t="s">
        <v>10</v>
      </c>
      <c r="C282" s="14">
        <v>92</v>
      </c>
    </row>
    <row r="283" spans="1:3">
      <c r="A283" s="54">
        <v>50435</v>
      </c>
      <c r="B283" s="15" t="s">
        <v>10</v>
      </c>
      <c r="C283" s="15">
        <v>90</v>
      </c>
    </row>
    <row r="284" spans="1:3">
      <c r="A284" s="53">
        <v>50465</v>
      </c>
      <c r="B284" s="14" t="s">
        <v>13</v>
      </c>
      <c r="C284" s="14">
        <v>83</v>
      </c>
    </row>
    <row r="285" spans="1:3">
      <c r="A285" s="54">
        <v>50495</v>
      </c>
      <c r="B285" s="15" t="s">
        <v>14</v>
      </c>
      <c r="C285" s="15">
        <v>86</v>
      </c>
    </row>
    <row r="286" spans="1:3">
      <c r="A286" s="53">
        <v>50525</v>
      </c>
      <c r="B286" s="14" t="s">
        <v>13</v>
      </c>
      <c r="C286" s="14">
        <v>110</v>
      </c>
    </row>
    <row r="287" spans="1:3">
      <c r="A287" s="54">
        <v>50555</v>
      </c>
      <c r="B287" s="15" t="s">
        <v>13</v>
      </c>
      <c r="C287" s="15">
        <v>89</v>
      </c>
    </row>
    <row r="288" spans="1:3">
      <c r="A288" s="53">
        <v>50585</v>
      </c>
      <c r="B288" s="14" t="s">
        <v>12</v>
      </c>
      <c r="C288" s="14">
        <v>118</v>
      </c>
    </row>
    <row r="289" spans="1:3">
      <c r="A289" s="54">
        <v>50615</v>
      </c>
      <c r="B289" s="15" t="s">
        <v>10</v>
      </c>
      <c r="C289" s="15">
        <v>102</v>
      </c>
    </row>
    <row r="290" spans="1:3">
      <c r="A290" s="53">
        <v>50645</v>
      </c>
      <c r="B290" s="14" t="s">
        <v>13</v>
      </c>
      <c r="C290" s="14">
        <v>108</v>
      </c>
    </row>
    <row r="291" spans="1:3">
      <c r="A291" s="54">
        <v>50675</v>
      </c>
      <c r="B291" s="15" t="s">
        <v>10</v>
      </c>
      <c r="C291" s="15">
        <v>95</v>
      </c>
    </row>
    <row r="292" spans="1:3">
      <c r="A292" s="53">
        <v>50705</v>
      </c>
      <c r="B292" s="14" t="s">
        <v>12</v>
      </c>
      <c r="C292" s="14">
        <v>100</v>
      </c>
    </row>
    <row r="293" spans="1:3">
      <c r="A293" s="54">
        <v>50735</v>
      </c>
      <c r="B293" s="15" t="s">
        <v>10</v>
      </c>
      <c r="C293" s="15">
        <v>86</v>
      </c>
    </row>
    <row r="294" spans="1:3">
      <c r="A294" s="53">
        <v>50765</v>
      </c>
      <c r="B294" s="14" t="s">
        <v>13</v>
      </c>
      <c r="C294" s="14">
        <v>94</v>
      </c>
    </row>
    <row r="295" spans="1:3">
      <c r="A295" s="54">
        <v>50795</v>
      </c>
      <c r="B295" s="15" t="s">
        <v>10</v>
      </c>
      <c r="C295" s="15">
        <v>88</v>
      </c>
    </row>
    <row r="296" spans="1:3">
      <c r="A296" s="53">
        <v>50825</v>
      </c>
      <c r="B296" s="14" t="s">
        <v>12</v>
      </c>
      <c r="C296" s="14">
        <v>100</v>
      </c>
    </row>
    <row r="297" spans="1:3">
      <c r="A297" s="54">
        <v>50855</v>
      </c>
      <c r="B297" s="15" t="s">
        <v>14</v>
      </c>
      <c r="C297" s="15">
        <v>95</v>
      </c>
    </row>
    <row r="298" spans="1:3">
      <c r="A298" s="53">
        <v>50885</v>
      </c>
      <c r="B298" s="14" t="s">
        <v>10</v>
      </c>
      <c r="C298" s="14">
        <v>95</v>
      </c>
    </row>
    <row r="299" spans="1:3">
      <c r="A299" s="54">
        <v>50915</v>
      </c>
      <c r="B299" s="15" t="s">
        <v>13</v>
      </c>
      <c r="C299" s="15">
        <v>92</v>
      </c>
    </row>
    <row r="300" spans="1:3">
      <c r="A300" s="53">
        <v>50945</v>
      </c>
      <c r="B300" s="14" t="s">
        <v>12</v>
      </c>
      <c r="C300" s="14">
        <v>108</v>
      </c>
    </row>
    <row r="301" spans="1:3">
      <c r="A301" s="54">
        <v>50975</v>
      </c>
      <c r="B301" s="15" t="s">
        <v>13</v>
      </c>
      <c r="C301" s="15">
        <v>99</v>
      </c>
    </row>
    <row r="302" spans="1:3">
      <c r="A302" s="53">
        <v>51005</v>
      </c>
      <c r="B302" s="14" t="s">
        <v>13</v>
      </c>
      <c r="C302" s="14">
        <v>95</v>
      </c>
    </row>
    <row r="303" spans="1:3">
      <c r="A303" s="54">
        <v>51035</v>
      </c>
      <c r="B303" s="15" t="s">
        <v>10</v>
      </c>
      <c r="C303" s="15">
        <v>86</v>
      </c>
    </row>
    <row r="304" spans="1:3">
      <c r="A304" s="53">
        <v>51065</v>
      </c>
      <c r="B304" s="14" t="s">
        <v>13</v>
      </c>
      <c r="C304" s="14">
        <v>120</v>
      </c>
    </row>
    <row r="305" spans="1:4">
      <c r="A305" s="54">
        <v>51095</v>
      </c>
      <c r="B305" s="15" t="s">
        <v>10</v>
      </c>
      <c r="C305" s="15">
        <v>81</v>
      </c>
    </row>
    <row r="306" spans="1:4">
      <c r="A306" s="53">
        <v>51125</v>
      </c>
      <c r="B306" s="14" t="s">
        <v>14</v>
      </c>
      <c r="C306" s="14">
        <v>102</v>
      </c>
    </row>
    <row r="307" spans="1:4">
      <c r="A307" s="54">
        <v>51155</v>
      </c>
      <c r="B307" s="15" t="s">
        <v>13</v>
      </c>
      <c r="C307" s="15">
        <v>87</v>
      </c>
    </row>
    <row r="308" spans="1:4">
      <c r="A308" s="53">
        <v>51185</v>
      </c>
      <c r="B308" s="14" t="s">
        <v>13</v>
      </c>
      <c r="C308" s="14">
        <v>90</v>
      </c>
    </row>
    <row r="309" spans="1:4">
      <c r="A309" s="54">
        <v>51215</v>
      </c>
      <c r="B309" s="15" t="s">
        <v>13</v>
      </c>
      <c r="C309" s="15">
        <v>89</v>
      </c>
      <c r="D309">
        <v>93</v>
      </c>
    </row>
    <row r="310" spans="1:4">
      <c r="A310" s="53">
        <v>51245</v>
      </c>
      <c r="B310" s="14" t="s">
        <v>11</v>
      </c>
      <c r="C310" s="14">
        <v>105</v>
      </c>
    </row>
    <row r="311" spans="1:4">
      <c r="A311" s="54">
        <v>51275</v>
      </c>
      <c r="B311" s="15" t="s">
        <v>11</v>
      </c>
      <c r="C311" s="15">
        <v>96</v>
      </c>
    </row>
    <row r="312" spans="1:4">
      <c r="A312" s="53">
        <v>51305</v>
      </c>
      <c r="B312" s="14" t="s">
        <v>12</v>
      </c>
      <c r="C312" s="14">
        <v>97</v>
      </c>
    </row>
    <row r="313" spans="1:4">
      <c r="A313" s="54">
        <v>51335</v>
      </c>
      <c r="B313" s="15" t="s">
        <v>11</v>
      </c>
      <c r="C313" s="15">
        <v>98</v>
      </c>
    </row>
    <row r="314" spans="1:4">
      <c r="A314" s="53">
        <v>51365</v>
      </c>
      <c r="B314" s="14" t="s">
        <v>12</v>
      </c>
      <c r="C314" s="14">
        <v>100</v>
      </c>
    </row>
    <row r="315" spans="1:4">
      <c r="A315" s="54">
        <v>51395</v>
      </c>
      <c r="B315" s="15" t="s">
        <v>11</v>
      </c>
      <c r="C315" s="15">
        <v>108</v>
      </c>
    </row>
    <row r="316" spans="1:4">
      <c r="A316" s="53">
        <v>51425</v>
      </c>
      <c r="B316" s="14" t="s">
        <v>14</v>
      </c>
      <c r="C316" s="14">
        <v>92</v>
      </c>
    </row>
    <row r="317" spans="1:4">
      <c r="A317" s="54">
        <v>51455</v>
      </c>
      <c r="B317" s="15" t="s">
        <v>12</v>
      </c>
      <c r="C317" s="15">
        <v>97</v>
      </c>
    </row>
    <row r="318" spans="1:4">
      <c r="A318" s="53">
        <v>51485</v>
      </c>
      <c r="B318" s="14" t="s">
        <v>11</v>
      </c>
      <c r="C318" s="14">
        <v>116</v>
      </c>
    </row>
    <row r="319" spans="1:4">
      <c r="A319" s="54">
        <v>51515</v>
      </c>
      <c r="B319" s="15" t="s">
        <v>14</v>
      </c>
      <c r="C319" s="15">
        <f>IF(ISBLANK(C272), O273, C272)</f>
        <v>103</v>
      </c>
    </row>
    <row r="320" spans="1:4">
      <c r="A320" s="53">
        <v>51545</v>
      </c>
      <c r="B320" s="14" t="s">
        <v>11</v>
      </c>
      <c r="C320" s="14">
        <v>87</v>
      </c>
    </row>
    <row r="321" spans="1:3">
      <c r="A321" s="54">
        <v>51575</v>
      </c>
      <c r="B321" s="15" t="s">
        <v>10</v>
      </c>
      <c r="C321" s="15">
        <v>103</v>
      </c>
    </row>
    <row r="322" spans="1:3">
      <c r="A322" s="53">
        <v>51605</v>
      </c>
      <c r="B322" s="14" t="s">
        <v>10</v>
      </c>
      <c r="C322" s="14">
        <v>115</v>
      </c>
    </row>
    <row r="323" spans="1:3">
      <c r="A323" s="54">
        <v>51635</v>
      </c>
      <c r="B323" s="15" t="s">
        <v>14</v>
      </c>
      <c r="C323" s="15">
        <v>88</v>
      </c>
    </row>
    <row r="324" spans="1:3">
      <c r="A324" s="53">
        <v>51665</v>
      </c>
      <c r="B324" s="14" t="s">
        <v>13</v>
      </c>
      <c r="C324" s="14">
        <v>100</v>
      </c>
    </row>
    <row r="325" spans="1:3">
      <c r="A325" s="54">
        <v>51695</v>
      </c>
      <c r="B325" s="15" t="s">
        <v>13</v>
      </c>
      <c r="C325" s="15">
        <v>108</v>
      </c>
    </row>
    <row r="326" spans="1:3">
      <c r="A326" s="53">
        <v>51725</v>
      </c>
      <c r="B326" s="14" t="s">
        <v>10</v>
      </c>
      <c r="C326" s="14">
        <f>IF(ISBLANK(C279), O280, C279)</f>
        <v>96</v>
      </c>
    </row>
    <row r="327" spans="1:3">
      <c r="A327" s="54">
        <v>51755</v>
      </c>
      <c r="B327" s="15" t="s">
        <v>10</v>
      </c>
      <c r="C327" s="15">
        <v>86</v>
      </c>
    </row>
    <row r="328" spans="1:3">
      <c r="A328" s="53">
        <v>51785</v>
      </c>
      <c r="B328" s="14" t="s">
        <v>13</v>
      </c>
      <c r="C328" s="14">
        <v>87</v>
      </c>
    </row>
    <row r="329" spans="1:3">
      <c r="A329" s="54">
        <v>51815</v>
      </c>
      <c r="B329" s="15" t="s">
        <v>12</v>
      </c>
      <c r="C329" s="15">
        <v>109</v>
      </c>
    </row>
    <row r="330" spans="1:3">
      <c r="A330" s="53">
        <v>51845</v>
      </c>
      <c r="B330" s="14" t="s">
        <v>13</v>
      </c>
      <c r="C330" s="14">
        <v>91</v>
      </c>
    </row>
    <row r="331" spans="1:3">
      <c r="A331" s="54">
        <v>51875</v>
      </c>
      <c r="B331" s="15" t="s">
        <v>11</v>
      </c>
      <c r="C331" s="15">
        <v>107</v>
      </c>
    </row>
    <row r="332" spans="1:3">
      <c r="A332" s="53">
        <v>51905</v>
      </c>
      <c r="B332" s="14" t="s">
        <v>12</v>
      </c>
      <c r="C332" s="14">
        <v>106</v>
      </c>
    </row>
    <row r="333" spans="1:3">
      <c r="A333" s="54">
        <v>51935</v>
      </c>
      <c r="B333" s="15" t="s">
        <v>11</v>
      </c>
      <c r="C333" s="15">
        <v>92</v>
      </c>
    </row>
    <row r="334" spans="1:3">
      <c r="A334" s="53">
        <v>51965</v>
      </c>
      <c r="B334" s="14" t="s">
        <v>10</v>
      </c>
      <c r="C334" s="14">
        <v>90</v>
      </c>
    </row>
    <row r="335" spans="1:3">
      <c r="A335" s="54">
        <v>51995</v>
      </c>
      <c r="B335" s="15" t="s">
        <v>12</v>
      </c>
      <c r="C335" s="15">
        <v>102</v>
      </c>
    </row>
    <row r="336" spans="1:3">
      <c r="A336" s="53">
        <v>52025</v>
      </c>
      <c r="B336" s="14" t="s">
        <v>11</v>
      </c>
      <c r="C336" s="14">
        <v>99</v>
      </c>
    </row>
    <row r="337" spans="1:3">
      <c r="A337" s="54">
        <v>52055</v>
      </c>
      <c r="B337" s="15" t="s">
        <v>11</v>
      </c>
      <c r="C337" s="15">
        <v>88</v>
      </c>
    </row>
    <row r="338" spans="1:3">
      <c r="A338" s="53">
        <v>52085</v>
      </c>
      <c r="B338" s="14" t="s">
        <v>12</v>
      </c>
      <c r="C338" s="14">
        <v>100</v>
      </c>
    </row>
    <row r="339" spans="1:3">
      <c r="A339" s="54">
        <v>52115</v>
      </c>
      <c r="B339" s="15" t="s">
        <v>14</v>
      </c>
      <c r="C339" s="15">
        <f>IF(ISBLANK(C292), O293, C292)</f>
        <v>100</v>
      </c>
    </row>
    <row r="340" spans="1:3">
      <c r="A340" s="53">
        <v>52145</v>
      </c>
      <c r="B340" s="14" t="s">
        <v>13</v>
      </c>
      <c r="C340" s="14">
        <v>106</v>
      </c>
    </row>
    <row r="341" spans="1:3">
      <c r="A341" s="54">
        <v>52175</v>
      </c>
      <c r="B341" s="15" t="s">
        <v>11</v>
      </c>
      <c r="C341" s="15">
        <f>IF(ISBLANK(C294), O295, C294)</f>
        <v>94</v>
      </c>
    </row>
    <row r="342" spans="1:3">
      <c r="A342" s="53">
        <v>52205</v>
      </c>
      <c r="B342" s="14" t="s">
        <v>13</v>
      </c>
      <c r="C342" s="14">
        <v>98</v>
      </c>
    </row>
    <row r="343" spans="1:3">
      <c r="A343" s="54">
        <v>52235</v>
      </c>
      <c r="B343" s="15" t="s">
        <v>13</v>
      </c>
      <c r="C343" s="15">
        <v>119</v>
      </c>
    </row>
    <row r="344" spans="1:3">
      <c r="A344" s="53">
        <v>52265</v>
      </c>
      <c r="B344" s="14" t="s">
        <v>10</v>
      </c>
      <c r="C344" s="14">
        <v>99</v>
      </c>
    </row>
    <row r="345" spans="1:3">
      <c r="A345" s="54">
        <v>52295</v>
      </c>
      <c r="B345" s="15" t="s">
        <v>13</v>
      </c>
      <c r="C345" s="15">
        <v>87</v>
      </c>
    </row>
    <row r="346" spans="1:3">
      <c r="A346" s="53">
        <v>52325</v>
      </c>
      <c r="B346" s="14" t="s">
        <v>11</v>
      </c>
      <c r="C346" s="14">
        <f>IF(ISBLANK(C299), O300, C299)</f>
        <v>92</v>
      </c>
    </row>
    <row r="347" spans="1:3">
      <c r="A347" s="54">
        <v>52355</v>
      </c>
      <c r="B347" s="15" t="s">
        <v>10</v>
      </c>
      <c r="C347" s="15">
        <v>103</v>
      </c>
    </row>
    <row r="348" spans="1:3">
      <c r="A348" s="53">
        <v>52385</v>
      </c>
      <c r="B348" s="14" t="s">
        <v>12</v>
      </c>
      <c r="C348" s="14">
        <v>79</v>
      </c>
    </row>
    <row r="349" spans="1:3">
      <c r="A349" s="54">
        <v>52415</v>
      </c>
      <c r="B349" s="15" t="s">
        <v>11</v>
      </c>
      <c r="C349" s="15">
        <v>110</v>
      </c>
    </row>
    <row r="350" spans="1:3">
      <c r="A350" s="53">
        <v>52445</v>
      </c>
      <c r="B350" s="14" t="s">
        <v>10</v>
      </c>
      <c r="C350" s="14">
        <v>95</v>
      </c>
    </row>
    <row r="351" spans="1:3">
      <c r="A351" s="54">
        <v>52475</v>
      </c>
      <c r="B351" s="15" t="s">
        <v>10</v>
      </c>
      <c r="C351" s="15">
        <v>101</v>
      </c>
    </row>
    <row r="352" spans="1:3">
      <c r="A352" s="53">
        <v>52505</v>
      </c>
      <c r="B352" s="14" t="s">
        <v>13</v>
      </c>
      <c r="C352" s="14">
        <v>95</v>
      </c>
    </row>
    <row r="353" spans="1:3">
      <c r="A353" s="54">
        <v>52535</v>
      </c>
      <c r="B353" s="15" t="s">
        <v>12</v>
      </c>
      <c r="C353" s="15">
        <v>107</v>
      </c>
    </row>
    <row r="354" spans="1:3">
      <c r="A354" s="53">
        <v>52565</v>
      </c>
      <c r="B354" s="14" t="s">
        <v>11</v>
      </c>
      <c r="C354" s="14">
        <v>91</v>
      </c>
    </row>
    <row r="355" spans="1:3">
      <c r="A355" s="54">
        <v>52595</v>
      </c>
      <c r="B355" s="15" t="s">
        <v>11</v>
      </c>
      <c r="C355" s="15">
        <v>87</v>
      </c>
    </row>
    <row r="356" spans="1:3">
      <c r="A356" s="53">
        <v>52625</v>
      </c>
      <c r="B356" s="14" t="s">
        <v>13</v>
      </c>
      <c r="C356" s="14">
        <v>100</v>
      </c>
    </row>
    <row r="357" spans="1:3">
      <c r="A357" s="54">
        <v>52655</v>
      </c>
      <c r="B357" s="15" t="s">
        <v>12</v>
      </c>
      <c r="C357" s="15">
        <v>117</v>
      </c>
    </row>
    <row r="358" spans="1:3">
      <c r="A358" s="53">
        <v>52685</v>
      </c>
      <c r="B358" s="14" t="s">
        <v>11</v>
      </c>
      <c r="C358" s="14">
        <v>102</v>
      </c>
    </row>
    <row r="359" spans="1:3">
      <c r="A359" s="54">
        <v>52715</v>
      </c>
      <c r="B359" s="15" t="s">
        <v>12</v>
      </c>
      <c r="C359" s="15">
        <v>88</v>
      </c>
    </row>
    <row r="360" spans="1:3">
      <c r="A360" s="53">
        <v>52745</v>
      </c>
      <c r="B360" s="14" t="s">
        <v>11</v>
      </c>
      <c r="C360" s="14">
        <v>100</v>
      </c>
    </row>
    <row r="361" spans="1:3">
      <c r="A361" s="54">
        <v>52775</v>
      </c>
      <c r="B361" s="15" t="s">
        <v>13</v>
      </c>
      <c r="C361" s="15">
        <v>81</v>
      </c>
    </row>
    <row r="362" spans="1:3">
      <c r="A362" s="53">
        <v>52805</v>
      </c>
      <c r="B362" s="14" t="s">
        <v>14</v>
      </c>
      <c r="C362" s="14">
        <v>91</v>
      </c>
    </row>
    <row r="363" spans="1:3">
      <c r="A363" s="54">
        <v>52835</v>
      </c>
      <c r="B363" s="15" t="s">
        <v>11</v>
      </c>
      <c r="C363" s="15">
        <v>90</v>
      </c>
    </row>
    <row r="364" spans="1:3">
      <c r="A364" s="53">
        <v>52865</v>
      </c>
      <c r="B364" s="14" t="s">
        <v>10</v>
      </c>
      <c r="C364" s="14">
        <v>102</v>
      </c>
    </row>
    <row r="365" spans="1:3">
      <c r="A365" s="54">
        <v>52895</v>
      </c>
      <c r="B365" s="15" t="s">
        <v>10</v>
      </c>
      <c r="C365" s="15">
        <v>109</v>
      </c>
    </row>
    <row r="366" spans="1:3">
      <c r="A366" s="53">
        <v>52925</v>
      </c>
      <c r="B366" s="14" t="s">
        <v>14</v>
      </c>
      <c r="C366" s="14">
        <v>101</v>
      </c>
    </row>
    <row r="367" spans="1:3">
      <c r="A367" s="54">
        <v>52955</v>
      </c>
      <c r="B367" s="15" t="s">
        <v>11</v>
      </c>
      <c r="C367" s="15">
        <v>97</v>
      </c>
    </row>
    <row r="368" spans="1:3">
      <c r="A368" s="53">
        <v>52985</v>
      </c>
      <c r="B368" s="14" t="s">
        <v>10</v>
      </c>
      <c r="C368" s="14">
        <v>88</v>
      </c>
    </row>
    <row r="369" spans="1:4">
      <c r="A369" s="54">
        <v>53015</v>
      </c>
      <c r="B369" s="15" t="s">
        <v>10</v>
      </c>
      <c r="C369" s="15">
        <v>100</v>
      </c>
    </row>
    <row r="370" spans="1:4">
      <c r="A370" s="53">
        <v>53045</v>
      </c>
      <c r="B370" s="14" t="s">
        <v>11</v>
      </c>
      <c r="C370" s="14">
        <v>104</v>
      </c>
    </row>
    <row r="371" spans="1:4">
      <c r="A371" s="54">
        <v>53075</v>
      </c>
      <c r="B371" s="15" t="s">
        <v>12</v>
      </c>
      <c r="C371" s="15">
        <v>106</v>
      </c>
    </row>
    <row r="372" spans="1:4">
      <c r="A372" s="53">
        <v>53105</v>
      </c>
      <c r="B372" s="14" t="s">
        <v>11</v>
      </c>
      <c r="C372" s="14">
        <v>91</v>
      </c>
    </row>
    <row r="373" spans="1:4">
      <c r="A373" s="54">
        <v>53135</v>
      </c>
      <c r="B373" s="15" t="s">
        <v>12</v>
      </c>
      <c r="C373" s="15">
        <v>110</v>
      </c>
    </row>
    <row r="374" spans="1:4">
      <c r="A374" s="53">
        <v>53165</v>
      </c>
      <c r="B374" s="14" t="s">
        <v>14</v>
      </c>
      <c r="C374" s="14">
        <v>104</v>
      </c>
    </row>
    <row r="375" spans="1:4">
      <c r="A375" s="54">
        <v>53195</v>
      </c>
      <c r="B375" s="15" t="s">
        <v>13</v>
      </c>
      <c r="C375" s="15">
        <v>85</v>
      </c>
    </row>
    <row r="376" spans="1:4">
      <c r="A376" s="53">
        <v>53225</v>
      </c>
      <c r="B376" s="14" t="s">
        <v>14</v>
      </c>
      <c r="C376" s="14">
        <v>107</v>
      </c>
    </row>
    <row r="377" spans="1:4">
      <c r="A377" s="54">
        <v>53255</v>
      </c>
      <c r="B377" s="15" t="s">
        <v>13</v>
      </c>
      <c r="C377" s="15">
        <v>111</v>
      </c>
    </row>
    <row r="378" spans="1:4">
      <c r="A378" s="53">
        <v>53285</v>
      </c>
      <c r="B378" s="14" t="s">
        <v>10</v>
      </c>
      <c r="C378" s="14">
        <f>IF(ISBLANK(C331), O332, C331)</f>
        <v>107</v>
      </c>
    </row>
    <row r="379" spans="1:4">
      <c r="A379" s="54">
        <v>53315</v>
      </c>
      <c r="B379" s="15" t="s">
        <v>10</v>
      </c>
      <c r="C379" s="15">
        <v>94</v>
      </c>
    </row>
    <row r="380" spans="1:4">
      <c r="A380" s="53">
        <v>53345</v>
      </c>
      <c r="B380" s="14" t="s">
        <v>10</v>
      </c>
      <c r="C380" s="14">
        <v>91</v>
      </c>
      <c r="D380">
        <v>104</v>
      </c>
    </row>
    <row r="381" spans="1:4">
      <c r="A381" s="54">
        <v>53375</v>
      </c>
      <c r="B381" s="15" t="s">
        <v>12</v>
      </c>
      <c r="C381" s="15">
        <v>89</v>
      </c>
    </row>
    <row r="382" spans="1:4">
      <c r="A382" s="53">
        <v>53405</v>
      </c>
      <c r="B382" s="14" t="s">
        <v>13</v>
      </c>
      <c r="C382" s="14">
        <v>98</v>
      </c>
    </row>
    <row r="383" spans="1:4">
      <c r="A383" s="54">
        <v>53435</v>
      </c>
      <c r="B383" s="15" t="s">
        <v>10</v>
      </c>
      <c r="C383" s="15">
        <v>110</v>
      </c>
    </row>
    <row r="384" spans="1:4">
      <c r="A384" s="53">
        <v>53465</v>
      </c>
      <c r="B384" s="14" t="s">
        <v>11</v>
      </c>
      <c r="C384" s="14">
        <v>93</v>
      </c>
    </row>
    <row r="385" spans="1:3">
      <c r="A385" s="54">
        <v>53495</v>
      </c>
      <c r="B385" s="15" t="s">
        <v>13</v>
      </c>
      <c r="C385" s="15">
        <v>103</v>
      </c>
    </row>
    <row r="386" spans="1:3">
      <c r="A386" s="53">
        <v>53525</v>
      </c>
      <c r="B386" s="14" t="s">
        <v>13</v>
      </c>
      <c r="C386" s="14">
        <f>IF(ISBLANK(C339), O340, C339)</f>
        <v>100</v>
      </c>
    </row>
    <row r="387" spans="1:3">
      <c r="A387" s="54">
        <v>53555</v>
      </c>
      <c r="B387" s="15" t="s">
        <v>12</v>
      </c>
      <c r="C387" s="15">
        <v>101</v>
      </c>
    </row>
    <row r="388" spans="1:3">
      <c r="A388" s="53">
        <v>53585</v>
      </c>
      <c r="B388" s="14" t="s">
        <v>14</v>
      </c>
      <c r="C388" s="14">
        <v>94</v>
      </c>
    </row>
    <row r="389" spans="1:3">
      <c r="A389" s="54">
        <v>53615</v>
      </c>
      <c r="B389" s="15" t="s">
        <v>12</v>
      </c>
      <c r="C389" s="15">
        <v>108</v>
      </c>
    </row>
    <row r="390" spans="1:3">
      <c r="A390" s="53">
        <v>53645</v>
      </c>
      <c r="B390" s="14" t="s">
        <v>10</v>
      </c>
      <c r="C390" s="14">
        <v>113</v>
      </c>
    </row>
    <row r="391" spans="1:3">
      <c r="A391" s="54">
        <v>53675</v>
      </c>
      <c r="B391" s="15" t="s">
        <v>11</v>
      </c>
      <c r="C391" s="15">
        <v>115</v>
      </c>
    </row>
    <row r="392" spans="1:3">
      <c r="A392" s="53">
        <v>53705</v>
      </c>
      <c r="B392" s="14" t="s">
        <v>11</v>
      </c>
      <c r="C392" s="14">
        <v>98</v>
      </c>
    </row>
    <row r="393" spans="1:3">
      <c r="A393" s="54">
        <v>53735</v>
      </c>
      <c r="B393" s="15" t="s">
        <v>10</v>
      </c>
      <c r="C393" s="15">
        <v>93</v>
      </c>
    </row>
    <row r="394" spans="1:3">
      <c r="A394" s="53">
        <v>53765</v>
      </c>
      <c r="B394" s="14" t="s">
        <v>11</v>
      </c>
      <c r="C394" s="14">
        <v>104</v>
      </c>
    </row>
    <row r="395" spans="1:3">
      <c r="A395" s="54">
        <v>53795</v>
      </c>
      <c r="B395" s="15" t="s">
        <v>12</v>
      </c>
      <c r="C395" s="15">
        <v>100</v>
      </c>
    </row>
    <row r="396" spans="1:3">
      <c r="A396" s="53">
        <v>53825</v>
      </c>
      <c r="B396" s="14" t="s">
        <v>12</v>
      </c>
      <c r="C396" s="14">
        <v>89</v>
      </c>
    </row>
    <row r="397" spans="1:3">
      <c r="A397" s="54">
        <v>53855</v>
      </c>
      <c r="B397" s="15" t="s">
        <v>10</v>
      </c>
      <c r="C397" s="15">
        <v>86</v>
      </c>
    </row>
    <row r="398" spans="1:3">
      <c r="A398" s="53">
        <v>53885</v>
      </c>
      <c r="B398" s="14" t="s">
        <v>11</v>
      </c>
      <c r="C398" s="14">
        <v>93</v>
      </c>
    </row>
    <row r="399" spans="1:3">
      <c r="A399" s="54">
        <v>53915</v>
      </c>
      <c r="B399" s="15" t="s">
        <v>13</v>
      </c>
      <c r="C399" s="15">
        <v>104</v>
      </c>
    </row>
    <row r="400" spans="1:3">
      <c r="A400" s="53">
        <v>53945</v>
      </c>
      <c r="B400" s="14" t="s">
        <v>14</v>
      </c>
      <c r="C400" s="14">
        <v>91</v>
      </c>
    </row>
    <row r="401" spans="1:4">
      <c r="A401" s="54">
        <v>53975</v>
      </c>
      <c r="B401" s="15" t="s">
        <v>13</v>
      </c>
      <c r="C401" s="15">
        <v>113</v>
      </c>
    </row>
    <row r="402" spans="1:4">
      <c r="A402" s="53">
        <v>54005</v>
      </c>
      <c r="B402" s="14" t="s">
        <v>12</v>
      </c>
      <c r="C402" s="14">
        <v>103</v>
      </c>
    </row>
    <row r="403" spans="1:4">
      <c r="A403" s="54">
        <v>54035</v>
      </c>
      <c r="B403" s="15" t="s">
        <v>12</v>
      </c>
      <c r="C403" s="15">
        <v>98</v>
      </c>
    </row>
    <row r="404" spans="1:4">
      <c r="A404" s="53">
        <v>54065</v>
      </c>
      <c r="B404" s="14" t="s">
        <v>12</v>
      </c>
      <c r="C404" s="14">
        <v>100</v>
      </c>
      <c r="D404">
        <v>105</v>
      </c>
    </row>
    <row r="405" spans="1:4">
      <c r="A405" s="54">
        <v>54095</v>
      </c>
      <c r="B405" s="15" t="s">
        <v>12</v>
      </c>
      <c r="C405" s="15">
        <v>89</v>
      </c>
      <c r="D405">
        <v>100</v>
      </c>
    </row>
    <row r="406" spans="1:4">
      <c r="A406" s="53">
        <v>54125</v>
      </c>
      <c r="B406" s="14" t="s">
        <v>14</v>
      </c>
      <c r="C406" s="14">
        <v>83</v>
      </c>
    </row>
    <row r="407" spans="1:4">
      <c r="A407" s="54">
        <v>54155</v>
      </c>
      <c r="B407" s="15" t="s">
        <v>10</v>
      </c>
      <c r="C407" s="15">
        <v>92</v>
      </c>
    </row>
    <row r="408" spans="1:4">
      <c r="A408" s="53">
        <v>54185</v>
      </c>
      <c r="B408" s="14" t="s">
        <v>12</v>
      </c>
      <c r="C408" s="14">
        <f>IF(ISBLANK(C361), O362, C361)</f>
        <v>81</v>
      </c>
    </row>
    <row r="409" spans="1:4">
      <c r="A409" s="54">
        <v>54215</v>
      </c>
      <c r="B409" s="15" t="s">
        <v>11</v>
      </c>
      <c r="C409" s="15">
        <f>IF(ISBLANK(C362), O363, C362)</f>
        <v>91</v>
      </c>
    </row>
    <row r="410" spans="1:4">
      <c r="A410" s="53">
        <v>54245</v>
      </c>
      <c r="B410" s="14" t="s">
        <v>14</v>
      </c>
      <c r="C410" s="14">
        <v>102</v>
      </c>
    </row>
    <row r="411" spans="1:4">
      <c r="A411" s="54">
        <v>54275</v>
      </c>
      <c r="B411" s="15" t="s">
        <v>12</v>
      </c>
      <c r="C411" s="15">
        <v>107</v>
      </c>
    </row>
    <row r="412" spans="1:4">
      <c r="A412" s="53">
        <v>54305</v>
      </c>
      <c r="B412" s="14" t="s">
        <v>11</v>
      </c>
      <c r="C412" s="14">
        <v>103</v>
      </c>
    </row>
    <row r="413" spans="1:4">
      <c r="A413" s="54">
        <v>54335</v>
      </c>
      <c r="B413" s="15" t="s">
        <v>12</v>
      </c>
      <c r="C413" s="15">
        <v>100</v>
      </c>
    </row>
    <row r="414" spans="1:4">
      <c r="A414" s="53">
        <v>54365</v>
      </c>
      <c r="B414" s="14" t="s">
        <v>10</v>
      </c>
      <c r="C414" s="14">
        <f>IF(ISBLANK(C367), O368, C367)</f>
        <v>97</v>
      </c>
    </row>
    <row r="415" spans="1:4">
      <c r="A415" s="54">
        <v>54395</v>
      </c>
      <c r="B415" s="15" t="s">
        <v>14</v>
      </c>
      <c r="C415" s="15">
        <v>85</v>
      </c>
    </row>
    <row r="416" spans="1:4">
      <c r="A416" s="53">
        <v>54425</v>
      </c>
      <c r="B416" s="14" t="s">
        <v>10</v>
      </c>
      <c r="C416" s="14">
        <v>107</v>
      </c>
    </row>
    <row r="417" spans="1:3">
      <c r="A417" s="54">
        <v>54455</v>
      </c>
      <c r="B417" s="15" t="s">
        <v>14</v>
      </c>
      <c r="C417" s="15">
        <v>106</v>
      </c>
    </row>
    <row r="418" spans="1:3">
      <c r="A418" s="53">
        <v>54485</v>
      </c>
      <c r="B418" s="14" t="s">
        <v>12</v>
      </c>
      <c r="C418" s="14">
        <v>92</v>
      </c>
    </row>
    <row r="419" spans="1:3">
      <c r="A419" s="54">
        <v>54515</v>
      </c>
      <c r="B419" s="15" t="s">
        <v>12</v>
      </c>
      <c r="C419" s="15">
        <v>110</v>
      </c>
    </row>
    <row r="420" spans="1:3">
      <c r="A420" s="53">
        <v>54545</v>
      </c>
      <c r="B420" s="14" t="s">
        <v>14</v>
      </c>
      <c r="C420" s="14">
        <v>93</v>
      </c>
    </row>
    <row r="421" spans="1:3">
      <c r="A421" s="54">
        <v>54575</v>
      </c>
      <c r="B421" s="15" t="s">
        <v>11</v>
      </c>
      <c r="C421" s="15">
        <f>IF(ISBLANK(C374), O375, C374)</f>
        <v>104</v>
      </c>
    </row>
    <row r="422" spans="1:3">
      <c r="A422" s="53">
        <v>54605</v>
      </c>
      <c r="B422" s="14" t="s">
        <v>11</v>
      </c>
      <c r="C422" s="14">
        <v>117</v>
      </c>
    </row>
    <row r="423" spans="1:3">
      <c r="A423" s="54">
        <v>54635</v>
      </c>
      <c r="B423" s="15" t="s">
        <v>12</v>
      </c>
      <c r="C423" s="15">
        <v>122</v>
      </c>
    </row>
    <row r="424" spans="1:3">
      <c r="A424" s="53">
        <v>54665</v>
      </c>
      <c r="B424" s="14" t="s">
        <v>12</v>
      </c>
      <c r="C424" s="14">
        <v>90</v>
      </c>
    </row>
    <row r="425" spans="1:3">
      <c r="A425" s="54">
        <v>54695</v>
      </c>
      <c r="B425" s="15" t="s">
        <v>10</v>
      </c>
      <c r="C425" s="15">
        <v>113</v>
      </c>
    </row>
    <row r="426" spans="1:3">
      <c r="A426" s="53">
        <v>54725</v>
      </c>
      <c r="B426" s="14" t="s">
        <v>12</v>
      </c>
      <c r="C426" s="14">
        <v>110</v>
      </c>
    </row>
    <row r="427" spans="1:3">
      <c r="A427" s="54">
        <v>54755</v>
      </c>
      <c r="B427" s="15" t="s">
        <v>14</v>
      </c>
      <c r="C427" s="15">
        <v>106</v>
      </c>
    </row>
    <row r="428" spans="1:3">
      <c r="A428" s="53">
        <v>54785</v>
      </c>
      <c r="B428" s="14" t="s">
        <v>11</v>
      </c>
      <c r="C428" s="14">
        <v>92</v>
      </c>
    </row>
    <row r="429" spans="1:3">
      <c r="A429" s="54">
        <v>54815</v>
      </c>
      <c r="B429" s="15" t="s">
        <v>11</v>
      </c>
      <c r="C429" s="15">
        <v>121</v>
      </c>
    </row>
    <row r="430" spans="1:3">
      <c r="A430" s="53">
        <v>54845</v>
      </c>
      <c r="B430" s="14" t="s">
        <v>10</v>
      </c>
      <c r="C430" s="14">
        <v>89</v>
      </c>
    </row>
    <row r="431" spans="1:3">
      <c r="A431" s="54">
        <v>54875</v>
      </c>
      <c r="B431" s="15" t="s">
        <v>11</v>
      </c>
      <c r="C431" s="15">
        <v>117</v>
      </c>
    </row>
    <row r="432" spans="1:3">
      <c r="A432" s="53">
        <v>54905</v>
      </c>
      <c r="B432" s="14" t="s">
        <v>11</v>
      </c>
      <c r="C432" s="14">
        <v>106</v>
      </c>
    </row>
    <row r="433" spans="1:3">
      <c r="A433" s="54">
        <v>54935</v>
      </c>
      <c r="B433" s="15" t="s">
        <v>13</v>
      </c>
      <c r="C433" s="15">
        <v>121</v>
      </c>
    </row>
    <row r="434" spans="1:3">
      <c r="A434" s="53">
        <v>54965</v>
      </c>
      <c r="B434" s="14" t="s">
        <v>14</v>
      </c>
      <c r="C434" s="14">
        <v>95</v>
      </c>
    </row>
    <row r="435" spans="1:3">
      <c r="A435" s="54">
        <v>54995</v>
      </c>
      <c r="B435" s="15" t="s">
        <v>13</v>
      </c>
      <c r="C435" s="15">
        <v>91</v>
      </c>
    </row>
    <row r="436" spans="1:3">
      <c r="A436" s="53">
        <v>55025</v>
      </c>
      <c r="B436" s="14" t="s">
        <v>11</v>
      </c>
      <c r="C436" s="14">
        <v>82</v>
      </c>
    </row>
    <row r="437" spans="1:3">
      <c r="A437" s="54">
        <v>55055</v>
      </c>
      <c r="B437" s="15" t="s">
        <v>10</v>
      </c>
      <c r="C437" s="15">
        <v>100</v>
      </c>
    </row>
    <row r="438" spans="1:3">
      <c r="A438" s="53">
        <v>55085</v>
      </c>
      <c r="B438" s="14" t="s">
        <v>10</v>
      </c>
      <c r="C438" s="14">
        <v>81</v>
      </c>
    </row>
    <row r="439" spans="1:3">
      <c r="A439" s="54">
        <v>55115</v>
      </c>
      <c r="B439" s="15" t="s">
        <v>11</v>
      </c>
      <c r="C439" s="15">
        <v>101</v>
      </c>
    </row>
    <row r="440" spans="1:3">
      <c r="A440" s="53">
        <v>55145</v>
      </c>
      <c r="B440" s="14" t="s">
        <v>12</v>
      </c>
      <c r="C440" s="14">
        <v>95</v>
      </c>
    </row>
    <row r="441" spans="1:3">
      <c r="A441" s="54">
        <v>55175</v>
      </c>
      <c r="B441" s="15" t="s">
        <v>13</v>
      </c>
      <c r="C441" s="15">
        <v>114</v>
      </c>
    </row>
    <row r="442" spans="1:3">
      <c r="A442" s="53">
        <v>55205</v>
      </c>
      <c r="B442" s="14" t="s">
        <v>11</v>
      </c>
      <c r="C442" s="14">
        <v>92</v>
      </c>
    </row>
    <row r="443" spans="1:3">
      <c r="A443" s="54">
        <v>55235</v>
      </c>
      <c r="B443" s="15" t="s">
        <v>10</v>
      </c>
      <c r="C443" s="15">
        <v>113</v>
      </c>
    </row>
    <row r="444" spans="1:3">
      <c r="A444" s="53">
        <v>55265</v>
      </c>
      <c r="B444" s="14" t="s">
        <v>10</v>
      </c>
      <c r="C444" s="14">
        <v>113</v>
      </c>
    </row>
    <row r="445" spans="1:3">
      <c r="A445" s="54">
        <v>55295</v>
      </c>
      <c r="B445" s="15" t="s">
        <v>13</v>
      </c>
      <c r="C445" s="15">
        <v>120</v>
      </c>
    </row>
    <row r="446" spans="1:3">
      <c r="A446" s="53">
        <v>55325</v>
      </c>
      <c r="B446" s="14" t="s">
        <v>14</v>
      </c>
      <c r="C446" s="14">
        <v>108</v>
      </c>
    </row>
    <row r="447" spans="1:3">
      <c r="A447" s="54">
        <v>55355</v>
      </c>
      <c r="B447" s="15" t="s">
        <v>11</v>
      </c>
      <c r="C447" s="15">
        <v>99</v>
      </c>
    </row>
    <row r="448" spans="1:3">
      <c r="A448" s="53">
        <v>55385</v>
      </c>
      <c r="B448" s="14" t="s">
        <v>11</v>
      </c>
      <c r="C448" s="14">
        <v>108</v>
      </c>
    </row>
    <row r="449" spans="1:3">
      <c r="A449" s="54">
        <v>55415</v>
      </c>
      <c r="B449" s="15" t="s">
        <v>14</v>
      </c>
      <c r="C449" s="15">
        <v>98</v>
      </c>
    </row>
    <row r="450" spans="1:3">
      <c r="A450" s="53">
        <v>55445</v>
      </c>
      <c r="B450" s="14" t="s">
        <v>13</v>
      </c>
      <c r="C450" s="14">
        <v>92</v>
      </c>
    </row>
    <row r="451" spans="1:3">
      <c r="A451" s="54">
        <v>55475</v>
      </c>
      <c r="B451" s="15" t="s">
        <v>13</v>
      </c>
      <c r="C451" s="15">
        <v>96</v>
      </c>
    </row>
    <row r="452" spans="1:3">
      <c r="A452" s="53">
        <v>55505</v>
      </c>
      <c r="B452" s="14" t="s">
        <v>10</v>
      </c>
      <c r="C452" s="14">
        <v>94</v>
      </c>
    </row>
    <row r="453" spans="1:3">
      <c r="A453" s="54">
        <v>55535</v>
      </c>
      <c r="B453" s="15" t="s">
        <v>14</v>
      </c>
      <c r="C453" s="15">
        <v>75</v>
      </c>
    </row>
    <row r="454" spans="1:3">
      <c r="A454" s="53">
        <v>55565</v>
      </c>
      <c r="B454" s="14" t="s">
        <v>13</v>
      </c>
      <c r="C454" s="14">
        <v>97</v>
      </c>
    </row>
    <row r="455" spans="1:3">
      <c r="A455" s="54">
        <v>55595</v>
      </c>
      <c r="B455" s="15" t="s">
        <v>12</v>
      </c>
      <c r="C455" s="15">
        <v>100</v>
      </c>
    </row>
    <row r="456" spans="1:3">
      <c r="A456" s="53">
        <v>55625</v>
      </c>
      <c r="B456" s="14" t="s">
        <v>11</v>
      </c>
      <c r="C456" s="14">
        <v>98</v>
      </c>
    </row>
    <row r="457" spans="1:3">
      <c r="A457" s="54">
        <v>55655</v>
      </c>
      <c r="B457" s="15" t="s">
        <v>10</v>
      </c>
      <c r="C457" s="15">
        <v>121</v>
      </c>
    </row>
    <row r="458" spans="1:3">
      <c r="A458" s="53">
        <v>55685</v>
      </c>
      <c r="B458" s="14" t="s">
        <v>14</v>
      </c>
      <c r="C458" s="14">
        <v>103</v>
      </c>
    </row>
    <row r="459" spans="1:3">
      <c r="A459" s="54">
        <v>55715</v>
      </c>
      <c r="B459" s="15" t="s">
        <v>10</v>
      </c>
      <c r="C459" s="15">
        <v>121</v>
      </c>
    </row>
    <row r="460" spans="1:3">
      <c r="A460" s="53">
        <v>55745</v>
      </c>
      <c r="B460" s="14" t="s">
        <v>13</v>
      </c>
      <c r="C460" s="14">
        <v>103</v>
      </c>
    </row>
    <row r="461" spans="1:3">
      <c r="A461" s="54">
        <v>55775</v>
      </c>
      <c r="B461" s="15" t="s">
        <v>13</v>
      </c>
      <c r="C461" s="15">
        <v>91</v>
      </c>
    </row>
    <row r="462" spans="1:3">
      <c r="A462" s="53">
        <v>55805</v>
      </c>
      <c r="B462" s="14" t="s">
        <v>12</v>
      </c>
      <c r="C462" s="14">
        <v>91</v>
      </c>
    </row>
    <row r="463" spans="1:3">
      <c r="A463" s="54">
        <v>55835</v>
      </c>
      <c r="B463" s="15" t="s">
        <v>11</v>
      </c>
      <c r="C463" s="15">
        <f>IF(ISBLANK(C416), O417, C416)</f>
        <v>107</v>
      </c>
    </row>
    <row r="464" spans="1:3">
      <c r="A464" s="53">
        <v>55865</v>
      </c>
      <c r="B464" s="14" t="s">
        <v>14</v>
      </c>
      <c r="C464" s="14">
        <v>97</v>
      </c>
    </row>
    <row r="465" spans="1:3">
      <c r="A465" s="54">
        <v>55895</v>
      </c>
      <c r="B465" s="15" t="s">
        <v>10</v>
      </c>
      <c r="C465" s="15">
        <v>106</v>
      </c>
    </row>
    <row r="466" spans="1:3">
      <c r="A466" s="53">
        <v>55925</v>
      </c>
      <c r="B466" s="14" t="s">
        <v>11</v>
      </c>
      <c r="C466" s="14">
        <v>110</v>
      </c>
    </row>
    <row r="467" spans="1:3">
      <c r="A467" s="54">
        <v>55955</v>
      </c>
      <c r="B467" s="15" t="s">
        <v>13</v>
      </c>
      <c r="C467" s="15">
        <v>91</v>
      </c>
    </row>
    <row r="468" spans="1:3">
      <c r="A468" s="53">
        <v>55985</v>
      </c>
      <c r="B468" s="14" t="s">
        <v>11</v>
      </c>
      <c r="C468" s="14">
        <v>103</v>
      </c>
    </row>
    <row r="469" spans="1:3">
      <c r="A469" s="54">
        <v>56015</v>
      </c>
      <c r="B469" s="15" t="s">
        <v>10</v>
      </c>
      <c r="C469" s="15">
        <v>84</v>
      </c>
    </row>
    <row r="470" spans="1:3">
      <c r="A470" s="53">
        <v>56045</v>
      </c>
      <c r="B470" s="14" t="s">
        <v>11</v>
      </c>
      <c r="C470" s="14">
        <v>93</v>
      </c>
    </row>
    <row r="471" spans="1:3">
      <c r="A471" s="54">
        <v>56075</v>
      </c>
      <c r="B471" s="15" t="s">
        <v>13</v>
      </c>
      <c r="C471" s="15">
        <v>113</v>
      </c>
    </row>
    <row r="472" spans="1:3">
      <c r="A472" s="53">
        <v>56105</v>
      </c>
      <c r="B472" s="14" t="s">
        <v>11</v>
      </c>
      <c r="C472" s="14">
        <v>105</v>
      </c>
    </row>
    <row r="473" spans="1:3">
      <c r="A473" s="54">
        <v>56135</v>
      </c>
      <c r="B473" s="15" t="s">
        <v>14</v>
      </c>
      <c r="C473" s="15">
        <v>83</v>
      </c>
    </row>
    <row r="474" spans="1:3">
      <c r="A474" s="53">
        <v>56165</v>
      </c>
      <c r="B474" s="14" t="s">
        <v>11</v>
      </c>
      <c r="C474" s="14">
        <v>96</v>
      </c>
    </row>
    <row r="475" spans="1:3">
      <c r="A475" s="54">
        <v>56195</v>
      </c>
      <c r="B475" s="15" t="s">
        <v>14</v>
      </c>
      <c r="C475" s="15">
        <v>107</v>
      </c>
    </row>
    <row r="476" spans="1:3">
      <c r="A476" s="53">
        <v>56225</v>
      </c>
      <c r="B476" s="14" t="s">
        <v>11</v>
      </c>
      <c r="C476" s="14">
        <v>83</v>
      </c>
    </row>
    <row r="477" spans="1:3">
      <c r="A477" s="54">
        <v>56255</v>
      </c>
      <c r="B477" s="15" t="s">
        <v>13</v>
      </c>
      <c r="C477" s="15">
        <v>105</v>
      </c>
    </row>
    <row r="478" spans="1:3">
      <c r="A478" s="53">
        <v>56285</v>
      </c>
      <c r="B478" s="14" t="s">
        <v>12</v>
      </c>
      <c r="C478" s="14">
        <v>112</v>
      </c>
    </row>
    <row r="479" spans="1:3">
      <c r="A479" s="54">
        <v>56315</v>
      </c>
      <c r="B479" s="15" t="s">
        <v>12</v>
      </c>
      <c r="C479" s="15">
        <v>99</v>
      </c>
    </row>
    <row r="480" spans="1:3">
      <c r="A480" s="53">
        <v>56345</v>
      </c>
      <c r="B480" s="14" t="s">
        <v>14</v>
      </c>
      <c r="C480" s="14">
        <v>111</v>
      </c>
    </row>
    <row r="481" spans="1:3">
      <c r="A481" s="54">
        <v>56375</v>
      </c>
      <c r="B481" s="15" t="s">
        <v>14</v>
      </c>
      <c r="C481" s="15">
        <v>105</v>
      </c>
    </row>
    <row r="482" spans="1:3">
      <c r="A482" s="53">
        <v>56405</v>
      </c>
      <c r="B482" s="14" t="s">
        <v>12</v>
      </c>
      <c r="C482" s="14">
        <v>93</v>
      </c>
    </row>
    <row r="483" spans="1:3">
      <c r="A483" s="54">
        <v>56435</v>
      </c>
      <c r="B483" s="15" t="s">
        <v>13</v>
      </c>
      <c r="C483" s="15">
        <v>109</v>
      </c>
    </row>
    <row r="484" spans="1:3">
      <c r="A484" s="53">
        <v>56465</v>
      </c>
      <c r="B484" s="14" t="s">
        <v>13</v>
      </c>
      <c r="C484" s="14">
        <v>106</v>
      </c>
    </row>
    <row r="485" spans="1:3">
      <c r="A485" s="54">
        <v>56495</v>
      </c>
      <c r="B485" s="15" t="s">
        <v>11</v>
      </c>
      <c r="C485" s="15">
        <v>106</v>
      </c>
    </row>
    <row r="486" spans="1:3">
      <c r="A486" s="53">
        <v>56525</v>
      </c>
      <c r="B486" s="14" t="s">
        <v>14</v>
      </c>
      <c r="C486" s="14">
        <v>103</v>
      </c>
    </row>
    <row r="487" spans="1:3">
      <c r="A487" s="54">
        <v>56555</v>
      </c>
      <c r="B487" s="15" t="s">
        <v>13</v>
      </c>
      <c r="C487" s="15">
        <v>113</v>
      </c>
    </row>
    <row r="488" spans="1:3">
      <c r="A488" s="53">
        <v>56585</v>
      </c>
      <c r="B488" s="14" t="s">
        <v>10</v>
      </c>
      <c r="C488" s="14">
        <v>111</v>
      </c>
    </row>
    <row r="489" spans="1:3">
      <c r="A489" s="54">
        <v>56615</v>
      </c>
      <c r="B489" s="15" t="s">
        <v>11</v>
      </c>
      <c r="C489" s="15">
        <f>IF(ISBLANK(C442), O443, C442)</f>
        <v>92</v>
      </c>
    </row>
    <row r="490" spans="1:3">
      <c r="A490" s="53">
        <v>56645</v>
      </c>
      <c r="B490" s="14" t="s">
        <v>11</v>
      </c>
      <c r="C490" s="14">
        <v>89</v>
      </c>
    </row>
    <row r="491" spans="1:3">
      <c r="A491" s="54">
        <v>56675</v>
      </c>
      <c r="B491" s="15" t="s">
        <v>12</v>
      </c>
      <c r="C491" s="15">
        <v>111</v>
      </c>
    </row>
    <row r="492" spans="1:3">
      <c r="A492" s="53">
        <v>56705</v>
      </c>
      <c r="B492" s="14" t="s">
        <v>14</v>
      </c>
      <c r="C492" s="14">
        <v>104</v>
      </c>
    </row>
    <row r="493" spans="1:3">
      <c r="A493" s="54">
        <v>56735</v>
      </c>
      <c r="B493" s="15" t="s">
        <v>13</v>
      </c>
      <c r="C493" s="15">
        <f>IF(ISBLANK(C446), O447, C446)</f>
        <v>108</v>
      </c>
    </row>
    <row r="494" spans="1:3">
      <c r="A494" s="53">
        <v>56765</v>
      </c>
      <c r="B494" s="14" t="s">
        <v>13</v>
      </c>
      <c r="C494" s="14">
        <v>109</v>
      </c>
    </row>
    <row r="495" spans="1:3">
      <c r="A495" s="54">
        <v>56795</v>
      </c>
      <c r="B495" s="15" t="s">
        <v>11</v>
      </c>
      <c r="C495" s="15">
        <v>108</v>
      </c>
    </row>
    <row r="496" spans="1:3">
      <c r="A496" s="53">
        <v>56825</v>
      </c>
      <c r="B496" s="14" t="s">
        <v>14</v>
      </c>
      <c r="C496" s="14">
        <v>127</v>
      </c>
    </row>
    <row r="497" spans="1:4">
      <c r="A497" s="54">
        <v>56855</v>
      </c>
      <c r="B497" s="15" t="s">
        <v>14</v>
      </c>
      <c r="C497" s="15">
        <v>104</v>
      </c>
    </row>
    <row r="498" spans="1:4">
      <c r="A498" s="53">
        <v>56885</v>
      </c>
      <c r="B498" s="14" t="s">
        <v>14</v>
      </c>
      <c r="C498" s="14">
        <v>106</v>
      </c>
      <c r="D498">
        <v>113</v>
      </c>
    </row>
    <row r="499" spans="1:4">
      <c r="A499" s="54">
        <v>56915</v>
      </c>
      <c r="B499" s="15" t="s">
        <v>12</v>
      </c>
      <c r="C499" s="15">
        <v>94</v>
      </c>
    </row>
    <row r="500" spans="1:4">
      <c r="A500" s="53">
        <v>56945</v>
      </c>
      <c r="B500" s="14" t="s">
        <v>13</v>
      </c>
      <c r="C500" s="14">
        <v>81</v>
      </c>
    </row>
    <row r="501" spans="1:4">
      <c r="A501" s="54">
        <v>56975</v>
      </c>
      <c r="B501" s="15" t="s">
        <v>14</v>
      </c>
      <c r="C501" s="15">
        <v>95</v>
      </c>
    </row>
  </sheetData>
  <conditionalFormatting sqref="A1:A501">
    <cfRule type="containsBlanks" dxfId="65" priority="5">
      <formula>LEN(TRIM(A1))=0</formula>
    </cfRule>
  </conditionalFormatting>
  <conditionalFormatting sqref="B1:B501">
    <cfRule type="containsBlanks" dxfId="64" priority="4">
      <formula>LEN(TRIM(B1))=0</formula>
    </cfRule>
  </conditionalFormatting>
  <conditionalFormatting sqref="C1:C501">
    <cfRule type="cellIs" dxfId="63" priority="2" operator="greaterThan">
      <formula>127</formula>
    </cfRule>
    <cfRule type="containsBlanks" dxfId="62" priority="3">
      <formula>LEN(TRIM(C1))=0</formula>
    </cfRule>
  </conditionalFormatting>
  <conditionalFormatting sqref="C2:C501">
    <cfRule type="cellIs" dxfId="61" priority="1" operator="notBetween">
      <formula>75</formula>
      <formula>127</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0353" r:id="rId4" name="Button 1">
              <controlPr defaultSize="0" print="0" autoFill="0" autoPict="0" macro="[0]!Module1.ForecastDemandMovingAverage">
                <anchor moveWithCells="1" sizeWithCells="1">
                  <from>
                    <xdr:col>5</xdr:col>
                    <xdr:colOff>15240</xdr:colOff>
                    <xdr:row>1</xdr:row>
                    <xdr:rowOff>15240</xdr:rowOff>
                  </from>
                  <to>
                    <xdr:col>7</xdr:col>
                    <xdr:colOff>7620</xdr:colOff>
                    <xdr:row>2</xdr:row>
                    <xdr:rowOff>167640</xdr:rowOff>
                  </to>
                </anchor>
              </controlPr>
            </control>
          </mc:Choice>
        </mc:AlternateContent>
        <mc:AlternateContent xmlns:mc="http://schemas.openxmlformats.org/markup-compatibility/2006">
          <mc:Choice Requires="x14">
            <control shapeId="100354" r:id="rId5" name="Button 2">
              <controlPr defaultSize="0" print="0" autoFill="0" autoPict="0" macro="[0]!RefreshAll">
                <anchor moveWithCells="1" sizeWithCells="1">
                  <from>
                    <xdr:col>5</xdr:col>
                    <xdr:colOff>388620</xdr:colOff>
                    <xdr:row>6</xdr:row>
                    <xdr:rowOff>144780</xdr:rowOff>
                  </from>
                  <to>
                    <xdr:col>8</xdr:col>
                    <xdr:colOff>22860</xdr:colOff>
                    <xdr:row>9</xdr:row>
                    <xdr:rowOff>7620</xdr:rowOff>
                  </to>
                </anchor>
              </controlPr>
            </control>
          </mc:Choice>
        </mc:AlternateContent>
      </controls>
    </mc:Choice>
  </mc:AlternateContent>
  <tableParts count="1">
    <tablePart r:id="rId6"/>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AB8ED-420D-4AB2-9ACE-3DD76A430DF4}">
  <sheetPr codeName="Sheet75"/>
  <dimension ref="A1:J501"/>
  <sheetViews>
    <sheetView workbookViewId="0">
      <selection activeCell="C3" sqref="C3"/>
    </sheetView>
  </sheetViews>
  <sheetFormatPr defaultRowHeight="14.4"/>
  <cols>
    <col min="1" max="1" width="10.33203125" bestFit="1" customWidth="1"/>
    <col min="2" max="3" width="14.109375" customWidth="1"/>
    <col min="6" max="6" width="12.21875" bestFit="1" customWidth="1"/>
    <col min="10" max="10" width="19.109375" bestFit="1" customWidth="1"/>
  </cols>
  <sheetData>
    <row r="1" spans="1:10">
      <c r="A1" s="16" t="s">
        <v>0</v>
      </c>
      <c r="B1" s="16" t="s">
        <v>1</v>
      </c>
      <c r="C1" s="16" t="s">
        <v>112</v>
      </c>
      <c r="D1" s="16" t="s">
        <v>167</v>
      </c>
      <c r="E1" t="s">
        <v>113</v>
      </c>
      <c r="F1" s="137" t="s">
        <v>2</v>
      </c>
      <c r="G1" s="137" t="s">
        <v>342</v>
      </c>
      <c r="H1" s="137" t="s">
        <v>384</v>
      </c>
      <c r="I1" s="137" t="s">
        <v>385</v>
      </c>
      <c r="J1" s="137" t="s">
        <v>386</v>
      </c>
    </row>
    <row r="2" spans="1:10">
      <c r="A2" s="53">
        <v>42005</v>
      </c>
      <c r="B2" s="14" t="s">
        <v>10</v>
      </c>
      <c r="C2" s="14" t="str">
        <f>TEXT(A2,"mmmm")</f>
        <v>January</v>
      </c>
      <c r="D2" s="14" t="str">
        <f>CHOOSE(MATCH(MONTH(A2), {1,4,7,10}), "Winter", "Spring", "Summer", "Autumn")</f>
        <v>Winter</v>
      </c>
      <c r="E2">
        <f>YEAR(A2)</f>
        <v>2015</v>
      </c>
      <c r="F2">
        <v>96</v>
      </c>
      <c r="G2">
        <f ca="1">CHOOSE(RANDBETWEEN(1,12), 121,133,65,78,150,189,89,157,100,172,97,130)</f>
        <v>78</v>
      </c>
      <c r="H2">
        <f t="shared" ref="H2:H65" ca="1" si="0">CHOOSE(RANDBETWEEN(1,12), 129,63,79,105,117,129,56,48,117,109,68,118)</f>
        <v>48</v>
      </c>
      <c r="I2" s="81">
        <f ca="1">(Table17[[#This Row],[Current_Month_Sales]]-Table17[[#This Row],[Previous Month Sales]])/Table17[[#This Row],[Previous Month Sales]]</f>
        <v>0.625</v>
      </c>
      <c r="J2" t="str">
        <f ca="1">IF(ABS(Table17[[#This Row],[%Change]]) &gt; 0.3, "Alert: Preference Shift", "")</f>
        <v>Alert: Preference Shift</v>
      </c>
    </row>
    <row r="3" spans="1:10">
      <c r="A3" s="54">
        <v>42035</v>
      </c>
      <c r="B3" s="15" t="s">
        <v>10</v>
      </c>
      <c r="C3" s="14" t="str">
        <f t="shared" ref="C3:C66" si="1">TEXT(A3,"mmmm")</f>
        <v>January</v>
      </c>
      <c r="D3" s="15" t="str">
        <f>CHOOSE(MATCH(MONTH(A3), {1,4,7,10}), "Winter", "Spring", "Summer", "Autumn")</f>
        <v>Winter</v>
      </c>
      <c r="E3">
        <f t="shared" ref="E3:E66" si="2">YEAR(A3)</f>
        <v>2015</v>
      </c>
      <c r="F3">
        <v>107</v>
      </c>
      <c r="G3">
        <f t="shared" ref="G3:G65" ca="1" si="3">CHOOSE(RANDBETWEEN(1,12), 121,133,65,78,150,189,89,157,100,172,97,130)</f>
        <v>65</v>
      </c>
      <c r="H3">
        <f t="shared" ca="1" si="0"/>
        <v>56</v>
      </c>
      <c r="I3" s="81">
        <f ca="1">(Table17[[#This Row],[Current_Month_Sales]]-Table17[[#This Row],[Previous Month Sales]])/Table17[[#This Row],[Previous Month Sales]]</f>
        <v>0.16071428571428573</v>
      </c>
      <c r="J3" t="str">
        <f ca="1">IF(ABS(Table17[[#This Row],[%Change]]) &gt; 0.3, "Alert: Preference Shift", "")</f>
        <v/>
      </c>
    </row>
    <row r="4" spans="1:10">
      <c r="A4" s="53">
        <v>42065</v>
      </c>
      <c r="B4" s="14" t="s">
        <v>11</v>
      </c>
      <c r="C4" s="14" t="str">
        <f t="shared" si="1"/>
        <v>March</v>
      </c>
      <c r="D4" s="14" t="str">
        <f>CHOOSE(MATCH(MONTH(A4), {1,4,7,10}), "Winter", "Spring", "Summer", "Autumn")</f>
        <v>Winter</v>
      </c>
      <c r="E4">
        <f t="shared" si="2"/>
        <v>2015</v>
      </c>
      <c r="F4">
        <v>88</v>
      </c>
      <c r="G4">
        <f t="shared" ca="1" si="3"/>
        <v>97</v>
      </c>
      <c r="H4">
        <f t="shared" ca="1" si="0"/>
        <v>129</v>
      </c>
      <c r="I4" s="81">
        <f ca="1">(Table17[[#This Row],[Current_Month_Sales]]-Table17[[#This Row],[Previous Month Sales]])/Table17[[#This Row],[Previous Month Sales]]</f>
        <v>-0.24806201550387597</v>
      </c>
      <c r="J4" t="str">
        <f ca="1">IF(ABS(Table17[[#This Row],[%Change]]) &gt; 0.3, "Alert: Preference Shift", "")</f>
        <v/>
      </c>
    </row>
    <row r="5" spans="1:10">
      <c r="A5" s="54">
        <v>42095</v>
      </c>
      <c r="B5" s="15" t="s">
        <v>12</v>
      </c>
      <c r="C5" s="14" t="str">
        <f t="shared" si="1"/>
        <v>April</v>
      </c>
      <c r="D5" s="15" t="str">
        <f>CHOOSE(MATCH(MONTH(A5), {1,4,7,10}), "Winter", "Spring", "Summer", "Autumn")</f>
        <v>Spring</v>
      </c>
      <c r="E5">
        <f t="shared" si="2"/>
        <v>2015</v>
      </c>
      <c r="F5">
        <v>103</v>
      </c>
      <c r="G5">
        <f t="shared" ca="1" si="3"/>
        <v>150</v>
      </c>
      <c r="H5">
        <f t="shared" ca="1" si="0"/>
        <v>68</v>
      </c>
      <c r="I5" s="81">
        <f ca="1">(Table17[[#This Row],[Current_Month_Sales]]-Table17[[#This Row],[Previous Month Sales]])/Table17[[#This Row],[Previous Month Sales]]</f>
        <v>1.2058823529411764</v>
      </c>
      <c r="J5" t="str">
        <f ca="1">IF(ABS(Table17[[#This Row],[%Change]]) &gt; 0.3, "Alert: Preference Shift", "")</f>
        <v>Alert: Preference Shift</v>
      </c>
    </row>
    <row r="6" spans="1:10">
      <c r="A6" s="53">
        <v>42125</v>
      </c>
      <c r="B6" s="14" t="s">
        <v>12</v>
      </c>
      <c r="C6" s="14" t="str">
        <f t="shared" si="1"/>
        <v>May</v>
      </c>
      <c r="D6" s="14" t="str">
        <f>CHOOSE(MATCH(MONTH(A6), {1,4,7,10}), "Winter", "Spring", "Summer", "Autumn")</f>
        <v>Spring</v>
      </c>
      <c r="E6">
        <f t="shared" si="2"/>
        <v>2015</v>
      </c>
      <c r="F6">
        <v>111</v>
      </c>
      <c r="G6">
        <f t="shared" ca="1" si="3"/>
        <v>78</v>
      </c>
      <c r="H6">
        <f t="shared" ca="1" si="0"/>
        <v>56</v>
      </c>
      <c r="I6" s="81">
        <f ca="1">(Table17[[#This Row],[Current_Month_Sales]]-Table17[[#This Row],[Previous Month Sales]])/Table17[[#This Row],[Previous Month Sales]]</f>
        <v>0.39285714285714285</v>
      </c>
      <c r="J6" t="str">
        <f ca="1">IF(ABS(Table17[[#This Row],[%Change]]) &gt; 0.3, "Alert: Preference Shift", "")</f>
        <v>Alert: Preference Shift</v>
      </c>
    </row>
    <row r="7" spans="1:10">
      <c r="A7" s="54">
        <v>42155</v>
      </c>
      <c r="B7" s="15" t="s">
        <v>12</v>
      </c>
      <c r="C7" s="14" t="str">
        <f t="shared" si="1"/>
        <v>May</v>
      </c>
      <c r="D7" s="15" t="str">
        <f>CHOOSE(MATCH(MONTH(A7), {1,4,7,10}), "Winter", "Spring", "Summer", "Autumn")</f>
        <v>Spring</v>
      </c>
      <c r="E7">
        <f t="shared" si="2"/>
        <v>2015</v>
      </c>
      <c r="F7">
        <v>90</v>
      </c>
      <c r="G7">
        <f t="shared" ca="1" si="3"/>
        <v>157</v>
      </c>
      <c r="H7">
        <f t="shared" ca="1" si="0"/>
        <v>68</v>
      </c>
      <c r="I7" s="81">
        <f ca="1">(Table17[[#This Row],[Current_Month_Sales]]-Table17[[#This Row],[Previous Month Sales]])/Table17[[#This Row],[Previous Month Sales]]</f>
        <v>1.3088235294117647</v>
      </c>
      <c r="J7" t="str">
        <f ca="1">IF(ABS(Table17[[#This Row],[%Change]]) &gt; 0.3, "Alert: Preference Shift", "")</f>
        <v>Alert: Preference Shift</v>
      </c>
    </row>
    <row r="8" spans="1:10">
      <c r="A8" s="53">
        <v>42185</v>
      </c>
      <c r="B8" s="14" t="s">
        <v>10</v>
      </c>
      <c r="C8" s="14" t="str">
        <f t="shared" si="1"/>
        <v>June</v>
      </c>
      <c r="D8" s="14" t="str">
        <f>CHOOSE(MATCH(MONTH(A8), {1,4,7,10}), "Winter", "Spring", "Summer", "Autumn")</f>
        <v>Spring</v>
      </c>
      <c r="E8">
        <f t="shared" si="2"/>
        <v>2015</v>
      </c>
      <c r="F8">
        <v>94</v>
      </c>
      <c r="G8">
        <f t="shared" ca="1" si="3"/>
        <v>89</v>
      </c>
      <c r="H8">
        <f t="shared" ca="1" si="0"/>
        <v>48</v>
      </c>
      <c r="I8" s="81">
        <f ca="1">(Table17[[#This Row],[Current_Month_Sales]]-Table17[[#This Row],[Previous Month Sales]])/Table17[[#This Row],[Previous Month Sales]]</f>
        <v>0.85416666666666663</v>
      </c>
      <c r="J8" t="str">
        <f ca="1">IF(ABS(Table17[[#This Row],[%Change]]) &gt; 0.3, "Alert: Preference Shift", "")</f>
        <v>Alert: Preference Shift</v>
      </c>
    </row>
    <row r="9" spans="1:10">
      <c r="A9" s="54">
        <v>42215</v>
      </c>
      <c r="B9" s="15" t="s">
        <v>13</v>
      </c>
      <c r="C9" s="14" t="str">
        <f t="shared" si="1"/>
        <v>July</v>
      </c>
      <c r="D9" s="15" t="str">
        <f>CHOOSE(MATCH(MONTH(A9), {1,4,7,10}), "Winter", "Spring", "Summer", "Autumn")</f>
        <v>Summer</v>
      </c>
      <c r="E9">
        <f t="shared" si="2"/>
        <v>2015</v>
      </c>
      <c r="F9">
        <v>98</v>
      </c>
      <c r="G9">
        <f t="shared" ca="1" si="3"/>
        <v>121</v>
      </c>
      <c r="H9">
        <f t="shared" ca="1" si="0"/>
        <v>117</v>
      </c>
      <c r="I9" s="81">
        <f ca="1">(Table17[[#This Row],[Current_Month_Sales]]-Table17[[#This Row],[Previous Month Sales]])/Table17[[#This Row],[Previous Month Sales]]</f>
        <v>3.4188034188034191E-2</v>
      </c>
      <c r="J9" t="str">
        <f ca="1">IF(ABS(Table17[[#This Row],[%Change]]) &gt; 0.3, "Alert: Preference Shift", "")</f>
        <v/>
      </c>
    </row>
    <row r="10" spans="1:10">
      <c r="A10" s="53">
        <v>42245</v>
      </c>
      <c r="B10" s="14" t="s">
        <v>10</v>
      </c>
      <c r="C10" s="14" t="str">
        <f t="shared" si="1"/>
        <v>August</v>
      </c>
      <c r="D10" s="14" t="str">
        <f>CHOOSE(MATCH(MONTH(A10), {1,4,7,10}), "Winter", "Spring", "Summer", "Autumn")</f>
        <v>Summer</v>
      </c>
      <c r="E10">
        <f t="shared" si="2"/>
        <v>2015</v>
      </c>
      <c r="F10">
        <v>103</v>
      </c>
      <c r="G10">
        <f t="shared" ca="1" si="3"/>
        <v>100</v>
      </c>
      <c r="H10">
        <f t="shared" ca="1" si="0"/>
        <v>117</v>
      </c>
      <c r="I10" s="81">
        <f ca="1">(Table17[[#This Row],[Current_Month_Sales]]-Table17[[#This Row],[Previous Month Sales]])/Table17[[#This Row],[Previous Month Sales]]</f>
        <v>-0.14529914529914531</v>
      </c>
      <c r="J10" t="str">
        <f ca="1">IF(ABS(Table17[[#This Row],[%Change]]) &gt; 0.3, "Alert: Preference Shift", "")</f>
        <v/>
      </c>
    </row>
    <row r="11" spans="1:10">
      <c r="A11" s="54">
        <v>42275</v>
      </c>
      <c r="B11" s="15" t="s">
        <v>13</v>
      </c>
      <c r="C11" s="14" t="str">
        <f t="shared" si="1"/>
        <v>September</v>
      </c>
      <c r="D11" s="15" t="str">
        <f>CHOOSE(MATCH(MONTH(A11), {1,4,7,10}), "Winter", "Spring", "Summer", "Autumn")</f>
        <v>Summer</v>
      </c>
      <c r="E11">
        <f t="shared" si="2"/>
        <v>2015</v>
      </c>
      <c r="F11">
        <v>94</v>
      </c>
      <c r="G11">
        <f t="shared" ca="1" si="3"/>
        <v>97</v>
      </c>
      <c r="H11">
        <f t="shared" ca="1" si="0"/>
        <v>118</v>
      </c>
      <c r="I11" s="81">
        <f ca="1">(Table17[[#This Row],[Current_Month_Sales]]-Table17[[#This Row],[Previous Month Sales]])/Table17[[#This Row],[Previous Month Sales]]</f>
        <v>-0.17796610169491525</v>
      </c>
      <c r="J11" t="str">
        <f ca="1">IF(ABS(Table17[[#This Row],[%Change]]) &gt; 0.3, "Alert: Preference Shift", "")</f>
        <v/>
      </c>
    </row>
    <row r="12" spans="1:10">
      <c r="A12" s="53">
        <v>42305</v>
      </c>
      <c r="B12" s="14" t="s">
        <v>14</v>
      </c>
      <c r="C12" s="14" t="str">
        <f t="shared" si="1"/>
        <v>October</v>
      </c>
      <c r="D12" s="14" t="str">
        <f>CHOOSE(MATCH(MONTH(A12), {1,4,7,10}), "Winter", "Spring", "Summer", "Autumn")</f>
        <v>Autumn</v>
      </c>
      <c r="E12">
        <f t="shared" si="2"/>
        <v>2015</v>
      </c>
      <c r="F12">
        <v>99</v>
      </c>
      <c r="G12">
        <f t="shared" ca="1" si="3"/>
        <v>133</v>
      </c>
      <c r="H12">
        <f t="shared" ca="1" si="0"/>
        <v>105</v>
      </c>
      <c r="I12" s="81">
        <f ca="1">(Table17[[#This Row],[Current_Month_Sales]]-Table17[[#This Row],[Previous Month Sales]])/Table17[[#This Row],[Previous Month Sales]]</f>
        <v>0.26666666666666666</v>
      </c>
      <c r="J12" t="str">
        <f ca="1">IF(ABS(Table17[[#This Row],[%Change]]) &gt; 0.3, "Alert: Preference Shift", "")</f>
        <v/>
      </c>
    </row>
    <row r="13" spans="1:10">
      <c r="A13" s="54">
        <v>42335</v>
      </c>
      <c r="B13" s="15" t="s">
        <v>10</v>
      </c>
      <c r="C13" s="14" t="str">
        <f t="shared" si="1"/>
        <v>November</v>
      </c>
      <c r="D13" s="15" t="str">
        <f>CHOOSE(MATCH(MONTH(A13), {1,4,7,10}), "Winter", "Spring", "Summer", "Autumn")</f>
        <v>Autumn</v>
      </c>
      <c r="E13">
        <f t="shared" si="2"/>
        <v>2015</v>
      </c>
      <c r="F13">
        <v>90</v>
      </c>
      <c r="G13">
        <f t="shared" ca="1" si="3"/>
        <v>100</v>
      </c>
      <c r="H13">
        <f t="shared" ca="1" si="0"/>
        <v>79</v>
      </c>
      <c r="I13" s="81">
        <f ca="1">(Table17[[#This Row],[Current_Month_Sales]]-Table17[[#This Row],[Previous Month Sales]])/Table17[[#This Row],[Previous Month Sales]]</f>
        <v>0.26582278481012656</v>
      </c>
      <c r="J13" t="str">
        <f ca="1">IF(ABS(Table17[[#This Row],[%Change]]) &gt; 0.3, "Alert: Preference Shift", "")</f>
        <v/>
      </c>
    </row>
    <row r="14" spans="1:10">
      <c r="A14" s="53">
        <v>42365</v>
      </c>
      <c r="B14" s="14" t="s">
        <v>10</v>
      </c>
      <c r="C14" s="14" t="str">
        <f t="shared" si="1"/>
        <v>December</v>
      </c>
      <c r="D14" s="14" t="str">
        <f>CHOOSE(MATCH(MONTH(A14), {1,4,7,10}), "Winter", "Spring", "Summer", "Autumn")</f>
        <v>Autumn</v>
      </c>
      <c r="E14">
        <f t="shared" si="2"/>
        <v>2015</v>
      </c>
      <c r="F14">
        <v>100</v>
      </c>
      <c r="G14">
        <f t="shared" ca="1" si="3"/>
        <v>65</v>
      </c>
      <c r="H14">
        <f t="shared" ca="1" si="0"/>
        <v>68</v>
      </c>
      <c r="I14" s="81">
        <f ca="1">(Table17[[#This Row],[Current_Month_Sales]]-Table17[[#This Row],[Previous Month Sales]])/Table17[[#This Row],[Previous Month Sales]]</f>
        <v>-4.4117647058823532E-2</v>
      </c>
      <c r="J14" t="str">
        <f ca="1">IF(ABS(Table17[[#This Row],[%Change]]) &gt; 0.3, "Alert: Preference Shift", "")</f>
        <v/>
      </c>
    </row>
    <row r="15" spans="1:10">
      <c r="A15" s="54">
        <v>42395</v>
      </c>
      <c r="B15" s="15" t="s">
        <v>10</v>
      </c>
      <c r="C15" s="14" t="str">
        <f t="shared" si="1"/>
        <v>January</v>
      </c>
      <c r="D15" s="15" t="str">
        <f>CHOOSE(MATCH(MONTH(A15), {1,4,7,10}), "Winter", "Spring", "Summer", "Autumn")</f>
        <v>Winter</v>
      </c>
      <c r="E15">
        <f t="shared" si="2"/>
        <v>2016</v>
      </c>
      <c r="F15">
        <v>103</v>
      </c>
      <c r="G15">
        <f t="shared" ca="1" si="3"/>
        <v>189</v>
      </c>
      <c r="H15">
        <f t="shared" ca="1" si="0"/>
        <v>56</v>
      </c>
      <c r="I15" s="81">
        <f ca="1">(Table17[[#This Row],[Current_Month_Sales]]-Table17[[#This Row],[Previous Month Sales]])/Table17[[#This Row],[Previous Month Sales]]</f>
        <v>2.375</v>
      </c>
      <c r="J15" t="str">
        <f ca="1">IF(ABS(Table17[[#This Row],[%Change]]) &gt; 0.3, "Alert: Preference Shift", "")</f>
        <v>Alert: Preference Shift</v>
      </c>
    </row>
    <row r="16" spans="1:10">
      <c r="A16" s="53">
        <v>42425</v>
      </c>
      <c r="B16" s="14" t="s">
        <v>12</v>
      </c>
      <c r="C16" s="14" t="str">
        <f t="shared" si="1"/>
        <v>February</v>
      </c>
      <c r="D16" s="14" t="str">
        <f>CHOOSE(MATCH(MONTH(A16), {1,4,7,10}), "Winter", "Spring", "Summer", "Autumn")</f>
        <v>Winter</v>
      </c>
      <c r="E16">
        <f t="shared" si="2"/>
        <v>2016</v>
      </c>
      <c r="F16">
        <v>94</v>
      </c>
      <c r="G16">
        <f t="shared" ca="1" si="3"/>
        <v>89</v>
      </c>
      <c r="H16">
        <f t="shared" ca="1" si="0"/>
        <v>68</v>
      </c>
      <c r="I16" s="81">
        <f ca="1">(Table17[[#This Row],[Current_Month_Sales]]-Table17[[#This Row],[Previous Month Sales]])/Table17[[#This Row],[Previous Month Sales]]</f>
        <v>0.30882352941176472</v>
      </c>
      <c r="J16" t="str">
        <f ca="1">IF(ABS(Table17[[#This Row],[%Change]]) &gt; 0.3, "Alert: Preference Shift", "")</f>
        <v>Alert: Preference Shift</v>
      </c>
    </row>
    <row r="17" spans="1:10">
      <c r="A17" s="54">
        <v>42455</v>
      </c>
      <c r="B17" s="15" t="s">
        <v>12</v>
      </c>
      <c r="C17" s="14" t="str">
        <f t="shared" si="1"/>
        <v>March</v>
      </c>
      <c r="D17" s="15" t="str">
        <f>CHOOSE(MATCH(MONTH(A17), {1,4,7,10}), "Winter", "Spring", "Summer", "Autumn")</f>
        <v>Winter</v>
      </c>
      <c r="E17">
        <f t="shared" si="2"/>
        <v>2016</v>
      </c>
      <c r="F17">
        <v>105</v>
      </c>
      <c r="G17">
        <f t="shared" ca="1" si="3"/>
        <v>189</v>
      </c>
      <c r="H17">
        <f t="shared" ca="1" si="0"/>
        <v>79</v>
      </c>
      <c r="I17" s="81">
        <f ca="1">(Table17[[#This Row],[Current_Month_Sales]]-Table17[[#This Row],[Previous Month Sales]])/Table17[[#This Row],[Previous Month Sales]]</f>
        <v>1.3924050632911393</v>
      </c>
      <c r="J17" t="str">
        <f ca="1">IF(ABS(Table17[[#This Row],[%Change]]) &gt; 0.3, "Alert: Preference Shift", "")</f>
        <v>Alert: Preference Shift</v>
      </c>
    </row>
    <row r="18" spans="1:10">
      <c r="A18" s="53">
        <v>42485</v>
      </c>
      <c r="B18" s="14" t="s">
        <v>13</v>
      </c>
      <c r="C18" s="14" t="str">
        <f t="shared" si="1"/>
        <v>April</v>
      </c>
      <c r="D18" s="14" t="str">
        <f>CHOOSE(MATCH(MONTH(A18), {1,4,7,10}), "Winter", "Spring", "Summer", "Autumn")</f>
        <v>Spring</v>
      </c>
      <c r="E18">
        <f t="shared" si="2"/>
        <v>2016</v>
      </c>
      <c r="F18">
        <v>86</v>
      </c>
      <c r="G18">
        <f t="shared" ca="1" si="3"/>
        <v>172</v>
      </c>
      <c r="H18">
        <f t="shared" ca="1" si="0"/>
        <v>63</v>
      </c>
      <c r="I18" s="81">
        <f ca="1">(Table17[[#This Row],[Current_Month_Sales]]-Table17[[#This Row],[Previous Month Sales]])/Table17[[#This Row],[Previous Month Sales]]</f>
        <v>1.7301587301587302</v>
      </c>
      <c r="J18" t="str">
        <f ca="1">IF(ABS(Table17[[#This Row],[%Change]]) &gt; 0.3, "Alert: Preference Shift", "")</f>
        <v>Alert: Preference Shift</v>
      </c>
    </row>
    <row r="19" spans="1:10">
      <c r="A19" s="54">
        <v>42515</v>
      </c>
      <c r="B19" s="15" t="s">
        <v>13</v>
      </c>
      <c r="C19" s="14" t="str">
        <f t="shared" si="1"/>
        <v>May</v>
      </c>
      <c r="D19" s="15" t="str">
        <f>CHOOSE(MATCH(MONTH(A19), {1,4,7,10}), "Winter", "Spring", "Summer", "Autumn")</f>
        <v>Spring</v>
      </c>
      <c r="E19">
        <f t="shared" si="2"/>
        <v>2016</v>
      </c>
      <c r="F19">
        <v>92</v>
      </c>
      <c r="G19">
        <f t="shared" ca="1" si="3"/>
        <v>89</v>
      </c>
      <c r="H19">
        <f t="shared" ca="1" si="0"/>
        <v>117</v>
      </c>
      <c r="I19" s="81">
        <f ca="1">(Table17[[#This Row],[Current_Month_Sales]]-Table17[[#This Row],[Previous Month Sales]])/Table17[[#This Row],[Previous Month Sales]]</f>
        <v>-0.23931623931623933</v>
      </c>
      <c r="J19" t="str">
        <f ca="1">IF(ABS(Table17[[#This Row],[%Change]]) &gt; 0.3, "Alert: Preference Shift", "")</f>
        <v/>
      </c>
    </row>
    <row r="20" spans="1:10">
      <c r="A20" s="53">
        <v>42545</v>
      </c>
      <c r="B20" s="14" t="s">
        <v>10</v>
      </c>
      <c r="C20" s="14" t="str">
        <f t="shared" si="1"/>
        <v>June</v>
      </c>
      <c r="D20" s="14" t="str">
        <f>CHOOSE(MATCH(MONTH(A20), {1,4,7,10}), "Winter", "Spring", "Summer", "Autumn")</f>
        <v>Spring</v>
      </c>
      <c r="E20">
        <f t="shared" si="2"/>
        <v>2016</v>
      </c>
      <c r="F20">
        <v>94</v>
      </c>
      <c r="G20">
        <f t="shared" ca="1" si="3"/>
        <v>65</v>
      </c>
      <c r="H20">
        <f t="shared" ca="1" si="0"/>
        <v>68</v>
      </c>
      <c r="I20" s="81">
        <f ca="1">(Table17[[#This Row],[Current_Month_Sales]]-Table17[[#This Row],[Previous Month Sales]])/Table17[[#This Row],[Previous Month Sales]]</f>
        <v>-4.4117647058823532E-2</v>
      </c>
      <c r="J20" t="str">
        <f ca="1">IF(ABS(Table17[[#This Row],[%Change]]) &gt; 0.3, "Alert: Preference Shift", "")</f>
        <v/>
      </c>
    </row>
    <row r="21" spans="1:10">
      <c r="A21" s="54">
        <v>42575</v>
      </c>
      <c r="B21" s="15" t="s">
        <v>13</v>
      </c>
      <c r="C21" s="14" t="str">
        <f t="shared" si="1"/>
        <v>July</v>
      </c>
      <c r="D21" s="15" t="str">
        <f>CHOOSE(MATCH(MONTH(A21), {1,4,7,10}), "Winter", "Spring", "Summer", "Autumn")</f>
        <v>Summer</v>
      </c>
      <c r="E21">
        <f t="shared" si="2"/>
        <v>2016</v>
      </c>
      <c r="F21">
        <v>101</v>
      </c>
      <c r="G21">
        <f t="shared" ca="1" si="3"/>
        <v>121</v>
      </c>
      <c r="H21">
        <f t="shared" ca="1" si="0"/>
        <v>109</v>
      </c>
      <c r="I21" s="81">
        <f ca="1">(Table17[[#This Row],[Current_Month_Sales]]-Table17[[#This Row],[Previous Month Sales]])/Table17[[#This Row],[Previous Month Sales]]</f>
        <v>0.11009174311926606</v>
      </c>
      <c r="J21" t="str">
        <f ca="1">IF(ABS(Table17[[#This Row],[%Change]]) &gt; 0.3, "Alert: Preference Shift", "")</f>
        <v/>
      </c>
    </row>
    <row r="22" spans="1:10">
      <c r="A22" s="53">
        <v>42605</v>
      </c>
      <c r="B22" s="14" t="s">
        <v>12</v>
      </c>
      <c r="C22" s="14" t="str">
        <f t="shared" si="1"/>
        <v>August</v>
      </c>
      <c r="D22" s="14" t="str">
        <f>CHOOSE(MATCH(MONTH(A22), {1,4,7,10}), "Winter", "Spring", "Summer", "Autumn")</f>
        <v>Summer</v>
      </c>
      <c r="E22">
        <f t="shared" si="2"/>
        <v>2016</v>
      </c>
      <c r="F22">
        <v>103</v>
      </c>
      <c r="G22">
        <f t="shared" ca="1" si="3"/>
        <v>97</v>
      </c>
      <c r="H22">
        <f t="shared" ca="1" si="0"/>
        <v>117</v>
      </c>
      <c r="I22" s="81">
        <f ca="1">(Table17[[#This Row],[Current_Month_Sales]]-Table17[[#This Row],[Previous Month Sales]])/Table17[[#This Row],[Previous Month Sales]]</f>
        <v>-0.17094017094017094</v>
      </c>
      <c r="J22" t="str">
        <f ca="1">IF(ABS(Table17[[#This Row],[%Change]]) &gt; 0.3, "Alert: Preference Shift", "")</f>
        <v/>
      </c>
    </row>
    <row r="23" spans="1:10">
      <c r="A23" s="54">
        <v>42635</v>
      </c>
      <c r="B23" s="15" t="s">
        <v>13</v>
      </c>
      <c r="C23" s="14" t="str">
        <f t="shared" si="1"/>
        <v>September</v>
      </c>
      <c r="D23" s="15" t="str">
        <f>CHOOSE(MATCH(MONTH(A23), {1,4,7,10}), "Winter", "Spring", "Summer", "Autumn")</f>
        <v>Summer</v>
      </c>
      <c r="E23">
        <f t="shared" si="2"/>
        <v>2016</v>
      </c>
      <c r="F23">
        <v>84</v>
      </c>
      <c r="G23">
        <f t="shared" ca="1" si="3"/>
        <v>78</v>
      </c>
      <c r="H23">
        <f t="shared" ca="1" si="0"/>
        <v>105</v>
      </c>
      <c r="I23" s="81">
        <f ca="1">(Table17[[#This Row],[Current_Month_Sales]]-Table17[[#This Row],[Previous Month Sales]])/Table17[[#This Row],[Previous Month Sales]]</f>
        <v>-0.25714285714285712</v>
      </c>
      <c r="J23" t="str">
        <f ca="1">IF(ABS(Table17[[#This Row],[%Change]]) &gt; 0.3, "Alert: Preference Shift", "")</f>
        <v/>
      </c>
    </row>
    <row r="24" spans="1:10">
      <c r="A24" s="53">
        <v>42665</v>
      </c>
      <c r="B24" s="14" t="s">
        <v>14</v>
      </c>
      <c r="C24" s="14" t="str">
        <f t="shared" si="1"/>
        <v>October</v>
      </c>
      <c r="D24" s="14" t="str">
        <f>CHOOSE(MATCH(MONTH(A24), {1,4,7,10}), "Winter", "Spring", "Summer", "Autumn")</f>
        <v>Autumn</v>
      </c>
      <c r="E24">
        <f t="shared" si="2"/>
        <v>2016</v>
      </c>
      <c r="F24">
        <v>76</v>
      </c>
      <c r="G24">
        <f t="shared" ca="1" si="3"/>
        <v>78</v>
      </c>
      <c r="H24">
        <f t="shared" ca="1" si="0"/>
        <v>79</v>
      </c>
      <c r="I24" s="81">
        <f ca="1">(Table17[[#This Row],[Current_Month_Sales]]-Table17[[#This Row],[Previous Month Sales]])/Table17[[#This Row],[Previous Month Sales]]</f>
        <v>-1.2658227848101266E-2</v>
      </c>
      <c r="J24" t="str">
        <f ca="1">IF(ABS(Table17[[#This Row],[%Change]]) &gt; 0.3, "Alert: Preference Shift", "")</f>
        <v/>
      </c>
    </row>
    <row r="25" spans="1:10">
      <c r="A25" s="54">
        <v>42695</v>
      </c>
      <c r="B25" s="15" t="s">
        <v>12</v>
      </c>
      <c r="C25" s="14" t="str">
        <f t="shared" si="1"/>
        <v>November</v>
      </c>
      <c r="D25" s="15" t="str">
        <f>CHOOSE(MATCH(MONTH(A25), {1,4,7,10}), "Winter", "Spring", "Summer", "Autumn")</f>
        <v>Autumn</v>
      </c>
      <c r="E25">
        <f t="shared" si="2"/>
        <v>2016</v>
      </c>
      <c r="F25">
        <v>100</v>
      </c>
      <c r="G25">
        <f t="shared" ca="1" si="3"/>
        <v>97</v>
      </c>
      <c r="H25">
        <f t="shared" ca="1" si="0"/>
        <v>129</v>
      </c>
      <c r="I25" s="81">
        <f ca="1">(Table17[[#This Row],[Current_Month_Sales]]-Table17[[#This Row],[Previous Month Sales]])/Table17[[#This Row],[Previous Month Sales]]</f>
        <v>-0.24806201550387597</v>
      </c>
      <c r="J25" t="str">
        <f ca="1">IF(ABS(Table17[[#This Row],[%Change]]) &gt; 0.3, "Alert: Preference Shift", "")</f>
        <v/>
      </c>
    </row>
    <row r="26" spans="1:10">
      <c r="A26" s="53">
        <v>42725</v>
      </c>
      <c r="B26" s="14" t="s">
        <v>14</v>
      </c>
      <c r="C26" s="14" t="str">
        <f t="shared" si="1"/>
        <v>December</v>
      </c>
      <c r="D26" s="14" t="str">
        <f>CHOOSE(MATCH(MONTH(A26), {1,4,7,10}), "Winter", "Spring", "Summer", "Autumn")</f>
        <v>Autumn</v>
      </c>
      <c r="E26">
        <f t="shared" si="2"/>
        <v>2016</v>
      </c>
      <c r="F26">
        <v>111</v>
      </c>
      <c r="G26">
        <f t="shared" ca="1" si="3"/>
        <v>121</v>
      </c>
      <c r="H26">
        <f t="shared" ca="1" si="0"/>
        <v>117</v>
      </c>
      <c r="I26" s="81">
        <f ca="1">(Table17[[#This Row],[Current_Month_Sales]]-Table17[[#This Row],[Previous Month Sales]])/Table17[[#This Row],[Previous Month Sales]]</f>
        <v>3.4188034188034191E-2</v>
      </c>
      <c r="J26" t="str">
        <f ca="1">IF(ABS(Table17[[#This Row],[%Change]]) &gt; 0.3, "Alert: Preference Shift", "")</f>
        <v/>
      </c>
    </row>
    <row r="27" spans="1:10">
      <c r="A27" s="54">
        <v>42755</v>
      </c>
      <c r="B27" s="15" t="s">
        <v>13</v>
      </c>
      <c r="C27" s="14" t="str">
        <f t="shared" si="1"/>
        <v>January</v>
      </c>
      <c r="D27" s="15" t="str">
        <f>CHOOSE(MATCH(MONTH(A27), {1,4,7,10}), "Winter", "Spring", "Summer", "Autumn")</f>
        <v>Winter</v>
      </c>
      <c r="E27">
        <f t="shared" si="2"/>
        <v>2017</v>
      </c>
      <c r="F27">
        <v>93</v>
      </c>
      <c r="G27">
        <f t="shared" ca="1" si="3"/>
        <v>97</v>
      </c>
      <c r="H27">
        <f t="shared" ca="1" si="0"/>
        <v>48</v>
      </c>
      <c r="I27" s="81">
        <f ca="1">(Table17[[#This Row],[Current_Month_Sales]]-Table17[[#This Row],[Previous Month Sales]])/Table17[[#This Row],[Previous Month Sales]]</f>
        <v>1.0208333333333333</v>
      </c>
      <c r="J27" t="str">
        <f ca="1">IF(ABS(Table17[[#This Row],[%Change]]) &gt; 0.3, "Alert: Preference Shift", "")</f>
        <v>Alert: Preference Shift</v>
      </c>
    </row>
    <row r="28" spans="1:10">
      <c r="A28" s="53">
        <v>42785</v>
      </c>
      <c r="B28" s="14" t="s">
        <v>11</v>
      </c>
      <c r="C28" s="14" t="str">
        <f t="shared" si="1"/>
        <v>February</v>
      </c>
      <c r="D28" s="14" t="str">
        <f>CHOOSE(MATCH(MONTH(A28), {1,4,7,10}), "Winter", "Spring", "Summer", "Autumn")</f>
        <v>Winter</v>
      </c>
      <c r="E28">
        <f t="shared" si="2"/>
        <v>2017</v>
      </c>
      <c r="F28">
        <v>87</v>
      </c>
      <c r="G28">
        <f t="shared" ca="1" si="3"/>
        <v>130</v>
      </c>
      <c r="H28">
        <f t="shared" ca="1" si="0"/>
        <v>63</v>
      </c>
      <c r="I28" s="81">
        <f ca="1">(Table17[[#This Row],[Current_Month_Sales]]-Table17[[#This Row],[Previous Month Sales]])/Table17[[#This Row],[Previous Month Sales]]</f>
        <v>1.0634920634920635</v>
      </c>
      <c r="J28" t="str">
        <f ca="1">IF(ABS(Table17[[#This Row],[%Change]]) &gt; 0.3, "Alert: Preference Shift", "")</f>
        <v>Alert: Preference Shift</v>
      </c>
    </row>
    <row r="29" spans="1:10">
      <c r="A29" s="54">
        <v>42815</v>
      </c>
      <c r="B29" s="15" t="s">
        <v>10</v>
      </c>
      <c r="C29" s="14" t="str">
        <f t="shared" si="1"/>
        <v>March</v>
      </c>
      <c r="D29" s="15" t="str">
        <f>CHOOSE(MATCH(MONTH(A29), {1,4,7,10}), "Winter", "Spring", "Summer", "Autumn")</f>
        <v>Winter</v>
      </c>
      <c r="E29">
        <f t="shared" si="2"/>
        <v>2017</v>
      </c>
      <c r="F29">
        <v>108</v>
      </c>
      <c r="G29">
        <f t="shared" ca="1" si="3"/>
        <v>172</v>
      </c>
      <c r="H29">
        <f t="shared" ca="1" si="0"/>
        <v>105</v>
      </c>
      <c r="I29" s="81">
        <f ca="1">(Table17[[#This Row],[Current_Month_Sales]]-Table17[[#This Row],[Previous Month Sales]])/Table17[[#This Row],[Previous Month Sales]]</f>
        <v>0.63809523809523805</v>
      </c>
      <c r="J29" t="str">
        <f ca="1">IF(ABS(Table17[[#This Row],[%Change]]) &gt; 0.3, "Alert: Preference Shift", "")</f>
        <v>Alert: Preference Shift</v>
      </c>
    </row>
    <row r="30" spans="1:10">
      <c r="A30" s="53">
        <v>42845</v>
      </c>
      <c r="B30" s="14" t="s">
        <v>12</v>
      </c>
      <c r="C30" s="14" t="str">
        <f t="shared" si="1"/>
        <v>April</v>
      </c>
      <c r="D30" s="14" t="str">
        <f>CHOOSE(MATCH(MONTH(A30), {1,4,7,10}), "Winter", "Spring", "Summer", "Autumn")</f>
        <v>Spring</v>
      </c>
      <c r="E30">
        <f t="shared" si="2"/>
        <v>2017</v>
      </c>
      <c r="F30">
        <v>106</v>
      </c>
      <c r="G30">
        <f t="shared" ca="1" si="3"/>
        <v>65</v>
      </c>
      <c r="H30">
        <f t="shared" ca="1" si="0"/>
        <v>79</v>
      </c>
      <c r="I30" s="81">
        <f ca="1">(Table17[[#This Row],[Current_Month_Sales]]-Table17[[#This Row],[Previous Month Sales]])/Table17[[#This Row],[Previous Month Sales]]</f>
        <v>-0.17721518987341772</v>
      </c>
      <c r="J30" t="str">
        <f ca="1">IF(ABS(Table17[[#This Row],[%Change]]) &gt; 0.3, "Alert: Preference Shift", "")</f>
        <v/>
      </c>
    </row>
    <row r="31" spans="1:10">
      <c r="A31" s="54">
        <v>42875</v>
      </c>
      <c r="B31" s="15" t="s">
        <v>14</v>
      </c>
      <c r="C31" s="14" t="str">
        <f t="shared" si="1"/>
        <v>May</v>
      </c>
      <c r="D31" s="15" t="str">
        <f>CHOOSE(MATCH(MONTH(A31), {1,4,7,10}), "Winter", "Spring", "Summer", "Autumn")</f>
        <v>Spring</v>
      </c>
      <c r="E31">
        <f t="shared" si="2"/>
        <v>2017</v>
      </c>
      <c r="F31">
        <v>108</v>
      </c>
      <c r="G31">
        <f t="shared" ca="1" si="3"/>
        <v>121</v>
      </c>
      <c r="H31">
        <f t="shared" ca="1" si="0"/>
        <v>105</v>
      </c>
      <c r="I31" s="81">
        <f ca="1">(Table17[[#This Row],[Current_Month_Sales]]-Table17[[#This Row],[Previous Month Sales]])/Table17[[#This Row],[Previous Month Sales]]</f>
        <v>0.15238095238095239</v>
      </c>
      <c r="J31" t="str">
        <f ca="1">IF(ABS(Table17[[#This Row],[%Change]]) &gt; 0.3, "Alert: Preference Shift", "")</f>
        <v/>
      </c>
    </row>
    <row r="32" spans="1:10">
      <c r="A32" s="53">
        <v>42905</v>
      </c>
      <c r="B32" s="14" t="s">
        <v>11</v>
      </c>
      <c r="C32" s="14" t="str">
        <f t="shared" si="1"/>
        <v>June</v>
      </c>
      <c r="D32" s="14" t="str">
        <f>CHOOSE(MATCH(MONTH(A32), {1,4,7,10}), "Winter", "Spring", "Summer", "Autumn")</f>
        <v>Spring</v>
      </c>
      <c r="E32">
        <f t="shared" si="2"/>
        <v>2017</v>
      </c>
      <c r="F32">
        <v>96</v>
      </c>
      <c r="G32">
        <f t="shared" ca="1" si="3"/>
        <v>133</v>
      </c>
      <c r="H32">
        <f t="shared" ca="1" si="0"/>
        <v>129</v>
      </c>
      <c r="I32" s="81">
        <f ca="1">(Table17[[#This Row],[Current_Month_Sales]]-Table17[[#This Row],[Previous Month Sales]])/Table17[[#This Row],[Previous Month Sales]]</f>
        <v>3.1007751937984496E-2</v>
      </c>
      <c r="J32" t="str">
        <f ca="1">IF(ABS(Table17[[#This Row],[%Change]]) &gt; 0.3, "Alert: Preference Shift", "")</f>
        <v/>
      </c>
    </row>
    <row r="33" spans="1:10">
      <c r="A33" s="54">
        <v>42935</v>
      </c>
      <c r="B33" s="15" t="s">
        <v>11</v>
      </c>
      <c r="C33" s="14" t="str">
        <f t="shared" si="1"/>
        <v>July</v>
      </c>
      <c r="D33" s="15" t="str">
        <f>CHOOSE(MATCH(MONTH(A33), {1,4,7,10}), "Winter", "Spring", "Summer", "Autumn")</f>
        <v>Summer</v>
      </c>
      <c r="E33">
        <f t="shared" si="2"/>
        <v>2017</v>
      </c>
      <c r="F33">
        <v>113</v>
      </c>
      <c r="G33">
        <f t="shared" ca="1" si="3"/>
        <v>189</v>
      </c>
      <c r="H33">
        <f t="shared" ca="1" si="0"/>
        <v>117</v>
      </c>
      <c r="I33" s="81">
        <f ca="1">(Table17[[#This Row],[Current_Month_Sales]]-Table17[[#This Row],[Previous Month Sales]])/Table17[[#This Row],[Previous Month Sales]]</f>
        <v>0.61538461538461542</v>
      </c>
      <c r="J33" t="str">
        <f ca="1">IF(ABS(Table17[[#This Row],[%Change]]) &gt; 0.3, "Alert: Preference Shift", "")</f>
        <v>Alert: Preference Shift</v>
      </c>
    </row>
    <row r="34" spans="1:10">
      <c r="A34" s="53">
        <v>42965</v>
      </c>
      <c r="B34" s="14" t="s">
        <v>12</v>
      </c>
      <c r="C34" s="14" t="str">
        <f t="shared" si="1"/>
        <v>August</v>
      </c>
      <c r="D34" s="14" t="str">
        <f>CHOOSE(MATCH(MONTH(A34), {1,4,7,10}), "Winter", "Spring", "Summer", "Autumn")</f>
        <v>Summer</v>
      </c>
      <c r="E34">
        <f t="shared" si="2"/>
        <v>2017</v>
      </c>
      <c r="F34">
        <v>95</v>
      </c>
      <c r="G34">
        <f t="shared" ca="1" si="3"/>
        <v>172</v>
      </c>
      <c r="H34">
        <f t="shared" ca="1" si="0"/>
        <v>118</v>
      </c>
      <c r="I34" s="81">
        <f ca="1">(Table17[[#This Row],[Current_Month_Sales]]-Table17[[#This Row],[Previous Month Sales]])/Table17[[#This Row],[Previous Month Sales]]</f>
        <v>0.4576271186440678</v>
      </c>
      <c r="J34" t="str">
        <f ca="1">IF(ABS(Table17[[#This Row],[%Change]]) &gt; 0.3, "Alert: Preference Shift", "")</f>
        <v>Alert: Preference Shift</v>
      </c>
    </row>
    <row r="35" spans="1:10">
      <c r="A35" s="54">
        <v>42995</v>
      </c>
      <c r="B35" s="15" t="s">
        <v>12</v>
      </c>
      <c r="C35" s="14" t="str">
        <f t="shared" si="1"/>
        <v>September</v>
      </c>
      <c r="D35" s="15" t="str">
        <f>CHOOSE(MATCH(MONTH(A35), {1,4,7,10}), "Winter", "Spring", "Summer", "Autumn")</f>
        <v>Summer</v>
      </c>
      <c r="E35">
        <f t="shared" si="2"/>
        <v>2017</v>
      </c>
      <c r="F35">
        <v>94</v>
      </c>
      <c r="G35">
        <f t="shared" ca="1" si="3"/>
        <v>97</v>
      </c>
      <c r="H35">
        <f t="shared" ca="1" si="0"/>
        <v>68</v>
      </c>
      <c r="I35" s="81">
        <f ca="1">(Table17[[#This Row],[Current_Month_Sales]]-Table17[[#This Row],[Previous Month Sales]])/Table17[[#This Row],[Previous Month Sales]]</f>
        <v>0.4264705882352941</v>
      </c>
      <c r="J35" t="str">
        <f ca="1">IF(ABS(Table17[[#This Row],[%Change]]) &gt; 0.3, "Alert: Preference Shift", "")</f>
        <v>Alert: Preference Shift</v>
      </c>
    </row>
    <row r="36" spans="1:10">
      <c r="A36" s="53">
        <v>43025</v>
      </c>
      <c r="B36" s="14" t="s">
        <v>11</v>
      </c>
      <c r="C36" s="14" t="str">
        <f t="shared" si="1"/>
        <v>October</v>
      </c>
      <c r="D36" s="14" t="str">
        <f>CHOOSE(MATCH(MONTH(A36), {1,4,7,10}), "Winter", "Spring", "Summer", "Autumn")</f>
        <v>Autumn</v>
      </c>
      <c r="E36">
        <f t="shared" si="2"/>
        <v>2017</v>
      </c>
      <c r="F36">
        <v>107</v>
      </c>
      <c r="G36">
        <f t="shared" ca="1" si="3"/>
        <v>133</v>
      </c>
      <c r="H36">
        <f t="shared" ca="1" si="0"/>
        <v>117</v>
      </c>
      <c r="I36" s="81">
        <f ca="1">(Table17[[#This Row],[Current_Month_Sales]]-Table17[[#This Row],[Previous Month Sales]])/Table17[[#This Row],[Previous Month Sales]]</f>
        <v>0.13675213675213677</v>
      </c>
      <c r="J36" t="str">
        <f ca="1">IF(ABS(Table17[[#This Row],[%Change]]) &gt; 0.3, "Alert: Preference Shift", "")</f>
        <v/>
      </c>
    </row>
    <row r="37" spans="1:10">
      <c r="A37" s="54">
        <v>43055</v>
      </c>
      <c r="B37" s="15" t="s">
        <v>10</v>
      </c>
      <c r="C37" s="14" t="str">
        <f t="shared" si="1"/>
        <v>November</v>
      </c>
      <c r="D37" s="15" t="str">
        <f>CHOOSE(MATCH(MONTH(A37), {1,4,7,10}), "Winter", "Spring", "Summer", "Autumn")</f>
        <v>Autumn</v>
      </c>
      <c r="E37">
        <f t="shared" si="2"/>
        <v>2017</v>
      </c>
      <c r="F37">
        <v>114</v>
      </c>
      <c r="G37">
        <f t="shared" ca="1" si="3"/>
        <v>189</v>
      </c>
      <c r="H37">
        <f t="shared" ca="1" si="0"/>
        <v>79</v>
      </c>
      <c r="I37" s="81">
        <f ca="1">(Table17[[#This Row],[Current_Month_Sales]]-Table17[[#This Row],[Previous Month Sales]])/Table17[[#This Row],[Previous Month Sales]]</f>
        <v>1.3924050632911393</v>
      </c>
      <c r="J37" t="str">
        <f ca="1">IF(ABS(Table17[[#This Row],[%Change]]) &gt; 0.3, "Alert: Preference Shift", "")</f>
        <v>Alert: Preference Shift</v>
      </c>
    </row>
    <row r="38" spans="1:10">
      <c r="A38" s="53">
        <v>43085</v>
      </c>
      <c r="B38" s="14" t="s">
        <v>10</v>
      </c>
      <c r="C38" s="14" t="str">
        <f t="shared" si="1"/>
        <v>December</v>
      </c>
      <c r="D38" s="14" t="str">
        <f>CHOOSE(MATCH(MONTH(A38), {1,4,7,10}), "Winter", "Spring", "Summer", "Autumn")</f>
        <v>Autumn</v>
      </c>
      <c r="E38">
        <f t="shared" si="2"/>
        <v>2017</v>
      </c>
      <c r="F38">
        <v>86</v>
      </c>
      <c r="G38">
        <f t="shared" ca="1" si="3"/>
        <v>133</v>
      </c>
      <c r="H38">
        <f t="shared" ca="1" si="0"/>
        <v>117</v>
      </c>
      <c r="I38" s="81">
        <f ca="1">(Table17[[#This Row],[Current_Month_Sales]]-Table17[[#This Row],[Previous Month Sales]])/Table17[[#This Row],[Previous Month Sales]]</f>
        <v>0.13675213675213677</v>
      </c>
      <c r="J38" t="str">
        <f ca="1">IF(ABS(Table17[[#This Row],[%Change]]) &gt; 0.3, "Alert: Preference Shift", "")</f>
        <v/>
      </c>
    </row>
    <row r="39" spans="1:10">
      <c r="A39" s="54">
        <v>43115</v>
      </c>
      <c r="B39" s="15" t="s">
        <v>14</v>
      </c>
      <c r="C39" s="14" t="str">
        <f t="shared" si="1"/>
        <v>January</v>
      </c>
      <c r="D39" s="15" t="str">
        <f>CHOOSE(MATCH(MONTH(A39), {1,4,7,10}), "Winter", "Spring", "Summer", "Autumn")</f>
        <v>Winter</v>
      </c>
      <c r="E39">
        <f t="shared" si="2"/>
        <v>2018</v>
      </c>
      <c r="F39">
        <v>100</v>
      </c>
      <c r="G39">
        <f t="shared" ca="1" si="3"/>
        <v>100</v>
      </c>
      <c r="H39">
        <f t="shared" ca="1" si="0"/>
        <v>63</v>
      </c>
      <c r="I39" s="81">
        <f ca="1">(Table17[[#This Row],[Current_Month_Sales]]-Table17[[#This Row],[Previous Month Sales]])/Table17[[#This Row],[Previous Month Sales]]</f>
        <v>0.58730158730158732</v>
      </c>
      <c r="J39" t="str">
        <f ca="1">IF(ABS(Table17[[#This Row],[%Change]]) &gt; 0.3, "Alert: Preference Shift", "")</f>
        <v>Alert: Preference Shift</v>
      </c>
    </row>
    <row r="40" spans="1:10">
      <c r="A40" s="53">
        <v>43145</v>
      </c>
      <c r="B40" s="14" t="s">
        <v>10</v>
      </c>
      <c r="C40" s="14" t="str">
        <f t="shared" si="1"/>
        <v>February</v>
      </c>
      <c r="D40" s="14" t="str">
        <f>CHOOSE(MATCH(MONTH(A40), {1,4,7,10}), "Winter", "Spring", "Summer", "Autumn")</f>
        <v>Winter</v>
      </c>
      <c r="E40">
        <f t="shared" si="2"/>
        <v>2018</v>
      </c>
      <c r="F40">
        <v>108</v>
      </c>
      <c r="G40">
        <f t="shared" ca="1" si="3"/>
        <v>172</v>
      </c>
      <c r="H40">
        <f t="shared" ca="1" si="0"/>
        <v>117</v>
      </c>
      <c r="I40" s="81">
        <f ca="1">(Table17[[#This Row],[Current_Month_Sales]]-Table17[[#This Row],[Previous Month Sales]])/Table17[[#This Row],[Previous Month Sales]]</f>
        <v>0.47008547008547008</v>
      </c>
      <c r="J40" t="str">
        <f ca="1">IF(ABS(Table17[[#This Row],[%Change]]) &gt; 0.3, "Alert: Preference Shift", "")</f>
        <v>Alert: Preference Shift</v>
      </c>
    </row>
    <row r="41" spans="1:10">
      <c r="A41" s="54">
        <v>43175</v>
      </c>
      <c r="B41" s="15" t="s">
        <v>11</v>
      </c>
      <c r="C41" s="14" t="str">
        <f t="shared" si="1"/>
        <v>March</v>
      </c>
      <c r="D41" s="15" t="str">
        <f>CHOOSE(MATCH(MONTH(A41), {1,4,7,10}), "Winter", "Spring", "Summer", "Autumn")</f>
        <v>Winter</v>
      </c>
      <c r="E41">
        <f t="shared" si="2"/>
        <v>2018</v>
      </c>
      <c r="F41">
        <v>101</v>
      </c>
      <c r="G41">
        <f t="shared" ca="1" si="3"/>
        <v>100</v>
      </c>
      <c r="H41">
        <f t="shared" ca="1" si="0"/>
        <v>109</v>
      </c>
      <c r="I41" s="81">
        <f ca="1">(Table17[[#This Row],[Current_Month_Sales]]-Table17[[#This Row],[Previous Month Sales]])/Table17[[#This Row],[Previous Month Sales]]</f>
        <v>-8.2568807339449546E-2</v>
      </c>
      <c r="J41" t="str">
        <f ca="1">IF(ABS(Table17[[#This Row],[%Change]]) &gt; 0.3, "Alert: Preference Shift", "")</f>
        <v/>
      </c>
    </row>
    <row r="42" spans="1:10">
      <c r="A42" s="53">
        <v>43205</v>
      </c>
      <c r="B42" s="14" t="s">
        <v>11</v>
      </c>
      <c r="C42" s="14" t="str">
        <f t="shared" si="1"/>
        <v>April</v>
      </c>
      <c r="D42" s="14" t="str">
        <f>CHOOSE(MATCH(MONTH(A42), {1,4,7,10}), "Winter", "Spring", "Summer", "Autumn")</f>
        <v>Spring</v>
      </c>
      <c r="E42">
        <f t="shared" si="2"/>
        <v>2018</v>
      </c>
      <c r="F42">
        <v>94</v>
      </c>
      <c r="G42">
        <f t="shared" ca="1" si="3"/>
        <v>121</v>
      </c>
      <c r="H42">
        <f t="shared" ca="1" si="0"/>
        <v>63</v>
      </c>
      <c r="I42" s="81">
        <f ca="1">(Table17[[#This Row],[Current_Month_Sales]]-Table17[[#This Row],[Previous Month Sales]])/Table17[[#This Row],[Previous Month Sales]]</f>
        <v>0.92063492063492058</v>
      </c>
      <c r="J42" t="str">
        <f ca="1">IF(ABS(Table17[[#This Row],[%Change]]) &gt; 0.3, "Alert: Preference Shift", "")</f>
        <v>Alert: Preference Shift</v>
      </c>
    </row>
    <row r="43" spans="1:10">
      <c r="A43" s="54">
        <v>43235</v>
      </c>
      <c r="B43" s="15" t="s">
        <v>13</v>
      </c>
      <c r="C43" s="14" t="str">
        <f t="shared" si="1"/>
        <v>May</v>
      </c>
      <c r="D43" s="15" t="str">
        <f>CHOOSE(MATCH(MONTH(A43), {1,4,7,10}), "Winter", "Spring", "Summer", "Autumn")</f>
        <v>Spring</v>
      </c>
      <c r="E43">
        <f t="shared" si="2"/>
        <v>2018</v>
      </c>
      <c r="F43">
        <v>116</v>
      </c>
      <c r="G43">
        <f t="shared" ca="1" si="3"/>
        <v>89</v>
      </c>
      <c r="H43">
        <f t="shared" ca="1" si="0"/>
        <v>118</v>
      </c>
      <c r="I43" s="81">
        <f ca="1">(Table17[[#This Row],[Current_Month_Sales]]-Table17[[#This Row],[Previous Month Sales]])/Table17[[#This Row],[Previous Month Sales]]</f>
        <v>-0.24576271186440679</v>
      </c>
      <c r="J43" t="str">
        <f ca="1">IF(ABS(Table17[[#This Row],[%Change]]) &gt; 0.3, "Alert: Preference Shift", "")</f>
        <v/>
      </c>
    </row>
    <row r="44" spans="1:10">
      <c r="A44" s="53">
        <v>43265</v>
      </c>
      <c r="B44" s="14" t="s">
        <v>11</v>
      </c>
      <c r="C44" s="14" t="str">
        <f t="shared" si="1"/>
        <v>June</v>
      </c>
      <c r="D44" s="14" t="str">
        <f>CHOOSE(MATCH(MONTH(A44), {1,4,7,10}), "Winter", "Spring", "Summer", "Autumn")</f>
        <v>Spring</v>
      </c>
      <c r="E44">
        <f t="shared" si="2"/>
        <v>2018</v>
      </c>
      <c r="F44">
        <v>97</v>
      </c>
      <c r="G44">
        <f t="shared" ca="1" si="3"/>
        <v>133</v>
      </c>
      <c r="H44">
        <f t="shared" ca="1" si="0"/>
        <v>117</v>
      </c>
      <c r="I44" s="81">
        <f ca="1">(Table17[[#This Row],[Current_Month_Sales]]-Table17[[#This Row],[Previous Month Sales]])/Table17[[#This Row],[Previous Month Sales]]</f>
        <v>0.13675213675213677</v>
      </c>
      <c r="J44" t="str">
        <f ca="1">IF(ABS(Table17[[#This Row],[%Change]]) &gt; 0.3, "Alert: Preference Shift", "")</f>
        <v/>
      </c>
    </row>
    <row r="45" spans="1:10">
      <c r="A45" s="54">
        <v>43295</v>
      </c>
      <c r="B45" s="15" t="s">
        <v>10</v>
      </c>
      <c r="C45" s="14" t="str">
        <f t="shared" si="1"/>
        <v>July</v>
      </c>
      <c r="D45" s="15" t="str">
        <f>CHOOSE(MATCH(MONTH(A45), {1,4,7,10}), "Winter", "Spring", "Summer", "Autumn")</f>
        <v>Summer</v>
      </c>
      <c r="E45">
        <f t="shared" si="2"/>
        <v>2018</v>
      </c>
      <c r="F45">
        <v>100</v>
      </c>
      <c r="G45">
        <f t="shared" ca="1" si="3"/>
        <v>172</v>
      </c>
      <c r="H45">
        <f t="shared" ca="1" si="0"/>
        <v>109</v>
      </c>
      <c r="I45" s="81">
        <f ca="1">(Table17[[#This Row],[Current_Month_Sales]]-Table17[[#This Row],[Previous Month Sales]])/Table17[[#This Row],[Previous Month Sales]]</f>
        <v>0.57798165137614677</v>
      </c>
      <c r="J45" t="str">
        <f ca="1">IF(ABS(Table17[[#This Row],[%Change]]) &gt; 0.3, "Alert: Preference Shift", "")</f>
        <v>Alert: Preference Shift</v>
      </c>
    </row>
    <row r="46" spans="1:10">
      <c r="A46" s="53">
        <v>43325</v>
      </c>
      <c r="B46" s="14" t="s">
        <v>14</v>
      </c>
      <c r="C46" s="14" t="str">
        <f t="shared" si="1"/>
        <v>August</v>
      </c>
      <c r="D46" s="14" t="str">
        <f>CHOOSE(MATCH(MONTH(A46), {1,4,7,10}), "Winter", "Spring", "Summer", "Autumn")</f>
        <v>Summer</v>
      </c>
      <c r="E46">
        <f t="shared" si="2"/>
        <v>2018</v>
      </c>
      <c r="F46">
        <v>94</v>
      </c>
      <c r="G46">
        <f t="shared" ca="1" si="3"/>
        <v>65</v>
      </c>
      <c r="H46">
        <f t="shared" ca="1" si="0"/>
        <v>117</v>
      </c>
      <c r="I46" s="81">
        <f ca="1">(Table17[[#This Row],[Current_Month_Sales]]-Table17[[#This Row],[Previous Month Sales]])/Table17[[#This Row],[Previous Month Sales]]</f>
        <v>-0.44444444444444442</v>
      </c>
      <c r="J46" t="str">
        <f ca="1">IF(ABS(Table17[[#This Row],[%Change]]) &gt; 0.3, "Alert: Preference Shift", "")</f>
        <v>Alert: Preference Shift</v>
      </c>
    </row>
    <row r="47" spans="1:10">
      <c r="A47" s="54">
        <v>43355</v>
      </c>
      <c r="B47" s="15" t="s">
        <v>13</v>
      </c>
      <c r="C47" s="14" t="str">
        <f t="shared" si="1"/>
        <v>September</v>
      </c>
      <c r="D47" s="15" t="str">
        <f>CHOOSE(MATCH(MONTH(A47), {1,4,7,10}), "Winter", "Spring", "Summer", "Autumn")</f>
        <v>Summer</v>
      </c>
      <c r="E47">
        <f t="shared" si="2"/>
        <v>2018</v>
      </c>
      <c r="F47">
        <v>118</v>
      </c>
      <c r="G47">
        <f t="shared" ca="1" si="3"/>
        <v>97</v>
      </c>
      <c r="H47">
        <f t="shared" ca="1" si="0"/>
        <v>117</v>
      </c>
      <c r="I47" s="81">
        <f ca="1">(Table17[[#This Row],[Current_Month_Sales]]-Table17[[#This Row],[Previous Month Sales]])/Table17[[#This Row],[Previous Month Sales]]</f>
        <v>-0.17094017094017094</v>
      </c>
      <c r="J47" t="str">
        <f ca="1">IF(ABS(Table17[[#This Row],[%Change]]) &gt; 0.3, "Alert: Preference Shift", "")</f>
        <v/>
      </c>
    </row>
    <row r="48" spans="1:10">
      <c r="A48" s="53">
        <v>43385</v>
      </c>
      <c r="B48" s="14" t="s">
        <v>10</v>
      </c>
      <c r="C48" s="14" t="str">
        <f t="shared" si="1"/>
        <v>October</v>
      </c>
      <c r="D48" s="14" t="str">
        <f>CHOOSE(MATCH(MONTH(A48), {1,4,7,10}), "Winter", "Spring", "Summer", "Autumn")</f>
        <v>Autumn</v>
      </c>
      <c r="E48">
        <f t="shared" si="2"/>
        <v>2018</v>
      </c>
      <c r="F48">
        <v>104</v>
      </c>
      <c r="G48">
        <f t="shared" ca="1" si="3"/>
        <v>65</v>
      </c>
      <c r="H48">
        <f t="shared" ca="1" si="0"/>
        <v>117</v>
      </c>
      <c r="I48" s="81">
        <f ca="1">(Table17[[#This Row],[Current_Month_Sales]]-Table17[[#This Row],[Previous Month Sales]])/Table17[[#This Row],[Previous Month Sales]]</f>
        <v>-0.44444444444444442</v>
      </c>
      <c r="J48" t="str">
        <f ca="1">IF(ABS(Table17[[#This Row],[%Change]]) &gt; 0.3, "Alert: Preference Shift", "")</f>
        <v>Alert: Preference Shift</v>
      </c>
    </row>
    <row r="49" spans="1:10">
      <c r="A49" s="54">
        <v>43415</v>
      </c>
      <c r="B49" s="15" t="s">
        <v>14</v>
      </c>
      <c r="C49" s="14" t="str">
        <f t="shared" si="1"/>
        <v>November</v>
      </c>
      <c r="D49" s="15" t="str">
        <f>CHOOSE(MATCH(MONTH(A49), {1,4,7,10}), "Winter", "Spring", "Summer", "Autumn")</f>
        <v>Autumn</v>
      </c>
      <c r="E49">
        <f t="shared" si="2"/>
        <v>2018</v>
      </c>
      <c r="F49">
        <v>100</v>
      </c>
      <c r="G49">
        <f t="shared" ca="1" si="3"/>
        <v>157</v>
      </c>
      <c r="H49">
        <f t="shared" ca="1" si="0"/>
        <v>109</v>
      </c>
      <c r="I49" s="81">
        <f ca="1">(Table17[[#This Row],[Current_Month_Sales]]-Table17[[#This Row],[Previous Month Sales]])/Table17[[#This Row],[Previous Month Sales]]</f>
        <v>0.44036697247706424</v>
      </c>
      <c r="J49" t="str">
        <f ca="1">IF(ABS(Table17[[#This Row],[%Change]]) &gt; 0.3, "Alert: Preference Shift", "")</f>
        <v>Alert: Preference Shift</v>
      </c>
    </row>
    <row r="50" spans="1:10">
      <c r="A50" s="53">
        <v>43445</v>
      </c>
      <c r="B50" s="14" t="s">
        <v>10</v>
      </c>
      <c r="C50" s="14" t="str">
        <f t="shared" si="1"/>
        <v>December</v>
      </c>
      <c r="D50" s="14" t="str">
        <f>CHOOSE(MATCH(MONTH(A50), {1,4,7,10}), "Winter", "Spring", "Summer", "Autumn")</f>
        <v>Autumn</v>
      </c>
      <c r="E50">
        <f t="shared" si="2"/>
        <v>2018</v>
      </c>
      <c r="F50">
        <v>115</v>
      </c>
      <c r="G50">
        <f t="shared" ca="1" si="3"/>
        <v>172</v>
      </c>
      <c r="H50">
        <f t="shared" ca="1" si="0"/>
        <v>48</v>
      </c>
      <c r="I50" s="81">
        <f ca="1">(Table17[[#This Row],[Current_Month_Sales]]-Table17[[#This Row],[Previous Month Sales]])/Table17[[#This Row],[Previous Month Sales]]</f>
        <v>2.5833333333333335</v>
      </c>
      <c r="J50" t="str">
        <f ca="1">IF(ABS(Table17[[#This Row],[%Change]]) &gt; 0.3, "Alert: Preference Shift", "")</f>
        <v>Alert: Preference Shift</v>
      </c>
    </row>
    <row r="51" spans="1:10">
      <c r="A51" s="54">
        <v>43475</v>
      </c>
      <c r="B51" s="15" t="s">
        <v>13</v>
      </c>
      <c r="C51" s="14" t="str">
        <f t="shared" si="1"/>
        <v>January</v>
      </c>
      <c r="D51" s="15" t="str">
        <f>CHOOSE(MATCH(MONTH(A51), {1,4,7,10}), "Winter", "Spring", "Summer", "Autumn")</f>
        <v>Winter</v>
      </c>
      <c r="E51">
        <f t="shared" si="2"/>
        <v>2019</v>
      </c>
      <c r="F51">
        <v>94</v>
      </c>
      <c r="G51">
        <f t="shared" ca="1" si="3"/>
        <v>150</v>
      </c>
      <c r="H51">
        <f t="shared" ca="1" si="0"/>
        <v>48</v>
      </c>
      <c r="I51" s="81">
        <f ca="1">(Table17[[#This Row],[Current_Month_Sales]]-Table17[[#This Row],[Previous Month Sales]])/Table17[[#This Row],[Previous Month Sales]]</f>
        <v>2.125</v>
      </c>
      <c r="J51" t="str">
        <f ca="1">IF(ABS(Table17[[#This Row],[%Change]]) &gt; 0.3, "Alert: Preference Shift", "")</f>
        <v>Alert: Preference Shift</v>
      </c>
    </row>
    <row r="52" spans="1:10">
      <c r="A52" s="53">
        <v>43505</v>
      </c>
      <c r="B52" s="14" t="s">
        <v>11</v>
      </c>
      <c r="C52" s="14" t="str">
        <f t="shared" si="1"/>
        <v>February</v>
      </c>
      <c r="D52" s="14" t="str">
        <f>CHOOSE(MATCH(MONTH(A52), {1,4,7,10}), "Winter", "Spring", "Summer", "Autumn")</f>
        <v>Winter</v>
      </c>
      <c r="E52">
        <f t="shared" si="2"/>
        <v>2019</v>
      </c>
      <c r="F52">
        <v>91</v>
      </c>
      <c r="G52">
        <f t="shared" ca="1" si="3"/>
        <v>130</v>
      </c>
      <c r="H52">
        <f t="shared" ca="1" si="0"/>
        <v>48</v>
      </c>
      <c r="I52" s="81">
        <f ca="1">(Table17[[#This Row],[Current_Month_Sales]]-Table17[[#This Row],[Previous Month Sales]])/Table17[[#This Row],[Previous Month Sales]]</f>
        <v>1.7083333333333333</v>
      </c>
      <c r="J52" t="str">
        <f ca="1">IF(ABS(Table17[[#This Row],[%Change]]) &gt; 0.3, "Alert: Preference Shift", "")</f>
        <v>Alert: Preference Shift</v>
      </c>
    </row>
    <row r="53" spans="1:10">
      <c r="A53" s="54">
        <v>43535</v>
      </c>
      <c r="B53" s="15" t="s">
        <v>13</v>
      </c>
      <c r="C53" s="14" t="str">
        <f t="shared" si="1"/>
        <v>March</v>
      </c>
      <c r="D53" s="15" t="str">
        <f>CHOOSE(MATCH(MONTH(A53), {1,4,7,10}), "Winter", "Spring", "Summer", "Autumn")</f>
        <v>Winter</v>
      </c>
      <c r="E53">
        <f t="shared" si="2"/>
        <v>2019</v>
      </c>
      <c r="F53">
        <v>110</v>
      </c>
      <c r="G53">
        <f t="shared" ca="1" si="3"/>
        <v>130</v>
      </c>
      <c r="H53">
        <f t="shared" ca="1" si="0"/>
        <v>129</v>
      </c>
      <c r="I53" s="81">
        <f ca="1">(Table17[[#This Row],[Current_Month_Sales]]-Table17[[#This Row],[Previous Month Sales]])/Table17[[#This Row],[Previous Month Sales]]</f>
        <v>7.7519379844961239E-3</v>
      </c>
      <c r="J53" t="str">
        <f ca="1">IF(ABS(Table17[[#This Row],[%Change]]) &gt; 0.3, "Alert: Preference Shift", "")</f>
        <v/>
      </c>
    </row>
    <row r="54" spans="1:10">
      <c r="A54" s="53">
        <v>43565</v>
      </c>
      <c r="B54" s="14" t="s">
        <v>11</v>
      </c>
      <c r="C54" s="14" t="str">
        <f t="shared" si="1"/>
        <v>April</v>
      </c>
      <c r="D54" s="14" t="str">
        <f>CHOOSE(MATCH(MONTH(A54), {1,4,7,10}), "Winter", "Spring", "Summer", "Autumn")</f>
        <v>Spring</v>
      </c>
      <c r="E54">
        <f t="shared" si="2"/>
        <v>2019</v>
      </c>
      <c r="F54">
        <v>98</v>
      </c>
      <c r="G54">
        <f t="shared" ca="1" si="3"/>
        <v>65</v>
      </c>
      <c r="H54">
        <f t="shared" ca="1" si="0"/>
        <v>63</v>
      </c>
      <c r="I54" s="81">
        <f ca="1">(Table17[[#This Row],[Current_Month_Sales]]-Table17[[#This Row],[Previous Month Sales]])/Table17[[#This Row],[Previous Month Sales]]</f>
        <v>3.1746031746031744E-2</v>
      </c>
      <c r="J54" t="str">
        <f ca="1">IF(ABS(Table17[[#This Row],[%Change]]) &gt; 0.3, "Alert: Preference Shift", "")</f>
        <v/>
      </c>
    </row>
    <row r="55" spans="1:10">
      <c r="A55" s="54">
        <v>43595</v>
      </c>
      <c r="B55" s="15" t="s">
        <v>13</v>
      </c>
      <c r="C55" s="14" t="str">
        <f t="shared" si="1"/>
        <v>May</v>
      </c>
      <c r="D55" s="15" t="str">
        <f>CHOOSE(MATCH(MONTH(A55), {1,4,7,10}), "Winter", "Spring", "Summer", "Autumn")</f>
        <v>Spring</v>
      </c>
      <c r="E55">
        <f t="shared" si="2"/>
        <v>2019</v>
      </c>
      <c r="F55">
        <v>86</v>
      </c>
      <c r="G55">
        <f t="shared" ca="1" si="3"/>
        <v>121</v>
      </c>
      <c r="H55">
        <f t="shared" ca="1" si="0"/>
        <v>68</v>
      </c>
      <c r="I55" s="81">
        <f ca="1">(Table17[[#This Row],[Current_Month_Sales]]-Table17[[#This Row],[Previous Month Sales]])/Table17[[#This Row],[Previous Month Sales]]</f>
        <v>0.77941176470588236</v>
      </c>
      <c r="J55" t="str">
        <f ca="1">IF(ABS(Table17[[#This Row],[%Change]]) &gt; 0.3, "Alert: Preference Shift", "")</f>
        <v>Alert: Preference Shift</v>
      </c>
    </row>
    <row r="56" spans="1:10">
      <c r="A56" s="53">
        <v>43625</v>
      </c>
      <c r="B56" s="14" t="s">
        <v>12</v>
      </c>
      <c r="C56" s="14" t="str">
        <f t="shared" si="1"/>
        <v>June</v>
      </c>
      <c r="D56" s="14" t="str">
        <f>CHOOSE(MATCH(MONTH(A56), {1,4,7,10}), "Winter", "Spring", "Summer", "Autumn")</f>
        <v>Spring</v>
      </c>
      <c r="E56">
        <f t="shared" si="2"/>
        <v>2019</v>
      </c>
      <c r="F56">
        <v>121</v>
      </c>
      <c r="G56">
        <f t="shared" ca="1" si="3"/>
        <v>121</v>
      </c>
      <c r="H56">
        <f t="shared" ca="1" si="0"/>
        <v>56</v>
      </c>
      <c r="I56" s="81">
        <f ca="1">(Table17[[#This Row],[Current_Month_Sales]]-Table17[[#This Row],[Previous Month Sales]])/Table17[[#This Row],[Previous Month Sales]]</f>
        <v>1.1607142857142858</v>
      </c>
      <c r="J56" t="str">
        <f ca="1">IF(ABS(Table17[[#This Row],[%Change]]) &gt; 0.3, "Alert: Preference Shift", "")</f>
        <v>Alert: Preference Shift</v>
      </c>
    </row>
    <row r="57" spans="1:10">
      <c r="A57" s="54">
        <v>43655</v>
      </c>
      <c r="B57" s="15" t="s">
        <v>10</v>
      </c>
      <c r="C57" s="14" t="str">
        <f t="shared" si="1"/>
        <v>July</v>
      </c>
      <c r="D57" s="15" t="str">
        <f>CHOOSE(MATCH(MONTH(A57), {1,4,7,10}), "Winter", "Spring", "Summer", "Autumn")</f>
        <v>Summer</v>
      </c>
      <c r="E57">
        <f t="shared" si="2"/>
        <v>2019</v>
      </c>
      <c r="F57">
        <v>100</v>
      </c>
      <c r="G57">
        <f t="shared" ca="1" si="3"/>
        <v>97</v>
      </c>
      <c r="H57">
        <f t="shared" ca="1" si="0"/>
        <v>109</v>
      </c>
      <c r="I57" s="81">
        <f ca="1">(Table17[[#This Row],[Current_Month_Sales]]-Table17[[#This Row],[Previous Month Sales]])/Table17[[#This Row],[Previous Month Sales]]</f>
        <v>-0.11009174311926606</v>
      </c>
      <c r="J57" t="str">
        <f ca="1">IF(ABS(Table17[[#This Row],[%Change]]) &gt; 0.3, "Alert: Preference Shift", "")</f>
        <v/>
      </c>
    </row>
    <row r="58" spans="1:10">
      <c r="A58" s="53">
        <v>43685</v>
      </c>
      <c r="B58" s="14" t="s">
        <v>10</v>
      </c>
      <c r="C58" s="14" t="str">
        <f t="shared" si="1"/>
        <v>August</v>
      </c>
      <c r="D58" s="14" t="str">
        <f>CHOOSE(MATCH(MONTH(A58), {1,4,7,10}), "Winter", "Spring", "Summer", "Autumn")</f>
        <v>Summer</v>
      </c>
      <c r="E58">
        <f t="shared" si="2"/>
        <v>2019</v>
      </c>
      <c r="F58">
        <v>96</v>
      </c>
      <c r="G58">
        <f t="shared" ca="1" si="3"/>
        <v>100</v>
      </c>
      <c r="H58">
        <f t="shared" ca="1" si="0"/>
        <v>105</v>
      </c>
      <c r="I58" s="81">
        <f ca="1">(Table17[[#This Row],[Current_Month_Sales]]-Table17[[#This Row],[Previous Month Sales]])/Table17[[#This Row],[Previous Month Sales]]</f>
        <v>-4.7619047619047616E-2</v>
      </c>
      <c r="J58" t="str">
        <f ca="1">IF(ABS(Table17[[#This Row],[%Change]]) &gt; 0.3, "Alert: Preference Shift", "")</f>
        <v/>
      </c>
    </row>
    <row r="59" spans="1:10">
      <c r="A59" s="54">
        <v>43715</v>
      </c>
      <c r="B59" s="15" t="s">
        <v>12</v>
      </c>
      <c r="C59" s="14" t="str">
        <f t="shared" si="1"/>
        <v>September</v>
      </c>
      <c r="D59" s="15" t="str">
        <f>CHOOSE(MATCH(MONTH(A59), {1,4,7,10}), "Winter", "Spring", "Summer", "Autumn")</f>
        <v>Summer</v>
      </c>
      <c r="E59">
        <f t="shared" si="2"/>
        <v>2019</v>
      </c>
      <c r="F59">
        <v>100</v>
      </c>
      <c r="G59">
        <f t="shared" ca="1" si="3"/>
        <v>130</v>
      </c>
      <c r="H59">
        <f t="shared" ca="1" si="0"/>
        <v>48</v>
      </c>
      <c r="I59" s="81">
        <f ca="1">(Table17[[#This Row],[Current_Month_Sales]]-Table17[[#This Row],[Previous Month Sales]])/Table17[[#This Row],[Previous Month Sales]]</f>
        <v>1.7083333333333333</v>
      </c>
      <c r="J59" t="str">
        <f ca="1">IF(ABS(Table17[[#This Row],[%Change]]) &gt; 0.3, "Alert: Preference Shift", "")</f>
        <v>Alert: Preference Shift</v>
      </c>
    </row>
    <row r="60" spans="1:10">
      <c r="A60" s="53">
        <v>43745</v>
      </c>
      <c r="B60" s="14" t="s">
        <v>11</v>
      </c>
      <c r="C60" s="14" t="str">
        <f t="shared" si="1"/>
        <v>October</v>
      </c>
      <c r="D60" s="14" t="str">
        <f>CHOOSE(MATCH(MONTH(A60), {1,4,7,10}), "Winter", "Spring", "Summer", "Autumn")</f>
        <v>Autumn</v>
      </c>
      <c r="E60">
        <f t="shared" si="2"/>
        <v>2019</v>
      </c>
      <c r="F60">
        <v>100</v>
      </c>
      <c r="G60">
        <f t="shared" ca="1" si="3"/>
        <v>97</v>
      </c>
      <c r="H60">
        <f t="shared" ca="1" si="0"/>
        <v>68</v>
      </c>
      <c r="I60" s="81">
        <f ca="1">(Table17[[#This Row],[Current_Month_Sales]]-Table17[[#This Row],[Previous Month Sales]])/Table17[[#This Row],[Previous Month Sales]]</f>
        <v>0.4264705882352941</v>
      </c>
      <c r="J60" t="str">
        <f ca="1">IF(ABS(Table17[[#This Row],[%Change]]) &gt; 0.3, "Alert: Preference Shift", "")</f>
        <v>Alert: Preference Shift</v>
      </c>
    </row>
    <row r="61" spans="1:10">
      <c r="A61" s="54">
        <v>43775</v>
      </c>
      <c r="B61" s="15" t="s">
        <v>10</v>
      </c>
      <c r="C61" s="14" t="str">
        <f t="shared" si="1"/>
        <v>November</v>
      </c>
      <c r="D61" s="15" t="str">
        <f>CHOOSE(MATCH(MONTH(A61), {1,4,7,10}), "Winter", "Spring", "Summer", "Autumn")</f>
        <v>Autumn</v>
      </c>
      <c r="E61">
        <f t="shared" si="2"/>
        <v>2019</v>
      </c>
      <c r="F61">
        <v>93</v>
      </c>
      <c r="G61">
        <f t="shared" ca="1" si="3"/>
        <v>78</v>
      </c>
      <c r="H61">
        <f t="shared" ca="1" si="0"/>
        <v>117</v>
      </c>
      <c r="I61" s="81">
        <f ca="1">(Table17[[#This Row],[Current_Month_Sales]]-Table17[[#This Row],[Previous Month Sales]])/Table17[[#This Row],[Previous Month Sales]]</f>
        <v>-0.33333333333333331</v>
      </c>
      <c r="J61" t="str">
        <f ca="1">IF(ABS(Table17[[#This Row],[%Change]]) &gt; 0.3, "Alert: Preference Shift", "")</f>
        <v>Alert: Preference Shift</v>
      </c>
    </row>
    <row r="62" spans="1:10">
      <c r="A62" s="53">
        <v>43805</v>
      </c>
      <c r="B62" s="14" t="s">
        <v>12</v>
      </c>
      <c r="C62" s="14" t="str">
        <f t="shared" si="1"/>
        <v>December</v>
      </c>
      <c r="D62" s="14" t="str">
        <f>CHOOSE(MATCH(MONTH(A62), {1,4,7,10}), "Winter", "Spring", "Summer", "Autumn")</f>
        <v>Autumn</v>
      </c>
      <c r="E62">
        <f t="shared" si="2"/>
        <v>2019</v>
      </c>
      <c r="F62">
        <v>103</v>
      </c>
      <c r="G62">
        <f t="shared" ca="1" si="3"/>
        <v>100</v>
      </c>
      <c r="H62">
        <f t="shared" ca="1" si="0"/>
        <v>118</v>
      </c>
      <c r="I62" s="81">
        <f ca="1">(Table17[[#This Row],[Current_Month_Sales]]-Table17[[#This Row],[Previous Month Sales]])/Table17[[#This Row],[Previous Month Sales]]</f>
        <v>-0.15254237288135594</v>
      </c>
      <c r="J62" t="str">
        <f ca="1">IF(ABS(Table17[[#This Row],[%Change]]) &gt; 0.3, "Alert: Preference Shift", "")</f>
        <v/>
      </c>
    </row>
    <row r="63" spans="1:10">
      <c r="A63" s="54">
        <v>43835</v>
      </c>
      <c r="B63" s="15" t="s">
        <v>10</v>
      </c>
      <c r="C63" s="14" t="str">
        <f t="shared" si="1"/>
        <v>January</v>
      </c>
      <c r="D63" s="15" t="str">
        <f>CHOOSE(MATCH(MONTH(A63), {1,4,7,10}), "Winter", "Spring", "Summer", "Autumn")</f>
        <v>Winter</v>
      </c>
      <c r="E63">
        <f t="shared" si="2"/>
        <v>2020</v>
      </c>
      <c r="F63">
        <v>78</v>
      </c>
      <c r="G63">
        <f t="shared" ca="1" si="3"/>
        <v>89</v>
      </c>
      <c r="H63">
        <f t="shared" ca="1" si="0"/>
        <v>117</v>
      </c>
      <c r="I63" s="81">
        <f ca="1">(Table17[[#This Row],[Current_Month_Sales]]-Table17[[#This Row],[Previous Month Sales]])/Table17[[#This Row],[Previous Month Sales]]</f>
        <v>-0.23931623931623933</v>
      </c>
      <c r="J63" t="str">
        <f ca="1">IF(ABS(Table17[[#This Row],[%Change]]) &gt; 0.3, "Alert: Preference Shift", "")</f>
        <v/>
      </c>
    </row>
    <row r="64" spans="1:10">
      <c r="A64" s="53">
        <v>43865</v>
      </c>
      <c r="B64" s="14" t="s">
        <v>14</v>
      </c>
      <c r="C64" s="14" t="str">
        <f t="shared" si="1"/>
        <v>February</v>
      </c>
      <c r="D64" s="14" t="str">
        <f>CHOOSE(MATCH(MONTH(A64), {1,4,7,10}), "Winter", "Spring", "Summer", "Autumn")</f>
        <v>Winter</v>
      </c>
      <c r="E64">
        <f t="shared" si="2"/>
        <v>2020</v>
      </c>
      <c r="F64">
        <v>116</v>
      </c>
      <c r="G64">
        <f t="shared" ca="1" si="3"/>
        <v>100</v>
      </c>
      <c r="H64">
        <f t="shared" ca="1" si="0"/>
        <v>117</v>
      </c>
      <c r="I64" s="81">
        <f ca="1">(Table17[[#This Row],[Current_Month_Sales]]-Table17[[#This Row],[Previous Month Sales]])/Table17[[#This Row],[Previous Month Sales]]</f>
        <v>-0.14529914529914531</v>
      </c>
      <c r="J64" t="str">
        <f ca="1">IF(ABS(Table17[[#This Row],[%Change]]) &gt; 0.3, "Alert: Preference Shift", "")</f>
        <v/>
      </c>
    </row>
    <row r="65" spans="1:10">
      <c r="A65" s="54">
        <v>43895</v>
      </c>
      <c r="B65" s="15" t="s">
        <v>11</v>
      </c>
      <c r="C65" s="14" t="str">
        <f t="shared" si="1"/>
        <v>March</v>
      </c>
      <c r="D65" s="15" t="str">
        <f>CHOOSE(MATCH(MONTH(A65), {1,4,7,10}), "Winter", "Spring", "Summer", "Autumn")</f>
        <v>Winter</v>
      </c>
      <c r="E65">
        <f t="shared" si="2"/>
        <v>2020</v>
      </c>
      <c r="F65">
        <v>88</v>
      </c>
      <c r="G65">
        <f t="shared" ca="1" si="3"/>
        <v>150</v>
      </c>
      <c r="H65">
        <f t="shared" ca="1" si="0"/>
        <v>79</v>
      </c>
      <c r="I65" s="81">
        <f ca="1">(Table17[[#This Row],[Current_Month_Sales]]-Table17[[#This Row],[Previous Month Sales]])/Table17[[#This Row],[Previous Month Sales]]</f>
        <v>0.89873417721518989</v>
      </c>
      <c r="J65" t="str">
        <f ca="1">IF(ABS(Table17[[#This Row],[%Change]]) &gt; 0.3, "Alert: Preference Shift", "")</f>
        <v>Alert: Preference Shift</v>
      </c>
    </row>
    <row r="66" spans="1:10">
      <c r="A66" s="53">
        <v>43925</v>
      </c>
      <c r="B66" s="14" t="s">
        <v>14</v>
      </c>
      <c r="C66" s="14" t="str">
        <f t="shared" si="1"/>
        <v>April</v>
      </c>
      <c r="D66" s="14" t="str">
        <f>CHOOSE(MATCH(MONTH(A66), {1,4,7,10}), "Winter", "Spring", "Summer", "Autumn")</f>
        <v>Spring</v>
      </c>
      <c r="E66">
        <f t="shared" si="2"/>
        <v>2020</v>
      </c>
      <c r="F66">
        <v>105</v>
      </c>
      <c r="G66">
        <f t="shared" ref="G66:G129" ca="1" si="4">CHOOSE(RANDBETWEEN(1,12), 121,133,65,78,150,189,89,157,100,172,97,130)</f>
        <v>100</v>
      </c>
      <c r="H66">
        <f t="shared" ref="H66:H129" ca="1" si="5">CHOOSE(RANDBETWEEN(1,12), 129,63,79,105,117,129,56,48,117,109,68,118)</f>
        <v>109</v>
      </c>
      <c r="I66" s="81">
        <f ca="1">(Table17[[#This Row],[Current_Month_Sales]]-Table17[[#This Row],[Previous Month Sales]])/Table17[[#This Row],[Previous Month Sales]]</f>
        <v>-8.2568807339449546E-2</v>
      </c>
      <c r="J66" t="str">
        <f ca="1">IF(ABS(Table17[[#This Row],[%Change]]) &gt; 0.3, "Alert: Preference Shift", "")</f>
        <v/>
      </c>
    </row>
    <row r="67" spans="1:10">
      <c r="A67" s="54">
        <v>43955</v>
      </c>
      <c r="B67" s="15" t="s">
        <v>11</v>
      </c>
      <c r="C67" s="14" t="str">
        <f t="shared" ref="C67:C130" si="6">TEXT(A67,"mmmm")</f>
        <v>May</v>
      </c>
      <c r="D67" s="15" t="str">
        <f>CHOOSE(MATCH(MONTH(A67), {1,4,7,10}), "Winter", "Spring", "Summer", "Autumn")</f>
        <v>Spring</v>
      </c>
      <c r="E67">
        <f t="shared" ref="E67:E130" si="7">YEAR(A67)</f>
        <v>2020</v>
      </c>
      <c r="F67">
        <v>92</v>
      </c>
      <c r="G67">
        <f t="shared" ca="1" si="4"/>
        <v>150</v>
      </c>
      <c r="H67">
        <f t="shared" ca="1" si="5"/>
        <v>117</v>
      </c>
      <c r="I67" s="81">
        <f ca="1">(Table17[[#This Row],[Current_Month_Sales]]-Table17[[#This Row],[Previous Month Sales]])/Table17[[#This Row],[Previous Month Sales]]</f>
        <v>0.28205128205128205</v>
      </c>
      <c r="J67" t="str">
        <f ca="1">IF(ABS(Table17[[#This Row],[%Change]]) &gt; 0.3, "Alert: Preference Shift", "")</f>
        <v/>
      </c>
    </row>
    <row r="68" spans="1:10">
      <c r="A68" s="53">
        <v>43985</v>
      </c>
      <c r="B68" s="14" t="s">
        <v>12</v>
      </c>
      <c r="C68" s="14" t="str">
        <f t="shared" si="6"/>
        <v>June</v>
      </c>
      <c r="D68" s="14" t="str">
        <f>CHOOSE(MATCH(MONTH(A68), {1,4,7,10}), "Winter", "Spring", "Summer", "Autumn")</f>
        <v>Spring</v>
      </c>
      <c r="E68">
        <f t="shared" si="7"/>
        <v>2020</v>
      </c>
      <c r="F68">
        <v>96</v>
      </c>
      <c r="G68">
        <f t="shared" ca="1" si="4"/>
        <v>121</v>
      </c>
      <c r="H68">
        <f t="shared" ca="1" si="5"/>
        <v>63</v>
      </c>
      <c r="I68" s="81">
        <f ca="1">(Table17[[#This Row],[Current_Month_Sales]]-Table17[[#This Row],[Previous Month Sales]])/Table17[[#This Row],[Previous Month Sales]]</f>
        <v>0.92063492063492058</v>
      </c>
      <c r="J68" t="str">
        <f ca="1">IF(ABS(Table17[[#This Row],[%Change]]) &gt; 0.3, "Alert: Preference Shift", "")</f>
        <v>Alert: Preference Shift</v>
      </c>
    </row>
    <row r="69" spans="1:10">
      <c r="A69" s="54">
        <v>44015</v>
      </c>
      <c r="B69" s="15" t="s">
        <v>11</v>
      </c>
      <c r="C69" s="14" t="str">
        <f t="shared" si="6"/>
        <v>July</v>
      </c>
      <c r="D69" s="15" t="str">
        <f>CHOOSE(MATCH(MONTH(A69), {1,4,7,10}), "Winter", "Spring", "Summer", "Autumn")</f>
        <v>Summer</v>
      </c>
      <c r="E69">
        <f t="shared" si="7"/>
        <v>2020</v>
      </c>
      <c r="F69">
        <v>104</v>
      </c>
      <c r="G69">
        <f t="shared" ca="1" si="4"/>
        <v>121</v>
      </c>
      <c r="H69">
        <f t="shared" ca="1" si="5"/>
        <v>117</v>
      </c>
      <c r="I69" s="81">
        <f ca="1">(Table17[[#This Row],[Current_Month_Sales]]-Table17[[#This Row],[Previous Month Sales]])/Table17[[#This Row],[Previous Month Sales]]</f>
        <v>3.4188034188034191E-2</v>
      </c>
      <c r="J69" t="str">
        <f ca="1">IF(ABS(Table17[[#This Row],[%Change]]) &gt; 0.3, "Alert: Preference Shift", "")</f>
        <v/>
      </c>
    </row>
    <row r="70" spans="1:10">
      <c r="A70" s="53">
        <v>44045</v>
      </c>
      <c r="B70" s="14" t="s">
        <v>11</v>
      </c>
      <c r="C70" s="14" t="str">
        <f t="shared" si="6"/>
        <v>August</v>
      </c>
      <c r="D70" s="14" t="str">
        <f>CHOOSE(MATCH(MONTH(A70), {1,4,7,10}), "Winter", "Spring", "Summer", "Autumn")</f>
        <v>Summer</v>
      </c>
      <c r="E70">
        <f t="shared" si="7"/>
        <v>2020</v>
      </c>
      <c r="F70">
        <v>84</v>
      </c>
      <c r="G70">
        <f t="shared" ca="1" si="4"/>
        <v>130</v>
      </c>
      <c r="H70">
        <f t="shared" ca="1" si="5"/>
        <v>117</v>
      </c>
      <c r="I70" s="81">
        <f ca="1">(Table17[[#This Row],[Current_Month_Sales]]-Table17[[#This Row],[Previous Month Sales]])/Table17[[#This Row],[Previous Month Sales]]</f>
        <v>0.1111111111111111</v>
      </c>
      <c r="J70" t="str">
        <f ca="1">IF(ABS(Table17[[#This Row],[%Change]]) &gt; 0.3, "Alert: Preference Shift", "")</f>
        <v/>
      </c>
    </row>
    <row r="71" spans="1:10">
      <c r="A71" s="54">
        <v>44075</v>
      </c>
      <c r="B71" s="15" t="s">
        <v>12</v>
      </c>
      <c r="C71" s="14" t="str">
        <f t="shared" si="6"/>
        <v>September</v>
      </c>
      <c r="D71" s="15" t="str">
        <f>CHOOSE(MATCH(MONTH(A71), {1,4,7,10}), "Winter", "Spring", "Summer", "Autumn")</f>
        <v>Summer</v>
      </c>
      <c r="E71">
        <f t="shared" si="7"/>
        <v>2020</v>
      </c>
      <c r="F71">
        <v>95</v>
      </c>
      <c r="G71">
        <f t="shared" ca="1" si="4"/>
        <v>121</v>
      </c>
      <c r="H71">
        <f t="shared" ca="1" si="5"/>
        <v>105</v>
      </c>
      <c r="I71" s="81">
        <f ca="1">(Table17[[#This Row],[Current_Month_Sales]]-Table17[[#This Row],[Previous Month Sales]])/Table17[[#This Row],[Previous Month Sales]]</f>
        <v>0.15238095238095239</v>
      </c>
      <c r="J71" t="str">
        <f ca="1">IF(ABS(Table17[[#This Row],[%Change]]) &gt; 0.3, "Alert: Preference Shift", "")</f>
        <v/>
      </c>
    </row>
    <row r="72" spans="1:10">
      <c r="A72" s="53">
        <v>44105</v>
      </c>
      <c r="B72" s="14" t="s">
        <v>11</v>
      </c>
      <c r="C72" s="14" t="str">
        <f t="shared" si="6"/>
        <v>October</v>
      </c>
      <c r="D72" s="14" t="str">
        <f>CHOOSE(MATCH(MONTH(A72), {1,4,7,10}), "Winter", "Spring", "Summer", "Autumn")</f>
        <v>Autumn</v>
      </c>
      <c r="E72">
        <f t="shared" si="7"/>
        <v>2020</v>
      </c>
      <c r="F72">
        <v>105</v>
      </c>
      <c r="G72">
        <f t="shared" ca="1" si="4"/>
        <v>133</v>
      </c>
      <c r="H72">
        <f t="shared" ca="1" si="5"/>
        <v>117</v>
      </c>
      <c r="I72" s="81">
        <f ca="1">(Table17[[#This Row],[Current_Month_Sales]]-Table17[[#This Row],[Previous Month Sales]])/Table17[[#This Row],[Previous Month Sales]]</f>
        <v>0.13675213675213677</v>
      </c>
      <c r="J72" t="str">
        <f ca="1">IF(ABS(Table17[[#This Row],[%Change]]) &gt; 0.3, "Alert: Preference Shift", "")</f>
        <v/>
      </c>
    </row>
    <row r="73" spans="1:10">
      <c r="A73" s="54">
        <v>44135</v>
      </c>
      <c r="B73" s="15" t="s">
        <v>10</v>
      </c>
      <c r="C73" s="14" t="str">
        <f t="shared" si="6"/>
        <v>October</v>
      </c>
      <c r="D73" s="15" t="str">
        <f>CHOOSE(MATCH(MONTH(A73), {1,4,7,10}), "Winter", "Spring", "Summer", "Autumn")</f>
        <v>Autumn</v>
      </c>
      <c r="E73">
        <f t="shared" si="7"/>
        <v>2020</v>
      </c>
      <c r="F73">
        <v>100</v>
      </c>
      <c r="G73">
        <f t="shared" ca="1" si="4"/>
        <v>172</v>
      </c>
      <c r="H73">
        <f t="shared" ca="1" si="5"/>
        <v>79</v>
      </c>
      <c r="I73" s="81">
        <f ca="1">(Table17[[#This Row],[Current_Month_Sales]]-Table17[[#This Row],[Previous Month Sales]])/Table17[[#This Row],[Previous Month Sales]]</f>
        <v>1.1772151898734178</v>
      </c>
      <c r="J73" t="str">
        <f ca="1">IF(ABS(Table17[[#This Row],[%Change]]) &gt; 0.3, "Alert: Preference Shift", "")</f>
        <v>Alert: Preference Shift</v>
      </c>
    </row>
    <row r="74" spans="1:10">
      <c r="A74" s="53">
        <v>44165</v>
      </c>
      <c r="B74" s="14" t="s">
        <v>13</v>
      </c>
      <c r="C74" s="14" t="str">
        <f t="shared" si="6"/>
        <v>November</v>
      </c>
      <c r="D74" s="14" t="str">
        <f>CHOOSE(MATCH(MONTH(A74), {1,4,7,10}), "Winter", "Spring", "Summer", "Autumn")</f>
        <v>Autumn</v>
      </c>
      <c r="E74">
        <f t="shared" si="7"/>
        <v>2020</v>
      </c>
      <c r="F74">
        <v>104</v>
      </c>
      <c r="G74">
        <f t="shared" ca="1" si="4"/>
        <v>189</v>
      </c>
      <c r="H74">
        <f t="shared" ca="1" si="5"/>
        <v>68</v>
      </c>
      <c r="I74" s="81">
        <f ca="1">(Table17[[#This Row],[Current_Month_Sales]]-Table17[[#This Row],[Previous Month Sales]])/Table17[[#This Row],[Previous Month Sales]]</f>
        <v>1.7794117647058822</v>
      </c>
      <c r="J74" t="str">
        <f ca="1">IF(ABS(Table17[[#This Row],[%Change]]) &gt; 0.3, "Alert: Preference Shift", "")</f>
        <v>Alert: Preference Shift</v>
      </c>
    </row>
    <row r="75" spans="1:10">
      <c r="A75" s="54">
        <v>44195</v>
      </c>
      <c r="B75" s="15" t="s">
        <v>12</v>
      </c>
      <c r="C75" s="14" t="str">
        <f t="shared" si="6"/>
        <v>December</v>
      </c>
      <c r="D75" s="15" t="str">
        <f>CHOOSE(MATCH(MONTH(A75), {1,4,7,10}), "Winter", "Spring", "Summer", "Autumn")</f>
        <v>Autumn</v>
      </c>
      <c r="E75">
        <f t="shared" si="7"/>
        <v>2020</v>
      </c>
      <c r="F75">
        <v>106</v>
      </c>
      <c r="G75">
        <f t="shared" ca="1" si="4"/>
        <v>121</v>
      </c>
      <c r="H75">
        <f t="shared" ca="1" si="5"/>
        <v>118</v>
      </c>
      <c r="I75" s="81">
        <f ca="1">(Table17[[#This Row],[Current_Month_Sales]]-Table17[[#This Row],[Previous Month Sales]])/Table17[[#This Row],[Previous Month Sales]]</f>
        <v>2.5423728813559324E-2</v>
      </c>
      <c r="J75" t="str">
        <f ca="1">IF(ABS(Table17[[#This Row],[%Change]]) &gt; 0.3, "Alert: Preference Shift", "")</f>
        <v/>
      </c>
    </row>
    <row r="76" spans="1:10">
      <c r="A76" s="53">
        <v>44225</v>
      </c>
      <c r="B76" s="14" t="s">
        <v>13</v>
      </c>
      <c r="C76" s="14" t="str">
        <f t="shared" si="6"/>
        <v>January</v>
      </c>
      <c r="D76" s="14" t="str">
        <f>CHOOSE(MATCH(MONTH(A76), {1,4,7,10}), "Winter", "Spring", "Summer", "Autumn")</f>
        <v>Winter</v>
      </c>
      <c r="E76">
        <f t="shared" si="7"/>
        <v>2021</v>
      </c>
      <c r="F76">
        <v>120</v>
      </c>
      <c r="G76">
        <f t="shared" ca="1" si="4"/>
        <v>97</v>
      </c>
      <c r="H76">
        <f t="shared" ca="1" si="5"/>
        <v>48</v>
      </c>
      <c r="I76" s="81">
        <f ca="1">(Table17[[#This Row],[Current_Month_Sales]]-Table17[[#This Row],[Previous Month Sales]])/Table17[[#This Row],[Previous Month Sales]]</f>
        <v>1.0208333333333333</v>
      </c>
      <c r="J76" t="str">
        <f ca="1">IF(ABS(Table17[[#This Row],[%Change]]) &gt; 0.3, "Alert: Preference Shift", "")</f>
        <v>Alert: Preference Shift</v>
      </c>
    </row>
    <row r="77" spans="1:10">
      <c r="A77" s="54">
        <v>44255</v>
      </c>
      <c r="B77" s="15" t="s">
        <v>12</v>
      </c>
      <c r="C77" s="14" t="str">
        <f t="shared" si="6"/>
        <v>February</v>
      </c>
      <c r="D77" s="15" t="str">
        <f>CHOOSE(MATCH(MONTH(A77), {1,4,7,10}), "Winter", "Spring", "Summer", "Autumn")</f>
        <v>Winter</v>
      </c>
      <c r="E77">
        <f t="shared" si="7"/>
        <v>2021</v>
      </c>
      <c r="F77">
        <v>100</v>
      </c>
      <c r="G77">
        <f t="shared" ca="1" si="4"/>
        <v>89</v>
      </c>
      <c r="H77">
        <f t="shared" ca="1" si="5"/>
        <v>48</v>
      </c>
      <c r="I77" s="81">
        <f ca="1">(Table17[[#This Row],[Current_Month_Sales]]-Table17[[#This Row],[Previous Month Sales]])/Table17[[#This Row],[Previous Month Sales]]</f>
        <v>0.85416666666666663</v>
      </c>
      <c r="J77" t="str">
        <f ca="1">IF(ABS(Table17[[#This Row],[%Change]]) &gt; 0.3, "Alert: Preference Shift", "")</f>
        <v>Alert: Preference Shift</v>
      </c>
    </row>
    <row r="78" spans="1:10">
      <c r="A78" s="53">
        <v>44285</v>
      </c>
      <c r="B78" s="14" t="s">
        <v>12</v>
      </c>
      <c r="C78" s="14" t="str">
        <f t="shared" si="6"/>
        <v>March</v>
      </c>
      <c r="D78" s="14" t="str">
        <f>CHOOSE(MATCH(MONTH(A78), {1,4,7,10}), "Winter", "Spring", "Summer", "Autumn")</f>
        <v>Winter</v>
      </c>
      <c r="E78">
        <f t="shared" si="7"/>
        <v>2021</v>
      </c>
      <c r="F78">
        <v>118</v>
      </c>
      <c r="G78">
        <f t="shared" ca="1" si="4"/>
        <v>157</v>
      </c>
      <c r="H78">
        <f t="shared" ca="1" si="5"/>
        <v>117</v>
      </c>
      <c r="I78" s="81">
        <f ca="1">(Table17[[#This Row],[Current_Month_Sales]]-Table17[[#This Row],[Previous Month Sales]])/Table17[[#This Row],[Previous Month Sales]]</f>
        <v>0.34188034188034189</v>
      </c>
      <c r="J78" t="str">
        <f ca="1">IF(ABS(Table17[[#This Row],[%Change]]) &gt; 0.3, "Alert: Preference Shift", "")</f>
        <v>Alert: Preference Shift</v>
      </c>
    </row>
    <row r="79" spans="1:10">
      <c r="A79" s="54">
        <v>44315</v>
      </c>
      <c r="B79" s="15" t="s">
        <v>14</v>
      </c>
      <c r="C79" s="14" t="str">
        <f t="shared" si="6"/>
        <v>April</v>
      </c>
      <c r="D79" s="15" t="str">
        <f>CHOOSE(MATCH(MONTH(A79), {1,4,7,10}), "Winter", "Spring", "Summer", "Autumn")</f>
        <v>Spring</v>
      </c>
      <c r="E79">
        <f t="shared" si="7"/>
        <v>2021</v>
      </c>
      <c r="F79">
        <v>92</v>
      </c>
      <c r="G79">
        <f t="shared" ca="1" si="4"/>
        <v>172</v>
      </c>
      <c r="H79">
        <f t="shared" ca="1" si="5"/>
        <v>118</v>
      </c>
      <c r="I79" s="81">
        <f ca="1">(Table17[[#This Row],[Current_Month_Sales]]-Table17[[#This Row],[Previous Month Sales]])/Table17[[#This Row],[Previous Month Sales]]</f>
        <v>0.4576271186440678</v>
      </c>
      <c r="J79" t="str">
        <f ca="1">IF(ABS(Table17[[#This Row],[%Change]]) &gt; 0.3, "Alert: Preference Shift", "")</f>
        <v>Alert: Preference Shift</v>
      </c>
    </row>
    <row r="80" spans="1:10">
      <c r="A80" s="53">
        <v>44345</v>
      </c>
      <c r="B80" s="14" t="s">
        <v>14</v>
      </c>
      <c r="C80" s="14" t="str">
        <f t="shared" si="6"/>
        <v>May</v>
      </c>
      <c r="D80" s="14" t="str">
        <f>CHOOSE(MATCH(MONTH(A80), {1,4,7,10}), "Winter", "Spring", "Summer", "Autumn")</f>
        <v>Spring</v>
      </c>
      <c r="E80">
        <f t="shared" si="7"/>
        <v>2021</v>
      </c>
      <c r="F80">
        <v>110</v>
      </c>
      <c r="G80">
        <f t="shared" ca="1" si="4"/>
        <v>121</v>
      </c>
      <c r="H80">
        <f t="shared" ca="1" si="5"/>
        <v>118</v>
      </c>
      <c r="I80" s="81">
        <f ca="1">(Table17[[#This Row],[Current_Month_Sales]]-Table17[[#This Row],[Previous Month Sales]])/Table17[[#This Row],[Previous Month Sales]]</f>
        <v>2.5423728813559324E-2</v>
      </c>
      <c r="J80" t="str">
        <f ca="1">IF(ABS(Table17[[#This Row],[%Change]]) &gt; 0.3, "Alert: Preference Shift", "")</f>
        <v/>
      </c>
    </row>
    <row r="81" spans="1:10">
      <c r="A81" s="54">
        <v>44375</v>
      </c>
      <c r="B81" s="15" t="s">
        <v>11</v>
      </c>
      <c r="C81" s="14" t="str">
        <f t="shared" si="6"/>
        <v>June</v>
      </c>
      <c r="D81" s="15" t="str">
        <f>CHOOSE(MATCH(MONTH(A81), {1,4,7,10}), "Winter", "Spring", "Summer", "Autumn")</f>
        <v>Spring</v>
      </c>
      <c r="E81">
        <f t="shared" si="7"/>
        <v>2021</v>
      </c>
      <c r="F81">
        <v>101</v>
      </c>
      <c r="G81">
        <f t="shared" ca="1" si="4"/>
        <v>150</v>
      </c>
      <c r="H81">
        <f t="shared" ca="1" si="5"/>
        <v>56</v>
      </c>
      <c r="I81" s="81">
        <f ca="1">(Table17[[#This Row],[Current_Month_Sales]]-Table17[[#This Row],[Previous Month Sales]])/Table17[[#This Row],[Previous Month Sales]]</f>
        <v>1.6785714285714286</v>
      </c>
      <c r="J81" t="str">
        <f ca="1">IF(ABS(Table17[[#This Row],[%Change]]) &gt; 0.3, "Alert: Preference Shift", "")</f>
        <v>Alert: Preference Shift</v>
      </c>
    </row>
    <row r="82" spans="1:10">
      <c r="A82" s="53">
        <v>44405</v>
      </c>
      <c r="B82" s="14" t="s">
        <v>13</v>
      </c>
      <c r="C82" s="14" t="str">
        <f t="shared" si="6"/>
        <v>July</v>
      </c>
      <c r="D82" s="14" t="str">
        <f>CHOOSE(MATCH(MONTH(A82), {1,4,7,10}), "Winter", "Spring", "Summer", "Autumn")</f>
        <v>Summer</v>
      </c>
      <c r="E82">
        <f t="shared" si="7"/>
        <v>2021</v>
      </c>
      <c r="F82">
        <v>84</v>
      </c>
      <c r="G82">
        <f t="shared" ca="1" si="4"/>
        <v>89</v>
      </c>
      <c r="H82">
        <f t="shared" ca="1" si="5"/>
        <v>48</v>
      </c>
      <c r="I82" s="81">
        <f ca="1">(Table17[[#This Row],[Current_Month_Sales]]-Table17[[#This Row],[Previous Month Sales]])/Table17[[#This Row],[Previous Month Sales]]</f>
        <v>0.85416666666666663</v>
      </c>
      <c r="J82" t="str">
        <f ca="1">IF(ABS(Table17[[#This Row],[%Change]]) &gt; 0.3, "Alert: Preference Shift", "")</f>
        <v>Alert: Preference Shift</v>
      </c>
    </row>
    <row r="83" spans="1:10">
      <c r="A83" s="54">
        <v>44435</v>
      </c>
      <c r="B83" s="15" t="s">
        <v>12</v>
      </c>
      <c r="C83" s="14" t="str">
        <f t="shared" si="6"/>
        <v>August</v>
      </c>
      <c r="D83" s="15" t="str">
        <f>CHOOSE(MATCH(MONTH(A83), {1,4,7,10}), "Winter", "Spring", "Summer", "Autumn")</f>
        <v>Summer</v>
      </c>
      <c r="E83">
        <f t="shared" si="7"/>
        <v>2021</v>
      </c>
      <c r="F83">
        <v>115</v>
      </c>
      <c r="G83">
        <f t="shared" ca="1" si="4"/>
        <v>97</v>
      </c>
      <c r="H83">
        <f t="shared" ca="1" si="5"/>
        <v>105</v>
      </c>
      <c r="I83" s="81">
        <f ca="1">(Table17[[#This Row],[Current_Month_Sales]]-Table17[[#This Row],[Previous Month Sales]])/Table17[[#This Row],[Previous Month Sales]]</f>
        <v>-7.6190476190476197E-2</v>
      </c>
      <c r="J83" t="str">
        <f ca="1">IF(ABS(Table17[[#This Row],[%Change]]) &gt; 0.3, "Alert: Preference Shift", "")</f>
        <v/>
      </c>
    </row>
    <row r="84" spans="1:10">
      <c r="A84" s="53">
        <v>44465</v>
      </c>
      <c r="B84" s="14" t="s">
        <v>11</v>
      </c>
      <c r="C84" s="14" t="str">
        <f t="shared" si="6"/>
        <v>September</v>
      </c>
      <c r="D84" s="14" t="str">
        <f>CHOOSE(MATCH(MONTH(A84), {1,4,7,10}), "Winter", "Spring", "Summer", "Autumn")</f>
        <v>Summer</v>
      </c>
      <c r="E84">
        <f t="shared" si="7"/>
        <v>2021</v>
      </c>
      <c r="F84">
        <v>95</v>
      </c>
      <c r="G84">
        <f t="shared" ca="1" si="4"/>
        <v>189</v>
      </c>
      <c r="H84">
        <f t="shared" ca="1" si="5"/>
        <v>129</v>
      </c>
      <c r="I84" s="81">
        <f ca="1">(Table17[[#This Row],[Current_Month_Sales]]-Table17[[#This Row],[Previous Month Sales]])/Table17[[#This Row],[Previous Month Sales]]</f>
        <v>0.46511627906976744</v>
      </c>
      <c r="J84" t="str">
        <f ca="1">IF(ABS(Table17[[#This Row],[%Change]]) &gt; 0.3, "Alert: Preference Shift", "")</f>
        <v>Alert: Preference Shift</v>
      </c>
    </row>
    <row r="85" spans="1:10">
      <c r="A85" s="54">
        <v>44495</v>
      </c>
      <c r="B85" s="15" t="s">
        <v>10</v>
      </c>
      <c r="C85" s="14" t="str">
        <f t="shared" si="6"/>
        <v>October</v>
      </c>
      <c r="D85" s="15" t="str">
        <f>CHOOSE(MATCH(MONTH(A85), {1,4,7,10}), "Winter", "Spring", "Summer", "Autumn")</f>
        <v>Autumn</v>
      </c>
      <c r="E85">
        <f t="shared" si="7"/>
        <v>2021</v>
      </c>
      <c r="F85">
        <v>114</v>
      </c>
      <c r="G85">
        <f t="shared" ca="1" si="4"/>
        <v>89</v>
      </c>
      <c r="H85">
        <f t="shared" ca="1" si="5"/>
        <v>118</v>
      </c>
      <c r="I85" s="81">
        <f ca="1">(Table17[[#This Row],[Current_Month_Sales]]-Table17[[#This Row],[Previous Month Sales]])/Table17[[#This Row],[Previous Month Sales]]</f>
        <v>-0.24576271186440679</v>
      </c>
      <c r="J85" t="str">
        <f ca="1">IF(ABS(Table17[[#This Row],[%Change]]) &gt; 0.3, "Alert: Preference Shift", "")</f>
        <v/>
      </c>
    </row>
    <row r="86" spans="1:10">
      <c r="A86" s="53">
        <v>44525</v>
      </c>
      <c r="B86" s="14" t="s">
        <v>12</v>
      </c>
      <c r="C86" s="14" t="str">
        <f t="shared" si="6"/>
        <v>November</v>
      </c>
      <c r="D86" s="14" t="str">
        <f>CHOOSE(MATCH(MONTH(A86), {1,4,7,10}), "Winter", "Spring", "Summer", "Autumn")</f>
        <v>Autumn</v>
      </c>
      <c r="E86">
        <f t="shared" si="7"/>
        <v>2021</v>
      </c>
      <c r="F86">
        <v>104</v>
      </c>
      <c r="G86">
        <f t="shared" ca="1" si="4"/>
        <v>89</v>
      </c>
      <c r="H86">
        <f t="shared" ca="1" si="5"/>
        <v>117</v>
      </c>
      <c r="I86" s="81">
        <f ca="1">(Table17[[#This Row],[Current_Month_Sales]]-Table17[[#This Row],[Previous Month Sales]])/Table17[[#This Row],[Previous Month Sales]]</f>
        <v>-0.23931623931623933</v>
      </c>
      <c r="J86" t="str">
        <f ca="1">IF(ABS(Table17[[#This Row],[%Change]]) &gt; 0.3, "Alert: Preference Shift", "")</f>
        <v/>
      </c>
    </row>
    <row r="87" spans="1:10">
      <c r="A87" s="54">
        <v>44555</v>
      </c>
      <c r="B87" s="15" t="s">
        <v>10</v>
      </c>
      <c r="C87" s="14" t="str">
        <f t="shared" si="6"/>
        <v>December</v>
      </c>
      <c r="D87" s="15" t="str">
        <f>CHOOSE(MATCH(MONTH(A87), {1,4,7,10}), "Winter", "Spring", "Summer", "Autumn")</f>
        <v>Autumn</v>
      </c>
      <c r="E87">
        <f t="shared" si="7"/>
        <v>2021</v>
      </c>
      <c r="F87">
        <v>89</v>
      </c>
      <c r="G87">
        <f t="shared" ca="1" si="4"/>
        <v>89</v>
      </c>
      <c r="H87">
        <f t="shared" ca="1" si="5"/>
        <v>63</v>
      </c>
      <c r="I87" s="81">
        <f ca="1">(Table17[[#This Row],[Current_Month_Sales]]-Table17[[#This Row],[Previous Month Sales]])/Table17[[#This Row],[Previous Month Sales]]</f>
        <v>0.41269841269841268</v>
      </c>
      <c r="J87" t="str">
        <f ca="1">IF(ABS(Table17[[#This Row],[%Change]]) &gt; 0.3, "Alert: Preference Shift", "")</f>
        <v>Alert: Preference Shift</v>
      </c>
    </row>
    <row r="88" spans="1:10">
      <c r="A88" s="53">
        <v>44585</v>
      </c>
      <c r="B88" s="14" t="s">
        <v>11</v>
      </c>
      <c r="C88" s="14" t="str">
        <f t="shared" si="6"/>
        <v>January</v>
      </c>
      <c r="D88" s="14" t="str">
        <f>CHOOSE(MATCH(MONTH(A88), {1,4,7,10}), "Winter", "Spring", "Summer", "Autumn")</f>
        <v>Winter</v>
      </c>
      <c r="E88">
        <f t="shared" si="7"/>
        <v>2022</v>
      </c>
      <c r="F88">
        <v>100</v>
      </c>
      <c r="G88">
        <f t="shared" ca="1" si="4"/>
        <v>97</v>
      </c>
      <c r="H88">
        <f t="shared" ca="1" si="5"/>
        <v>105</v>
      </c>
      <c r="I88" s="81">
        <f ca="1">(Table17[[#This Row],[Current_Month_Sales]]-Table17[[#This Row],[Previous Month Sales]])/Table17[[#This Row],[Previous Month Sales]]</f>
        <v>-7.6190476190476197E-2</v>
      </c>
      <c r="J88" t="str">
        <f ca="1">IF(ABS(Table17[[#This Row],[%Change]]) &gt; 0.3, "Alert: Preference Shift", "")</f>
        <v/>
      </c>
    </row>
    <row r="89" spans="1:10">
      <c r="A89" s="54">
        <v>44615</v>
      </c>
      <c r="B89" s="15" t="s">
        <v>14</v>
      </c>
      <c r="C89" s="14" t="str">
        <f t="shared" si="6"/>
        <v>February</v>
      </c>
      <c r="D89" s="15" t="str">
        <f>CHOOSE(MATCH(MONTH(A89), {1,4,7,10}), "Winter", "Spring", "Summer", "Autumn")</f>
        <v>Winter</v>
      </c>
      <c r="E89">
        <f t="shared" si="7"/>
        <v>2022</v>
      </c>
      <c r="F89">
        <v>85</v>
      </c>
      <c r="G89">
        <f t="shared" ca="1" si="4"/>
        <v>121</v>
      </c>
      <c r="H89">
        <f t="shared" ca="1" si="5"/>
        <v>105</v>
      </c>
      <c r="I89" s="81">
        <f ca="1">(Table17[[#This Row],[Current_Month_Sales]]-Table17[[#This Row],[Previous Month Sales]])/Table17[[#This Row],[Previous Month Sales]]</f>
        <v>0.15238095238095239</v>
      </c>
      <c r="J89" t="str">
        <f ca="1">IF(ABS(Table17[[#This Row],[%Change]]) &gt; 0.3, "Alert: Preference Shift", "")</f>
        <v/>
      </c>
    </row>
    <row r="90" spans="1:10">
      <c r="A90" s="53">
        <v>44645</v>
      </c>
      <c r="B90" s="14" t="s">
        <v>11</v>
      </c>
      <c r="C90" s="14" t="str">
        <f t="shared" si="6"/>
        <v>March</v>
      </c>
      <c r="D90" s="14" t="str">
        <f>CHOOSE(MATCH(MONTH(A90), {1,4,7,10}), "Winter", "Spring", "Summer", "Autumn")</f>
        <v>Winter</v>
      </c>
      <c r="E90">
        <f t="shared" si="7"/>
        <v>2022</v>
      </c>
      <c r="F90">
        <v>101</v>
      </c>
      <c r="G90">
        <f t="shared" ca="1" si="4"/>
        <v>172</v>
      </c>
      <c r="H90">
        <f t="shared" ca="1" si="5"/>
        <v>68</v>
      </c>
      <c r="I90" s="81">
        <f ca="1">(Table17[[#This Row],[Current_Month_Sales]]-Table17[[#This Row],[Previous Month Sales]])/Table17[[#This Row],[Previous Month Sales]]</f>
        <v>1.5294117647058822</v>
      </c>
      <c r="J90" t="str">
        <f ca="1">IF(ABS(Table17[[#This Row],[%Change]]) &gt; 0.3, "Alert: Preference Shift", "")</f>
        <v>Alert: Preference Shift</v>
      </c>
    </row>
    <row r="91" spans="1:10">
      <c r="A91" s="54">
        <v>44675</v>
      </c>
      <c r="B91" s="15" t="s">
        <v>10</v>
      </c>
      <c r="C91" s="14" t="str">
        <f t="shared" si="6"/>
        <v>April</v>
      </c>
      <c r="D91" s="15" t="str">
        <f>CHOOSE(MATCH(MONTH(A91), {1,4,7,10}), "Winter", "Spring", "Summer", "Autumn")</f>
        <v>Spring</v>
      </c>
      <c r="E91">
        <f t="shared" si="7"/>
        <v>2022</v>
      </c>
      <c r="F91">
        <v>104</v>
      </c>
      <c r="G91">
        <f t="shared" ca="1" si="4"/>
        <v>65</v>
      </c>
      <c r="H91">
        <f t="shared" ca="1" si="5"/>
        <v>56</v>
      </c>
      <c r="I91" s="81">
        <f ca="1">(Table17[[#This Row],[Current_Month_Sales]]-Table17[[#This Row],[Previous Month Sales]])/Table17[[#This Row],[Previous Month Sales]]</f>
        <v>0.16071428571428573</v>
      </c>
      <c r="J91" t="str">
        <f ca="1">IF(ABS(Table17[[#This Row],[%Change]]) &gt; 0.3, "Alert: Preference Shift", "")</f>
        <v/>
      </c>
    </row>
    <row r="92" spans="1:10">
      <c r="A92" s="53">
        <v>44705</v>
      </c>
      <c r="B92" s="14" t="s">
        <v>12</v>
      </c>
      <c r="C92" s="14" t="str">
        <f t="shared" si="6"/>
        <v>May</v>
      </c>
      <c r="D92" s="14" t="str">
        <f>CHOOSE(MATCH(MONTH(A92), {1,4,7,10}), "Winter", "Spring", "Summer", "Autumn")</f>
        <v>Spring</v>
      </c>
      <c r="E92">
        <f t="shared" si="7"/>
        <v>2022</v>
      </c>
      <c r="F92">
        <v>106</v>
      </c>
      <c r="G92">
        <f t="shared" ca="1" si="4"/>
        <v>100</v>
      </c>
      <c r="H92">
        <f t="shared" ca="1" si="5"/>
        <v>105</v>
      </c>
      <c r="I92" s="81">
        <f ca="1">(Table17[[#This Row],[Current_Month_Sales]]-Table17[[#This Row],[Previous Month Sales]])/Table17[[#This Row],[Previous Month Sales]]</f>
        <v>-4.7619047619047616E-2</v>
      </c>
      <c r="J92" t="str">
        <f ca="1">IF(ABS(Table17[[#This Row],[%Change]]) &gt; 0.3, "Alert: Preference Shift", "")</f>
        <v/>
      </c>
    </row>
    <row r="93" spans="1:10">
      <c r="A93" s="54">
        <v>44735</v>
      </c>
      <c r="B93" s="15" t="s">
        <v>13</v>
      </c>
      <c r="C93" s="14" t="str">
        <f t="shared" si="6"/>
        <v>June</v>
      </c>
      <c r="D93" s="15" t="str">
        <f>CHOOSE(MATCH(MONTH(A93), {1,4,7,10}), "Winter", "Spring", "Summer", "Autumn")</f>
        <v>Spring</v>
      </c>
      <c r="E93">
        <f t="shared" si="7"/>
        <v>2022</v>
      </c>
      <c r="F93">
        <v>95</v>
      </c>
      <c r="G93">
        <f t="shared" ca="1" si="4"/>
        <v>130</v>
      </c>
      <c r="H93">
        <f t="shared" ca="1" si="5"/>
        <v>79</v>
      </c>
      <c r="I93" s="81">
        <f ca="1">(Table17[[#This Row],[Current_Month_Sales]]-Table17[[#This Row],[Previous Month Sales]])/Table17[[#This Row],[Previous Month Sales]]</f>
        <v>0.64556962025316456</v>
      </c>
      <c r="J93" t="str">
        <f ca="1">IF(ABS(Table17[[#This Row],[%Change]]) &gt; 0.3, "Alert: Preference Shift", "")</f>
        <v>Alert: Preference Shift</v>
      </c>
    </row>
    <row r="94" spans="1:10">
      <c r="A94" s="53">
        <v>44765</v>
      </c>
      <c r="B94" s="14" t="s">
        <v>11</v>
      </c>
      <c r="C94" s="14" t="str">
        <f t="shared" si="6"/>
        <v>July</v>
      </c>
      <c r="D94" s="14" t="str">
        <f>CHOOSE(MATCH(MONTH(A94), {1,4,7,10}), "Winter", "Spring", "Summer", "Autumn")</f>
        <v>Summer</v>
      </c>
      <c r="E94">
        <f t="shared" si="7"/>
        <v>2022</v>
      </c>
      <c r="F94">
        <v>104</v>
      </c>
      <c r="G94">
        <f t="shared" ca="1" si="4"/>
        <v>121</v>
      </c>
      <c r="H94">
        <f t="shared" ca="1" si="5"/>
        <v>79</v>
      </c>
      <c r="I94" s="81">
        <f ca="1">(Table17[[#This Row],[Current_Month_Sales]]-Table17[[#This Row],[Previous Month Sales]])/Table17[[#This Row],[Previous Month Sales]]</f>
        <v>0.53164556962025311</v>
      </c>
      <c r="J94" t="str">
        <f ca="1">IF(ABS(Table17[[#This Row],[%Change]]) &gt; 0.3, "Alert: Preference Shift", "")</f>
        <v>Alert: Preference Shift</v>
      </c>
    </row>
    <row r="95" spans="1:10">
      <c r="A95" s="54">
        <v>44795</v>
      </c>
      <c r="B95" s="15" t="s">
        <v>12</v>
      </c>
      <c r="C95" s="14" t="str">
        <f t="shared" si="6"/>
        <v>August</v>
      </c>
      <c r="D95" s="15" t="str">
        <f>CHOOSE(MATCH(MONTH(A95), {1,4,7,10}), "Winter", "Spring", "Summer", "Autumn")</f>
        <v>Summer</v>
      </c>
      <c r="E95">
        <f t="shared" si="7"/>
        <v>2022</v>
      </c>
      <c r="F95">
        <v>105</v>
      </c>
      <c r="G95">
        <f t="shared" ca="1" si="4"/>
        <v>133</v>
      </c>
      <c r="H95">
        <f t="shared" ca="1" si="5"/>
        <v>56</v>
      </c>
      <c r="I95" s="81">
        <f ca="1">(Table17[[#This Row],[Current_Month_Sales]]-Table17[[#This Row],[Previous Month Sales]])/Table17[[#This Row],[Previous Month Sales]]</f>
        <v>1.375</v>
      </c>
      <c r="J95" t="str">
        <f ca="1">IF(ABS(Table17[[#This Row],[%Change]]) &gt; 0.3, "Alert: Preference Shift", "")</f>
        <v>Alert: Preference Shift</v>
      </c>
    </row>
    <row r="96" spans="1:10">
      <c r="A96" s="53">
        <v>44825</v>
      </c>
      <c r="B96" s="14" t="s">
        <v>14</v>
      </c>
      <c r="C96" s="14" t="str">
        <f t="shared" si="6"/>
        <v>September</v>
      </c>
      <c r="D96" s="14" t="str">
        <f>CHOOSE(MATCH(MONTH(A96), {1,4,7,10}), "Winter", "Spring", "Summer", "Autumn")</f>
        <v>Summer</v>
      </c>
      <c r="E96">
        <f t="shared" si="7"/>
        <v>2022</v>
      </c>
      <c r="F96">
        <v>84</v>
      </c>
      <c r="G96">
        <f t="shared" ca="1" si="4"/>
        <v>130</v>
      </c>
      <c r="H96">
        <f t="shared" ca="1" si="5"/>
        <v>117</v>
      </c>
      <c r="I96" s="81">
        <f ca="1">(Table17[[#This Row],[Current_Month_Sales]]-Table17[[#This Row],[Previous Month Sales]])/Table17[[#This Row],[Previous Month Sales]]</f>
        <v>0.1111111111111111</v>
      </c>
      <c r="J96" t="str">
        <f ca="1">IF(ABS(Table17[[#This Row],[%Change]]) &gt; 0.3, "Alert: Preference Shift", "")</f>
        <v/>
      </c>
    </row>
    <row r="97" spans="1:10">
      <c r="A97" s="54">
        <v>44855</v>
      </c>
      <c r="B97" s="15" t="s">
        <v>14</v>
      </c>
      <c r="C97" s="14" t="str">
        <f t="shared" si="6"/>
        <v>October</v>
      </c>
      <c r="D97" s="15" t="str">
        <f>CHOOSE(MATCH(MONTH(A97), {1,4,7,10}), "Winter", "Spring", "Summer", "Autumn")</f>
        <v>Autumn</v>
      </c>
      <c r="E97">
        <f t="shared" si="7"/>
        <v>2022</v>
      </c>
      <c r="F97">
        <v>93</v>
      </c>
      <c r="G97">
        <f t="shared" ca="1" si="4"/>
        <v>65</v>
      </c>
      <c r="H97">
        <f t="shared" ca="1" si="5"/>
        <v>129</v>
      </c>
      <c r="I97" s="81">
        <f ca="1">(Table17[[#This Row],[Current_Month_Sales]]-Table17[[#This Row],[Previous Month Sales]])/Table17[[#This Row],[Previous Month Sales]]</f>
        <v>-0.49612403100775193</v>
      </c>
      <c r="J97" t="str">
        <f ca="1">IF(ABS(Table17[[#This Row],[%Change]]) &gt; 0.3, "Alert: Preference Shift", "")</f>
        <v>Alert: Preference Shift</v>
      </c>
    </row>
    <row r="98" spans="1:10">
      <c r="A98" s="53">
        <v>44885</v>
      </c>
      <c r="B98" s="14" t="s">
        <v>14</v>
      </c>
      <c r="C98" s="14" t="str">
        <f t="shared" si="6"/>
        <v>November</v>
      </c>
      <c r="D98" s="14" t="str">
        <f>CHOOSE(MATCH(MONTH(A98), {1,4,7,10}), "Winter", "Spring", "Summer", "Autumn")</f>
        <v>Autumn</v>
      </c>
      <c r="E98">
        <f t="shared" si="7"/>
        <v>2022</v>
      </c>
      <c r="F98">
        <v>115</v>
      </c>
      <c r="G98">
        <f t="shared" ca="1" si="4"/>
        <v>133</v>
      </c>
      <c r="H98">
        <f t="shared" ca="1" si="5"/>
        <v>118</v>
      </c>
      <c r="I98" s="81">
        <f ca="1">(Table17[[#This Row],[Current_Month_Sales]]-Table17[[#This Row],[Previous Month Sales]])/Table17[[#This Row],[Previous Month Sales]]</f>
        <v>0.1271186440677966</v>
      </c>
      <c r="J98" t="str">
        <f ca="1">IF(ABS(Table17[[#This Row],[%Change]]) &gt; 0.3, "Alert: Preference Shift", "")</f>
        <v/>
      </c>
    </row>
    <row r="99" spans="1:10">
      <c r="A99" s="54">
        <v>44915</v>
      </c>
      <c r="B99" s="15" t="s">
        <v>12</v>
      </c>
      <c r="C99" s="14" t="str">
        <f t="shared" si="6"/>
        <v>December</v>
      </c>
      <c r="D99" s="15" t="str">
        <f>CHOOSE(MATCH(MONTH(A99), {1,4,7,10}), "Winter", "Spring", "Summer", "Autumn")</f>
        <v>Autumn</v>
      </c>
      <c r="E99">
        <f t="shared" si="7"/>
        <v>2022</v>
      </c>
      <c r="F99">
        <v>109</v>
      </c>
      <c r="G99">
        <f t="shared" ca="1" si="4"/>
        <v>189</v>
      </c>
      <c r="H99">
        <f t="shared" ca="1" si="5"/>
        <v>56</v>
      </c>
      <c r="I99" s="81">
        <f ca="1">(Table17[[#This Row],[Current_Month_Sales]]-Table17[[#This Row],[Previous Month Sales]])/Table17[[#This Row],[Previous Month Sales]]</f>
        <v>2.375</v>
      </c>
      <c r="J99" t="str">
        <f ca="1">IF(ABS(Table17[[#This Row],[%Change]]) &gt; 0.3, "Alert: Preference Shift", "")</f>
        <v>Alert: Preference Shift</v>
      </c>
    </row>
    <row r="100" spans="1:10">
      <c r="A100" s="53">
        <v>44945</v>
      </c>
      <c r="B100" s="14" t="s">
        <v>11</v>
      </c>
      <c r="C100" s="14" t="str">
        <f t="shared" si="6"/>
        <v>January</v>
      </c>
      <c r="D100" s="14" t="str">
        <f>CHOOSE(MATCH(MONTH(A100), {1,4,7,10}), "Winter", "Spring", "Summer", "Autumn")</f>
        <v>Winter</v>
      </c>
      <c r="E100">
        <f t="shared" si="7"/>
        <v>2023</v>
      </c>
      <c r="F100">
        <v>102</v>
      </c>
      <c r="G100">
        <f t="shared" ca="1" si="4"/>
        <v>89</v>
      </c>
      <c r="H100">
        <f t="shared" ca="1" si="5"/>
        <v>48</v>
      </c>
      <c r="I100" s="81">
        <f ca="1">(Table17[[#This Row],[Current_Month_Sales]]-Table17[[#This Row],[Previous Month Sales]])/Table17[[#This Row],[Previous Month Sales]]</f>
        <v>0.85416666666666663</v>
      </c>
      <c r="J100" t="str">
        <f ca="1">IF(ABS(Table17[[#This Row],[%Change]]) &gt; 0.3, "Alert: Preference Shift", "")</f>
        <v>Alert: Preference Shift</v>
      </c>
    </row>
    <row r="101" spans="1:10">
      <c r="A101" s="54">
        <v>44975</v>
      </c>
      <c r="B101" s="15" t="s">
        <v>12</v>
      </c>
      <c r="C101" s="14" t="str">
        <f t="shared" si="6"/>
        <v>February</v>
      </c>
      <c r="D101" s="15" t="str">
        <f>CHOOSE(MATCH(MONTH(A101), {1,4,7,10}), "Winter", "Spring", "Summer", "Autumn")</f>
        <v>Winter</v>
      </c>
      <c r="E101">
        <f t="shared" si="7"/>
        <v>2023</v>
      </c>
      <c r="F101">
        <v>100</v>
      </c>
      <c r="G101">
        <f t="shared" ca="1" si="4"/>
        <v>189</v>
      </c>
      <c r="H101">
        <f t="shared" ca="1" si="5"/>
        <v>117</v>
      </c>
      <c r="I101" s="81">
        <f ca="1">(Table17[[#This Row],[Current_Month_Sales]]-Table17[[#This Row],[Previous Month Sales]])/Table17[[#This Row],[Previous Month Sales]]</f>
        <v>0.61538461538461542</v>
      </c>
      <c r="J101" t="str">
        <f ca="1">IF(ABS(Table17[[#This Row],[%Change]]) &gt; 0.3, "Alert: Preference Shift", "")</f>
        <v>Alert: Preference Shift</v>
      </c>
    </row>
    <row r="102" spans="1:10">
      <c r="A102" s="53">
        <v>45005</v>
      </c>
      <c r="B102" s="14" t="s">
        <v>12</v>
      </c>
      <c r="C102" s="14" t="str">
        <f t="shared" si="6"/>
        <v>March</v>
      </c>
      <c r="D102" s="14" t="str">
        <f>CHOOSE(MATCH(MONTH(A102), {1,4,7,10}), "Winter", "Spring", "Summer", "Autumn")</f>
        <v>Winter</v>
      </c>
      <c r="E102">
        <f t="shared" si="7"/>
        <v>2023</v>
      </c>
      <c r="F102">
        <v>93</v>
      </c>
      <c r="G102">
        <f t="shared" ca="1" si="4"/>
        <v>133</v>
      </c>
      <c r="H102">
        <f t="shared" ca="1" si="5"/>
        <v>63</v>
      </c>
      <c r="I102" s="81">
        <f ca="1">(Table17[[#This Row],[Current_Month_Sales]]-Table17[[#This Row],[Previous Month Sales]])/Table17[[#This Row],[Previous Month Sales]]</f>
        <v>1.1111111111111112</v>
      </c>
      <c r="J102" t="str">
        <f ca="1">IF(ABS(Table17[[#This Row],[%Change]]) &gt; 0.3, "Alert: Preference Shift", "")</f>
        <v>Alert: Preference Shift</v>
      </c>
    </row>
    <row r="103" spans="1:10">
      <c r="A103" s="54">
        <v>45035</v>
      </c>
      <c r="B103" s="15" t="s">
        <v>13</v>
      </c>
      <c r="C103" s="14" t="str">
        <f t="shared" si="6"/>
        <v>April</v>
      </c>
      <c r="D103" s="15" t="str">
        <f>CHOOSE(MATCH(MONTH(A103), {1,4,7,10}), "Winter", "Spring", "Summer", "Autumn")</f>
        <v>Spring</v>
      </c>
      <c r="E103">
        <f t="shared" si="7"/>
        <v>2023</v>
      </c>
      <c r="F103">
        <v>100</v>
      </c>
      <c r="G103">
        <f t="shared" ca="1" si="4"/>
        <v>78</v>
      </c>
      <c r="H103">
        <f t="shared" ca="1" si="5"/>
        <v>48</v>
      </c>
      <c r="I103" s="81">
        <f ca="1">(Table17[[#This Row],[Current_Month_Sales]]-Table17[[#This Row],[Previous Month Sales]])/Table17[[#This Row],[Previous Month Sales]]</f>
        <v>0.625</v>
      </c>
      <c r="J103" t="str">
        <f ca="1">IF(ABS(Table17[[#This Row],[%Change]]) &gt; 0.3, "Alert: Preference Shift", "")</f>
        <v>Alert: Preference Shift</v>
      </c>
    </row>
    <row r="104" spans="1:10">
      <c r="A104" s="53">
        <v>45065</v>
      </c>
      <c r="B104" s="14" t="s">
        <v>13</v>
      </c>
      <c r="C104" s="14" t="str">
        <f t="shared" si="6"/>
        <v>May</v>
      </c>
      <c r="D104" s="14" t="str">
        <f>CHOOSE(MATCH(MONTH(A104), {1,4,7,10}), "Winter", "Spring", "Summer", "Autumn")</f>
        <v>Spring</v>
      </c>
      <c r="E104">
        <f t="shared" si="7"/>
        <v>2023</v>
      </c>
      <c r="F104">
        <v>117</v>
      </c>
      <c r="G104">
        <f t="shared" ca="1" si="4"/>
        <v>130</v>
      </c>
      <c r="H104">
        <f t="shared" ca="1" si="5"/>
        <v>129</v>
      </c>
      <c r="I104" s="81">
        <f ca="1">(Table17[[#This Row],[Current_Month_Sales]]-Table17[[#This Row],[Previous Month Sales]])/Table17[[#This Row],[Previous Month Sales]]</f>
        <v>7.7519379844961239E-3</v>
      </c>
      <c r="J104" t="str">
        <f ca="1">IF(ABS(Table17[[#This Row],[%Change]]) &gt; 0.3, "Alert: Preference Shift", "")</f>
        <v/>
      </c>
    </row>
    <row r="105" spans="1:10">
      <c r="A105" s="54">
        <v>45095</v>
      </c>
      <c r="B105" s="15" t="s">
        <v>11</v>
      </c>
      <c r="C105" s="14" t="str">
        <f t="shared" si="6"/>
        <v>June</v>
      </c>
      <c r="D105" s="15" t="str">
        <f>CHOOSE(MATCH(MONTH(A105), {1,4,7,10}), "Winter", "Spring", "Summer", "Autumn")</f>
        <v>Spring</v>
      </c>
      <c r="E105">
        <f t="shared" si="7"/>
        <v>2023</v>
      </c>
      <c r="F105">
        <v>98</v>
      </c>
      <c r="G105">
        <f t="shared" ca="1" si="4"/>
        <v>65</v>
      </c>
      <c r="H105">
        <f t="shared" ca="1" si="5"/>
        <v>48</v>
      </c>
      <c r="I105" s="81">
        <f ca="1">(Table17[[#This Row],[Current_Month_Sales]]-Table17[[#This Row],[Previous Month Sales]])/Table17[[#This Row],[Previous Month Sales]]</f>
        <v>0.35416666666666669</v>
      </c>
      <c r="J105" t="str">
        <f ca="1">IF(ABS(Table17[[#This Row],[%Change]]) &gt; 0.3, "Alert: Preference Shift", "")</f>
        <v>Alert: Preference Shift</v>
      </c>
    </row>
    <row r="106" spans="1:10">
      <c r="A106" s="53">
        <v>45125</v>
      </c>
      <c r="B106" s="14" t="s">
        <v>13</v>
      </c>
      <c r="C106" s="14" t="str">
        <f t="shared" si="6"/>
        <v>July</v>
      </c>
      <c r="D106" s="14" t="str">
        <f>CHOOSE(MATCH(MONTH(A106), {1,4,7,10}), "Winter", "Spring", "Summer", "Autumn")</f>
        <v>Summer</v>
      </c>
      <c r="E106">
        <f t="shared" si="7"/>
        <v>2023</v>
      </c>
      <c r="F106">
        <v>94</v>
      </c>
      <c r="G106">
        <f t="shared" ca="1" si="4"/>
        <v>133</v>
      </c>
      <c r="H106">
        <f t="shared" ca="1" si="5"/>
        <v>129</v>
      </c>
      <c r="I106" s="81">
        <f ca="1">(Table17[[#This Row],[Current_Month_Sales]]-Table17[[#This Row],[Previous Month Sales]])/Table17[[#This Row],[Previous Month Sales]]</f>
        <v>3.1007751937984496E-2</v>
      </c>
      <c r="J106" t="str">
        <f ca="1">IF(ABS(Table17[[#This Row],[%Change]]) &gt; 0.3, "Alert: Preference Shift", "")</f>
        <v/>
      </c>
    </row>
    <row r="107" spans="1:10">
      <c r="A107" s="54">
        <v>45155</v>
      </c>
      <c r="B107" s="15" t="s">
        <v>14</v>
      </c>
      <c r="C107" s="14" t="str">
        <f t="shared" si="6"/>
        <v>August</v>
      </c>
      <c r="D107" s="15" t="str">
        <f>CHOOSE(MATCH(MONTH(A107), {1,4,7,10}), "Winter", "Spring", "Summer", "Autumn")</f>
        <v>Summer</v>
      </c>
      <c r="E107">
        <f t="shared" si="7"/>
        <v>2023</v>
      </c>
      <c r="F107">
        <v>112</v>
      </c>
      <c r="G107">
        <f t="shared" ca="1" si="4"/>
        <v>78</v>
      </c>
      <c r="H107">
        <f t="shared" ca="1" si="5"/>
        <v>48</v>
      </c>
      <c r="I107" s="81">
        <f ca="1">(Table17[[#This Row],[Current_Month_Sales]]-Table17[[#This Row],[Previous Month Sales]])/Table17[[#This Row],[Previous Month Sales]]</f>
        <v>0.625</v>
      </c>
      <c r="J107" t="str">
        <f ca="1">IF(ABS(Table17[[#This Row],[%Change]]) &gt; 0.3, "Alert: Preference Shift", "")</f>
        <v>Alert: Preference Shift</v>
      </c>
    </row>
    <row r="108" spans="1:10">
      <c r="A108" s="53">
        <v>45185</v>
      </c>
      <c r="B108" s="14" t="s">
        <v>13</v>
      </c>
      <c r="C108" s="14" t="str">
        <f t="shared" si="6"/>
        <v>September</v>
      </c>
      <c r="D108" s="14" t="str">
        <f>CHOOSE(MATCH(MONTH(A108), {1,4,7,10}), "Winter", "Spring", "Summer", "Autumn")</f>
        <v>Summer</v>
      </c>
      <c r="E108">
        <f t="shared" si="7"/>
        <v>2023</v>
      </c>
      <c r="F108">
        <v>89</v>
      </c>
      <c r="G108">
        <f t="shared" ca="1" si="4"/>
        <v>150</v>
      </c>
      <c r="H108">
        <f t="shared" ca="1" si="5"/>
        <v>117</v>
      </c>
      <c r="I108" s="81">
        <f ca="1">(Table17[[#This Row],[Current_Month_Sales]]-Table17[[#This Row],[Previous Month Sales]])/Table17[[#This Row],[Previous Month Sales]]</f>
        <v>0.28205128205128205</v>
      </c>
      <c r="J108" t="str">
        <f ca="1">IF(ABS(Table17[[#This Row],[%Change]]) &gt; 0.3, "Alert: Preference Shift", "")</f>
        <v/>
      </c>
    </row>
    <row r="109" spans="1:10">
      <c r="A109" s="54">
        <v>45215</v>
      </c>
      <c r="B109" s="15" t="s">
        <v>14</v>
      </c>
      <c r="C109" s="14" t="str">
        <f t="shared" si="6"/>
        <v>October</v>
      </c>
      <c r="D109" s="15" t="str">
        <f>CHOOSE(MATCH(MONTH(A109), {1,4,7,10}), "Winter", "Spring", "Summer", "Autumn")</f>
        <v>Autumn</v>
      </c>
      <c r="E109">
        <f t="shared" si="7"/>
        <v>2023</v>
      </c>
      <c r="F109">
        <v>119</v>
      </c>
      <c r="G109">
        <f t="shared" ca="1" si="4"/>
        <v>172</v>
      </c>
      <c r="H109">
        <f t="shared" ca="1" si="5"/>
        <v>105</v>
      </c>
      <c r="I109" s="81">
        <f ca="1">(Table17[[#This Row],[Current_Month_Sales]]-Table17[[#This Row],[Previous Month Sales]])/Table17[[#This Row],[Previous Month Sales]]</f>
        <v>0.63809523809523805</v>
      </c>
      <c r="J109" t="str">
        <f ca="1">IF(ABS(Table17[[#This Row],[%Change]]) &gt; 0.3, "Alert: Preference Shift", "")</f>
        <v>Alert: Preference Shift</v>
      </c>
    </row>
    <row r="110" spans="1:10">
      <c r="A110" s="53">
        <v>45245</v>
      </c>
      <c r="B110" s="14" t="s">
        <v>11</v>
      </c>
      <c r="C110" s="14" t="str">
        <f t="shared" si="6"/>
        <v>November</v>
      </c>
      <c r="D110" s="14" t="str">
        <f>CHOOSE(MATCH(MONTH(A110), {1,4,7,10}), "Winter", "Spring", "Summer", "Autumn")</f>
        <v>Autumn</v>
      </c>
      <c r="E110">
        <f t="shared" si="7"/>
        <v>2023</v>
      </c>
      <c r="F110">
        <v>102</v>
      </c>
      <c r="G110">
        <f t="shared" ca="1" si="4"/>
        <v>65</v>
      </c>
      <c r="H110">
        <f t="shared" ca="1" si="5"/>
        <v>109</v>
      </c>
      <c r="I110" s="81">
        <f ca="1">(Table17[[#This Row],[Current_Month_Sales]]-Table17[[#This Row],[Previous Month Sales]])/Table17[[#This Row],[Previous Month Sales]]</f>
        <v>-0.40366972477064222</v>
      </c>
      <c r="J110" t="str">
        <f ca="1">IF(ABS(Table17[[#This Row],[%Change]]) &gt; 0.3, "Alert: Preference Shift", "")</f>
        <v>Alert: Preference Shift</v>
      </c>
    </row>
    <row r="111" spans="1:10">
      <c r="A111" s="54">
        <v>45275</v>
      </c>
      <c r="B111" s="15" t="s">
        <v>12</v>
      </c>
      <c r="C111" s="14" t="str">
        <f t="shared" si="6"/>
        <v>December</v>
      </c>
      <c r="D111" s="15" t="str">
        <f>CHOOSE(MATCH(MONTH(A111), {1,4,7,10}), "Winter", "Spring", "Summer", "Autumn")</f>
        <v>Autumn</v>
      </c>
      <c r="E111">
        <f t="shared" si="7"/>
        <v>2023</v>
      </c>
      <c r="F111">
        <v>87</v>
      </c>
      <c r="G111">
        <f t="shared" ca="1" si="4"/>
        <v>65</v>
      </c>
      <c r="H111">
        <f t="shared" ca="1" si="5"/>
        <v>129</v>
      </c>
      <c r="I111" s="81">
        <f ca="1">(Table17[[#This Row],[Current_Month_Sales]]-Table17[[#This Row],[Previous Month Sales]])/Table17[[#This Row],[Previous Month Sales]]</f>
        <v>-0.49612403100775193</v>
      </c>
      <c r="J111" t="str">
        <f ca="1">IF(ABS(Table17[[#This Row],[%Change]]) &gt; 0.3, "Alert: Preference Shift", "")</f>
        <v>Alert: Preference Shift</v>
      </c>
    </row>
    <row r="112" spans="1:10">
      <c r="A112" s="53">
        <v>45305</v>
      </c>
      <c r="B112" s="14" t="s">
        <v>12</v>
      </c>
      <c r="C112" s="14" t="str">
        <f t="shared" si="6"/>
        <v>January</v>
      </c>
      <c r="D112" s="14" t="str">
        <f>CHOOSE(MATCH(MONTH(A112), {1,4,7,10}), "Winter", "Spring", "Summer", "Autumn")</f>
        <v>Winter</v>
      </c>
      <c r="E112">
        <f t="shared" si="7"/>
        <v>2024</v>
      </c>
      <c r="F112">
        <v>113</v>
      </c>
      <c r="G112">
        <f t="shared" ca="1" si="4"/>
        <v>130</v>
      </c>
      <c r="H112">
        <f t="shared" ca="1" si="5"/>
        <v>117</v>
      </c>
      <c r="I112" s="81">
        <f ca="1">(Table17[[#This Row],[Current_Month_Sales]]-Table17[[#This Row],[Previous Month Sales]])/Table17[[#This Row],[Previous Month Sales]]</f>
        <v>0.1111111111111111</v>
      </c>
      <c r="J112" t="str">
        <f ca="1">IF(ABS(Table17[[#This Row],[%Change]]) &gt; 0.3, "Alert: Preference Shift", "")</f>
        <v/>
      </c>
    </row>
    <row r="113" spans="1:10">
      <c r="A113" s="54">
        <v>45335</v>
      </c>
      <c r="B113" s="15" t="s">
        <v>13</v>
      </c>
      <c r="C113" s="14" t="str">
        <f t="shared" si="6"/>
        <v>February</v>
      </c>
      <c r="D113" s="15" t="str">
        <f>CHOOSE(MATCH(MONTH(A113), {1,4,7,10}), "Winter", "Spring", "Summer", "Autumn")</f>
        <v>Winter</v>
      </c>
      <c r="E113">
        <f t="shared" si="7"/>
        <v>2024</v>
      </c>
      <c r="F113">
        <v>106</v>
      </c>
      <c r="G113">
        <f t="shared" ca="1" si="4"/>
        <v>97</v>
      </c>
      <c r="H113">
        <f t="shared" ca="1" si="5"/>
        <v>117</v>
      </c>
      <c r="I113" s="81">
        <f ca="1">(Table17[[#This Row],[Current_Month_Sales]]-Table17[[#This Row],[Previous Month Sales]])/Table17[[#This Row],[Previous Month Sales]]</f>
        <v>-0.17094017094017094</v>
      </c>
      <c r="J113" t="str">
        <f ca="1">IF(ABS(Table17[[#This Row],[%Change]]) &gt; 0.3, "Alert: Preference Shift", "")</f>
        <v/>
      </c>
    </row>
    <row r="114" spans="1:10">
      <c r="A114" s="53">
        <v>45365</v>
      </c>
      <c r="B114" s="14" t="s">
        <v>14</v>
      </c>
      <c r="C114" s="14" t="str">
        <f t="shared" si="6"/>
        <v>March</v>
      </c>
      <c r="D114" s="14" t="str">
        <f>CHOOSE(MATCH(MONTH(A114), {1,4,7,10}), "Winter", "Spring", "Summer", "Autumn")</f>
        <v>Winter</v>
      </c>
      <c r="E114">
        <f t="shared" si="7"/>
        <v>2024</v>
      </c>
      <c r="F114">
        <v>96</v>
      </c>
      <c r="G114">
        <f t="shared" ca="1" si="4"/>
        <v>121</v>
      </c>
      <c r="H114">
        <f t="shared" ca="1" si="5"/>
        <v>79</v>
      </c>
      <c r="I114" s="81">
        <f ca="1">(Table17[[#This Row],[Current_Month_Sales]]-Table17[[#This Row],[Previous Month Sales]])/Table17[[#This Row],[Previous Month Sales]]</f>
        <v>0.53164556962025311</v>
      </c>
      <c r="J114" t="str">
        <f ca="1">IF(ABS(Table17[[#This Row],[%Change]]) &gt; 0.3, "Alert: Preference Shift", "")</f>
        <v>Alert: Preference Shift</v>
      </c>
    </row>
    <row r="115" spans="1:10">
      <c r="A115" s="54">
        <v>45395</v>
      </c>
      <c r="B115" s="15" t="s">
        <v>10</v>
      </c>
      <c r="C115" s="14" t="str">
        <f t="shared" si="6"/>
        <v>April</v>
      </c>
      <c r="D115" s="15" t="str">
        <f>CHOOSE(MATCH(MONTH(A115), {1,4,7,10}), "Winter", "Spring", "Summer", "Autumn")</f>
        <v>Spring</v>
      </c>
      <c r="E115">
        <f t="shared" si="7"/>
        <v>2024</v>
      </c>
      <c r="F115">
        <v>110</v>
      </c>
      <c r="G115">
        <f t="shared" ca="1" si="4"/>
        <v>157</v>
      </c>
      <c r="H115">
        <f t="shared" ca="1" si="5"/>
        <v>79</v>
      </c>
      <c r="I115" s="81">
        <f ca="1">(Table17[[#This Row],[Current_Month_Sales]]-Table17[[#This Row],[Previous Month Sales]])/Table17[[#This Row],[Previous Month Sales]]</f>
        <v>0.98734177215189878</v>
      </c>
      <c r="J115" t="str">
        <f ca="1">IF(ABS(Table17[[#This Row],[%Change]]) &gt; 0.3, "Alert: Preference Shift", "")</f>
        <v>Alert: Preference Shift</v>
      </c>
    </row>
    <row r="116" spans="1:10">
      <c r="A116" s="53">
        <v>45425</v>
      </c>
      <c r="B116" s="14" t="s">
        <v>10</v>
      </c>
      <c r="C116" s="14" t="str">
        <f t="shared" si="6"/>
        <v>May</v>
      </c>
      <c r="D116" s="14" t="str">
        <f>CHOOSE(MATCH(MONTH(A116), {1,4,7,10}), "Winter", "Spring", "Summer", "Autumn")</f>
        <v>Spring</v>
      </c>
      <c r="E116">
        <f t="shared" si="7"/>
        <v>2024</v>
      </c>
      <c r="F116">
        <v>100</v>
      </c>
      <c r="G116">
        <f t="shared" ca="1" si="4"/>
        <v>89</v>
      </c>
      <c r="H116">
        <f t="shared" ca="1" si="5"/>
        <v>105</v>
      </c>
      <c r="I116" s="81">
        <f ca="1">(Table17[[#This Row],[Current_Month_Sales]]-Table17[[#This Row],[Previous Month Sales]])/Table17[[#This Row],[Previous Month Sales]]</f>
        <v>-0.15238095238095239</v>
      </c>
      <c r="J116" t="str">
        <f ca="1">IF(ABS(Table17[[#This Row],[%Change]]) &gt; 0.3, "Alert: Preference Shift", "")</f>
        <v/>
      </c>
    </row>
    <row r="117" spans="1:10">
      <c r="A117" s="54">
        <v>45455</v>
      </c>
      <c r="B117" s="15" t="s">
        <v>10</v>
      </c>
      <c r="C117" s="14" t="str">
        <f t="shared" si="6"/>
        <v>June</v>
      </c>
      <c r="D117" s="15" t="str">
        <f>CHOOSE(MATCH(MONTH(A117), {1,4,7,10}), "Winter", "Spring", "Summer", "Autumn")</f>
        <v>Spring</v>
      </c>
      <c r="E117">
        <f t="shared" si="7"/>
        <v>2024</v>
      </c>
      <c r="F117">
        <v>100</v>
      </c>
      <c r="G117">
        <f t="shared" ca="1" si="4"/>
        <v>133</v>
      </c>
      <c r="H117">
        <f t="shared" ca="1" si="5"/>
        <v>48</v>
      </c>
      <c r="I117" s="81">
        <f ca="1">(Table17[[#This Row],[Current_Month_Sales]]-Table17[[#This Row],[Previous Month Sales]])/Table17[[#This Row],[Previous Month Sales]]</f>
        <v>1.7708333333333333</v>
      </c>
      <c r="J117" t="str">
        <f ca="1">IF(ABS(Table17[[#This Row],[%Change]]) &gt; 0.3, "Alert: Preference Shift", "")</f>
        <v>Alert: Preference Shift</v>
      </c>
    </row>
    <row r="118" spans="1:10">
      <c r="A118" s="53">
        <v>45485</v>
      </c>
      <c r="B118" s="14" t="s">
        <v>12</v>
      </c>
      <c r="C118" s="14" t="str">
        <f t="shared" si="6"/>
        <v>July</v>
      </c>
      <c r="D118" s="14" t="str">
        <f>CHOOSE(MATCH(MONTH(A118), {1,4,7,10}), "Winter", "Spring", "Summer", "Autumn")</f>
        <v>Summer</v>
      </c>
      <c r="E118">
        <f t="shared" si="7"/>
        <v>2024</v>
      </c>
      <c r="F118">
        <v>106</v>
      </c>
      <c r="G118">
        <f t="shared" ca="1" si="4"/>
        <v>130</v>
      </c>
      <c r="H118">
        <f t="shared" ca="1" si="5"/>
        <v>56</v>
      </c>
      <c r="I118" s="81">
        <f ca="1">(Table17[[#This Row],[Current_Month_Sales]]-Table17[[#This Row],[Previous Month Sales]])/Table17[[#This Row],[Previous Month Sales]]</f>
        <v>1.3214285714285714</v>
      </c>
      <c r="J118" t="str">
        <f ca="1">IF(ABS(Table17[[#This Row],[%Change]]) &gt; 0.3, "Alert: Preference Shift", "")</f>
        <v>Alert: Preference Shift</v>
      </c>
    </row>
    <row r="119" spans="1:10">
      <c r="A119" s="54">
        <v>45515</v>
      </c>
      <c r="B119" s="15" t="s">
        <v>12</v>
      </c>
      <c r="C119" s="14" t="str">
        <f t="shared" si="6"/>
        <v>August</v>
      </c>
      <c r="D119" s="15" t="str">
        <f>CHOOSE(MATCH(MONTH(A119), {1,4,7,10}), "Winter", "Spring", "Summer", "Autumn")</f>
        <v>Summer</v>
      </c>
      <c r="E119">
        <f t="shared" si="7"/>
        <v>2024</v>
      </c>
      <c r="F119">
        <v>114</v>
      </c>
      <c r="G119">
        <f t="shared" ca="1" si="4"/>
        <v>133</v>
      </c>
      <c r="H119">
        <f t="shared" ca="1" si="5"/>
        <v>117</v>
      </c>
      <c r="I119" s="81">
        <f ca="1">(Table17[[#This Row],[Current_Month_Sales]]-Table17[[#This Row],[Previous Month Sales]])/Table17[[#This Row],[Previous Month Sales]]</f>
        <v>0.13675213675213677</v>
      </c>
      <c r="J119" t="str">
        <f ca="1">IF(ABS(Table17[[#This Row],[%Change]]) &gt; 0.3, "Alert: Preference Shift", "")</f>
        <v/>
      </c>
    </row>
    <row r="120" spans="1:10">
      <c r="A120" s="53">
        <v>45545</v>
      </c>
      <c r="B120" s="14" t="s">
        <v>14</v>
      </c>
      <c r="C120" s="14" t="str">
        <f t="shared" si="6"/>
        <v>September</v>
      </c>
      <c r="D120" s="14" t="str">
        <f>CHOOSE(MATCH(MONTH(A120), {1,4,7,10}), "Winter", "Spring", "Summer", "Autumn")</f>
        <v>Summer</v>
      </c>
      <c r="E120">
        <f t="shared" si="7"/>
        <v>2024</v>
      </c>
      <c r="F120">
        <v>96</v>
      </c>
      <c r="G120">
        <f t="shared" ca="1" si="4"/>
        <v>189</v>
      </c>
      <c r="H120">
        <f t="shared" ca="1" si="5"/>
        <v>56</v>
      </c>
      <c r="I120" s="81">
        <f ca="1">(Table17[[#This Row],[Current_Month_Sales]]-Table17[[#This Row],[Previous Month Sales]])/Table17[[#This Row],[Previous Month Sales]]</f>
        <v>2.375</v>
      </c>
      <c r="J120" t="str">
        <f ca="1">IF(ABS(Table17[[#This Row],[%Change]]) &gt; 0.3, "Alert: Preference Shift", "")</f>
        <v>Alert: Preference Shift</v>
      </c>
    </row>
    <row r="121" spans="1:10">
      <c r="A121" s="54">
        <v>45575</v>
      </c>
      <c r="B121" s="15" t="s">
        <v>13</v>
      </c>
      <c r="C121" s="14" t="str">
        <f t="shared" si="6"/>
        <v>October</v>
      </c>
      <c r="D121" s="15" t="str">
        <f>CHOOSE(MATCH(MONTH(A121), {1,4,7,10}), "Winter", "Spring", "Summer", "Autumn")</f>
        <v>Autumn</v>
      </c>
      <c r="E121">
        <f t="shared" si="7"/>
        <v>2024</v>
      </c>
      <c r="F121">
        <v>102</v>
      </c>
      <c r="G121">
        <f t="shared" ca="1" si="4"/>
        <v>150</v>
      </c>
      <c r="H121">
        <f t="shared" ca="1" si="5"/>
        <v>48</v>
      </c>
      <c r="I121" s="81">
        <f ca="1">(Table17[[#This Row],[Current_Month_Sales]]-Table17[[#This Row],[Previous Month Sales]])/Table17[[#This Row],[Previous Month Sales]]</f>
        <v>2.125</v>
      </c>
      <c r="J121" t="str">
        <f ca="1">IF(ABS(Table17[[#This Row],[%Change]]) &gt; 0.3, "Alert: Preference Shift", "")</f>
        <v>Alert: Preference Shift</v>
      </c>
    </row>
    <row r="122" spans="1:10">
      <c r="A122" s="53">
        <v>45605</v>
      </c>
      <c r="B122" s="14" t="s">
        <v>10</v>
      </c>
      <c r="C122" s="14" t="str">
        <f t="shared" si="6"/>
        <v>November</v>
      </c>
      <c r="D122" s="14" t="str">
        <f>CHOOSE(MATCH(MONTH(A122), {1,4,7,10}), "Winter", "Spring", "Summer", "Autumn")</f>
        <v>Autumn</v>
      </c>
      <c r="E122">
        <f t="shared" si="7"/>
        <v>2024</v>
      </c>
      <c r="F122">
        <v>100</v>
      </c>
      <c r="G122">
        <f t="shared" ca="1" si="4"/>
        <v>121</v>
      </c>
      <c r="H122">
        <f t="shared" ca="1" si="5"/>
        <v>117</v>
      </c>
      <c r="I122" s="81">
        <f ca="1">(Table17[[#This Row],[Current_Month_Sales]]-Table17[[#This Row],[Previous Month Sales]])/Table17[[#This Row],[Previous Month Sales]]</f>
        <v>3.4188034188034191E-2</v>
      </c>
      <c r="J122" t="str">
        <f ca="1">IF(ABS(Table17[[#This Row],[%Change]]) &gt; 0.3, "Alert: Preference Shift", "")</f>
        <v/>
      </c>
    </row>
    <row r="123" spans="1:10">
      <c r="A123" s="54">
        <v>45635</v>
      </c>
      <c r="B123" s="15" t="s">
        <v>14</v>
      </c>
      <c r="C123" s="14" t="str">
        <f t="shared" si="6"/>
        <v>December</v>
      </c>
      <c r="D123" s="15" t="str">
        <f>CHOOSE(MATCH(MONTH(A123), {1,4,7,10}), "Winter", "Spring", "Summer", "Autumn")</f>
        <v>Autumn</v>
      </c>
      <c r="E123">
        <f t="shared" si="7"/>
        <v>2024</v>
      </c>
      <c r="F123">
        <v>93</v>
      </c>
      <c r="G123">
        <f t="shared" ca="1" si="4"/>
        <v>189</v>
      </c>
      <c r="H123">
        <f t="shared" ca="1" si="5"/>
        <v>129</v>
      </c>
      <c r="I123" s="81">
        <f ca="1">(Table17[[#This Row],[Current_Month_Sales]]-Table17[[#This Row],[Previous Month Sales]])/Table17[[#This Row],[Previous Month Sales]]</f>
        <v>0.46511627906976744</v>
      </c>
      <c r="J123" t="str">
        <f ca="1">IF(ABS(Table17[[#This Row],[%Change]]) &gt; 0.3, "Alert: Preference Shift", "")</f>
        <v>Alert: Preference Shift</v>
      </c>
    </row>
    <row r="124" spans="1:10">
      <c r="A124" s="53">
        <v>45665</v>
      </c>
      <c r="B124" s="14" t="s">
        <v>14</v>
      </c>
      <c r="C124" s="14" t="str">
        <f t="shared" si="6"/>
        <v>January</v>
      </c>
      <c r="D124" s="14" t="str">
        <f>CHOOSE(MATCH(MONTH(A124), {1,4,7,10}), "Winter", "Spring", "Summer", "Autumn")</f>
        <v>Winter</v>
      </c>
      <c r="E124">
        <f t="shared" si="7"/>
        <v>2025</v>
      </c>
      <c r="F124">
        <v>100</v>
      </c>
      <c r="G124">
        <f t="shared" ca="1" si="4"/>
        <v>172</v>
      </c>
      <c r="H124">
        <f t="shared" ca="1" si="5"/>
        <v>118</v>
      </c>
      <c r="I124" s="81">
        <f ca="1">(Table17[[#This Row],[Current_Month_Sales]]-Table17[[#This Row],[Previous Month Sales]])/Table17[[#This Row],[Previous Month Sales]]</f>
        <v>0.4576271186440678</v>
      </c>
      <c r="J124" t="str">
        <f ca="1">IF(ABS(Table17[[#This Row],[%Change]]) &gt; 0.3, "Alert: Preference Shift", "")</f>
        <v>Alert: Preference Shift</v>
      </c>
    </row>
    <row r="125" spans="1:10">
      <c r="A125" s="54">
        <v>45695</v>
      </c>
      <c r="B125" s="15" t="s">
        <v>13</v>
      </c>
      <c r="C125" s="14" t="str">
        <f t="shared" si="6"/>
        <v>February</v>
      </c>
      <c r="D125" s="15" t="str">
        <f>CHOOSE(MATCH(MONTH(A125), {1,4,7,10}), "Winter", "Spring", "Summer", "Autumn")</f>
        <v>Winter</v>
      </c>
      <c r="E125">
        <f t="shared" si="7"/>
        <v>2025</v>
      </c>
      <c r="F125">
        <v>111</v>
      </c>
      <c r="G125">
        <f t="shared" ca="1" si="4"/>
        <v>121</v>
      </c>
      <c r="H125">
        <f t="shared" ca="1" si="5"/>
        <v>129</v>
      </c>
      <c r="I125" s="81">
        <f ca="1">(Table17[[#This Row],[Current_Month_Sales]]-Table17[[#This Row],[Previous Month Sales]])/Table17[[#This Row],[Previous Month Sales]]</f>
        <v>-6.2015503875968991E-2</v>
      </c>
      <c r="J125" t="str">
        <f ca="1">IF(ABS(Table17[[#This Row],[%Change]]) &gt; 0.3, "Alert: Preference Shift", "")</f>
        <v/>
      </c>
    </row>
    <row r="126" spans="1:10">
      <c r="A126" s="53">
        <v>45725</v>
      </c>
      <c r="B126" s="14" t="s">
        <v>14</v>
      </c>
      <c r="C126" s="14" t="str">
        <f t="shared" si="6"/>
        <v>March</v>
      </c>
      <c r="D126" s="14" t="str">
        <f>CHOOSE(MATCH(MONTH(A126), {1,4,7,10}), "Winter", "Spring", "Summer", "Autumn")</f>
        <v>Winter</v>
      </c>
      <c r="E126">
        <f t="shared" si="7"/>
        <v>2025</v>
      </c>
      <c r="F126">
        <v>87</v>
      </c>
      <c r="G126">
        <f t="shared" ca="1" si="4"/>
        <v>65</v>
      </c>
      <c r="H126">
        <f t="shared" ca="1" si="5"/>
        <v>129</v>
      </c>
      <c r="I126" s="81">
        <f ca="1">(Table17[[#This Row],[Current_Month_Sales]]-Table17[[#This Row],[Previous Month Sales]])/Table17[[#This Row],[Previous Month Sales]]</f>
        <v>-0.49612403100775193</v>
      </c>
      <c r="J126" t="str">
        <f ca="1">IF(ABS(Table17[[#This Row],[%Change]]) &gt; 0.3, "Alert: Preference Shift", "")</f>
        <v>Alert: Preference Shift</v>
      </c>
    </row>
    <row r="127" spans="1:10">
      <c r="A127" s="54">
        <v>45755</v>
      </c>
      <c r="B127" s="15" t="s">
        <v>13</v>
      </c>
      <c r="C127" s="14" t="str">
        <f t="shared" si="6"/>
        <v>April</v>
      </c>
      <c r="D127" s="15" t="str">
        <f>CHOOSE(MATCH(MONTH(A127), {1,4,7,10}), "Winter", "Spring", "Summer", "Autumn")</f>
        <v>Spring</v>
      </c>
      <c r="E127">
        <f t="shared" si="7"/>
        <v>2025</v>
      </c>
      <c r="F127">
        <v>100</v>
      </c>
      <c r="G127">
        <f t="shared" ca="1" si="4"/>
        <v>78</v>
      </c>
      <c r="H127">
        <f t="shared" ca="1" si="5"/>
        <v>117</v>
      </c>
      <c r="I127" s="81">
        <f ca="1">(Table17[[#This Row],[Current_Month_Sales]]-Table17[[#This Row],[Previous Month Sales]])/Table17[[#This Row],[Previous Month Sales]]</f>
        <v>-0.33333333333333331</v>
      </c>
      <c r="J127" t="str">
        <f ca="1">IF(ABS(Table17[[#This Row],[%Change]]) &gt; 0.3, "Alert: Preference Shift", "")</f>
        <v>Alert: Preference Shift</v>
      </c>
    </row>
    <row r="128" spans="1:10">
      <c r="A128" s="53">
        <v>45785</v>
      </c>
      <c r="B128" s="14" t="s">
        <v>11</v>
      </c>
      <c r="C128" s="14" t="str">
        <f t="shared" si="6"/>
        <v>May</v>
      </c>
      <c r="D128" s="14" t="str">
        <f>CHOOSE(MATCH(MONTH(A128), {1,4,7,10}), "Winter", "Spring", "Summer", "Autumn")</f>
        <v>Spring</v>
      </c>
      <c r="E128">
        <f t="shared" si="7"/>
        <v>2025</v>
      </c>
      <c r="F128">
        <v>104</v>
      </c>
      <c r="G128">
        <f t="shared" ca="1" si="4"/>
        <v>130</v>
      </c>
      <c r="H128">
        <f t="shared" ca="1" si="5"/>
        <v>79</v>
      </c>
      <c r="I128" s="81">
        <f ca="1">(Table17[[#This Row],[Current_Month_Sales]]-Table17[[#This Row],[Previous Month Sales]])/Table17[[#This Row],[Previous Month Sales]]</f>
        <v>0.64556962025316456</v>
      </c>
      <c r="J128" t="str">
        <f ca="1">IF(ABS(Table17[[#This Row],[%Change]]) &gt; 0.3, "Alert: Preference Shift", "")</f>
        <v>Alert: Preference Shift</v>
      </c>
    </row>
    <row r="129" spans="1:10">
      <c r="A129" s="54">
        <v>45815</v>
      </c>
      <c r="B129" s="15" t="s">
        <v>13</v>
      </c>
      <c r="C129" s="14" t="str">
        <f t="shared" si="6"/>
        <v>June</v>
      </c>
      <c r="D129" s="15" t="str">
        <f>CHOOSE(MATCH(MONTH(A129), {1,4,7,10}), "Winter", "Spring", "Summer", "Autumn")</f>
        <v>Spring</v>
      </c>
      <c r="E129">
        <f t="shared" si="7"/>
        <v>2025</v>
      </c>
      <c r="F129">
        <v>78</v>
      </c>
      <c r="G129">
        <f t="shared" ca="1" si="4"/>
        <v>121</v>
      </c>
      <c r="H129">
        <f t="shared" ca="1" si="5"/>
        <v>117</v>
      </c>
      <c r="I129" s="81">
        <f ca="1">(Table17[[#This Row],[Current_Month_Sales]]-Table17[[#This Row],[Previous Month Sales]])/Table17[[#This Row],[Previous Month Sales]]</f>
        <v>3.4188034188034191E-2</v>
      </c>
      <c r="J129" t="str">
        <f ca="1">IF(ABS(Table17[[#This Row],[%Change]]) &gt; 0.3, "Alert: Preference Shift", "")</f>
        <v/>
      </c>
    </row>
    <row r="130" spans="1:10">
      <c r="A130" s="53">
        <v>45845</v>
      </c>
      <c r="B130" s="14" t="s">
        <v>10</v>
      </c>
      <c r="C130" s="14" t="str">
        <f t="shared" si="6"/>
        <v>July</v>
      </c>
      <c r="D130" s="14" t="str">
        <f>CHOOSE(MATCH(MONTH(A130), {1,4,7,10}), "Winter", "Spring", "Summer", "Autumn")</f>
        <v>Summer</v>
      </c>
      <c r="E130">
        <f t="shared" si="7"/>
        <v>2025</v>
      </c>
      <c r="F130">
        <v>101</v>
      </c>
      <c r="G130">
        <f t="shared" ref="G130:G193" ca="1" si="8">CHOOSE(RANDBETWEEN(1,12), 121,133,65,78,150,189,89,157,100,172,97,130)</f>
        <v>78</v>
      </c>
      <c r="H130">
        <f t="shared" ref="H130:H193" ca="1" si="9">CHOOSE(RANDBETWEEN(1,12), 129,63,79,105,117,129,56,48,117,109,68,118)</f>
        <v>117</v>
      </c>
      <c r="I130" s="81">
        <f ca="1">(Table17[[#This Row],[Current_Month_Sales]]-Table17[[#This Row],[Previous Month Sales]])/Table17[[#This Row],[Previous Month Sales]]</f>
        <v>-0.33333333333333331</v>
      </c>
      <c r="J130" t="str">
        <f ca="1">IF(ABS(Table17[[#This Row],[%Change]]) &gt; 0.3, "Alert: Preference Shift", "")</f>
        <v>Alert: Preference Shift</v>
      </c>
    </row>
    <row r="131" spans="1:10">
      <c r="A131" s="54">
        <v>45875</v>
      </c>
      <c r="B131" s="15" t="s">
        <v>10</v>
      </c>
      <c r="C131" s="14" t="str">
        <f t="shared" ref="C131:C194" si="10">TEXT(A131,"mmmm")</f>
        <v>August</v>
      </c>
      <c r="D131" s="15" t="str">
        <f>CHOOSE(MATCH(MONTH(A131), {1,4,7,10}), "Winter", "Spring", "Summer", "Autumn")</f>
        <v>Summer</v>
      </c>
      <c r="E131">
        <f t="shared" ref="E131:E194" si="11">YEAR(A131)</f>
        <v>2025</v>
      </c>
      <c r="F131">
        <v>100</v>
      </c>
      <c r="G131">
        <f t="shared" ca="1" si="8"/>
        <v>150</v>
      </c>
      <c r="H131">
        <f t="shared" ca="1" si="9"/>
        <v>129</v>
      </c>
      <c r="I131" s="81">
        <f ca="1">(Table17[[#This Row],[Current_Month_Sales]]-Table17[[#This Row],[Previous Month Sales]])/Table17[[#This Row],[Previous Month Sales]]</f>
        <v>0.16279069767441862</v>
      </c>
      <c r="J131" t="str">
        <f ca="1">IF(ABS(Table17[[#This Row],[%Change]]) &gt; 0.3, "Alert: Preference Shift", "")</f>
        <v/>
      </c>
    </row>
    <row r="132" spans="1:10">
      <c r="A132" s="53">
        <v>45905</v>
      </c>
      <c r="B132" s="14" t="s">
        <v>13</v>
      </c>
      <c r="C132" s="14" t="str">
        <f t="shared" si="10"/>
        <v>September</v>
      </c>
      <c r="D132" s="14" t="str">
        <f>CHOOSE(MATCH(MONTH(A132), {1,4,7,10}), "Winter", "Spring", "Summer", "Autumn")</f>
        <v>Summer</v>
      </c>
      <c r="E132">
        <f t="shared" si="11"/>
        <v>2025</v>
      </c>
      <c r="F132">
        <v>109</v>
      </c>
      <c r="G132">
        <f t="shared" ca="1" si="8"/>
        <v>97</v>
      </c>
      <c r="H132">
        <f t="shared" ca="1" si="9"/>
        <v>48</v>
      </c>
      <c r="I132" s="81">
        <f ca="1">(Table17[[#This Row],[Current_Month_Sales]]-Table17[[#This Row],[Previous Month Sales]])/Table17[[#This Row],[Previous Month Sales]]</f>
        <v>1.0208333333333333</v>
      </c>
      <c r="J132" t="str">
        <f ca="1">IF(ABS(Table17[[#This Row],[%Change]]) &gt; 0.3, "Alert: Preference Shift", "")</f>
        <v>Alert: Preference Shift</v>
      </c>
    </row>
    <row r="133" spans="1:10">
      <c r="A133" s="54">
        <v>45935</v>
      </c>
      <c r="B133" s="15" t="s">
        <v>11</v>
      </c>
      <c r="C133" s="14" t="str">
        <f t="shared" si="10"/>
        <v>October</v>
      </c>
      <c r="D133" s="15" t="str">
        <f>CHOOSE(MATCH(MONTH(A133), {1,4,7,10}), "Winter", "Spring", "Summer", "Autumn")</f>
        <v>Autumn</v>
      </c>
      <c r="E133">
        <f t="shared" si="11"/>
        <v>2025</v>
      </c>
      <c r="F133">
        <v>98</v>
      </c>
      <c r="G133">
        <f t="shared" ca="1" si="8"/>
        <v>121</v>
      </c>
      <c r="H133">
        <f t="shared" ca="1" si="9"/>
        <v>68</v>
      </c>
      <c r="I133" s="81">
        <f ca="1">(Table17[[#This Row],[Current_Month_Sales]]-Table17[[#This Row],[Previous Month Sales]])/Table17[[#This Row],[Previous Month Sales]]</f>
        <v>0.77941176470588236</v>
      </c>
      <c r="J133" t="str">
        <f ca="1">IF(ABS(Table17[[#This Row],[%Change]]) &gt; 0.3, "Alert: Preference Shift", "")</f>
        <v>Alert: Preference Shift</v>
      </c>
    </row>
    <row r="134" spans="1:10">
      <c r="A134" s="53">
        <v>45965</v>
      </c>
      <c r="B134" s="14" t="s">
        <v>11</v>
      </c>
      <c r="C134" s="14" t="str">
        <f t="shared" si="10"/>
        <v>November</v>
      </c>
      <c r="D134" s="14" t="str">
        <f>CHOOSE(MATCH(MONTH(A134), {1,4,7,10}), "Winter", "Spring", "Summer", "Autumn")</f>
        <v>Autumn</v>
      </c>
      <c r="E134">
        <f t="shared" si="11"/>
        <v>2025</v>
      </c>
      <c r="F134">
        <v>111</v>
      </c>
      <c r="G134">
        <f t="shared" ca="1" si="8"/>
        <v>150</v>
      </c>
      <c r="H134">
        <f t="shared" ca="1" si="9"/>
        <v>68</v>
      </c>
      <c r="I134" s="81">
        <f ca="1">(Table17[[#This Row],[Current_Month_Sales]]-Table17[[#This Row],[Previous Month Sales]])/Table17[[#This Row],[Previous Month Sales]]</f>
        <v>1.2058823529411764</v>
      </c>
      <c r="J134" t="str">
        <f ca="1">IF(ABS(Table17[[#This Row],[%Change]]) &gt; 0.3, "Alert: Preference Shift", "")</f>
        <v>Alert: Preference Shift</v>
      </c>
    </row>
    <row r="135" spans="1:10">
      <c r="A135" s="54">
        <v>45995</v>
      </c>
      <c r="B135" s="15" t="s">
        <v>10</v>
      </c>
      <c r="C135" s="14" t="str">
        <f t="shared" si="10"/>
        <v>December</v>
      </c>
      <c r="D135" s="15" t="str">
        <f>CHOOSE(MATCH(MONTH(A135), {1,4,7,10}), "Winter", "Spring", "Summer", "Autumn")</f>
        <v>Autumn</v>
      </c>
      <c r="E135">
        <f t="shared" si="11"/>
        <v>2025</v>
      </c>
      <c r="F135">
        <v>97</v>
      </c>
      <c r="G135">
        <f t="shared" ca="1" si="8"/>
        <v>78</v>
      </c>
      <c r="H135">
        <f t="shared" ca="1" si="9"/>
        <v>117</v>
      </c>
      <c r="I135" s="81">
        <f ca="1">(Table17[[#This Row],[Current_Month_Sales]]-Table17[[#This Row],[Previous Month Sales]])/Table17[[#This Row],[Previous Month Sales]]</f>
        <v>-0.33333333333333331</v>
      </c>
      <c r="J135" t="str">
        <f ca="1">IF(ABS(Table17[[#This Row],[%Change]]) &gt; 0.3, "Alert: Preference Shift", "")</f>
        <v>Alert: Preference Shift</v>
      </c>
    </row>
    <row r="136" spans="1:10">
      <c r="A136" s="53">
        <v>46025</v>
      </c>
      <c r="B136" s="14" t="s">
        <v>11</v>
      </c>
      <c r="C136" s="14" t="str">
        <f t="shared" si="10"/>
        <v>January</v>
      </c>
      <c r="D136" s="14" t="str">
        <f>CHOOSE(MATCH(MONTH(A136), {1,4,7,10}), "Winter", "Spring", "Summer", "Autumn")</f>
        <v>Winter</v>
      </c>
      <c r="E136">
        <f t="shared" si="11"/>
        <v>2026</v>
      </c>
      <c r="F136">
        <v>88</v>
      </c>
      <c r="G136">
        <f t="shared" ca="1" si="8"/>
        <v>97</v>
      </c>
      <c r="H136">
        <f t="shared" ca="1" si="9"/>
        <v>118</v>
      </c>
      <c r="I136" s="81">
        <f ca="1">(Table17[[#This Row],[Current_Month_Sales]]-Table17[[#This Row],[Previous Month Sales]])/Table17[[#This Row],[Previous Month Sales]]</f>
        <v>-0.17796610169491525</v>
      </c>
      <c r="J136" t="str">
        <f ca="1">IF(ABS(Table17[[#This Row],[%Change]]) &gt; 0.3, "Alert: Preference Shift", "")</f>
        <v/>
      </c>
    </row>
    <row r="137" spans="1:10">
      <c r="A137" s="54">
        <v>46055</v>
      </c>
      <c r="B137" s="15" t="s">
        <v>14</v>
      </c>
      <c r="C137" s="14" t="str">
        <f t="shared" si="10"/>
        <v>February</v>
      </c>
      <c r="D137" s="15" t="str">
        <f>CHOOSE(MATCH(MONTH(A137), {1,4,7,10}), "Winter", "Spring", "Summer", "Autumn")</f>
        <v>Winter</v>
      </c>
      <c r="E137">
        <f t="shared" si="11"/>
        <v>2026</v>
      </c>
      <c r="F137">
        <v>101</v>
      </c>
      <c r="G137">
        <f t="shared" ca="1" si="8"/>
        <v>150</v>
      </c>
      <c r="H137">
        <f t="shared" ca="1" si="9"/>
        <v>117</v>
      </c>
      <c r="I137" s="81">
        <f ca="1">(Table17[[#This Row],[Current_Month_Sales]]-Table17[[#This Row],[Previous Month Sales]])/Table17[[#This Row],[Previous Month Sales]]</f>
        <v>0.28205128205128205</v>
      </c>
      <c r="J137" t="str">
        <f ca="1">IF(ABS(Table17[[#This Row],[%Change]]) &gt; 0.3, "Alert: Preference Shift", "")</f>
        <v/>
      </c>
    </row>
    <row r="138" spans="1:10">
      <c r="A138" s="53">
        <v>46085</v>
      </c>
      <c r="B138" s="14" t="s">
        <v>12</v>
      </c>
      <c r="C138" s="14" t="str">
        <f t="shared" si="10"/>
        <v>March</v>
      </c>
      <c r="D138" s="14" t="str">
        <f>CHOOSE(MATCH(MONTH(A138), {1,4,7,10}), "Winter", "Spring", "Summer", "Autumn")</f>
        <v>Winter</v>
      </c>
      <c r="E138">
        <f t="shared" si="11"/>
        <v>2026</v>
      </c>
      <c r="F138">
        <v>105</v>
      </c>
      <c r="G138">
        <f t="shared" ca="1" si="8"/>
        <v>150</v>
      </c>
      <c r="H138">
        <f t="shared" ca="1" si="9"/>
        <v>129</v>
      </c>
      <c r="I138" s="81">
        <f ca="1">(Table17[[#This Row],[Current_Month_Sales]]-Table17[[#This Row],[Previous Month Sales]])/Table17[[#This Row],[Previous Month Sales]]</f>
        <v>0.16279069767441862</v>
      </c>
      <c r="J138" t="str">
        <f ca="1">IF(ABS(Table17[[#This Row],[%Change]]) &gt; 0.3, "Alert: Preference Shift", "")</f>
        <v/>
      </c>
    </row>
    <row r="139" spans="1:10">
      <c r="A139" s="54">
        <v>46115</v>
      </c>
      <c r="B139" s="15" t="s">
        <v>14</v>
      </c>
      <c r="C139" s="14" t="str">
        <f t="shared" si="10"/>
        <v>April</v>
      </c>
      <c r="D139" s="15" t="str">
        <f>CHOOSE(MATCH(MONTH(A139), {1,4,7,10}), "Winter", "Spring", "Summer", "Autumn")</f>
        <v>Spring</v>
      </c>
      <c r="E139">
        <f t="shared" si="11"/>
        <v>2026</v>
      </c>
      <c r="F139">
        <v>102</v>
      </c>
      <c r="G139">
        <f t="shared" ca="1" si="8"/>
        <v>157</v>
      </c>
      <c r="H139">
        <f t="shared" ca="1" si="9"/>
        <v>117</v>
      </c>
      <c r="I139" s="81">
        <f ca="1">(Table17[[#This Row],[Current_Month_Sales]]-Table17[[#This Row],[Previous Month Sales]])/Table17[[#This Row],[Previous Month Sales]]</f>
        <v>0.34188034188034189</v>
      </c>
      <c r="J139" t="str">
        <f ca="1">IF(ABS(Table17[[#This Row],[%Change]]) &gt; 0.3, "Alert: Preference Shift", "")</f>
        <v>Alert: Preference Shift</v>
      </c>
    </row>
    <row r="140" spans="1:10">
      <c r="A140" s="53">
        <v>46145</v>
      </c>
      <c r="B140" s="14" t="s">
        <v>10</v>
      </c>
      <c r="C140" s="14" t="str">
        <f t="shared" si="10"/>
        <v>May</v>
      </c>
      <c r="D140" s="14" t="str">
        <f>CHOOSE(MATCH(MONTH(A140), {1,4,7,10}), "Winter", "Spring", "Summer", "Autumn")</f>
        <v>Spring</v>
      </c>
      <c r="E140">
        <f t="shared" si="11"/>
        <v>2026</v>
      </c>
      <c r="F140">
        <v>98</v>
      </c>
      <c r="G140">
        <f t="shared" ca="1" si="8"/>
        <v>78</v>
      </c>
      <c r="H140">
        <f t="shared" ca="1" si="9"/>
        <v>79</v>
      </c>
      <c r="I140" s="81">
        <f ca="1">(Table17[[#This Row],[Current_Month_Sales]]-Table17[[#This Row],[Previous Month Sales]])/Table17[[#This Row],[Previous Month Sales]]</f>
        <v>-1.2658227848101266E-2</v>
      </c>
      <c r="J140" t="str">
        <f ca="1">IF(ABS(Table17[[#This Row],[%Change]]) &gt; 0.3, "Alert: Preference Shift", "")</f>
        <v/>
      </c>
    </row>
    <row r="141" spans="1:10">
      <c r="A141" s="54">
        <v>46175</v>
      </c>
      <c r="B141" s="15" t="s">
        <v>11</v>
      </c>
      <c r="C141" s="14" t="str">
        <f t="shared" si="10"/>
        <v>June</v>
      </c>
      <c r="D141" s="15" t="str">
        <f>CHOOSE(MATCH(MONTH(A141), {1,4,7,10}), "Winter", "Spring", "Summer", "Autumn")</f>
        <v>Spring</v>
      </c>
      <c r="E141">
        <f t="shared" si="11"/>
        <v>2026</v>
      </c>
      <c r="F141">
        <v>96</v>
      </c>
      <c r="G141">
        <f t="shared" ca="1" si="8"/>
        <v>172</v>
      </c>
      <c r="H141">
        <f t="shared" ca="1" si="9"/>
        <v>118</v>
      </c>
      <c r="I141" s="81">
        <f ca="1">(Table17[[#This Row],[Current_Month_Sales]]-Table17[[#This Row],[Previous Month Sales]])/Table17[[#This Row],[Previous Month Sales]]</f>
        <v>0.4576271186440678</v>
      </c>
      <c r="J141" t="str">
        <f ca="1">IF(ABS(Table17[[#This Row],[%Change]]) &gt; 0.3, "Alert: Preference Shift", "")</f>
        <v>Alert: Preference Shift</v>
      </c>
    </row>
    <row r="142" spans="1:10">
      <c r="A142" s="53">
        <v>46205</v>
      </c>
      <c r="B142" s="14" t="s">
        <v>13</v>
      </c>
      <c r="C142" s="14" t="str">
        <f t="shared" si="10"/>
        <v>July</v>
      </c>
      <c r="D142" s="14" t="str">
        <f>CHOOSE(MATCH(MONTH(A142), {1,4,7,10}), "Winter", "Spring", "Summer", "Autumn")</f>
        <v>Summer</v>
      </c>
      <c r="E142">
        <f t="shared" si="11"/>
        <v>2026</v>
      </c>
      <c r="F142">
        <v>76</v>
      </c>
      <c r="G142">
        <f t="shared" ca="1" si="8"/>
        <v>157</v>
      </c>
      <c r="H142">
        <f t="shared" ca="1" si="9"/>
        <v>117</v>
      </c>
      <c r="I142" s="81">
        <f ca="1">(Table17[[#This Row],[Current_Month_Sales]]-Table17[[#This Row],[Previous Month Sales]])/Table17[[#This Row],[Previous Month Sales]]</f>
        <v>0.34188034188034189</v>
      </c>
      <c r="J142" t="str">
        <f ca="1">IF(ABS(Table17[[#This Row],[%Change]]) &gt; 0.3, "Alert: Preference Shift", "")</f>
        <v>Alert: Preference Shift</v>
      </c>
    </row>
    <row r="143" spans="1:10">
      <c r="A143" s="54">
        <v>46235</v>
      </c>
      <c r="B143" s="15" t="s">
        <v>12</v>
      </c>
      <c r="C143" s="14" t="str">
        <f t="shared" si="10"/>
        <v>August</v>
      </c>
      <c r="D143" s="15" t="str">
        <f>CHOOSE(MATCH(MONTH(A143), {1,4,7,10}), "Winter", "Spring", "Summer", "Autumn")</f>
        <v>Summer</v>
      </c>
      <c r="E143">
        <f t="shared" si="11"/>
        <v>2026</v>
      </c>
      <c r="F143">
        <v>112</v>
      </c>
      <c r="G143">
        <f t="shared" ca="1" si="8"/>
        <v>97</v>
      </c>
      <c r="H143">
        <f t="shared" ca="1" si="9"/>
        <v>48</v>
      </c>
      <c r="I143" s="81">
        <f ca="1">(Table17[[#This Row],[Current_Month_Sales]]-Table17[[#This Row],[Previous Month Sales]])/Table17[[#This Row],[Previous Month Sales]]</f>
        <v>1.0208333333333333</v>
      </c>
      <c r="J143" t="str">
        <f ca="1">IF(ABS(Table17[[#This Row],[%Change]]) &gt; 0.3, "Alert: Preference Shift", "")</f>
        <v>Alert: Preference Shift</v>
      </c>
    </row>
    <row r="144" spans="1:10">
      <c r="A144" s="53">
        <v>46265</v>
      </c>
      <c r="B144" s="14" t="s">
        <v>13</v>
      </c>
      <c r="C144" s="14" t="str">
        <f t="shared" si="10"/>
        <v>August</v>
      </c>
      <c r="D144" s="14" t="str">
        <f>CHOOSE(MATCH(MONTH(A144), {1,4,7,10}), "Winter", "Spring", "Summer", "Autumn")</f>
        <v>Summer</v>
      </c>
      <c r="E144">
        <f t="shared" si="11"/>
        <v>2026</v>
      </c>
      <c r="F144">
        <v>99</v>
      </c>
      <c r="G144">
        <f t="shared" ca="1" si="8"/>
        <v>78</v>
      </c>
      <c r="H144">
        <f t="shared" ca="1" si="9"/>
        <v>117</v>
      </c>
      <c r="I144" s="81">
        <f ca="1">(Table17[[#This Row],[Current_Month_Sales]]-Table17[[#This Row],[Previous Month Sales]])/Table17[[#This Row],[Previous Month Sales]]</f>
        <v>-0.33333333333333331</v>
      </c>
      <c r="J144" t="str">
        <f ca="1">IF(ABS(Table17[[#This Row],[%Change]]) &gt; 0.3, "Alert: Preference Shift", "")</f>
        <v>Alert: Preference Shift</v>
      </c>
    </row>
    <row r="145" spans="1:10">
      <c r="A145" s="54">
        <v>46295</v>
      </c>
      <c r="B145" s="15" t="s">
        <v>10</v>
      </c>
      <c r="C145" s="14" t="str">
        <f t="shared" si="10"/>
        <v>September</v>
      </c>
      <c r="D145" s="15" t="str">
        <f>CHOOSE(MATCH(MONTH(A145), {1,4,7,10}), "Winter", "Spring", "Summer", "Autumn")</f>
        <v>Summer</v>
      </c>
      <c r="E145">
        <f t="shared" si="11"/>
        <v>2026</v>
      </c>
      <c r="F145">
        <v>100</v>
      </c>
      <c r="G145">
        <f t="shared" ca="1" si="8"/>
        <v>89</v>
      </c>
      <c r="H145">
        <f t="shared" ca="1" si="9"/>
        <v>63</v>
      </c>
      <c r="I145" s="81">
        <f ca="1">(Table17[[#This Row],[Current_Month_Sales]]-Table17[[#This Row],[Previous Month Sales]])/Table17[[#This Row],[Previous Month Sales]]</f>
        <v>0.41269841269841268</v>
      </c>
      <c r="J145" t="str">
        <f ca="1">IF(ABS(Table17[[#This Row],[%Change]]) &gt; 0.3, "Alert: Preference Shift", "")</f>
        <v>Alert: Preference Shift</v>
      </c>
    </row>
    <row r="146" spans="1:10">
      <c r="A146" s="53">
        <v>46325</v>
      </c>
      <c r="B146" s="14" t="s">
        <v>11</v>
      </c>
      <c r="C146" s="14" t="str">
        <f t="shared" si="10"/>
        <v>October</v>
      </c>
      <c r="D146" s="14" t="str">
        <f>CHOOSE(MATCH(MONTH(A146), {1,4,7,10}), "Winter", "Spring", "Summer", "Autumn")</f>
        <v>Autumn</v>
      </c>
      <c r="E146">
        <f t="shared" si="11"/>
        <v>2026</v>
      </c>
      <c r="F146">
        <v>89</v>
      </c>
      <c r="G146">
        <f t="shared" ca="1" si="8"/>
        <v>133</v>
      </c>
      <c r="H146">
        <f t="shared" ca="1" si="9"/>
        <v>129</v>
      </c>
      <c r="I146" s="81">
        <f ca="1">(Table17[[#This Row],[Current_Month_Sales]]-Table17[[#This Row],[Previous Month Sales]])/Table17[[#This Row],[Previous Month Sales]]</f>
        <v>3.1007751937984496E-2</v>
      </c>
      <c r="J146" t="str">
        <f ca="1">IF(ABS(Table17[[#This Row],[%Change]]) &gt; 0.3, "Alert: Preference Shift", "")</f>
        <v/>
      </c>
    </row>
    <row r="147" spans="1:10">
      <c r="A147" s="54">
        <v>46355</v>
      </c>
      <c r="B147" s="15" t="s">
        <v>13</v>
      </c>
      <c r="C147" s="14" t="str">
        <f t="shared" si="10"/>
        <v>November</v>
      </c>
      <c r="D147" s="15" t="str">
        <f>CHOOSE(MATCH(MONTH(A147), {1,4,7,10}), "Winter", "Spring", "Summer", "Autumn")</f>
        <v>Autumn</v>
      </c>
      <c r="E147">
        <f t="shared" si="11"/>
        <v>2026</v>
      </c>
      <c r="F147">
        <v>100</v>
      </c>
      <c r="G147">
        <f t="shared" ca="1" si="8"/>
        <v>65</v>
      </c>
      <c r="H147">
        <f t="shared" ca="1" si="9"/>
        <v>129</v>
      </c>
      <c r="I147" s="81">
        <f ca="1">(Table17[[#This Row],[Current_Month_Sales]]-Table17[[#This Row],[Previous Month Sales]])/Table17[[#This Row],[Previous Month Sales]]</f>
        <v>-0.49612403100775193</v>
      </c>
      <c r="J147" t="str">
        <f ca="1">IF(ABS(Table17[[#This Row],[%Change]]) &gt; 0.3, "Alert: Preference Shift", "")</f>
        <v>Alert: Preference Shift</v>
      </c>
    </row>
    <row r="148" spans="1:10">
      <c r="A148" s="53">
        <v>46385</v>
      </c>
      <c r="B148" s="14" t="s">
        <v>13</v>
      </c>
      <c r="C148" s="14" t="str">
        <f t="shared" si="10"/>
        <v>December</v>
      </c>
      <c r="D148" s="14" t="str">
        <f>CHOOSE(MATCH(MONTH(A148), {1,4,7,10}), "Winter", "Spring", "Summer", "Autumn")</f>
        <v>Autumn</v>
      </c>
      <c r="E148">
        <f t="shared" si="11"/>
        <v>2026</v>
      </c>
      <c r="F148">
        <v>104</v>
      </c>
      <c r="G148">
        <f t="shared" ca="1" si="8"/>
        <v>100</v>
      </c>
      <c r="H148">
        <f t="shared" ca="1" si="9"/>
        <v>63</v>
      </c>
      <c r="I148" s="81">
        <f ca="1">(Table17[[#This Row],[Current_Month_Sales]]-Table17[[#This Row],[Previous Month Sales]])/Table17[[#This Row],[Previous Month Sales]]</f>
        <v>0.58730158730158732</v>
      </c>
      <c r="J148" t="str">
        <f ca="1">IF(ABS(Table17[[#This Row],[%Change]]) &gt; 0.3, "Alert: Preference Shift", "")</f>
        <v>Alert: Preference Shift</v>
      </c>
    </row>
    <row r="149" spans="1:10">
      <c r="A149" s="54">
        <v>46415</v>
      </c>
      <c r="B149" s="15" t="s">
        <v>12</v>
      </c>
      <c r="C149" s="14" t="str">
        <f t="shared" si="10"/>
        <v>January</v>
      </c>
      <c r="D149" s="15" t="str">
        <f>CHOOSE(MATCH(MONTH(A149), {1,4,7,10}), "Winter", "Spring", "Summer", "Autumn")</f>
        <v>Winter</v>
      </c>
      <c r="E149">
        <f t="shared" si="11"/>
        <v>2027</v>
      </c>
      <c r="F149">
        <v>96</v>
      </c>
      <c r="G149">
        <f t="shared" ca="1" si="8"/>
        <v>189</v>
      </c>
      <c r="H149">
        <f t="shared" ca="1" si="9"/>
        <v>109</v>
      </c>
      <c r="I149" s="81">
        <f ca="1">(Table17[[#This Row],[Current_Month_Sales]]-Table17[[#This Row],[Previous Month Sales]])/Table17[[#This Row],[Previous Month Sales]]</f>
        <v>0.73394495412844041</v>
      </c>
      <c r="J149" t="str">
        <f ca="1">IF(ABS(Table17[[#This Row],[%Change]]) &gt; 0.3, "Alert: Preference Shift", "")</f>
        <v>Alert: Preference Shift</v>
      </c>
    </row>
    <row r="150" spans="1:10">
      <c r="A150" s="53">
        <v>46445</v>
      </c>
      <c r="B150" s="14" t="s">
        <v>12</v>
      </c>
      <c r="C150" s="14" t="str">
        <f t="shared" si="10"/>
        <v>February</v>
      </c>
      <c r="D150" s="14" t="str">
        <f>CHOOSE(MATCH(MONTH(A150), {1,4,7,10}), "Winter", "Spring", "Summer", "Autumn")</f>
        <v>Winter</v>
      </c>
      <c r="E150">
        <f t="shared" si="11"/>
        <v>2027</v>
      </c>
      <c r="F150">
        <v>100</v>
      </c>
      <c r="G150">
        <f t="shared" ca="1" si="8"/>
        <v>89</v>
      </c>
      <c r="H150">
        <f t="shared" ca="1" si="9"/>
        <v>56</v>
      </c>
      <c r="I150" s="81">
        <f ca="1">(Table17[[#This Row],[Current_Month_Sales]]-Table17[[#This Row],[Previous Month Sales]])/Table17[[#This Row],[Previous Month Sales]]</f>
        <v>0.5892857142857143</v>
      </c>
      <c r="J150" t="str">
        <f ca="1">IF(ABS(Table17[[#This Row],[%Change]]) &gt; 0.3, "Alert: Preference Shift", "")</f>
        <v>Alert: Preference Shift</v>
      </c>
    </row>
    <row r="151" spans="1:10">
      <c r="A151" s="54">
        <v>46475</v>
      </c>
      <c r="B151" s="15" t="s">
        <v>11</v>
      </c>
      <c r="C151" s="14" t="str">
        <f t="shared" si="10"/>
        <v>March</v>
      </c>
      <c r="D151" s="15" t="str">
        <f>CHOOSE(MATCH(MONTH(A151), {1,4,7,10}), "Winter", "Spring", "Summer", "Autumn")</f>
        <v>Winter</v>
      </c>
      <c r="E151">
        <f t="shared" si="11"/>
        <v>2027</v>
      </c>
      <c r="F151">
        <v>105</v>
      </c>
      <c r="G151">
        <f t="shared" ca="1" si="8"/>
        <v>150</v>
      </c>
      <c r="H151">
        <f t="shared" ca="1" si="9"/>
        <v>117</v>
      </c>
      <c r="I151" s="81">
        <f ca="1">(Table17[[#This Row],[Current_Month_Sales]]-Table17[[#This Row],[Previous Month Sales]])/Table17[[#This Row],[Previous Month Sales]]</f>
        <v>0.28205128205128205</v>
      </c>
      <c r="J151" t="str">
        <f ca="1">IF(ABS(Table17[[#This Row],[%Change]]) &gt; 0.3, "Alert: Preference Shift", "")</f>
        <v/>
      </c>
    </row>
    <row r="152" spans="1:10">
      <c r="A152" s="53">
        <v>46505</v>
      </c>
      <c r="B152" s="14" t="s">
        <v>12</v>
      </c>
      <c r="C152" s="14" t="str">
        <f t="shared" si="10"/>
        <v>April</v>
      </c>
      <c r="D152" s="14" t="str">
        <f>CHOOSE(MATCH(MONTH(A152), {1,4,7,10}), "Winter", "Spring", "Summer", "Autumn")</f>
        <v>Spring</v>
      </c>
      <c r="E152">
        <f t="shared" si="11"/>
        <v>2027</v>
      </c>
      <c r="F152">
        <v>81</v>
      </c>
      <c r="G152">
        <f t="shared" ca="1" si="8"/>
        <v>78</v>
      </c>
      <c r="H152">
        <f t="shared" ca="1" si="9"/>
        <v>56</v>
      </c>
      <c r="I152" s="81">
        <f ca="1">(Table17[[#This Row],[Current_Month_Sales]]-Table17[[#This Row],[Previous Month Sales]])/Table17[[#This Row],[Previous Month Sales]]</f>
        <v>0.39285714285714285</v>
      </c>
      <c r="J152" t="str">
        <f ca="1">IF(ABS(Table17[[#This Row],[%Change]]) &gt; 0.3, "Alert: Preference Shift", "")</f>
        <v>Alert: Preference Shift</v>
      </c>
    </row>
    <row r="153" spans="1:10">
      <c r="A153" s="54">
        <v>46535</v>
      </c>
      <c r="B153" s="15" t="s">
        <v>13</v>
      </c>
      <c r="C153" s="14" t="str">
        <f t="shared" si="10"/>
        <v>May</v>
      </c>
      <c r="D153" s="15" t="str">
        <f>CHOOSE(MATCH(MONTH(A153), {1,4,7,10}), "Winter", "Spring", "Summer", "Autumn")</f>
        <v>Spring</v>
      </c>
      <c r="E153">
        <f t="shared" si="11"/>
        <v>2027</v>
      </c>
      <c r="F153">
        <v>120</v>
      </c>
      <c r="G153">
        <f t="shared" ca="1" si="8"/>
        <v>100</v>
      </c>
      <c r="H153">
        <f t="shared" ca="1" si="9"/>
        <v>129</v>
      </c>
      <c r="I153" s="81">
        <f ca="1">(Table17[[#This Row],[Current_Month_Sales]]-Table17[[#This Row],[Previous Month Sales]])/Table17[[#This Row],[Previous Month Sales]]</f>
        <v>-0.22480620155038761</v>
      </c>
      <c r="J153" t="str">
        <f ca="1">IF(ABS(Table17[[#This Row],[%Change]]) &gt; 0.3, "Alert: Preference Shift", "")</f>
        <v/>
      </c>
    </row>
    <row r="154" spans="1:10">
      <c r="A154" s="53">
        <v>46565</v>
      </c>
      <c r="B154" s="14" t="s">
        <v>13</v>
      </c>
      <c r="C154" s="14" t="str">
        <f t="shared" si="10"/>
        <v>June</v>
      </c>
      <c r="D154" s="14" t="str">
        <f>CHOOSE(MATCH(MONTH(A154), {1,4,7,10}), "Winter", "Spring", "Summer", "Autumn")</f>
        <v>Spring</v>
      </c>
      <c r="E154">
        <f t="shared" si="11"/>
        <v>2027</v>
      </c>
      <c r="F154">
        <v>97</v>
      </c>
      <c r="G154">
        <f t="shared" ca="1" si="8"/>
        <v>121</v>
      </c>
      <c r="H154">
        <f t="shared" ca="1" si="9"/>
        <v>105</v>
      </c>
      <c r="I154" s="81">
        <f ca="1">(Table17[[#This Row],[Current_Month_Sales]]-Table17[[#This Row],[Previous Month Sales]])/Table17[[#This Row],[Previous Month Sales]]</f>
        <v>0.15238095238095239</v>
      </c>
      <c r="J154" t="str">
        <f ca="1">IF(ABS(Table17[[#This Row],[%Change]]) &gt; 0.3, "Alert: Preference Shift", "")</f>
        <v/>
      </c>
    </row>
    <row r="155" spans="1:10">
      <c r="A155" s="54">
        <v>46595</v>
      </c>
      <c r="B155" s="15" t="s">
        <v>10</v>
      </c>
      <c r="C155" s="14" t="str">
        <f t="shared" si="10"/>
        <v>July</v>
      </c>
      <c r="D155" s="15" t="str">
        <f>CHOOSE(MATCH(MONTH(A155), {1,4,7,10}), "Winter", "Spring", "Summer", "Autumn")</f>
        <v>Summer</v>
      </c>
      <c r="E155">
        <f t="shared" si="11"/>
        <v>2027</v>
      </c>
      <c r="F155">
        <v>99</v>
      </c>
      <c r="G155">
        <f t="shared" ca="1" si="8"/>
        <v>78</v>
      </c>
      <c r="H155">
        <f t="shared" ca="1" si="9"/>
        <v>63</v>
      </c>
      <c r="I155" s="81">
        <f ca="1">(Table17[[#This Row],[Current_Month_Sales]]-Table17[[#This Row],[Previous Month Sales]])/Table17[[#This Row],[Previous Month Sales]]</f>
        <v>0.23809523809523808</v>
      </c>
      <c r="J155" t="str">
        <f ca="1">IF(ABS(Table17[[#This Row],[%Change]]) &gt; 0.3, "Alert: Preference Shift", "")</f>
        <v/>
      </c>
    </row>
    <row r="156" spans="1:10">
      <c r="A156" s="53">
        <v>46625</v>
      </c>
      <c r="B156" s="14" t="s">
        <v>13</v>
      </c>
      <c r="C156" s="14" t="str">
        <f t="shared" si="10"/>
        <v>August</v>
      </c>
      <c r="D156" s="14" t="str">
        <f>CHOOSE(MATCH(MONTH(A156), {1,4,7,10}), "Winter", "Spring", "Summer", "Autumn")</f>
        <v>Summer</v>
      </c>
      <c r="E156">
        <f t="shared" si="11"/>
        <v>2027</v>
      </c>
      <c r="F156">
        <v>120</v>
      </c>
      <c r="G156">
        <f t="shared" ca="1" si="8"/>
        <v>157</v>
      </c>
      <c r="H156">
        <f t="shared" ca="1" si="9"/>
        <v>129</v>
      </c>
      <c r="I156" s="81">
        <f ca="1">(Table17[[#This Row],[Current_Month_Sales]]-Table17[[#This Row],[Previous Month Sales]])/Table17[[#This Row],[Previous Month Sales]]</f>
        <v>0.21705426356589147</v>
      </c>
      <c r="J156" t="str">
        <f ca="1">IF(ABS(Table17[[#This Row],[%Change]]) &gt; 0.3, "Alert: Preference Shift", "")</f>
        <v/>
      </c>
    </row>
    <row r="157" spans="1:10">
      <c r="A157" s="54">
        <v>46655</v>
      </c>
      <c r="B157" s="15" t="s">
        <v>11</v>
      </c>
      <c r="C157" s="14" t="str">
        <f t="shared" si="10"/>
        <v>September</v>
      </c>
      <c r="D157" s="15" t="str">
        <f>CHOOSE(MATCH(MONTH(A157), {1,4,7,10}), "Winter", "Spring", "Summer", "Autumn")</f>
        <v>Summer</v>
      </c>
      <c r="E157">
        <f t="shared" si="11"/>
        <v>2027</v>
      </c>
      <c r="F157">
        <v>90</v>
      </c>
      <c r="G157">
        <f t="shared" ca="1" si="8"/>
        <v>78</v>
      </c>
      <c r="H157">
        <f t="shared" ca="1" si="9"/>
        <v>56</v>
      </c>
      <c r="I157" s="81">
        <f ca="1">(Table17[[#This Row],[Current_Month_Sales]]-Table17[[#This Row],[Previous Month Sales]])/Table17[[#This Row],[Previous Month Sales]]</f>
        <v>0.39285714285714285</v>
      </c>
      <c r="J157" t="str">
        <f ca="1">IF(ABS(Table17[[#This Row],[%Change]]) &gt; 0.3, "Alert: Preference Shift", "")</f>
        <v>Alert: Preference Shift</v>
      </c>
    </row>
    <row r="158" spans="1:10">
      <c r="A158" s="53">
        <v>46685</v>
      </c>
      <c r="B158" s="14" t="s">
        <v>14</v>
      </c>
      <c r="C158" s="14" t="str">
        <f t="shared" si="10"/>
        <v>October</v>
      </c>
      <c r="D158" s="14" t="str">
        <f>CHOOSE(MATCH(MONTH(A158), {1,4,7,10}), "Winter", "Spring", "Summer", "Autumn")</f>
        <v>Autumn</v>
      </c>
      <c r="E158">
        <f t="shared" si="11"/>
        <v>2027</v>
      </c>
      <c r="F158">
        <v>85</v>
      </c>
      <c r="G158">
        <f t="shared" ca="1" si="8"/>
        <v>78</v>
      </c>
      <c r="H158">
        <f t="shared" ca="1" si="9"/>
        <v>105</v>
      </c>
      <c r="I158" s="81">
        <f ca="1">(Table17[[#This Row],[Current_Month_Sales]]-Table17[[#This Row],[Previous Month Sales]])/Table17[[#This Row],[Previous Month Sales]]</f>
        <v>-0.25714285714285712</v>
      </c>
      <c r="J158" t="str">
        <f ca="1">IF(ABS(Table17[[#This Row],[%Change]]) &gt; 0.3, "Alert: Preference Shift", "")</f>
        <v/>
      </c>
    </row>
    <row r="159" spans="1:10">
      <c r="A159" s="54">
        <v>46715</v>
      </c>
      <c r="B159" s="15" t="s">
        <v>10</v>
      </c>
      <c r="C159" s="14" t="str">
        <f t="shared" si="10"/>
        <v>November</v>
      </c>
      <c r="D159" s="15" t="str">
        <f>CHOOSE(MATCH(MONTH(A159), {1,4,7,10}), "Winter", "Spring", "Summer", "Autumn")</f>
        <v>Autumn</v>
      </c>
      <c r="E159">
        <f t="shared" si="11"/>
        <v>2027</v>
      </c>
      <c r="F159">
        <v>84</v>
      </c>
      <c r="G159">
        <f t="shared" ca="1" si="8"/>
        <v>157</v>
      </c>
      <c r="H159">
        <f t="shared" ca="1" si="9"/>
        <v>68</v>
      </c>
      <c r="I159" s="81">
        <f ca="1">(Table17[[#This Row],[Current_Month_Sales]]-Table17[[#This Row],[Previous Month Sales]])/Table17[[#This Row],[Previous Month Sales]]</f>
        <v>1.3088235294117647</v>
      </c>
      <c r="J159" t="str">
        <f ca="1">IF(ABS(Table17[[#This Row],[%Change]]) &gt; 0.3, "Alert: Preference Shift", "")</f>
        <v>Alert: Preference Shift</v>
      </c>
    </row>
    <row r="160" spans="1:10">
      <c r="A160" s="53">
        <v>46745</v>
      </c>
      <c r="B160" s="14" t="s">
        <v>10</v>
      </c>
      <c r="C160" s="14" t="str">
        <f t="shared" si="10"/>
        <v>December</v>
      </c>
      <c r="D160" s="14" t="str">
        <f>CHOOSE(MATCH(MONTH(A160), {1,4,7,10}), "Winter", "Spring", "Summer", "Autumn")</f>
        <v>Autumn</v>
      </c>
      <c r="E160">
        <f t="shared" si="11"/>
        <v>2027</v>
      </c>
      <c r="F160">
        <v>100</v>
      </c>
      <c r="G160">
        <f t="shared" ca="1" si="8"/>
        <v>150</v>
      </c>
      <c r="H160">
        <f t="shared" ca="1" si="9"/>
        <v>118</v>
      </c>
      <c r="I160" s="81">
        <f ca="1">(Table17[[#This Row],[Current_Month_Sales]]-Table17[[#This Row],[Previous Month Sales]])/Table17[[#This Row],[Previous Month Sales]]</f>
        <v>0.2711864406779661</v>
      </c>
      <c r="J160" t="str">
        <f ca="1">IF(ABS(Table17[[#This Row],[%Change]]) &gt; 0.3, "Alert: Preference Shift", "")</f>
        <v/>
      </c>
    </row>
    <row r="161" spans="1:10">
      <c r="A161" s="54">
        <v>46775</v>
      </c>
      <c r="B161" s="15" t="s">
        <v>11</v>
      </c>
      <c r="C161" s="14" t="str">
        <f t="shared" si="10"/>
        <v>January</v>
      </c>
      <c r="D161" s="15" t="str">
        <f>CHOOSE(MATCH(MONTH(A161), {1,4,7,10}), "Winter", "Spring", "Summer", "Autumn")</f>
        <v>Winter</v>
      </c>
      <c r="E161">
        <f t="shared" si="11"/>
        <v>2028</v>
      </c>
      <c r="F161">
        <v>112</v>
      </c>
      <c r="G161">
        <f t="shared" ca="1" si="8"/>
        <v>150</v>
      </c>
      <c r="H161">
        <f t="shared" ca="1" si="9"/>
        <v>105</v>
      </c>
      <c r="I161" s="81">
        <f ca="1">(Table17[[#This Row],[Current_Month_Sales]]-Table17[[#This Row],[Previous Month Sales]])/Table17[[#This Row],[Previous Month Sales]]</f>
        <v>0.42857142857142855</v>
      </c>
      <c r="J161" t="str">
        <f ca="1">IF(ABS(Table17[[#This Row],[%Change]]) &gt; 0.3, "Alert: Preference Shift", "")</f>
        <v>Alert: Preference Shift</v>
      </c>
    </row>
    <row r="162" spans="1:10">
      <c r="A162" s="53">
        <v>46805</v>
      </c>
      <c r="B162" s="14" t="s">
        <v>11</v>
      </c>
      <c r="C162" s="14" t="str">
        <f t="shared" si="10"/>
        <v>February</v>
      </c>
      <c r="D162" s="14" t="str">
        <f>CHOOSE(MATCH(MONTH(A162), {1,4,7,10}), "Winter", "Spring", "Summer", "Autumn")</f>
        <v>Winter</v>
      </c>
      <c r="E162">
        <f t="shared" si="11"/>
        <v>2028</v>
      </c>
      <c r="F162">
        <v>110</v>
      </c>
      <c r="G162">
        <f t="shared" ca="1" si="8"/>
        <v>150</v>
      </c>
      <c r="H162">
        <f t="shared" ca="1" si="9"/>
        <v>48</v>
      </c>
      <c r="I162" s="81">
        <f ca="1">(Table17[[#This Row],[Current_Month_Sales]]-Table17[[#This Row],[Previous Month Sales]])/Table17[[#This Row],[Previous Month Sales]]</f>
        <v>2.125</v>
      </c>
      <c r="J162" t="str">
        <f ca="1">IF(ABS(Table17[[#This Row],[%Change]]) &gt; 0.3, "Alert: Preference Shift", "")</f>
        <v>Alert: Preference Shift</v>
      </c>
    </row>
    <row r="163" spans="1:10">
      <c r="A163" s="54">
        <v>46835</v>
      </c>
      <c r="B163" s="15" t="s">
        <v>12</v>
      </c>
      <c r="C163" s="14" t="str">
        <f t="shared" si="10"/>
        <v>March</v>
      </c>
      <c r="D163" s="15" t="str">
        <f>CHOOSE(MATCH(MONTH(A163), {1,4,7,10}), "Winter", "Spring", "Summer", "Autumn")</f>
        <v>Winter</v>
      </c>
      <c r="E163">
        <f t="shared" si="11"/>
        <v>2028</v>
      </c>
      <c r="F163">
        <v>86</v>
      </c>
      <c r="G163">
        <f t="shared" ca="1" si="8"/>
        <v>189</v>
      </c>
      <c r="H163">
        <f t="shared" ca="1" si="9"/>
        <v>118</v>
      </c>
      <c r="I163" s="81">
        <f ca="1">(Table17[[#This Row],[Current_Month_Sales]]-Table17[[#This Row],[Previous Month Sales]])/Table17[[#This Row],[Previous Month Sales]]</f>
        <v>0.60169491525423724</v>
      </c>
      <c r="J163" t="str">
        <f ca="1">IF(ABS(Table17[[#This Row],[%Change]]) &gt; 0.3, "Alert: Preference Shift", "")</f>
        <v>Alert: Preference Shift</v>
      </c>
    </row>
    <row r="164" spans="1:10">
      <c r="A164" s="53">
        <v>46865</v>
      </c>
      <c r="B164" s="14" t="s">
        <v>10</v>
      </c>
      <c r="C164" s="14" t="str">
        <f t="shared" si="10"/>
        <v>April</v>
      </c>
      <c r="D164" s="14" t="str">
        <f>CHOOSE(MATCH(MONTH(A164), {1,4,7,10}), "Winter", "Spring", "Summer", "Autumn")</f>
        <v>Spring</v>
      </c>
      <c r="E164">
        <f t="shared" si="11"/>
        <v>2028</v>
      </c>
      <c r="F164">
        <v>104</v>
      </c>
      <c r="G164">
        <f t="shared" ca="1" si="8"/>
        <v>130</v>
      </c>
      <c r="H164">
        <f t="shared" ca="1" si="9"/>
        <v>109</v>
      </c>
      <c r="I164" s="81">
        <f ca="1">(Table17[[#This Row],[Current_Month_Sales]]-Table17[[#This Row],[Previous Month Sales]])/Table17[[#This Row],[Previous Month Sales]]</f>
        <v>0.19266055045871561</v>
      </c>
      <c r="J164" t="str">
        <f ca="1">IF(ABS(Table17[[#This Row],[%Change]]) &gt; 0.3, "Alert: Preference Shift", "")</f>
        <v/>
      </c>
    </row>
    <row r="165" spans="1:10">
      <c r="A165" s="54">
        <v>46895</v>
      </c>
      <c r="B165" s="15" t="s">
        <v>12</v>
      </c>
      <c r="C165" s="14" t="str">
        <f t="shared" si="10"/>
        <v>May</v>
      </c>
      <c r="D165" s="15" t="str">
        <f>CHOOSE(MATCH(MONTH(A165), {1,4,7,10}), "Winter", "Spring", "Summer", "Autumn")</f>
        <v>Spring</v>
      </c>
      <c r="E165">
        <f t="shared" si="11"/>
        <v>2028</v>
      </c>
      <c r="F165">
        <v>107</v>
      </c>
      <c r="G165">
        <f t="shared" ca="1" si="8"/>
        <v>172</v>
      </c>
      <c r="H165">
        <f t="shared" ca="1" si="9"/>
        <v>129</v>
      </c>
      <c r="I165" s="81">
        <f ca="1">(Table17[[#This Row],[Current_Month_Sales]]-Table17[[#This Row],[Previous Month Sales]])/Table17[[#This Row],[Previous Month Sales]]</f>
        <v>0.33333333333333331</v>
      </c>
      <c r="J165" t="str">
        <f ca="1">IF(ABS(Table17[[#This Row],[%Change]]) &gt; 0.3, "Alert: Preference Shift", "")</f>
        <v>Alert: Preference Shift</v>
      </c>
    </row>
    <row r="166" spans="1:10">
      <c r="A166" s="53">
        <v>46925</v>
      </c>
      <c r="B166" s="14" t="s">
        <v>13</v>
      </c>
      <c r="C166" s="14" t="str">
        <f t="shared" si="10"/>
        <v>June</v>
      </c>
      <c r="D166" s="14" t="str">
        <f>CHOOSE(MATCH(MONTH(A166), {1,4,7,10}), "Winter", "Spring", "Summer", "Autumn")</f>
        <v>Spring</v>
      </c>
      <c r="E166">
        <f t="shared" si="11"/>
        <v>2028</v>
      </c>
      <c r="F166">
        <v>93</v>
      </c>
      <c r="G166">
        <f t="shared" ca="1" si="8"/>
        <v>172</v>
      </c>
      <c r="H166">
        <f t="shared" ca="1" si="9"/>
        <v>79</v>
      </c>
      <c r="I166" s="81">
        <f ca="1">(Table17[[#This Row],[Current_Month_Sales]]-Table17[[#This Row],[Previous Month Sales]])/Table17[[#This Row],[Previous Month Sales]]</f>
        <v>1.1772151898734178</v>
      </c>
      <c r="J166" t="str">
        <f ca="1">IF(ABS(Table17[[#This Row],[%Change]]) &gt; 0.3, "Alert: Preference Shift", "")</f>
        <v>Alert: Preference Shift</v>
      </c>
    </row>
    <row r="167" spans="1:10">
      <c r="A167" s="54">
        <v>46955</v>
      </c>
      <c r="B167" s="15" t="s">
        <v>10</v>
      </c>
      <c r="C167" s="14" t="str">
        <f t="shared" si="10"/>
        <v>July</v>
      </c>
      <c r="D167" s="15" t="str">
        <f>CHOOSE(MATCH(MONTH(A167), {1,4,7,10}), "Winter", "Spring", "Summer", "Autumn")</f>
        <v>Summer</v>
      </c>
      <c r="E167">
        <f t="shared" si="11"/>
        <v>2028</v>
      </c>
      <c r="F167">
        <v>108</v>
      </c>
      <c r="G167">
        <f t="shared" ca="1" si="8"/>
        <v>189</v>
      </c>
      <c r="H167">
        <f t="shared" ca="1" si="9"/>
        <v>48</v>
      </c>
      <c r="I167" s="81">
        <f ca="1">(Table17[[#This Row],[Current_Month_Sales]]-Table17[[#This Row],[Previous Month Sales]])/Table17[[#This Row],[Previous Month Sales]]</f>
        <v>2.9375</v>
      </c>
      <c r="J167" t="str">
        <f ca="1">IF(ABS(Table17[[#This Row],[%Change]]) &gt; 0.3, "Alert: Preference Shift", "")</f>
        <v>Alert: Preference Shift</v>
      </c>
    </row>
    <row r="168" spans="1:10">
      <c r="A168" s="53">
        <v>46985</v>
      </c>
      <c r="B168" s="14" t="s">
        <v>10</v>
      </c>
      <c r="C168" s="14" t="str">
        <f t="shared" si="10"/>
        <v>August</v>
      </c>
      <c r="D168" s="14" t="str">
        <f>CHOOSE(MATCH(MONTH(A168), {1,4,7,10}), "Winter", "Spring", "Summer", "Autumn")</f>
        <v>Summer</v>
      </c>
      <c r="E168">
        <f t="shared" si="11"/>
        <v>2028</v>
      </c>
      <c r="F168">
        <v>96</v>
      </c>
      <c r="G168">
        <f t="shared" ca="1" si="8"/>
        <v>130</v>
      </c>
      <c r="H168">
        <f t="shared" ca="1" si="9"/>
        <v>68</v>
      </c>
      <c r="I168" s="81">
        <f ca="1">(Table17[[#This Row],[Current_Month_Sales]]-Table17[[#This Row],[Previous Month Sales]])/Table17[[#This Row],[Previous Month Sales]]</f>
        <v>0.91176470588235292</v>
      </c>
      <c r="J168" t="str">
        <f ca="1">IF(ABS(Table17[[#This Row],[%Change]]) &gt; 0.3, "Alert: Preference Shift", "")</f>
        <v>Alert: Preference Shift</v>
      </c>
    </row>
    <row r="169" spans="1:10">
      <c r="A169" s="54">
        <v>47015</v>
      </c>
      <c r="B169" s="15" t="s">
        <v>14</v>
      </c>
      <c r="C169" s="14" t="str">
        <f t="shared" si="10"/>
        <v>September</v>
      </c>
      <c r="D169" s="15" t="str">
        <f>CHOOSE(MATCH(MONTH(A169), {1,4,7,10}), "Winter", "Spring", "Summer", "Autumn")</f>
        <v>Summer</v>
      </c>
      <c r="E169">
        <f t="shared" si="11"/>
        <v>2028</v>
      </c>
      <c r="F169">
        <v>95</v>
      </c>
      <c r="G169">
        <f t="shared" ca="1" si="8"/>
        <v>172</v>
      </c>
      <c r="H169">
        <f t="shared" ca="1" si="9"/>
        <v>79</v>
      </c>
      <c r="I169" s="81">
        <f ca="1">(Table17[[#This Row],[Current_Month_Sales]]-Table17[[#This Row],[Previous Month Sales]])/Table17[[#This Row],[Previous Month Sales]]</f>
        <v>1.1772151898734178</v>
      </c>
      <c r="J169" t="str">
        <f ca="1">IF(ABS(Table17[[#This Row],[%Change]]) &gt; 0.3, "Alert: Preference Shift", "")</f>
        <v>Alert: Preference Shift</v>
      </c>
    </row>
    <row r="170" spans="1:10">
      <c r="A170" s="53">
        <v>47045</v>
      </c>
      <c r="B170" s="14" t="s">
        <v>10</v>
      </c>
      <c r="C170" s="14" t="str">
        <f t="shared" si="10"/>
        <v>October</v>
      </c>
      <c r="D170" s="14" t="str">
        <f>CHOOSE(MATCH(MONTH(A170), {1,4,7,10}), "Winter", "Spring", "Summer", "Autumn")</f>
        <v>Autumn</v>
      </c>
      <c r="E170">
        <f t="shared" si="11"/>
        <v>2028</v>
      </c>
      <c r="F170">
        <v>112</v>
      </c>
      <c r="G170">
        <f t="shared" ca="1" si="8"/>
        <v>100</v>
      </c>
      <c r="H170">
        <f t="shared" ca="1" si="9"/>
        <v>118</v>
      </c>
      <c r="I170" s="81">
        <f ca="1">(Table17[[#This Row],[Current_Month_Sales]]-Table17[[#This Row],[Previous Month Sales]])/Table17[[#This Row],[Previous Month Sales]]</f>
        <v>-0.15254237288135594</v>
      </c>
      <c r="J170" t="str">
        <f ca="1">IF(ABS(Table17[[#This Row],[%Change]]) &gt; 0.3, "Alert: Preference Shift", "")</f>
        <v/>
      </c>
    </row>
    <row r="171" spans="1:10">
      <c r="A171" s="54">
        <v>47075</v>
      </c>
      <c r="B171" s="15" t="s">
        <v>13</v>
      </c>
      <c r="C171" s="14" t="str">
        <f t="shared" si="10"/>
        <v>November</v>
      </c>
      <c r="D171" s="15" t="str">
        <f>CHOOSE(MATCH(MONTH(A171), {1,4,7,10}), "Winter", "Spring", "Summer", "Autumn")</f>
        <v>Autumn</v>
      </c>
      <c r="E171">
        <f t="shared" si="11"/>
        <v>2028</v>
      </c>
      <c r="F171">
        <v>108</v>
      </c>
      <c r="G171">
        <f t="shared" ca="1" si="8"/>
        <v>89</v>
      </c>
      <c r="H171">
        <f t="shared" ca="1" si="9"/>
        <v>63</v>
      </c>
      <c r="I171" s="81">
        <f ca="1">(Table17[[#This Row],[Current_Month_Sales]]-Table17[[#This Row],[Previous Month Sales]])/Table17[[#This Row],[Previous Month Sales]]</f>
        <v>0.41269841269841268</v>
      </c>
      <c r="J171" t="str">
        <f ca="1">IF(ABS(Table17[[#This Row],[%Change]]) &gt; 0.3, "Alert: Preference Shift", "")</f>
        <v>Alert: Preference Shift</v>
      </c>
    </row>
    <row r="172" spans="1:10">
      <c r="A172" s="53">
        <v>47105</v>
      </c>
      <c r="B172" s="14" t="s">
        <v>12</v>
      </c>
      <c r="C172" s="14" t="str">
        <f t="shared" si="10"/>
        <v>December</v>
      </c>
      <c r="D172" s="14" t="str">
        <f>CHOOSE(MATCH(MONTH(A172), {1,4,7,10}), "Winter", "Spring", "Summer", "Autumn")</f>
        <v>Autumn</v>
      </c>
      <c r="E172">
        <f t="shared" si="11"/>
        <v>2028</v>
      </c>
      <c r="F172">
        <v>85</v>
      </c>
      <c r="G172">
        <f t="shared" ca="1" si="8"/>
        <v>89</v>
      </c>
      <c r="H172">
        <f t="shared" ca="1" si="9"/>
        <v>68</v>
      </c>
      <c r="I172" s="81">
        <f ca="1">(Table17[[#This Row],[Current_Month_Sales]]-Table17[[#This Row],[Previous Month Sales]])/Table17[[#This Row],[Previous Month Sales]]</f>
        <v>0.30882352941176472</v>
      </c>
      <c r="J172" t="str">
        <f ca="1">IF(ABS(Table17[[#This Row],[%Change]]) &gt; 0.3, "Alert: Preference Shift", "")</f>
        <v>Alert: Preference Shift</v>
      </c>
    </row>
    <row r="173" spans="1:10">
      <c r="A173" s="54">
        <v>47135</v>
      </c>
      <c r="B173" s="15" t="s">
        <v>12</v>
      </c>
      <c r="C173" s="14" t="str">
        <f t="shared" si="10"/>
        <v>January</v>
      </c>
      <c r="D173" s="15" t="str">
        <f>CHOOSE(MATCH(MONTH(A173), {1,4,7,10}), "Winter", "Spring", "Summer", "Autumn")</f>
        <v>Winter</v>
      </c>
      <c r="E173">
        <f t="shared" si="11"/>
        <v>2029</v>
      </c>
      <c r="F173">
        <v>100</v>
      </c>
      <c r="G173">
        <f t="shared" ca="1" si="8"/>
        <v>130</v>
      </c>
      <c r="H173">
        <f t="shared" ca="1" si="9"/>
        <v>129</v>
      </c>
      <c r="I173" s="81">
        <f ca="1">(Table17[[#This Row],[Current_Month_Sales]]-Table17[[#This Row],[Previous Month Sales]])/Table17[[#This Row],[Previous Month Sales]]</f>
        <v>7.7519379844961239E-3</v>
      </c>
      <c r="J173" t="str">
        <f ca="1">IF(ABS(Table17[[#This Row],[%Change]]) &gt; 0.3, "Alert: Preference Shift", "")</f>
        <v/>
      </c>
    </row>
    <row r="174" spans="1:10">
      <c r="A174" s="53">
        <v>47165</v>
      </c>
      <c r="B174" s="14" t="s">
        <v>14</v>
      </c>
      <c r="C174" s="14" t="str">
        <f t="shared" si="10"/>
        <v>February</v>
      </c>
      <c r="D174" s="14" t="str">
        <f>CHOOSE(MATCH(MONTH(A174), {1,4,7,10}), "Winter", "Spring", "Summer", "Autumn")</f>
        <v>Winter</v>
      </c>
      <c r="E174">
        <f t="shared" si="11"/>
        <v>2029</v>
      </c>
      <c r="F174">
        <v>95</v>
      </c>
      <c r="G174">
        <f t="shared" ca="1" si="8"/>
        <v>97</v>
      </c>
      <c r="H174">
        <f t="shared" ca="1" si="9"/>
        <v>109</v>
      </c>
      <c r="I174" s="81">
        <f ca="1">(Table17[[#This Row],[Current_Month_Sales]]-Table17[[#This Row],[Previous Month Sales]])/Table17[[#This Row],[Previous Month Sales]]</f>
        <v>-0.11009174311926606</v>
      </c>
      <c r="J174" t="str">
        <f ca="1">IF(ABS(Table17[[#This Row],[%Change]]) &gt; 0.3, "Alert: Preference Shift", "")</f>
        <v/>
      </c>
    </row>
    <row r="175" spans="1:10">
      <c r="A175" s="54">
        <v>47195</v>
      </c>
      <c r="B175" s="15" t="s">
        <v>13</v>
      </c>
      <c r="C175" s="14" t="str">
        <f t="shared" si="10"/>
        <v>March</v>
      </c>
      <c r="D175" s="15" t="str">
        <f>CHOOSE(MATCH(MONTH(A175), {1,4,7,10}), "Winter", "Spring", "Summer", "Autumn")</f>
        <v>Winter</v>
      </c>
      <c r="E175">
        <f t="shared" si="11"/>
        <v>2029</v>
      </c>
      <c r="F175">
        <v>97</v>
      </c>
      <c r="G175">
        <f t="shared" ca="1" si="8"/>
        <v>133</v>
      </c>
      <c r="H175">
        <f t="shared" ca="1" si="9"/>
        <v>117</v>
      </c>
      <c r="I175" s="81">
        <f ca="1">(Table17[[#This Row],[Current_Month_Sales]]-Table17[[#This Row],[Previous Month Sales]])/Table17[[#This Row],[Previous Month Sales]]</f>
        <v>0.13675213675213677</v>
      </c>
      <c r="J175" t="str">
        <f ca="1">IF(ABS(Table17[[#This Row],[%Change]]) &gt; 0.3, "Alert: Preference Shift", "")</f>
        <v/>
      </c>
    </row>
    <row r="176" spans="1:10">
      <c r="A176" s="53">
        <v>47225</v>
      </c>
      <c r="B176" s="14" t="s">
        <v>12</v>
      </c>
      <c r="C176" s="14" t="str">
        <f t="shared" si="10"/>
        <v>April</v>
      </c>
      <c r="D176" s="14" t="str">
        <f>CHOOSE(MATCH(MONTH(A176), {1,4,7,10}), "Winter", "Spring", "Summer", "Autumn")</f>
        <v>Spring</v>
      </c>
      <c r="E176">
        <f t="shared" si="11"/>
        <v>2029</v>
      </c>
      <c r="F176">
        <v>116</v>
      </c>
      <c r="G176">
        <f t="shared" ca="1" si="8"/>
        <v>78</v>
      </c>
      <c r="H176">
        <f t="shared" ca="1" si="9"/>
        <v>129</v>
      </c>
      <c r="I176" s="81">
        <f ca="1">(Table17[[#This Row],[Current_Month_Sales]]-Table17[[#This Row],[Previous Month Sales]])/Table17[[#This Row],[Previous Month Sales]]</f>
        <v>-0.39534883720930231</v>
      </c>
      <c r="J176" t="str">
        <f ca="1">IF(ABS(Table17[[#This Row],[%Change]]) &gt; 0.3, "Alert: Preference Shift", "")</f>
        <v>Alert: Preference Shift</v>
      </c>
    </row>
    <row r="177" spans="1:10">
      <c r="A177" s="54">
        <v>47255</v>
      </c>
      <c r="B177" s="15" t="s">
        <v>11</v>
      </c>
      <c r="C177" s="14" t="str">
        <f t="shared" si="10"/>
        <v>May</v>
      </c>
      <c r="D177" s="15" t="str">
        <f>CHOOSE(MATCH(MONTH(A177), {1,4,7,10}), "Winter", "Spring", "Summer", "Autumn")</f>
        <v>Spring</v>
      </c>
      <c r="E177">
        <f t="shared" si="11"/>
        <v>2029</v>
      </c>
      <c r="F177">
        <v>95</v>
      </c>
      <c r="G177">
        <f t="shared" ca="1" si="8"/>
        <v>133</v>
      </c>
      <c r="H177">
        <f t="shared" ca="1" si="9"/>
        <v>56</v>
      </c>
      <c r="I177" s="81">
        <f ca="1">(Table17[[#This Row],[Current_Month_Sales]]-Table17[[#This Row],[Previous Month Sales]])/Table17[[#This Row],[Previous Month Sales]]</f>
        <v>1.375</v>
      </c>
      <c r="J177" t="str">
        <f ca="1">IF(ABS(Table17[[#This Row],[%Change]]) &gt; 0.3, "Alert: Preference Shift", "")</f>
        <v>Alert: Preference Shift</v>
      </c>
    </row>
    <row r="178" spans="1:10">
      <c r="A178" s="53">
        <v>47285</v>
      </c>
      <c r="B178" s="14" t="s">
        <v>13</v>
      </c>
      <c r="C178" s="14" t="str">
        <f t="shared" si="10"/>
        <v>June</v>
      </c>
      <c r="D178" s="14" t="str">
        <f>CHOOSE(MATCH(MONTH(A178), {1,4,7,10}), "Winter", "Spring", "Summer", "Autumn")</f>
        <v>Spring</v>
      </c>
      <c r="E178">
        <f t="shared" si="11"/>
        <v>2029</v>
      </c>
      <c r="F178">
        <v>123</v>
      </c>
      <c r="G178">
        <f t="shared" ca="1" si="8"/>
        <v>172</v>
      </c>
      <c r="H178">
        <f t="shared" ca="1" si="9"/>
        <v>63</v>
      </c>
      <c r="I178" s="81">
        <f ca="1">(Table17[[#This Row],[Current_Month_Sales]]-Table17[[#This Row],[Previous Month Sales]])/Table17[[#This Row],[Previous Month Sales]]</f>
        <v>1.7301587301587302</v>
      </c>
      <c r="J178" t="str">
        <f ca="1">IF(ABS(Table17[[#This Row],[%Change]]) &gt; 0.3, "Alert: Preference Shift", "")</f>
        <v>Alert: Preference Shift</v>
      </c>
    </row>
    <row r="179" spans="1:10">
      <c r="A179" s="54">
        <v>47315</v>
      </c>
      <c r="B179" s="15" t="s">
        <v>13</v>
      </c>
      <c r="C179" s="14" t="str">
        <f t="shared" si="10"/>
        <v>July</v>
      </c>
      <c r="D179" s="15" t="str">
        <f>CHOOSE(MATCH(MONTH(A179), {1,4,7,10}), "Winter", "Spring", "Summer", "Autumn")</f>
        <v>Summer</v>
      </c>
      <c r="E179">
        <f t="shared" si="11"/>
        <v>2029</v>
      </c>
      <c r="F179">
        <v>104</v>
      </c>
      <c r="G179">
        <f t="shared" ca="1" si="8"/>
        <v>89</v>
      </c>
      <c r="H179">
        <f t="shared" ca="1" si="9"/>
        <v>48</v>
      </c>
      <c r="I179" s="81">
        <f ca="1">(Table17[[#This Row],[Current_Month_Sales]]-Table17[[#This Row],[Previous Month Sales]])/Table17[[#This Row],[Previous Month Sales]]</f>
        <v>0.85416666666666663</v>
      </c>
      <c r="J179" t="str">
        <f ca="1">IF(ABS(Table17[[#This Row],[%Change]]) &gt; 0.3, "Alert: Preference Shift", "")</f>
        <v>Alert: Preference Shift</v>
      </c>
    </row>
    <row r="180" spans="1:10">
      <c r="A180" s="53">
        <v>47345</v>
      </c>
      <c r="B180" s="14" t="s">
        <v>14</v>
      </c>
      <c r="C180" s="14" t="str">
        <f t="shared" si="10"/>
        <v>August</v>
      </c>
      <c r="D180" s="14" t="str">
        <f>CHOOSE(MATCH(MONTH(A180), {1,4,7,10}), "Winter", "Spring", "Summer", "Autumn")</f>
        <v>Summer</v>
      </c>
      <c r="E180">
        <f t="shared" si="11"/>
        <v>2029</v>
      </c>
      <c r="F180">
        <v>94</v>
      </c>
      <c r="G180">
        <f t="shared" ca="1" si="8"/>
        <v>189</v>
      </c>
      <c r="H180">
        <f t="shared" ca="1" si="9"/>
        <v>56</v>
      </c>
      <c r="I180" s="81">
        <f ca="1">(Table17[[#This Row],[Current_Month_Sales]]-Table17[[#This Row],[Previous Month Sales]])/Table17[[#This Row],[Previous Month Sales]]</f>
        <v>2.375</v>
      </c>
      <c r="J180" t="str">
        <f ca="1">IF(ABS(Table17[[#This Row],[%Change]]) &gt; 0.3, "Alert: Preference Shift", "")</f>
        <v>Alert: Preference Shift</v>
      </c>
    </row>
    <row r="181" spans="1:10">
      <c r="A181" s="54">
        <v>47375</v>
      </c>
      <c r="B181" s="15" t="s">
        <v>12</v>
      </c>
      <c r="C181" s="14" t="str">
        <f t="shared" si="10"/>
        <v>September</v>
      </c>
      <c r="D181" s="15" t="str">
        <f>CHOOSE(MATCH(MONTH(A181), {1,4,7,10}), "Winter", "Spring", "Summer", "Autumn")</f>
        <v>Summer</v>
      </c>
      <c r="E181">
        <f t="shared" si="11"/>
        <v>2029</v>
      </c>
      <c r="F181">
        <v>105</v>
      </c>
      <c r="G181">
        <f t="shared" ca="1" si="8"/>
        <v>157</v>
      </c>
      <c r="H181">
        <f t="shared" ca="1" si="9"/>
        <v>79</v>
      </c>
      <c r="I181" s="81">
        <f ca="1">(Table17[[#This Row],[Current_Month_Sales]]-Table17[[#This Row],[Previous Month Sales]])/Table17[[#This Row],[Previous Month Sales]]</f>
        <v>0.98734177215189878</v>
      </c>
      <c r="J181" t="str">
        <f ca="1">IF(ABS(Table17[[#This Row],[%Change]]) &gt; 0.3, "Alert: Preference Shift", "")</f>
        <v>Alert: Preference Shift</v>
      </c>
    </row>
    <row r="182" spans="1:10">
      <c r="A182" s="53">
        <v>47405</v>
      </c>
      <c r="B182" s="14" t="s">
        <v>13</v>
      </c>
      <c r="C182" s="14" t="str">
        <f t="shared" si="10"/>
        <v>October</v>
      </c>
      <c r="D182" s="14" t="str">
        <f>CHOOSE(MATCH(MONTH(A182), {1,4,7,10}), "Winter", "Spring", "Summer", "Autumn")</f>
        <v>Autumn</v>
      </c>
      <c r="E182">
        <f t="shared" si="11"/>
        <v>2029</v>
      </c>
      <c r="F182">
        <v>109</v>
      </c>
      <c r="G182">
        <f t="shared" ca="1" si="8"/>
        <v>189</v>
      </c>
      <c r="H182">
        <f t="shared" ca="1" si="9"/>
        <v>117</v>
      </c>
      <c r="I182" s="81">
        <f ca="1">(Table17[[#This Row],[Current_Month_Sales]]-Table17[[#This Row],[Previous Month Sales]])/Table17[[#This Row],[Previous Month Sales]]</f>
        <v>0.61538461538461542</v>
      </c>
      <c r="J182" t="str">
        <f ca="1">IF(ABS(Table17[[#This Row],[%Change]]) &gt; 0.3, "Alert: Preference Shift", "")</f>
        <v>Alert: Preference Shift</v>
      </c>
    </row>
    <row r="183" spans="1:10">
      <c r="A183" s="54">
        <v>47435</v>
      </c>
      <c r="B183" s="15" t="s">
        <v>12</v>
      </c>
      <c r="C183" s="14" t="str">
        <f t="shared" si="10"/>
        <v>November</v>
      </c>
      <c r="D183" s="15" t="str">
        <f>CHOOSE(MATCH(MONTH(A183), {1,4,7,10}), "Winter", "Spring", "Summer", "Autumn")</f>
        <v>Autumn</v>
      </c>
      <c r="E183">
        <f t="shared" si="11"/>
        <v>2029</v>
      </c>
      <c r="F183">
        <v>84</v>
      </c>
      <c r="G183">
        <f t="shared" ca="1" si="8"/>
        <v>97</v>
      </c>
      <c r="H183">
        <f t="shared" ca="1" si="9"/>
        <v>109</v>
      </c>
      <c r="I183" s="81">
        <f ca="1">(Table17[[#This Row],[Current_Month_Sales]]-Table17[[#This Row],[Previous Month Sales]])/Table17[[#This Row],[Previous Month Sales]]</f>
        <v>-0.11009174311926606</v>
      </c>
      <c r="J183" t="str">
        <f ca="1">IF(ABS(Table17[[#This Row],[%Change]]) &gt; 0.3, "Alert: Preference Shift", "")</f>
        <v/>
      </c>
    </row>
    <row r="184" spans="1:10">
      <c r="A184" s="53">
        <v>47465</v>
      </c>
      <c r="B184" s="14" t="s">
        <v>11</v>
      </c>
      <c r="C184" s="14" t="str">
        <f t="shared" si="10"/>
        <v>December</v>
      </c>
      <c r="D184" s="14" t="str">
        <f>CHOOSE(MATCH(MONTH(A184), {1,4,7,10}), "Winter", "Spring", "Summer", "Autumn")</f>
        <v>Autumn</v>
      </c>
      <c r="E184">
        <f t="shared" si="11"/>
        <v>2029</v>
      </c>
      <c r="F184">
        <v>79</v>
      </c>
      <c r="G184">
        <f t="shared" ca="1" si="8"/>
        <v>157</v>
      </c>
      <c r="H184">
        <f t="shared" ca="1" si="9"/>
        <v>117</v>
      </c>
      <c r="I184" s="81">
        <f ca="1">(Table17[[#This Row],[Current_Month_Sales]]-Table17[[#This Row],[Previous Month Sales]])/Table17[[#This Row],[Previous Month Sales]]</f>
        <v>0.34188034188034189</v>
      </c>
      <c r="J184" t="str">
        <f ca="1">IF(ABS(Table17[[#This Row],[%Change]]) &gt; 0.3, "Alert: Preference Shift", "")</f>
        <v>Alert: Preference Shift</v>
      </c>
    </row>
    <row r="185" spans="1:10">
      <c r="A185" s="54">
        <v>47495</v>
      </c>
      <c r="B185" s="15" t="s">
        <v>14</v>
      </c>
      <c r="C185" s="14" t="str">
        <f t="shared" si="10"/>
        <v>January</v>
      </c>
      <c r="D185" s="15" t="str">
        <f>CHOOSE(MATCH(MONTH(A185), {1,4,7,10}), "Winter", "Spring", "Summer", "Autumn")</f>
        <v>Winter</v>
      </c>
      <c r="E185">
        <f t="shared" si="11"/>
        <v>2030</v>
      </c>
      <c r="F185">
        <v>98</v>
      </c>
      <c r="G185">
        <f t="shared" ca="1" si="8"/>
        <v>97</v>
      </c>
      <c r="H185">
        <f t="shared" ca="1" si="9"/>
        <v>48</v>
      </c>
      <c r="I185" s="81">
        <f ca="1">(Table17[[#This Row],[Current_Month_Sales]]-Table17[[#This Row],[Previous Month Sales]])/Table17[[#This Row],[Previous Month Sales]]</f>
        <v>1.0208333333333333</v>
      </c>
      <c r="J185" t="str">
        <f ca="1">IF(ABS(Table17[[#This Row],[%Change]]) &gt; 0.3, "Alert: Preference Shift", "")</f>
        <v>Alert: Preference Shift</v>
      </c>
    </row>
    <row r="186" spans="1:10">
      <c r="A186" s="53">
        <v>47525</v>
      </c>
      <c r="B186" s="14" t="s">
        <v>11</v>
      </c>
      <c r="C186" s="14" t="str">
        <f t="shared" si="10"/>
        <v>February</v>
      </c>
      <c r="D186" s="14" t="str">
        <f>CHOOSE(MATCH(MONTH(A186), {1,4,7,10}), "Winter", "Spring", "Summer", "Autumn")</f>
        <v>Winter</v>
      </c>
      <c r="E186">
        <f t="shared" si="11"/>
        <v>2030</v>
      </c>
      <c r="F186">
        <v>96</v>
      </c>
      <c r="G186">
        <f t="shared" ca="1" si="8"/>
        <v>172</v>
      </c>
      <c r="H186">
        <f t="shared" ca="1" si="9"/>
        <v>129</v>
      </c>
      <c r="I186" s="81">
        <f ca="1">(Table17[[#This Row],[Current_Month_Sales]]-Table17[[#This Row],[Previous Month Sales]])/Table17[[#This Row],[Previous Month Sales]]</f>
        <v>0.33333333333333331</v>
      </c>
      <c r="J186" t="str">
        <f ca="1">IF(ABS(Table17[[#This Row],[%Change]]) &gt; 0.3, "Alert: Preference Shift", "")</f>
        <v>Alert: Preference Shift</v>
      </c>
    </row>
    <row r="187" spans="1:10">
      <c r="A187" s="54">
        <v>47555</v>
      </c>
      <c r="B187" s="15" t="s">
        <v>14</v>
      </c>
      <c r="C187" s="14" t="str">
        <f t="shared" si="10"/>
        <v>March</v>
      </c>
      <c r="D187" s="15" t="str">
        <f>CHOOSE(MATCH(MONTH(A187), {1,4,7,10}), "Winter", "Spring", "Summer", "Autumn")</f>
        <v>Winter</v>
      </c>
      <c r="E187">
        <f t="shared" si="11"/>
        <v>2030</v>
      </c>
      <c r="F187">
        <v>88</v>
      </c>
      <c r="G187">
        <f t="shared" ca="1" si="8"/>
        <v>121</v>
      </c>
      <c r="H187">
        <f t="shared" ca="1" si="9"/>
        <v>129</v>
      </c>
      <c r="I187" s="81">
        <f ca="1">(Table17[[#This Row],[Current_Month_Sales]]-Table17[[#This Row],[Previous Month Sales]])/Table17[[#This Row],[Previous Month Sales]]</f>
        <v>-6.2015503875968991E-2</v>
      </c>
      <c r="J187" t="str">
        <f ca="1">IF(ABS(Table17[[#This Row],[%Change]]) &gt; 0.3, "Alert: Preference Shift", "")</f>
        <v/>
      </c>
    </row>
    <row r="188" spans="1:10">
      <c r="A188" s="53">
        <v>47585</v>
      </c>
      <c r="B188" s="14" t="s">
        <v>13</v>
      </c>
      <c r="C188" s="14" t="str">
        <f t="shared" si="10"/>
        <v>April</v>
      </c>
      <c r="D188" s="14" t="str">
        <f>CHOOSE(MATCH(MONTH(A188), {1,4,7,10}), "Winter", "Spring", "Summer", "Autumn")</f>
        <v>Spring</v>
      </c>
      <c r="E188">
        <f t="shared" si="11"/>
        <v>2030</v>
      </c>
      <c r="F188">
        <v>103</v>
      </c>
      <c r="G188">
        <f t="shared" ca="1" si="8"/>
        <v>97</v>
      </c>
      <c r="H188">
        <f t="shared" ca="1" si="9"/>
        <v>48</v>
      </c>
      <c r="I188" s="81">
        <f ca="1">(Table17[[#This Row],[Current_Month_Sales]]-Table17[[#This Row],[Previous Month Sales]])/Table17[[#This Row],[Previous Month Sales]]</f>
        <v>1.0208333333333333</v>
      </c>
      <c r="J188" t="str">
        <f ca="1">IF(ABS(Table17[[#This Row],[%Change]]) &gt; 0.3, "Alert: Preference Shift", "")</f>
        <v>Alert: Preference Shift</v>
      </c>
    </row>
    <row r="189" spans="1:10">
      <c r="A189" s="54">
        <v>47615</v>
      </c>
      <c r="B189" s="15" t="s">
        <v>14</v>
      </c>
      <c r="C189" s="14" t="str">
        <f t="shared" si="10"/>
        <v>May</v>
      </c>
      <c r="D189" s="15" t="str">
        <f>CHOOSE(MATCH(MONTH(A189), {1,4,7,10}), "Winter", "Spring", "Summer", "Autumn")</f>
        <v>Spring</v>
      </c>
      <c r="E189">
        <f t="shared" si="11"/>
        <v>2030</v>
      </c>
      <c r="F189">
        <v>83</v>
      </c>
      <c r="G189">
        <f t="shared" ca="1" si="8"/>
        <v>121</v>
      </c>
      <c r="H189">
        <f t="shared" ca="1" si="9"/>
        <v>118</v>
      </c>
      <c r="I189" s="81">
        <f ca="1">(Table17[[#This Row],[Current_Month_Sales]]-Table17[[#This Row],[Previous Month Sales]])/Table17[[#This Row],[Previous Month Sales]]</f>
        <v>2.5423728813559324E-2</v>
      </c>
      <c r="J189" t="str">
        <f ca="1">IF(ABS(Table17[[#This Row],[%Change]]) &gt; 0.3, "Alert: Preference Shift", "")</f>
        <v/>
      </c>
    </row>
    <row r="190" spans="1:10">
      <c r="A190" s="53">
        <v>47645</v>
      </c>
      <c r="B190" s="14" t="s">
        <v>10</v>
      </c>
      <c r="C190" s="14" t="str">
        <f t="shared" si="10"/>
        <v>June</v>
      </c>
      <c r="D190" s="14" t="str">
        <f>CHOOSE(MATCH(MONTH(A190), {1,4,7,10}), "Winter", "Spring", "Summer", "Autumn")</f>
        <v>Spring</v>
      </c>
      <c r="E190">
        <f t="shared" si="11"/>
        <v>2030</v>
      </c>
      <c r="F190">
        <v>82</v>
      </c>
      <c r="G190">
        <f t="shared" ca="1" si="8"/>
        <v>130</v>
      </c>
      <c r="H190">
        <f t="shared" ca="1" si="9"/>
        <v>129</v>
      </c>
      <c r="I190" s="81">
        <f ca="1">(Table17[[#This Row],[Current_Month_Sales]]-Table17[[#This Row],[Previous Month Sales]])/Table17[[#This Row],[Previous Month Sales]]</f>
        <v>7.7519379844961239E-3</v>
      </c>
      <c r="J190" t="str">
        <f ca="1">IF(ABS(Table17[[#This Row],[%Change]]) &gt; 0.3, "Alert: Preference Shift", "")</f>
        <v/>
      </c>
    </row>
    <row r="191" spans="1:10">
      <c r="A191" s="54">
        <v>47675</v>
      </c>
      <c r="B191" s="15" t="s">
        <v>12</v>
      </c>
      <c r="C191" s="14" t="str">
        <f t="shared" si="10"/>
        <v>July</v>
      </c>
      <c r="D191" s="15" t="str">
        <f>CHOOSE(MATCH(MONTH(A191), {1,4,7,10}), "Winter", "Spring", "Summer", "Autumn")</f>
        <v>Summer</v>
      </c>
      <c r="E191">
        <f t="shared" si="11"/>
        <v>2030</v>
      </c>
      <c r="F191">
        <v>106</v>
      </c>
      <c r="G191">
        <f t="shared" ca="1" si="8"/>
        <v>121</v>
      </c>
      <c r="H191">
        <f t="shared" ca="1" si="9"/>
        <v>129</v>
      </c>
      <c r="I191" s="81">
        <f ca="1">(Table17[[#This Row],[Current_Month_Sales]]-Table17[[#This Row],[Previous Month Sales]])/Table17[[#This Row],[Previous Month Sales]]</f>
        <v>-6.2015503875968991E-2</v>
      </c>
      <c r="J191" t="str">
        <f ca="1">IF(ABS(Table17[[#This Row],[%Change]]) &gt; 0.3, "Alert: Preference Shift", "")</f>
        <v/>
      </c>
    </row>
    <row r="192" spans="1:10">
      <c r="A192" s="53">
        <v>47705</v>
      </c>
      <c r="B192" s="14" t="s">
        <v>12</v>
      </c>
      <c r="C192" s="14" t="str">
        <f t="shared" si="10"/>
        <v>August</v>
      </c>
      <c r="D192" s="14" t="str">
        <f>CHOOSE(MATCH(MONTH(A192), {1,4,7,10}), "Winter", "Spring", "Summer", "Autumn")</f>
        <v>Summer</v>
      </c>
      <c r="E192">
        <f t="shared" si="11"/>
        <v>2030</v>
      </c>
      <c r="F192">
        <v>96</v>
      </c>
      <c r="G192">
        <f t="shared" ca="1" si="8"/>
        <v>97</v>
      </c>
      <c r="H192">
        <f t="shared" ca="1" si="9"/>
        <v>129</v>
      </c>
      <c r="I192" s="81">
        <f ca="1">(Table17[[#This Row],[Current_Month_Sales]]-Table17[[#This Row],[Previous Month Sales]])/Table17[[#This Row],[Previous Month Sales]]</f>
        <v>-0.24806201550387597</v>
      </c>
      <c r="J192" t="str">
        <f ca="1">IF(ABS(Table17[[#This Row],[%Change]]) &gt; 0.3, "Alert: Preference Shift", "")</f>
        <v/>
      </c>
    </row>
    <row r="193" spans="1:10">
      <c r="A193" s="54">
        <v>47735</v>
      </c>
      <c r="B193" s="15" t="s">
        <v>10</v>
      </c>
      <c r="C193" s="14" t="str">
        <f t="shared" si="10"/>
        <v>September</v>
      </c>
      <c r="D193" s="15" t="str">
        <f>CHOOSE(MATCH(MONTH(A193), {1,4,7,10}), "Winter", "Spring", "Summer", "Autumn")</f>
        <v>Summer</v>
      </c>
      <c r="E193">
        <f t="shared" si="11"/>
        <v>2030</v>
      </c>
      <c r="F193">
        <v>96</v>
      </c>
      <c r="G193">
        <f t="shared" ca="1" si="8"/>
        <v>100</v>
      </c>
      <c r="H193">
        <f t="shared" ca="1" si="9"/>
        <v>63</v>
      </c>
      <c r="I193" s="81">
        <f ca="1">(Table17[[#This Row],[Current_Month_Sales]]-Table17[[#This Row],[Previous Month Sales]])/Table17[[#This Row],[Previous Month Sales]]</f>
        <v>0.58730158730158732</v>
      </c>
      <c r="J193" t="str">
        <f ca="1">IF(ABS(Table17[[#This Row],[%Change]]) &gt; 0.3, "Alert: Preference Shift", "")</f>
        <v>Alert: Preference Shift</v>
      </c>
    </row>
    <row r="194" spans="1:10">
      <c r="A194" s="53">
        <v>47765</v>
      </c>
      <c r="B194" s="14" t="s">
        <v>11</v>
      </c>
      <c r="C194" s="14" t="str">
        <f t="shared" si="10"/>
        <v>October</v>
      </c>
      <c r="D194" s="14" t="str">
        <f>CHOOSE(MATCH(MONTH(A194), {1,4,7,10}), "Winter", "Spring", "Summer", "Autumn")</f>
        <v>Autumn</v>
      </c>
      <c r="E194">
        <f t="shared" si="11"/>
        <v>2030</v>
      </c>
      <c r="F194">
        <v>109</v>
      </c>
      <c r="G194">
        <f t="shared" ref="G194:G257" ca="1" si="12">CHOOSE(RANDBETWEEN(1,12), 121,133,65,78,150,189,89,157,100,172,97,130)</f>
        <v>157</v>
      </c>
      <c r="H194">
        <f t="shared" ref="H194:H257" ca="1" si="13">CHOOSE(RANDBETWEEN(1,12), 129,63,79,105,117,129,56,48,117,109,68,118)</f>
        <v>129</v>
      </c>
      <c r="I194" s="81">
        <f ca="1">(Table17[[#This Row],[Current_Month_Sales]]-Table17[[#This Row],[Previous Month Sales]])/Table17[[#This Row],[Previous Month Sales]]</f>
        <v>0.21705426356589147</v>
      </c>
      <c r="J194" t="str">
        <f ca="1">IF(ABS(Table17[[#This Row],[%Change]]) &gt; 0.3, "Alert: Preference Shift", "")</f>
        <v/>
      </c>
    </row>
    <row r="195" spans="1:10">
      <c r="A195" s="54">
        <v>47795</v>
      </c>
      <c r="B195" s="15" t="s">
        <v>10</v>
      </c>
      <c r="C195" s="14" t="str">
        <f t="shared" ref="C195:C258" si="14">TEXT(A195,"mmmm")</f>
        <v>November</v>
      </c>
      <c r="D195" s="15" t="str">
        <f>CHOOSE(MATCH(MONTH(A195), {1,4,7,10}), "Winter", "Spring", "Summer", "Autumn")</f>
        <v>Autumn</v>
      </c>
      <c r="E195">
        <f t="shared" ref="E195:E258" si="15">YEAR(A195)</f>
        <v>2030</v>
      </c>
      <c r="F195">
        <v>98</v>
      </c>
      <c r="G195">
        <f t="shared" ca="1" si="12"/>
        <v>121</v>
      </c>
      <c r="H195">
        <f t="shared" ca="1" si="13"/>
        <v>105</v>
      </c>
      <c r="I195" s="81">
        <f ca="1">(Table17[[#This Row],[Current_Month_Sales]]-Table17[[#This Row],[Previous Month Sales]])/Table17[[#This Row],[Previous Month Sales]]</f>
        <v>0.15238095238095239</v>
      </c>
      <c r="J195" t="str">
        <f ca="1">IF(ABS(Table17[[#This Row],[%Change]]) &gt; 0.3, "Alert: Preference Shift", "")</f>
        <v/>
      </c>
    </row>
    <row r="196" spans="1:10">
      <c r="A196" s="53">
        <v>47825</v>
      </c>
      <c r="B196" s="14" t="s">
        <v>13</v>
      </c>
      <c r="C196" s="14" t="str">
        <f t="shared" si="14"/>
        <v>December</v>
      </c>
      <c r="D196" s="14" t="str">
        <f>CHOOSE(MATCH(MONTH(A196), {1,4,7,10}), "Winter", "Spring", "Summer", "Autumn")</f>
        <v>Autumn</v>
      </c>
      <c r="E196">
        <f t="shared" si="15"/>
        <v>2030</v>
      </c>
      <c r="F196">
        <v>86</v>
      </c>
      <c r="G196">
        <f t="shared" ca="1" si="12"/>
        <v>133</v>
      </c>
      <c r="H196">
        <f t="shared" ca="1" si="13"/>
        <v>109</v>
      </c>
      <c r="I196" s="81">
        <f ca="1">(Table17[[#This Row],[Current_Month_Sales]]-Table17[[#This Row],[Previous Month Sales]])/Table17[[#This Row],[Previous Month Sales]]</f>
        <v>0.22018348623853212</v>
      </c>
      <c r="J196" t="str">
        <f ca="1">IF(ABS(Table17[[#This Row],[%Change]]) &gt; 0.3, "Alert: Preference Shift", "")</f>
        <v/>
      </c>
    </row>
    <row r="197" spans="1:10">
      <c r="A197" s="54">
        <v>47855</v>
      </c>
      <c r="B197" s="15" t="s">
        <v>13</v>
      </c>
      <c r="C197" s="14" t="str">
        <f t="shared" si="14"/>
        <v>January</v>
      </c>
      <c r="D197" s="15" t="str">
        <f>CHOOSE(MATCH(MONTH(A197), {1,4,7,10}), "Winter", "Spring", "Summer", "Autumn")</f>
        <v>Winter</v>
      </c>
      <c r="E197">
        <f t="shared" si="15"/>
        <v>2031</v>
      </c>
      <c r="F197">
        <v>79</v>
      </c>
      <c r="G197">
        <f t="shared" ca="1" si="12"/>
        <v>78</v>
      </c>
      <c r="H197">
        <f t="shared" ca="1" si="13"/>
        <v>105</v>
      </c>
      <c r="I197" s="81">
        <f ca="1">(Table17[[#This Row],[Current_Month_Sales]]-Table17[[#This Row],[Previous Month Sales]])/Table17[[#This Row],[Previous Month Sales]]</f>
        <v>-0.25714285714285712</v>
      </c>
      <c r="J197" t="str">
        <f ca="1">IF(ABS(Table17[[#This Row],[%Change]]) &gt; 0.3, "Alert: Preference Shift", "")</f>
        <v/>
      </c>
    </row>
    <row r="198" spans="1:10">
      <c r="A198" s="53">
        <v>47885</v>
      </c>
      <c r="B198" s="14" t="s">
        <v>12</v>
      </c>
      <c r="C198" s="14" t="str">
        <f t="shared" si="14"/>
        <v>February</v>
      </c>
      <c r="D198" s="14" t="str">
        <f>CHOOSE(MATCH(MONTH(A198), {1,4,7,10}), "Winter", "Spring", "Summer", "Autumn")</f>
        <v>Winter</v>
      </c>
      <c r="E198">
        <f t="shared" si="15"/>
        <v>2031</v>
      </c>
      <c r="F198">
        <v>86</v>
      </c>
      <c r="G198">
        <f t="shared" ca="1" si="12"/>
        <v>130</v>
      </c>
      <c r="H198">
        <f t="shared" ca="1" si="13"/>
        <v>105</v>
      </c>
      <c r="I198" s="81">
        <f ca="1">(Table17[[#This Row],[Current_Month_Sales]]-Table17[[#This Row],[Previous Month Sales]])/Table17[[#This Row],[Previous Month Sales]]</f>
        <v>0.23809523809523808</v>
      </c>
      <c r="J198" t="str">
        <f ca="1">IF(ABS(Table17[[#This Row],[%Change]]) &gt; 0.3, "Alert: Preference Shift", "")</f>
        <v/>
      </c>
    </row>
    <row r="199" spans="1:10">
      <c r="A199" s="54">
        <v>47915</v>
      </c>
      <c r="B199" s="15" t="s">
        <v>13</v>
      </c>
      <c r="C199" s="14" t="str">
        <f t="shared" si="14"/>
        <v>March</v>
      </c>
      <c r="D199" s="15" t="str">
        <f>CHOOSE(MATCH(MONTH(A199), {1,4,7,10}), "Winter", "Spring", "Summer", "Autumn")</f>
        <v>Winter</v>
      </c>
      <c r="E199">
        <f t="shared" si="15"/>
        <v>2031</v>
      </c>
      <c r="F199">
        <v>108</v>
      </c>
      <c r="G199">
        <f t="shared" ca="1" si="12"/>
        <v>97</v>
      </c>
      <c r="H199">
        <f t="shared" ca="1" si="13"/>
        <v>117</v>
      </c>
      <c r="I199" s="81">
        <f ca="1">(Table17[[#This Row],[Current_Month_Sales]]-Table17[[#This Row],[Previous Month Sales]])/Table17[[#This Row],[Previous Month Sales]]</f>
        <v>-0.17094017094017094</v>
      </c>
      <c r="J199" t="str">
        <f ca="1">IF(ABS(Table17[[#This Row],[%Change]]) &gt; 0.3, "Alert: Preference Shift", "")</f>
        <v/>
      </c>
    </row>
    <row r="200" spans="1:10">
      <c r="A200" s="53">
        <v>47945</v>
      </c>
      <c r="B200" s="14" t="s">
        <v>12</v>
      </c>
      <c r="C200" s="14" t="str">
        <f t="shared" si="14"/>
        <v>April</v>
      </c>
      <c r="D200" s="14" t="str">
        <f>CHOOSE(MATCH(MONTH(A200), {1,4,7,10}), "Winter", "Spring", "Summer", "Autumn")</f>
        <v>Spring</v>
      </c>
      <c r="E200">
        <f t="shared" si="15"/>
        <v>2031</v>
      </c>
      <c r="F200">
        <v>100</v>
      </c>
      <c r="G200">
        <f t="shared" ca="1" si="12"/>
        <v>100</v>
      </c>
      <c r="H200">
        <f t="shared" ca="1" si="13"/>
        <v>48</v>
      </c>
      <c r="I200" s="81">
        <f ca="1">(Table17[[#This Row],[Current_Month_Sales]]-Table17[[#This Row],[Previous Month Sales]])/Table17[[#This Row],[Previous Month Sales]]</f>
        <v>1.0833333333333333</v>
      </c>
      <c r="J200" t="str">
        <f ca="1">IF(ABS(Table17[[#This Row],[%Change]]) &gt; 0.3, "Alert: Preference Shift", "")</f>
        <v>Alert: Preference Shift</v>
      </c>
    </row>
    <row r="201" spans="1:10">
      <c r="A201" s="54">
        <v>47975</v>
      </c>
      <c r="B201" s="15" t="s">
        <v>10</v>
      </c>
      <c r="C201" s="14" t="str">
        <f t="shared" si="14"/>
        <v>May</v>
      </c>
      <c r="D201" s="15" t="str">
        <f>CHOOSE(MATCH(MONTH(A201), {1,4,7,10}), "Winter", "Spring", "Summer", "Autumn")</f>
        <v>Spring</v>
      </c>
      <c r="E201">
        <f t="shared" si="15"/>
        <v>2031</v>
      </c>
      <c r="F201">
        <v>93</v>
      </c>
      <c r="G201">
        <f t="shared" ca="1" si="12"/>
        <v>172</v>
      </c>
      <c r="H201">
        <f t="shared" ca="1" si="13"/>
        <v>79</v>
      </c>
      <c r="I201" s="81">
        <f ca="1">(Table17[[#This Row],[Current_Month_Sales]]-Table17[[#This Row],[Previous Month Sales]])/Table17[[#This Row],[Previous Month Sales]]</f>
        <v>1.1772151898734178</v>
      </c>
      <c r="J201" t="str">
        <f ca="1">IF(ABS(Table17[[#This Row],[%Change]]) &gt; 0.3, "Alert: Preference Shift", "")</f>
        <v>Alert: Preference Shift</v>
      </c>
    </row>
    <row r="202" spans="1:10">
      <c r="A202" s="53">
        <v>48005</v>
      </c>
      <c r="B202" s="14" t="s">
        <v>10</v>
      </c>
      <c r="C202" s="14" t="str">
        <f t="shared" si="14"/>
        <v>June</v>
      </c>
      <c r="D202" s="14" t="str">
        <f>CHOOSE(MATCH(MONTH(A202), {1,4,7,10}), "Winter", "Spring", "Summer", "Autumn")</f>
        <v>Spring</v>
      </c>
      <c r="E202">
        <f t="shared" si="15"/>
        <v>2031</v>
      </c>
      <c r="F202">
        <v>82</v>
      </c>
      <c r="G202">
        <f t="shared" ca="1" si="12"/>
        <v>89</v>
      </c>
      <c r="H202">
        <f t="shared" ca="1" si="13"/>
        <v>68</v>
      </c>
      <c r="I202" s="81">
        <f ca="1">(Table17[[#This Row],[Current_Month_Sales]]-Table17[[#This Row],[Previous Month Sales]])/Table17[[#This Row],[Previous Month Sales]]</f>
        <v>0.30882352941176472</v>
      </c>
      <c r="J202" t="str">
        <f ca="1">IF(ABS(Table17[[#This Row],[%Change]]) &gt; 0.3, "Alert: Preference Shift", "")</f>
        <v>Alert: Preference Shift</v>
      </c>
    </row>
    <row r="203" spans="1:10">
      <c r="A203" s="54">
        <v>48035</v>
      </c>
      <c r="B203" s="15" t="s">
        <v>10</v>
      </c>
      <c r="C203" s="14" t="str">
        <f t="shared" si="14"/>
        <v>July</v>
      </c>
      <c r="D203" s="15" t="str">
        <f>CHOOSE(MATCH(MONTH(A203), {1,4,7,10}), "Winter", "Spring", "Summer", "Autumn")</f>
        <v>Summer</v>
      </c>
      <c r="E203">
        <f t="shared" si="15"/>
        <v>2031</v>
      </c>
      <c r="F203">
        <v>104</v>
      </c>
      <c r="G203">
        <f t="shared" ca="1" si="12"/>
        <v>65</v>
      </c>
      <c r="H203">
        <f t="shared" ca="1" si="13"/>
        <v>117</v>
      </c>
      <c r="I203" s="81">
        <f ca="1">(Table17[[#This Row],[Current_Month_Sales]]-Table17[[#This Row],[Previous Month Sales]])/Table17[[#This Row],[Previous Month Sales]]</f>
        <v>-0.44444444444444442</v>
      </c>
      <c r="J203" t="str">
        <f ca="1">IF(ABS(Table17[[#This Row],[%Change]]) &gt; 0.3, "Alert: Preference Shift", "")</f>
        <v>Alert: Preference Shift</v>
      </c>
    </row>
    <row r="204" spans="1:10">
      <c r="A204" s="53">
        <v>48065</v>
      </c>
      <c r="B204" s="14" t="s">
        <v>12</v>
      </c>
      <c r="C204" s="14" t="str">
        <f t="shared" si="14"/>
        <v>August</v>
      </c>
      <c r="D204" s="14" t="str">
        <f>CHOOSE(MATCH(MONTH(A204), {1,4,7,10}), "Winter", "Spring", "Summer", "Autumn")</f>
        <v>Summer</v>
      </c>
      <c r="E204">
        <f t="shared" si="15"/>
        <v>2031</v>
      </c>
      <c r="F204">
        <v>99</v>
      </c>
      <c r="G204">
        <f t="shared" ca="1" si="12"/>
        <v>150</v>
      </c>
      <c r="H204">
        <f t="shared" ca="1" si="13"/>
        <v>118</v>
      </c>
      <c r="I204" s="81">
        <f ca="1">(Table17[[#This Row],[Current_Month_Sales]]-Table17[[#This Row],[Previous Month Sales]])/Table17[[#This Row],[Previous Month Sales]]</f>
        <v>0.2711864406779661</v>
      </c>
      <c r="J204" t="str">
        <f ca="1">IF(ABS(Table17[[#This Row],[%Change]]) &gt; 0.3, "Alert: Preference Shift", "")</f>
        <v/>
      </c>
    </row>
    <row r="205" spans="1:10">
      <c r="A205" s="54">
        <v>48095</v>
      </c>
      <c r="B205" s="15" t="s">
        <v>10</v>
      </c>
      <c r="C205" s="14" t="str">
        <f t="shared" si="14"/>
        <v>September</v>
      </c>
      <c r="D205" s="15" t="str">
        <f>CHOOSE(MATCH(MONTH(A205), {1,4,7,10}), "Winter", "Spring", "Summer", "Autumn")</f>
        <v>Summer</v>
      </c>
      <c r="E205">
        <f t="shared" si="15"/>
        <v>2031</v>
      </c>
      <c r="F205">
        <v>102</v>
      </c>
      <c r="G205">
        <f t="shared" ca="1" si="12"/>
        <v>100</v>
      </c>
      <c r="H205">
        <f t="shared" ca="1" si="13"/>
        <v>68</v>
      </c>
      <c r="I205" s="81">
        <f ca="1">(Table17[[#This Row],[Current_Month_Sales]]-Table17[[#This Row],[Previous Month Sales]])/Table17[[#This Row],[Previous Month Sales]]</f>
        <v>0.47058823529411764</v>
      </c>
      <c r="J205" t="str">
        <f ca="1">IF(ABS(Table17[[#This Row],[%Change]]) &gt; 0.3, "Alert: Preference Shift", "")</f>
        <v>Alert: Preference Shift</v>
      </c>
    </row>
    <row r="206" spans="1:10">
      <c r="A206" s="53">
        <v>48125</v>
      </c>
      <c r="B206" s="14" t="s">
        <v>10</v>
      </c>
      <c r="C206" s="14" t="str">
        <f t="shared" si="14"/>
        <v>October</v>
      </c>
      <c r="D206" s="14" t="str">
        <f>CHOOSE(MATCH(MONTH(A206), {1,4,7,10}), "Winter", "Spring", "Summer", "Autumn")</f>
        <v>Autumn</v>
      </c>
      <c r="E206">
        <f t="shared" si="15"/>
        <v>2031</v>
      </c>
      <c r="F206">
        <v>76</v>
      </c>
      <c r="G206">
        <f t="shared" ca="1" si="12"/>
        <v>157</v>
      </c>
      <c r="H206">
        <f t="shared" ca="1" si="13"/>
        <v>109</v>
      </c>
      <c r="I206" s="81">
        <f ca="1">(Table17[[#This Row],[Current_Month_Sales]]-Table17[[#This Row],[Previous Month Sales]])/Table17[[#This Row],[Previous Month Sales]]</f>
        <v>0.44036697247706424</v>
      </c>
      <c r="J206" t="str">
        <f ca="1">IF(ABS(Table17[[#This Row],[%Change]]) &gt; 0.3, "Alert: Preference Shift", "")</f>
        <v>Alert: Preference Shift</v>
      </c>
    </row>
    <row r="207" spans="1:10">
      <c r="A207" s="54">
        <v>48155</v>
      </c>
      <c r="B207" s="15" t="s">
        <v>11</v>
      </c>
      <c r="C207" s="14" t="str">
        <f t="shared" si="14"/>
        <v>November</v>
      </c>
      <c r="D207" s="15" t="str">
        <f>CHOOSE(MATCH(MONTH(A207), {1,4,7,10}), "Winter", "Spring", "Summer", "Autumn")</f>
        <v>Autumn</v>
      </c>
      <c r="E207">
        <f t="shared" si="15"/>
        <v>2031</v>
      </c>
      <c r="F207">
        <v>99</v>
      </c>
      <c r="G207">
        <f t="shared" ca="1" si="12"/>
        <v>133</v>
      </c>
      <c r="H207">
        <f t="shared" ca="1" si="13"/>
        <v>129</v>
      </c>
      <c r="I207" s="81">
        <f ca="1">(Table17[[#This Row],[Current_Month_Sales]]-Table17[[#This Row],[Previous Month Sales]])/Table17[[#This Row],[Previous Month Sales]]</f>
        <v>3.1007751937984496E-2</v>
      </c>
      <c r="J207" t="str">
        <f ca="1">IF(ABS(Table17[[#This Row],[%Change]]) &gt; 0.3, "Alert: Preference Shift", "")</f>
        <v/>
      </c>
    </row>
    <row r="208" spans="1:10">
      <c r="A208" s="53">
        <v>48185</v>
      </c>
      <c r="B208" s="14" t="s">
        <v>10</v>
      </c>
      <c r="C208" s="14" t="str">
        <f t="shared" si="14"/>
        <v>December</v>
      </c>
      <c r="D208" s="14" t="str">
        <f>CHOOSE(MATCH(MONTH(A208), {1,4,7,10}), "Winter", "Spring", "Summer", "Autumn")</f>
        <v>Autumn</v>
      </c>
      <c r="E208">
        <f t="shared" si="15"/>
        <v>2031</v>
      </c>
      <c r="F208">
        <v>93</v>
      </c>
      <c r="G208">
        <f t="shared" ca="1" si="12"/>
        <v>121</v>
      </c>
      <c r="H208">
        <f t="shared" ca="1" si="13"/>
        <v>63</v>
      </c>
      <c r="I208" s="81">
        <f ca="1">(Table17[[#This Row],[Current_Month_Sales]]-Table17[[#This Row],[Previous Month Sales]])/Table17[[#This Row],[Previous Month Sales]]</f>
        <v>0.92063492063492058</v>
      </c>
      <c r="J208" t="str">
        <f ca="1">IF(ABS(Table17[[#This Row],[%Change]]) &gt; 0.3, "Alert: Preference Shift", "")</f>
        <v>Alert: Preference Shift</v>
      </c>
    </row>
    <row r="209" spans="1:10">
      <c r="A209" s="54">
        <v>48215</v>
      </c>
      <c r="B209" s="15" t="s">
        <v>13</v>
      </c>
      <c r="C209" s="14" t="str">
        <f t="shared" si="14"/>
        <v>January</v>
      </c>
      <c r="D209" s="15" t="str">
        <f>CHOOSE(MATCH(MONTH(A209), {1,4,7,10}), "Winter", "Spring", "Summer", "Autumn")</f>
        <v>Winter</v>
      </c>
      <c r="E209">
        <f t="shared" si="15"/>
        <v>2032</v>
      </c>
      <c r="F209">
        <v>99</v>
      </c>
      <c r="G209">
        <f t="shared" ca="1" si="12"/>
        <v>172</v>
      </c>
      <c r="H209">
        <f t="shared" ca="1" si="13"/>
        <v>117</v>
      </c>
      <c r="I209" s="81">
        <f ca="1">(Table17[[#This Row],[Current_Month_Sales]]-Table17[[#This Row],[Previous Month Sales]])/Table17[[#This Row],[Previous Month Sales]]</f>
        <v>0.47008547008547008</v>
      </c>
      <c r="J209" t="str">
        <f ca="1">IF(ABS(Table17[[#This Row],[%Change]]) &gt; 0.3, "Alert: Preference Shift", "")</f>
        <v>Alert: Preference Shift</v>
      </c>
    </row>
    <row r="210" spans="1:10">
      <c r="A210" s="53">
        <v>48245</v>
      </c>
      <c r="B210" s="14" t="s">
        <v>12</v>
      </c>
      <c r="C210" s="14" t="str">
        <f t="shared" si="14"/>
        <v>February</v>
      </c>
      <c r="D210" s="14" t="str">
        <f>CHOOSE(MATCH(MONTH(A210), {1,4,7,10}), "Winter", "Spring", "Summer", "Autumn")</f>
        <v>Winter</v>
      </c>
      <c r="E210">
        <f t="shared" si="15"/>
        <v>2032</v>
      </c>
      <c r="F210">
        <v>102</v>
      </c>
      <c r="G210">
        <f t="shared" ca="1" si="12"/>
        <v>150</v>
      </c>
      <c r="H210">
        <f t="shared" ca="1" si="13"/>
        <v>117</v>
      </c>
      <c r="I210" s="81">
        <f ca="1">(Table17[[#This Row],[Current_Month_Sales]]-Table17[[#This Row],[Previous Month Sales]])/Table17[[#This Row],[Previous Month Sales]]</f>
        <v>0.28205128205128205</v>
      </c>
      <c r="J210" t="str">
        <f ca="1">IF(ABS(Table17[[#This Row],[%Change]]) &gt; 0.3, "Alert: Preference Shift", "")</f>
        <v/>
      </c>
    </row>
    <row r="211" spans="1:10">
      <c r="A211" s="54">
        <v>48275</v>
      </c>
      <c r="B211" s="15" t="s">
        <v>11</v>
      </c>
      <c r="C211" s="14" t="str">
        <f t="shared" si="14"/>
        <v>March</v>
      </c>
      <c r="D211" s="15" t="str">
        <f>CHOOSE(MATCH(MONTH(A211), {1,4,7,10}), "Winter", "Spring", "Summer", "Autumn")</f>
        <v>Winter</v>
      </c>
      <c r="E211">
        <f t="shared" si="15"/>
        <v>2032</v>
      </c>
      <c r="F211">
        <v>106</v>
      </c>
      <c r="G211">
        <f t="shared" ca="1" si="12"/>
        <v>121</v>
      </c>
      <c r="H211">
        <f t="shared" ca="1" si="13"/>
        <v>118</v>
      </c>
      <c r="I211" s="81">
        <f ca="1">(Table17[[#This Row],[Current_Month_Sales]]-Table17[[#This Row],[Previous Month Sales]])/Table17[[#This Row],[Previous Month Sales]]</f>
        <v>2.5423728813559324E-2</v>
      </c>
      <c r="J211" t="str">
        <f ca="1">IF(ABS(Table17[[#This Row],[%Change]]) &gt; 0.3, "Alert: Preference Shift", "")</f>
        <v/>
      </c>
    </row>
    <row r="212" spans="1:10">
      <c r="A212" s="53">
        <v>48305</v>
      </c>
      <c r="B212" s="14" t="s">
        <v>14</v>
      </c>
      <c r="C212" s="14" t="str">
        <f t="shared" si="14"/>
        <v>April</v>
      </c>
      <c r="D212" s="14" t="str">
        <f>CHOOSE(MATCH(MONTH(A212), {1,4,7,10}), "Winter", "Spring", "Summer", "Autumn")</f>
        <v>Spring</v>
      </c>
      <c r="E212">
        <f t="shared" si="15"/>
        <v>2032</v>
      </c>
      <c r="F212">
        <v>94</v>
      </c>
      <c r="G212">
        <f t="shared" ca="1" si="12"/>
        <v>78</v>
      </c>
      <c r="H212">
        <f t="shared" ca="1" si="13"/>
        <v>117</v>
      </c>
      <c r="I212" s="81">
        <f ca="1">(Table17[[#This Row],[Current_Month_Sales]]-Table17[[#This Row],[Previous Month Sales]])/Table17[[#This Row],[Previous Month Sales]]</f>
        <v>-0.33333333333333331</v>
      </c>
      <c r="J212" t="str">
        <f ca="1">IF(ABS(Table17[[#This Row],[%Change]]) &gt; 0.3, "Alert: Preference Shift", "")</f>
        <v>Alert: Preference Shift</v>
      </c>
    </row>
    <row r="213" spans="1:10">
      <c r="A213" s="54">
        <v>48335</v>
      </c>
      <c r="B213" s="15" t="s">
        <v>12</v>
      </c>
      <c r="C213" s="14" t="str">
        <f t="shared" si="14"/>
        <v>May</v>
      </c>
      <c r="D213" s="15" t="str">
        <f>CHOOSE(MATCH(MONTH(A213), {1,4,7,10}), "Winter", "Spring", "Summer", "Autumn")</f>
        <v>Spring</v>
      </c>
      <c r="E213">
        <f t="shared" si="15"/>
        <v>2032</v>
      </c>
      <c r="F213">
        <v>105</v>
      </c>
      <c r="G213">
        <f t="shared" ca="1" si="12"/>
        <v>97</v>
      </c>
      <c r="H213">
        <f t="shared" ca="1" si="13"/>
        <v>79</v>
      </c>
      <c r="I213" s="81">
        <f ca="1">(Table17[[#This Row],[Current_Month_Sales]]-Table17[[#This Row],[Previous Month Sales]])/Table17[[#This Row],[Previous Month Sales]]</f>
        <v>0.22784810126582278</v>
      </c>
      <c r="J213" t="str">
        <f ca="1">IF(ABS(Table17[[#This Row],[%Change]]) &gt; 0.3, "Alert: Preference Shift", "")</f>
        <v/>
      </c>
    </row>
    <row r="214" spans="1:10">
      <c r="A214" s="53">
        <v>48365</v>
      </c>
      <c r="B214" s="14" t="s">
        <v>13</v>
      </c>
      <c r="C214" s="14" t="str">
        <f t="shared" si="14"/>
        <v>May</v>
      </c>
      <c r="D214" s="14" t="str">
        <f>CHOOSE(MATCH(MONTH(A214), {1,4,7,10}), "Winter", "Spring", "Summer", "Autumn")</f>
        <v>Spring</v>
      </c>
      <c r="E214">
        <f t="shared" si="15"/>
        <v>2032</v>
      </c>
      <c r="F214">
        <v>100</v>
      </c>
      <c r="G214">
        <f t="shared" ca="1" si="12"/>
        <v>130</v>
      </c>
      <c r="H214">
        <f t="shared" ca="1" si="13"/>
        <v>105</v>
      </c>
      <c r="I214" s="81">
        <f ca="1">(Table17[[#This Row],[Current_Month_Sales]]-Table17[[#This Row],[Previous Month Sales]])/Table17[[#This Row],[Previous Month Sales]]</f>
        <v>0.23809523809523808</v>
      </c>
      <c r="J214" t="str">
        <f ca="1">IF(ABS(Table17[[#This Row],[%Change]]) &gt; 0.3, "Alert: Preference Shift", "")</f>
        <v/>
      </c>
    </row>
    <row r="215" spans="1:10">
      <c r="A215" s="54">
        <v>48395</v>
      </c>
      <c r="B215" s="15" t="s">
        <v>12</v>
      </c>
      <c r="C215" s="14" t="str">
        <f t="shared" si="14"/>
        <v>June</v>
      </c>
      <c r="D215" s="15" t="str">
        <f>CHOOSE(MATCH(MONTH(A215), {1,4,7,10}), "Winter", "Spring", "Summer", "Autumn")</f>
        <v>Spring</v>
      </c>
      <c r="E215">
        <f t="shared" si="15"/>
        <v>2032</v>
      </c>
      <c r="F215">
        <v>122</v>
      </c>
      <c r="G215">
        <f t="shared" ca="1" si="12"/>
        <v>172</v>
      </c>
      <c r="H215">
        <f t="shared" ca="1" si="13"/>
        <v>129</v>
      </c>
      <c r="I215" s="81">
        <f ca="1">(Table17[[#This Row],[Current_Month_Sales]]-Table17[[#This Row],[Previous Month Sales]])/Table17[[#This Row],[Previous Month Sales]]</f>
        <v>0.33333333333333331</v>
      </c>
      <c r="J215" t="str">
        <f ca="1">IF(ABS(Table17[[#This Row],[%Change]]) &gt; 0.3, "Alert: Preference Shift", "")</f>
        <v>Alert: Preference Shift</v>
      </c>
    </row>
    <row r="216" spans="1:10">
      <c r="A216" s="53">
        <v>48425</v>
      </c>
      <c r="B216" s="14" t="s">
        <v>13</v>
      </c>
      <c r="C216" s="14" t="str">
        <f t="shared" si="14"/>
        <v>July</v>
      </c>
      <c r="D216" s="14" t="str">
        <f>CHOOSE(MATCH(MONTH(A216), {1,4,7,10}), "Winter", "Spring", "Summer", "Autumn")</f>
        <v>Summer</v>
      </c>
      <c r="E216">
        <f t="shared" si="15"/>
        <v>2032</v>
      </c>
      <c r="F216">
        <v>103</v>
      </c>
      <c r="G216">
        <f t="shared" ca="1" si="12"/>
        <v>157</v>
      </c>
      <c r="H216">
        <f t="shared" ca="1" si="13"/>
        <v>56</v>
      </c>
      <c r="I216" s="81">
        <f ca="1">(Table17[[#This Row],[Current_Month_Sales]]-Table17[[#This Row],[Previous Month Sales]])/Table17[[#This Row],[Previous Month Sales]]</f>
        <v>1.8035714285714286</v>
      </c>
      <c r="J216" t="str">
        <f ca="1">IF(ABS(Table17[[#This Row],[%Change]]) &gt; 0.3, "Alert: Preference Shift", "")</f>
        <v>Alert: Preference Shift</v>
      </c>
    </row>
    <row r="217" spans="1:10">
      <c r="A217" s="54">
        <v>48455</v>
      </c>
      <c r="B217" s="15" t="s">
        <v>13</v>
      </c>
      <c r="C217" s="14" t="str">
        <f t="shared" si="14"/>
        <v>August</v>
      </c>
      <c r="D217" s="15" t="str">
        <f>CHOOSE(MATCH(MONTH(A217), {1,4,7,10}), "Winter", "Spring", "Summer", "Autumn")</f>
        <v>Summer</v>
      </c>
      <c r="E217">
        <f t="shared" si="15"/>
        <v>2032</v>
      </c>
      <c r="F217">
        <v>119</v>
      </c>
      <c r="G217">
        <f t="shared" ca="1" si="12"/>
        <v>150</v>
      </c>
      <c r="H217">
        <f t="shared" ca="1" si="13"/>
        <v>117</v>
      </c>
      <c r="I217" s="81">
        <f ca="1">(Table17[[#This Row],[Current_Month_Sales]]-Table17[[#This Row],[Previous Month Sales]])/Table17[[#This Row],[Previous Month Sales]]</f>
        <v>0.28205128205128205</v>
      </c>
      <c r="J217" t="str">
        <f ca="1">IF(ABS(Table17[[#This Row],[%Change]]) &gt; 0.3, "Alert: Preference Shift", "")</f>
        <v/>
      </c>
    </row>
    <row r="218" spans="1:10">
      <c r="A218" s="53">
        <v>48485</v>
      </c>
      <c r="B218" s="14" t="s">
        <v>14</v>
      </c>
      <c r="C218" s="14" t="str">
        <f t="shared" si="14"/>
        <v>September</v>
      </c>
      <c r="D218" s="14" t="str">
        <f>CHOOSE(MATCH(MONTH(A218), {1,4,7,10}), "Winter", "Spring", "Summer", "Autumn")</f>
        <v>Summer</v>
      </c>
      <c r="E218">
        <f t="shared" si="15"/>
        <v>2032</v>
      </c>
      <c r="F218">
        <v>76</v>
      </c>
      <c r="G218">
        <f t="shared" ca="1" si="12"/>
        <v>97</v>
      </c>
      <c r="H218">
        <f t="shared" ca="1" si="13"/>
        <v>105</v>
      </c>
      <c r="I218" s="81">
        <f ca="1">(Table17[[#This Row],[Current_Month_Sales]]-Table17[[#This Row],[Previous Month Sales]])/Table17[[#This Row],[Previous Month Sales]]</f>
        <v>-7.6190476190476197E-2</v>
      </c>
      <c r="J218" t="str">
        <f ca="1">IF(ABS(Table17[[#This Row],[%Change]]) &gt; 0.3, "Alert: Preference Shift", "")</f>
        <v/>
      </c>
    </row>
    <row r="219" spans="1:10">
      <c r="A219" s="54">
        <v>48515</v>
      </c>
      <c r="B219" s="15" t="s">
        <v>12</v>
      </c>
      <c r="C219" s="14" t="str">
        <f t="shared" si="14"/>
        <v>October</v>
      </c>
      <c r="D219" s="15" t="str">
        <f>CHOOSE(MATCH(MONTH(A219), {1,4,7,10}), "Winter", "Spring", "Summer", "Autumn")</f>
        <v>Autumn</v>
      </c>
      <c r="E219">
        <f t="shared" si="15"/>
        <v>2032</v>
      </c>
      <c r="F219">
        <v>96</v>
      </c>
      <c r="G219">
        <f t="shared" ca="1" si="12"/>
        <v>89</v>
      </c>
      <c r="H219">
        <f t="shared" ca="1" si="13"/>
        <v>117</v>
      </c>
      <c r="I219" s="81">
        <f ca="1">(Table17[[#This Row],[Current_Month_Sales]]-Table17[[#This Row],[Previous Month Sales]])/Table17[[#This Row],[Previous Month Sales]]</f>
        <v>-0.23931623931623933</v>
      </c>
      <c r="J219" t="str">
        <f ca="1">IF(ABS(Table17[[#This Row],[%Change]]) &gt; 0.3, "Alert: Preference Shift", "")</f>
        <v/>
      </c>
    </row>
    <row r="220" spans="1:10">
      <c r="A220" s="53">
        <v>48545</v>
      </c>
      <c r="B220" s="14" t="s">
        <v>14</v>
      </c>
      <c r="C220" s="14" t="str">
        <f t="shared" si="14"/>
        <v>November</v>
      </c>
      <c r="D220" s="14" t="str">
        <f>CHOOSE(MATCH(MONTH(A220), {1,4,7,10}), "Winter", "Spring", "Summer", "Autumn")</f>
        <v>Autumn</v>
      </c>
      <c r="E220">
        <f t="shared" si="15"/>
        <v>2032</v>
      </c>
      <c r="F220">
        <v>103</v>
      </c>
      <c r="G220">
        <f t="shared" ca="1" si="12"/>
        <v>121</v>
      </c>
      <c r="H220">
        <f t="shared" ca="1" si="13"/>
        <v>129</v>
      </c>
      <c r="I220" s="81">
        <f ca="1">(Table17[[#This Row],[Current_Month_Sales]]-Table17[[#This Row],[Previous Month Sales]])/Table17[[#This Row],[Previous Month Sales]]</f>
        <v>-6.2015503875968991E-2</v>
      </c>
      <c r="J220" t="str">
        <f ca="1">IF(ABS(Table17[[#This Row],[%Change]]) &gt; 0.3, "Alert: Preference Shift", "")</f>
        <v/>
      </c>
    </row>
    <row r="221" spans="1:10">
      <c r="A221" s="54">
        <v>48575</v>
      </c>
      <c r="B221" s="15" t="s">
        <v>14</v>
      </c>
      <c r="C221" s="14" t="str">
        <f t="shared" si="14"/>
        <v>December</v>
      </c>
      <c r="D221" s="15" t="str">
        <f>CHOOSE(MATCH(MONTH(A221), {1,4,7,10}), "Winter", "Spring", "Summer", "Autumn")</f>
        <v>Autumn</v>
      </c>
      <c r="E221">
        <f t="shared" si="15"/>
        <v>2032</v>
      </c>
      <c r="F221">
        <v>111</v>
      </c>
      <c r="G221">
        <f t="shared" ca="1" si="12"/>
        <v>97</v>
      </c>
      <c r="H221">
        <f t="shared" ca="1" si="13"/>
        <v>56</v>
      </c>
      <c r="I221" s="81">
        <f ca="1">(Table17[[#This Row],[Current_Month_Sales]]-Table17[[#This Row],[Previous Month Sales]])/Table17[[#This Row],[Previous Month Sales]]</f>
        <v>0.7321428571428571</v>
      </c>
      <c r="J221" t="str">
        <f ca="1">IF(ABS(Table17[[#This Row],[%Change]]) &gt; 0.3, "Alert: Preference Shift", "")</f>
        <v>Alert: Preference Shift</v>
      </c>
    </row>
    <row r="222" spans="1:10">
      <c r="A222" s="53">
        <v>48605</v>
      </c>
      <c r="B222" s="14" t="s">
        <v>12</v>
      </c>
      <c r="C222" s="14" t="str">
        <f t="shared" si="14"/>
        <v>January</v>
      </c>
      <c r="D222" s="14" t="str">
        <f>CHOOSE(MATCH(MONTH(A222), {1,4,7,10}), "Winter", "Spring", "Summer", "Autumn")</f>
        <v>Winter</v>
      </c>
      <c r="E222">
        <f t="shared" si="15"/>
        <v>2033</v>
      </c>
      <c r="F222">
        <v>97</v>
      </c>
      <c r="G222">
        <f t="shared" ca="1" si="12"/>
        <v>121</v>
      </c>
      <c r="H222">
        <f t="shared" ca="1" si="13"/>
        <v>48</v>
      </c>
      <c r="I222" s="81">
        <f ca="1">(Table17[[#This Row],[Current_Month_Sales]]-Table17[[#This Row],[Previous Month Sales]])/Table17[[#This Row],[Previous Month Sales]]</f>
        <v>1.5208333333333333</v>
      </c>
      <c r="J222" t="str">
        <f ca="1">IF(ABS(Table17[[#This Row],[%Change]]) &gt; 0.3, "Alert: Preference Shift", "")</f>
        <v>Alert: Preference Shift</v>
      </c>
    </row>
    <row r="223" spans="1:10">
      <c r="A223" s="54">
        <v>48635</v>
      </c>
      <c r="B223" s="15" t="s">
        <v>10</v>
      </c>
      <c r="C223" s="14" t="str">
        <f t="shared" si="14"/>
        <v>February</v>
      </c>
      <c r="D223" s="15" t="str">
        <f>CHOOSE(MATCH(MONTH(A223), {1,4,7,10}), "Winter", "Spring", "Summer", "Autumn")</f>
        <v>Winter</v>
      </c>
      <c r="E223">
        <f t="shared" si="15"/>
        <v>2033</v>
      </c>
      <c r="F223">
        <v>112</v>
      </c>
      <c r="G223">
        <f t="shared" ca="1" si="12"/>
        <v>189</v>
      </c>
      <c r="H223">
        <f t="shared" ca="1" si="13"/>
        <v>105</v>
      </c>
      <c r="I223" s="81">
        <f ca="1">(Table17[[#This Row],[Current_Month_Sales]]-Table17[[#This Row],[Previous Month Sales]])/Table17[[#This Row],[Previous Month Sales]]</f>
        <v>0.8</v>
      </c>
      <c r="J223" t="str">
        <f ca="1">IF(ABS(Table17[[#This Row],[%Change]]) &gt; 0.3, "Alert: Preference Shift", "")</f>
        <v>Alert: Preference Shift</v>
      </c>
    </row>
    <row r="224" spans="1:10">
      <c r="A224" s="53">
        <v>48665</v>
      </c>
      <c r="B224" s="14" t="s">
        <v>10</v>
      </c>
      <c r="C224" s="14" t="str">
        <f t="shared" si="14"/>
        <v>March</v>
      </c>
      <c r="D224" s="14" t="str">
        <f>CHOOSE(MATCH(MONTH(A224), {1,4,7,10}), "Winter", "Spring", "Summer", "Autumn")</f>
        <v>Winter</v>
      </c>
      <c r="E224">
        <f t="shared" si="15"/>
        <v>2033</v>
      </c>
      <c r="F224">
        <v>99</v>
      </c>
      <c r="G224">
        <f t="shared" ca="1" si="12"/>
        <v>89</v>
      </c>
      <c r="H224">
        <f t="shared" ca="1" si="13"/>
        <v>118</v>
      </c>
      <c r="I224" s="81">
        <f ca="1">(Table17[[#This Row],[Current_Month_Sales]]-Table17[[#This Row],[Previous Month Sales]])/Table17[[#This Row],[Previous Month Sales]]</f>
        <v>-0.24576271186440679</v>
      </c>
      <c r="J224" t="str">
        <f ca="1">IF(ABS(Table17[[#This Row],[%Change]]) &gt; 0.3, "Alert: Preference Shift", "")</f>
        <v/>
      </c>
    </row>
    <row r="225" spans="1:10">
      <c r="A225" s="54">
        <v>48695</v>
      </c>
      <c r="B225" s="15" t="s">
        <v>14</v>
      </c>
      <c r="C225" s="14" t="str">
        <f t="shared" si="14"/>
        <v>April</v>
      </c>
      <c r="D225" s="15" t="str">
        <f>CHOOSE(MATCH(MONTH(A225), {1,4,7,10}), "Winter", "Spring", "Summer", "Autumn")</f>
        <v>Spring</v>
      </c>
      <c r="E225">
        <f t="shared" si="15"/>
        <v>2033</v>
      </c>
      <c r="F225">
        <v>124</v>
      </c>
      <c r="G225">
        <f t="shared" ca="1" si="12"/>
        <v>65</v>
      </c>
      <c r="H225">
        <f t="shared" ca="1" si="13"/>
        <v>117</v>
      </c>
      <c r="I225" s="81">
        <f ca="1">(Table17[[#This Row],[Current_Month_Sales]]-Table17[[#This Row],[Previous Month Sales]])/Table17[[#This Row],[Previous Month Sales]]</f>
        <v>-0.44444444444444442</v>
      </c>
      <c r="J225" t="str">
        <f ca="1">IF(ABS(Table17[[#This Row],[%Change]]) &gt; 0.3, "Alert: Preference Shift", "")</f>
        <v>Alert: Preference Shift</v>
      </c>
    </row>
    <row r="226" spans="1:10">
      <c r="A226" s="53">
        <v>48725</v>
      </c>
      <c r="B226" s="14" t="s">
        <v>11</v>
      </c>
      <c r="C226" s="14" t="str">
        <f t="shared" si="14"/>
        <v>May</v>
      </c>
      <c r="D226" s="14" t="str">
        <f>CHOOSE(MATCH(MONTH(A226), {1,4,7,10}), "Winter", "Spring", "Summer", "Autumn")</f>
        <v>Spring</v>
      </c>
      <c r="E226">
        <f t="shared" si="15"/>
        <v>2033</v>
      </c>
      <c r="F226">
        <v>91</v>
      </c>
      <c r="G226">
        <f t="shared" ca="1" si="12"/>
        <v>130</v>
      </c>
      <c r="H226">
        <f t="shared" ca="1" si="13"/>
        <v>109</v>
      </c>
      <c r="I226" s="81">
        <f ca="1">(Table17[[#This Row],[Current_Month_Sales]]-Table17[[#This Row],[Previous Month Sales]])/Table17[[#This Row],[Previous Month Sales]]</f>
        <v>0.19266055045871561</v>
      </c>
      <c r="J226" t="str">
        <f ca="1">IF(ABS(Table17[[#This Row],[%Change]]) &gt; 0.3, "Alert: Preference Shift", "")</f>
        <v/>
      </c>
    </row>
    <row r="227" spans="1:10">
      <c r="A227" s="54">
        <v>48755</v>
      </c>
      <c r="B227" s="15" t="s">
        <v>14</v>
      </c>
      <c r="C227" s="14" t="str">
        <f t="shared" si="14"/>
        <v>June</v>
      </c>
      <c r="D227" s="15" t="str">
        <f>CHOOSE(MATCH(MONTH(A227), {1,4,7,10}), "Winter", "Spring", "Summer", "Autumn")</f>
        <v>Spring</v>
      </c>
      <c r="E227">
        <f t="shared" si="15"/>
        <v>2033</v>
      </c>
      <c r="F227">
        <v>103</v>
      </c>
      <c r="G227">
        <f t="shared" ca="1" si="12"/>
        <v>78</v>
      </c>
      <c r="H227">
        <f t="shared" ca="1" si="13"/>
        <v>117</v>
      </c>
      <c r="I227" s="81">
        <f ca="1">(Table17[[#This Row],[Current_Month_Sales]]-Table17[[#This Row],[Previous Month Sales]])/Table17[[#This Row],[Previous Month Sales]]</f>
        <v>-0.33333333333333331</v>
      </c>
      <c r="J227" t="str">
        <f ca="1">IF(ABS(Table17[[#This Row],[%Change]]) &gt; 0.3, "Alert: Preference Shift", "")</f>
        <v>Alert: Preference Shift</v>
      </c>
    </row>
    <row r="228" spans="1:10">
      <c r="A228" s="53">
        <v>48785</v>
      </c>
      <c r="B228" s="14" t="s">
        <v>14</v>
      </c>
      <c r="C228" s="14" t="str">
        <f t="shared" si="14"/>
        <v>July</v>
      </c>
      <c r="D228" s="14" t="str">
        <f>CHOOSE(MATCH(MONTH(A228), {1,4,7,10}), "Winter", "Spring", "Summer", "Autumn")</f>
        <v>Summer</v>
      </c>
      <c r="E228">
        <f t="shared" si="15"/>
        <v>2033</v>
      </c>
      <c r="F228">
        <v>86</v>
      </c>
      <c r="G228">
        <f t="shared" ca="1" si="12"/>
        <v>65</v>
      </c>
      <c r="H228">
        <f t="shared" ca="1" si="13"/>
        <v>56</v>
      </c>
      <c r="I228" s="81">
        <f ca="1">(Table17[[#This Row],[Current_Month_Sales]]-Table17[[#This Row],[Previous Month Sales]])/Table17[[#This Row],[Previous Month Sales]]</f>
        <v>0.16071428571428573</v>
      </c>
      <c r="J228" t="str">
        <f ca="1">IF(ABS(Table17[[#This Row],[%Change]]) &gt; 0.3, "Alert: Preference Shift", "")</f>
        <v/>
      </c>
    </row>
    <row r="229" spans="1:10">
      <c r="A229" s="54">
        <v>48815</v>
      </c>
      <c r="B229" s="15" t="s">
        <v>14</v>
      </c>
      <c r="C229" s="14" t="str">
        <f t="shared" si="14"/>
        <v>August</v>
      </c>
      <c r="D229" s="15" t="str">
        <f>CHOOSE(MATCH(MONTH(A229), {1,4,7,10}), "Winter", "Spring", "Summer", "Autumn")</f>
        <v>Summer</v>
      </c>
      <c r="E229">
        <f t="shared" si="15"/>
        <v>2033</v>
      </c>
      <c r="F229">
        <v>101</v>
      </c>
      <c r="G229">
        <f t="shared" ca="1" si="12"/>
        <v>150</v>
      </c>
      <c r="H229">
        <f t="shared" ca="1" si="13"/>
        <v>118</v>
      </c>
      <c r="I229" s="81">
        <f ca="1">(Table17[[#This Row],[Current_Month_Sales]]-Table17[[#This Row],[Previous Month Sales]])/Table17[[#This Row],[Previous Month Sales]]</f>
        <v>0.2711864406779661</v>
      </c>
      <c r="J229" t="str">
        <f ca="1">IF(ABS(Table17[[#This Row],[%Change]]) &gt; 0.3, "Alert: Preference Shift", "")</f>
        <v/>
      </c>
    </row>
    <row r="230" spans="1:10">
      <c r="A230" s="53">
        <v>48845</v>
      </c>
      <c r="B230" s="14" t="s">
        <v>10</v>
      </c>
      <c r="C230" s="14" t="str">
        <f t="shared" si="14"/>
        <v>September</v>
      </c>
      <c r="D230" s="14" t="str">
        <f>CHOOSE(MATCH(MONTH(A230), {1,4,7,10}), "Winter", "Spring", "Summer", "Autumn")</f>
        <v>Summer</v>
      </c>
      <c r="E230">
        <f t="shared" si="15"/>
        <v>2033</v>
      </c>
      <c r="F230">
        <v>101</v>
      </c>
      <c r="G230">
        <f t="shared" ca="1" si="12"/>
        <v>97</v>
      </c>
      <c r="H230">
        <f t="shared" ca="1" si="13"/>
        <v>117</v>
      </c>
      <c r="I230" s="81">
        <f ca="1">(Table17[[#This Row],[Current_Month_Sales]]-Table17[[#This Row],[Previous Month Sales]])/Table17[[#This Row],[Previous Month Sales]]</f>
        <v>-0.17094017094017094</v>
      </c>
      <c r="J230" t="str">
        <f ca="1">IF(ABS(Table17[[#This Row],[%Change]]) &gt; 0.3, "Alert: Preference Shift", "")</f>
        <v/>
      </c>
    </row>
    <row r="231" spans="1:10">
      <c r="A231" s="54">
        <v>48875</v>
      </c>
      <c r="B231" s="15" t="s">
        <v>10</v>
      </c>
      <c r="C231" s="14" t="str">
        <f t="shared" si="14"/>
        <v>October</v>
      </c>
      <c r="D231" s="15" t="str">
        <f>CHOOSE(MATCH(MONTH(A231), {1,4,7,10}), "Winter", "Spring", "Summer", "Autumn")</f>
        <v>Autumn</v>
      </c>
      <c r="E231">
        <f t="shared" si="15"/>
        <v>2033</v>
      </c>
      <c r="F231">
        <v>101</v>
      </c>
      <c r="G231">
        <f t="shared" ca="1" si="12"/>
        <v>150</v>
      </c>
      <c r="H231">
        <f t="shared" ca="1" si="13"/>
        <v>56</v>
      </c>
      <c r="I231" s="81">
        <f ca="1">(Table17[[#This Row],[Current_Month_Sales]]-Table17[[#This Row],[Previous Month Sales]])/Table17[[#This Row],[Previous Month Sales]]</f>
        <v>1.6785714285714286</v>
      </c>
      <c r="J231" t="str">
        <f ca="1">IF(ABS(Table17[[#This Row],[%Change]]) &gt; 0.3, "Alert: Preference Shift", "")</f>
        <v>Alert: Preference Shift</v>
      </c>
    </row>
    <row r="232" spans="1:10">
      <c r="A232" s="53">
        <v>48905</v>
      </c>
      <c r="B232" s="14" t="s">
        <v>10</v>
      </c>
      <c r="C232" s="14" t="str">
        <f t="shared" si="14"/>
        <v>November</v>
      </c>
      <c r="D232" s="14" t="str">
        <f>CHOOSE(MATCH(MONTH(A232), {1,4,7,10}), "Winter", "Spring", "Summer", "Autumn")</f>
        <v>Autumn</v>
      </c>
      <c r="E232">
        <f t="shared" si="15"/>
        <v>2033</v>
      </c>
      <c r="F232">
        <v>113</v>
      </c>
      <c r="G232">
        <f t="shared" ca="1" si="12"/>
        <v>130</v>
      </c>
      <c r="H232">
        <f t="shared" ca="1" si="13"/>
        <v>118</v>
      </c>
      <c r="I232" s="81">
        <f ca="1">(Table17[[#This Row],[Current_Month_Sales]]-Table17[[#This Row],[Previous Month Sales]])/Table17[[#This Row],[Previous Month Sales]]</f>
        <v>0.10169491525423729</v>
      </c>
      <c r="J232" t="str">
        <f ca="1">IF(ABS(Table17[[#This Row],[%Change]]) &gt; 0.3, "Alert: Preference Shift", "")</f>
        <v/>
      </c>
    </row>
    <row r="233" spans="1:10">
      <c r="A233" s="54">
        <v>48935</v>
      </c>
      <c r="B233" s="15" t="s">
        <v>14</v>
      </c>
      <c r="C233" s="14" t="str">
        <f t="shared" si="14"/>
        <v>December</v>
      </c>
      <c r="D233" s="15" t="str">
        <f>CHOOSE(MATCH(MONTH(A233), {1,4,7,10}), "Winter", "Spring", "Summer", "Autumn")</f>
        <v>Autumn</v>
      </c>
      <c r="E233">
        <f t="shared" si="15"/>
        <v>2033</v>
      </c>
      <c r="F233">
        <v>87</v>
      </c>
      <c r="G233">
        <f t="shared" ca="1" si="12"/>
        <v>172</v>
      </c>
      <c r="H233">
        <f t="shared" ca="1" si="13"/>
        <v>129</v>
      </c>
      <c r="I233" s="81">
        <f ca="1">(Table17[[#This Row],[Current_Month_Sales]]-Table17[[#This Row],[Previous Month Sales]])/Table17[[#This Row],[Previous Month Sales]]</f>
        <v>0.33333333333333331</v>
      </c>
      <c r="J233" t="str">
        <f ca="1">IF(ABS(Table17[[#This Row],[%Change]]) &gt; 0.3, "Alert: Preference Shift", "")</f>
        <v>Alert: Preference Shift</v>
      </c>
    </row>
    <row r="234" spans="1:10">
      <c r="A234" s="53">
        <v>48965</v>
      </c>
      <c r="B234" s="14" t="s">
        <v>11</v>
      </c>
      <c r="C234" s="14" t="str">
        <f t="shared" si="14"/>
        <v>January</v>
      </c>
      <c r="D234" s="14" t="str">
        <f>CHOOSE(MATCH(MONTH(A234), {1,4,7,10}), "Winter", "Spring", "Summer", "Autumn")</f>
        <v>Winter</v>
      </c>
      <c r="E234">
        <f t="shared" si="15"/>
        <v>2034</v>
      </c>
      <c r="F234">
        <v>108</v>
      </c>
      <c r="G234">
        <f t="shared" ca="1" si="12"/>
        <v>157</v>
      </c>
      <c r="H234">
        <f t="shared" ca="1" si="13"/>
        <v>117</v>
      </c>
      <c r="I234" s="81">
        <f ca="1">(Table17[[#This Row],[Current_Month_Sales]]-Table17[[#This Row],[Previous Month Sales]])/Table17[[#This Row],[Previous Month Sales]]</f>
        <v>0.34188034188034189</v>
      </c>
      <c r="J234" t="str">
        <f ca="1">IF(ABS(Table17[[#This Row],[%Change]]) &gt; 0.3, "Alert: Preference Shift", "")</f>
        <v>Alert: Preference Shift</v>
      </c>
    </row>
    <row r="235" spans="1:10">
      <c r="A235" s="54">
        <v>48995</v>
      </c>
      <c r="B235" s="15" t="s">
        <v>10</v>
      </c>
      <c r="C235" s="14" t="str">
        <f t="shared" si="14"/>
        <v>February</v>
      </c>
      <c r="D235" s="15" t="str">
        <f>CHOOSE(MATCH(MONTH(A235), {1,4,7,10}), "Winter", "Spring", "Summer", "Autumn")</f>
        <v>Winter</v>
      </c>
      <c r="E235">
        <f t="shared" si="15"/>
        <v>2034</v>
      </c>
      <c r="F235">
        <v>100</v>
      </c>
      <c r="G235">
        <f t="shared" ca="1" si="12"/>
        <v>189</v>
      </c>
      <c r="H235">
        <f t="shared" ca="1" si="13"/>
        <v>109</v>
      </c>
      <c r="I235" s="81">
        <f ca="1">(Table17[[#This Row],[Current_Month_Sales]]-Table17[[#This Row],[Previous Month Sales]])/Table17[[#This Row],[Previous Month Sales]]</f>
        <v>0.73394495412844041</v>
      </c>
      <c r="J235" t="str">
        <f ca="1">IF(ABS(Table17[[#This Row],[%Change]]) &gt; 0.3, "Alert: Preference Shift", "")</f>
        <v>Alert: Preference Shift</v>
      </c>
    </row>
    <row r="236" spans="1:10">
      <c r="A236" s="53">
        <v>49025</v>
      </c>
      <c r="B236" s="14" t="s">
        <v>12</v>
      </c>
      <c r="C236" s="14" t="str">
        <f t="shared" si="14"/>
        <v>March</v>
      </c>
      <c r="D236" s="14" t="str">
        <f>CHOOSE(MATCH(MONTH(A236), {1,4,7,10}), "Winter", "Spring", "Summer", "Autumn")</f>
        <v>Winter</v>
      </c>
      <c r="E236">
        <f t="shared" si="15"/>
        <v>2034</v>
      </c>
      <c r="F236">
        <v>87</v>
      </c>
      <c r="G236">
        <f t="shared" ca="1" si="12"/>
        <v>78</v>
      </c>
      <c r="H236">
        <f t="shared" ca="1" si="13"/>
        <v>117</v>
      </c>
      <c r="I236" s="81">
        <f ca="1">(Table17[[#This Row],[Current_Month_Sales]]-Table17[[#This Row],[Previous Month Sales]])/Table17[[#This Row],[Previous Month Sales]]</f>
        <v>-0.33333333333333331</v>
      </c>
      <c r="J236" t="str">
        <f ca="1">IF(ABS(Table17[[#This Row],[%Change]]) &gt; 0.3, "Alert: Preference Shift", "")</f>
        <v>Alert: Preference Shift</v>
      </c>
    </row>
    <row r="237" spans="1:10">
      <c r="A237" s="54">
        <v>49055</v>
      </c>
      <c r="B237" s="15" t="s">
        <v>12</v>
      </c>
      <c r="C237" s="14" t="str">
        <f t="shared" si="14"/>
        <v>April</v>
      </c>
      <c r="D237" s="15" t="str">
        <f>CHOOSE(MATCH(MONTH(A237), {1,4,7,10}), "Winter", "Spring", "Summer", "Autumn")</f>
        <v>Spring</v>
      </c>
      <c r="E237">
        <f t="shared" si="15"/>
        <v>2034</v>
      </c>
      <c r="F237">
        <v>96</v>
      </c>
      <c r="G237">
        <f t="shared" ca="1" si="12"/>
        <v>150</v>
      </c>
      <c r="H237">
        <f t="shared" ca="1" si="13"/>
        <v>63</v>
      </c>
      <c r="I237" s="81">
        <f ca="1">(Table17[[#This Row],[Current_Month_Sales]]-Table17[[#This Row],[Previous Month Sales]])/Table17[[#This Row],[Previous Month Sales]]</f>
        <v>1.3809523809523809</v>
      </c>
      <c r="J237" t="str">
        <f ca="1">IF(ABS(Table17[[#This Row],[%Change]]) &gt; 0.3, "Alert: Preference Shift", "")</f>
        <v>Alert: Preference Shift</v>
      </c>
    </row>
    <row r="238" spans="1:10">
      <c r="A238" s="53">
        <v>49085</v>
      </c>
      <c r="B238" s="14" t="s">
        <v>12</v>
      </c>
      <c r="C238" s="14" t="str">
        <f t="shared" si="14"/>
        <v>May</v>
      </c>
      <c r="D238" s="14" t="str">
        <f>CHOOSE(MATCH(MONTH(A238), {1,4,7,10}), "Winter", "Spring", "Summer", "Autumn")</f>
        <v>Spring</v>
      </c>
      <c r="E238">
        <f t="shared" si="15"/>
        <v>2034</v>
      </c>
      <c r="F238">
        <v>97</v>
      </c>
      <c r="G238">
        <f t="shared" ca="1" si="12"/>
        <v>65</v>
      </c>
      <c r="H238">
        <f t="shared" ca="1" si="13"/>
        <v>56</v>
      </c>
      <c r="I238" s="81">
        <f ca="1">(Table17[[#This Row],[Current_Month_Sales]]-Table17[[#This Row],[Previous Month Sales]])/Table17[[#This Row],[Previous Month Sales]]</f>
        <v>0.16071428571428573</v>
      </c>
      <c r="J238" t="str">
        <f ca="1">IF(ABS(Table17[[#This Row],[%Change]]) &gt; 0.3, "Alert: Preference Shift", "")</f>
        <v/>
      </c>
    </row>
    <row r="239" spans="1:10">
      <c r="A239" s="54">
        <v>49115</v>
      </c>
      <c r="B239" s="15" t="s">
        <v>13</v>
      </c>
      <c r="C239" s="14" t="str">
        <f t="shared" si="14"/>
        <v>June</v>
      </c>
      <c r="D239" s="15" t="str">
        <f>CHOOSE(MATCH(MONTH(A239), {1,4,7,10}), "Winter", "Spring", "Summer", "Autumn")</f>
        <v>Spring</v>
      </c>
      <c r="E239">
        <f t="shared" si="15"/>
        <v>2034</v>
      </c>
      <c r="F239">
        <v>116</v>
      </c>
      <c r="G239">
        <f t="shared" ca="1" si="12"/>
        <v>157</v>
      </c>
      <c r="H239">
        <f t="shared" ca="1" si="13"/>
        <v>117</v>
      </c>
      <c r="I239" s="81">
        <f ca="1">(Table17[[#This Row],[Current_Month_Sales]]-Table17[[#This Row],[Previous Month Sales]])/Table17[[#This Row],[Previous Month Sales]]</f>
        <v>0.34188034188034189</v>
      </c>
      <c r="J239" t="str">
        <f ca="1">IF(ABS(Table17[[#This Row],[%Change]]) &gt; 0.3, "Alert: Preference Shift", "")</f>
        <v>Alert: Preference Shift</v>
      </c>
    </row>
    <row r="240" spans="1:10">
      <c r="A240" s="53">
        <v>49145</v>
      </c>
      <c r="B240" s="14" t="s">
        <v>14</v>
      </c>
      <c r="C240" s="14" t="str">
        <f t="shared" si="14"/>
        <v>July</v>
      </c>
      <c r="D240" s="14" t="str">
        <f>CHOOSE(MATCH(MONTH(A240), {1,4,7,10}), "Winter", "Spring", "Summer", "Autumn")</f>
        <v>Summer</v>
      </c>
      <c r="E240">
        <f t="shared" si="15"/>
        <v>2034</v>
      </c>
      <c r="F240">
        <v>100</v>
      </c>
      <c r="G240">
        <f t="shared" ca="1" si="12"/>
        <v>65</v>
      </c>
      <c r="H240">
        <f t="shared" ca="1" si="13"/>
        <v>117</v>
      </c>
      <c r="I240" s="81">
        <f ca="1">(Table17[[#This Row],[Current_Month_Sales]]-Table17[[#This Row],[Previous Month Sales]])/Table17[[#This Row],[Previous Month Sales]]</f>
        <v>-0.44444444444444442</v>
      </c>
      <c r="J240" t="str">
        <f ca="1">IF(ABS(Table17[[#This Row],[%Change]]) &gt; 0.3, "Alert: Preference Shift", "")</f>
        <v>Alert: Preference Shift</v>
      </c>
    </row>
    <row r="241" spans="1:10">
      <c r="A241" s="54">
        <v>49175</v>
      </c>
      <c r="B241" s="15" t="s">
        <v>12</v>
      </c>
      <c r="C241" s="14" t="str">
        <f t="shared" si="14"/>
        <v>August</v>
      </c>
      <c r="D241" s="15" t="str">
        <f>CHOOSE(MATCH(MONTH(A241), {1,4,7,10}), "Winter", "Spring", "Summer", "Autumn")</f>
        <v>Summer</v>
      </c>
      <c r="E241">
        <f t="shared" si="15"/>
        <v>2034</v>
      </c>
      <c r="F241">
        <v>97</v>
      </c>
      <c r="G241">
        <f t="shared" ca="1" si="12"/>
        <v>89</v>
      </c>
      <c r="H241">
        <f t="shared" ca="1" si="13"/>
        <v>129</v>
      </c>
      <c r="I241" s="81">
        <f ca="1">(Table17[[#This Row],[Current_Month_Sales]]-Table17[[#This Row],[Previous Month Sales]])/Table17[[#This Row],[Previous Month Sales]]</f>
        <v>-0.31007751937984496</v>
      </c>
      <c r="J241" t="str">
        <f ca="1">IF(ABS(Table17[[#This Row],[%Change]]) &gt; 0.3, "Alert: Preference Shift", "")</f>
        <v>Alert: Preference Shift</v>
      </c>
    </row>
    <row r="242" spans="1:10">
      <c r="A242" s="53">
        <v>49205</v>
      </c>
      <c r="B242" s="14" t="s">
        <v>14</v>
      </c>
      <c r="C242" s="14" t="str">
        <f t="shared" si="14"/>
        <v>September</v>
      </c>
      <c r="D242" s="14" t="str">
        <f>CHOOSE(MATCH(MONTH(A242), {1,4,7,10}), "Winter", "Spring", "Summer", "Autumn")</f>
        <v>Summer</v>
      </c>
      <c r="E242">
        <f t="shared" si="15"/>
        <v>2034</v>
      </c>
      <c r="F242">
        <v>100</v>
      </c>
      <c r="G242">
        <f t="shared" ca="1" si="12"/>
        <v>89</v>
      </c>
      <c r="H242">
        <f t="shared" ca="1" si="13"/>
        <v>105</v>
      </c>
      <c r="I242" s="81">
        <f ca="1">(Table17[[#This Row],[Current_Month_Sales]]-Table17[[#This Row],[Previous Month Sales]])/Table17[[#This Row],[Previous Month Sales]]</f>
        <v>-0.15238095238095239</v>
      </c>
      <c r="J242" t="str">
        <f ca="1">IF(ABS(Table17[[#This Row],[%Change]]) &gt; 0.3, "Alert: Preference Shift", "")</f>
        <v/>
      </c>
    </row>
    <row r="243" spans="1:10">
      <c r="A243" s="54">
        <v>49235</v>
      </c>
      <c r="B243" s="15" t="s">
        <v>12</v>
      </c>
      <c r="C243" s="14" t="str">
        <f t="shared" si="14"/>
        <v>October</v>
      </c>
      <c r="D243" s="15" t="str">
        <f>CHOOSE(MATCH(MONTH(A243), {1,4,7,10}), "Winter", "Spring", "Summer", "Autumn")</f>
        <v>Autumn</v>
      </c>
      <c r="E243">
        <f t="shared" si="15"/>
        <v>2034</v>
      </c>
      <c r="F243">
        <v>99</v>
      </c>
      <c r="G243">
        <f t="shared" ca="1" si="12"/>
        <v>89</v>
      </c>
      <c r="H243">
        <f t="shared" ca="1" si="13"/>
        <v>48</v>
      </c>
      <c r="I243" s="81">
        <f ca="1">(Table17[[#This Row],[Current_Month_Sales]]-Table17[[#This Row],[Previous Month Sales]])/Table17[[#This Row],[Previous Month Sales]]</f>
        <v>0.85416666666666663</v>
      </c>
      <c r="J243" t="str">
        <f ca="1">IF(ABS(Table17[[#This Row],[%Change]]) &gt; 0.3, "Alert: Preference Shift", "")</f>
        <v>Alert: Preference Shift</v>
      </c>
    </row>
    <row r="244" spans="1:10">
      <c r="A244" s="53">
        <v>49265</v>
      </c>
      <c r="B244" s="14" t="s">
        <v>11</v>
      </c>
      <c r="C244" s="14" t="str">
        <f t="shared" si="14"/>
        <v>November</v>
      </c>
      <c r="D244" s="14" t="str">
        <f>CHOOSE(MATCH(MONTH(A244), {1,4,7,10}), "Winter", "Spring", "Summer", "Autumn")</f>
        <v>Autumn</v>
      </c>
      <c r="E244">
        <f t="shared" si="15"/>
        <v>2034</v>
      </c>
      <c r="F244">
        <v>100</v>
      </c>
      <c r="G244">
        <f t="shared" ca="1" si="12"/>
        <v>121</v>
      </c>
      <c r="H244">
        <f t="shared" ca="1" si="13"/>
        <v>118</v>
      </c>
      <c r="I244" s="81">
        <f ca="1">(Table17[[#This Row],[Current_Month_Sales]]-Table17[[#This Row],[Previous Month Sales]])/Table17[[#This Row],[Previous Month Sales]]</f>
        <v>2.5423728813559324E-2</v>
      </c>
      <c r="J244" t="str">
        <f ca="1">IF(ABS(Table17[[#This Row],[%Change]]) &gt; 0.3, "Alert: Preference Shift", "")</f>
        <v/>
      </c>
    </row>
    <row r="245" spans="1:10">
      <c r="A245" s="54">
        <v>49295</v>
      </c>
      <c r="B245" s="15" t="s">
        <v>14</v>
      </c>
      <c r="C245" s="14" t="str">
        <f t="shared" si="14"/>
        <v>December</v>
      </c>
      <c r="D245" s="15" t="str">
        <f>CHOOSE(MATCH(MONTH(A245), {1,4,7,10}), "Winter", "Spring", "Summer", "Autumn")</f>
        <v>Autumn</v>
      </c>
      <c r="E245">
        <f t="shared" si="15"/>
        <v>2034</v>
      </c>
      <c r="F245">
        <v>100</v>
      </c>
      <c r="G245">
        <f t="shared" ca="1" si="12"/>
        <v>121</v>
      </c>
      <c r="H245">
        <f t="shared" ca="1" si="13"/>
        <v>109</v>
      </c>
      <c r="I245" s="81">
        <f ca="1">(Table17[[#This Row],[Current_Month_Sales]]-Table17[[#This Row],[Previous Month Sales]])/Table17[[#This Row],[Previous Month Sales]]</f>
        <v>0.11009174311926606</v>
      </c>
      <c r="J245" t="str">
        <f ca="1">IF(ABS(Table17[[#This Row],[%Change]]) &gt; 0.3, "Alert: Preference Shift", "")</f>
        <v/>
      </c>
    </row>
    <row r="246" spans="1:10">
      <c r="A246" s="53">
        <v>49325</v>
      </c>
      <c r="B246" s="14" t="s">
        <v>12</v>
      </c>
      <c r="C246" s="14" t="str">
        <f t="shared" si="14"/>
        <v>January</v>
      </c>
      <c r="D246" s="14" t="str">
        <f>CHOOSE(MATCH(MONTH(A246), {1,4,7,10}), "Winter", "Spring", "Summer", "Autumn")</f>
        <v>Winter</v>
      </c>
      <c r="E246">
        <f t="shared" si="15"/>
        <v>2035</v>
      </c>
      <c r="F246">
        <v>82</v>
      </c>
      <c r="G246">
        <f t="shared" ca="1" si="12"/>
        <v>89</v>
      </c>
      <c r="H246">
        <f t="shared" ca="1" si="13"/>
        <v>129</v>
      </c>
      <c r="I246" s="81">
        <f ca="1">(Table17[[#This Row],[Current_Month_Sales]]-Table17[[#This Row],[Previous Month Sales]])/Table17[[#This Row],[Previous Month Sales]]</f>
        <v>-0.31007751937984496</v>
      </c>
      <c r="J246" t="str">
        <f ca="1">IF(ABS(Table17[[#This Row],[%Change]]) &gt; 0.3, "Alert: Preference Shift", "")</f>
        <v>Alert: Preference Shift</v>
      </c>
    </row>
    <row r="247" spans="1:10">
      <c r="A247" s="54">
        <v>49355</v>
      </c>
      <c r="B247" s="15" t="s">
        <v>10</v>
      </c>
      <c r="C247" s="14" t="str">
        <f t="shared" si="14"/>
        <v>February</v>
      </c>
      <c r="D247" s="15" t="str">
        <f>CHOOSE(MATCH(MONTH(A247), {1,4,7,10}), "Winter", "Spring", "Summer", "Autumn")</f>
        <v>Winter</v>
      </c>
      <c r="E247">
        <f t="shared" si="15"/>
        <v>2035</v>
      </c>
      <c r="F247">
        <v>87</v>
      </c>
      <c r="G247">
        <f t="shared" ca="1" si="12"/>
        <v>130</v>
      </c>
      <c r="H247">
        <f t="shared" ca="1" si="13"/>
        <v>109</v>
      </c>
      <c r="I247" s="81">
        <f ca="1">(Table17[[#This Row],[Current_Month_Sales]]-Table17[[#This Row],[Previous Month Sales]])/Table17[[#This Row],[Previous Month Sales]]</f>
        <v>0.19266055045871561</v>
      </c>
      <c r="J247" t="str">
        <f ca="1">IF(ABS(Table17[[#This Row],[%Change]]) &gt; 0.3, "Alert: Preference Shift", "")</f>
        <v/>
      </c>
    </row>
    <row r="248" spans="1:10">
      <c r="A248" s="53">
        <v>49385</v>
      </c>
      <c r="B248" s="14" t="s">
        <v>14</v>
      </c>
      <c r="C248" s="14" t="str">
        <f t="shared" si="14"/>
        <v>March</v>
      </c>
      <c r="D248" s="14" t="str">
        <f>CHOOSE(MATCH(MONTH(A248), {1,4,7,10}), "Winter", "Spring", "Summer", "Autumn")</f>
        <v>Winter</v>
      </c>
      <c r="E248">
        <f t="shared" si="15"/>
        <v>2035</v>
      </c>
      <c r="F248">
        <v>87</v>
      </c>
      <c r="G248">
        <f t="shared" ca="1" si="12"/>
        <v>65</v>
      </c>
      <c r="H248">
        <f t="shared" ca="1" si="13"/>
        <v>68</v>
      </c>
      <c r="I248" s="81">
        <f ca="1">(Table17[[#This Row],[Current_Month_Sales]]-Table17[[#This Row],[Previous Month Sales]])/Table17[[#This Row],[Previous Month Sales]]</f>
        <v>-4.4117647058823532E-2</v>
      </c>
      <c r="J248" t="str">
        <f ca="1">IF(ABS(Table17[[#This Row],[%Change]]) &gt; 0.3, "Alert: Preference Shift", "")</f>
        <v/>
      </c>
    </row>
    <row r="249" spans="1:10">
      <c r="A249" s="54">
        <v>49415</v>
      </c>
      <c r="B249" s="15" t="s">
        <v>13</v>
      </c>
      <c r="C249" s="14" t="str">
        <f t="shared" si="14"/>
        <v>April</v>
      </c>
      <c r="D249" s="15" t="str">
        <f>CHOOSE(MATCH(MONTH(A249), {1,4,7,10}), "Winter", "Spring", "Summer", "Autumn")</f>
        <v>Spring</v>
      </c>
      <c r="E249">
        <f t="shared" si="15"/>
        <v>2035</v>
      </c>
      <c r="F249">
        <v>90</v>
      </c>
      <c r="G249">
        <f t="shared" ca="1" si="12"/>
        <v>100</v>
      </c>
      <c r="H249">
        <f t="shared" ca="1" si="13"/>
        <v>48</v>
      </c>
      <c r="I249" s="81">
        <f ca="1">(Table17[[#This Row],[Current_Month_Sales]]-Table17[[#This Row],[Previous Month Sales]])/Table17[[#This Row],[Previous Month Sales]]</f>
        <v>1.0833333333333333</v>
      </c>
      <c r="J249" t="str">
        <f ca="1">IF(ABS(Table17[[#This Row],[%Change]]) &gt; 0.3, "Alert: Preference Shift", "")</f>
        <v>Alert: Preference Shift</v>
      </c>
    </row>
    <row r="250" spans="1:10">
      <c r="A250" s="53">
        <v>49445</v>
      </c>
      <c r="B250" s="14" t="s">
        <v>10</v>
      </c>
      <c r="C250" s="14" t="str">
        <f t="shared" si="14"/>
        <v>May</v>
      </c>
      <c r="D250" s="14" t="str">
        <f>CHOOSE(MATCH(MONTH(A250), {1,4,7,10}), "Winter", "Spring", "Summer", "Autumn")</f>
        <v>Spring</v>
      </c>
      <c r="E250">
        <f t="shared" si="15"/>
        <v>2035</v>
      </c>
      <c r="F250">
        <v>115</v>
      </c>
      <c r="G250">
        <f t="shared" ca="1" si="12"/>
        <v>189</v>
      </c>
      <c r="H250">
        <f t="shared" ca="1" si="13"/>
        <v>109</v>
      </c>
      <c r="I250" s="81">
        <f ca="1">(Table17[[#This Row],[Current_Month_Sales]]-Table17[[#This Row],[Previous Month Sales]])/Table17[[#This Row],[Previous Month Sales]]</f>
        <v>0.73394495412844041</v>
      </c>
      <c r="J250" t="str">
        <f ca="1">IF(ABS(Table17[[#This Row],[%Change]]) &gt; 0.3, "Alert: Preference Shift", "")</f>
        <v>Alert: Preference Shift</v>
      </c>
    </row>
    <row r="251" spans="1:10">
      <c r="A251" s="54">
        <v>49475</v>
      </c>
      <c r="B251" s="15" t="s">
        <v>10</v>
      </c>
      <c r="C251" s="14" t="str">
        <f t="shared" si="14"/>
        <v>June</v>
      </c>
      <c r="D251" s="15" t="str">
        <f>CHOOSE(MATCH(MONTH(A251), {1,4,7,10}), "Winter", "Spring", "Summer", "Autumn")</f>
        <v>Spring</v>
      </c>
      <c r="E251">
        <f t="shared" si="15"/>
        <v>2035</v>
      </c>
      <c r="F251">
        <v>105</v>
      </c>
      <c r="G251">
        <f t="shared" ca="1" si="12"/>
        <v>189</v>
      </c>
      <c r="H251">
        <f t="shared" ca="1" si="13"/>
        <v>109</v>
      </c>
      <c r="I251" s="81">
        <f ca="1">(Table17[[#This Row],[Current_Month_Sales]]-Table17[[#This Row],[Previous Month Sales]])/Table17[[#This Row],[Previous Month Sales]]</f>
        <v>0.73394495412844041</v>
      </c>
      <c r="J251" t="str">
        <f ca="1">IF(ABS(Table17[[#This Row],[%Change]]) &gt; 0.3, "Alert: Preference Shift", "")</f>
        <v>Alert: Preference Shift</v>
      </c>
    </row>
    <row r="252" spans="1:10">
      <c r="A252" s="53">
        <v>49505</v>
      </c>
      <c r="B252" s="14" t="s">
        <v>13</v>
      </c>
      <c r="C252" s="14" t="str">
        <f t="shared" si="14"/>
        <v>July</v>
      </c>
      <c r="D252" s="14" t="str">
        <f>CHOOSE(MATCH(MONTH(A252), {1,4,7,10}), "Winter", "Spring", "Summer", "Autumn")</f>
        <v>Summer</v>
      </c>
      <c r="E252">
        <f t="shared" si="15"/>
        <v>2035</v>
      </c>
      <c r="F252">
        <v>90</v>
      </c>
      <c r="G252">
        <f t="shared" ca="1" si="12"/>
        <v>89</v>
      </c>
      <c r="H252">
        <f t="shared" ca="1" si="13"/>
        <v>109</v>
      </c>
      <c r="I252" s="81">
        <f ca="1">(Table17[[#This Row],[Current_Month_Sales]]-Table17[[#This Row],[Previous Month Sales]])/Table17[[#This Row],[Previous Month Sales]]</f>
        <v>-0.1834862385321101</v>
      </c>
      <c r="J252" t="str">
        <f ca="1">IF(ABS(Table17[[#This Row],[%Change]]) &gt; 0.3, "Alert: Preference Shift", "")</f>
        <v/>
      </c>
    </row>
    <row r="253" spans="1:10">
      <c r="A253" s="54">
        <v>49535</v>
      </c>
      <c r="B253" s="15" t="s">
        <v>10</v>
      </c>
      <c r="C253" s="14" t="str">
        <f t="shared" si="14"/>
        <v>August</v>
      </c>
      <c r="D253" s="15" t="str">
        <f>CHOOSE(MATCH(MONTH(A253), {1,4,7,10}), "Winter", "Spring", "Summer", "Autumn")</f>
        <v>Summer</v>
      </c>
      <c r="E253">
        <f t="shared" si="15"/>
        <v>2035</v>
      </c>
      <c r="F253">
        <v>89</v>
      </c>
      <c r="G253">
        <f t="shared" ca="1" si="12"/>
        <v>78</v>
      </c>
      <c r="H253">
        <f t="shared" ca="1" si="13"/>
        <v>63</v>
      </c>
      <c r="I253" s="81">
        <f ca="1">(Table17[[#This Row],[Current_Month_Sales]]-Table17[[#This Row],[Previous Month Sales]])/Table17[[#This Row],[Previous Month Sales]]</f>
        <v>0.23809523809523808</v>
      </c>
      <c r="J253" t="str">
        <f ca="1">IF(ABS(Table17[[#This Row],[%Change]]) &gt; 0.3, "Alert: Preference Shift", "")</f>
        <v/>
      </c>
    </row>
    <row r="254" spans="1:10">
      <c r="A254" s="53">
        <v>49565</v>
      </c>
      <c r="B254" s="14" t="s">
        <v>10</v>
      </c>
      <c r="C254" s="14" t="str">
        <f t="shared" si="14"/>
        <v>September</v>
      </c>
      <c r="D254" s="14" t="str">
        <f>CHOOSE(MATCH(MONTH(A254), {1,4,7,10}), "Winter", "Spring", "Summer", "Autumn")</f>
        <v>Summer</v>
      </c>
      <c r="E254">
        <f t="shared" si="15"/>
        <v>2035</v>
      </c>
      <c r="F254">
        <v>89</v>
      </c>
      <c r="G254">
        <f t="shared" ca="1" si="12"/>
        <v>65</v>
      </c>
      <c r="H254">
        <f t="shared" ca="1" si="13"/>
        <v>129</v>
      </c>
      <c r="I254" s="81">
        <f ca="1">(Table17[[#This Row],[Current_Month_Sales]]-Table17[[#This Row],[Previous Month Sales]])/Table17[[#This Row],[Previous Month Sales]]</f>
        <v>-0.49612403100775193</v>
      </c>
      <c r="J254" t="str">
        <f ca="1">IF(ABS(Table17[[#This Row],[%Change]]) &gt; 0.3, "Alert: Preference Shift", "")</f>
        <v>Alert: Preference Shift</v>
      </c>
    </row>
    <row r="255" spans="1:10">
      <c r="A255" s="54">
        <v>49595</v>
      </c>
      <c r="B255" s="15" t="s">
        <v>12</v>
      </c>
      <c r="C255" s="14" t="str">
        <f t="shared" si="14"/>
        <v>October</v>
      </c>
      <c r="D255" s="15" t="str">
        <f>CHOOSE(MATCH(MONTH(A255), {1,4,7,10}), "Winter", "Spring", "Summer", "Autumn")</f>
        <v>Autumn</v>
      </c>
      <c r="E255">
        <f t="shared" si="15"/>
        <v>2035</v>
      </c>
      <c r="F255">
        <v>86</v>
      </c>
      <c r="G255">
        <f t="shared" ca="1" si="12"/>
        <v>97</v>
      </c>
      <c r="H255">
        <f t="shared" ca="1" si="13"/>
        <v>117</v>
      </c>
      <c r="I255" s="81">
        <f ca="1">(Table17[[#This Row],[Current_Month_Sales]]-Table17[[#This Row],[Previous Month Sales]])/Table17[[#This Row],[Previous Month Sales]]</f>
        <v>-0.17094017094017094</v>
      </c>
      <c r="J255" t="str">
        <f ca="1">IF(ABS(Table17[[#This Row],[%Change]]) &gt; 0.3, "Alert: Preference Shift", "")</f>
        <v/>
      </c>
    </row>
    <row r="256" spans="1:10">
      <c r="A256" s="53">
        <v>49625</v>
      </c>
      <c r="B256" s="14" t="s">
        <v>12</v>
      </c>
      <c r="C256" s="14" t="str">
        <f t="shared" si="14"/>
        <v>November</v>
      </c>
      <c r="D256" s="14" t="str">
        <f>CHOOSE(MATCH(MONTH(A256), {1,4,7,10}), "Winter", "Spring", "Summer", "Autumn")</f>
        <v>Autumn</v>
      </c>
      <c r="E256">
        <f t="shared" si="15"/>
        <v>2035</v>
      </c>
      <c r="F256">
        <v>91</v>
      </c>
      <c r="G256">
        <f t="shared" ca="1" si="12"/>
        <v>65</v>
      </c>
      <c r="H256">
        <f t="shared" ca="1" si="13"/>
        <v>105</v>
      </c>
      <c r="I256" s="81">
        <f ca="1">(Table17[[#This Row],[Current_Month_Sales]]-Table17[[#This Row],[Previous Month Sales]])/Table17[[#This Row],[Previous Month Sales]]</f>
        <v>-0.38095238095238093</v>
      </c>
      <c r="J256" t="str">
        <f ca="1">IF(ABS(Table17[[#This Row],[%Change]]) &gt; 0.3, "Alert: Preference Shift", "")</f>
        <v>Alert: Preference Shift</v>
      </c>
    </row>
    <row r="257" spans="1:10">
      <c r="A257" s="54">
        <v>49655</v>
      </c>
      <c r="B257" s="15" t="s">
        <v>14</v>
      </c>
      <c r="C257" s="14" t="str">
        <f t="shared" si="14"/>
        <v>December</v>
      </c>
      <c r="D257" s="15" t="str">
        <f>CHOOSE(MATCH(MONTH(A257), {1,4,7,10}), "Winter", "Spring", "Summer", "Autumn")</f>
        <v>Autumn</v>
      </c>
      <c r="E257">
        <f t="shared" si="15"/>
        <v>2035</v>
      </c>
      <c r="F257">
        <v>100</v>
      </c>
      <c r="G257">
        <f t="shared" ca="1" si="12"/>
        <v>130</v>
      </c>
      <c r="H257">
        <f t="shared" ca="1" si="13"/>
        <v>117</v>
      </c>
      <c r="I257" s="81">
        <f ca="1">(Table17[[#This Row],[Current_Month_Sales]]-Table17[[#This Row],[Previous Month Sales]])/Table17[[#This Row],[Previous Month Sales]]</f>
        <v>0.1111111111111111</v>
      </c>
      <c r="J257" t="str">
        <f ca="1">IF(ABS(Table17[[#This Row],[%Change]]) &gt; 0.3, "Alert: Preference Shift", "")</f>
        <v/>
      </c>
    </row>
    <row r="258" spans="1:10">
      <c r="A258" s="53">
        <v>49685</v>
      </c>
      <c r="B258" s="14" t="s">
        <v>14</v>
      </c>
      <c r="C258" s="14" t="str">
        <f t="shared" si="14"/>
        <v>January</v>
      </c>
      <c r="D258" s="14" t="str">
        <f>CHOOSE(MATCH(MONTH(A258), {1,4,7,10}), "Winter", "Spring", "Summer", "Autumn")</f>
        <v>Winter</v>
      </c>
      <c r="E258">
        <f t="shared" si="15"/>
        <v>2036</v>
      </c>
      <c r="F258">
        <v>104</v>
      </c>
      <c r="G258">
        <f t="shared" ref="G258:G321" ca="1" si="16">CHOOSE(RANDBETWEEN(1,12), 121,133,65,78,150,189,89,157,100,172,97,130)</f>
        <v>172</v>
      </c>
      <c r="H258">
        <f t="shared" ref="H258:H321" ca="1" si="17">CHOOSE(RANDBETWEEN(1,12), 129,63,79,105,117,129,56,48,117,109,68,118)</f>
        <v>68</v>
      </c>
      <c r="I258" s="81">
        <f ca="1">(Table17[[#This Row],[Current_Month_Sales]]-Table17[[#This Row],[Previous Month Sales]])/Table17[[#This Row],[Previous Month Sales]]</f>
        <v>1.5294117647058822</v>
      </c>
      <c r="J258" t="str">
        <f ca="1">IF(ABS(Table17[[#This Row],[%Change]]) &gt; 0.3, "Alert: Preference Shift", "")</f>
        <v>Alert: Preference Shift</v>
      </c>
    </row>
    <row r="259" spans="1:10">
      <c r="A259" s="54">
        <v>49715</v>
      </c>
      <c r="B259" s="15" t="s">
        <v>14</v>
      </c>
      <c r="C259" s="14" t="str">
        <f t="shared" ref="C259:C322" si="18">TEXT(A259,"mmmm")</f>
        <v>February</v>
      </c>
      <c r="D259" s="15" t="str">
        <f>CHOOSE(MATCH(MONTH(A259), {1,4,7,10}), "Winter", "Spring", "Summer", "Autumn")</f>
        <v>Winter</v>
      </c>
      <c r="E259">
        <f t="shared" ref="E259:E322" si="19">YEAR(A259)</f>
        <v>2036</v>
      </c>
      <c r="F259">
        <v>80</v>
      </c>
      <c r="G259">
        <f t="shared" ca="1" si="16"/>
        <v>130</v>
      </c>
      <c r="H259">
        <f t="shared" ca="1" si="17"/>
        <v>48</v>
      </c>
      <c r="I259" s="81">
        <f ca="1">(Table17[[#This Row],[Current_Month_Sales]]-Table17[[#This Row],[Previous Month Sales]])/Table17[[#This Row],[Previous Month Sales]]</f>
        <v>1.7083333333333333</v>
      </c>
      <c r="J259" t="str">
        <f ca="1">IF(ABS(Table17[[#This Row],[%Change]]) &gt; 0.3, "Alert: Preference Shift", "")</f>
        <v>Alert: Preference Shift</v>
      </c>
    </row>
    <row r="260" spans="1:10">
      <c r="A260" s="53">
        <v>49745</v>
      </c>
      <c r="B260" s="14" t="s">
        <v>12</v>
      </c>
      <c r="C260" s="14" t="str">
        <f t="shared" si="18"/>
        <v>March</v>
      </c>
      <c r="D260" s="14" t="str">
        <f>CHOOSE(MATCH(MONTH(A260), {1,4,7,10}), "Winter", "Spring", "Summer", "Autumn")</f>
        <v>Winter</v>
      </c>
      <c r="E260">
        <f t="shared" si="19"/>
        <v>2036</v>
      </c>
      <c r="F260">
        <v>110</v>
      </c>
      <c r="G260">
        <f t="shared" ca="1" si="16"/>
        <v>78</v>
      </c>
      <c r="H260">
        <f t="shared" ca="1" si="17"/>
        <v>129</v>
      </c>
      <c r="I260" s="81">
        <f ca="1">(Table17[[#This Row],[Current_Month_Sales]]-Table17[[#This Row],[Previous Month Sales]])/Table17[[#This Row],[Previous Month Sales]]</f>
        <v>-0.39534883720930231</v>
      </c>
      <c r="J260" t="str">
        <f ca="1">IF(ABS(Table17[[#This Row],[%Change]]) &gt; 0.3, "Alert: Preference Shift", "")</f>
        <v>Alert: Preference Shift</v>
      </c>
    </row>
    <row r="261" spans="1:10">
      <c r="A261" s="54">
        <v>49775</v>
      </c>
      <c r="B261" s="15" t="s">
        <v>14</v>
      </c>
      <c r="C261" s="14" t="str">
        <f t="shared" si="18"/>
        <v>April</v>
      </c>
      <c r="D261" s="15" t="str">
        <f>CHOOSE(MATCH(MONTH(A261), {1,4,7,10}), "Winter", "Spring", "Summer", "Autumn")</f>
        <v>Spring</v>
      </c>
      <c r="E261">
        <f t="shared" si="19"/>
        <v>2036</v>
      </c>
      <c r="F261">
        <v>90</v>
      </c>
      <c r="G261">
        <f t="shared" ca="1" si="16"/>
        <v>172</v>
      </c>
      <c r="H261">
        <f t="shared" ca="1" si="17"/>
        <v>118</v>
      </c>
      <c r="I261" s="81">
        <f ca="1">(Table17[[#This Row],[Current_Month_Sales]]-Table17[[#This Row],[Previous Month Sales]])/Table17[[#This Row],[Previous Month Sales]]</f>
        <v>0.4576271186440678</v>
      </c>
      <c r="J261" t="str">
        <f ca="1">IF(ABS(Table17[[#This Row],[%Change]]) &gt; 0.3, "Alert: Preference Shift", "")</f>
        <v>Alert: Preference Shift</v>
      </c>
    </row>
    <row r="262" spans="1:10">
      <c r="A262" s="53">
        <v>49805</v>
      </c>
      <c r="B262" s="14" t="s">
        <v>10</v>
      </c>
      <c r="C262" s="14" t="str">
        <f t="shared" si="18"/>
        <v>May</v>
      </c>
      <c r="D262" s="14" t="str">
        <f>CHOOSE(MATCH(MONTH(A262), {1,4,7,10}), "Winter", "Spring", "Summer", "Autumn")</f>
        <v>Spring</v>
      </c>
      <c r="E262">
        <f t="shared" si="19"/>
        <v>2036</v>
      </c>
      <c r="F262">
        <v>96</v>
      </c>
      <c r="G262">
        <f t="shared" ca="1" si="16"/>
        <v>133</v>
      </c>
      <c r="H262">
        <f t="shared" ca="1" si="17"/>
        <v>129</v>
      </c>
      <c r="I262" s="81">
        <f ca="1">(Table17[[#This Row],[Current_Month_Sales]]-Table17[[#This Row],[Previous Month Sales]])/Table17[[#This Row],[Previous Month Sales]]</f>
        <v>3.1007751937984496E-2</v>
      </c>
      <c r="J262" t="str">
        <f ca="1">IF(ABS(Table17[[#This Row],[%Change]]) &gt; 0.3, "Alert: Preference Shift", "")</f>
        <v/>
      </c>
    </row>
    <row r="263" spans="1:10">
      <c r="A263" s="54">
        <v>49835</v>
      </c>
      <c r="B263" s="15" t="s">
        <v>12</v>
      </c>
      <c r="C263" s="14" t="str">
        <f t="shared" si="18"/>
        <v>June</v>
      </c>
      <c r="D263" s="15" t="str">
        <f>CHOOSE(MATCH(MONTH(A263), {1,4,7,10}), "Winter", "Spring", "Summer", "Autumn")</f>
        <v>Spring</v>
      </c>
      <c r="E263">
        <f t="shared" si="19"/>
        <v>2036</v>
      </c>
      <c r="F263">
        <v>103</v>
      </c>
      <c r="G263">
        <f t="shared" ca="1" si="16"/>
        <v>97</v>
      </c>
      <c r="H263">
        <f t="shared" ca="1" si="17"/>
        <v>129</v>
      </c>
      <c r="I263" s="81">
        <f ca="1">(Table17[[#This Row],[Current_Month_Sales]]-Table17[[#This Row],[Previous Month Sales]])/Table17[[#This Row],[Previous Month Sales]]</f>
        <v>-0.24806201550387597</v>
      </c>
      <c r="J263" t="str">
        <f ca="1">IF(ABS(Table17[[#This Row],[%Change]]) &gt; 0.3, "Alert: Preference Shift", "")</f>
        <v/>
      </c>
    </row>
    <row r="264" spans="1:10">
      <c r="A264" s="53">
        <v>49865</v>
      </c>
      <c r="B264" s="14" t="s">
        <v>14</v>
      </c>
      <c r="C264" s="14" t="str">
        <f t="shared" si="18"/>
        <v>July</v>
      </c>
      <c r="D264" s="14" t="str">
        <f>CHOOSE(MATCH(MONTH(A264), {1,4,7,10}), "Winter", "Spring", "Summer", "Autumn")</f>
        <v>Summer</v>
      </c>
      <c r="E264">
        <f t="shared" si="19"/>
        <v>2036</v>
      </c>
      <c r="F264">
        <v>99</v>
      </c>
      <c r="G264">
        <f t="shared" ca="1" si="16"/>
        <v>189</v>
      </c>
      <c r="H264">
        <f t="shared" ca="1" si="17"/>
        <v>118</v>
      </c>
      <c r="I264" s="81">
        <f ca="1">(Table17[[#This Row],[Current_Month_Sales]]-Table17[[#This Row],[Previous Month Sales]])/Table17[[#This Row],[Previous Month Sales]]</f>
        <v>0.60169491525423724</v>
      </c>
      <c r="J264" t="str">
        <f ca="1">IF(ABS(Table17[[#This Row],[%Change]]) &gt; 0.3, "Alert: Preference Shift", "")</f>
        <v>Alert: Preference Shift</v>
      </c>
    </row>
    <row r="265" spans="1:10">
      <c r="A265" s="54">
        <v>49895</v>
      </c>
      <c r="B265" s="15" t="s">
        <v>10</v>
      </c>
      <c r="C265" s="14" t="str">
        <f t="shared" si="18"/>
        <v>August</v>
      </c>
      <c r="D265" s="15" t="str">
        <f>CHOOSE(MATCH(MONTH(A265), {1,4,7,10}), "Winter", "Spring", "Summer", "Autumn")</f>
        <v>Summer</v>
      </c>
      <c r="E265">
        <f t="shared" si="19"/>
        <v>2036</v>
      </c>
      <c r="F265">
        <v>100</v>
      </c>
      <c r="G265">
        <f t="shared" ca="1" si="16"/>
        <v>133</v>
      </c>
      <c r="H265">
        <f t="shared" ca="1" si="17"/>
        <v>79</v>
      </c>
      <c r="I265" s="81">
        <f ca="1">(Table17[[#This Row],[Current_Month_Sales]]-Table17[[#This Row],[Previous Month Sales]])/Table17[[#This Row],[Previous Month Sales]]</f>
        <v>0.68354430379746833</v>
      </c>
      <c r="J265" t="str">
        <f ca="1">IF(ABS(Table17[[#This Row],[%Change]]) &gt; 0.3, "Alert: Preference Shift", "")</f>
        <v>Alert: Preference Shift</v>
      </c>
    </row>
    <row r="266" spans="1:10">
      <c r="A266" s="53">
        <v>49925</v>
      </c>
      <c r="B266" s="14" t="s">
        <v>14</v>
      </c>
      <c r="C266" s="14" t="str">
        <f t="shared" si="18"/>
        <v>September</v>
      </c>
      <c r="D266" s="14" t="str">
        <f>CHOOSE(MATCH(MONTH(A266), {1,4,7,10}), "Winter", "Spring", "Summer", "Autumn")</f>
        <v>Summer</v>
      </c>
      <c r="E266">
        <f t="shared" si="19"/>
        <v>2036</v>
      </c>
      <c r="F266">
        <v>106</v>
      </c>
      <c r="G266">
        <f t="shared" ca="1" si="16"/>
        <v>78</v>
      </c>
      <c r="H266">
        <f t="shared" ca="1" si="17"/>
        <v>68</v>
      </c>
      <c r="I266" s="81">
        <f ca="1">(Table17[[#This Row],[Current_Month_Sales]]-Table17[[#This Row],[Previous Month Sales]])/Table17[[#This Row],[Previous Month Sales]]</f>
        <v>0.14705882352941177</v>
      </c>
      <c r="J266" t="str">
        <f ca="1">IF(ABS(Table17[[#This Row],[%Change]]) &gt; 0.3, "Alert: Preference Shift", "")</f>
        <v/>
      </c>
    </row>
    <row r="267" spans="1:10">
      <c r="A267" s="54">
        <v>49955</v>
      </c>
      <c r="B267" s="15" t="s">
        <v>11</v>
      </c>
      <c r="C267" s="14" t="str">
        <f t="shared" si="18"/>
        <v>October</v>
      </c>
      <c r="D267" s="15" t="str">
        <f>CHOOSE(MATCH(MONTH(A267), {1,4,7,10}), "Winter", "Spring", "Summer", "Autumn")</f>
        <v>Autumn</v>
      </c>
      <c r="E267">
        <f t="shared" si="19"/>
        <v>2036</v>
      </c>
      <c r="F267">
        <v>100</v>
      </c>
      <c r="G267">
        <f t="shared" ca="1" si="16"/>
        <v>189</v>
      </c>
      <c r="H267">
        <f t="shared" ca="1" si="17"/>
        <v>117</v>
      </c>
      <c r="I267" s="81">
        <f ca="1">(Table17[[#This Row],[Current_Month_Sales]]-Table17[[#This Row],[Previous Month Sales]])/Table17[[#This Row],[Previous Month Sales]]</f>
        <v>0.61538461538461542</v>
      </c>
      <c r="J267" t="str">
        <f ca="1">IF(ABS(Table17[[#This Row],[%Change]]) &gt; 0.3, "Alert: Preference Shift", "")</f>
        <v>Alert: Preference Shift</v>
      </c>
    </row>
    <row r="268" spans="1:10">
      <c r="A268" s="53">
        <v>49985</v>
      </c>
      <c r="B268" s="14" t="s">
        <v>14</v>
      </c>
      <c r="C268" s="14" t="str">
        <f t="shared" si="18"/>
        <v>November</v>
      </c>
      <c r="D268" s="14" t="str">
        <f>CHOOSE(MATCH(MONTH(A268), {1,4,7,10}), "Winter", "Spring", "Summer", "Autumn")</f>
        <v>Autumn</v>
      </c>
      <c r="E268">
        <f t="shared" si="19"/>
        <v>2036</v>
      </c>
      <c r="F268">
        <v>85</v>
      </c>
      <c r="G268">
        <f t="shared" ca="1" si="16"/>
        <v>100</v>
      </c>
      <c r="H268">
        <f t="shared" ca="1" si="17"/>
        <v>109</v>
      </c>
      <c r="I268" s="81">
        <f ca="1">(Table17[[#This Row],[Current_Month_Sales]]-Table17[[#This Row],[Previous Month Sales]])/Table17[[#This Row],[Previous Month Sales]]</f>
        <v>-8.2568807339449546E-2</v>
      </c>
      <c r="J268" t="str">
        <f ca="1">IF(ABS(Table17[[#This Row],[%Change]]) &gt; 0.3, "Alert: Preference Shift", "")</f>
        <v/>
      </c>
    </row>
    <row r="269" spans="1:10">
      <c r="A269" s="54">
        <v>50015</v>
      </c>
      <c r="B269" s="15" t="s">
        <v>11</v>
      </c>
      <c r="C269" s="14" t="str">
        <f t="shared" si="18"/>
        <v>December</v>
      </c>
      <c r="D269" s="15" t="str">
        <f>CHOOSE(MATCH(MONTH(A269), {1,4,7,10}), "Winter", "Spring", "Summer", "Autumn")</f>
        <v>Autumn</v>
      </c>
      <c r="E269">
        <f t="shared" si="19"/>
        <v>2036</v>
      </c>
      <c r="F269">
        <v>101</v>
      </c>
      <c r="G269">
        <f t="shared" ca="1" si="16"/>
        <v>189</v>
      </c>
      <c r="H269">
        <f t="shared" ca="1" si="17"/>
        <v>118</v>
      </c>
      <c r="I269" s="81">
        <f ca="1">(Table17[[#This Row],[Current_Month_Sales]]-Table17[[#This Row],[Previous Month Sales]])/Table17[[#This Row],[Previous Month Sales]]</f>
        <v>0.60169491525423724</v>
      </c>
      <c r="J269" t="str">
        <f ca="1">IF(ABS(Table17[[#This Row],[%Change]]) &gt; 0.3, "Alert: Preference Shift", "")</f>
        <v>Alert: Preference Shift</v>
      </c>
    </row>
    <row r="270" spans="1:10">
      <c r="A270" s="53">
        <v>50045</v>
      </c>
      <c r="B270" s="14" t="s">
        <v>14</v>
      </c>
      <c r="C270" s="14" t="str">
        <f t="shared" si="18"/>
        <v>January</v>
      </c>
      <c r="D270" s="14" t="str">
        <f>CHOOSE(MATCH(MONTH(A270), {1,4,7,10}), "Winter", "Spring", "Summer", "Autumn")</f>
        <v>Winter</v>
      </c>
      <c r="E270">
        <f t="shared" si="19"/>
        <v>2037</v>
      </c>
      <c r="F270">
        <v>93</v>
      </c>
      <c r="G270">
        <f t="shared" ca="1" si="16"/>
        <v>172</v>
      </c>
      <c r="H270">
        <f t="shared" ca="1" si="17"/>
        <v>129</v>
      </c>
      <c r="I270" s="81">
        <f ca="1">(Table17[[#This Row],[Current_Month_Sales]]-Table17[[#This Row],[Previous Month Sales]])/Table17[[#This Row],[Previous Month Sales]]</f>
        <v>0.33333333333333331</v>
      </c>
      <c r="J270" t="str">
        <f ca="1">IF(ABS(Table17[[#This Row],[%Change]]) &gt; 0.3, "Alert: Preference Shift", "")</f>
        <v>Alert: Preference Shift</v>
      </c>
    </row>
    <row r="271" spans="1:10">
      <c r="A271" s="54">
        <v>50075</v>
      </c>
      <c r="B271" s="15" t="s">
        <v>13</v>
      </c>
      <c r="C271" s="14" t="str">
        <f t="shared" si="18"/>
        <v>February</v>
      </c>
      <c r="D271" s="15" t="str">
        <f>CHOOSE(MATCH(MONTH(A271), {1,4,7,10}), "Winter", "Spring", "Summer", "Autumn")</f>
        <v>Winter</v>
      </c>
      <c r="E271">
        <f t="shared" si="19"/>
        <v>2037</v>
      </c>
      <c r="F271">
        <v>91</v>
      </c>
      <c r="G271">
        <f t="shared" ca="1" si="16"/>
        <v>89</v>
      </c>
      <c r="H271">
        <f t="shared" ca="1" si="17"/>
        <v>129</v>
      </c>
      <c r="I271" s="81">
        <f ca="1">(Table17[[#This Row],[Current_Month_Sales]]-Table17[[#This Row],[Previous Month Sales]])/Table17[[#This Row],[Previous Month Sales]]</f>
        <v>-0.31007751937984496</v>
      </c>
      <c r="J271" t="str">
        <f ca="1">IF(ABS(Table17[[#This Row],[%Change]]) &gt; 0.3, "Alert: Preference Shift", "")</f>
        <v>Alert: Preference Shift</v>
      </c>
    </row>
    <row r="272" spans="1:10">
      <c r="A272" s="53">
        <v>50105</v>
      </c>
      <c r="B272" s="14" t="s">
        <v>14</v>
      </c>
      <c r="C272" s="14" t="str">
        <f t="shared" si="18"/>
        <v>March</v>
      </c>
      <c r="D272" s="14" t="str">
        <f>CHOOSE(MATCH(MONTH(A272), {1,4,7,10}), "Winter", "Spring", "Summer", "Autumn")</f>
        <v>Winter</v>
      </c>
      <c r="E272">
        <f t="shared" si="19"/>
        <v>2037</v>
      </c>
      <c r="F272">
        <v>103</v>
      </c>
      <c r="G272">
        <f t="shared" ca="1" si="16"/>
        <v>130</v>
      </c>
      <c r="H272">
        <f t="shared" ca="1" si="17"/>
        <v>79</v>
      </c>
      <c r="I272" s="81">
        <f ca="1">(Table17[[#This Row],[Current_Month_Sales]]-Table17[[#This Row],[Previous Month Sales]])/Table17[[#This Row],[Previous Month Sales]]</f>
        <v>0.64556962025316456</v>
      </c>
      <c r="J272" t="str">
        <f ca="1">IF(ABS(Table17[[#This Row],[%Change]]) &gt; 0.3, "Alert: Preference Shift", "")</f>
        <v>Alert: Preference Shift</v>
      </c>
    </row>
    <row r="273" spans="1:10">
      <c r="A273" s="54">
        <v>50135</v>
      </c>
      <c r="B273" s="15" t="s">
        <v>12</v>
      </c>
      <c r="C273" s="14" t="str">
        <f t="shared" si="18"/>
        <v>April</v>
      </c>
      <c r="D273" s="15" t="str">
        <f>CHOOSE(MATCH(MONTH(A273), {1,4,7,10}), "Winter", "Spring", "Summer", "Autumn")</f>
        <v>Spring</v>
      </c>
      <c r="E273">
        <f t="shared" si="19"/>
        <v>2037</v>
      </c>
      <c r="F273">
        <v>109</v>
      </c>
      <c r="G273">
        <f t="shared" ca="1" si="16"/>
        <v>150</v>
      </c>
      <c r="H273">
        <f t="shared" ca="1" si="17"/>
        <v>105</v>
      </c>
      <c r="I273" s="81">
        <f ca="1">(Table17[[#This Row],[Current_Month_Sales]]-Table17[[#This Row],[Previous Month Sales]])/Table17[[#This Row],[Previous Month Sales]]</f>
        <v>0.42857142857142855</v>
      </c>
      <c r="J273" t="str">
        <f ca="1">IF(ABS(Table17[[#This Row],[%Change]]) &gt; 0.3, "Alert: Preference Shift", "")</f>
        <v>Alert: Preference Shift</v>
      </c>
    </row>
    <row r="274" spans="1:10">
      <c r="A274" s="53">
        <v>50165</v>
      </c>
      <c r="B274" s="14" t="s">
        <v>12</v>
      </c>
      <c r="C274" s="14" t="str">
        <f t="shared" si="18"/>
        <v>May</v>
      </c>
      <c r="D274" s="14" t="str">
        <f>CHOOSE(MATCH(MONTH(A274), {1,4,7,10}), "Winter", "Spring", "Summer", "Autumn")</f>
        <v>Spring</v>
      </c>
      <c r="E274">
        <f t="shared" si="19"/>
        <v>2037</v>
      </c>
      <c r="F274">
        <v>83</v>
      </c>
      <c r="G274">
        <f t="shared" ca="1" si="16"/>
        <v>65</v>
      </c>
      <c r="H274">
        <f t="shared" ca="1" si="17"/>
        <v>129</v>
      </c>
      <c r="I274" s="81">
        <f ca="1">(Table17[[#This Row],[Current_Month_Sales]]-Table17[[#This Row],[Previous Month Sales]])/Table17[[#This Row],[Previous Month Sales]]</f>
        <v>-0.49612403100775193</v>
      </c>
      <c r="J274" t="str">
        <f ca="1">IF(ABS(Table17[[#This Row],[%Change]]) &gt; 0.3, "Alert: Preference Shift", "")</f>
        <v>Alert: Preference Shift</v>
      </c>
    </row>
    <row r="275" spans="1:10">
      <c r="A275" s="54">
        <v>50195</v>
      </c>
      <c r="B275" s="15" t="s">
        <v>11</v>
      </c>
      <c r="C275" s="14" t="str">
        <f t="shared" si="18"/>
        <v>June</v>
      </c>
      <c r="D275" s="15" t="str">
        <f>CHOOSE(MATCH(MONTH(A275), {1,4,7,10}), "Winter", "Spring", "Summer", "Autumn")</f>
        <v>Spring</v>
      </c>
      <c r="E275">
        <f t="shared" si="19"/>
        <v>2037</v>
      </c>
      <c r="F275">
        <v>102</v>
      </c>
      <c r="G275">
        <f t="shared" ca="1" si="16"/>
        <v>189</v>
      </c>
      <c r="H275">
        <f t="shared" ca="1" si="17"/>
        <v>129</v>
      </c>
      <c r="I275" s="81">
        <f ca="1">(Table17[[#This Row],[Current_Month_Sales]]-Table17[[#This Row],[Previous Month Sales]])/Table17[[#This Row],[Previous Month Sales]]</f>
        <v>0.46511627906976744</v>
      </c>
      <c r="J275" t="str">
        <f ca="1">IF(ABS(Table17[[#This Row],[%Change]]) &gt; 0.3, "Alert: Preference Shift", "")</f>
        <v>Alert: Preference Shift</v>
      </c>
    </row>
    <row r="276" spans="1:10">
      <c r="A276" s="53">
        <v>50225</v>
      </c>
      <c r="B276" s="14" t="s">
        <v>12</v>
      </c>
      <c r="C276" s="14" t="str">
        <f t="shared" si="18"/>
        <v>July</v>
      </c>
      <c r="D276" s="14" t="str">
        <f>CHOOSE(MATCH(MONTH(A276), {1,4,7,10}), "Winter", "Spring", "Summer", "Autumn")</f>
        <v>Summer</v>
      </c>
      <c r="E276">
        <f t="shared" si="19"/>
        <v>2037</v>
      </c>
      <c r="F276">
        <v>98</v>
      </c>
      <c r="G276">
        <f t="shared" ca="1" si="16"/>
        <v>172</v>
      </c>
      <c r="H276">
        <f t="shared" ca="1" si="17"/>
        <v>79</v>
      </c>
      <c r="I276" s="81">
        <f ca="1">(Table17[[#This Row],[Current_Month_Sales]]-Table17[[#This Row],[Previous Month Sales]])/Table17[[#This Row],[Previous Month Sales]]</f>
        <v>1.1772151898734178</v>
      </c>
      <c r="J276" t="str">
        <f ca="1">IF(ABS(Table17[[#This Row],[%Change]]) &gt; 0.3, "Alert: Preference Shift", "")</f>
        <v>Alert: Preference Shift</v>
      </c>
    </row>
    <row r="277" spans="1:10">
      <c r="A277" s="54">
        <v>50255</v>
      </c>
      <c r="B277" s="15" t="s">
        <v>10</v>
      </c>
      <c r="C277" s="14" t="str">
        <f t="shared" si="18"/>
        <v>August</v>
      </c>
      <c r="D277" s="15" t="str">
        <f>CHOOSE(MATCH(MONTH(A277), {1,4,7,10}), "Winter", "Spring", "Summer", "Autumn")</f>
        <v>Summer</v>
      </c>
      <c r="E277">
        <f t="shared" si="19"/>
        <v>2037</v>
      </c>
      <c r="F277">
        <v>93</v>
      </c>
      <c r="G277">
        <f t="shared" ca="1" si="16"/>
        <v>78</v>
      </c>
      <c r="H277">
        <f t="shared" ca="1" si="17"/>
        <v>117</v>
      </c>
      <c r="I277" s="81">
        <f ca="1">(Table17[[#This Row],[Current_Month_Sales]]-Table17[[#This Row],[Previous Month Sales]])/Table17[[#This Row],[Previous Month Sales]]</f>
        <v>-0.33333333333333331</v>
      </c>
      <c r="J277" t="str">
        <f ca="1">IF(ABS(Table17[[#This Row],[%Change]]) &gt; 0.3, "Alert: Preference Shift", "")</f>
        <v>Alert: Preference Shift</v>
      </c>
    </row>
    <row r="278" spans="1:10">
      <c r="A278" s="53">
        <v>50285</v>
      </c>
      <c r="B278" s="14" t="s">
        <v>13</v>
      </c>
      <c r="C278" s="14" t="str">
        <f t="shared" si="18"/>
        <v>September</v>
      </c>
      <c r="D278" s="14" t="str">
        <f>CHOOSE(MATCH(MONTH(A278), {1,4,7,10}), "Winter", "Spring", "Summer", "Autumn")</f>
        <v>Summer</v>
      </c>
      <c r="E278">
        <f t="shared" si="19"/>
        <v>2037</v>
      </c>
      <c r="F278">
        <v>104</v>
      </c>
      <c r="G278">
        <f t="shared" ca="1" si="16"/>
        <v>133</v>
      </c>
      <c r="H278">
        <f t="shared" ca="1" si="17"/>
        <v>79</v>
      </c>
      <c r="I278" s="81">
        <f ca="1">(Table17[[#This Row],[Current_Month_Sales]]-Table17[[#This Row],[Previous Month Sales]])/Table17[[#This Row],[Previous Month Sales]]</f>
        <v>0.68354430379746833</v>
      </c>
      <c r="J278" t="str">
        <f ca="1">IF(ABS(Table17[[#This Row],[%Change]]) &gt; 0.3, "Alert: Preference Shift", "")</f>
        <v>Alert: Preference Shift</v>
      </c>
    </row>
    <row r="279" spans="1:10">
      <c r="A279" s="54">
        <v>50315</v>
      </c>
      <c r="B279" s="15" t="s">
        <v>13</v>
      </c>
      <c r="C279" s="14" t="str">
        <f t="shared" si="18"/>
        <v>October</v>
      </c>
      <c r="D279" s="15" t="str">
        <f>CHOOSE(MATCH(MONTH(A279), {1,4,7,10}), "Winter", "Spring", "Summer", "Autumn")</f>
        <v>Autumn</v>
      </c>
      <c r="E279">
        <f t="shared" si="19"/>
        <v>2037</v>
      </c>
      <c r="F279">
        <v>96</v>
      </c>
      <c r="G279">
        <f t="shared" ca="1" si="16"/>
        <v>89</v>
      </c>
      <c r="H279">
        <f t="shared" ca="1" si="17"/>
        <v>129</v>
      </c>
      <c r="I279" s="81">
        <f ca="1">(Table17[[#This Row],[Current_Month_Sales]]-Table17[[#This Row],[Previous Month Sales]])/Table17[[#This Row],[Previous Month Sales]]</f>
        <v>-0.31007751937984496</v>
      </c>
      <c r="J279" t="str">
        <f ca="1">IF(ABS(Table17[[#This Row],[%Change]]) &gt; 0.3, "Alert: Preference Shift", "")</f>
        <v>Alert: Preference Shift</v>
      </c>
    </row>
    <row r="280" spans="1:10">
      <c r="A280" s="53">
        <v>50345</v>
      </c>
      <c r="B280" s="14" t="s">
        <v>10</v>
      </c>
      <c r="C280" s="14" t="str">
        <f t="shared" si="18"/>
        <v>November</v>
      </c>
      <c r="D280" s="14" t="str">
        <f>CHOOSE(MATCH(MONTH(A280), {1,4,7,10}), "Winter", "Spring", "Summer", "Autumn")</f>
        <v>Autumn</v>
      </c>
      <c r="E280">
        <f t="shared" si="19"/>
        <v>2037</v>
      </c>
      <c r="F280">
        <v>103</v>
      </c>
      <c r="G280">
        <f t="shared" ca="1" si="16"/>
        <v>157</v>
      </c>
      <c r="H280">
        <f t="shared" ca="1" si="17"/>
        <v>117</v>
      </c>
      <c r="I280" s="81">
        <f ca="1">(Table17[[#This Row],[Current_Month_Sales]]-Table17[[#This Row],[Previous Month Sales]])/Table17[[#This Row],[Previous Month Sales]]</f>
        <v>0.34188034188034189</v>
      </c>
      <c r="J280" t="str">
        <f ca="1">IF(ABS(Table17[[#This Row],[%Change]]) &gt; 0.3, "Alert: Preference Shift", "")</f>
        <v>Alert: Preference Shift</v>
      </c>
    </row>
    <row r="281" spans="1:10">
      <c r="A281" s="54">
        <v>50375</v>
      </c>
      <c r="B281" s="15" t="s">
        <v>11</v>
      </c>
      <c r="C281" s="14" t="str">
        <f t="shared" si="18"/>
        <v>December</v>
      </c>
      <c r="D281" s="15" t="str">
        <f>CHOOSE(MATCH(MONTH(A281), {1,4,7,10}), "Winter", "Spring", "Summer", "Autumn")</f>
        <v>Autumn</v>
      </c>
      <c r="E281">
        <f t="shared" si="19"/>
        <v>2037</v>
      </c>
      <c r="F281">
        <v>85</v>
      </c>
      <c r="G281">
        <f t="shared" ca="1" si="16"/>
        <v>78</v>
      </c>
      <c r="H281">
        <f t="shared" ca="1" si="17"/>
        <v>79</v>
      </c>
      <c r="I281" s="81">
        <f ca="1">(Table17[[#This Row],[Current_Month_Sales]]-Table17[[#This Row],[Previous Month Sales]])/Table17[[#This Row],[Previous Month Sales]]</f>
        <v>-1.2658227848101266E-2</v>
      </c>
      <c r="J281" t="str">
        <f ca="1">IF(ABS(Table17[[#This Row],[%Change]]) &gt; 0.3, "Alert: Preference Shift", "")</f>
        <v/>
      </c>
    </row>
    <row r="282" spans="1:10">
      <c r="A282" s="53">
        <v>50405</v>
      </c>
      <c r="B282" s="14" t="s">
        <v>10</v>
      </c>
      <c r="C282" s="14" t="str">
        <f t="shared" si="18"/>
        <v>December</v>
      </c>
      <c r="D282" s="14" t="str">
        <f>CHOOSE(MATCH(MONTH(A282), {1,4,7,10}), "Winter", "Spring", "Summer", "Autumn")</f>
        <v>Autumn</v>
      </c>
      <c r="E282">
        <f t="shared" si="19"/>
        <v>2037</v>
      </c>
      <c r="F282">
        <v>92</v>
      </c>
      <c r="G282">
        <f t="shared" ca="1" si="16"/>
        <v>130</v>
      </c>
      <c r="H282">
        <f t="shared" ca="1" si="17"/>
        <v>79</v>
      </c>
      <c r="I282" s="81">
        <f ca="1">(Table17[[#This Row],[Current_Month_Sales]]-Table17[[#This Row],[Previous Month Sales]])/Table17[[#This Row],[Previous Month Sales]]</f>
        <v>0.64556962025316456</v>
      </c>
      <c r="J282" t="str">
        <f ca="1">IF(ABS(Table17[[#This Row],[%Change]]) &gt; 0.3, "Alert: Preference Shift", "")</f>
        <v>Alert: Preference Shift</v>
      </c>
    </row>
    <row r="283" spans="1:10">
      <c r="A283" s="54">
        <v>50435</v>
      </c>
      <c r="B283" s="15" t="s">
        <v>10</v>
      </c>
      <c r="C283" s="14" t="str">
        <f t="shared" si="18"/>
        <v>January</v>
      </c>
      <c r="D283" s="15" t="str">
        <f>CHOOSE(MATCH(MONTH(A283), {1,4,7,10}), "Winter", "Spring", "Summer", "Autumn")</f>
        <v>Winter</v>
      </c>
      <c r="E283">
        <f t="shared" si="19"/>
        <v>2038</v>
      </c>
      <c r="F283">
        <v>90</v>
      </c>
      <c r="G283">
        <f t="shared" ca="1" si="16"/>
        <v>133</v>
      </c>
      <c r="H283">
        <f t="shared" ca="1" si="17"/>
        <v>79</v>
      </c>
      <c r="I283" s="81">
        <f ca="1">(Table17[[#This Row],[Current_Month_Sales]]-Table17[[#This Row],[Previous Month Sales]])/Table17[[#This Row],[Previous Month Sales]]</f>
        <v>0.68354430379746833</v>
      </c>
      <c r="J283" t="str">
        <f ca="1">IF(ABS(Table17[[#This Row],[%Change]]) &gt; 0.3, "Alert: Preference Shift", "")</f>
        <v>Alert: Preference Shift</v>
      </c>
    </row>
    <row r="284" spans="1:10">
      <c r="A284" s="53">
        <v>50465</v>
      </c>
      <c r="B284" s="14" t="s">
        <v>13</v>
      </c>
      <c r="C284" s="14" t="str">
        <f t="shared" si="18"/>
        <v>March</v>
      </c>
      <c r="D284" s="14" t="str">
        <f>CHOOSE(MATCH(MONTH(A284), {1,4,7,10}), "Winter", "Spring", "Summer", "Autumn")</f>
        <v>Winter</v>
      </c>
      <c r="E284">
        <f t="shared" si="19"/>
        <v>2038</v>
      </c>
      <c r="F284">
        <v>83</v>
      </c>
      <c r="G284">
        <f t="shared" ca="1" si="16"/>
        <v>97</v>
      </c>
      <c r="H284">
        <f t="shared" ca="1" si="17"/>
        <v>63</v>
      </c>
      <c r="I284" s="81">
        <f ca="1">(Table17[[#This Row],[Current_Month_Sales]]-Table17[[#This Row],[Previous Month Sales]])/Table17[[#This Row],[Previous Month Sales]]</f>
        <v>0.53968253968253965</v>
      </c>
      <c r="J284" t="str">
        <f ca="1">IF(ABS(Table17[[#This Row],[%Change]]) &gt; 0.3, "Alert: Preference Shift", "")</f>
        <v>Alert: Preference Shift</v>
      </c>
    </row>
    <row r="285" spans="1:10">
      <c r="A285" s="54">
        <v>50495</v>
      </c>
      <c r="B285" s="15" t="s">
        <v>14</v>
      </c>
      <c r="C285" s="14" t="str">
        <f t="shared" si="18"/>
        <v>March</v>
      </c>
      <c r="D285" s="15" t="str">
        <f>CHOOSE(MATCH(MONTH(A285), {1,4,7,10}), "Winter", "Spring", "Summer", "Autumn")</f>
        <v>Winter</v>
      </c>
      <c r="E285">
        <f t="shared" si="19"/>
        <v>2038</v>
      </c>
      <c r="F285">
        <v>86</v>
      </c>
      <c r="G285">
        <f t="shared" ca="1" si="16"/>
        <v>97</v>
      </c>
      <c r="H285">
        <f t="shared" ca="1" si="17"/>
        <v>109</v>
      </c>
      <c r="I285" s="81">
        <f ca="1">(Table17[[#This Row],[Current_Month_Sales]]-Table17[[#This Row],[Previous Month Sales]])/Table17[[#This Row],[Previous Month Sales]]</f>
        <v>-0.11009174311926606</v>
      </c>
      <c r="J285" t="str">
        <f ca="1">IF(ABS(Table17[[#This Row],[%Change]]) &gt; 0.3, "Alert: Preference Shift", "")</f>
        <v/>
      </c>
    </row>
    <row r="286" spans="1:10">
      <c r="A286" s="53">
        <v>50525</v>
      </c>
      <c r="B286" s="14" t="s">
        <v>13</v>
      </c>
      <c r="C286" s="14" t="str">
        <f t="shared" si="18"/>
        <v>April</v>
      </c>
      <c r="D286" s="14" t="str">
        <f>CHOOSE(MATCH(MONTH(A286), {1,4,7,10}), "Winter", "Spring", "Summer", "Autumn")</f>
        <v>Spring</v>
      </c>
      <c r="E286">
        <f t="shared" si="19"/>
        <v>2038</v>
      </c>
      <c r="F286">
        <v>110</v>
      </c>
      <c r="G286">
        <f t="shared" ca="1" si="16"/>
        <v>150</v>
      </c>
      <c r="H286">
        <f t="shared" ca="1" si="17"/>
        <v>118</v>
      </c>
      <c r="I286" s="81">
        <f ca="1">(Table17[[#This Row],[Current_Month_Sales]]-Table17[[#This Row],[Previous Month Sales]])/Table17[[#This Row],[Previous Month Sales]]</f>
        <v>0.2711864406779661</v>
      </c>
      <c r="J286" t="str">
        <f ca="1">IF(ABS(Table17[[#This Row],[%Change]]) &gt; 0.3, "Alert: Preference Shift", "")</f>
        <v/>
      </c>
    </row>
    <row r="287" spans="1:10">
      <c r="A287" s="54">
        <v>50555</v>
      </c>
      <c r="B287" s="15" t="s">
        <v>13</v>
      </c>
      <c r="C287" s="14" t="str">
        <f t="shared" si="18"/>
        <v>May</v>
      </c>
      <c r="D287" s="15" t="str">
        <f>CHOOSE(MATCH(MONTH(A287), {1,4,7,10}), "Winter", "Spring", "Summer", "Autumn")</f>
        <v>Spring</v>
      </c>
      <c r="E287">
        <f t="shared" si="19"/>
        <v>2038</v>
      </c>
      <c r="F287">
        <v>89</v>
      </c>
      <c r="G287">
        <f t="shared" ca="1" si="16"/>
        <v>133</v>
      </c>
      <c r="H287">
        <f t="shared" ca="1" si="17"/>
        <v>63</v>
      </c>
      <c r="I287" s="81">
        <f ca="1">(Table17[[#This Row],[Current_Month_Sales]]-Table17[[#This Row],[Previous Month Sales]])/Table17[[#This Row],[Previous Month Sales]]</f>
        <v>1.1111111111111112</v>
      </c>
      <c r="J287" t="str">
        <f ca="1">IF(ABS(Table17[[#This Row],[%Change]]) &gt; 0.3, "Alert: Preference Shift", "")</f>
        <v>Alert: Preference Shift</v>
      </c>
    </row>
    <row r="288" spans="1:10">
      <c r="A288" s="53">
        <v>50585</v>
      </c>
      <c r="B288" s="14" t="s">
        <v>12</v>
      </c>
      <c r="C288" s="14" t="str">
        <f t="shared" si="18"/>
        <v>June</v>
      </c>
      <c r="D288" s="14" t="str">
        <f>CHOOSE(MATCH(MONTH(A288), {1,4,7,10}), "Winter", "Spring", "Summer", "Autumn")</f>
        <v>Spring</v>
      </c>
      <c r="E288">
        <f t="shared" si="19"/>
        <v>2038</v>
      </c>
      <c r="F288">
        <v>118</v>
      </c>
      <c r="G288">
        <f t="shared" ca="1" si="16"/>
        <v>100</v>
      </c>
      <c r="H288">
        <f t="shared" ca="1" si="17"/>
        <v>118</v>
      </c>
      <c r="I288" s="81">
        <f ca="1">(Table17[[#This Row],[Current_Month_Sales]]-Table17[[#This Row],[Previous Month Sales]])/Table17[[#This Row],[Previous Month Sales]]</f>
        <v>-0.15254237288135594</v>
      </c>
      <c r="J288" t="str">
        <f ca="1">IF(ABS(Table17[[#This Row],[%Change]]) &gt; 0.3, "Alert: Preference Shift", "")</f>
        <v/>
      </c>
    </row>
    <row r="289" spans="1:10">
      <c r="A289" s="54">
        <v>50615</v>
      </c>
      <c r="B289" s="15" t="s">
        <v>10</v>
      </c>
      <c r="C289" s="14" t="str">
        <f t="shared" si="18"/>
        <v>July</v>
      </c>
      <c r="D289" s="15" t="str">
        <f>CHOOSE(MATCH(MONTH(A289), {1,4,7,10}), "Winter", "Spring", "Summer", "Autumn")</f>
        <v>Summer</v>
      </c>
      <c r="E289">
        <f t="shared" si="19"/>
        <v>2038</v>
      </c>
      <c r="F289">
        <v>102</v>
      </c>
      <c r="G289">
        <f t="shared" ca="1" si="16"/>
        <v>172</v>
      </c>
      <c r="H289">
        <f t="shared" ca="1" si="17"/>
        <v>129</v>
      </c>
      <c r="I289" s="81">
        <f ca="1">(Table17[[#This Row],[Current_Month_Sales]]-Table17[[#This Row],[Previous Month Sales]])/Table17[[#This Row],[Previous Month Sales]]</f>
        <v>0.33333333333333331</v>
      </c>
      <c r="J289" t="str">
        <f ca="1">IF(ABS(Table17[[#This Row],[%Change]]) &gt; 0.3, "Alert: Preference Shift", "")</f>
        <v>Alert: Preference Shift</v>
      </c>
    </row>
    <row r="290" spans="1:10">
      <c r="A290" s="53">
        <v>50645</v>
      </c>
      <c r="B290" s="14" t="s">
        <v>13</v>
      </c>
      <c r="C290" s="14" t="str">
        <f t="shared" si="18"/>
        <v>August</v>
      </c>
      <c r="D290" s="14" t="str">
        <f>CHOOSE(MATCH(MONTH(A290), {1,4,7,10}), "Winter", "Spring", "Summer", "Autumn")</f>
        <v>Summer</v>
      </c>
      <c r="E290">
        <f t="shared" si="19"/>
        <v>2038</v>
      </c>
      <c r="F290">
        <v>108</v>
      </c>
      <c r="G290">
        <f t="shared" ca="1" si="16"/>
        <v>100</v>
      </c>
      <c r="H290">
        <f t="shared" ca="1" si="17"/>
        <v>105</v>
      </c>
      <c r="I290" s="81">
        <f ca="1">(Table17[[#This Row],[Current_Month_Sales]]-Table17[[#This Row],[Previous Month Sales]])/Table17[[#This Row],[Previous Month Sales]]</f>
        <v>-4.7619047619047616E-2</v>
      </c>
      <c r="J290" t="str">
        <f ca="1">IF(ABS(Table17[[#This Row],[%Change]]) &gt; 0.3, "Alert: Preference Shift", "")</f>
        <v/>
      </c>
    </row>
    <row r="291" spans="1:10">
      <c r="A291" s="54">
        <v>50675</v>
      </c>
      <c r="B291" s="15" t="s">
        <v>10</v>
      </c>
      <c r="C291" s="14" t="str">
        <f t="shared" si="18"/>
        <v>September</v>
      </c>
      <c r="D291" s="15" t="str">
        <f>CHOOSE(MATCH(MONTH(A291), {1,4,7,10}), "Winter", "Spring", "Summer", "Autumn")</f>
        <v>Summer</v>
      </c>
      <c r="E291">
        <f t="shared" si="19"/>
        <v>2038</v>
      </c>
      <c r="F291">
        <v>95</v>
      </c>
      <c r="G291">
        <f t="shared" ca="1" si="16"/>
        <v>189</v>
      </c>
      <c r="H291">
        <f t="shared" ca="1" si="17"/>
        <v>118</v>
      </c>
      <c r="I291" s="81">
        <f ca="1">(Table17[[#This Row],[Current_Month_Sales]]-Table17[[#This Row],[Previous Month Sales]])/Table17[[#This Row],[Previous Month Sales]]</f>
        <v>0.60169491525423724</v>
      </c>
      <c r="J291" t="str">
        <f ca="1">IF(ABS(Table17[[#This Row],[%Change]]) &gt; 0.3, "Alert: Preference Shift", "")</f>
        <v>Alert: Preference Shift</v>
      </c>
    </row>
    <row r="292" spans="1:10">
      <c r="A292" s="53">
        <v>50705</v>
      </c>
      <c r="B292" s="14" t="s">
        <v>12</v>
      </c>
      <c r="C292" s="14" t="str">
        <f t="shared" si="18"/>
        <v>October</v>
      </c>
      <c r="D292" s="14" t="str">
        <f>CHOOSE(MATCH(MONTH(A292), {1,4,7,10}), "Winter", "Spring", "Summer", "Autumn")</f>
        <v>Autumn</v>
      </c>
      <c r="E292">
        <f t="shared" si="19"/>
        <v>2038</v>
      </c>
      <c r="F292">
        <v>100</v>
      </c>
      <c r="G292">
        <f t="shared" ca="1" si="16"/>
        <v>133</v>
      </c>
      <c r="H292">
        <f t="shared" ca="1" si="17"/>
        <v>63</v>
      </c>
      <c r="I292" s="81">
        <f ca="1">(Table17[[#This Row],[Current_Month_Sales]]-Table17[[#This Row],[Previous Month Sales]])/Table17[[#This Row],[Previous Month Sales]]</f>
        <v>1.1111111111111112</v>
      </c>
      <c r="J292" t="str">
        <f ca="1">IF(ABS(Table17[[#This Row],[%Change]]) &gt; 0.3, "Alert: Preference Shift", "")</f>
        <v>Alert: Preference Shift</v>
      </c>
    </row>
    <row r="293" spans="1:10">
      <c r="A293" s="54">
        <v>50735</v>
      </c>
      <c r="B293" s="15" t="s">
        <v>10</v>
      </c>
      <c r="C293" s="14" t="str">
        <f t="shared" si="18"/>
        <v>November</v>
      </c>
      <c r="D293" s="15" t="str">
        <f>CHOOSE(MATCH(MONTH(A293), {1,4,7,10}), "Winter", "Spring", "Summer", "Autumn")</f>
        <v>Autumn</v>
      </c>
      <c r="E293">
        <f t="shared" si="19"/>
        <v>2038</v>
      </c>
      <c r="F293">
        <v>86</v>
      </c>
      <c r="G293">
        <f t="shared" ca="1" si="16"/>
        <v>121</v>
      </c>
      <c r="H293">
        <f t="shared" ca="1" si="17"/>
        <v>129</v>
      </c>
      <c r="I293" s="81">
        <f ca="1">(Table17[[#This Row],[Current_Month_Sales]]-Table17[[#This Row],[Previous Month Sales]])/Table17[[#This Row],[Previous Month Sales]]</f>
        <v>-6.2015503875968991E-2</v>
      </c>
      <c r="J293" t="str">
        <f ca="1">IF(ABS(Table17[[#This Row],[%Change]]) &gt; 0.3, "Alert: Preference Shift", "")</f>
        <v/>
      </c>
    </row>
    <row r="294" spans="1:10">
      <c r="A294" s="53">
        <v>50765</v>
      </c>
      <c r="B294" s="14" t="s">
        <v>13</v>
      </c>
      <c r="C294" s="14" t="str">
        <f t="shared" si="18"/>
        <v>December</v>
      </c>
      <c r="D294" s="14" t="str">
        <f>CHOOSE(MATCH(MONTH(A294), {1,4,7,10}), "Winter", "Spring", "Summer", "Autumn")</f>
        <v>Autumn</v>
      </c>
      <c r="E294">
        <f t="shared" si="19"/>
        <v>2038</v>
      </c>
      <c r="F294">
        <v>94</v>
      </c>
      <c r="G294">
        <f t="shared" ca="1" si="16"/>
        <v>130</v>
      </c>
      <c r="H294">
        <f t="shared" ca="1" si="17"/>
        <v>105</v>
      </c>
      <c r="I294" s="81">
        <f ca="1">(Table17[[#This Row],[Current_Month_Sales]]-Table17[[#This Row],[Previous Month Sales]])/Table17[[#This Row],[Previous Month Sales]]</f>
        <v>0.23809523809523808</v>
      </c>
      <c r="J294" t="str">
        <f ca="1">IF(ABS(Table17[[#This Row],[%Change]]) &gt; 0.3, "Alert: Preference Shift", "")</f>
        <v/>
      </c>
    </row>
    <row r="295" spans="1:10">
      <c r="A295" s="54">
        <v>50795</v>
      </c>
      <c r="B295" s="15" t="s">
        <v>10</v>
      </c>
      <c r="C295" s="14" t="str">
        <f t="shared" si="18"/>
        <v>January</v>
      </c>
      <c r="D295" s="15" t="str">
        <f>CHOOSE(MATCH(MONTH(A295), {1,4,7,10}), "Winter", "Spring", "Summer", "Autumn")</f>
        <v>Winter</v>
      </c>
      <c r="E295">
        <f t="shared" si="19"/>
        <v>2039</v>
      </c>
      <c r="F295">
        <v>88</v>
      </c>
      <c r="G295">
        <f t="shared" ca="1" si="16"/>
        <v>157</v>
      </c>
      <c r="H295">
        <f t="shared" ca="1" si="17"/>
        <v>129</v>
      </c>
      <c r="I295" s="81">
        <f ca="1">(Table17[[#This Row],[Current_Month_Sales]]-Table17[[#This Row],[Previous Month Sales]])/Table17[[#This Row],[Previous Month Sales]]</f>
        <v>0.21705426356589147</v>
      </c>
      <c r="J295" t="str">
        <f ca="1">IF(ABS(Table17[[#This Row],[%Change]]) &gt; 0.3, "Alert: Preference Shift", "")</f>
        <v/>
      </c>
    </row>
    <row r="296" spans="1:10">
      <c r="A296" s="53">
        <v>50825</v>
      </c>
      <c r="B296" s="14" t="s">
        <v>12</v>
      </c>
      <c r="C296" s="14" t="str">
        <f t="shared" si="18"/>
        <v>February</v>
      </c>
      <c r="D296" s="14" t="str">
        <f>CHOOSE(MATCH(MONTH(A296), {1,4,7,10}), "Winter", "Spring", "Summer", "Autumn")</f>
        <v>Winter</v>
      </c>
      <c r="E296">
        <f t="shared" si="19"/>
        <v>2039</v>
      </c>
      <c r="F296">
        <v>100</v>
      </c>
      <c r="G296">
        <f t="shared" ca="1" si="16"/>
        <v>172</v>
      </c>
      <c r="H296">
        <f t="shared" ca="1" si="17"/>
        <v>129</v>
      </c>
      <c r="I296" s="81">
        <f ca="1">(Table17[[#This Row],[Current_Month_Sales]]-Table17[[#This Row],[Previous Month Sales]])/Table17[[#This Row],[Previous Month Sales]]</f>
        <v>0.33333333333333331</v>
      </c>
      <c r="J296" t="str">
        <f ca="1">IF(ABS(Table17[[#This Row],[%Change]]) &gt; 0.3, "Alert: Preference Shift", "")</f>
        <v>Alert: Preference Shift</v>
      </c>
    </row>
    <row r="297" spans="1:10">
      <c r="A297" s="54">
        <v>50855</v>
      </c>
      <c r="B297" s="15" t="s">
        <v>14</v>
      </c>
      <c r="C297" s="14" t="str">
        <f t="shared" si="18"/>
        <v>March</v>
      </c>
      <c r="D297" s="15" t="str">
        <f>CHOOSE(MATCH(MONTH(A297), {1,4,7,10}), "Winter", "Spring", "Summer", "Autumn")</f>
        <v>Winter</v>
      </c>
      <c r="E297">
        <f t="shared" si="19"/>
        <v>2039</v>
      </c>
      <c r="F297">
        <v>95</v>
      </c>
      <c r="G297">
        <f t="shared" ca="1" si="16"/>
        <v>121</v>
      </c>
      <c r="H297">
        <f t="shared" ca="1" si="17"/>
        <v>105</v>
      </c>
      <c r="I297" s="81">
        <f ca="1">(Table17[[#This Row],[Current_Month_Sales]]-Table17[[#This Row],[Previous Month Sales]])/Table17[[#This Row],[Previous Month Sales]]</f>
        <v>0.15238095238095239</v>
      </c>
      <c r="J297" t="str">
        <f ca="1">IF(ABS(Table17[[#This Row],[%Change]]) &gt; 0.3, "Alert: Preference Shift", "")</f>
        <v/>
      </c>
    </row>
    <row r="298" spans="1:10">
      <c r="A298" s="53">
        <v>50885</v>
      </c>
      <c r="B298" s="14" t="s">
        <v>10</v>
      </c>
      <c r="C298" s="14" t="str">
        <f t="shared" si="18"/>
        <v>April</v>
      </c>
      <c r="D298" s="14" t="str">
        <f>CHOOSE(MATCH(MONTH(A298), {1,4,7,10}), "Winter", "Spring", "Summer", "Autumn")</f>
        <v>Spring</v>
      </c>
      <c r="E298">
        <f t="shared" si="19"/>
        <v>2039</v>
      </c>
      <c r="F298">
        <v>95</v>
      </c>
      <c r="G298">
        <f t="shared" ca="1" si="16"/>
        <v>130</v>
      </c>
      <c r="H298">
        <f t="shared" ca="1" si="17"/>
        <v>79</v>
      </c>
      <c r="I298" s="81">
        <f ca="1">(Table17[[#This Row],[Current_Month_Sales]]-Table17[[#This Row],[Previous Month Sales]])/Table17[[#This Row],[Previous Month Sales]]</f>
        <v>0.64556962025316456</v>
      </c>
      <c r="J298" t="str">
        <f ca="1">IF(ABS(Table17[[#This Row],[%Change]]) &gt; 0.3, "Alert: Preference Shift", "")</f>
        <v>Alert: Preference Shift</v>
      </c>
    </row>
    <row r="299" spans="1:10">
      <c r="A299" s="54">
        <v>50915</v>
      </c>
      <c r="B299" s="15" t="s">
        <v>13</v>
      </c>
      <c r="C299" s="14" t="str">
        <f t="shared" si="18"/>
        <v>May</v>
      </c>
      <c r="D299" s="15" t="str">
        <f>CHOOSE(MATCH(MONTH(A299), {1,4,7,10}), "Winter", "Spring", "Summer", "Autumn")</f>
        <v>Spring</v>
      </c>
      <c r="E299">
        <f t="shared" si="19"/>
        <v>2039</v>
      </c>
      <c r="F299">
        <v>92</v>
      </c>
      <c r="G299">
        <f t="shared" ca="1" si="16"/>
        <v>78</v>
      </c>
      <c r="H299">
        <f t="shared" ca="1" si="17"/>
        <v>118</v>
      </c>
      <c r="I299" s="81">
        <f ca="1">(Table17[[#This Row],[Current_Month_Sales]]-Table17[[#This Row],[Previous Month Sales]])/Table17[[#This Row],[Previous Month Sales]]</f>
        <v>-0.33898305084745761</v>
      </c>
      <c r="J299" t="str">
        <f ca="1">IF(ABS(Table17[[#This Row],[%Change]]) &gt; 0.3, "Alert: Preference Shift", "")</f>
        <v>Alert: Preference Shift</v>
      </c>
    </row>
    <row r="300" spans="1:10">
      <c r="A300" s="53">
        <v>50945</v>
      </c>
      <c r="B300" s="14" t="s">
        <v>12</v>
      </c>
      <c r="C300" s="14" t="str">
        <f t="shared" si="18"/>
        <v>June</v>
      </c>
      <c r="D300" s="14" t="str">
        <f>CHOOSE(MATCH(MONTH(A300), {1,4,7,10}), "Winter", "Spring", "Summer", "Autumn")</f>
        <v>Spring</v>
      </c>
      <c r="E300">
        <f t="shared" si="19"/>
        <v>2039</v>
      </c>
      <c r="F300">
        <v>108</v>
      </c>
      <c r="G300">
        <f t="shared" ca="1" si="16"/>
        <v>157</v>
      </c>
      <c r="H300">
        <f t="shared" ca="1" si="17"/>
        <v>105</v>
      </c>
      <c r="I300" s="81">
        <f ca="1">(Table17[[#This Row],[Current_Month_Sales]]-Table17[[#This Row],[Previous Month Sales]])/Table17[[#This Row],[Previous Month Sales]]</f>
        <v>0.49523809523809526</v>
      </c>
      <c r="J300" t="str">
        <f ca="1">IF(ABS(Table17[[#This Row],[%Change]]) &gt; 0.3, "Alert: Preference Shift", "")</f>
        <v>Alert: Preference Shift</v>
      </c>
    </row>
    <row r="301" spans="1:10">
      <c r="A301" s="54">
        <v>50975</v>
      </c>
      <c r="B301" s="15" t="s">
        <v>13</v>
      </c>
      <c r="C301" s="14" t="str">
        <f t="shared" si="18"/>
        <v>July</v>
      </c>
      <c r="D301" s="15" t="str">
        <f>CHOOSE(MATCH(MONTH(A301), {1,4,7,10}), "Winter", "Spring", "Summer", "Autumn")</f>
        <v>Summer</v>
      </c>
      <c r="E301">
        <f t="shared" si="19"/>
        <v>2039</v>
      </c>
      <c r="F301">
        <v>99</v>
      </c>
      <c r="G301">
        <f t="shared" ca="1" si="16"/>
        <v>150</v>
      </c>
      <c r="H301">
        <f t="shared" ca="1" si="17"/>
        <v>109</v>
      </c>
      <c r="I301" s="81">
        <f ca="1">(Table17[[#This Row],[Current_Month_Sales]]-Table17[[#This Row],[Previous Month Sales]])/Table17[[#This Row],[Previous Month Sales]]</f>
        <v>0.37614678899082571</v>
      </c>
      <c r="J301" t="str">
        <f ca="1">IF(ABS(Table17[[#This Row],[%Change]]) &gt; 0.3, "Alert: Preference Shift", "")</f>
        <v>Alert: Preference Shift</v>
      </c>
    </row>
    <row r="302" spans="1:10">
      <c r="A302" s="53">
        <v>51005</v>
      </c>
      <c r="B302" s="14" t="s">
        <v>13</v>
      </c>
      <c r="C302" s="14" t="str">
        <f t="shared" si="18"/>
        <v>August</v>
      </c>
      <c r="D302" s="14" t="str">
        <f>CHOOSE(MATCH(MONTH(A302), {1,4,7,10}), "Winter", "Spring", "Summer", "Autumn")</f>
        <v>Summer</v>
      </c>
      <c r="E302">
        <f t="shared" si="19"/>
        <v>2039</v>
      </c>
      <c r="F302">
        <v>95</v>
      </c>
      <c r="G302">
        <f t="shared" ca="1" si="16"/>
        <v>121</v>
      </c>
      <c r="H302">
        <f t="shared" ca="1" si="17"/>
        <v>117</v>
      </c>
      <c r="I302" s="81">
        <f ca="1">(Table17[[#This Row],[Current_Month_Sales]]-Table17[[#This Row],[Previous Month Sales]])/Table17[[#This Row],[Previous Month Sales]]</f>
        <v>3.4188034188034191E-2</v>
      </c>
      <c r="J302" t="str">
        <f ca="1">IF(ABS(Table17[[#This Row],[%Change]]) &gt; 0.3, "Alert: Preference Shift", "")</f>
        <v/>
      </c>
    </row>
    <row r="303" spans="1:10">
      <c r="A303" s="54">
        <v>51035</v>
      </c>
      <c r="B303" s="15" t="s">
        <v>10</v>
      </c>
      <c r="C303" s="14" t="str">
        <f t="shared" si="18"/>
        <v>September</v>
      </c>
      <c r="D303" s="15" t="str">
        <f>CHOOSE(MATCH(MONTH(A303), {1,4,7,10}), "Winter", "Spring", "Summer", "Autumn")</f>
        <v>Summer</v>
      </c>
      <c r="E303">
        <f t="shared" si="19"/>
        <v>2039</v>
      </c>
      <c r="F303">
        <v>86</v>
      </c>
      <c r="G303">
        <f t="shared" ca="1" si="16"/>
        <v>89</v>
      </c>
      <c r="H303">
        <f t="shared" ca="1" si="17"/>
        <v>105</v>
      </c>
      <c r="I303" s="81">
        <f ca="1">(Table17[[#This Row],[Current_Month_Sales]]-Table17[[#This Row],[Previous Month Sales]])/Table17[[#This Row],[Previous Month Sales]]</f>
        <v>-0.15238095238095239</v>
      </c>
      <c r="J303" t="str">
        <f ca="1">IF(ABS(Table17[[#This Row],[%Change]]) &gt; 0.3, "Alert: Preference Shift", "")</f>
        <v/>
      </c>
    </row>
    <row r="304" spans="1:10">
      <c r="A304" s="53">
        <v>51065</v>
      </c>
      <c r="B304" s="14" t="s">
        <v>13</v>
      </c>
      <c r="C304" s="14" t="str">
        <f t="shared" si="18"/>
        <v>October</v>
      </c>
      <c r="D304" s="14" t="str">
        <f>CHOOSE(MATCH(MONTH(A304), {1,4,7,10}), "Winter", "Spring", "Summer", "Autumn")</f>
        <v>Autumn</v>
      </c>
      <c r="E304">
        <f t="shared" si="19"/>
        <v>2039</v>
      </c>
      <c r="F304">
        <v>120</v>
      </c>
      <c r="G304">
        <f t="shared" ca="1" si="16"/>
        <v>97</v>
      </c>
      <c r="H304">
        <f t="shared" ca="1" si="17"/>
        <v>129</v>
      </c>
      <c r="I304" s="81">
        <f ca="1">(Table17[[#This Row],[Current_Month_Sales]]-Table17[[#This Row],[Previous Month Sales]])/Table17[[#This Row],[Previous Month Sales]]</f>
        <v>-0.24806201550387597</v>
      </c>
      <c r="J304" t="str">
        <f ca="1">IF(ABS(Table17[[#This Row],[%Change]]) &gt; 0.3, "Alert: Preference Shift", "")</f>
        <v/>
      </c>
    </row>
    <row r="305" spans="1:10">
      <c r="A305" s="54">
        <v>51095</v>
      </c>
      <c r="B305" s="15" t="s">
        <v>10</v>
      </c>
      <c r="C305" s="14" t="str">
        <f t="shared" si="18"/>
        <v>November</v>
      </c>
      <c r="D305" s="15" t="str">
        <f>CHOOSE(MATCH(MONTH(A305), {1,4,7,10}), "Winter", "Spring", "Summer", "Autumn")</f>
        <v>Autumn</v>
      </c>
      <c r="E305">
        <f t="shared" si="19"/>
        <v>2039</v>
      </c>
      <c r="F305">
        <v>81</v>
      </c>
      <c r="G305">
        <f t="shared" ca="1" si="16"/>
        <v>172</v>
      </c>
      <c r="H305">
        <f t="shared" ca="1" si="17"/>
        <v>105</v>
      </c>
      <c r="I305" s="81">
        <f ca="1">(Table17[[#This Row],[Current_Month_Sales]]-Table17[[#This Row],[Previous Month Sales]])/Table17[[#This Row],[Previous Month Sales]]</f>
        <v>0.63809523809523805</v>
      </c>
      <c r="J305" t="str">
        <f ca="1">IF(ABS(Table17[[#This Row],[%Change]]) &gt; 0.3, "Alert: Preference Shift", "")</f>
        <v>Alert: Preference Shift</v>
      </c>
    </row>
    <row r="306" spans="1:10">
      <c r="A306" s="53">
        <v>51125</v>
      </c>
      <c r="B306" s="14" t="s">
        <v>14</v>
      </c>
      <c r="C306" s="14" t="str">
        <f t="shared" si="18"/>
        <v>December</v>
      </c>
      <c r="D306" s="14" t="str">
        <f>CHOOSE(MATCH(MONTH(A306), {1,4,7,10}), "Winter", "Spring", "Summer", "Autumn")</f>
        <v>Autumn</v>
      </c>
      <c r="E306">
        <f t="shared" si="19"/>
        <v>2039</v>
      </c>
      <c r="F306">
        <v>102</v>
      </c>
      <c r="G306">
        <f t="shared" ca="1" si="16"/>
        <v>157</v>
      </c>
      <c r="H306">
        <f t="shared" ca="1" si="17"/>
        <v>56</v>
      </c>
      <c r="I306" s="81">
        <f ca="1">(Table17[[#This Row],[Current_Month_Sales]]-Table17[[#This Row],[Previous Month Sales]])/Table17[[#This Row],[Previous Month Sales]]</f>
        <v>1.8035714285714286</v>
      </c>
      <c r="J306" t="str">
        <f ca="1">IF(ABS(Table17[[#This Row],[%Change]]) &gt; 0.3, "Alert: Preference Shift", "")</f>
        <v>Alert: Preference Shift</v>
      </c>
    </row>
    <row r="307" spans="1:10">
      <c r="A307" s="54">
        <v>51155</v>
      </c>
      <c r="B307" s="15" t="s">
        <v>13</v>
      </c>
      <c r="C307" s="14" t="str">
        <f t="shared" si="18"/>
        <v>January</v>
      </c>
      <c r="D307" s="15" t="str">
        <f>CHOOSE(MATCH(MONTH(A307), {1,4,7,10}), "Winter", "Spring", "Summer", "Autumn")</f>
        <v>Winter</v>
      </c>
      <c r="E307">
        <f t="shared" si="19"/>
        <v>2040</v>
      </c>
      <c r="F307">
        <v>87</v>
      </c>
      <c r="G307">
        <f t="shared" ca="1" si="16"/>
        <v>189</v>
      </c>
      <c r="H307">
        <f t="shared" ca="1" si="17"/>
        <v>63</v>
      </c>
      <c r="I307" s="81">
        <f ca="1">(Table17[[#This Row],[Current_Month_Sales]]-Table17[[#This Row],[Previous Month Sales]])/Table17[[#This Row],[Previous Month Sales]]</f>
        <v>2</v>
      </c>
      <c r="J307" t="str">
        <f ca="1">IF(ABS(Table17[[#This Row],[%Change]]) &gt; 0.3, "Alert: Preference Shift", "")</f>
        <v>Alert: Preference Shift</v>
      </c>
    </row>
    <row r="308" spans="1:10">
      <c r="A308" s="53">
        <v>51185</v>
      </c>
      <c r="B308" s="14" t="s">
        <v>13</v>
      </c>
      <c r="C308" s="14" t="str">
        <f t="shared" si="18"/>
        <v>February</v>
      </c>
      <c r="D308" s="14" t="str">
        <f>CHOOSE(MATCH(MONTH(A308), {1,4,7,10}), "Winter", "Spring", "Summer", "Autumn")</f>
        <v>Winter</v>
      </c>
      <c r="E308">
        <f t="shared" si="19"/>
        <v>2040</v>
      </c>
      <c r="F308">
        <v>90</v>
      </c>
      <c r="G308">
        <f t="shared" ca="1" si="16"/>
        <v>121</v>
      </c>
      <c r="H308">
        <f t="shared" ca="1" si="17"/>
        <v>109</v>
      </c>
      <c r="I308" s="81">
        <f ca="1">(Table17[[#This Row],[Current_Month_Sales]]-Table17[[#This Row],[Previous Month Sales]])/Table17[[#This Row],[Previous Month Sales]]</f>
        <v>0.11009174311926606</v>
      </c>
      <c r="J308" t="str">
        <f ca="1">IF(ABS(Table17[[#This Row],[%Change]]) &gt; 0.3, "Alert: Preference Shift", "")</f>
        <v/>
      </c>
    </row>
    <row r="309" spans="1:10">
      <c r="A309" s="54">
        <v>51215</v>
      </c>
      <c r="B309" s="15" t="s">
        <v>13</v>
      </c>
      <c r="C309" s="14" t="str">
        <f t="shared" si="18"/>
        <v>March</v>
      </c>
      <c r="D309" s="15" t="str">
        <f>CHOOSE(MATCH(MONTH(A309), {1,4,7,10}), "Winter", "Spring", "Summer", "Autumn")</f>
        <v>Winter</v>
      </c>
      <c r="E309">
        <f t="shared" si="19"/>
        <v>2040</v>
      </c>
      <c r="F309">
        <v>89</v>
      </c>
      <c r="G309">
        <f t="shared" ca="1" si="16"/>
        <v>121</v>
      </c>
      <c r="H309">
        <f t="shared" ca="1" si="17"/>
        <v>105</v>
      </c>
      <c r="I309" s="81">
        <f ca="1">(Table17[[#This Row],[Current_Month_Sales]]-Table17[[#This Row],[Previous Month Sales]])/Table17[[#This Row],[Previous Month Sales]]</f>
        <v>0.15238095238095239</v>
      </c>
      <c r="J309" t="str">
        <f ca="1">IF(ABS(Table17[[#This Row],[%Change]]) &gt; 0.3, "Alert: Preference Shift", "")</f>
        <v/>
      </c>
    </row>
    <row r="310" spans="1:10">
      <c r="A310" s="53">
        <v>51245</v>
      </c>
      <c r="B310" s="14" t="s">
        <v>11</v>
      </c>
      <c r="C310" s="14" t="str">
        <f t="shared" si="18"/>
        <v>April</v>
      </c>
      <c r="D310" s="14" t="str">
        <f>CHOOSE(MATCH(MONTH(A310), {1,4,7,10}), "Winter", "Spring", "Summer", "Autumn")</f>
        <v>Spring</v>
      </c>
      <c r="E310">
        <f t="shared" si="19"/>
        <v>2040</v>
      </c>
      <c r="F310">
        <v>105</v>
      </c>
      <c r="G310">
        <f t="shared" ca="1" si="16"/>
        <v>189</v>
      </c>
      <c r="H310">
        <f t="shared" ca="1" si="17"/>
        <v>79</v>
      </c>
      <c r="I310" s="81">
        <f ca="1">(Table17[[#This Row],[Current_Month_Sales]]-Table17[[#This Row],[Previous Month Sales]])/Table17[[#This Row],[Previous Month Sales]]</f>
        <v>1.3924050632911393</v>
      </c>
      <c r="J310" t="str">
        <f ca="1">IF(ABS(Table17[[#This Row],[%Change]]) &gt; 0.3, "Alert: Preference Shift", "")</f>
        <v>Alert: Preference Shift</v>
      </c>
    </row>
    <row r="311" spans="1:10">
      <c r="A311" s="54">
        <v>51275</v>
      </c>
      <c r="B311" s="15" t="s">
        <v>11</v>
      </c>
      <c r="C311" s="14" t="str">
        <f t="shared" si="18"/>
        <v>May</v>
      </c>
      <c r="D311" s="15" t="str">
        <f>CHOOSE(MATCH(MONTH(A311), {1,4,7,10}), "Winter", "Spring", "Summer", "Autumn")</f>
        <v>Spring</v>
      </c>
      <c r="E311">
        <f t="shared" si="19"/>
        <v>2040</v>
      </c>
      <c r="F311">
        <v>96</v>
      </c>
      <c r="G311">
        <f t="shared" ca="1" si="16"/>
        <v>78</v>
      </c>
      <c r="H311">
        <f t="shared" ca="1" si="17"/>
        <v>48</v>
      </c>
      <c r="I311" s="81">
        <f ca="1">(Table17[[#This Row],[Current_Month_Sales]]-Table17[[#This Row],[Previous Month Sales]])/Table17[[#This Row],[Previous Month Sales]]</f>
        <v>0.625</v>
      </c>
      <c r="J311" t="str">
        <f ca="1">IF(ABS(Table17[[#This Row],[%Change]]) &gt; 0.3, "Alert: Preference Shift", "")</f>
        <v>Alert: Preference Shift</v>
      </c>
    </row>
    <row r="312" spans="1:10">
      <c r="A312" s="53">
        <v>51305</v>
      </c>
      <c r="B312" s="14" t="s">
        <v>12</v>
      </c>
      <c r="C312" s="14" t="str">
        <f t="shared" si="18"/>
        <v>June</v>
      </c>
      <c r="D312" s="14" t="str">
        <f>CHOOSE(MATCH(MONTH(A312), {1,4,7,10}), "Winter", "Spring", "Summer", "Autumn")</f>
        <v>Spring</v>
      </c>
      <c r="E312">
        <f t="shared" si="19"/>
        <v>2040</v>
      </c>
      <c r="F312">
        <v>97</v>
      </c>
      <c r="G312">
        <f t="shared" ca="1" si="16"/>
        <v>172</v>
      </c>
      <c r="H312">
        <f t="shared" ca="1" si="17"/>
        <v>68</v>
      </c>
      <c r="I312" s="81">
        <f ca="1">(Table17[[#This Row],[Current_Month_Sales]]-Table17[[#This Row],[Previous Month Sales]])/Table17[[#This Row],[Previous Month Sales]]</f>
        <v>1.5294117647058822</v>
      </c>
      <c r="J312" t="str">
        <f ca="1">IF(ABS(Table17[[#This Row],[%Change]]) &gt; 0.3, "Alert: Preference Shift", "")</f>
        <v>Alert: Preference Shift</v>
      </c>
    </row>
    <row r="313" spans="1:10">
      <c r="A313" s="54">
        <v>51335</v>
      </c>
      <c r="B313" s="15" t="s">
        <v>11</v>
      </c>
      <c r="C313" s="14" t="str">
        <f t="shared" si="18"/>
        <v>July</v>
      </c>
      <c r="D313" s="15" t="str">
        <f>CHOOSE(MATCH(MONTH(A313), {1,4,7,10}), "Winter", "Spring", "Summer", "Autumn")</f>
        <v>Summer</v>
      </c>
      <c r="E313">
        <f t="shared" si="19"/>
        <v>2040</v>
      </c>
      <c r="F313">
        <v>98</v>
      </c>
      <c r="G313">
        <f t="shared" ca="1" si="16"/>
        <v>121</v>
      </c>
      <c r="H313">
        <f t="shared" ca="1" si="17"/>
        <v>79</v>
      </c>
      <c r="I313" s="81">
        <f ca="1">(Table17[[#This Row],[Current_Month_Sales]]-Table17[[#This Row],[Previous Month Sales]])/Table17[[#This Row],[Previous Month Sales]]</f>
        <v>0.53164556962025311</v>
      </c>
      <c r="J313" t="str">
        <f ca="1">IF(ABS(Table17[[#This Row],[%Change]]) &gt; 0.3, "Alert: Preference Shift", "")</f>
        <v>Alert: Preference Shift</v>
      </c>
    </row>
    <row r="314" spans="1:10">
      <c r="A314" s="53">
        <v>51365</v>
      </c>
      <c r="B314" s="14" t="s">
        <v>12</v>
      </c>
      <c r="C314" s="14" t="str">
        <f t="shared" si="18"/>
        <v>August</v>
      </c>
      <c r="D314" s="14" t="str">
        <f>CHOOSE(MATCH(MONTH(A314), {1,4,7,10}), "Winter", "Spring", "Summer", "Autumn")</f>
        <v>Summer</v>
      </c>
      <c r="E314">
        <f t="shared" si="19"/>
        <v>2040</v>
      </c>
      <c r="F314">
        <v>100</v>
      </c>
      <c r="G314">
        <f t="shared" ca="1" si="16"/>
        <v>133</v>
      </c>
      <c r="H314">
        <f t="shared" ca="1" si="17"/>
        <v>105</v>
      </c>
      <c r="I314" s="81">
        <f ca="1">(Table17[[#This Row],[Current_Month_Sales]]-Table17[[#This Row],[Previous Month Sales]])/Table17[[#This Row],[Previous Month Sales]]</f>
        <v>0.26666666666666666</v>
      </c>
      <c r="J314" t="str">
        <f ca="1">IF(ABS(Table17[[#This Row],[%Change]]) &gt; 0.3, "Alert: Preference Shift", "")</f>
        <v/>
      </c>
    </row>
    <row r="315" spans="1:10">
      <c r="A315" s="54">
        <v>51395</v>
      </c>
      <c r="B315" s="15" t="s">
        <v>11</v>
      </c>
      <c r="C315" s="14" t="str">
        <f t="shared" si="18"/>
        <v>September</v>
      </c>
      <c r="D315" s="15" t="str">
        <f>CHOOSE(MATCH(MONTH(A315), {1,4,7,10}), "Winter", "Spring", "Summer", "Autumn")</f>
        <v>Summer</v>
      </c>
      <c r="E315">
        <f t="shared" si="19"/>
        <v>2040</v>
      </c>
      <c r="F315">
        <v>108</v>
      </c>
      <c r="G315">
        <f t="shared" ca="1" si="16"/>
        <v>157</v>
      </c>
      <c r="H315">
        <f t="shared" ca="1" si="17"/>
        <v>79</v>
      </c>
      <c r="I315" s="81">
        <f ca="1">(Table17[[#This Row],[Current_Month_Sales]]-Table17[[#This Row],[Previous Month Sales]])/Table17[[#This Row],[Previous Month Sales]]</f>
        <v>0.98734177215189878</v>
      </c>
      <c r="J315" t="str">
        <f ca="1">IF(ABS(Table17[[#This Row],[%Change]]) &gt; 0.3, "Alert: Preference Shift", "")</f>
        <v>Alert: Preference Shift</v>
      </c>
    </row>
    <row r="316" spans="1:10">
      <c r="A316" s="53">
        <v>51425</v>
      </c>
      <c r="B316" s="14" t="s">
        <v>14</v>
      </c>
      <c r="C316" s="14" t="str">
        <f t="shared" si="18"/>
        <v>October</v>
      </c>
      <c r="D316" s="14" t="str">
        <f>CHOOSE(MATCH(MONTH(A316), {1,4,7,10}), "Winter", "Spring", "Summer", "Autumn")</f>
        <v>Autumn</v>
      </c>
      <c r="E316">
        <f t="shared" si="19"/>
        <v>2040</v>
      </c>
      <c r="F316">
        <v>92</v>
      </c>
      <c r="G316">
        <f t="shared" ca="1" si="16"/>
        <v>130</v>
      </c>
      <c r="H316">
        <f t="shared" ca="1" si="17"/>
        <v>48</v>
      </c>
      <c r="I316" s="81">
        <f ca="1">(Table17[[#This Row],[Current_Month_Sales]]-Table17[[#This Row],[Previous Month Sales]])/Table17[[#This Row],[Previous Month Sales]]</f>
        <v>1.7083333333333333</v>
      </c>
      <c r="J316" t="str">
        <f ca="1">IF(ABS(Table17[[#This Row],[%Change]]) &gt; 0.3, "Alert: Preference Shift", "")</f>
        <v>Alert: Preference Shift</v>
      </c>
    </row>
    <row r="317" spans="1:10">
      <c r="A317" s="54">
        <v>51455</v>
      </c>
      <c r="B317" s="15" t="s">
        <v>12</v>
      </c>
      <c r="C317" s="14" t="str">
        <f t="shared" si="18"/>
        <v>November</v>
      </c>
      <c r="D317" s="15" t="str">
        <f>CHOOSE(MATCH(MONTH(A317), {1,4,7,10}), "Winter", "Spring", "Summer", "Autumn")</f>
        <v>Autumn</v>
      </c>
      <c r="E317">
        <f t="shared" si="19"/>
        <v>2040</v>
      </c>
      <c r="F317">
        <v>97</v>
      </c>
      <c r="G317">
        <f t="shared" ca="1" si="16"/>
        <v>97</v>
      </c>
      <c r="H317">
        <f t="shared" ca="1" si="17"/>
        <v>118</v>
      </c>
      <c r="I317" s="81">
        <f ca="1">(Table17[[#This Row],[Current_Month_Sales]]-Table17[[#This Row],[Previous Month Sales]])/Table17[[#This Row],[Previous Month Sales]]</f>
        <v>-0.17796610169491525</v>
      </c>
      <c r="J317" t="str">
        <f ca="1">IF(ABS(Table17[[#This Row],[%Change]]) &gt; 0.3, "Alert: Preference Shift", "")</f>
        <v/>
      </c>
    </row>
    <row r="318" spans="1:10">
      <c r="A318" s="53">
        <v>51485</v>
      </c>
      <c r="B318" s="14" t="s">
        <v>11</v>
      </c>
      <c r="C318" s="14" t="str">
        <f t="shared" si="18"/>
        <v>December</v>
      </c>
      <c r="D318" s="14" t="str">
        <f>CHOOSE(MATCH(MONTH(A318), {1,4,7,10}), "Winter", "Spring", "Summer", "Autumn")</f>
        <v>Autumn</v>
      </c>
      <c r="E318">
        <f t="shared" si="19"/>
        <v>2040</v>
      </c>
      <c r="F318">
        <v>116</v>
      </c>
      <c r="G318">
        <f t="shared" ca="1" si="16"/>
        <v>100</v>
      </c>
      <c r="H318">
        <f t="shared" ca="1" si="17"/>
        <v>109</v>
      </c>
      <c r="I318" s="81">
        <f ca="1">(Table17[[#This Row],[Current_Month_Sales]]-Table17[[#This Row],[Previous Month Sales]])/Table17[[#This Row],[Previous Month Sales]]</f>
        <v>-8.2568807339449546E-2</v>
      </c>
      <c r="J318" t="str">
        <f ca="1">IF(ABS(Table17[[#This Row],[%Change]]) &gt; 0.3, "Alert: Preference Shift", "")</f>
        <v/>
      </c>
    </row>
    <row r="319" spans="1:10">
      <c r="A319" s="54">
        <v>51515</v>
      </c>
      <c r="B319" s="15" t="s">
        <v>14</v>
      </c>
      <c r="C319" s="14" t="str">
        <f t="shared" si="18"/>
        <v>January</v>
      </c>
      <c r="D319" s="15" t="str">
        <f>CHOOSE(MATCH(MONTH(A319), {1,4,7,10}), "Winter", "Spring", "Summer", "Autumn")</f>
        <v>Winter</v>
      </c>
      <c r="E319">
        <f t="shared" si="19"/>
        <v>2041</v>
      </c>
      <c r="F319">
        <v>100</v>
      </c>
      <c r="G319">
        <f t="shared" ca="1" si="16"/>
        <v>100</v>
      </c>
      <c r="H319">
        <f t="shared" ca="1" si="17"/>
        <v>129</v>
      </c>
      <c r="I319" s="81">
        <f ca="1">(Table17[[#This Row],[Current_Month_Sales]]-Table17[[#This Row],[Previous Month Sales]])/Table17[[#This Row],[Previous Month Sales]]</f>
        <v>-0.22480620155038761</v>
      </c>
      <c r="J319" t="str">
        <f ca="1">IF(ABS(Table17[[#This Row],[%Change]]) &gt; 0.3, "Alert: Preference Shift", "")</f>
        <v/>
      </c>
    </row>
    <row r="320" spans="1:10">
      <c r="A320" s="53">
        <v>51545</v>
      </c>
      <c r="B320" s="14" t="s">
        <v>11</v>
      </c>
      <c r="C320" s="14" t="str">
        <f t="shared" si="18"/>
        <v>February</v>
      </c>
      <c r="D320" s="14" t="str">
        <f>CHOOSE(MATCH(MONTH(A320), {1,4,7,10}), "Winter", "Spring", "Summer", "Autumn")</f>
        <v>Winter</v>
      </c>
      <c r="E320">
        <f t="shared" si="19"/>
        <v>2041</v>
      </c>
      <c r="F320">
        <v>87</v>
      </c>
      <c r="G320">
        <f t="shared" ca="1" si="16"/>
        <v>133</v>
      </c>
      <c r="H320">
        <f t="shared" ca="1" si="17"/>
        <v>105</v>
      </c>
      <c r="I320" s="81">
        <f ca="1">(Table17[[#This Row],[Current_Month_Sales]]-Table17[[#This Row],[Previous Month Sales]])/Table17[[#This Row],[Previous Month Sales]]</f>
        <v>0.26666666666666666</v>
      </c>
      <c r="J320" t="str">
        <f ca="1">IF(ABS(Table17[[#This Row],[%Change]]) &gt; 0.3, "Alert: Preference Shift", "")</f>
        <v/>
      </c>
    </row>
    <row r="321" spans="1:10">
      <c r="A321" s="54">
        <v>51575</v>
      </c>
      <c r="B321" s="15" t="s">
        <v>10</v>
      </c>
      <c r="C321" s="14" t="str">
        <f t="shared" si="18"/>
        <v>March</v>
      </c>
      <c r="D321" s="15" t="str">
        <f>CHOOSE(MATCH(MONTH(A321), {1,4,7,10}), "Winter", "Spring", "Summer", "Autumn")</f>
        <v>Winter</v>
      </c>
      <c r="E321">
        <f t="shared" si="19"/>
        <v>2041</v>
      </c>
      <c r="F321">
        <v>103</v>
      </c>
      <c r="G321">
        <f t="shared" ca="1" si="16"/>
        <v>133</v>
      </c>
      <c r="H321">
        <f t="shared" ca="1" si="17"/>
        <v>129</v>
      </c>
      <c r="I321" s="81">
        <f ca="1">(Table17[[#This Row],[Current_Month_Sales]]-Table17[[#This Row],[Previous Month Sales]])/Table17[[#This Row],[Previous Month Sales]]</f>
        <v>3.1007751937984496E-2</v>
      </c>
      <c r="J321" t="str">
        <f ca="1">IF(ABS(Table17[[#This Row],[%Change]]) &gt; 0.3, "Alert: Preference Shift", "")</f>
        <v/>
      </c>
    </row>
    <row r="322" spans="1:10">
      <c r="A322" s="53">
        <v>51605</v>
      </c>
      <c r="B322" s="14" t="s">
        <v>10</v>
      </c>
      <c r="C322" s="14" t="str">
        <f t="shared" si="18"/>
        <v>April</v>
      </c>
      <c r="D322" s="14" t="str">
        <f>CHOOSE(MATCH(MONTH(A322), {1,4,7,10}), "Winter", "Spring", "Summer", "Autumn")</f>
        <v>Spring</v>
      </c>
      <c r="E322">
        <f t="shared" si="19"/>
        <v>2041</v>
      </c>
      <c r="F322">
        <v>115</v>
      </c>
      <c r="G322">
        <f t="shared" ref="G322:G385" ca="1" si="20">CHOOSE(RANDBETWEEN(1,12), 121,133,65,78,150,189,89,157,100,172,97,130)</f>
        <v>189</v>
      </c>
      <c r="H322">
        <f t="shared" ref="H322:H385" ca="1" si="21">CHOOSE(RANDBETWEEN(1,12), 129,63,79,105,117,129,56,48,117,109,68,118)</f>
        <v>129</v>
      </c>
      <c r="I322" s="81">
        <f ca="1">(Table17[[#This Row],[Current_Month_Sales]]-Table17[[#This Row],[Previous Month Sales]])/Table17[[#This Row],[Previous Month Sales]]</f>
        <v>0.46511627906976744</v>
      </c>
      <c r="J322" t="str">
        <f ca="1">IF(ABS(Table17[[#This Row],[%Change]]) &gt; 0.3, "Alert: Preference Shift", "")</f>
        <v>Alert: Preference Shift</v>
      </c>
    </row>
    <row r="323" spans="1:10">
      <c r="A323" s="54">
        <v>51635</v>
      </c>
      <c r="B323" s="15" t="s">
        <v>14</v>
      </c>
      <c r="C323" s="14" t="str">
        <f t="shared" ref="C323:C386" si="22">TEXT(A323,"mmmm")</f>
        <v>May</v>
      </c>
      <c r="D323" s="15" t="str">
        <f>CHOOSE(MATCH(MONTH(A323), {1,4,7,10}), "Winter", "Spring", "Summer", "Autumn")</f>
        <v>Spring</v>
      </c>
      <c r="E323">
        <f t="shared" ref="E323:E386" si="23">YEAR(A323)</f>
        <v>2041</v>
      </c>
      <c r="F323">
        <v>88</v>
      </c>
      <c r="G323">
        <f t="shared" ca="1" si="20"/>
        <v>172</v>
      </c>
      <c r="H323">
        <f t="shared" ca="1" si="21"/>
        <v>117</v>
      </c>
      <c r="I323" s="81">
        <f ca="1">(Table17[[#This Row],[Current_Month_Sales]]-Table17[[#This Row],[Previous Month Sales]])/Table17[[#This Row],[Previous Month Sales]]</f>
        <v>0.47008547008547008</v>
      </c>
      <c r="J323" t="str">
        <f ca="1">IF(ABS(Table17[[#This Row],[%Change]]) &gt; 0.3, "Alert: Preference Shift", "")</f>
        <v>Alert: Preference Shift</v>
      </c>
    </row>
    <row r="324" spans="1:10">
      <c r="A324" s="53">
        <v>51665</v>
      </c>
      <c r="B324" s="14" t="s">
        <v>13</v>
      </c>
      <c r="C324" s="14" t="str">
        <f t="shared" si="22"/>
        <v>June</v>
      </c>
      <c r="D324" s="14" t="str">
        <f>CHOOSE(MATCH(MONTH(A324), {1,4,7,10}), "Winter", "Spring", "Summer", "Autumn")</f>
        <v>Spring</v>
      </c>
      <c r="E324">
        <f t="shared" si="23"/>
        <v>2041</v>
      </c>
      <c r="F324">
        <v>100</v>
      </c>
      <c r="G324">
        <f t="shared" ca="1" si="20"/>
        <v>121</v>
      </c>
      <c r="H324">
        <f t="shared" ca="1" si="21"/>
        <v>129</v>
      </c>
      <c r="I324" s="81">
        <f ca="1">(Table17[[#This Row],[Current_Month_Sales]]-Table17[[#This Row],[Previous Month Sales]])/Table17[[#This Row],[Previous Month Sales]]</f>
        <v>-6.2015503875968991E-2</v>
      </c>
      <c r="J324" t="str">
        <f ca="1">IF(ABS(Table17[[#This Row],[%Change]]) &gt; 0.3, "Alert: Preference Shift", "")</f>
        <v/>
      </c>
    </row>
    <row r="325" spans="1:10">
      <c r="A325" s="54">
        <v>51695</v>
      </c>
      <c r="B325" s="15" t="s">
        <v>13</v>
      </c>
      <c r="C325" s="14" t="str">
        <f t="shared" si="22"/>
        <v>July</v>
      </c>
      <c r="D325" s="15" t="str">
        <f>CHOOSE(MATCH(MONTH(A325), {1,4,7,10}), "Winter", "Spring", "Summer", "Autumn")</f>
        <v>Summer</v>
      </c>
      <c r="E325">
        <f t="shared" si="23"/>
        <v>2041</v>
      </c>
      <c r="F325">
        <v>108</v>
      </c>
      <c r="G325">
        <f t="shared" ca="1" si="20"/>
        <v>89</v>
      </c>
      <c r="H325">
        <f t="shared" ca="1" si="21"/>
        <v>117</v>
      </c>
      <c r="I325" s="81">
        <f ca="1">(Table17[[#This Row],[Current_Month_Sales]]-Table17[[#This Row],[Previous Month Sales]])/Table17[[#This Row],[Previous Month Sales]]</f>
        <v>-0.23931623931623933</v>
      </c>
      <c r="J325" t="str">
        <f ca="1">IF(ABS(Table17[[#This Row],[%Change]]) &gt; 0.3, "Alert: Preference Shift", "")</f>
        <v/>
      </c>
    </row>
    <row r="326" spans="1:10">
      <c r="A326" s="53">
        <v>51725</v>
      </c>
      <c r="B326" s="14" t="s">
        <v>10</v>
      </c>
      <c r="C326" s="14" t="str">
        <f t="shared" si="22"/>
        <v>August</v>
      </c>
      <c r="D326" s="14" t="str">
        <f>CHOOSE(MATCH(MONTH(A326), {1,4,7,10}), "Winter", "Spring", "Summer", "Autumn")</f>
        <v>Summer</v>
      </c>
      <c r="E326">
        <f t="shared" si="23"/>
        <v>2041</v>
      </c>
      <c r="F326">
        <v>100</v>
      </c>
      <c r="G326">
        <f t="shared" ca="1" si="20"/>
        <v>157</v>
      </c>
      <c r="H326">
        <f t="shared" ca="1" si="21"/>
        <v>117</v>
      </c>
      <c r="I326" s="81">
        <f ca="1">(Table17[[#This Row],[Current_Month_Sales]]-Table17[[#This Row],[Previous Month Sales]])/Table17[[#This Row],[Previous Month Sales]]</f>
        <v>0.34188034188034189</v>
      </c>
      <c r="J326" t="str">
        <f ca="1">IF(ABS(Table17[[#This Row],[%Change]]) &gt; 0.3, "Alert: Preference Shift", "")</f>
        <v>Alert: Preference Shift</v>
      </c>
    </row>
    <row r="327" spans="1:10">
      <c r="A327" s="54">
        <v>51755</v>
      </c>
      <c r="B327" s="15" t="s">
        <v>10</v>
      </c>
      <c r="C327" s="14" t="str">
        <f t="shared" si="22"/>
        <v>September</v>
      </c>
      <c r="D327" s="15" t="str">
        <f>CHOOSE(MATCH(MONTH(A327), {1,4,7,10}), "Winter", "Spring", "Summer", "Autumn")</f>
        <v>Summer</v>
      </c>
      <c r="E327">
        <f t="shared" si="23"/>
        <v>2041</v>
      </c>
      <c r="F327">
        <v>86</v>
      </c>
      <c r="G327">
        <f t="shared" ca="1" si="20"/>
        <v>121</v>
      </c>
      <c r="H327">
        <f t="shared" ca="1" si="21"/>
        <v>117</v>
      </c>
      <c r="I327" s="81">
        <f ca="1">(Table17[[#This Row],[Current_Month_Sales]]-Table17[[#This Row],[Previous Month Sales]])/Table17[[#This Row],[Previous Month Sales]]</f>
        <v>3.4188034188034191E-2</v>
      </c>
      <c r="J327" t="str">
        <f ca="1">IF(ABS(Table17[[#This Row],[%Change]]) &gt; 0.3, "Alert: Preference Shift", "")</f>
        <v/>
      </c>
    </row>
    <row r="328" spans="1:10">
      <c r="A328" s="53">
        <v>51785</v>
      </c>
      <c r="B328" s="14" t="s">
        <v>13</v>
      </c>
      <c r="C328" s="14" t="str">
        <f t="shared" si="22"/>
        <v>October</v>
      </c>
      <c r="D328" s="14" t="str">
        <f>CHOOSE(MATCH(MONTH(A328), {1,4,7,10}), "Winter", "Spring", "Summer", "Autumn")</f>
        <v>Autumn</v>
      </c>
      <c r="E328">
        <f t="shared" si="23"/>
        <v>2041</v>
      </c>
      <c r="F328">
        <v>87</v>
      </c>
      <c r="G328">
        <f t="shared" ca="1" si="20"/>
        <v>121</v>
      </c>
      <c r="H328">
        <f t="shared" ca="1" si="21"/>
        <v>109</v>
      </c>
      <c r="I328" s="81">
        <f ca="1">(Table17[[#This Row],[Current_Month_Sales]]-Table17[[#This Row],[Previous Month Sales]])/Table17[[#This Row],[Previous Month Sales]]</f>
        <v>0.11009174311926606</v>
      </c>
      <c r="J328" t="str">
        <f ca="1">IF(ABS(Table17[[#This Row],[%Change]]) &gt; 0.3, "Alert: Preference Shift", "")</f>
        <v/>
      </c>
    </row>
    <row r="329" spans="1:10">
      <c r="A329" s="54">
        <v>51815</v>
      </c>
      <c r="B329" s="15" t="s">
        <v>12</v>
      </c>
      <c r="C329" s="14" t="str">
        <f t="shared" si="22"/>
        <v>November</v>
      </c>
      <c r="D329" s="15" t="str">
        <f>CHOOSE(MATCH(MONTH(A329), {1,4,7,10}), "Winter", "Spring", "Summer", "Autumn")</f>
        <v>Autumn</v>
      </c>
      <c r="E329">
        <f t="shared" si="23"/>
        <v>2041</v>
      </c>
      <c r="F329">
        <v>109</v>
      </c>
      <c r="G329">
        <f t="shared" ca="1" si="20"/>
        <v>130</v>
      </c>
      <c r="H329">
        <f t="shared" ca="1" si="21"/>
        <v>109</v>
      </c>
      <c r="I329" s="81">
        <f ca="1">(Table17[[#This Row],[Current_Month_Sales]]-Table17[[#This Row],[Previous Month Sales]])/Table17[[#This Row],[Previous Month Sales]]</f>
        <v>0.19266055045871561</v>
      </c>
      <c r="J329" t="str">
        <f ca="1">IF(ABS(Table17[[#This Row],[%Change]]) &gt; 0.3, "Alert: Preference Shift", "")</f>
        <v/>
      </c>
    </row>
    <row r="330" spans="1:10">
      <c r="A330" s="53">
        <v>51845</v>
      </c>
      <c r="B330" s="14" t="s">
        <v>13</v>
      </c>
      <c r="C330" s="14" t="str">
        <f t="shared" si="22"/>
        <v>December</v>
      </c>
      <c r="D330" s="14" t="str">
        <f>CHOOSE(MATCH(MONTH(A330), {1,4,7,10}), "Winter", "Spring", "Summer", "Autumn")</f>
        <v>Autumn</v>
      </c>
      <c r="E330">
        <f t="shared" si="23"/>
        <v>2041</v>
      </c>
      <c r="F330">
        <v>91</v>
      </c>
      <c r="G330">
        <f t="shared" ca="1" si="20"/>
        <v>65</v>
      </c>
      <c r="H330">
        <f t="shared" ca="1" si="21"/>
        <v>48</v>
      </c>
      <c r="I330" s="81">
        <f ca="1">(Table17[[#This Row],[Current_Month_Sales]]-Table17[[#This Row],[Previous Month Sales]])/Table17[[#This Row],[Previous Month Sales]]</f>
        <v>0.35416666666666669</v>
      </c>
      <c r="J330" t="str">
        <f ca="1">IF(ABS(Table17[[#This Row],[%Change]]) &gt; 0.3, "Alert: Preference Shift", "")</f>
        <v>Alert: Preference Shift</v>
      </c>
    </row>
    <row r="331" spans="1:10">
      <c r="A331" s="54">
        <v>51875</v>
      </c>
      <c r="B331" s="15" t="s">
        <v>11</v>
      </c>
      <c r="C331" s="14" t="str">
        <f t="shared" si="22"/>
        <v>January</v>
      </c>
      <c r="D331" s="15" t="str">
        <f>CHOOSE(MATCH(MONTH(A331), {1,4,7,10}), "Winter", "Spring", "Summer", "Autumn")</f>
        <v>Winter</v>
      </c>
      <c r="E331">
        <f t="shared" si="23"/>
        <v>2042</v>
      </c>
      <c r="F331">
        <v>107</v>
      </c>
      <c r="G331">
        <f t="shared" ca="1" si="20"/>
        <v>172</v>
      </c>
      <c r="H331">
        <f t="shared" ca="1" si="21"/>
        <v>129</v>
      </c>
      <c r="I331" s="81">
        <f ca="1">(Table17[[#This Row],[Current_Month_Sales]]-Table17[[#This Row],[Previous Month Sales]])/Table17[[#This Row],[Previous Month Sales]]</f>
        <v>0.33333333333333331</v>
      </c>
      <c r="J331" t="str">
        <f ca="1">IF(ABS(Table17[[#This Row],[%Change]]) &gt; 0.3, "Alert: Preference Shift", "")</f>
        <v>Alert: Preference Shift</v>
      </c>
    </row>
    <row r="332" spans="1:10">
      <c r="A332" s="53">
        <v>51905</v>
      </c>
      <c r="B332" s="14" t="s">
        <v>12</v>
      </c>
      <c r="C332" s="14" t="str">
        <f t="shared" si="22"/>
        <v>February</v>
      </c>
      <c r="D332" s="14" t="str">
        <f>CHOOSE(MATCH(MONTH(A332), {1,4,7,10}), "Winter", "Spring", "Summer", "Autumn")</f>
        <v>Winter</v>
      </c>
      <c r="E332">
        <f t="shared" si="23"/>
        <v>2042</v>
      </c>
      <c r="F332">
        <v>106</v>
      </c>
      <c r="G332">
        <f t="shared" ca="1" si="20"/>
        <v>157</v>
      </c>
      <c r="H332">
        <f t="shared" ca="1" si="21"/>
        <v>63</v>
      </c>
      <c r="I332" s="81">
        <f ca="1">(Table17[[#This Row],[Current_Month_Sales]]-Table17[[#This Row],[Previous Month Sales]])/Table17[[#This Row],[Previous Month Sales]]</f>
        <v>1.4920634920634921</v>
      </c>
      <c r="J332" t="str">
        <f ca="1">IF(ABS(Table17[[#This Row],[%Change]]) &gt; 0.3, "Alert: Preference Shift", "")</f>
        <v>Alert: Preference Shift</v>
      </c>
    </row>
    <row r="333" spans="1:10">
      <c r="A333" s="54">
        <v>51935</v>
      </c>
      <c r="B333" s="15" t="s">
        <v>11</v>
      </c>
      <c r="C333" s="14" t="str">
        <f t="shared" si="22"/>
        <v>March</v>
      </c>
      <c r="D333" s="15" t="str">
        <f>CHOOSE(MATCH(MONTH(A333), {1,4,7,10}), "Winter", "Spring", "Summer", "Autumn")</f>
        <v>Winter</v>
      </c>
      <c r="E333">
        <f t="shared" si="23"/>
        <v>2042</v>
      </c>
      <c r="F333">
        <v>92</v>
      </c>
      <c r="G333">
        <f t="shared" ca="1" si="20"/>
        <v>130</v>
      </c>
      <c r="H333">
        <f t="shared" ca="1" si="21"/>
        <v>117</v>
      </c>
      <c r="I333" s="81">
        <f ca="1">(Table17[[#This Row],[Current_Month_Sales]]-Table17[[#This Row],[Previous Month Sales]])/Table17[[#This Row],[Previous Month Sales]]</f>
        <v>0.1111111111111111</v>
      </c>
      <c r="J333" t="str">
        <f ca="1">IF(ABS(Table17[[#This Row],[%Change]]) &gt; 0.3, "Alert: Preference Shift", "")</f>
        <v/>
      </c>
    </row>
    <row r="334" spans="1:10">
      <c r="A334" s="53">
        <v>51965</v>
      </c>
      <c r="B334" s="14" t="s">
        <v>10</v>
      </c>
      <c r="C334" s="14" t="str">
        <f t="shared" si="22"/>
        <v>April</v>
      </c>
      <c r="D334" s="14" t="str">
        <f>CHOOSE(MATCH(MONTH(A334), {1,4,7,10}), "Winter", "Spring", "Summer", "Autumn")</f>
        <v>Spring</v>
      </c>
      <c r="E334">
        <f t="shared" si="23"/>
        <v>2042</v>
      </c>
      <c r="F334">
        <v>90</v>
      </c>
      <c r="G334">
        <f t="shared" ca="1" si="20"/>
        <v>189</v>
      </c>
      <c r="H334">
        <f t="shared" ca="1" si="21"/>
        <v>118</v>
      </c>
      <c r="I334" s="81">
        <f ca="1">(Table17[[#This Row],[Current_Month_Sales]]-Table17[[#This Row],[Previous Month Sales]])/Table17[[#This Row],[Previous Month Sales]]</f>
        <v>0.60169491525423724</v>
      </c>
      <c r="J334" t="str">
        <f ca="1">IF(ABS(Table17[[#This Row],[%Change]]) &gt; 0.3, "Alert: Preference Shift", "")</f>
        <v>Alert: Preference Shift</v>
      </c>
    </row>
    <row r="335" spans="1:10">
      <c r="A335" s="54">
        <v>51995</v>
      </c>
      <c r="B335" s="15" t="s">
        <v>12</v>
      </c>
      <c r="C335" s="14" t="str">
        <f t="shared" si="22"/>
        <v>May</v>
      </c>
      <c r="D335" s="15" t="str">
        <f>CHOOSE(MATCH(MONTH(A335), {1,4,7,10}), "Winter", "Spring", "Summer", "Autumn")</f>
        <v>Spring</v>
      </c>
      <c r="E335">
        <f t="shared" si="23"/>
        <v>2042</v>
      </c>
      <c r="F335">
        <v>102</v>
      </c>
      <c r="G335">
        <f t="shared" ca="1" si="20"/>
        <v>133</v>
      </c>
      <c r="H335">
        <f t="shared" ca="1" si="21"/>
        <v>118</v>
      </c>
      <c r="I335" s="81">
        <f ca="1">(Table17[[#This Row],[Current_Month_Sales]]-Table17[[#This Row],[Previous Month Sales]])/Table17[[#This Row],[Previous Month Sales]]</f>
        <v>0.1271186440677966</v>
      </c>
      <c r="J335" t="str">
        <f ca="1">IF(ABS(Table17[[#This Row],[%Change]]) &gt; 0.3, "Alert: Preference Shift", "")</f>
        <v/>
      </c>
    </row>
    <row r="336" spans="1:10">
      <c r="A336" s="53">
        <v>52025</v>
      </c>
      <c r="B336" s="14" t="s">
        <v>11</v>
      </c>
      <c r="C336" s="14" t="str">
        <f t="shared" si="22"/>
        <v>June</v>
      </c>
      <c r="D336" s="14" t="str">
        <f>CHOOSE(MATCH(MONTH(A336), {1,4,7,10}), "Winter", "Spring", "Summer", "Autumn")</f>
        <v>Spring</v>
      </c>
      <c r="E336">
        <f t="shared" si="23"/>
        <v>2042</v>
      </c>
      <c r="F336">
        <v>99</v>
      </c>
      <c r="G336">
        <f t="shared" ca="1" si="20"/>
        <v>97</v>
      </c>
      <c r="H336">
        <f t="shared" ca="1" si="21"/>
        <v>118</v>
      </c>
      <c r="I336" s="81">
        <f ca="1">(Table17[[#This Row],[Current_Month_Sales]]-Table17[[#This Row],[Previous Month Sales]])/Table17[[#This Row],[Previous Month Sales]]</f>
        <v>-0.17796610169491525</v>
      </c>
      <c r="J336" t="str">
        <f ca="1">IF(ABS(Table17[[#This Row],[%Change]]) &gt; 0.3, "Alert: Preference Shift", "")</f>
        <v/>
      </c>
    </row>
    <row r="337" spans="1:10">
      <c r="A337" s="54">
        <v>52055</v>
      </c>
      <c r="B337" s="15" t="s">
        <v>11</v>
      </c>
      <c r="C337" s="14" t="str">
        <f t="shared" si="22"/>
        <v>July</v>
      </c>
      <c r="D337" s="15" t="str">
        <f>CHOOSE(MATCH(MONTH(A337), {1,4,7,10}), "Winter", "Spring", "Summer", "Autumn")</f>
        <v>Summer</v>
      </c>
      <c r="E337">
        <f t="shared" si="23"/>
        <v>2042</v>
      </c>
      <c r="F337">
        <v>88</v>
      </c>
      <c r="G337">
        <f t="shared" ca="1" si="20"/>
        <v>157</v>
      </c>
      <c r="H337">
        <f t="shared" ca="1" si="21"/>
        <v>109</v>
      </c>
      <c r="I337" s="81">
        <f ca="1">(Table17[[#This Row],[Current_Month_Sales]]-Table17[[#This Row],[Previous Month Sales]])/Table17[[#This Row],[Previous Month Sales]]</f>
        <v>0.44036697247706424</v>
      </c>
      <c r="J337" t="str">
        <f ca="1">IF(ABS(Table17[[#This Row],[%Change]]) &gt; 0.3, "Alert: Preference Shift", "")</f>
        <v>Alert: Preference Shift</v>
      </c>
    </row>
    <row r="338" spans="1:10">
      <c r="A338" s="53">
        <v>52085</v>
      </c>
      <c r="B338" s="14" t="s">
        <v>12</v>
      </c>
      <c r="C338" s="14" t="str">
        <f t="shared" si="22"/>
        <v>August</v>
      </c>
      <c r="D338" s="14" t="str">
        <f>CHOOSE(MATCH(MONTH(A338), {1,4,7,10}), "Winter", "Spring", "Summer", "Autumn")</f>
        <v>Summer</v>
      </c>
      <c r="E338">
        <f t="shared" si="23"/>
        <v>2042</v>
      </c>
      <c r="F338">
        <v>100</v>
      </c>
      <c r="G338">
        <f t="shared" ca="1" si="20"/>
        <v>100</v>
      </c>
      <c r="H338">
        <f t="shared" ca="1" si="21"/>
        <v>48</v>
      </c>
      <c r="I338" s="81">
        <f ca="1">(Table17[[#This Row],[Current_Month_Sales]]-Table17[[#This Row],[Previous Month Sales]])/Table17[[#This Row],[Previous Month Sales]]</f>
        <v>1.0833333333333333</v>
      </c>
      <c r="J338" t="str">
        <f ca="1">IF(ABS(Table17[[#This Row],[%Change]]) &gt; 0.3, "Alert: Preference Shift", "")</f>
        <v>Alert: Preference Shift</v>
      </c>
    </row>
    <row r="339" spans="1:10">
      <c r="A339" s="54">
        <v>52115</v>
      </c>
      <c r="B339" s="15" t="s">
        <v>14</v>
      </c>
      <c r="C339" s="14" t="str">
        <f t="shared" si="22"/>
        <v>September</v>
      </c>
      <c r="D339" s="15" t="str">
        <f>CHOOSE(MATCH(MONTH(A339), {1,4,7,10}), "Winter", "Spring", "Summer", "Autumn")</f>
        <v>Summer</v>
      </c>
      <c r="E339">
        <f t="shared" si="23"/>
        <v>2042</v>
      </c>
      <c r="F339">
        <v>100</v>
      </c>
      <c r="G339">
        <f t="shared" ca="1" si="20"/>
        <v>89</v>
      </c>
      <c r="H339">
        <f t="shared" ca="1" si="21"/>
        <v>48</v>
      </c>
      <c r="I339" s="81">
        <f ca="1">(Table17[[#This Row],[Current_Month_Sales]]-Table17[[#This Row],[Previous Month Sales]])/Table17[[#This Row],[Previous Month Sales]]</f>
        <v>0.85416666666666663</v>
      </c>
      <c r="J339" t="str">
        <f ca="1">IF(ABS(Table17[[#This Row],[%Change]]) &gt; 0.3, "Alert: Preference Shift", "")</f>
        <v>Alert: Preference Shift</v>
      </c>
    </row>
    <row r="340" spans="1:10">
      <c r="A340" s="53">
        <v>52145</v>
      </c>
      <c r="B340" s="14" t="s">
        <v>13</v>
      </c>
      <c r="C340" s="14" t="str">
        <f t="shared" si="22"/>
        <v>October</v>
      </c>
      <c r="D340" s="14" t="str">
        <f>CHOOSE(MATCH(MONTH(A340), {1,4,7,10}), "Winter", "Spring", "Summer", "Autumn")</f>
        <v>Autumn</v>
      </c>
      <c r="E340">
        <f t="shared" si="23"/>
        <v>2042</v>
      </c>
      <c r="F340">
        <v>106</v>
      </c>
      <c r="G340">
        <f t="shared" ca="1" si="20"/>
        <v>121</v>
      </c>
      <c r="H340">
        <f t="shared" ca="1" si="21"/>
        <v>105</v>
      </c>
      <c r="I340" s="81">
        <f ca="1">(Table17[[#This Row],[Current_Month_Sales]]-Table17[[#This Row],[Previous Month Sales]])/Table17[[#This Row],[Previous Month Sales]]</f>
        <v>0.15238095238095239</v>
      </c>
      <c r="J340" t="str">
        <f ca="1">IF(ABS(Table17[[#This Row],[%Change]]) &gt; 0.3, "Alert: Preference Shift", "")</f>
        <v/>
      </c>
    </row>
    <row r="341" spans="1:10">
      <c r="A341" s="54">
        <v>52175</v>
      </c>
      <c r="B341" s="15" t="s">
        <v>11</v>
      </c>
      <c r="C341" s="14" t="str">
        <f t="shared" si="22"/>
        <v>November</v>
      </c>
      <c r="D341" s="15" t="str">
        <f>CHOOSE(MATCH(MONTH(A341), {1,4,7,10}), "Winter", "Spring", "Summer", "Autumn")</f>
        <v>Autumn</v>
      </c>
      <c r="E341">
        <f t="shared" si="23"/>
        <v>2042</v>
      </c>
      <c r="F341">
        <v>100</v>
      </c>
      <c r="G341">
        <f t="shared" ca="1" si="20"/>
        <v>150</v>
      </c>
      <c r="H341">
        <f t="shared" ca="1" si="21"/>
        <v>109</v>
      </c>
      <c r="I341" s="81">
        <f ca="1">(Table17[[#This Row],[Current_Month_Sales]]-Table17[[#This Row],[Previous Month Sales]])/Table17[[#This Row],[Previous Month Sales]]</f>
        <v>0.37614678899082571</v>
      </c>
      <c r="J341" t="str">
        <f ca="1">IF(ABS(Table17[[#This Row],[%Change]]) &gt; 0.3, "Alert: Preference Shift", "")</f>
        <v>Alert: Preference Shift</v>
      </c>
    </row>
    <row r="342" spans="1:10">
      <c r="A342" s="53">
        <v>52205</v>
      </c>
      <c r="B342" s="14" t="s">
        <v>13</v>
      </c>
      <c r="C342" s="14" t="str">
        <f t="shared" si="22"/>
        <v>December</v>
      </c>
      <c r="D342" s="14" t="str">
        <f>CHOOSE(MATCH(MONTH(A342), {1,4,7,10}), "Winter", "Spring", "Summer", "Autumn")</f>
        <v>Autumn</v>
      </c>
      <c r="E342">
        <f t="shared" si="23"/>
        <v>2042</v>
      </c>
      <c r="F342">
        <v>98</v>
      </c>
      <c r="G342">
        <f t="shared" ca="1" si="20"/>
        <v>65</v>
      </c>
      <c r="H342">
        <f t="shared" ca="1" si="21"/>
        <v>68</v>
      </c>
      <c r="I342" s="81">
        <f ca="1">(Table17[[#This Row],[Current_Month_Sales]]-Table17[[#This Row],[Previous Month Sales]])/Table17[[#This Row],[Previous Month Sales]]</f>
        <v>-4.4117647058823532E-2</v>
      </c>
      <c r="J342" t="str">
        <f ca="1">IF(ABS(Table17[[#This Row],[%Change]]) &gt; 0.3, "Alert: Preference Shift", "")</f>
        <v/>
      </c>
    </row>
    <row r="343" spans="1:10">
      <c r="A343" s="54">
        <v>52235</v>
      </c>
      <c r="B343" s="15" t="s">
        <v>13</v>
      </c>
      <c r="C343" s="14" t="str">
        <f t="shared" si="22"/>
        <v>January</v>
      </c>
      <c r="D343" s="15" t="str">
        <f>CHOOSE(MATCH(MONTH(A343), {1,4,7,10}), "Winter", "Spring", "Summer", "Autumn")</f>
        <v>Winter</v>
      </c>
      <c r="E343">
        <f t="shared" si="23"/>
        <v>2043</v>
      </c>
      <c r="F343">
        <v>119</v>
      </c>
      <c r="G343">
        <f t="shared" ca="1" si="20"/>
        <v>65</v>
      </c>
      <c r="H343">
        <f t="shared" ca="1" si="21"/>
        <v>129</v>
      </c>
      <c r="I343" s="81">
        <f ca="1">(Table17[[#This Row],[Current_Month_Sales]]-Table17[[#This Row],[Previous Month Sales]])/Table17[[#This Row],[Previous Month Sales]]</f>
        <v>-0.49612403100775193</v>
      </c>
      <c r="J343" t="str">
        <f ca="1">IF(ABS(Table17[[#This Row],[%Change]]) &gt; 0.3, "Alert: Preference Shift", "")</f>
        <v>Alert: Preference Shift</v>
      </c>
    </row>
    <row r="344" spans="1:10">
      <c r="A344" s="53">
        <v>52265</v>
      </c>
      <c r="B344" s="14" t="s">
        <v>10</v>
      </c>
      <c r="C344" s="14" t="str">
        <f t="shared" si="22"/>
        <v>February</v>
      </c>
      <c r="D344" s="14" t="str">
        <f>CHOOSE(MATCH(MONTH(A344), {1,4,7,10}), "Winter", "Spring", "Summer", "Autumn")</f>
        <v>Winter</v>
      </c>
      <c r="E344">
        <f t="shared" si="23"/>
        <v>2043</v>
      </c>
      <c r="F344">
        <v>99</v>
      </c>
      <c r="G344">
        <f t="shared" ca="1" si="20"/>
        <v>130</v>
      </c>
      <c r="H344">
        <f t="shared" ca="1" si="21"/>
        <v>129</v>
      </c>
      <c r="I344" s="81">
        <f ca="1">(Table17[[#This Row],[Current_Month_Sales]]-Table17[[#This Row],[Previous Month Sales]])/Table17[[#This Row],[Previous Month Sales]]</f>
        <v>7.7519379844961239E-3</v>
      </c>
      <c r="J344" t="str">
        <f ca="1">IF(ABS(Table17[[#This Row],[%Change]]) &gt; 0.3, "Alert: Preference Shift", "")</f>
        <v/>
      </c>
    </row>
    <row r="345" spans="1:10">
      <c r="A345" s="54">
        <v>52295</v>
      </c>
      <c r="B345" s="15" t="s">
        <v>13</v>
      </c>
      <c r="C345" s="14" t="str">
        <f t="shared" si="22"/>
        <v>March</v>
      </c>
      <c r="D345" s="15" t="str">
        <f>CHOOSE(MATCH(MONTH(A345), {1,4,7,10}), "Winter", "Spring", "Summer", "Autumn")</f>
        <v>Winter</v>
      </c>
      <c r="E345">
        <f t="shared" si="23"/>
        <v>2043</v>
      </c>
      <c r="F345">
        <v>87</v>
      </c>
      <c r="G345">
        <f t="shared" ca="1" si="20"/>
        <v>157</v>
      </c>
      <c r="H345">
        <f t="shared" ca="1" si="21"/>
        <v>117</v>
      </c>
      <c r="I345" s="81">
        <f ca="1">(Table17[[#This Row],[Current_Month_Sales]]-Table17[[#This Row],[Previous Month Sales]])/Table17[[#This Row],[Previous Month Sales]]</f>
        <v>0.34188034188034189</v>
      </c>
      <c r="J345" t="str">
        <f ca="1">IF(ABS(Table17[[#This Row],[%Change]]) &gt; 0.3, "Alert: Preference Shift", "")</f>
        <v>Alert: Preference Shift</v>
      </c>
    </row>
    <row r="346" spans="1:10">
      <c r="A346" s="53">
        <v>52325</v>
      </c>
      <c r="B346" s="14" t="s">
        <v>11</v>
      </c>
      <c r="C346" s="14" t="str">
        <f t="shared" si="22"/>
        <v>April</v>
      </c>
      <c r="D346" s="14" t="str">
        <f>CHOOSE(MATCH(MONTH(A346), {1,4,7,10}), "Winter", "Spring", "Summer", "Autumn")</f>
        <v>Spring</v>
      </c>
      <c r="E346">
        <f t="shared" si="23"/>
        <v>2043</v>
      </c>
      <c r="F346">
        <v>100</v>
      </c>
      <c r="G346">
        <f t="shared" ca="1" si="20"/>
        <v>100</v>
      </c>
      <c r="H346">
        <f t="shared" ca="1" si="21"/>
        <v>129</v>
      </c>
      <c r="I346" s="81">
        <f ca="1">(Table17[[#This Row],[Current_Month_Sales]]-Table17[[#This Row],[Previous Month Sales]])/Table17[[#This Row],[Previous Month Sales]]</f>
        <v>-0.22480620155038761</v>
      </c>
      <c r="J346" t="str">
        <f ca="1">IF(ABS(Table17[[#This Row],[%Change]]) &gt; 0.3, "Alert: Preference Shift", "")</f>
        <v/>
      </c>
    </row>
    <row r="347" spans="1:10">
      <c r="A347" s="54">
        <v>52355</v>
      </c>
      <c r="B347" s="15" t="s">
        <v>10</v>
      </c>
      <c r="C347" s="14" t="str">
        <f t="shared" si="22"/>
        <v>May</v>
      </c>
      <c r="D347" s="15" t="str">
        <f>CHOOSE(MATCH(MONTH(A347), {1,4,7,10}), "Winter", "Spring", "Summer", "Autumn")</f>
        <v>Spring</v>
      </c>
      <c r="E347">
        <f t="shared" si="23"/>
        <v>2043</v>
      </c>
      <c r="F347">
        <v>103</v>
      </c>
      <c r="G347">
        <f t="shared" ca="1" si="20"/>
        <v>121</v>
      </c>
      <c r="H347">
        <f t="shared" ca="1" si="21"/>
        <v>63</v>
      </c>
      <c r="I347" s="81">
        <f ca="1">(Table17[[#This Row],[Current_Month_Sales]]-Table17[[#This Row],[Previous Month Sales]])/Table17[[#This Row],[Previous Month Sales]]</f>
        <v>0.92063492063492058</v>
      </c>
      <c r="J347" t="str">
        <f ca="1">IF(ABS(Table17[[#This Row],[%Change]]) &gt; 0.3, "Alert: Preference Shift", "")</f>
        <v>Alert: Preference Shift</v>
      </c>
    </row>
    <row r="348" spans="1:10">
      <c r="A348" s="53">
        <v>52385</v>
      </c>
      <c r="B348" s="14" t="s">
        <v>12</v>
      </c>
      <c r="C348" s="14" t="str">
        <f t="shared" si="22"/>
        <v>June</v>
      </c>
      <c r="D348" s="14" t="str">
        <f>CHOOSE(MATCH(MONTH(A348), {1,4,7,10}), "Winter", "Spring", "Summer", "Autumn")</f>
        <v>Spring</v>
      </c>
      <c r="E348">
        <f t="shared" si="23"/>
        <v>2043</v>
      </c>
      <c r="F348">
        <v>79</v>
      </c>
      <c r="G348">
        <f t="shared" ca="1" si="20"/>
        <v>189</v>
      </c>
      <c r="H348">
        <f t="shared" ca="1" si="21"/>
        <v>105</v>
      </c>
      <c r="I348" s="81">
        <f ca="1">(Table17[[#This Row],[Current_Month_Sales]]-Table17[[#This Row],[Previous Month Sales]])/Table17[[#This Row],[Previous Month Sales]]</f>
        <v>0.8</v>
      </c>
      <c r="J348" t="str">
        <f ca="1">IF(ABS(Table17[[#This Row],[%Change]]) &gt; 0.3, "Alert: Preference Shift", "")</f>
        <v>Alert: Preference Shift</v>
      </c>
    </row>
    <row r="349" spans="1:10">
      <c r="A349" s="54">
        <v>52415</v>
      </c>
      <c r="B349" s="15" t="s">
        <v>11</v>
      </c>
      <c r="C349" s="14" t="str">
        <f t="shared" si="22"/>
        <v>July</v>
      </c>
      <c r="D349" s="15" t="str">
        <f>CHOOSE(MATCH(MONTH(A349), {1,4,7,10}), "Winter", "Spring", "Summer", "Autumn")</f>
        <v>Summer</v>
      </c>
      <c r="E349">
        <f t="shared" si="23"/>
        <v>2043</v>
      </c>
      <c r="F349">
        <v>110</v>
      </c>
      <c r="G349">
        <f t="shared" ca="1" si="20"/>
        <v>89</v>
      </c>
      <c r="H349">
        <f t="shared" ca="1" si="21"/>
        <v>63</v>
      </c>
      <c r="I349" s="81">
        <f ca="1">(Table17[[#This Row],[Current_Month_Sales]]-Table17[[#This Row],[Previous Month Sales]])/Table17[[#This Row],[Previous Month Sales]]</f>
        <v>0.41269841269841268</v>
      </c>
      <c r="J349" t="str">
        <f ca="1">IF(ABS(Table17[[#This Row],[%Change]]) &gt; 0.3, "Alert: Preference Shift", "")</f>
        <v>Alert: Preference Shift</v>
      </c>
    </row>
    <row r="350" spans="1:10">
      <c r="A350" s="53">
        <v>52445</v>
      </c>
      <c r="B350" s="14" t="s">
        <v>10</v>
      </c>
      <c r="C350" s="14" t="str">
        <f t="shared" si="22"/>
        <v>August</v>
      </c>
      <c r="D350" s="14" t="str">
        <f>CHOOSE(MATCH(MONTH(A350), {1,4,7,10}), "Winter", "Spring", "Summer", "Autumn")</f>
        <v>Summer</v>
      </c>
      <c r="E350">
        <f t="shared" si="23"/>
        <v>2043</v>
      </c>
      <c r="F350">
        <v>95</v>
      </c>
      <c r="G350">
        <f t="shared" ca="1" si="20"/>
        <v>121</v>
      </c>
      <c r="H350">
        <f t="shared" ca="1" si="21"/>
        <v>105</v>
      </c>
      <c r="I350" s="81">
        <f ca="1">(Table17[[#This Row],[Current_Month_Sales]]-Table17[[#This Row],[Previous Month Sales]])/Table17[[#This Row],[Previous Month Sales]]</f>
        <v>0.15238095238095239</v>
      </c>
      <c r="J350" t="str">
        <f ca="1">IF(ABS(Table17[[#This Row],[%Change]]) &gt; 0.3, "Alert: Preference Shift", "")</f>
        <v/>
      </c>
    </row>
    <row r="351" spans="1:10">
      <c r="A351" s="54">
        <v>52475</v>
      </c>
      <c r="B351" s="15" t="s">
        <v>10</v>
      </c>
      <c r="C351" s="14" t="str">
        <f t="shared" si="22"/>
        <v>September</v>
      </c>
      <c r="D351" s="15" t="str">
        <f>CHOOSE(MATCH(MONTH(A351), {1,4,7,10}), "Winter", "Spring", "Summer", "Autumn")</f>
        <v>Summer</v>
      </c>
      <c r="E351">
        <f t="shared" si="23"/>
        <v>2043</v>
      </c>
      <c r="F351">
        <v>101</v>
      </c>
      <c r="G351">
        <f t="shared" ca="1" si="20"/>
        <v>130</v>
      </c>
      <c r="H351">
        <f t="shared" ca="1" si="21"/>
        <v>117</v>
      </c>
      <c r="I351" s="81">
        <f ca="1">(Table17[[#This Row],[Current_Month_Sales]]-Table17[[#This Row],[Previous Month Sales]])/Table17[[#This Row],[Previous Month Sales]]</f>
        <v>0.1111111111111111</v>
      </c>
      <c r="J351" t="str">
        <f ca="1">IF(ABS(Table17[[#This Row],[%Change]]) &gt; 0.3, "Alert: Preference Shift", "")</f>
        <v/>
      </c>
    </row>
    <row r="352" spans="1:10">
      <c r="A352" s="53">
        <v>52505</v>
      </c>
      <c r="B352" s="14" t="s">
        <v>13</v>
      </c>
      <c r="C352" s="14" t="str">
        <f t="shared" si="22"/>
        <v>October</v>
      </c>
      <c r="D352" s="14" t="str">
        <f>CHOOSE(MATCH(MONTH(A352), {1,4,7,10}), "Winter", "Spring", "Summer", "Autumn")</f>
        <v>Autumn</v>
      </c>
      <c r="E352">
        <f t="shared" si="23"/>
        <v>2043</v>
      </c>
      <c r="F352">
        <v>95</v>
      </c>
      <c r="G352">
        <f t="shared" ca="1" si="20"/>
        <v>130</v>
      </c>
      <c r="H352">
        <f t="shared" ca="1" si="21"/>
        <v>129</v>
      </c>
      <c r="I352" s="81">
        <f ca="1">(Table17[[#This Row],[Current_Month_Sales]]-Table17[[#This Row],[Previous Month Sales]])/Table17[[#This Row],[Previous Month Sales]]</f>
        <v>7.7519379844961239E-3</v>
      </c>
      <c r="J352" t="str">
        <f ca="1">IF(ABS(Table17[[#This Row],[%Change]]) &gt; 0.3, "Alert: Preference Shift", "")</f>
        <v/>
      </c>
    </row>
    <row r="353" spans="1:10">
      <c r="A353" s="54">
        <v>52535</v>
      </c>
      <c r="B353" s="15" t="s">
        <v>12</v>
      </c>
      <c r="C353" s="14" t="str">
        <f t="shared" si="22"/>
        <v>October</v>
      </c>
      <c r="D353" s="15" t="str">
        <f>CHOOSE(MATCH(MONTH(A353), {1,4,7,10}), "Winter", "Spring", "Summer", "Autumn")</f>
        <v>Autumn</v>
      </c>
      <c r="E353">
        <f t="shared" si="23"/>
        <v>2043</v>
      </c>
      <c r="F353">
        <v>107</v>
      </c>
      <c r="G353">
        <f t="shared" ca="1" si="20"/>
        <v>172</v>
      </c>
      <c r="H353">
        <f t="shared" ca="1" si="21"/>
        <v>56</v>
      </c>
      <c r="I353" s="81">
        <f ca="1">(Table17[[#This Row],[Current_Month_Sales]]-Table17[[#This Row],[Previous Month Sales]])/Table17[[#This Row],[Previous Month Sales]]</f>
        <v>2.0714285714285716</v>
      </c>
      <c r="J353" t="str">
        <f ca="1">IF(ABS(Table17[[#This Row],[%Change]]) &gt; 0.3, "Alert: Preference Shift", "")</f>
        <v>Alert: Preference Shift</v>
      </c>
    </row>
    <row r="354" spans="1:10">
      <c r="A354" s="53">
        <v>52565</v>
      </c>
      <c r="B354" s="14" t="s">
        <v>11</v>
      </c>
      <c r="C354" s="14" t="str">
        <f t="shared" si="22"/>
        <v>November</v>
      </c>
      <c r="D354" s="14" t="str">
        <f>CHOOSE(MATCH(MONTH(A354), {1,4,7,10}), "Winter", "Spring", "Summer", "Autumn")</f>
        <v>Autumn</v>
      </c>
      <c r="E354">
        <f t="shared" si="23"/>
        <v>2043</v>
      </c>
      <c r="F354">
        <v>91</v>
      </c>
      <c r="G354">
        <f t="shared" ca="1" si="20"/>
        <v>189</v>
      </c>
      <c r="H354">
        <f t="shared" ca="1" si="21"/>
        <v>105</v>
      </c>
      <c r="I354" s="81">
        <f ca="1">(Table17[[#This Row],[Current_Month_Sales]]-Table17[[#This Row],[Previous Month Sales]])/Table17[[#This Row],[Previous Month Sales]]</f>
        <v>0.8</v>
      </c>
      <c r="J354" t="str">
        <f ca="1">IF(ABS(Table17[[#This Row],[%Change]]) &gt; 0.3, "Alert: Preference Shift", "")</f>
        <v>Alert: Preference Shift</v>
      </c>
    </row>
    <row r="355" spans="1:10">
      <c r="A355" s="54">
        <v>52595</v>
      </c>
      <c r="B355" s="15" t="s">
        <v>11</v>
      </c>
      <c r="C355" s="14" t="str">
        <f t="shared" si="22"/>
        <v>December</v>
      </c>
      <c r="D355" s="15" t="str">
        <f>CHOOSE(MATCH(MONTH(A355), {1,4,7,10}), "Winter", "Spring", "Summer", "Autumn")</f>
        <v>Autumn</v>
      </c>
      <c r="E355">
        <f t="shared" si="23"/>
        <v>2043</v>
      </c>
      <c r="F355">
        <v>87</v>
      </c>
      <c r="G355">
        <f t="shared" ca="1" si="20"/>
        <v>100</v>
      </c>
      <c r="H355">
        <f t="shared" ca="1" si="21"/>
        <v>109</v>
      </c>
      <c r="I355" s="81">
        <f ca="1">(Table17[[#This Row],[Current_Month_Sales]]-Table17[[#This Row],[Previous Month Sales]])/Table17[[#This Row],[Previous Month Sales]]</f>
        <v>-8.2568807339449546E-2</v>
      </c>
      <c r="J355" t="str">
        <f ca="1">IF(ABS(Table17[[#This Row],[%Change]]) &gt; 0.3, "Alert: Preference Shift", "")</f>
        <v/>
      </c>
    </row>
    <row r="356" spans="1:10">
      <c r="A356" s="53">
        <v>52625</v>
      </c>
      <c r="B356" s="14" t="s">
        <v>13</v>
      </c>
      <c r="C356" s="14" t="str">
        <f t="shared" si="22"/>
        <v>January</v>
      </c>
      <c r="D356" s="14" t="str">
        <f>CHOOSE(MATCH(MONTH(A356), {1,4,7,10}), "Winter", "Spring", "Summer", "Autumn")</f>
        <v>Winter</v>
      </c>
      <c r="E356">
        <f t="shared" si="23"/>
        <v>2044</v>
      </c>
      <c r="F356">
        <v>100</v>
      </c>
      <c r="G356">
        <f t="shared" ca="1" si="20"/>
        <v>133</v>
      </c>
      <c r="H356">
        <f t="shared" ca="1" si="21"/>
        <v>118</v>
      </c>
      <c r="I356" s="81">
        <f ca="1">(Table17[[#This Row],[Current_Month_Sales]]-Table17[[#This Row],[Previous Month Sales]])/Table17[[#This Row],[Previous Month Sales]]</f>
        <v>0.1271186440677966</v>
      </c>
      <c r="J356" t="str">
        <f ca="1">IF(ABS(Table17[[#This Row],[%Change]]) &gt; 0.3, "Alert: Preference Shift", "")</f>
        <v/>
      </c>
    </row>
    <row r="357" spans="1:10">
      <c r="A357" s="54">
        <v>52655</v>
      </c>
      <c r="B357" s="15" t="s">
        <v>12</v>
      </c>
      <c r="C357" s="14" t="str">
        <f t="shared" si="22"/>
        <v>February</v>
      </c>
      <c r="D357" s="15" t="str">
        <f>CHOOSE(MATCH(MONTH(A357), {1,4,7,10}), "Winter", "Spring", "Summer", "Autumn")</f>
        <v>Winter</v>
      </c>
      <c r="E357">
        <f t="shared" si="23"/>
        <v>2044</v>
      </c>
      <c r="F357">
        <v>117</v>
      </c>
      <c r="G357">
        <f t="shared" ca="1" si="20"/>
        <v>157</v>
      </c>
      <c r="H357">
        <f t="shared" ca="1" si="21"/>
        <v>68</v>
      </c>
      <c r="I357" s="81">
        <f ca="1">(Table17[[#This Row],[Current_Month_Sales]]-Table17[[#This Row],[Previous Month Sales]])/Table17[[#This Row],[Previous Month Sales]]</f>
        <v>1.3088235294117647</v>
      </c>
      <c r="J357" t="str">
        <f ca="1">IF(ABS(Table17[[#This Row],[%Change]]) &gt; 0.3, "Alert: Preference Shift", "")</f>
        <v>Alert: Preference Shift</v>
      </c>
    </row>
    <row r="358" spans="1:10">
      <c r="A358" s="53">
        <v>52685</v>
      </c>
      <c r="B358" s="14" t="s">
        <v>11</v>
      </c>
      <c r="C358" s="14" t="str">
        <f t="shared" si="22"/>
        <v>March</v>
      </c>
      <c r="D358" s="14" t="str">
        <f>CHOOSE(MATCH(MONTH(A358), {1,4,7,10}), "Winter", "Spring", "Summer", "Autumn")</f>
        <v>Winter</v>
      </c>
      <c r="E358">
        <f t="shared" si="23"/>
        <v>2044</v>
      </c>
      <c r="F358">
        <v>102</v>
      </c>
      <c r="G358">
        <f t="shared" ca="1" si="20"/>
        <v>130</v>
      </c>
      <c r="H358">
        <f t="shared" ca="1" si="21"/>
        <v>118</v>
      </c>
      <c r="I358" s="81">
        <f ca="1">(Table17[[#This Row],[Current_Month_Sales]]-Table17[[#This Row],[Previous Month Sales]])/Table17[[#This Row],[Previous Month Sales]]</f>
        <v>0.10169491525423729</v>
      </c>
      <c r="J358" t="str">
        <f ca="1">IF(ABS(Table17[[#This Row],[%Change]]) &gt; 0.3, "Alert: Preference Shift", "")</f>
        <v/>
      </c>
    </row>
    <row r="359" spans="1:10">
      <c r="A359" s="54">
        <v>52715</v>
      </c>
      <c r="B359" s="15" t="s">
        <v>12</v>
      </c>
      <c r="C359" s="14" t="str">
        <f t="shared" si="22"/>
        <v>April</v>
      </c>
      <c r="D359" s="15" t="str">
        <f>CHOOSE(MATCH(MONTH(A359), {1,4,7,10}), "Winter", "Spring", "Summer", "Autumn")</f>
        <v>Spring</v>
      </c>
      <c r="E359">
        <f t="shared" si="23"/>
        <v>2044</v>
      </c>
      <c r="F359">
        <v>88</v>
      </c>
      <c r="G359">
        <f t="shared" ca="1" si="20"/>
        <v>121</v>
      </c>
      <c r="H359">
        <f t="shared" ca="1" si="21"/>
        <v>63</v>
      </c>
      <c r="I359" s="81">
        <f ca="1">(Table17[[#This Row],[Current_Month_Sales]]-Table17[[#This Row],[Previous Month Sales]])/Table17[[#This Row],[Previous Month Sales]]</f>
        <v>0.92063492063492058</v>
      </c>
      <c r="J359" t="str">
        <f ca="1">IF(ABS(Table17[[#This Row],[%Change]]) &gt; 0.3, "Alert: Preference Shift", "")</f>
        <v>Alert: Preference Shift</v>
      </c>
    </row>
    <row r="360" spans="1:10">
      <c r="A360" s="53">
        <v>52745</v>
      </c>
      <c r="B360" s="14" t="s">
        <v>11</v>
      </c>
      <c r="C360" s="14" t="str">
        <f t="shared" si="22"/>
        <v>May</v>
      </c>
      <c r="D360" s="14" t="str">
        <f>CHOOSE(MATCH(MONTH(A360), {1,4,7,10}), "Winter", "Spring", "Summer", "Autumn")</f>
        <v>Spring</v>
      </c>
      <c r="E360">
        <f t="shared" si="23"/>
        <v>2044</v>
      </c>
      <c r="F360">
        <v>100</v>
      </c>
      <c r="G360">
        <f t="shared" ca="1" si="20"/>
        <v>65</v>
      </c>
      <c r="H360">
        <f t="shared" ca="1" si="21"/>
        <v>105</v>
      </c>
      <c r="I360" s="81">
        <f ca="1">(Table17[[#This Row],[Current_Month_Sales]]-Table17[[#This Row],[Previous Month Sales]])/Table17[[#This Row],[Previous Month Sales]]</f>
        <v>-0.38095238095238093</v>
      </c>
      <c r="J360" t="str">
        <f ca="1">IF(ABS(Table17[[#This Row],[%Change]]) &gt; 0.3, "Alert: Preference Shift", "")</f>
        <v>Alert: Preference Shift</v>
      </c>
    </row>
    <row r="361" spans="1:10">
      <c r="A361" s="54">
        <v>52775</v>
      </c>
      <c r="B361" s="15" t="s">
        <v>13</v>
      </c>
      <c r="C361" s="14" t="str">
        <f t="shared" si="22"/>
        <v>June</v>
      </c>
      <c r="D361" s="15" t="str">
        <f>CHOOSE(MATCH(MONTH(A361), {1,4,7,10}), "Winter", "Spring", "Summer", "Autumn")</f>
        <v>Spring</v>
      </c>
      <c r="E361">
        <f t="shared" si="23"/>
        <v>2044</v>
      </c>
      <c r="F361">
        <v>81</v>
      </c>
      <c r="G361">
        <f t="shared" ca="1" si="20"/>
        <v>130</v>
      </c>
      <c r="H361">
        <f t="shared" ca="1" si="21"/>
        <v>48</v>
      </c>
      <c r="I361" s="81">
        <f ca="1">(Table17[[#This Row],[Current_Month_Sales]]-Table17[[#This Row],[Previous Month Sales]])/Table17[[#This Row],[Previous Month Sales]]</f>
        <v>1.7083333333333333</v>
      </c>
      <c r="J361" t="str">
        <f ca="1">IF(ABS(Table17[[#This Row],[%Change]]) &gt; 0.3, "Alert: Preference Shift", "")</f>
        <v>Alert: Preference Shift</v>
      </c>
    </row>
    <row r="362" spans="1:10">
      <c r="A362" s="53">
        <v>52805</v>
      </c>
      <c r="B362" s="14" t="s">
        <v>14</v>
      </c>
      <c r="C362" s="14" t="str">
        <f t="shared" si="22"/>
        <v>July</v>
      </c>
      <c r="D362" s="14" t="str">
        <f>CHOOSE(MATCH(MONTH(A362), {1,4,7,10}), "Winter", "Spring", "Summer", "Autumn")</f>
        <v>Summer</v>
      </c>
      <c r="E362">
        <f t="shared" si="23"/>
        <v>2044</v>
      </c>
      <c r="F362">
        <v>91</v>
      </c>
      <c r="G362">
        <f t="shared" ca="1" si="20"/>
        <v>157</v>
      </c>
      <c r="H362">
        <f t="shared" ca="1" si="21"/>
        <v>48</v>
      </c>
      <c r="I362" s="81">
        <f ca="1">(Table17[[#This Row],[Current_Month_Sales]]-Table17[[#This Row],[Previous Month Sales]])/Table17[[#This Row],[Previous Month Sales]]</f>
        <v>2.2708333333333335</v>
      </c>
      <c r="J362" t="str">
        <f ca="1">IF(ABS(Table17[[#This Row],[%Change]]) &gt; 0.3, "Alert: Preference Shift", "")</f>
        <v>Alert: Preference Shift</v>
      </c>
    </row>
    <row r="363" spans="1:10">
      <c r="A363" s="54">
        <v>52835</v>
      </c>
      <c r="B363" s="15" t="s">
        <v>11</v>
      </c>
      <c r="C363" s="14" t="str">
        <f t="shared" si="22"/>
        <v>August</v>
      </c>
      <c r="D363" s="15" t="str">
        <f>CHOOSE(MATCH(MONTH(A363), {1,4,7,10}), "Winter", "Spring", "Summer", "Autumn")</f>
        <v>Summer</v>
      </c>
      <c r="E363">
        <f t="shared" si="23"/>
        <v>2044</v>
      </c>
      <c r="F363">
        <v>90</v>
      </c>
      <c r="G363">
        <f t="shared" ca="1" si="20"/>
        <v>133</v>
      </c>
      <c r="H363">
        <f t="shared" ca="1" si="21"/>
        <v>129</v>
      </c>
      <c r="I363" s="81">
        <f ca="1">(Table17[[#This Row],[Current_Month_Sales]]-Table17[[#This Row],[Previous Month Sales]])/Table17[[#This Row],[Previous Month Sales]]</f>
        <v>3.1007751937984496E-2</v>
      </c>
      <c r="J363" t="str">
        <f ca="1">IF(ABS(Table17[[#This Row],[%Change]]) &gt; 0.3, "Alert: Preference Shift", "")</f>
        <v/>
      </c>
    </row>
    <row r="364" spans="1:10">
      <c r="A364" s="53">
        <v>52865</v>
      </c>
      <c r="B364" s="14" t="s">
        <v>10</v>
      </c>
      <c r="C364" s="14" t="str">
        <f t="shared" si="22"/>
        <v>September</v>
      </c>
      <c r="D364" s="14" t="str">
        <f>CHOOSE(MATCH(MONTH(A364), {1,4,7,10}), "Winter", "Spring", "Summer", "Autumn")</f>
        <v>Summer</v>
      </c>
      <c r="E364">
        <f t="shared" si="23"/>
        <v>2044</v>
      </c>
      <c r="F364">
        <v>102</v>
      </c>
      <c r="G364">
        <f t="shared" ca="1" si="20"/>
        <v>172</v>
      </c>
      <c r="H364">
        <f t="shared" ca="1" si="21"/>
        <v>117</v>
      </c>
      <c r="I364" s="81">
        <f ca="1">(Table17[[#This Row],[Current_Month_Sales]]-Table17[[#This Row],[Previous Month Sales]])/Table17[[#This Row],[Previous Month Sales]]</f>
        <v>0.47008547008547008</v>
      </c>
      <c r="J364" t="str">
        <f ca="1">IF(ABS(Table17[[#This Row],[%Change]]) &gt; 0.3, "Alert: Preference Shift", "")</f>
        <v>Alert: Preference Shift</v>
      </c>
    </row>
    <row r="365" spans="1:10">
      <c r="A365" s="54">
        <v>52895</v>
      </c>
      <c r="B365" s="15" t="s">
        <v>10</v>
      </c>
      <c r="C365" s="14" t="str">
        <f t="shared" si="22"/>
        <v>October</v>
      </c>
      <c r="D365" s="15" t="str">
        <f>CHOOSE(MATCH(MONTH(A365), {1,4,7,10}), "Winter", "Spring", "Summer", "Autumn")</f>
        <v>Autumn</v>
      </c>
      <c r="E365">
        <f t="shared" si="23"/>
        <v>2044</v>
      </c>
      <c r="F365">
        <v>109</v>
      </c>
      <c r="G365">
        <f t="shared" ca="1" si="20"/>
        <v>189</v>
      </c>
      <c r="H365">
        <f t="shared" ca="1" si="21"/>
        <v>118</v>
      </c>
      <c r="I365" s="81">
        <f ca="1">(Table17[[#This Row],[Current_Month_Sales]]-Table17[[#This Row],[Previous Month Sales]])/Table17[[#This Row],[Previous Month Sales]]</f>
        <v>0.60169491525423724</v>
      </c>
      <c r="J365" t="str">
        <f ca="1">IF(ABS(Table17[[#This Row],[%Change]]) &gt; 0.3, "Alert: Preference Shift", "")</f>
        <v>Alert: Preference Shift</v>
      </c>
    </row>
    <row r="366" spans="1:10">
      <c r="A366" s="53">
        <v>52925</v>
      </c>
      <c r="B366" s="14" t="s">
        <v>14</v>
      </c>
      <c r="C366" s="14" t="str">
        <f t="shared" si="22"/>
        <v>November</v>
      </c>
      <c r="D366" s="14" t="str">
        <f>CHOOSE(MATCH(MONTH(A366), {1,4,7,10}), "Winter", "Spring", "Summer", "Autumn")</f>
        <v>Autumn</v>
      </c>
      <c r="E366">
        <f t="shared" si="23"/>
        <v>2044</v>
      </c>
      <c r="F366">
        <v>101</v>
      </c>
      <c r="G366">
        <f t="shared" ca="1" si="20"/>
        <v>97</v>
      </c>
      <c r="H366">
        <f t="shared" ca="1" si="21"/>
        <v>48</v>
      </c>
      <c r="I366" s="81">
        <f ca="1">(Table17[[#This Row],[Current_Month_Sales]]-Table17[[#This Row],[Previous Month Sales]])/Table17[[#This Row],[Previous Month Sales]]</f>
        <v>1.0208333333333333</v>
      </c>
      <c r="J366" t="str">
        <f ca="1">IF(ABS(Table17[[#This Row],[%Change]]) &gt; 0.3, "Alert: Preference Shift", "")</f>
        <v>Alert: Preference Shift</v>
      </c>
    </row>
    <row r="367" spans="1:10">
      <c r="A367" s="54">
        <v>52955</v>
      </c>
      <c r="B367" s="15" t="s">
        <v>11</v>
      </c>
      <c r="C367" s="14" t="str">
        <f t="shared" si="22"/>
        <v>December</v>
      </c>
      <c r="D367" s="15" t="str">
        <f>CHOOSE(MATCH(MONTH(A367), {1,4,7,10}), "Winter", "Spring", "Summer", "Autumn")</f>
        <v>Autumn</v>
      </c>
      <c r="E367">
        <f t="shared" si="23"/>
        <v>2044</v>
      </c>
      <c r="F367">
        <v>97</v>
      </c>
      <c r="G367">
        <f t="shared" ca="1" si="20"/>
        <v>89</v>
      </c>
      <c r="H367">
        <f t="shared" ca="1" si="21"/>
        <v>117</v>
      </c>
      <c r="I367" s="81">
        <f ca="1">(Table17[[#This Row],[Current_Month_Sales]]-Table17[[#This Row],[Previous Month Sales]])/Table17[[#This Row],[Previous Month Sales]]</f>
        <v>-0.23931623931623933</v>
      </c>
      <c r="J367" t="str">
        <f ca="1">IF(ABS(Table17[[#This Row],[%Change]]) &gt; 0.3, "Alert: Preference Shift", "")</f>
        <v/>
      </c>
    </row>
    <row r="368" spans="1:10">
      <c r="A368" s="53">
        <v>52985</v>
      </c>
      <c r="B368" s="14" t="s">
        <v>10</v>
      </c>
      <c r="C368" s="14" t="str">
        <f t="shared" si="22"/>
        <v>January</v>
      </c>
      <c r="D368" s="14" t="str">
        <f>CHOOSE(MATCH(MONTH(A368), {1,4,7,10}), "Winter", "Spring", "Summer", "Autumn")</f>
        <v>Winter</v>
      </c>
      <c r="E368">
        <f t="shared" si="23"/>
        <v>2045</v>
      </c>
      <c r="F368">
        <v>88</v>
      </c>
      <c r="G368">
        <f t="shared" ca="1" si="20"/>
        <v>100</v>
      </c>
      <c r="H368">
        <f t="shared" ca="1" si="21"/>
        <v>105</v>
      </c>
      <c r="I368" s="81">
        <f ca="1">(Table17[[#This Row],[Current_Month_Sales]]-Table17[[#This Row],[Previous Month Sales]])/Table17[[#This Row],[Previous Month Sales]]</f>
        <v>-4.7619047619047616E-2</v>
      </c>
      <c r="J368" t="str">
        <f ca="1">IF(ABS(Table17[[#This Row],[%Change]]) &gt; 0.3, "Alert: Preference Shift", "")</f>
        <v/>
      </c>
    </row>
    <row r="369" spans="1:10">
      <c r="A369" s="54">
        <v>53015</v>
      </c>
      <c r="B369" s="15" t="s">
        <v>10</v>
      </c>
      <c r="C369" s="14" t="str">
        <f t="shared" si="22"/>
        <v>February</v>
      </c>
      <c r="D369" s="15" t="str">
        <f>CHOOSE(MATCH(MONTH(A369), {1,4,7,10}), "Winter", "Spring", "Summer", "Autumn")</f>
        <v>Winter</v>
      </c>
      <c r="E369">
        <f t="shared" si="23"/>
        <v>2045</v>
      </c>
      <c r="F369">
        <v>100</v>
      </c>
      <c r="G369">
        <f t="shared" ca="1" si="20"/>
        <v>130</v>
      </c>
      <c r="H369">
        <f t="shared" ca="1" si="21"/>
        <v>79</v>
      </c>
      <c r="I369" s="81">
        <f ca="1">(Table17[[#This Row],[Current_Month_Sales]]-Table17[[#This Row],[Previous Month Sales]])/Table17[[#This Row],[Previous Month Sales]]</f>
        <v>0.64556962025316456</v>
      </c>
      <c r="J369" t="str">
        <f ca="1">IF(ABS(Table17[[#This Row],[%Change]]) &gt; 0.3, "Alert: Preference Shift", "")</f>
        <v>Alert: Preference Shift</v>
      </c>
    </row>
    <row r="370" spans="1:10">
      <c r="A370" s="53">
        <v>53045</v>
      </c>
      <c r="B370" s="14" t="s">
        <v>11</v>
      </c>
      <c r="C370" s="14" t="str">
        <f t="shared" si="22"/>
        <v>March</v>
      </c>
      <c r="D370" s="14" t="str">
        <f>CHOOSE(MATCH(MONTH(A370), {1,4,7,10}), "Winter", "Spring", "Summer", "Autumn")</f>
        <v>Winter</v>
      </c>
      <c r="E370">
        <f t="shared" si="23"/>
        <v>2045</v>
      </c>
      <c r="F370">
        <v>104</v>
      </c>
      <c r="G370">
        <f t="shared" ca="1" si="20"/>
        <v>89</v>
      </c>
      <c r="H370">
        <f t="shared" ca="1" si="21"/>
        <v>68</v>
      </c>
      <c r="I370" s="81">
        <f ca="1">(Table17[[#This Row],[Current_Month_Sales]]-Table17[[#This Row],[Previous Month Sales]])/Table17[[#This Row],[Previous Month Sales]]</f>
        <v>0.30882352941176472</v>
      </c>
      <c r="J370" t="str">
        <f ca="1">IF(ABS(Table17[[#This Row],[%Change]]) &gt; 0.3, "Alert: Preference Shift", "")</f>
        <v>Alert: Preference Shift</v>
      </c>
    </row>
    <row r="371" spans="1:10">
      <c r="A371" s="54">
        <v>53075</v>
      </c>
      <c r="B371" s="15" t="s">
        <v>12</v>
      </c>
      <c r="C371" s="14" t="str">
        <f t="shared" si="22"/>
        <v>April</v>
      </c>
      <c r="D371" s="15" t="str">
        <f>CHOOSE(MATCH(MONTH(A371), {1,4,7,10}), "Winter", "Spring", "Summer", "Autumn")</f>
        <v>Spring</v>
      </c>
      <c r="E371">
        <f t="shared" si="23"/>
        <v>2045</v>
      </c>
      <c r="F371">
        <v>106</v>
      </c>
      <c r="G371">
        <f t="shared" ca="1" si="20"/>
        <v>189</v>
      </c>
      <c r="H371">
        <f t="shared" ca="1" si="21"/>
        <v>79</v>
      </c>
      <c r="I371" s="81">
        <f ca="1">(Table17[[#This Row],[Current_Month_Sales]]-Table17[[#This Row],[Previous Month Sales]])/Table17[[#This Row],[Previous Month Sales]]</f>
        <v>1.3924050632911393</v>
      </c>
      <c r="J371" t="str">
        <f ca="1">IF(ABS(Table17[[#This Row],[%Change]]) &gt; 0.3, "Alert: Preference Shift", "")</f>
        <v>Alert: Preference Shift</v>
      </c>
    </row>
    <row r="372" spans="1:10">
      <c r="A372" s="53">
        <v>53105</v>
      </c>
      <c r="B372" s="14" t="s">
        <v>11</v>
      </c>
      <c r="C372" s="14" t="str">
        <f t="shared" si="22"/>
        <v>May</v>
      </c>
      <c r="D372" s="14" t="str">
        <f>CHOOSE(MATCH(MONTH(A372), {1,4,7,10}), "Winter", "Spring", "Summer", "Autumn")</f>
        <v>Spring</v>
      </c>
      <c r="E372">
        <f t="shared" si="23"/>
        <v>2045</v>
      </c>
      <c r="F372">
        <v>91</v>
      </c>
      <c r="G372">
        <f t="shared" ca="1" si="20"/>
        <v>100</v>
      </c>
      <c r="H372">
        <f t="shared" ca="1" si="21"/>
        <v>129</v>
      </c>
      <c r="I372" s="81">
        <f ca="1">(Table17[[#This Row],[Current_Month_Sales]]-Table17[[#This Row],[Previous Month Sales]])/Table17[[#This Row],[Previous Month Sales]]</f>
        <v>-0.22480620155038761</v>
      </c>
      <c r="J372" t="str">
        <f ca="1">IF(ABS(Table17[[#This Row],[%Change]]) &gt; 0.3, "Alert: Preference Shift", "")</f>
        <v/>
      </c>
    </row>
    <row r="373" spans="1:10">
      <c r="A373" s="54">
        <v>53135</v>
      </c>
      <c r="B373" s="15" t="s">
        <v>12</v>
      </c>
      <c r="C373" s="14" t="str">
        <f t="shared" si="22"/>
        <v>June</v>
      </c>
      <c r="D373" s="15" t="str">
        <f>CHOOSE(MATCH(MONTH(A373), {1,4,7,10}), "Winter", "Spring", "Summer", "Autumn")</f>
        <v>Spring</v>
      </c>
      <c r="E373">
        <f t="shared" si="23"/>
        <v>2045</v>
      </c>
      <c r="F373">
        <v>110</v>
      </c>
      <c r="G373">
        <f t="shared" ca="1" si="20"/>
        <v>100</v>
      </c>
      <c r="H373">
        <f t="shared" ca="1" si="21"/>
        <v>129</v>
      </c>
      <c r="I373" s="81">
        <f ca="1">(Table17[[#This Row],[Current_Month_Sales]]-Table17[[#This Row],[Previous Month Sales]])/Table17[[#This Row],[Previous Month Sales]]</f>
        <v>-0.22480620155038761</v>
      </c>
      <c r="J373" t="str">
        <f ca="1">IF(ABS(Table17[[#This Row],[%Change]]) &gt; 0.3, "Alert: Preference Shift", "")</f>
        <v/>
      </c>
    </row>
    <row r="374" spans="1:10">
      <c r="A374" s="53">
        <v>53165</v>
      </c>
      <c r="B374" s="14" t="s">
        <v>14</v>
      </c>
      <c r="C374" s="14" t="str">
        <f t="shared" si="22"/>
        <v>July</v>
      </c>
      <c r="D374" s="14" t="str">
        <f>CHOOSE(MATCH(MONTH(A374), {1,4,7,10}), "Winter", "Spring", "Summer", "Autumn")</f>
        <v>Summer</v>
      </c>
      <c r="E374">
        <f t="shared" si="23"/>
        <v>2045</v>
      </c>
      <c r="F374">
        <v>104</v>
      </c>
      <c r="G374">
        <f t="shared" ca="1" si="20"/>
        <v>100</v>
      </c>
      <c r="H374">
        <f t="shared" ca="1" si="21"/>
        <v>109</v>
      </c>
      <c r="I374" s="81">
        <f ca="1">(Table17[[#This Row],[Current_Month_Sales]]-Table17[[#This Row],[Previous Month Sales]])/Table17[[#This Row],[Previous Month Sales]]</f>
        <v>-8.2568807339449546E-2</v>
      </c>
      <c r="J374" t="str">
        <f ca="1">IF(ABS(Table17[[#This Row],[%Change]]) &gt; 0.3, "Alert: Preference Shift", "")</f>
        <v/>
      </c>
    </row>
    <row r="375" spans="1:10">
      <c r="A375" s="54">
        <v>53195</v>
      </c>
      <c r="B375" s="15" t="s">
        <v>13</v>
      </c>
      <c r="C375" s="14" t="str">
        <f t="shared" si="22"/>
        <v>August</v>
      </c>
      <c r="D375" s="15" t="str">
        <f>CHOOSE(MATCH(MONTH(A375), {1,4,7,10}), "Winter", "Spring", "Summer", "Autumn")</f>
        <v>Summer</v>
      </c>
      <c r="E375">
        <f t="shared" si="23"/>
        <v>2045</v>
      </c>
      <c r="F375">
        <v>85</v>
      </c>
      <c r="G375">
        <f t="shared" ca="1" si="20"/>
        <v>172</v>
      </c>
      <c r="H375">
        <f t="shared" ca="1" si="21"/>
        <v>105</v>
      </c>
      <c r="I375" s="81">
        <f ca="1">(Table17[[#This Row],[Current_Month_Sales]]-Table17[[#This Row],[Previous Month Sales]])/Table17[[#This Row],[Previous Month Sales]]</f>
        <v>0.63809523809523805</v>
      </c>
      <c r="J375" t="str">
        <f ca="1">IF(ABS(Table17[[#This Row],[%Change]]) &gt; 0.3, "Alert: Preference Shift", "")</f>
        <v>Alert: Preference Shift</v>
      </c>
    </row>
    <row r="376" spans="1:10">
      <c r="A376" s="53">
        <v>53225</v>
      </c>
      <c r="B376" s="14" t="s">
        <v>14</v>
      </c>
      <c r="C376" s="14" t="str">
        <f t="shared" si="22"/>
        <v>September</v>
      </c>
      <c r="D376" s="14" t="str">
        <f>CHOOSE(MATCH(MONTH(A376), {1,4,7,10}), "Winter", "Spring", "Summer", "Autumn")</f>
        <v>Summer</v>
      </c>
      <c r="E376">
        <f t="shared" si="23"/>
        <v>2045</v>
      </c>
      <c r="F376">
        <v>107</v>
      </c>
      <c r="G376">
        <f t="shared" ca="1" si="20"/>
        <v>97</v>
      </c>
      <c r="H376">
        <f t="shared" ca="1" si="21"/>
        <v>48</v>
      </c>
      <c r="I376" s="81">
        <f ca="1">(Table17[[#This Row],[Current_Month_Sales]]-Table17[[#This Row],[Previous Month Sales]])/Table17[[#This Row],[Previous Month Sales]]</f>
        <v>1.0208333333333333</v>
      </c>
      <c r="J376" t="str">
        <f ca="1">IF(ABS(Table17[[#This Row],[%Change]]) &gt; 0.3, "Alert: Preference Shift", "")</f>
        <v>Alert: Preference Shift</v>
      </c>
    </row>
    <row r="377" spans="1:10">
      <c r="A377" s="54">
        <v>53255</v>
      </c>
      <c r="B377" s="15" t="s">
        <v>13</v>
      </c>
      <c r="C377" s="14" t="str">
        <f t="shared" si="22"/>
        <v>October</v>
      </c>
      <c r="D377" s="15" t="str">
        <f>CHOOSE(MATCH(MONTH(A377), {1,4,7,10}), "Winter", "Spring", "Summer", "Autumn")</f>
        <v>Autumn</v>
      </c>
      <c r="E377">
        <f t="shared" si="23"/>
        <v>2045</v>
      </c>
      <c r="F377">
        <v>111</v>
      </c>
      <c r="G377">
        <f t="shared" ca="1" si="20"/>
        <v>189</v>
      </c>
      <c r="H377">
        <f t="shared" ca="1" si="21"/>
        <v>79</v>
      </c>
      <c r="I377" s="81">
        <f ca="1">(Table17[[#This Row],[Current_Month_Sales]]-Table17[[#This Row],[Previous Month Sales]])/Table17[[#This Row],[Previous Month Sales]]</f>
        <v>1.3924050632911393</v>
      </c>
      <c r="J377" t="str">
        <f ca="1">IF(ABS(Table17[[#This Row],[%Change]]) &gt; 0.3, "Alert: Preference Shift", "")</f>
        <v>Alert: Preference Shift</v>
      </c>
    </row>
    <row r="378" spans="1:10">
      <c r="A378" s="53">
        <v>53285</v>
      </c>
      <c r="B378" s="14" t="s">
        <v>10</v>
      </c>
      <c r="C378" s="14" t="str">
        <f t="shared" si="22"/>
        <v>November</v>
      </c>
      <c r="D378" s="14" t="str">
        <f>CHOOSE(MATCH(MONTH(A378), {1,4,7,10}), "Winter", "Spring", "Summer", "Autumn")</f>
        <v>Autumn</v>
      </c>
      <c r="E378">
        <f t="shared" si="23"/>
        <v>2045</v>
      </c>
      <c r="F378">
        <v>100</v>
      </c>
      <c r="G378">
        <f t="shared" ca="1" si="20"/>
        <v>78</v>
      </c>
      <c r="H378">
        <f t="shared" ca="1" si="21"/>
        <v>105</v>
      </c>
      <c r="I378" s="81">
        <f ca="1">(Table17[[#This Row],[Current_Month_Sales]]-Table17[[#This Row],[Previous Month Sales]])/Table17[[#This Row],[Previous Month Sales]]</f>
        <v>-0.25714285714285712</v>
      </c>
      <c r="J378" t="str">
        <f ca="1">IF(ABS(Table17[[#This Row],[%Change]]) &gt; 0.3, "Alert: Preference Shift", "")</f>
        <v/>
      </c>
    </row>
    <row r="379" spans="1:10">
      <c r="A379" s="54">
        <v>53315</v>
      </c>
      <c r="B379" s="15" t="s">
        <v>10</v>
      </c>
      <c r="C379" s="14" t="str">
        <f t="shared" si="22"/>
        <v>December</v>
      </c>
      <c r="D379" s="15" t="str">
        <f>CHOOSE(MATCH(MONTH(A379), {1,4,7,10}), "Winter", "Spring", "Summer", "Autumn")</f>
        <v>Autumn</v>
      </c>
      <c r="E379">
        <f t="shared" si="23"/>
        <v>2045</v>
      </c>
      <c r="F379">
        <v>94</v>
      </c>
      <c r="G379">
        <f t="shared" ca="1" si="20"/>
        <v>150</v>
      </c>
      <c r="H379">
        <f t="shared" ca="1" si="21"/>
        <v>105</v>
      </c>
      <c r="I379" s="81">
        <f ca="1">(Table17[[#This Row],[Current_Month_Sales]]-Table17[[#This Row],[Previous Month Sales]])/Table17[[#This Row],[Previous Month Sales]]</f>
        <v>0.42857142857142855</v>
      </c>
      <c r="J379" t="str">
        <f ca="1">IF(ABS(Table17[[#This Row],[%Change]]) &gt; 0.3, "Alert: Preference Shift", "")</f>
        <v>Alert: Preference Shift</v>
      </c>
    </row>
    <row r="380" spans="1:10">
      <c r="A380" s="53">
        <v>53345</v>
      </c>
      <c r="B380" s="14" t="s">
        <v>10</v>
      </c>
      <c r="C380" s="14" t="str">
        <f t="shared" si="22"/>
        <v>January</v>
      </c>
      <c r="D380" s="14" t="str">
        <f>CHOOSE(MATCH(MONTH(A380), {1,4,7,10}), "Winter", "Spring", "Summer", "Autumn")</f>
        <v>Winter</v>
      </c>
      <c r="E380">
        <f t="shared" si="23"/>
        <v>2046</v>
      </c>
      <c r="F380">
        <v>91</v>
      </c>
      <c r="G380">
        <f t="shared" ca="1" si="20"/>
        <v>89</v>
      </c>
      <c r="H380">
        <f t="shared" ca="1" si="21"/>
        <v>109</v>
      </c>
      <c r="I380" s="81">
        <f ca="1">(Table17[[#This Row],[Current_Month_Sales]]-Table17[[#This Row],[Previous Month Sales]])/Table17[[#This Row],[Previous Month Sales]]</f>
        <v>-0.1834862385321101</v>
      </c>
      <c r="J380" t="str">
        <f ca="1">IF(ABS(Table17[[#This Row],[%Change]]) &gt; 0.3, "Alert: Preference Shift", "")</f>
        <v/>
      </c>
    </row>
    <row r="381" spans="1:10">
      <c r="A381" s="54">
        <v>53375</v>
      </c>
      <c r="B381" s="15" t="s">
        <v>12</v>
      </c>
      <c r="C381" s="14" t="str">
        <f t="shared" si="22"/>
        <v>February</v>
      </c>
      <c r="D381" s="15" t="str">
        <f>CHOOSE(MATCH(MONTH(A381), {1,4,7,10}), "Winter", "Spring", "Summer", "Autumn")</f>
        <v>Winter</v>
      </c>
      <c r="E381">
        <f t="shared" si="23"/>
        <v>2046</v>
      </c>
      <c r="F381">
        <v>89</v>
      </c>
      <c r="G381">
        <f t="shared" ca="1" si="20"/>
        <v>100</v>
      </c>
      <c r="H381">
        <f t="shared" ca="1" si="21"/>
        <v>117</v>
      </c>
      <c r="I381" s="81">
        <f ca="1">(Table17[[#This Row],[Current_Month_Sales]]-Table17[[#This Row],[Previous Month Sales]])/Table17[[#This Row],[Previous Month Sales]]</f>
        <v>-0.14529914529914531</v>
      </c>
      <c r="J381" t="str">
        <f ca="1">IF(ABS(Table17[[#This Row],[%Change]]) &gt; 0.3, "Alert: Preference Shift", "")</f>
        <v/>
      </c>
    </row>
    <row r="382" spans="1:10">
      <c r="A382" s="53">
        <v>53405</v>
      </c>
      <c r="B382" s="14" t="s">
        <v>13</v>
      </c>
      <c r="C382" s="14" t="str">
        <f t="shared" si="22"/>
        <v>March</v>
      </c>
      <c r="D382" s="14" t="str">
        <f>CHOOSE(MATCH(MONTH(A382), {1,4,7,10}), "Winter", "Spring", "Summer", "Autumn")</f>
        <v>Winter</v>
      </c>
      <c r="E382">
        <f t="shared" si="23"/>
        <v>2046</v>
      </c>
      <c r="F382">
        <v>98</v>
      </c>
      <c r="G382">
        <f t="shared" ca="1" si="20"/>
        <v>121</v>
      </c>
      <c r="H382">
        <f t="shared" ca="1" si="21"/>
        <v>68</v>
      </c>
      <c r="I382" s="81">
        <f ca="1">(Table17[[#This Row],[Current_Month_Sales]]-Table17[[#This Row],[Previous Month Sales]])/Table17[[#This Row],[Previous Month Sales]]</f>
        <v>0.77941176470588236</v>
      </c>
      <c r="J382" t="str">
        <f ca="1">IF(ABS(Table17[[#This Row],[%Change]]) &gt; 0.3, "Alert: Preference Shift", "")</f>
        <v>Alert: Preference Shift</v>
      </c>
    </row>
    <row r="383" spans="1:10">
      <c r="A383" s="54">
        <v>53435</v>
      </c>
      <c r="B383" s="15" t="s">
        <v>10</v>
      </c>
      <c r="C383" s="14" t="str">
        <f t="shared" si="22"/>
        <v>April</v>
      </c>
      <c r="D383" s="15" t="str">
        <f>CHOOSE(MATCH(MONTH(A383), {1,4,7,10}), "Winter", "Spring", "Summer", "Autumn")</f>
        <v>Spring</v>
      </c>
      <c r="E383">
        <f t="shared" si="23"/>
        <v>2046</v>
      </c>
      <c r="F383">
        <v>110</v>
      </c>
      <c r="G383">
        <f t="shared" ca="1" si="20"/>
        <v>157</v>
      </c>
      <c r="H383">
        <f t="shared" ca="1" si="21"/>
        <v>118</v>
      </c>
      <c r="I383" s="81">
        <f ca="1">(Table17[[#This Row],[Current_Month_Sales]]-Table17[[#This Row],[Previous Month Sales]])/Table17[[#This Row],[Previous Month Sales]]</f>
        <v>0.33050847457627119</v>
      </c>
      <c r="J383" t="str">
        <f ca="1">IF(ABS(Table17[[#This Row],[%Change]]) &gt; 0.3, "Alert: Preference Shift", "")</f>
        <v>Alert: Preference Shift</v>
      </c>
    </row>
    <row r="384" spans="1:10">
      <c r="A384" s="53">
        <v>53465</v>
      </c>
      <c r="B384" s="14" t="s">
        <v>11</v>
      </c>
      <c r="C384" s="14" t="str">
        <f t="shared" si="22"/>
        <v>May</v>
      </c>
      <c r="D384" s="14" t="str">
        <f>CHOOSE(MATCH(MONTH(A384), {1,4,7,10}), "Winter", "Spring", "Summer", "Autumn")</f>
        <v>Spring</v>
      </c>
      <c r="E384">
        <f t="shared" si="23"/>
        <v>2046</v>
      </c>
      <c r="F384">
        <v>93</v>
      </c>
      <c r="G384">
        <f t="shared" ca="1" si="20"/>
        <v>157</v>
      </c>
      <c r="H384">
        <f t="shared" ca="1" si="21"/>
        <v>109</v>
      </c>
      <c r="I384" s="81">
        <f ca="1">(Table17[[#This Row],[Current_Month_Sales]]-Table17[[#This Row],[Previous Month Sales]])/Table17[[#This Row],[Previous Month Sales]]</f>
        <v>0.44036697247706424</v>
      </c>
      <c r="J384" t="str">
        <f ca="1">IF(ABS(Table17[[#This Row],[%Change]]) &gt; 0.3, "Alert: Preference Shift", "")</f>
        <v>Alert: Preference Shift</v>
      </c>
    </row>
    <row r="385" spans="1:10">
      <c r="A385" s="54">
        <v>53495</v>
      </c>
      <c r="B385" s="15" t="s">
        <v>13</v>
      </c>
      <c r="C385" s="14" t="str">
        <f t="shared" si="22"/>
        <v>June</v>
      </c>
      <c r="D385" s="15" t="str">
        <f>CHOOSE(MATCH(MONTH(A385), {1,4,7,10}), "Winter", "Spring", "Summer", "Autumn")</f>
        <v>Spring</v>
      </c>
      <c r="E385">
        <f t="shared" si="23"/>
        <v>2046</v>
      </c>
      <c r="F385">
        <v>103</v>
      </c>
      <c r="G385">
        <f t="shared" ca="1" si="20"/>
        <v>189</v>
      </c>
      <c r="H385">
        <f t="shared" ca="1" si="21"/>
        <v>129</v>
      </c>
      <c r="I385" s="81">
        <f ca="1">(Table17[[#This Row],[Current_Month_Sales]]-Table17[[#This Row],[Previous Month Sales]])/Table17[[#This Row],[Previous Month Sales]]</f>
        <v>0.46511627906976744</v>
      </c>
      <c r="J385" t="str">
        <f ca="1">IF(ABS(Table17[[#This Row],[%Change]]) &gt; 0.3, "Alert: Preference Shift", "")</f>
        <v>Alert: Preference Shift</v>
      </c>
    </row>
    <row r="386" spans="1:10">
      <c r="A386" s="53">
        <v>53525</v>
      </c>
      <c r="B386" s="14" t="s">
        <v>13</v>
      </c>
      <c r="C386" s="14" t="str">
        <f t="shared" si="22"/>
        <v>July</v>
      </c>
      <c r="D386" s="14" t="str">
        <f>CHOOSE(MATCH(MONTH(A386), {1,4,7,10}), "Winter", "Spring", "Summer", "Autumn")</f>
        <v>Summer</v>
      </c>
      <c r="E386">
        <f t="shared" si="23"/>
        <v>2046</v>
      </c>
      <c r="F386">
        <v>100</v>
      </c>
      <c r="G386">
        <f t="shared" ref="G386:G449" ca="1" si="24">CHOOSE(RANDBETWEEN(1,12), 121,133,65,78,150,189,89,157,100,172,97,130)</f>
        <v>65</v>
      </c>
      <c r="H386">
        <f t="shared" ref="H386:H449" ca="1" si="25">CHOOSE(RANDBETWEEN(1,12), 129,63,79,105,117,129,56,48,117,109,68,118)</f>
        <v>129</v>
      </c>
      <c r="I386" s="81">
        <f ca="1">(Table17[[#This Row],[Current_Month_Sales]]-Table17[[#This Row],[Previous Month Sales]])/Table17[[#This Row],[Previous Month Sales]]</f>
        <v>-0.49612403100775193</v>
      </c>
      <c r="J386" t="str">
        <f ca="1">IF(ABS(Table17[[#This Row],[%Change]]) &gt; 0.3, "Alert: Preference Shift", "")</f>
        <v>Alert: Preference Shift</v>
      </c>
    </row>
    <row r="387" spans="1:10">
      <c r="A387" s="54">
        <v>53555</v>
      </c>
      <c r="B387" s="15" t="s">
        <v>12</v>
      </c>
      <c r="C387" s="14" t="str">
        <f t="shared" ref="C387:C450" si="26">TEXT(A387,"mmmm")</f>
        <v>August</v>
      </c>
      <c r="D387" s="15" t="str">
        <f>CHOOSE(MATCH(MONTH(A387), {1,4,7,10}), "Winter", "Spring", "Summer", "Autumn")</f>
        <v>Summer</v>
      </c>
      <c r="E387">
        <f t="shared" ref="E387:E450" si="27">YEAR(A387)</f>
        <v>2046</v>
      </c>
      <c r="F387">
        <v>101</v>
      </c>
      <c r="G387">
        <f t="shared" ca="1" si="24"/>
        <v>150</v>
      </c>
      <c r="H387">
        <f t="shared" ca="1" si="25"/>
        <v>48</v>
      </c>
      <c r="I387" s="81">
        <f ca="1">(Table17[[#This Row],[Current_Month_Sales]]-Table17[[#This Row],[Previous Month Sales]])/Table17[[#This Row],[Previous Month Sales]]</f>
        <v>2.125</v>
      </c>
      <c r="J387" t="str">
        <f ca="1">IF(ABS(Table17[[#This Row],[%Change]]) &gt; 0.3, "Alert: Preference Shift", "")</f>
        <v>Alert: Preference Shift</v>
      </c>
    </row>
    <row r="388" spans="1:10">
      <c r="A388" s="53">
        <v>53585</v>
      </c>
      <c r="B388" s="14" t="s">
        <v>14</v>
      </c>
      <c r="C388" s="14" t="str">
        <f t="shared" si="26"/>
        <v>September</v>
      </c>
      <c r="D388" s="14" t="str">
        <f>CHOOSE(MATCH(MONTH(A388), {1,4,7,10}), "Winter", "Spring", "Summer", "Autumn")</f>
        <v>Summer</v>
      </c>
      <c r="E388">
        <f t="shared" si="27"/>
        <v>2046</v>
      </c>
      <c r="F388">
        <v>94</v>
      </c>
      <c r="G388">
        <f t="shared" ca="1" si="24"/>
        <v>97</v>
      </c>
      <c r="H388">
        <f t="shared" ca="1" si="25"/>
        <v>117</v>
      </c>
      <c r="I388" s="81">
        <f ca="1">(Table17[[#This Row],[Current_Month_Sales]]-Table17[[#This Row],[Previous Month Sales]])/Table17[[#This Row],[Previous Month Sales]]</f>
        <v>-0.17094017094017094</v>
      </c>
      <c r="J388" t="str">
        <f ca="1">IF(ABS(Table17[[#This Row],[%Change]]) &gt; 0.3, "Alert: Preference Shift", "")</f>
        <v/>
      </c>
    </row>
    <row r="389" spans="1:10">
      <c r="A389" s="54">
        <v>53615</v>
      </c>
      <c r="B389" s="15" t="s">
        <v>12</v>
      </c>
      <c r="C389" s="14" t="str">
        <f t="shared" si="26"/>
        <v>October</v>
      </c>
      <c r="D389" s="15" t="str">
        <f>CHOOSE(MATCH(MONTH(A389), {1,4,7,10}), "Winter", "Spring", "Summer", "Autumn")</f>
        <v>Autumn</v>
      </c>
      <c r="E389">
        <f t="shared" si="27"/>
        <v>2046</v>
      </c>
      <c r="F389">
        <v>108</v>
      </c>
      <c r="G389">
        <f t="shared" ca="1" si="24"/>
        <v>121</v>
      </c>
      <c r="H389">
        <f t="shared" ca="1" si="25"/>
        <v>117</v>
      </c>
      <c r="I389" s="81">
        <f ca="1">(Table17[[#This Row],[Current_Month_Sales]]-Table17[[#This Row],[Previous Month Sales]])/Table17[[#This Row],[Previous Month Sales]]</f>
        <v>3.4188034188034191E-2</v>
      </c>
      <c r="J389" t="str">
        <f ca="1">IF(ABS(Table17[[#This Row],[%Change]]) &gt; 0.3, "Alert: Preference Shift", "")</f>
        <v/>
      </c>
    </row>
    <row r="390" spans="1:10">
      <c r="A390" s="53">
        <v>53645</v>
      </c>
      <c r="B390" s="14" t="s">
        <v>10</v>
      </c>
      <c r="C390" s="14" t="str">
        <f t="shared" si="26"/>
        <v>November</v>
      </c>
      <c r="D390" s="14" t="str">
        <f>CHOOSE(MATCH(MONTH(A390), {1,4,7,10}), "Winter", "Spring", "Summer", "Autumn")</f>
        <v>Autumn</v>
      </c>
      <c r="E390">
        <f t="shared" si="27"/>
        <v>2046</v>
      </c>
      <c r="F390">
        <v>113</v>
      </c>
      <c r="G390">
        <f t="shared" ca="1" si="24"/>
        <v>121</v>
      </c>
      <c r="H390">
        <f t="shared" ca="1" si="25"/>
        <v>129</v>
      </c>
      <c r="I390" s="81">
        <f ca="1">(Table17[[#This Row],[Current_Month_Sales]]-Table17[[#This Row],[Previous Month Sales]])/Table17[[#This Row],[Previous Month Sales]]</f>
        <v>-6.2015503875968991E-2</v>
      </c>
      <c r="J390" t="str">
        <f ca="1">IF(ABS(Table17[[#This Row],[%Change]]) &gt; 0.3, "Alert: Preference Shift", "")</f>
        <v/>
      </c>
    </row>
    <row r="391" spans="1:10">
      <c r="A391" s="54">
        <v>53675</v>
      </c>
      <c r="B391" s="15" t="s">
        <v>11</v>
      </c>
      <c r="C391" s="14" t="str">
        <f t="shared" si="26"/>
        <v>December</v>
      </c>
      <c r="D391" s="15" t="str">
        <f>CHOOSE(MATCH(MONTH(A391), {1,4,7,10}), "Winter", "Spring", "Summer", "Autumn")</f>
        <v>Autumn</v>
      </c>
      <c r="E391">
        <f t="shared" si="27"/>
        <v>2046</v>
      </c>
      <c r="F391">
        <v>115</v>
      </c>
      <c r="G391">
        <f t="shared" ca="1" si="24"/>
        <v>100</v>
      </c>
      <c r="H391">
        <f t="shared" ca="1" si="25"/>
        <v>56</v>
      </c>
      <c r="I391" s="81">
        <f ca="1">(Table17[[#This Row],[Current_Month_Sales]]-Table17[[#This Row],[Previous Month Sales]])/Table17[[#This Row],[Previous Month Sales]]</f>
        <v>0.7857142857142857</v>
      </c>
      <c r="J391" t="str">
        <f ca="1">IF(ABS(Table17[[#This Row],[%Change]]) &gt; 0.3, "Alert: Preference Shift", "")</f>
        <v>Alert: Preference Shift</v>
      </c>
    </row>
    <row r="392" spans="1:10">
      <c r="A392" s="53">
        <v>53705</v>
      </c>
      <c r="B392" s="14" t="s">
        <v>11</v>
      </c>
      <c r="C392" s="14" t="str">
        <f t="shared" si="26"/>
        <v>January</v>
      </c>
      <c r="D392" s="14" t="str">
        <f>CHOOSE(MATCH(MONTH(A392), {1,4,7,10}), "Winter", "Spring", "Summer", "Autumn")</f>
        <v>Winter</v>
      </c>
      <c r="E392">
        <f t="shared" si="27"/>
        <v>2047</v>
      </c>
      <c r="F392">
        <v>98</v>
      </c>
      <c r="G392">
        <f t="shared" ca="1" si="24"/>
        <v>78</v>
      </c>
      <c r="H392">
        <f t="shared" ca="1" si="25"/>
        <v>117</v>
      </c>
      <c r="I392" s="81">
        <f ca="1">(Table17[[#This Row],[Current_Month_Sales]]-Table17[[#This Row],[Previous Month Sales]])/Table17[[#This Row],[Previous Month Sales]]</f>
        <v>-0.33333333333333331</v>
      </c>
      <c r="J392" t="str">
        <f ca="1">IF(ABS(Table17[[#This Row],[%Change]]) &gt; 0.3, "Alert: Preference Shift", "")</f>
        <v>Alert: Preference Shift</v>
      </c>
    </row>
    <row r="393" spans="1:10">
      <c r="A393" s="54">
        <v>53735</v>
      </c>
      <c r="B393" s="15" t="s">
        <v>10</v>
      </c>
      <c r="C393" s="14" t="str">
        <f t="shared" si="26"/>
        <v>February</v>
      </c>
      <c r="D393" s="15" t="str">
        <f>CHOOSE(MATCH(MONTH(A393), {1,4,7,10}), "Winter", "Spring", "Summer", "Autumn")</f>
        <v>Winter</v>
      </c>
      <c r="E393">
        <f t="shared" si="27"/>
        <v>2047</v>
      </c>
      <c r="F393">
        <v>93</v>
      </c>
      <c r="G393">
        <f t="shared" ca="1" si="24"/>
        <v>89</v>
      </c>
      <c r="H393">
        <f t="shared" ca="1" si="25"/>
        <v>48</v>
      </c>
      <c r="I393" s="81">
        <f ca="1">(Table17[[#This Row],[Current_Month_Sales]]-Table17[[#This Row],[Previous Month Sales]])/Table17[[#This Row],[Previous Month Sales]]</f>
        <v>0.85416666666666663</v>
      </c>
      <c r="J393" t="str">
        <f ca="1">IF(ABS(Table17[[#This Row],[%Change]]) &gt; 0.3, "Alert: Preference Shift", "")</f>
        <v>Alert: Preference Shift</v>
      </c>
    </row>
    <row r="394" spans="1:10">
      <c r="A394" s="53">
        <v>53765</v>
      </c>
      <c r="B394" s="14" t="s">
        <v>11</v>
      </c>
      <c r="C394" s="14" t="str">
        <f t="shared" si="26"/>
        <v>March</v>
      </c>
      <c r="D394" s="14" t="str">
        <f>CHOOSE(MATCH(MONTH(A394), {1,4,7,10}), "Winter", "Spring", "Summer", "Autumn")</f>
        <v>Winter</v>
      </c>
      <c r="E394">
        <f t="shared" si="27"/>
        <v>2047</v>
      </c>
      <c r="F394">
        <v>104</v>
      </c>
      <c r="G394">
        <f t="shared" ca="1" si="24"/>
        <v>130</v>
      </c>
      <c r="H394">
        <f t="shared" ca="1" si="25"/>
        <v>63</v>
      </c>
      <c r="I394" s="81">
        <f ca="1">(Table17[[#This Row],[Current_Month_Sales]]-Table17[[#This Row],[Previous Month Sales]])/Table17[[#This Row],[Previous Month Sales]]</f>
        <v>1.0634920634920635</v>
      </c>
      <c r="J394" t="str">
        <f ca="1">IF(ABS(Table17[[#This Row],[%Change]]) &gt; 0.3, "Alert: Preference Shift", "")</f>
        <v>Alert: Preference Shift</v>
      </c>
    </row>
    <row r="395" spans="1:10">
      <c r="A395" s="54">
        <v>53795</v>
      </c>
      <c r="B395" s="15" t="s">
        <v>12</v>
      </c>
      <c r="C395" s="14" t="str">
        <f t="shared" si="26"/>
        <v>April</v>
      </c>
      <c r="D395" s="15" t="str">
        <f>CHOOSE(MATCH(MONTH(A395), {1,4,7,10}), "Winter", "Spring", "Summer", "Autumn")</f>
        <v>Spring</v>
      </c>
      <c r="E395">
        <f t="shared" si="27"/>
        <v>2047</v>
      </c>
      <c r="F395">
        <v>100</v>
      </c>
      <c r="G395">
        <f t="shared" ca="1" si="24"/>
        <v>189</v>
      </c>
      <c r="H395">
        <f t="shared" ca="1" si="25"/>
        <v>117</v>
      </c>
      <c r="I395" s="81">
        <f ca="1">(Table17[[#This Row],[Current_Month_Sales]]-Table17[[#This Row],[Previous Month Sales]])/Table17[[#This Row],[Previous Month Sales]]</f>
        <v>0.61538461538461542</v>
      </c>
      <c r="J395" t="str">
        <f ca="1">IF(ABS(Table17[[#This Row],[%Change]]) &gt; 0.3, "Alert: Preference Shift", "")</f>
        <v>Alert: Preference Shift</v>
      </c>
    </row>
    <row r="396" spans="1:10">
      <c r="A396" s="53">
        <v>53825</v>
      </c>
      <c r="B396" s="14" t="s">
        <v>12</v>
      </c>
      <c r="C396" s="14" t="str">
        <f t="shared" si="26"/>
        <v>May</v>
      </c>
      <c r="D396" s="14" t="str">
        <f>CHOOSE(MATCH(MONTH(A396), {1,4,7,10}), "Winter", "Spring", "Summer", "Autumn")</f>
        <v>Spring</v>
      </c>
      <c r="E396">
        <f t="shared" si="27"/>
        <v>2047</v>
      </c>
      <c r="F396">
        <v>89</v>
      </c>
      <c r="G396">
        <f t="shared" ca="1" si="24"/>
        <v>65</v>
      </c>
      <c r="H396">
        <f t="shared" ca="1" si="25"/>
        <v>117</v>
      </c>
      <c r="I396" s="81">
        <f ca="1">(Table17[[#This Row],[Current_Month_Sales]]-Table17[[#This Row],[Previous Month Sales]])/Table17[[#This Row],[Previous Month Sales]]</f>
        <v>-0.44444444444444442</v>
      </c>
      <c r="J396" t="str">
        <f ca="1">IF(ABS(Table17[[#This Row],[%Change]]) &gt; 0.3, "Alert: Preference Shift", "")</f>
        <v>Alert: Preference Shift</v>
      </c>
    </row>
    <row r="397" spans="1:10">
      <c r="A397" s="54">
        <v>53855</v>
      </c>
      <c r="B397" s="15" t="s">
        <v>10</v>
      </c>
      <c r="C397" s="14" t="str">
        <f t="shared" si="26"/>
        <v>June</v>
      </c>
      <c r="D397" s="15" t="str">
        <f>CHOOSE(MATCH(MONTH(A397), {1,4,7,10}), "Winter", "Spring", "Summer", "Autumn")</f>
        <v>Spring</v>
      </c>
      <c r="E397">
        <f t="shared" si="27"/>
        <v>2047</v>
      </c>
      <c r="F397">
        <v>86</v>
      </c>
      <c r="G397">
        <f t="shared" ca="1" si="24"/>
        <v>157</v>
      </c>
      <c r="H397">
        <f t="shared" ca="1" si="25"/>
        <v>109</v>
      </c>
      <c r="I397" s="81">
        <f ca="1">(Table17[[#This Row],[Current_Month_Sales]]-Table17[[#This Row],[Previous Month Sales]])/Table17[[#This Row],[Previous Month Sales]]</f>
        <v>0.44036697247706424</v>
      </c>
      <c r="J397" t="str">
        <f ca="1">IF(ABS(Table17[[#This Row],[%Change]]) &gt; 0.3, "Alert: Preference Shift", "")</f>
        <v>Alert: Preference Shift</v>
      </c>
    </row>
    <row r="398" spans="1:10">
      <c r="A398" s="53">
        <v>53885</v>
      </c>
      <c r="B398" s="14" t="s">
        <v>11</v>
      </c>
      <c r="C398" s="14" t="str">
        <f t="shared" si="26"/>
        <v>July</v>
      </c>
      <c r="D398" s="14" t="str">
        <f>CHOOSE(MATCH(MONTH(A398), {1,4,7,10}), "Winter", "Spring", "Summer", "Autumn")</f>
        <v>Summer</v>
      </c>
      <c r="E398">
        <f t="shared" si="27"/>
        <v>2047</v>
      </c>
      <c r="F398">
        <v>93</v>
      </c>
      <c r="G398">
        <f t="shared" ca="1" si="24"/>
        <v>150</v>
      </c>
      <c r="H398">
        <f t="shared" ca="1" si="25"/>
        <v>109</v>
      </c>
      <c r="I398" s="81">
        <f ca="1">(Table17[[#This Row],[Current_Month_Sales]]-Table17[[#This Row],[Previous Month Sales]])/Table17[[#This Row],[Previous Month Sales]]</f>
        <v>0.37614678899082571</v>
      </c>
      <c r="J398" t="str">
        <f ca="1">IF(ABS(Table17[[#This Row],[%Change]]) &gt; 0.3, "Alert: Preference Shift", "")</f>
        <v>Alert: Preference Shift</v>
      </c>
    </row>
    <row r="399" spans="1:10">
      <c r="A399" s="54">
        <v>53915</v>
      </c>
      <c r="B399" s="15" t="s">
        <v>13</v>
      </c>
      <c r="C399" s="14" t="str">
        <f t="shared" si="26"/>
        <v>August</v>
      </c>
      <c r="D399" s="15" t="str">
        <f>CHOOSE(MATCH(MONTH(A399), {1,4,7,10}), "Winter", "Spring", "Summer", "Autumn")</f>
        <v>Summer</v>
      </c>
      <c r="E399">
        <f t="shared" si="27"/>
        <v>2047</v>
      </c>
      <c r="F399">
        <v>104</v>
      </c>
      <c r="G399">
        <f t="shared" ca="1" si="24"/>
        <v>150</v>
      </c>
      <c r="H399">
        <f t="shared" ca="1" si="25"/>
        <v>117</v>
      </c>
      <c r="I399" s="81">
        <f ca="1">(Table17[[#This Row],[Current_Month_Sales]]-Table17[[#This Row],[Previous Month Sales]])/Table17[[#This Row],[Previous Month Sales]]</f>
        <v>0.28205128205128205</v>
      </c>
      <c r="J399" t="str">
        <f ca="1">IF(ABS(Table17[[#This Row],[%Change]]) &gt; 0.3, "Alert: Preference Shift", "")</f>
        <v/>
      </c>
    </row>
    <row r="400" spans="1:10">
      <c r="A400" s="53">
        <v>53945</v>
      </c>
      <c r="B400" s="14" t="s">
        <v>14</v>
      </c>
      <c r="C400" s="14" t="str">
        <f t="shared" si="26"/>
        <v>September</v>
      </c>
      <c r="D400" s="14" t="str">
        <f>CHOOSE(MATCH(MONTH(A400), {1,4,7,10}), "Winter", "Spring", "Summer", "Autumn")</f>
        <v>Summer</v>
      </c>
      <c r="E400">
        <f t="shared" si="27"/>
        <v>2047</v>
      </c>
      <c r="F400">
        <v>91</v>
      </c>
      <c r="G400">
        <f t="shared" ca="1" si="24"/>
        <v>121</v>
      </c>
      <c r="H400">
        <f t="shared" ca="1" si="25"/>
        <v>79</v>
      </c>
      <c r="I400" s="81">
        <f ca="1">(Table17[[#This Row],[Current_Month_Sales]]-Table17[[#This Row],[Previous Month Sales]])/Table17[[#This Row],[Previous Month Sales]]</f>
        <v>0.53164556962025311</v>
      </c>
      <c r="J400" t="str">
        <f ca="1">IF(ABS(Table17[[#This Row],[%Change]]) &gt; 0.3, "Alert: Preference Shift", "")</f>
        <v>Alert: Preference Shift</v>
      </c>
    </row>
    <row r="401" spans="1:10">
      <c r="A401" s="54">
        <v>53975</v>
      </c>
      <c r="B401" s="15" t="s">
        <v>13</v>
      </c>
      <c r="C401" s="14" t="str">
        <f t="shared" si="26"/>
        <v>October</v>
      </c>
      <c r="D401" s="15" t="str">
        <f>CHOOSE(MATCH(MONTH(A401), {1,4,7,10}), "Winter", "Spring", "Summer", "Autumn")</f>
        <v>Autumn</v>
      </c>
      <c r="E401">
        <f t="shared" si="27"/>
        <v>2047</v>
      </c>
      <c r="F401">
        <v>113</v>
      </c>
      <c r="G401">
        <f t="shared" ca="1" si="24"/>
        <v>97</v>
      </c>
      <c r="H401">
        <f t="shared" ca="1" si="25"/>
        <v>79</v>
      </c>
      <c r="I401" s="81">
        <f ca="1">(Table17[[#This Row],[Current_Month_Sales]]-Table17[[#This Row],[Previous Month Sales]])/Table17[[#This Row],[Previous Month Sales]]</f>
        <v>0.22784810126582278</v>
      </c>
      <c r="J401" t="str">
        <f ca="1">IF(ABS(Table17[[#This Row],[%Change]]) &gt; 0.3, "Alert: Preference Shift", "")</f>
        <v/>
      </c>
    </row>
    <row r="402" spans="1:10">
      <c r="A402" s="53">
        <v>54005</v>
      </c>
      <c r="B402" s="14" t="s">
        <v>12</v>
      </c>
      <c r="C402" s="14" t="str">
        <f t="shared" si="26"/>
        <v>November</v>
      </c>
      <c r="D402" s="14" t="str">
        <f>CHOOSE(MATCH(MONTH(A402), {1,4,7,10}), "Winter", "Spring", "Summer", "Autumn")</f>
        <v>Autumn</v>
      </c>
      <c r="E402">
        <f t="shared" si="27"/>
        <v>2047</v>
      </c>
      <c r="F402">
        <v>103</v>
      </c>
      <c r="G402">
        <f t="shared" ca="1" si="24"/>
        <v>133</v>
      </c>
      <c r="H402">
        <f t="shared" ca="1" si="25"/>
        <v>118</v>
      </c>
      <c r="I402" s="81">
        <f ca="1">(Table17[[#This Row],[Current_Month_Sales]]-Table17[[#This Row],[Previous Month Sales]])/Table17[[#This Row],[Previous Month Sales]]</f>
        <v>0.1271186440677966</v>
      </c>
      <c r="J402" t="str">
        <f ca="1">IF(ABS(Table17[[#This Row],[%Change]]) &gt; 0.3, "Alert: Preference Shift", "")</f>
        <v/>
      </c>
    </row>
    <row r="403" spans="1:10">
      <c r="A403" s="54">
        <v>54035</v>
      </c>
      <c r="B403" s="15" t="s">
        <v>12</v>
      </c>
      <c r="C403" s="14" t="str">
        <f t="shared" si="26"/>
        <v>December</v>
      </c>
      <c r="D403" s="15" t="str">
        <f>CHOOSE(MATCH(MONTH(A403), {1,4,7,10}), "Winter", "Spring", "Summer", "Autumn")</f>
        <v>Autumn</v>
      </c>
      <c r="E403">
        <f t="shared" si="27"/>
        <v>2047</v>
      </c>
      <c r="F403">
        <v>98</v>
      </c>
      <c r="G403">
        <f t="shared" ca="1" si="24"/>
        <v>65</v>
      </c>
      <c r="H403">
        <f t="shared" ca="1" si="25"/>
        <v>48</v>
      </c>
      <c r="I403" s="81">
        <f ca="1">(Table17[[#This Row],[Current_Month_Sales]]-Table17[[#This Row],[Previous Month Sales]])/Table17[[#This Row],[Previous Month Sales]]</f>
        <v>0.35416666666666669</v>
      </c>
      <c r="J403" t="str">
        <f ca="1">IF(ABS(Table17[[#This Row],[%Change]]) &gt; 0.3, "Alert: Preference Shift", "")</f>
        <v>Alert: Preference Shift</v>
      </c>
    </row>
    <row r="404" spans="1:10">
      <c r="A404" s="53">
        <v>54065</v>
      </c>
      <c r="B404" s="14" t="s">
        <v>12</v>
      </c>
      <c r="C404" s="14" t="str">
        <f t="shared" si="26"/>
        <v>January</v>
      </c>
      <c r="D404" s="14" t="str">
        <f>CHOOSE(MATCH(MONTH(A404), {1,4,7,10}), "Winter", "Spring", "Summer", "Autumn")</f>
        <v>Winter</v>
      </c>
      <c r="E404">
        <f t="shared" si="27"/>
        <v>2048</v>
      </c>
      <c r="F404">
        <v>100</v>
      </c>
      <c r="G404">
        <f t="shared" ca="1" si="24"/>
        <v>189</v>
      </c>
      <c r="H404">
        <f t="shared" ca="1" si="25"/>
        <v>117</v>
      </c>
      <c r="I404" s="81">
        <f ca="1">(Table17[[#This Row],[Current_Month_Sales]]-Table17[[#This Row],[Previous Month Sales]])/Table17[[#This Row],[Previous Month Sales]]</f>
        <v>0.61538461538461542</v>
      </c>
      <c r="J404" t="str">
        <f ca="1">IF(ABS(Table17[[#This Row],[%Change]]) &gt; 0.3, "Alert: Preference Shift", "")</f>
        <v>Alert: Preference Shift</v>
      </c>
    </row>
    <row r="405" spans="1:10">
      <c r="A405" s="54">
        <v>54095</v>
      </c>
      <c r="B405" s="15" t="s">
        <v>12</v>
      </c>
      <c r="C405" s="14" t="str">
        <f t="shared" si="26"/>
        <v>February</v>
      </c>
      <c r="D405" s="15" t="str">
        <f>CHOOSE(MATCH(MONTH(A405), {1,4,7,10}), "Winter", "Spring", "Summer", "Autumn")</f>
        <v>Winter</v>
      </c>
      <c r="E405">
        <f t="shared" si="27"/>
        <v>2048</v>
      </c>
      <c r="F405">
        <v>89</v>
      </c>
      <c r="G405">
        <f t="shared" ca="1" si="24"/>
        <v>100</v>
      </c>
      <c r="H405">
        <f t="shared" ca="1" si="25"/>
        <v>56</v>
      </c>
      <c r="I405" s="81">
        <f ca="1">(Table17[[#This Row],[Current_Month_Sales]]-Table17[[#This Row],[Previous Month Sales]])/Table17[[#This Row],[Previous Month Sales]]</f>
        <v>0.7857142857142857</v>
      </c>
      <c r="J405" t="str">
        <f ca="1">IF(ABS(Table17[[#This Row],[%Change]]) &gt; 0.3, "Alert: Preference Shift", "")</f>
        <v>Alert: Preference Shift</v>
      </c>
    </row>
    <row r="406" spans="1:10">
      <c r="A406" s="53">
        <v>54125</v>
      </c>
      <c r="B406" s="14" t="s">
        <v>14</v>
      </c>
      <c r="C406" s="14" t="str">
        <f t="shared" si="26"/>
        <v>March</v>
      </c>
      <c r="D406" s="14" t="str">
        <f>CHOOSE(MATCH(MONTH(A406), {1,4,7,10}), "Winter", "Spring", "Summer", "Autumn")</f>
        <v>Winter</v>
      </c>
      <c r="E406">
        <f t="shared" si="27"/>
        <v>2048</v>
      </c>
      <c r="F406">
        <v>83</v>
      </c>
      <c r="G406">
        <f t="shared" ca="1" si="24"/>
        <v>130</v>
      </c>
      <c r="H406">
        <f t="shared" ca="1" si="25"/>
        <v>63</v>
      </c>
      <c r="I406" s="81">
        <f ca="1">(Table17[[#This Row],[Current_Month_Sales]]-Table17[[#This Row],[Previous Month Sales]])/Table17[[#This Row],[Previous Month Sales]]</f>
        <v>1.0634920634920635</v>
      </c>
      <c r="J406" t="str">
        <f ca="1">IF(ABS(Table17[[#This Row],[%Change]]) &gt; 0.3, "Alert: Preference Shift", "")</f>
        <v>Alert: Preference Shift</v>
      </c>
    </row>
    <row r="407" spans="1:10">
      <c r="A407" s="54">
        <v>54155</v>
      </c>
      <c r="B407" s="15" t="s">
        <v>10</v>
      </c>
      <c r="C407" s="14" t="str">
        <f t="shared" si="26"/>
        <v>April</v>
      </c>
      <c r="D407" s="15" t="str">
        <f>CHOOSE(MATCH(MONTH(A407), {1,4,7,10}), "Winter", "Spring", "Summer", "Autumn")</f>
        <v>Spring</v>
      </c>
      <c r="E407">
        <f t="shared" si="27"/>
        <v>2048</v>
      </c>
      <c r="F407">
        <v>92</v>
      </c>
      <c r="G407">
        <f t="shared" ca="1" si="24"/>
        <v>97</v>
      </c>
      <c r="H407">
        <f t="shared" ca="1" si="25"/>
        <v>68</v>
      </c>
      <c r="I407" s="81">
        <f ca="1">(Table17[[#This Row],[Current_Month_Sales]]-Table17[[#This Row],[Previous Month Sales]])/Table17[[#This Row],[Previous Month Sales]]</f>
        <v>0.4264705882352941</v>
      </c>
      <c r="J407" t="str">
        <f ca="1">IF(ABS(Table17[[#This Row],[%Change]]) &gt; 0.3, "Alert: Preference Shift", "")</f>
        <v>Alert: Preference Shift</v>
      </c>
    </row>
    <row r="408" spans="1:10">
      <c r="A408" s="53">
        <v>54185</v>
      </c>
      <c r="B408" s="14" t="s">
        <v>12</v>
      </c>
      <c r="C408" s="14" t="str">
        <f t="shared" si="26"/>
        <v>May</v>
      </c>
      <c r="D408" s="14" t="str">
        <f>CHOOSE(MATCH(MONTH(A408), {1,4,7,10}), "Winter", "Spring", "Summer", "Autumn")</f>
        <v>Spring</v>
      </c>
      <c r="E408">
        <f t="shared" si="27"/>
        <v>2048</v>
      </c>
      <c r="F408">
        <v>100</v>
      </c>
      <c r="G408">
        <f t="shared" ca="1" si="24"/>
        <v>157</v>
      </c>
      <c r="H408">
        <f t="shared" ca="1" si="25"/>
        <v>117</v>
      </c>
      <c r="I408" s="81">
        <f ca="1">(Table17[[#This Row],[Current_Month_Sales]]-Table17[[#This Row],[Previous Month Sales]])/Table17[[#This Row],[Previous Month Sales]]</f>
        <v>0.34188034188034189</v>
      </c>
      <c r="J408" t="str">
        <f ca="1">IF(ABS(Table17[[#This Row],[%Change]]) &gt; 0.3, "Alert: Preference Shift", "")</f>
        <v>Alert: Preference Shift</v>
      </c>
    </row>
    <row r="409" spans="1:10">
      <c r="A409" s="54">
        <v>54215</v>
      </c>
      <c r="B409" s="15" t="s">
        <v>11</v>
      </c>
      <c r="C409" s="14" t="str">
        <f t="shared" si="26"/>
        <v>June</v>
      </c>
      <c r="D409" s="15" t="str">
        <f>CHOOSE(MATCH(MONTH(A409), {1,4,7,10}), "Winter", "Spring", "Summer", "Autumn")</f>
        <v>Spring</v>
      </c>
      <c r="E409">
        <f t="shared" si="27"/>
        <v>2048</v>
      </c>
      <c r="F409">
        <v>100</v>
      </c>
      <c r="G409">
        <f t="shared" ca="1" si="24"/>
        <v>89</v>
      </c>
      <c r="H409">
        <f t="shared" ca="1" si="25"/>
        <v>68</v>
      </c>
      <c r="I409" s="81">
        <f ca="1">(Table17[[#This Row],[Current_Month_Sales]]-Table17[[#This Row],[Previous Month Sales]])/Table17[[#This Row],[Previous Month Sales]]</f>
        <v>0.30882352941176472</v>
      </c>
      <c r="J409" t="str">
        <f ca="1">IF(ABS(Table17[[#This Row],[%Change]]) &gt; 0.3, "Alert: Preference Shift", "")</f>
        <v>Alert: Preference Shift</v>
      </c>
    </row>
    <row r="410" spans="1:10">
      <c r="A410" s="53">
        <v>54245</v>
      </c>
      <c r="B410" s="14" t="s">
        <v>14</v>
      </c>
      <c r="C410" s="14" t="str">
        <f t="shared" si="26"/>
        <v>July</v>
      </c>
      <c r="D410" s="14" t="str">
        <f>CHOOSE(MATCH(MONTH(A410), {1,4,7,10}), "Winter", "Spring", "Summer", "Autumn")</f>
        <v>Summer</v>
      </c>
      <c r="E410">
        <f t="shared" si="27"/>
        <v>2048</v>
      </c>
      <c r="F410">
        <v>102</v>
      </c>
      <c r="G410">
        <f t="shared" ca="1" si="24"/>
        <v>89</v>
      </c>
      <c r="H410">
        <f t="shared" ca="1" si="25"/>
        <v>118</v>
      </c>
      <c r="I410" s="81">
        <f ca="1">(Table17[[#This Row],[Current_Month_Sales]]-Table17[[#This Row],[Previous Month Sales]])/Table17[[#This Row],[Previous Month Sales]]</f>
        <v>-0.24576271186440679</v>
      </c>
      <c r="J410" t="str">
        <f ca="1">IF(ABS(Table17[[#This Row],[%Change]]) &gt; 0.3, "Alert: Preference Shift", "")</f>
        <v/>
      </c>
    </row>
    <row r="411" spans="1:10">
      <c r="A411" s="54">
        <v>54275</v>
      </c>
      <c r="B411" s="15" t="s">
        <v>12</v>
      </c>
      <c r="C411" s="14" t="str">
        <f t="shared" si="26"/>
        <v>August</v>
      </c>
      <c r="D411" s="15" t="str">
        <f>CHOOSE(MATCH(MONTH(A411), {1,4,7,10}), "Winter", "Spring", "Summer", "Autumn")</f>
        <v>Summer</v>
      </c>
      <c r="E411">
        <f t="shared" si="27"/>
        <v>2048</v>
      </c>
      <c r="F411">
        <v>107</v>
      </c>
      <c r="G411">
        <f t="shared" ca="1" si="24"/>
        <v>130</v>
      </c>
      <c r="H411">
        <f t="shared" ca="1" si="25"/>
        <v>79</v>
      </c>
      <c r="I411" s="81">
        <f ca="1">(Table17[[#This Row],[Current_Month_Sales]]-Table17[[#This Row],[Previous Month Sales]])/Table17[[#This Row],[Previous Month Sales]]</f>
        <v>0.64556962025316456</v>
      </c>
      <c r="J411" t="str">
        <f ca="1">IF(ABS(Table17[[#This Row],[%Change]]) &gt; 0.3, "Alert: Preference Shift", "")</f>
        <v>Alert: Preference Shift</v>
      </c>
    </row>
    <row r="412" spans="1:10">
      <c r="A412" s="53">
        <v>54305</v>
      </c>
      <c r="B412" s="14" t="s">
        <v>11</v>
      </c>
      <c r="C412" s="14" t="str">
        <f t="shared" si="26"/>
        <v>September</v>
      </c>
      <c r="D412" s="14" t="str">
        <f>CHOOSE(MATCH(MONTH(A412), {1,4,7,10}), "Winter", "Spring", "Summer", "Autumn")</f>
        <v>Summer</v>
      </c>
      <c r="E412">
        <f t="shared" si="27"/>
        <v>2048</v>
      </c>
      <c r="F412">
        <v>103</v>
      </c>
      <c r="G412">
        <f t="shared" ca="1" si="24"/>
        <v>65</v>
      </c>
      <c r="H412">
        <f t="shared" ca="1" si="25"/>
        <v>109</v>
      </c>
      <c r="I412" s="81">
        <f ca="1">(Table17[[#This Row],[Current_Month_Sales]]-Table17[[#This Row],[Previous Month Sales]])/Table17[[#This Row],[Previous Month Sales]]</f>
        <v>-0.40366972477064222</v>
      </c>
      <c r="J412" t="str">
        <f ca="1">IF(ABS(Table17[[#This Row],[%Change]]) &gt; 0.3, "Alert: Preference Shift", "")</f>
        <v>Alert: Preference Shift</v>
      </c>
    </row>
    <row r="413" spans="1:10">
      <c r="A413" s="54">
        <v>54335</v>
      </c>
      <c r="B413" s="15" t="s">
        <v>12</v>
      </c>
      <c r="C413" s="14" t="str">
        <f t="shared" si="26"/>
        <v>October</v>
      </c>
      <c r="D413" s="15" t="str">
        <f>CHOOSE(MATCH(MONTH(A413), {1,4,7,10}), "Winter", "Spring", "Summer", "Autumn")</f>
        <v>Autumn</v>
      </c>
      <c r="E413">
        <f t="shared" si="27"/>
        <v>2048</v>
      </c>
      <c r="F413">
        <v>100</v>
      </c>
      <c r="G413">
        <f t="shared" ca="1" si="24"/>
        <v>121</v>
      </c>
      <c r="H413">
        <f t="shared" ca="1" si="25"/>
        <v>48</v>
      </c>
      <c r="I413" s="81">
        <f ca="1">(Table17[[#This Row],[Current_Month_Sales]]-Table17[[#This Row],[Previous Month Sales]])/Table17[[#This Row],[Previous Month Sales]]</f>
        <v>1.5208333333333333</v>
      </c>
      <c r="J413" t="str">
        <f ca="1">IF(ABS(Table17[[#This Row],[%Change]]) &gt; 0.3, "Alert: Preference Shift", "")</f>
        <v>Alert: Preference Shift</v>
      </c>
    </row>
    <row r="414" spans="1:10">
      <c r="A414" s="53">
        <v>54365</v>
      </c>
      <c r="B414" s="14" t="s">
        <v>10</v>
      </c>
      <c r="C414" s="14" t="str">
        <f t="shared" si="26"/>
        <v>November</v>
      </c>
      <c r="D414" s="14" t="str">
        <f>CHOOSE(MATCH(MONTH(A414), {1,4,7,10}), "Winter", "Spring", "Summer", "Autumn")</f>
        <v>Autumn</v>
      </c>
      <c r="E414">
        <f t="shared" si="27"/>
        <v>2048</v>
      </c>
      <c r="F414">
        <v>100</v>
      </c>
      <c r="G414">
        <f t="shared" ca="1" si="24"/>
        <v>89</v>
      </c>
      <c r="H414">
        <f t="shared" ca="1" si="25"/>
        <v>117</v>
      </c>
      <c r="I414" s="81">
        <f ca="1">(Table17[[#This Row],[Current_Month_Sales]]-Table17[[#This Row],[Previous Month Sales]])/Table17[[#This Row],[Previous Month Sales]]</f>
        <v>-0.23931623931623933</v>
      </c>
      <c r="J414" t="str">
        <f ca="1">IF(ABS(Table17[[#This Row],[%Change]]) &gt; 0.3, "Alert: Preference Shift", "")</f>
        <v/>
      </c>
    </row>
    <row r="415" spans="1:10">
      <c r="A415" s="54">
        <v>54395</v>
      </c>
      <c r="B415" s="15" t="s">
        <v>14</v>
      </c>
      <c r="C415" s="14" t="str">
        <f t="shared" si="26"/>
        <v>December</v>
      </c>
      <c r="D415" s="15" t="str">
        <f>CHOOSE(MATCH(MONTH(A415), {1,4,7,10}), "Winter", "Spring", "Summer", "Autumn")</f>
        <v>Autumn</v>
      </c>
      <c r="E415">
        <f t="shared" si="27"/>
        <v>2048</v>
      </c>
      <c r="F415">
        <v>85</v>
      </c>
      <c r="G415">
        <f t="shared" ca="1" si="24"/>
        <v>189</v>
      </c>
      <c r="H415">
        <f t="shared" ca="1" si="25"/>
        <v>56</v>
      </c>
      <c r="I415" s="81">
        <f ca="1">(Table17[[#This Row],[Current_Month_Sales]]-Table17[[#This Row],[Previous Month Sales]])/Table17[[#This Row],[Previous Month Sales]]</f>
        <v>2.375</v>
      </c>
      <c r="J415" t="str">
        <f ca="1">IF(ABS(Table17[[#This Row],[%Change]]) &gt; 0.3, "Alert: Preference Shift", "")</f>
        <v>Alert: Preference Shift</v>
      </c>
    </row>
    <row r="416" spans="1:10">
      <c r="A416" s="53">
        <v>54425</v>
      </c>
      <c r="B416" s="14" t="s">
        <v>10</v>
      </c>
      <c r="C416" s="14" t="str">
        <f t="shared" si="26"/>
        <v>January</v>
      </c>
      <c r="D416" s="14" t="str">
        <f>CHOOSE(MATCH(MONTH(A416), {1,4,7,10}), "Winter", "Spring", "Summer", "Autumn")</f>
        <v>Winter</v>
      </c>
      <c r="E416">
        <f t="shared" si="27"/>
        <v>2049</v>
      </c>
      <c r="F416">
        <v>107</v>
      </c>
      <c r="G416">
        <f t="shared" ca="1" si="24"/>
        <v>150</v>
      </c>
      <c r="H416">
        <f t="shared" ca="1" si="25"/>
        <v>109</v>
      </c>
      <c r="I416" s="81">
        <f ca="1">(Table17[[#This Row],[Current_Month_Sales]]-Table17[[#This Row],[Previous Month Sales]])/Table17[[#This Row],[Previous Month Sales]]</f>
        <v>0.37614678899082571</v>
      </c>
      <c r="J416" t="str">
        <f ca="1">IF(ABS(Table17[[#This Row],[%Change]]) &gt; 0.3, "Alert: Preference Shift", "")</f>
        <v>Alert: Preference Shift</v>
      </c>
    </row>
    <row r="417" spans="1:10">
      <c r="A417" s="54">
        <v>54455</v>
      </c>
      <c r="B417" s="15" t="s">
        <v>14</v>
      </c>
      <c r="C417" s="14" t="str">
        <f t="shared" si="26"/>
        <v>February</v>
      </c>
      <c r="D417" s="15" t="str">
        <f>CHOOSE(MATCH(MONTH(A417), {1,4,7,10}), "Winter", "Spring", "Summer", "Autumn")</f>
        <v>Winter</v>
      </c>
      <c r="E417">
        <f t="shared" si="27"/>
        <v>2049</v>
      </c>
      <c r="F417">
        <v>106</v>
      </c>
      <c r="G417">
        <f t="shared" ca="1" si="24"/>
        <v>78</v>
      </c>
      <c r="H417">
        <f t="shared" ca="1" si="25"/>
        <v>109</v>
      </c>
      <c r="I417" s="81">
        <f ca="1">(Table17[[#This Row],[Current_Month_Sales]]-Table17[[#This Row],[Previous Month Sales]])/Table17[[#This Row],[Previous Month Sales]]</f>
        <v>-0.28440366972477066</v>
      </c>
      <c r="J417" t="str">
        <f ca="1">IF(ABS(Table17[[#This Row],[%Change]]) &gt; 0.3, "Alert: Preference Shift", "")</f>
        <v/>
      </c>
    </row>
    <row r="418" spans="1:10">
      <c r="A418" s="53">
        <v>54485</v>
      </c>
      <c r="B418" s="14" t="s">
        <v>12</v>
      </c>
      <c r="C418" s="14" t="str">
        <f t="shared" si="26"/>
        <v>March</v>
      </c>
      <c r="D418" s="14" t="str">
        <f>CHOOSE(MATCH(MONTH(A418), {1,4,7,10}), "Winter", "Spring", "Summer", "Autumn")</f>
        <v>Winter</v>
      </c>
      <c r="E418">
        <f t="shared" si="27"/>
        <v>2049</v>
      </c>
      <c r="F418">
        <v>92</v>
      </c>
      <c r="G418">
        <f t="shared" ca="1" si="24"/>
        <v>97</v>
      </c>
      <c r="H418">
        <f t="shared" ca="1" si="25"/>
        <v>63</v>
      </c>
      <c r="I418" s="81">
        <f ca="1">(Table17[[#This Row],[Current_Month_Sales]]-Table17[[#This Row],[Previous Month Sales]])/Table17[[#This Row],[Previous Month Sales]]</f>
        <v>0.53968253968253965</v>
      </c>
      <c r="J418" t="str">
        <f ca="1">IF(ABS(Table17[[#This Row],[%Change]]) &gt; 0.3, "Alert: Preference Shift", "")</f>
        <v>Alert: Preference Shift</v>
      </c>
    </row>
    <row r="419" spans="1:10">
      <c r="A419" s="54">
        <v>54515</v>
      </c>
      <c r="B419" s="15" t="s">
        <v>12</v>
      </c>
      <c r="C419" s="14" t="str">
        <f t="shared" si="26"/>
        <v>April</v>
      </c>
      <c r="D419" s="15" t="str">
        <f>CHOOSE(MATCH(MONTH(A419), {1,4,7,10}), "Winter", "Spring", "Summer", "Autumn")</f>
        <v>Spring</v>
      </c>
      <c r="E419">
        <f t="shared" si="27"/>
        <v>2049</v>
      </c>
      <c r="F419">
        <v>110</v>
      </c>
      <c r="G419">
        <f t="shared" ca="1" si="24"/>
        <v>157</v>
      </c>
      <c r="H419">
        <f t="shared" ca="1" si="25"/>
        <v>63</v>
      </c>
      <c r="I419" s="81">
        <f ca="1">(Table17[[#This Row],[Current_Month_Sales]]-Table17[[#This Row],[Previous Month Sales]])/Table17[[#This Row],[Previous Month Sales]]</f>
        <v>1.4920634920634921</v>
      </c>
      <c r="J419" t="str">
        <f ca="1">IF(ABS(Table17[[#This Row],[%Change]]) &gt; 0.3, "Alert: Preference Shift", "")</f>
        <v>Alert: Preference Shift</v>
      </c>
    </row>
    <row r="420" spans="1:10">
      <c r="A420" s="53">
        <v>54545</v>
      </c>
      <c r="B420" s="14" t="s">
        <v>14</v>
      </c>
      <c r="C420" s="14" t="str">
        <f t="shared" si="26"/>
        <v>May</v>
      </c>
      <c r="D420" s="14" t="str">
        <f>CHOOSE(MATCH(MONTH(A420), {1,4,7,10}), "Winter", "Spring", "Summer", "Autumn")</f>
        <v>Spring</v>
      </c>
      <c r="E420">
        <f t="shared" si="27"/>
        <v>2049</v>
      </c>
      <c r="F420">
        <v>93</v>
      </c>
      <c r="G420">
        <f t="shared" ca="1" si="24"/>
        <v>189</v>
      </c>
      <c r="H420">
        <f t="shared" ca="1" si="25"/>
        <v>63</v>
      </c>
      <c r="I420" s="81">
        <f ca="1">(Table17[[#This Row],[Current_Month_Sales]]-Table17[[#This Row],[Previous Month Sales]])/Table17[[#This Row],[Previous Month Sales]]</f>
        <v>2</v>
      </c>
      <c r="J420" t="str">
        <f ca="1">IF(ABS(Table17[[#This Row],[%Change]]) &gt; 0.3, "Alert: Preference Shift", "")</f>
        <v>Alert: Preference Shift</v>
      </c>
    </row>
    <row r="421" spans="1:10">
      <c r="A421" s="54">
        <v>54575</v>
      </c>
      <c r="B421" s="15" t="s">
        <v>11</v>
      </c>
      <c r="C421" s="14" t="str">
        <f t="shared" si="26"/>
        <v>June</v>
      </c>
      <c r="D421" s="15" t="str">
        <f>CHOOSE(MATCH(MONTH(A421), {1,4,7,10}), "Winter", "Spring", "Summer", "Autumn")</f>
        <v>Spring</v>
      </c>
      <c r="E421">
        <f t="shared" si="27"/>
        <v>2049</v>
      </c>
      <c r="F421">
        <v>100</v>
      </c>
      <c r="G421">
        <f t="shared" ca="1" si="24"/>
        <v>100</v>
      </c>
      <c r="H421">
        <f t="shared" ca="1" si="25"/>
        <v>118</v>
      </c>
      <c r="I421" s="81">
        <f ca="1">(Table17[[#This Row],[Current_Month_Sales]]-Table17[[#This Row],[Previous Month Sales]])/Table17[[#This Row],[Previous Month Sales]]</f>
        <v>-0.15254237288135594</v>
      </c>
      <c r="J421" t="str">
        <f ca="1">IF(ABS(Table17[[#This Row],[%Change]]) &gt; 0.3, "Alert: Preference Shift", "")</f>
        <v/>
      </c>
    </row>
    <row r="422" spans="1:10">
      <c r="A422" s="53">
        <v>54605</v>
      </c>
      <c r="B422" s="14" t="s">
        <v>11</v>
      </c>
      <c r="C422" s="14" t="str">
        <f t="shared" si="26"/>
        <v>July</v>
      </c>
      <c r="D422" s="14" t="str">
        <f>CHOOSE(MATCH(MONTH(A422), {1,4,7,10}), "Winter", "Spring", "Summer", "Autumn")</f>
        <v>Summer</v>
      </c>
      <c r="E422">
        <f t="shared" si="27"/>
        <v>2049</v>
      </c>
      <c r="F422">
        <v>117</v>
      </c>
      <c r="G422">
        <f t="shared" ca="1" si="24"/>
        <v>130</v>
      </c>
      <c r="H422">
        <f t="shared" ca="1" si="25"/>
        <v>109</v>
      </c>
      <c r="I422" s="81">
        <f ca="1">(Table17[[#This Row],[Current_Month_Sales]]-Table17[[#This Row],[Previous Month Sales]])/Table17[[#This Row],[Previous Month Sales]]</f>
        <v>0.19266055045871561</v>
      </c>
      <c r="J422" t="str">
        <f ca="1">IF(ABS(Table17[[#This Row],[%Change]]) &gt; 0.3, "Alert: Preference Shift", "")</f>
        <v/>
      </c>
    </row>
    <row r="423" spans="1:10">
      <c r="A423" s="54">
        <v>54635</v>
      </c>
      <c r="B423" s="15" t="s">
        <v>12</v>
      </c>
      <c r="C423" s="14" t="str">
        <f t="shared" si="26"/>
        <v>July</v>
      </c>
      <c r="D423" s="15" t="str">
        <f>CHOOSE(MATCH(MONTH(A423), {1,4,7,10}), "Winter", "Spring", "Summer", "Autumn")</f>
        <v>Summer</v>
      </c>
      <c r="E423">
        <f t="shared" si="27"/>
        <v>2049</v>
      </c>
      <c r="F423">
        <v>122</v>
      </c>
      <c r="G423">
        <f t="shared" ca="1" si="24"/>
        <v>89</v>
      </c>
      <c r="H423">
        <f t="shared" ca="1" si="25"/>
        <v>79</v>
      </c>
      <c r="I423" s="81">
        <f ca="1">(Table17[[#This Row],[Current_Month_Sales]]-Table17[[#This Row],[Previous Month Sales]])/Table17[[#This Row],[Previous Month Sales]]</f>
        <v>0.12658227848101267</v>
      </c>
      <c r="J423" t="str">
        <f ca="1">IF(ABS(Table17[[#This Row],[%Change]]) &gt; 0.3, "Alert: Preference Shift", "")</f>
        <v/>
      </c>
    </row>
    <row r="424" spans="1:10">
      <c r="A424" s="53">
        <v>54665</v>
      </c>
      <c r="B424" s="14" t="s">
        <v>12</v>
      </c>
      <c r="C424" s="14" t="str">
        <f t="shared" si="26"/>
        <v>August</v>
      </c>
      <c r="D424" s="14" t="str">
        <f>CHOOSE(MATCH(MONTH(A424), {1,4,7,10}), "Winter", "Spring", "Summer", "Autumn")</f>
        <v>Summer</v>
      </c>
      <c r="E424">
        <f t="shared" si="27"/>
        <v>2049</v>
      </c>
      <c r="F424">
        <v>90</v>
      </c>
      <c r="G424">
        <f t="shared" ca="1" si="24"/>
        <v>78</v>
      </c>
      <c r="H424">
        <f t="shared" ca="1" si="25"/>
        <v>48</v>
      </c>
      <c r="I424" s="81">
        <f ca="1">(Table17[[#This Row],[Current_Month_Sales]]-Table17[[#This Row],[Previous Month Sales]])/Table17[[#This Row],[Previous Month Sales]]</f>
        <v>0.625</v>
      </c>
      <c r="J424" t="str">
        <f ca="1">IF(ABS(Table17[[#This Row],[%Change]]) &gt; 0.3, "Alert: Preference Shift", "")</f>
        <v>Alert: Preference Shift</v>
      </c>
    </row>
    <row r="425" spans="1:10">
      <c r="A425" s="54">
        <v>54695</v>
      </c>
      <c r="B425" s="15" t="s">
        <v>10</v>
      </c>
      <c r="C425" s="14" t="str">
        <f t="shared" si="26"/>
        <v>September</v>
      </c>
      <c r="D425" s="15" t="str">
        <f>CHOOSE(MATCH(MONTH(A425), {1,4,7,10}), "Winter", "Spring", "Summer", "Autumn")</f>
        <v>Summer</v>
      </c>
      <c r="E425">
        <f t="shared" si="27"/>
        <v>2049</v>
      </c>
      <c r="F425">
        <v>113</v>
      </c>
      <c r="G425">
        <f t="shared" ca="1" si="24"/>
        <v>97</v>
      </c>
      <c r="H425">
        <f t="shared" ca="1" si="25"/>
        <v>118</v>
      </c>
      <c r="I425" s="81">
        <f ca="1">(Table17[[#This Row],[Current_Month_Sales]]-Table17[[#This Row],[Previous Month Sales]])/Table17[[#This Row],[Previous Month Sales]]</f>
        <v>-0.17796610169491525</v>
      </c>
      <c r="J425" t="str">
        <f ca="1">IF(ABS(Table17[[#This Row],[%Change]]) &gt; 0.3, "Alert: Preference Shift", "")</f>
        <v/>
      </c>
    </row>
    <row r="426" spans="1:10">
      <c r="A426" s="53">
        <v>54725</v>
      </c>
      <c r="B426" s="14" t="s">
        <v>12</v>
      </c>
      <c r="C426" s="14" t="str">
        <f t="shared" si="26"/>
        <v>October</v>
      </c>
      <c r="D426" s="14" t="str">
        <f>CHOOSE(MATCH(MONTH(A426), {1,4,7,10}), "Winter", "Spring", "Summer", "Autumn")</f>
        <v>Autumn</v>
      </c>
      <c r="E426">
        <f t="shared" si="27"/>
        <v>2049</v>
      </c>
      <c r="F426">
        <v>110</v>
      </c>
      <c r="G426">
        <f t="shared" ca="1" si="24"/>
        <v>121</v>
      </c>
      <c r="H426">
        <f t="shared" ca="1" si="25"/>
        <v>63</v>
      </c>
      <c r="I426" s="81">
        <f ca="1">(Table17[[#This Row],[Current_Month_Sales]]-Table17[[#This Row],[Previous Month Sales]])/Table17[[#This Row],[Previous Month Sales]]</f>
        <v>0.92063492063492058</v>
      </c>
      <c r="J426" t="str">
        <f ca="1">IF(ABS(Table17[[#This Row],[%Change]]) &gt; 0.3, "Alert: Preference Shift", "")</f>
        <v>Alert: Preference Shift</v>
      </c>
    </row>
    <row r="427" spans="1:10">
      <c r="A427" s="54">
        <v>54755</v>
      </c>
      <c r="B427" s="15" t="s">
        <v>14</v>
      </c>
      <c r="C427" s="14" t="str">
        <f t="shared" si="26"/>
        <v>November</v>
      </c>
      <c r="D427" s="15" t="str">
        <f>CHOOSE(MATCH(MONTH(A427), {1,4,7,10}), "Winter", "Spring", "Summer", "Autumn")</f>
        <v>Autumn</v>
      </c>
      <c r="E427">
        <f t="shared" si="27"/>
        <v>2049</v>
      </c>
      <c r="F427">
        <v>106</v>
      </c>
      <c r="G427">
        <f t="shared" ca="1" si="24"/>
        <v>189</v>
      </c>
      <c r="H427">
        <f t="shared" ca="1" si="25"/>
        <v>129</v>
      </c>
      <c r="I427" s="81">
        <f ca="1">(Table17[[#This Row],[Current_Month_Sales]]-Table17[[#This Row],[Previous Month Sales]])/Table17[[#This Row],[Previous Month Sales]]</f>
        <v>0.46511627906976744</v>
      </c>
      <c r="J427" t="str">
        <f ca="1">IF(ABS(Table17[[#This Row],[%Change]]) &gt; 0.3, "Alert: Preference Shift", "")</f>
        <v>Alert: Preference Shift</v>
      </c>
    </row>
    <row r="428" spans="1:10">
      <c r="A428" s="53">
        <v>54785</v>
      </c>
      <c r="B428" s="14" t="s">
        <v>11</v>
      </c>
      <c r="C428" s="14" t="str">
        <f t="shared" si="26"/>
        <v>December</v>
      </c>
      <c r="D428" s="14" t="str">
        <f>CHOOSE(MATCH(MONTH(A428), {1,4,7,10}), "Winter", "Spring", "Summer", "Autumn")</f>
        <v>Autumn</v>
      </c>
      <c r="E428">
        <f t="shared" si="27"/>
        <v>2049</v>
      </c>
      <c r="F428">
        <v>92</v>
      </c>
      <c r="G428">
        <f t="shared" ca="1" si="24"/>
        <v>150</v>
      </c>
      <c r="H428">
        <f t="shared" ca="1" si="25"/>
        <v>105</v>
      </c>
      <c r="I428" s="81">
        <f ca="1">(Table17[[#This Row],[Current_Month_Sales]]-Table17[[#This Row],[Previous Month Sales]])/Table17[[#This Row],[Previous Month Sales]]</f>
        <v>0.42857142857142855</v>
      </c>
      <c r="J428" t="str">
        <f ca="1">IF(ABS(Table17[[#This Row],[%Change]]) &gt; 0.3, "Alert: Preference Shift", "")</f>
        <v>Alert: Preference Shift</v>
      </c>
    </row>
    <row r="429" spans="1:10">
      <c r="A429" s="54">
        <v>54815</v>
      </c>
      <c r="B429" s="15" t="s">
        <v>11</v>
      </c>
      <c r="C429" s="14" t="str">
        <f t="shared" si="26"/>
        <v>January</v>
      </c>
      <c r="D429" s="15" t="str">
        <f>CHOOSE(MATCH(MONTH(A429), {1,4,7,10}), "Winter", "Spring", "Summer", "Autumn")</f>
        <v>Winter</v>
      </c>
      <c r="E429">
        <f t="shared" si="27"/>
        <v>2050</v>
      </c>
      <c r="F429">
        <v>121</v>
      </c>
      <c r="G429">
        <f t="shared" ca="1" si="24"/>
        <v>130</v>
      </c>
      <c r="H429">
        <f t="shared" ca="1" si="25"/>
        <v>129</v>
      </c>
      <c r="I429" s="81">
        <f ca="1">(Table17[[#This Row],[Current_Month_Sales]]-Table17[[#This Row],[Previous Month Sales]])/Table17[[#This Row],[Previous Month Sales]]</f>
        <v>7.7519379844961239E-3</v>
      </c>
      <c r="J429" t="str">
        <f ca="1">IF(ABS(Table17[[#This Row],[%Change]]) &gt; 0.3, "Alert: Preference Shift", "")</f>
        <v/>
      </c>
    </row>
    <row r="430" spans="1:10">
      <c r="A430" s="53">
        <v>54845</v>
      </c>
      <c r="B430" s="14" t="s">
        <v>10</v>
      </c>
      <c r="C430" s="14" t="str">
        <f t="shared" si="26"/>
        <v>February</v>
      </c>
      <c r="D430" s="14" t="str">
        <f>CHOOSE(MATCH(MONTH(A430), {1,4,7,10}), "Winter", "Spring", "Summer", "Autumn")</f>
        <v>Winter</v>
      </c>
      <c r="E430">
        <f t="shared" si="27"/>
        <v>2050</v>
      </c>
      <c r="F430">
        <v>89</v>
      </c>
      <c r="G430">
        <f t="shared" ca="1" si="24"/>
        <v>121</v>
      </c>
      <c r="H430">
        <f t="shared" ca="1" si="25"/>
        <v>48</v>
      </c>
      <c r="I430" s="81">
        <f ca="1">(Table17[[#This Row],[Current_Month_Sales]]-Table17[[#This Row],[Previous Month Sales]])/Table17[[#This Row],[Previous Month Sales]]</f>
        <v>1.5208333333333333</v>
      </c>
      <c r="J430" t="str">
        <f ca="1">IF(ABS(Table17[[#This Row],[%Change]]) &gt; 0.3, "Alert: Preference Shift", "")</f>
        <v>Alert: Preference Shift</v>
      </c>
    </row>
    <row r="431" spans="1:10">
      <c r="A431" s="54">
        <v>54875</v>
      </c>
      <c r="B431" s="15" t="s">
        <v>11</v>
      </c>
      <c r="C431" s="14" t="str">
        <f t="shared" si="26"/>
        <v>March</v>
      </c>
      <c r="D431" s="15" t="str">
        <f>CHOOSE(MATCH(MONTH(A431), {1,4,7,10}), "Winter", "Spring", "Summer", "Autumn")</f>
        <v>Winter</v>
      </c>
      <c r="E431">
        <f t="shared" si="27"/>
        <v>2050</v>
      </c>
      <c r="F431">
        <v>117</v>
      </c>
      <c r="G431">
        <f t="shared" ca="1" si="24"/>
        <v>100</v>
      </c>
      <c r="H431">
        <f t="shared" ca="1" si="25"/>
        <v>79</v>
      </c>
      <c r="I431" s="81">
        <f ca="1">(Table17[[#This Row],[Current_Month_Sales]]-Table17[[#This Row],[Previous Month Sales]])/Table17[[#This Row],[Previous Month Sales]]</f>
        <v>0.26582278481012656</v>
      </c>
      <c r="J431" t="str">
        <f ca="1">IF(ABS(Table17[[#This Row],[%Change]]) &gt; 0.3, "Alert: Preference Shift", "")</f>
        <v/>
      </c>
    </row>
    <row r="432" spans="1:10">
      <c r="A432" s="53">
        <v>54905</v>
      </c>
      <c r="B432" s="14" t="s">
        <v>11</v>
      </c>
      <c r="C432" s="14" t="str">
        <f t="shared" si="26"/>
        <v>April</v>
      </c>
      <c r="D432" s="14" t="str">
        <f>CHOOSE(MATCH(MONTH(A432), {1,4,7,10}), "Winter", "Spring", "Summer", "Autumn")</f>
        <v>Spring</v>
      </c>
      <c r="E432">
        <f t="shared" si="27"/>
        <v>2050</v>
      </c>
      <c r="F432">
        <v>106</v>
      </c>
      <c r="G432">
        <f t="shared" ca="1" si="24"/>
        <v>89</v>
      </c>
      <c r="H432">
        <f t="shared" ca="1" si="25"/>
        <v>109</v>
      </c>
      <c r="I432" s="81">
        <f ca="1">(Table17[[#This Row],[Current_Month_Sales]]-Table17[[#This Row],[Previous Month Sales]])/Table17[[#This Row],[Previous Month Sales]]</f>
        <v>-0.1834862385321101</v>
      </c>
      <c r="J432" t="str">
        <f ca="1">IF(ABS(Table17[[#This Row],[%Change]]) &gt; 0.3, "Alert: Preference Shift", "")</f>
        <v/>
      </c>
    </row>
    <row r="433" spans="1:10">
      <c r="A433" s="54">
        <v>54935</v>
      </c>
      <c r="B433" s="15" t="s">
        <v>13</v>
      </c>
      <c r="C433" s="14" t="str">
        <f t="shared" si="26"/>
        <v>May</v>
      </c>
      <c r="D433" s="15" t="str">
        <f>CHOOSE(MATCH(MONTH(A433), {1,4,7,10}), "Winter", "Spring", "Summer", "Autumn")</f>
        <v>Spring</v>
      </c>
      <c r="E433">
        <f t="shared" si="27"/>
        <v>2050</v>
      </c>
      <c r="F433">
        <v>121</v>
      </c>
      <c r="G433">
        <f t="shared" ca="1" si="24"/>
        <v>189</v>
      </c>
      <c r="H433">
        <f t="shared" ca="1" si="25"/>
        <v>129</v>
      </c>
      <c r="I433" s="81">
        <f ca="1">(Table17[[#This Row],[Current_Month_Sales]]-Table17[[#This Row],[Previous Month Sales]])/Table17[[#This Row],[Previous Month Sales]]</f>
        <v>0.46511627906976744</v>
      </c>
      <c r="J433" t="str">
        <f ca="1">IF(ABS(Table17[[#This Row],[%Change]]) &gt; 0.3, "Alert: Preference Shift", "")</f>
        <v>Alert: Preference Shift</v>
      </c>
    </row>
    <row r="434" spans="1:10">
      <c r="A434" s="53">
        <v>54965</v>
      </c>
      <c r="B434" s="14" t="s">
        <v>14</v>
      </c>
      <c r="C434" s="14" t="str">
        <f t="shared" si="26"/>
        <v>June</v>
      </c>
      <c r="D434" s="14" t="str">
        <f>CHOOSE(MATCH(MONTH(A434), {1,4,7,10}), "Winter", "Spring", "Summer", "Autumn")</f>
        <v>Spring</v>
      </c>
      <c r="E434">
        <f t="shared" si="27"/>
        <v>2050</v>
      </c>
      <c r="F434">
        <v>95</v>
      </c>
      <c r="G434">
        <f t="shared" ca="1" si="24"/>
        <v>65</v>
      </c>
      <c r="H434">
        <f t="shared" ca="1" si="25"/>
        <v>117</v>
      </c>
      <c r="I434" s="81">
        <f ca="1">(Table17[[#This Row],[Current_Month_Sales]]-Table17[[#This Row],[Previous Month Sales]])/Table17[[#This Row],[Previous Month Sales]]</f>
        <v>-0.44444444444444442</v>
      </c>
      <c r="J434" t="str">
        <f ca="1">IF(ABS(Table17[[#This Row],[%Change]]) &gt; 0.3, "Alert: Preference Shift", "")</f>
        <v>Alert: Preference Shift</v>
      </c>
    </row>
    <row r="435" spans="1:10">
      <c r="A435" s="54">
        <v>54995</v>
      </c>
      <c r="B435" s="15" t="s">
        <v>13</v>
      </c>
      <c r="C435" s="14" t="str">
        <f t="shared" si="26"/>
        <v>July</v>
      </c>
      <c r="D435" s="15" t="str">
        <f>CHOOSE(MATCH(MONTH(A435), {1,4,7,10}), "Winter", "Spring", "Summer", "Autumn")</f>
        <v>Summer</v>
      </c>
      <c r="E435">
        <f t="shared" si="27"/>
        <v>2050</v>
      </c>
      <c r="F435">
        <v>91</v>
      </c>
      <c r="G435">
        <f t="shared" ca="1" si="24"/>
        <v>189</v>
      </c>
      <c r="H435">
        <f t="shared" ca="1" si="25"/>
        <v>105</v>
      </c>
      <c r="I435" s="81">
        <f ca="1">(Table17[[#This Row],[Current_Month_Sales]]-Table17[[#This Row],[Previous Month Sales]])/Table17[[#This Row],[Previous Month Sales]]</f>
        <v>0.8</v>
      </c>
      <c r="J435" t="str">
        <f ca="1">IF(ABS(Table17[[#This Row],[%Change]]) &gt; 0.3, "Alert: Preference Shift", "")</f>
        <v>Alert: Preference Shift</v>
      </c>
    </row>
    <row r="436" spans="1:10">
      <c r="A436" s="53">
        <v>55025</v>
      </c>
      <c r="B436" s="14" t="s">
        <v>11</v>
      </c>
      <c r="C436" s="14" t="str">
        <f t="shared" si="26"/>
        <v>August</v>
      </c>
      <c r="D436" s="14" t="str">
        <f>CHOOSE(MATCH(MONTH(A436), {1,4,7,10}), "Winter", "Spring", "Summer", "Autumn")</f>
        <v>Summer</v>
      </c>
      <c r="E436">
        <f t="shared" si="27"/>
        <v>2050</v>
      </c>
      <c r="F436">
        <v>82</v>
      </c>
      <c r="G436">
        <f t="shared" ca="1" si="24"/>
        <v>133</v>
      </c>
      <c r="H436">
        <f t="shared" ca="1" si="25"/>
        <v>109</v>
      </c>
      <c r="I436" s="81">
        <f ca="1">(Table17[[#This Row],[Current_Month_Sales]]-Table17[[#This Row],[Previous Month Sales]])/Table17[[#This Row],[Previous Month Sales]]</f>
        <v>0.22018348623853212</v>
      </c>
      <c r="J436" t="str">
        <f ca="1">IF(ABS(Table17[[#This Row],[%Change]]) &gt; 0.3, "Alert: Preference Shift", "")</f>
        <v/>
      </c>
    </row>
    <row r="437" spans="1:10">
      <c r="A437" s="54">
        <v>55055</v>
      </c>
      <c r="B437" s="15" t="s">
        <v>10</v>
      </c>
      <c r="C437" s="14" t="str">
        <f t="shared" si="26"/>
        <v>September</v>
      </c>
      <c r="D437" s="15" t="str">
        <f>CHOOSE(MATCH(MONTH(A437), {1,4,7,10}), "Winter", "Spring", "Summer", "Autumn")</f>
        <v>Summer</v>
      </c>
      <c r="E437">
        <f t="shared" si="27"/>
        <v>2050</v>
      </c>
      <c r="F437">
        <v>100</v>
      </c>
      <c r="G437">
        <f t="shared" ca="1" si="24"/>
        <v>100</v>
      </c>
      <c r="H437">
        <f t="shared" ca="1" si="25"/>
        <v>129</v>
      </c>
      <c r="I437" s="81">
        <f ca="1">(Table17[[#This Row],[Current_Month_Sales]]-Table17[[#This Row],[Previous Month Sales]])/Table17[[#This Row],[Previous Month Sales]]</f>
        <v>-0.22480620155038761</v>
      </c>
      <c r="J437" t="str">
        <f ca="1">IF(ABS(Table17[[#This Row],[%Change]]) &gt; 0.3, "Alert: Preference Shift", "")</f>
        <v/>
      </c>
    </row>
    <row r="438" spans="1:10">
      <c r="A438" s="53">
        <v>55085</v>
      </c>
      <c r="B438" s="14" t="s">
        <v>10</v>
      </c>
      <c r="C438" s="14" t="str">
        <f t="shared" si="26"/>
        <v>October</v>
      </c>
      <c r="D438" s="14" t="str">
        <f>CHOOSE(MATCH(MONTH(A438), {1,4,7,10}), "Winter", "Spring", "Summer", "Autumn")</f>
        <v>Autumn</v>
      </c>
      <c r="E438">
        <f t="shared" si="27"/>
        <v>2050</v>
      </c>
      <c r="F438">
        <v>81</v>
      </c>
      <c r="G438">
        <f t="shared" ca="1" si="24"/>
        <v>172</v>
      </c>
      <c r="H438">
        <f t="shared" ca="1" si="25"/>
        <v>129</v>
      </c>
      <c r="I438" s="81">
        <f ca="1">(Table17[[#This Row],[Current_Month_Sales]]-Table17[[#This Row],[Previous Month Sales]])/Table17[[#This Row],[Previous Month Sales]]</f>
        <v>0.33333333333333331</v>
      </c>
      <c r="J438" t="str">
        <f ca="1">IF(ABS(Table17[[#This Row],[%Change]]) &gt; 0.3, "Alert: Preference Shift", "")</f>
        <v>Alert: Preference Shift</v>
      </c>
    </row>
    <row r="439" spans="1:10">
      <c r="A439" s="54">
        <v>55115</v>
      </c>
      <c r="B439" s="15" t="s">
        <v>11</v>
      </c>
      <c r="C439" s="14" t="str">
        <f t="shared" si="26"/>
        <v>November</v>
      </c>
      <c r="D439" s="15" t="str">
        <f>CHOOSE(MATCH(MONTH(A439), {1,4,7,10}), "Winter", "Spring", "Summer", "Autumn")</f>
        <v>Autumn</v>
      </c>
      <c r="E439">
        <f t="shared" si="27"/>
        <v>2050</v>
      </c>
      <c r="F439">
        <v>101</v>
      </c>
      <c r="G439">
        <f t="shared" ca="1" si="24"/>
        <v>121</v>
      </c>
      <c r="H439">
        <f t="shared" ca="1" si="25"/>
        <v>48</v>
      </c>
      <c r="I439" s="81">
        <f ca="1">(Table17[[#This Row],[Current_Month_Sales]]-Table17[[#This Row],[Previous Month Sales]])/Table17[[#This Row],[Previous Month Sales]]</f>
        <v>1.5208333333333333</v>
      </c>
      <c r="J439" t="str">
        <f ca="1">IF(ABS(Table17[[#This Row],[%Change]]) &gt; 0.3, "Alert: Preference Shift", "")</f>
        <v>Alert: Preference Shift</v>
      </c>
    </row>
    <row r="440" spans="1:10">
      <c r="A440" s="53">
        <v>55145</v>
      </c>
      <c r="B440" s="14" t="s">
        <v>12</v>
      </c>
      <c r="C440" s="14" t="str">
        <f t="shared" si="26"/>
        <v>December</v>
      </c>
      <c r="D440" s="14" t="str">
        <f>CHOOSE(MATCH(MONTH(A440), {1,4,7,10}), "Winter", "Spring", "Summer", "Autumn")</f>
        <v>Autumn</v>
      </c>
      <c r="E440">
        <f t="shared" si="27"/>
        <v>2050</v>
      </c>
      <c r="F440">
        <v>95</v>
      </c>
      <c r="G440">
        <f t="shared" ca="1" si="24"/>
        <v>100</v>
      </c>
      <c r="H440">
        <f t="shared" ca="1" si="25"/>
        <v>79</v>
      </c>
      <c r="I440" s="81">
        <f ca="1">(Table17[[#This Row],[Current_Month_Sales]]-Table17[[#This Row],[Previous Month Sales]])/Table17[[#This Row],[Previous Month Sales]]</f>
        <v>0.26582278481012656</v>
      </c>
      <c r="J440" t="str">
        <f ca="1">IF(ABS(Table17[[#This Row],[%Change]]) &gt; 0.3, "Alert: Preference Shift", "")</f>
        <v/>
      </c>
    </row>
    <row r="441" spans="1:10">
      <c r="A441" s="54">
        <v>55175</v>
      </c>
      <c r="B441" s="15" t="s">
        <v>13</v>
      </c>
      <c r="C441" s="14" t="str">
        <f t="shared" si="26"/>
        <v>January</v>
      </c>
      <c r="D441" s="15" t="str">
        <f>CHOOSE(MATCH(MONTH(A441), {1,4,7,10}), "Winter", "Spring", "Summer", "Autumn")</f>
        <v>Winter</v>
      </c>
      <c r="E441">
        <f t="shared" si="27"/>
        <v>2051</v>
      </c>
      <c r="F441">
        <v>114</v>
      </c>
      <c r="G441">
        <f t="shared" ca="1" si="24"/>
        <v>78</v>
      </c>
      <c r="H441">
        <f t="shared" ca="1" si="25"/>
        <v>68</v>
      </c>
      <c r="I441" s="81">
        <f ca="1">(Table17[[#This Row],[Current_Month_Sales]]-Table17[[#This Row],[Previous Month Sales]])/Table17[[#This Row],[Previous Month Sales]]</f>
        <v>0.14705882352941177</v>
      </c>
      <c r="J441" t="str">
        <f ca="1">IF(ABS(Table17[[#This Row],[%Change]]) &gt; 0.3, "Alert: Preference Shift", "")</f>
        <v/>
      </c>
    </row>
    <row r="442" spans="1:10">
      <c r="A442" s="53">
        <v>55205</v>
      </c>
      <c r="B442" s="14" t="s">
        <v>11</v>
      </c>
      <c r="C442" s="14" t="str">
        <f t="shared" si="26"/>
        <v>February</v>
      </c>
      <c r="D442" s="14" t="str">
        <f>CHOOSE(MATCH(MONTH(A442), {1,4,7,10}), "Winter", "Spring", "Summer", "Autumn")</f>
        <v>Winter</v>
      </c>
      <c r="E442">
        <f t="shared" si="27"/>
        <v>2051</v>
      </c>
      <c r="F442">
        <v>92</v>
      </c>
      <c r="G442">
        <f t="shared" ca="1" si="24"/>
        <v>130</v>
      </c>
      <c r="H442">
        <f t="shared" ca="1" si="25"/>
        <v>105</v>
      </c>
      <c r="I442" s="81">
        <f ca="1">(Table17[[#This Row],[Current_Month_Sales]]-Table17[[#This Row],[Previous Month Sales]])/Table17[[#This Row],[Previous Month Sales]]</f>
        <v>0.23809523809523808</v>
      </c>
      <c r="J442" t="str">
        <f ca="1">IF(ABS(Table17[[#This Row],[%Change]]) &gt; 0.3, "Alert: Preference Shift", "")</f>
        <v/>
      </c>
    </row>
    <row r="443" spans="1:10">
      <c r="A443" s="54">
        <v>55235</v>
      </c>
      <c r="B443" s="15" t="s">
        <v>10</v>
      </c>
      <c r="C443" s="14" t="str">
        <f t="shared" si="26"/>
        <v>March</v>
      </c>
      <c r="D443" s="15" t="str">
        <f>CHOOSE(MATCH(MONTH(A443), {1,4,7,10}), "Winter", "Spring", "Summer", "Autumn")</f>
        <v>Winter</v>
      </c>
      <c r="E443">
        <f t="shared" si="27"/>
        <v>2051</v>
      </c>
      <c r="F443">
        <v>113</v>
      </c>
      <c r="G443">
        <f t="shared" ca="1" si="24"/>
        <v>189</v>
      </c>
      <c r="H443">
        <f t="shared" ca="1" si="25"/>
        <v>109</v>
      </c>
      <c r="I443" s="81">
        <f ca="1">(Table17[[#This Row],[Current_Month_Sales]]-Table17[[#This Row],[Previous Month Sales]])/Table17[[#This Row],[Previous Month Sales]]</f>
        <v>0.73394495412844041</v>
      </c>
      <c r="J443" t="str">
        <f ca="1">IF(ABS(Table17[[#This Row],[%Change]]) &gt; 0.3, "Alert: Preference Shift", "")</f>
        <v>Alert: Preference Shift</v>
      </c>
    </row>
    <row r="444" spans="1:10">
      <c r="A444" s="53">
        <v>55265</v>
      </c>
      <c r="B444" s="14" t="s">
        <v>10</v>
      </c>
      <c r="C444" s="14" t="str">
        <f t="shared" si="26"/>
        <v>April</v>
      </c>
      <c r="D444" s="14" t="str">
        <f>CHOOSE(MATCH(MONTH(A444), {1,4,7,10}), "Winter", "Spring", "Summer", "Autumn")</f>
        <v>Spring</v>
      </c>
      <c r="E444">
        <f t="shared" si="27"/>
        <v>2051</v>
      </c>
      <c r="F444">
        <v>113</v>
      </c>
      <c r="G444">
        <f t="shared" ca="1" si="24"/>
        <v>189</v>
      </c>
      <c r="H444">
        <f t="shared" ca="1" si="25"/>
        <v>79</v>
      </c>
      <c r="I444" s="81">
        <f ca="1">(Table17[[#This Row],[Current_Month_Sales]]-Table17[[#This Row],[Previous Month Sales]])/Table17[[#This Row],[Previous Month Sales]]</f>
        <v>1.3924050632911393</v>
      </c>
      <c r="J444" t="str">
        <f ca="1">IF(ABS(Table17[[#This Row],[%Change]]) &gt; 0.3, "Alert: Preference Shift", "")</f>
        <v>Alert: Preference Shift</v>
      </c>
    </row>
    <row r="445" spans="1:10">
      <c r="A445" s="54">
        <v>55295</v>
      </c>
      <c r="B445" s="15" t="s">
        <v>13</v>
      </c>
      <c r="C445" s="14" t="str">
        <f t="shared" si="26"/>
        <v>May</v>
      </c>
      <c r="D445" s="15" t="str">
        <f>CHOOSE(MATCH(MONTH(A445), {1,4,7,10}), "Winter", "Spring", "Summer", "Autumn")</f>
        <v>Spring</v>
      </c>
      <c r="E445">
        <f t="shared" si="27"/>
        <v>2051</v>
      </c>
      <c r="F445">
        <v>120</v>
      </c>
      <c r="G445">
        <f t="shared" ca="1" si="24"/>
        <v>100</v>
      </c>
      <c r="H445">
        <f t="shared" ca="1" si="25"/>
        <v>68</v>
      </c>
      <c r="I445" s="81">
        <f ca="1">(Table17[[#This Row],[Current_Month_Sales]]-Table17[[#This Row],[Previous Month Sales]])/Table17[[#This Row],[Previous Month Sales]]</f>
        <v>0.47058823529411764</v>
      </c>
      <c r="J445" t="str">
        <f ca="1">IF(ABS(Table17[[#This Row],[%Change]]) &gt; 0.3, "Alert: Preference Shift", "")</f>
        <v>Alert: Preference Shift</v>
      </c>
    </row>
    <row r="446" spans="1:10">
      <c r="A446" s="53">
        <v>55325</v>
      </c>
      <c r="B446" s="14" t="s">
        <v>14</v>
      </c>
      <c r="C446" s="14" t="str">
        <f t="shared" si="26"/>
        <v>June</v>
      </c>
      <c r="D446" s="14" t="str">
        <f>CHOOSE(MATCH(MONTH(A446), {1,4,7,10}), "Winter", "Spring", "Summer", "Autumn")</f>
        <v>Spring</v>
      </c>
      <c r="E446">
        <f t="shared" si="27"/>
        <v>2051</v>
      </c>
      <c r="F446">
        <v>108</v>
      </c>
      <c r="G446">
        <f t="shared" ca="1" si="24"/>
        <v>150</v>
      </c>
      <c r="H446">
        <f t="shared" ca="1" si="25"/>
        <v>56</v>
      </c>
      <c r="I446" s="81">
        <f ca="1">(Table17[[#This Row],[Current_Month_Sales]]-Table17[[#This Row],[Previous Month Sales]])/Table17[[#This Row],[Previous Month Sales]]</f>
        <v>1.6785714285714286</v>
      </c>
      <c r="J446" t="str">
        <f ca="1">IF(ABS(Table17[[#This Row],[%Change]]) &gt; 0.3, "Alert: Preference Shift", "")</f>
        <v>Alert: Preference Shift</v>
      </c>
    </row>
    <row r="447" spans="1:10">
      <c r="A447" s="54">
        <v>55355</v>
      </c>
      <c r="B447" s="15" t="s">
        <v>11</v>
      </c>
      <c r="C447" s="14" t="str">
        <f t="shared" si="26"/>
        <v>July</v>
      </c>
      <c r="D447" s="15" t="str">
        <f>CHOOSE(MATCH(MONTH(A447), {1,4,7,10}), "Winter", "Spring", "Summer", "Autumn")</f>
        <v>Summer</v>
      </c>
      <c r="E447">
        <f t="shared" si="27"/>
        <v>2051</v>
      </c>
      <c r="F447">
        <v>99</v>
      </c>
      <c r="G447">
        <f t="shared" ca="1" si="24"/>
        <v>65</v>
      </c>
      <c r="H447">
        <f t="shared" ca="1" si="25"/>
        <v>56</v>
      </c>
      <c r="I447" s="81">
        <f ca="1">(Table17[[#This Row],[Current_Month_Sales]]-Table17[[#This Row],[Previous Month Sales]])/Table17[[#This Row],[Previous Month Sales]]</f>
        <v>0.16071428571428573</v>
      </c>
      <c r="J447" t="str">
        <f ca="1">IF(ABS(Table17[[#This Row],[%Change]]) &gt; 0.3, "Alert: Preference Shift", "")</f>
        <v/>
      </c>
    </row>
    <row r="448" spans="1:10">
      <c r="A448" s="53">
        <v>55385</v>
      </c>
      <c r="B448" s="14" t="s">
        <v>11</v>
      </c>
      <c r="C448" s="14" t="str">
        <f t="shared" si="26"/>
        <v>August</v>
      </c>
      <c r="D448" s="14" t="str">
        <f>CHOOSE(MATCH(MONTH(A448), {1,4,7,10}), "Winter", "Spring", "Summer", "Autumn")</f>
        <v>Summer</v>
      </c>
      <c r="E448">
        <f t="shared" si="27"/>
        <v>2051</v>
      </c>
      <c r="F448">
        <v>108</v>
      </c>
      <c r="G448">
        <f t="shared" ca="1" si="24"/>
        <v>65</v>
      </c>
      <c r="H448">
        <f t="shared" ca="1" si="25"/>
        <v>118</v>
      </c>
      <c r="I448" s="81">
        <f ca="1">(Table17[[#This Row],[Current_Month_Sales]]-Table17[[#This Row],[Previous Month Sales]])/Table17[[#This Row],[Previous Month Sales]]</f>
        <v>-0.44915254237288138</v>
      </c>
      <c r="J448" t="str">
        <f ca="1">IF(ABS(Table17[[#This Row],[%Change]]) &gt; 0.3, "Alert: Preference Shift", "")</f>
        <v>Alert: Preference Shift</v>
      </c>
    </row>
    <row r="449" spans="1:10">
      <c r="A449" s="54">
        <v>55415</v>
      </c>
      <c r="B449" s="15" t="s">
        <v>14</v>
      </c>
      <c r="C449" s="14" t="str">
        <f t="shared" si="26"/>
        <v>September</v>
      </c>
      <c r="D449" s="15" t="str">
        <f>CHOOSE(MATCH(MONTH(A449), {1,4,7,10}), "Winter", "Spring", "Summer", "Autumn")</f>
        <v>Summer</v>
      </c>
      <c r="E449">
        <f t="shared" si="27"/>
        <v>2051</v>
      </c>
      <c r="F449">
        <v>98</v>
      </c>
      <c r="G449">
        <f t="shared" ca="1" si="24"/>
        <v>78</v>
      </c>
      <c r="H449">
        <f t="shared" ca="1" si="25"/>
        <v>63</v>
      </c>
      <c r="I449" s="81">
        <f ca="1">(Table17[[#This Row],[Current_Month_Sales]]-Table17[[#This Row],[Previous Month Sales]])/Table17[[#This Row],[Previous Month Sales]]</f>
        <v>0.23809523809523808</v>
      </c>
      <c r="J449" t="str">
        <f ca="1">IF(ABS(Table17[[#This Row],[%Change]]) &gt; 0.3, "Alert: Preference Shift", "")</f>
        <v/>
      </c>
    </row>
    <row r="450" spans="1:10">
      <c r="A450" s="53">
        <v>55445</v>
      </c>
      <c r="B450" s="14" t="s">
        <v>13</v>
      </c>
      <c r="C450" s="14" t="str">
        <f t="shared" si="26"/>
        <v>October</v>
      </c>
      <c r="D450" s="14" t="str">
        <f>CHOOSE(MATCH(MONTH(A450), {1,4,7,10}), "Winter", "Spring", "Summer", "Autumn")</f>
        <v>Autumn</v>
      </c>
      <c r="E450">
        <f t="shared" si="27"/>
        <v>2051</v>
      </c>
      <c r="F450">
        <v>92</v>
      </c>
      <c r="G450">
        <f t="shared" ref="G450:G501" ca="1" si="28">CHOOSE(RANDBETWEEN(1,12), 121,133,65,78,150,189,89,157,100,172,97,130)</f>
        <v>172</v>
      </c>
      <c r="H450">
        <f t="shared" ref="H450:H501" ca="1" si="29">CHOOSE(RANDBETWEEN(1,12), 129,63,79,105,117,129,56,48,117,109,68,118)</f>
        <v>105</v>
      </c>
      <c r="I450" s="81">
        <f ca="1">(Table17[[#This Row],[Current_Month_Sales]]-Table17[[#This Row],[Previous Month Sales]])/Table17[[#This Row],[Previous Month Sales]]</f>
        <v>0.63809523809523805</v>
      </c>
      <c r="J450" t="str">
        <f ca="1">IF(ABS(Table17[[#This Row],[%Change]]) &gt; 0.3, "Alert: Preference Shift", "")</f>
        <v>Alert: Preference Shift</v>
      </c>
    </row>
    <row r="451" spans="1:10">
      <c r="A451" s="54">
        <v>55475</v>
      </c>
      <c r="B451" s="15" t="s">
        <v>13</v>
      </c>
      <c r="C451" s="14" t="str">
        <f t="shared" ref="C451:C501" si="30">TEXT(A451,"mmmm")</f>
        <v>November</v>
      </c>
      <c r="D451" s="15" t="str">
        <f>CHOOSE(MATCH(MONTH(A451), {1,4,7,10}), "Winter", "Spring", "Summer", "Autumn")</f>
        <v>Autumn</v>
      </c>
      <c r="E451">
        <f t="shared" ref="E451:E501" si="31">YEAR(A451)</f>
        <v>2051</v>
      </c>
      <c r="F451">
        <v>96</v>
      </c>
      <c r="G451">
        <f t="shared" ca="1" si="28"/>
        <v>150</v>
      </c>
      <c r="H451">
        <f t="shared" ca="1" si="29"/>
        <v>129</v>
      </c>
      <c r="I451" s="81">
        <f ca="1">(Table17[[#This Row],[Current_Month_Sales]]-Table17[[#This Row],[Previous Month Sales]])/Table17[[#This Row],[Previous Month Sales]]</f>
        <v>0.16279069767441862</v>
      </c>
      <c r="J451" t="str">
        <f ca="1">IF(ABS(Table17[[#This Row],[%Change]]) &gt; 0.3, "Alert: Preference Shift", "")</f>
        <v/>
      </c>
    </row>
    <row r="452" spans="1:10">
      <c r="A452" s="53">
        <v>55505</v>
      </c>
      <c r="B452" s="14" t="s">
        <v>10</v>
      </c>
      <c r="C452" s="14" t="str">
        <f t="shared" si="30"/>
        <v>December</v>
      </c>
      <c r="D452" s="14" t="str">
        <f>CHOOSE(MATCH(MONTH(A452), {1,4,7,10}), "Winter", "Spring", "Summer", "Autumn")</f>
        <v>Autumn</v>
      </c>
      <c r="E452">
        <f t="shared" si="31"/>
        <v>2051</v>
      </c>
      <c r="F452">
        <v>94</v>
      </c>
      <c r="G452">
        <f t="shared" ca="1" si="28"/>
        <v>189</v>
      </c>
      <c r="H452">
        <f t="shared" ca="1" si="29"/>
        <v>56</v>
      </c>
      <c r="I452" s="81">
        <f ca="1">(Table17[[#This Row],[Current_Month_Sales]]-Table17[[#This Row],[Previous Month Sales]])/Table17[[#This Row],[Previous Month Sales]]</f>
        <v>2.375</v>
      </c>
      <c r="J452" t="str">
        <f ca="1">IF(ABS(Table17[[#This Row],[%Change]]) &gt; 0.3, "Alert: Preference Shift", "")</f>
        <v>Alert: Preference Shift</v>
      </c>
    </row>
    <row r="453" spans="1:10">
      <c r="A453" s="54">
        <v>55535</v>
      </c>
      <c r="B453" s="15" t="s">
        <v>14</v>
      </c>
      <c r="C453" s="14" t="str">
        <f t="shared" si="30"/>
        <v>January</v>
      </c>
      <c r="D453" s="15" t="str">
        <f>CHOOSE(MATCH(MONTH(A453), {1,4,7,10}), "Winter", "Spring", "Summer", "Autumn")</f>
        <v>Winter</v>
      </c>
      <c r="E453">
        <f t="shared" si="31"/>
        <v>2052</v>
      </c>
      <c r="F453">
        <v>75</v>
      </c>
      <c r="G453">
        <f t="shared" ca="1" si="28"/>
        <v>133</v>
      </c>
      <c r="H453">
        <f t="shared" ca="1" si="29"/>
        <v>129</v>
      </c>
      <c r="I453" s="81">
        <f ca="1">(Table17[[#This Row],[Current_Month_Sales]]-Table17[[#This Row],[Previous Month Sales]])/Table17[[#This Row],[Previous Month Sales]]</f>
        <v>3.1007751937984496E-2</v>
      </c>
      <c r="J453" t="str">
        <f ca="1">IF(ABS(Table17[[#This Row],[%Change]]) &gt; 0.3, "Alert: Preference Shift", "")</f>
        <v/>
      </c>
    </row>
    <row r="454" spans="1:10">
      <c r="A454" s="53">
        <v>55565</v>
      </c>
      <c r="B454" s="14" t="s">
        <v>13</v>
      </c>
      <c r="C454" s="14" t="str">
        <f t="shared" si="30"/>
        <v>February</v>
      </c>
      <c r="D454" s="14" t="str">
        <f>CHOOSE(MATCH(MONTH(A454), {1,4,7,10}), "Winter", "Spring", "Summer", "Autumn")</f>
        <v>Winter</v>
      </c>
      <c r="E454">
        <f t="shared" si="31"/>
        <v>2052</v>
      </c>
      <c r="F454">
        <v>97</v>
      </c>
      <c r="G454">
        <f t="shared" ca="1" si="28"/>
        <v>97</v>
      </c>
      <c r="H454">
        <f t="shared" ca="1" si="29"/>
        <v>129</v>
      </c>
      <c r="I454" s="81">
        <f ca="1">(Table17[[#This Row],[Current_Month_Sales]]-Table17[[#This Row],[Previous Month Sales]])/Table17[[#This Row],[Previous Month Sales]]</f>
        <v>-0.24806201550387597</v>
      </c>
      <c r="J454" t="str">
        <f ca="1">IF(ABS(Table17[[#This Row],[%Change]]) &gt; 0.3, "Alert: Preference Shift", "")</f>
        <v/>
      </c>
    </row>
    <row r="455" spans="1:10">
      <c r="A455" s="54">
        <v>55595</v>
      </c>
      <c r="B455" s="15" t="s">
        <v>12</v>
      </c>
      <c r="C455" s="14" t="str">
        <f t="shared" si="30"/>
        <v>March</v>
      </c>
      <c r="D455" s="15" t="str">
        <f>CHOOSE(MATCH(MONTH(A455), {1,4,7,10}), "Winter", "Spring", "Summer", "Autumn")</f>
        <v>Winter</v>
      </c>
      <c r="E455">
        <f t="shared" si="31"/>
        <v>2052</v>
      </c>
      <c r="F455">
        <v>100</v>
      </c>
      <c r="G455">
        <f t="shared" ca="1" si="28"/>
        <v>130</v>
      </c>
      <c r="H455">
        <f t="shared" ca="1" si="29"/>
        <v>117</v>
      </c>
      <c r="I455" s="81">
        <f ca="1">(Table17[[#This Row],[Current_Month_Sales]]-Table17[[#This Row],[Previous Month Sales]])/Table17[[#This Row],[Previous Month Sales]]</f>
        <v>0.1111111111111111</v>
      </c>
      <c r="J455" t="str">
        <f ca="1">IF(ABS(Table17[[#This Row],[%Change]]) &gt; 0.3, "Alert: Preference Shift", "")</f>
        <v/>
      </c>
    </row>
    <row r="456" spans="1:10">
      <c r="A456" s="53">
        <v>55625</v>
      </c>
      <c r="B456" s="14" t="s">
        <v>11</v>
      </c>
      <c r="C456" s="14" t="str">
        <f t="shared" si="30"/>
        <v>April</v>
      </c>
      <c r="D456" s="14" t="str">
        <f>CHOOSE(MATCH(MONTH(A456), {1,4,7,10}), "Winter", "Spring", "Summer", "Autumn")</f>
        <v>Spring</v>
      </c>
      <c r="E456">
        <f t="shared" si="31"/>
        <v>2052</v>
      </c>
      <c r="F456">
        <v>98</v>
      </c>
      <c r="G456">
        <f t="shared" ca="1" si="28"/>
        <v>89</v>
      </c>
      <c r="H456">
        <f t="shared" ca="1" si="29"/>
        <v>117</v>
      </c>
      <c r="I456" s="81">
        <f ca="1">(Table17[[#This Row],[Current_Month_Sales]]-Table17[[#This Row],[Previous Month Sales]])/Table17[[#This Row],[Previous Month Sales]]</f>
        <v>-0.23931623931623933</v>
      </c>
      <c r="J456" t="str">
        <f ca="1">IF(ABS(Table17[[#This Row],[%Change]]) &gt; 0.3, "Alert: Preference Shift", "")</f>
        <v/>
      </c>
    </row>
    <row r="457" spans="1:10">
      <c r="A457" s="54">
        <v>55655</v>
      </c>
      <c r="B457" s="15" t="s">
        <v>10</v>
      </c>
      <c r="C457" s="14" t="str">
        <f t="shared" si="30"/>
        <v>May</v>
      </c>
      <c r="D457" s="15" t="str">
        <f>CHOOSE(MATCH(MONTH(A457), {1,4,7,10}), "Winter", "Spring", "Summer", "Autumn")</f>
        <v>Spring</v>
      </c>
      <c r="E457">
        <f t="shared" si="31"/>
        <v>2052</v>
      </c>
      <c r="F457">
        <v>121</v>
      </c>
      <c r="G457">
        <f t="shared" ca="1" si="28"/>
        <v>189</v>
      </c>
      <c r="H457">
        <f t="shared" ca="1" si="29"/>
        <v>56</v>
      </c>
      <c r="I457" s="81">
        <f ca="1">(Table17[[#This Row],[Current_Month_Sales]]-Table17[[#This Row],[Previous Month Sales]])/Table17[[#This Row],[Previous Month Sales]]</f>
        <v>2.375</v>
      </c>
      <c r="J457" t="str">
        <f ca="1">IF(ABS(Table17[[#This Row],[%Change]]) &gt; 0.3, "Alert: Preference Shift", "")</f>
        <v>Alert: Preference Shift</v>
      </c>
    </row>
    <row r="458" spans="1:10">
      <c r="A458" s="53">
        <v>55685</v>
      </c>
      <c r="B458" s="14" t="s">
        <v>14</v>
      </c>
      <c r="C458" s="14" t="str">
        <f t="shared" si="30"/>
        <v>June</v>
      </c>
      <c r="D458" s="14" t="str">
        <f>CHOOSE(MATCH(MONTH(A458), {1,4,7,10}), "Winter", "Spring", "Summer", "Autumn")</f>
        <v>Spring</v>
      </c>
      <c r="E458">
        <f t="shared" si="31"/>
        <v>2052</v>
      </c>
      <c r="F458">
        <v>103</v>
      </c>
      <c r="G458">
        <f t="shared" ca="1" si="28"/>
        <v>150</v>
      </c>
      <c r="H458">
        <f t="shared" ca="1" si="29"/>
        <v>109</v>
      </c>
      <c r="I458" s="81">
        <f ca="1">(Table17[[#This Row],[Current_Month_Sales]]-Table17[[#This Row],[Previous Month Sales]])/Table17[[#This Row],[Previous Month Sales]]</f>
        <v>0.37614678899082571</v>
      </c>
      <c r="J458" t="str">
        <f ca="1">IF(ABS(Table17[[#This Row],[%Change]]) &gt; 0.3, "Alert: Preference Shift", "")</f>
        <v>Alert: Preference Shift</v>
      </c>
    </row>
    <row r="459" spans="1:10">
      <c r="A459" s="54">
        <v>55715</v>
      </c>
      <c r="B459" s="15" t="s">
        <v>10</v>
      </c>
      <c r="C459" s="14" t="str">
        <f t="shared" si="30"/>
        <v>July</v>
      </c>
      <c r="D459" s="15" t="str">
        <f>CHOOSE(MATCH(MONTH(A459), {1,4,7,10}), "Winter", "Spring", "Summer", "Autumn")</f>
        <v>Summer</v>
      </c>
      <c r="E459">
        <f t="shared" si="31"/>
        <v>2052</v>
      </c>
      <c r="F459">
        <v>121</v>
      </c>
      <c r="G459">
        <f t="shared" ca="1" si="28"/>
        <v>78</v>
      </c>
      <c r="H459">
        <f t="shared" ca="1" si="29"/>
        <v>118</v>
      </c>
      <c r="I459" s="81">
        <f ca="1">(Table17[[#This Row],[Current_Month_Sales]]-Table17[[#This Row],[Previous Month Sales]])/Table17[[#This Row],[Previous Month Sales]]</f>
        <v>-0.33898305084745761</v>
      </c>
      <c r="J459" t="str">
        <f ca="1">IF(ABS(Table17[[#This Row],[%Change]]) &gt; 0.3, "Alert: Preference Shift", "")</f>
        <v>Alert: Preference Shift</v>
      </c>
    </row>
    <row r="460" spans="1:10">
      <c r="A460" s="53">
        <v>55745</v>
      </c>
      <c r="B460" s="14" t="s">
        <v>13</v>
      </c>
      <c r="C460" s="14" t="str">
        <f t="shared" si="30"/>
        <v>August</v>
      </c>
      <c r="D460" s="14" t="str">
        <f>CHOOSE(MATCH(MONTH(A460), {1,4,7,10}), "Winter", "Spring", "Summer", "Autumn")</f>
        <v>Summer</v>
      </c>
      <c r="E460">
        <f t="shared" si="31"/>
        <v>2052</v>
      </c>
      <c r="F460">
        <v>103</v>
      </c>
      <c r="G460">
        <f t="shared" ca="1" si="28"/>
        <v>97</v>
      </c>
      <c r="H460">
        <f t="shared" ca="1" si="29"/>
        <v>117</v>
      </c>
      <c r="I460" s="81">
        <f ca="1">(Table17[[#This Row],[Current_Month_Sales]]-Table17[[#This Row],[Previous Month Sales]])/Table17[[#This Row],[Previous Month Sales]]</f>
        <v>-0.17094017094017094</v>
      </c>
      <c r="J460" t="str">
        <f ca="1">IF(ABS(Table17[[#This Row],[%Change]]) &gt; 0.3, "Alert: Preference Shift", "")</f>
        <v/>
      </c>
    </row>
    <row r="461" spans="1:10">
      <c r="A461" s="54">
        <v>55775</v>
      </c>
      <c r="B461" s="15" t="s">
        <v>13</v>
      </c>
      <c r="C461" s="14" t="str">
        <f t="shared" si="30"/>
        <v>September</v>
      </c>
      <c r="D461" s="15" t="str">
        <f>CHOOSE(MATCH(MONTH(A461), {1,4,7,10}), "Winter", "Spring", "Summer", "Autumn")</f>
        <v>Summer</v>
      </c>
      <c r="E461">
        <f t="shared" si="31"/>
        <v>2052</v>
      </c>
      <c r="F461">
        <v>91</v>
      </c>
      <c r="G461">
        <f t="shared" ca="1" si="28"/>
        <v>78</v>
      </c>
      <c r="H461">
        <f t="shared" ca="1" si="29"/>
        <v>56</v>
      </c>
      <c r="I461" s="81">
        <f ca="1">(Table17[[#This Row],[Current_Month_Sales]]-Table17[[#This Row],[Previous Month Sales]])/Table17[[#This Row],[Previous Month Sales]]</f>
        <v>0.39285714285714285</v>
      </c>
      <c r="J461" t="str">
        <f ca="1">IF(ABS(Table17[[#This Row],[%Change]]) &gt; 0.3, "Alert: Preference Shift", "")</f>
        <v>Alert: Preference Shift</v>
      </c>
    </row>
    <row r="462" spans="1:10">
      <c r="A462" s="53">
        <v>55805</v>
      </c>
      <c r="B462" s="14" t="s">
        <v>12</v>
      </c>
      <c r="C462" s="14" t="str">
        <f t="shared" si="30"/>
        <v>October</v>
      </c>
      <c r="D462" s="14" t="str">
        <f>CHOOSE(MATCH(MONTH(A462), {1,4,7,10}), "Winter", "Spring", "Summer", "Autumn")</f>
        <v>Autumn</v>
      </c>
      <c r="E462">
        <f t="shared" si="31"/>
        <v>2052</v>
      </c>
      <c r="F462">
        <v>91</v>
      </c>
      <c r="G462">
        <f t="shared" ca="1" si="28"/>
        <v>157</v>
      </c>
      <c r="H462">
        <f t="shared" ca="1" si="29"/>
        <v>56</v>
      </c>
      <c r="I462" s="81">
        <f ca="1">(Table17[[#This Row],[Current_Month_Sales]]-Table17[[#This Row],[Previous Month Sales]])/Table17[[#This Row],[Previous Month Sales]]</f>
        <v>1.8035714285714286</v>
      </c>
      <c r="J462" t="str">
        <f ca="1">IF(ABS(Table17[[#This Row],[%Change]]) &gt; 0.3, "Alert: Preference Shift", "")</f>
        <v>Alert: Preference Shift</v>
      </c>
    </row>
    <row r="463" spans="1:10">
      <c r="A463" s="54">
        <v>55835</v>
      </c>
      <c r="B463" s="15" t="s">
        <v>11</v>
      </c>
      <c r="C463" s="14" t="str">
        <f t="shared" si="30"/>
        <v>November</v>
      </c>
      <c r="D463" s="15" t="str">
        <f>CHOOSE(MATCH(MONTH(A463), {1,4,7,10}), "Winter", "Spring", "Summer", "Autumn")</f>
        <v>Autumn</v>
      </c>
      <c r="E463">
        <f t="shared" si="31"/>
        <v>2052</v>
      </c>
      <c r="F463">
        <v>100</v>
      </c>
      <c r="G463">
        <f t="shared" ca="1" si="28"/>
        <v>100</v>
      </c>
      <c r="H463">
        <f t="shared" ca="1" si="29"/>
        <v>79</v>
      </c>
      <c r="I463" s="81">
        <f ca="1">(Table17[[#This Row],[Current_Month_Sales]]-Table17[[#This Row],[Previous Month Sales]])/Table17[[#This Row],[Previous Month Sales]]</f>
        <v>0.26582278481012656</v>
      </c>
      <c r="J463" t="str">
        <f ca="1">IF(ABS(Table17[[#This Row],[%Change]]) &gt; 0.3, "Alert: Preference Shift", "")</f>
        <v/>
      </c>
    </row>
    <row r="464" spans="1:10">
      <c r="A464" s="53">
        <v>55865</v>
      </c>
      <c r="B464" s="14" t="s">
        <v>14</v>
      </c>
      <c r="C464" s="14" t="str">
        <f t="shared" si="30"/>
        <v>December</v>
      </c>
      <c r="D464" s="14" t="str">
        <f>CHOOSE(MATCH(MONTH(A464), {1,4,7,10}), "Winter", "Spring", "Summer", "Autumn")</f>
        <v>Autumn</v>
      </c>
      <c r="E464">
        <f t="shared" si="31"/>
        <v>2052</v>
      </c>
      <c r="F464">
        <v>97</v>
      </c>
      <c r="G464">
        <f t="shared" ca="1" si="28"/>
        <v>172</v>
      </c>
      <c r="H464">
        <f t="shared" ca="1" si="29"/>
        <v>117</v>
      </c>
      <c r="I464" s="81">
        <f ca="1">(Table17[[#This Row],[Current_Month_Sales]]-Table17[[#This Row],[Previous Month Sales]])/Table17[[#This Row],[Previous Month Sales]]</f>
        <v>0.47008547008547008</v>
      </c>
      <c r="J464" t="str">
        <f ca="1">IF(ABS(Table17[[#This Row],[%Change]]) &gt; 0.3, "Alert: Preference Shift", "")</f>
        <v>Alert: Preference Shift</v>
      </c>
    </row>
    <row r="465" spans="1:10">
      <c r="A465" s="54">
        <v>55895</v>
      </c>
      <c r="B465" s="15" t="s">
        <v>10</v>
      </c>
      <c r="C465" s="14" t="str">
        <f t="shared" si="30"/>
        <v>January</v>
      </c>
      <c r="D465" s="15" t="str">
        <f>CHOOSE(MATCH(MONTH(A465), {1,4,7,10}), "Winter", "Spring", "Summer", "Autumn")</f>
        <v>Winter</v>
      </c>
      <c r="E465">
        <f t="shared" si="31"/>
        <v>2053</v>
      </c>
      <c r="F465">
        <v>106</v>
      </c>
      <c r="G465">
        <f t="shared" ca="1" si="28"/>
        <v>172</v>
      </c>
      <c r="H465">
        <f t="shared" ca="1" si="29"/>
        <v>56</v>
      </c>
      <c r="I465" s="81">
        <f ca="1">(Table17[[#This Row],[Current_Month_Sales]]-Table17[[#This Row],[Previous Month Sales]])/Table17[[#This Row],[Previous Month Sales]]</f>
        <v>2.0714285714285716</v>
      </c>
      <c r="J465" t="str">
        <f ca="1">IF(ABS(Table17[[#This Row],[%Change]]) &gt; 0.3, "Alert: Preference Shift", "")</f>
        <v>Alert: Preference Shift</v>
      </c>
    </row>
    <row r="466" spans="1:10">
      <c r="A466" s="53">
        <v>55925</v>
      </c>
      <c r="B466" s="14" t="s">
        <v>11</v>
      </c>
      <c r="C466" s="14" t="str">
        <f t="shared" si="30"/>
        <v>February</v>
      </c>
      <c r="D466" s="14" t="str">
        <f>CHOOSE(MATCH(MONTH(A466), {1,4,7,10}), "Winter", "Spring", "Summer", "Autumn")</f>
        <v>Winter</v>
      </c>
      <c r="E466">
        <f t="shared" si="31"/>
        <v>2053</v>
      </c>
      <c r="F466">
        <v>110</v>
      </c>
      <c r="G466">
        <f t="shared" ca="1" si="28"/>
        <v>157</v>
      </c>
      <c r="H466">
        <f t="shared" ca="1" si="29"/>
        <v>118</v>
      </c>
      <c r="I466" s="81">
        <f ca="1">(Table17[[#This Row],[Current_Month_Sales]]-Table17[[#This Row],[Previous Month Sales]])/Table17[[#This Row],[Previous Month Sales]]</f>
        <v>0.33050847457627119</v>
      </c>
      <c r="J466" t="str">
        <f ca="1">IF(ABS(Table17[[#This Row],[%Change]]) &gt; 0.3, "Alert: Preference Shift", "")</f>
        <v>Alert: Preference Shift</v>
      </c>
    </row>
    <row r="467" spans="1:10">
      <c r="A467" s="54">
        <v>55955</v>
      </c>
      <c r="B467" s="15" t="s">
        <v>13</v>
      </c>
      <c r="C467" s="14" t="str">
        <f t="shared" si="30"/>
        <v>March</v>
      </c>
      <c r="D467" s="15" t="str">
        <f>CHOOSE(MATCH(MONTH(A467), {1,4,7,10}), "Winter", "Spring", "Summer", "Autumn")</f>
        <v>Winter</v>
      </c>
      <c r="E467">
        <f t="shared" si="31"/>
        <v>2053</v>
      </c>
      <c r="F467">
        <v>91</v>
      </c>
      <c r="G467">
        <f t="shared" ca="1" si="28"/>
        <v>78</v>
      </c>
      <c r="H467">
        <f t="shared" ca="1" si="29"/>
        <v>129</v>
      </c>
      <c r="I467" s="81">
        <f ca="1">(Table17[[#This Row],[Current_Month_Sales]]-Table17[[#This Row],[Previous Month Sales]])/Table17[[#This Row],[Previous Month Sales]]</f>
        <v>-0.39534883720930231</v>
      </c>
      <c r="J467" t="str">
        <f ca="1">IF(ABS(Table17[[#This Row],[%Change]]) &gt; 0.3, "Alert: Preference Shift", "")</f>
        <v>Alert: Preference Shift</v>
      </c>
    </row>
    <row r="468" spans="1:10">
      <c r="A468" s="53">
        <v>55985</v>
      </c>
      <c r="B468" s="14" t="s">
        <v>11</v>
      </c>
      <c r="C468" s="14" t="str">
        <f t="shared" si="30"/>
        <v>April</v>
      </c>
      <c r="D468" s="14" t="str">
        <f>CHOOSE(MATCH(MONTH(A468), {1,4,7,10}), "Winter", "Spring", "Summer", "Autumn")</f>
        <v>Spring</v>
      </c>
      <c r="E468">
        <f t="shared" si="31"/>
        <v>2053</v>
      </c>
      <c r="F468">
        <v>103</v>
      </c>
      <c r="G468">
        <f t="shared" ca="1" si="28"/>
        <v>133</v>
      </c>
      <c r="H468">
        <f t="shared" ca="1" si="29"/>
        <v>109</v>
      </c>
      <c r="I468" s="81">
        <f ca="1">(Table17[[#This Row],[Current_Month_Sales]]-Table17[[#This Row],[Previous Month Sales]])/Table17[[#This Row],[Previous Month Sales]]</f>
        <v>0.22018348623853212</v>
      </c>
      <c r="J468" t="str">
        <f ca="1">IF(ABS(Table17[[#This Row],[%Change]]) &gt; 0.3, "Alert: Preference Shift", "")</f>
        <v/>
      </c>
    </row>
    <row r="469" spans="1:10">
      <c r="A469" s="54">
        <v>56015</v>
      </c>
      <c r="B469" s="15" t="s">
        <v>10</v>
      </c>
      <c r="C469" s="14" t="str">
        <f t="shared" si="30"/>
        <v>May</v>
      </c>
      <c r="D469" s="15" t="str">
        <f>CHOOSE(MATCH(MONTH(A469), {1,4,7,10}), "Winter", "Spring", "Summer", "Autumn")</f>
        <v>Spring</v>
      </c>
      <c r="E469">
        <f t="shared" si="31"/>
        <v>2053</v>
      </c>
      <c r="F469">
        <v>84</v>
      </c>
      <c r="G469">
        <f t="shared" ca="1" si="28"/>
        <v>130</v>
      </c>
      <c r="H469">
        <f t="shared" ca="1" si="29"/>
        <v>79</v>
      </c>
      <c r="I469" s="81">
        <f ca="1">(Table17[[#This Row],[Current_Month_Sales]]-Table17[[#This Row],[Previous Month Sales]])/Table17[[#This Row],[Previous Month Sales]]</f>
        <v>0.64556962025316456</v>
      </c>
      <c r="J469" t="str">
        <f ca="1">IF(ABS(Table17[[#This Row],[%Change]]) &gt; 0.3, "Alert: Preference Shift", "")</f>
        <v>Alert: Preference Shift</v>
      </c>
    </row>
    <row r="470" spans="1:10">
      <c r="A470" s="53">
        <v>56045</v>
      </c>
      <c r="B470" s="14" t="s">
        <v>11</v>
      </c>
      <c r="C470" s="14" t="str">
        <f t="shared" si="30"/>
        <v>June</v>
      </c>
      <c r="D470" s="14" t="str">
        <f>CHOOSE(MATCH(MONTH(A470), {1,4,7,10}), "Winter", "Spring", "Summer", "Autumn")</f>
        <v>Spring</v>
      </c>
      <c r="E470">
        <f t="shared" si="31"/>
        <v>2053</v>
      </c>
      <c r="F470">
        <v>93</v>
      </c>
      <c r="G470">
        <f t="shared" ca="1" si="28"/>
        <v>121</v>
      </c>
      <c r="H470">
        <f t="shared" ca="1" si="29"/>
        <v>118</v>
      </c>
      <c r="I470" s="81">
        <f ca="1">(Table17[[#This Row],[Current_Month_Sales]]-Table17[[#This Row],[Previous Month Sales]])/Table17[[#This Row],[Previous Month Sales]]</f>
        <v>2.5423728813559324E-2</v>
      </c>
      <c r="J470" t="str">
        <f ca="1">IF(ABS(Table17[[#This Row],[%Change]]) &gt; 0.3, "Alert: Preference Shift", "")</f>
        <v/>
      </c>
    </row>
    <row r="471" spans="1:10">
      <c r="A471" s="54">
        <v>56075</v>
      </c>
      <c r="B471" s="15" t="s">
        <v>13</v>
      </c>
      <c r="C471" s="14" t="str">
        <f t="shared" si="30"/>
        <v>July</v>
      </c>
      <c r="D471" s="15" t="str">
        <f>CHOOSE(MATCH(MONTH(A471), {1,4,7,10}), "Winter", "Spring", "Summer", "Autumn")</f>
        <v>Summer</v>
      </c>
      <c r="E471">
        <f t="shared" si="31"/>
        <v>2053</v>
      </c>
      <c r="F471">
        <v>113</v>
      </c>
      <c r="G471">
        <f t="shared" ca="1" si="28"/>
        <v>133</v>
      </c>
      <c r="H471">
        <f t="shared" ca="1" si="29"/>
        <v>56</v>
      </c>
      <c r="I471" s="81">
        <f ca="1">(Table17[[#This Row],[Current_Month_Sales]]-Table17[[#This Row],[Previous Month Sales]])/Table17[[#This Row],[Previous Month Sales]]</f>
        <v>1.375</v>
      </c>
      <c r="J471" t="str">
        <f ca="1">IF(ABS(Table17[[#This Row],[%Change]]) &gt; 0.3, "Alert: Preference Shift", "")</f>
        <v>Alert: Preference Shift</v>
      </c>
    </row>
    <row r="472" spans="1:10">
      <c r="A472" s="53">
        <v>56105</v>
      </c>
      <c r="B472" s="14" t="s">
        <v>11</v>
      </c>
      <c r="C472" s="14" t="str">
        <f t="shared" si="30"/>
        <v>August</v>
      </c>
      <c r="D472" s="14" t="str">
        <f>CHOOSE(MATCH(MONTH(A472), {1,4,7,10}), "Winter", "Spring", "Summer", "Autumn")</f>
        <v>Summer</v>
      </c>
      <c r="E472">
        <f t="shared" si="31"/>
        <v>2053</v>
      </c>
      <c r="F472">
        <v>105</v>
      </c>
      <c r="G472">
        <f t="shared" ca="1" si="28"/>
        <v>130</v>
      </c>
      <c r="H472">
        <f t="shared" ca="1" si="29"/>
        <v>117</v>
      </c>
      <c r="I472" s="81">
        <f ca="1">(Table17[[#This Row],[Current_Month_Sales]]-Table17[[#This Row],[Previous Month Sales]])/Table17[[#This Row],[Previous Month Sales]]</f>
        <v>0.1111111111111111</v>
      </c>
      <c r="J472" t="str">
        <f ca="1">IF(ABS(Table17[[#This Row],[%Change]]) &gt; 0.3, "Alert: Preference Shift", "")</f>
        <v/>
      </c>
    </row>
    <row r="473" spans="1:10">
      <c r="A473" s="54">
        <v>56135</v>
      </c>
      <c r="B473" s="15" t="s">
        <v>14</v>
      </c>
      <c r="C473" s="14" t="str">
        <f t="shared" si="30"/>
        <v>September</v>
      </c>
      <c r="D473" s="15" t="str">
        <f>CHOOSE(MATCH(MONTH(A473), {1,4,7,10}), "Winter", "Spring", "Summer", "Autumn")</f>
        <v>Summer</v>
      </c>
      <c r="E473">
        <f t="shared" si="31"/>
        <v>2053</v>
      </c>
      <c r="F473">
        <v>83</v>
      </c>
      <c r="G473">
        <f t="shared" ca="1" si="28"/>
        <v>100</v>
      </c>
      <c r="H473">
        <f t="shared" ca="1" si="29"/>
        <v>118</v>
      </c>
      <c r="I473" s="81">
        <f ca="1">(Table17[[#This Row],[Current_Month_Sales]]-Table17[[#This Row],[Previous Month Sales]])/Table17[[#This Row],[Previous Month Sales]]</f>
        <v>-0.15254237288135594</v>
      </c>
      <c r="J473" t="str">
        <f ca="1">IF(ABS(Table17[[#This Row],[%Change]]) &gt; 0.3, "Alert: Preference Shift", "")</f>
        <v/>
      </c>
    </row>
    <row r="474" spans="1:10">
      <c r="A474" s="53">
        <v>56165</v>
      </c>
      <c r="B474" s="14" t="s">
        <v>11</v>
      </c>
      <c r="C474" s="14" t="str">
        <f t="shared" si="30"/>
        <v>October</v>
      </c>
      <c r="D474" s="14" t="str">
        <f>CHOOSE(MATCH(MONTH(A474), {1,4,7,10}), "Winter", "Spring", "Summer", "Autumn")</f>
        <v>Autumn</v>
      </c>
      <c r="E474">
        <f t="shared" si="31"/>
        <v>2053</v>
      </c>
      <c r="F474">
        <v>96</v>
      </c>
      <c r="G474">
        <f t="shared" ca="1" si="28"/>
        <v>78</v>
      </c>
      <c r="H474">
        <f t="shared" ca="1" si="29"/>
        <v>68</v>
      </c>
      <c r="I474" s="81">
        <f ca="1">(Table17[[#This Row],[Current_Month_Sales]]-Table17[[#This Row],[Previous Month Sales]])/Table17[[#This Row],[Previous Month Sales]]</f>
        <v>0.14705882352941177</v>
      </c>
      <c r="J474" t="str">
        <f ca="1">IF(ABS(Table17[[#This Row],[%Change]]) &gt; 0.3, "Alert: Preference Shift", "")</f>
        <v/>
      </c>
    </row>
    <row r="475" spans="1:10">
      <c r="A475" s="54">
        <v>56195</v>
      </c>
      <c r="B475" s="15" t="s">
        <v>14</v>
      </c>
      <c r="C475" s="14" t="str">
        <f t="shared" si="30"/>
        <v>November</v>
      </c>
      <c r="D475" s="15" t="str">
        <f>CHOOSE(MATCH(MONTH(A475), {1,4,7,10}), "Winter", "Spring", "Summer", "Autumn")</f>
        <v>Autumn</v>
      </c>
      <c r="E475">
        <f t="shared" si="31"/>
        <v>2053</v>
      </c>
      <c r="F475">
        <v>107</v>
      </c>
      <c r="G475">
        <f t="shared" ca="1" si="28"/>
        <v>189</v>
      </c>
      <c r="H475">
        <f t="shared" ca="1" si="29"/>
        <v>68</v>
      </c>
      <c r="I475" s="81">
        <f ca="1">(Table17[[#This Row],[Current_Month_Sales]]-Table17[[#This Row],[Previous Month Sales]])/Table17[[#This Row],[Previous Month Sales]]</f>
        <v>1.7794117647058822</v>
      </c>
      <c r="J475" t="str">
        <f ca="1">IF(ABS(Table17[[#This Row],[%Change]]) &gt; 0.3, "Alert: Preference Shift", "")</f>
        <v>Alert: Preference Shift</v>
      </c>
    </row>
    <row r="476" spans="1:10">
      <c r="A476" s="53">
        <v>56225</v>
      </c>
      <c r="B476" s="14" t="s">
        <v>11</v>
      </c>
      <c r="C476" s="14" t="str">
        <f t="shared" si="30"/>
        <v>December</v>
      </c>
      <c r="D476" s="14" t="str">
        <f>CHOOSE(MATCH(MONTH(A476), {1,4,7,10}), "Winter", "Spring", "Summer", "Autumn")</f>
        <v>Autumn</v>
      </c>
      <c r="E476">
        <f t="shared" si="31"/>
        <v>2053</v>
      </c>
      <c r="F476">
        <v>83</v>
      </c>
      <c r="G476">
        <f t="shared" ca="1" si="28"/>
        <v>157</v>
      </c>
      <c r="H476">
        <f t="shared" ca="1" si="29"/>
        <v>129</v>
      </c>
      <c r="I476" s="81">
        <f ca="1">(Table17[[#This Row],[Current_Month_Sales]]-Table17[[#This Row],[Previous Month Sales]])/Table17[[#This Row],[Previous Month Sales]]</f>
        <v>0.21705426356589147</v>
      </c>
      <c r="J476" t="str">
        <f ca="1">IF(ABS(Table17[[#This Row],[%Change]]) &gt; 0.3, "Alert: Preference Shift", "")</f>
        <v/>
      </c>
    </row>
    <row r="477" spans="1:10">
      <c r="A477" s="54">
        <v>56255</v>
      </c>
      <c r="B477" s="15" t="s">
        <v>13</v>
      </c>
      <c r="C477" s="14" t="str">
        <f t="shared" si="30"/>
        <v>January</v>
      </c>
      <c r="D477" s="15" t="str">
        <f>CHOOSE(MATCH(MONTH(A477), {1,4,7,10}), "Winter", "Spring", "Summer", "Autumn")</f>
        <v>Winter</v>
      </c>
      <c r="E477">
        <f t="shared" si="31"/>
        <v>2054</v>
      </c>
      <c r="F477">
        <v>105</v>
      </c>
      <c r="G477">
        <f t="shared" ca="1" si="28"/>
        <v>172</v>
      </c>
      <c r="H477">
        <f t="shared" ca="1" si="29"/>
        <v>56</v>
      </c>
      <c r="I477" s="81">
        <f ca="1">(Table17[[#This Row],[Current_Month_Sales]]-Table17[[#This Row],[Previous Month Sales]])/Table17[[#This Row],[Previous Month Sales]]</f>
        <v>2.0714285714285716</v>
      </c>
      <c r="J477" t="str">
        <f ca="1">IF(ABS(Table17[[#This Row],[%Change]]) &gt; 0.3, "Alert: Preference Shift", "")</f>
        <v>Alert: Preference Shift</v>
      </c>
    </row>
    <row r="478" spans="1:10">
      <c r="A478" s="53">
        <v>56285</v>
      </c>
      <c r="B478" s="14" t="s">
        <v>12</v>
      </c>
      <c r="C478" s="14" t="str">
        <f t="shared" si="30"/>
        <v>February</v>
      </c>
      <c r="D478" s="14" t="str">
        <f>CHOOSE(MATCH(MONTH(A478), {1,4,7,10}), "Winter", "Spring", "Summer", "Autumn")</f>
        <v>Winter</v>
      </c>
      <c r="E478">
        <f t="shared" si="31"/>
        <v>2054</v>
      </c>
      <c r="F478">
        <v>112</v>
      </c>
      <c r="G478">
        <f t="shared" ca="1" si="28"/>
        <v>97</v>
      </c>
      <c r="H478">
        <f t="shared" ca="1" si="29"/>
        <v>118</v>
      </c>
      <c r="I478" s="81">
        <f ca="1">(Table17[[#This Row],[Current_Month_Sales]]-Table17[[#This Row],[Previous Month Sales]])/Table17[[#This Row],[Previous Month Sales]]</f>
        <v>-0.17796610169491525</v>
      </c>
      <c r="J478" t="str">
        <f ca="1">IF(ABS(Table17[[#This Row],[%Change]]) &gt; 0.3, "Alert: Preference Shift", "")</f>
        <v/>
      </c>
    </row>
    <row r="479" spans="1:10">
      <c r="A479" s="54">
        <v>56315</v>
      </c>
      <c r="B479" s="15" t="s">
        <v>12</v>
      </c>
      <c r="C479" s="14" t="str">
        <f t="shared" si="30"/>
        <v>March</v>
      </c>
      <c r="D479" s="15" t="str">
        <f>CHOOSE(MATCH(MONTH(A479), {1,4,7,10}), "Winter", "Spring", "Summer", "Autumn")</f>
        <v>Winter</v>
      </c>
      <c r="E479">
        <f t="shared" si="31"/>
        <v>2054</v>
      </c>
      <c r="F479">
        <v>99</v>
      </c>
      <c r="G479">
        <f t="shared" ca="1" si="28"/>
        <v>172</v>
      </c>
      <c r="H479">
        <f t="shared" ca="1" si="29"/>
        <v>56</v>
      </c>
      <c r="I479" s="81">
        <f ca="1">(Table17[[#This Row],[Current_Month_Sales]]-Table17[[#This Row],[Previous Month Sales]])/Table17[[#This Row],[Previous Month Sales]]</f>
        <v>2.0714285714285716</v>
      </c>
      <c r="J479" t="str">
        <f ca="1">IF(ABS(Table17[[#This Row],[%Change]]) &gt; 0.3, "Alert: Preference Shift", "")</f>
        <v>Alert: Preference Shift</v>
      </c>
    </row>
    <row r="480" spans="1:10">
      <c r="A480" s="53">
        <v>56345</v>
      </c>
      <c r="B480" s="14" t="s">
        <v>14</v>
      </c>
      <c r="C480" s="14" t="str">
        <f t="shared" si="30"/>
        <v>April</v>
      </c>
      <c r="D480" s="14" t="str">
        <f>CHOOSE(MATCH(MONTH(A480), {1,4,7,10}), "Winter", "Spring", "Summer", "Autumn")</f>
        <v>Spring</v>
      </c>
      <c r="E480">
        <f t="shared" si="31"/>
        <v>2054</v>
      </c>
      <c r="F480">
        <v>111</v>
      </c>
      <c r="G480">
        <f t="shared" ca="1" si="28"/>
        <v>150</v>
      </c>
      <c r="H480">
        <f t="shared" ca="1" si="29"/>
        <v>56</v>
      </c>
      <c r="I480" s="81">
        <f ca="1">(Table17[[#This Row],[Current_Month_Sales]]-Table17[[#This Row],[Previous Month Sales]])/Table17[[#This Row],[Previous Month Sales]]</f>
        <v>1.6785714285714286</v>
      </c>
      <c r="J480" t="str">
        <f ca="1">IF(ABS(Table17[[#This Row],[%Change]]) &gt; 0.3, "Alert: Preference Shift", "")</f>
        <v>Alert: Preference Shift</v>
      </c>
    </row>
    <row r="481" spans="1:10">
      <c r="A481" s="54">
        <v>56375</v>
      </c>
      <c r="B481" s="15" t="s">
        <v>14</v>
      </c>
      <c r="C481" s="14" t="str">
        <f t="shared" si="30"/>
        <v>May</v>
      </c>
      <c r="D481" s="15" t="str">
        <f>CHOOSE(MATCH(MONTH(A481), {1,4,7,10}), "Winter", "Spring", "Summer", "Autumn")</f>
        <v>Spring</v>
      </c>
      <c r="E481">
        <f t="shared" si="31"/>
        <v>2054</v>
      </c>
      <c r="F481">
        <v>105</v>
      </c>
      <c r="G481">
        <f t="shared" ca="1" si="28"/>
        <v>172</v>
      </c>
      <c r="H481">
        <f t="shared" ca="1" si="29"/>
        <v>48</v>
      </c>
      <c r="I481" s="81">
        <f ca="1">(Table17[[#This Row],[Current_Month_Sales]]-Table17[[#This Row],[Previous Month Sales]])/Table17[[#This Row],[Previous Month Sales]]</f>
        <v>2.5833333333333335</v>
      </c>
      <c r="J481" t="str">
        <f ca="1">IF(ABS(Table17[[#This Row],[%Change]]) &gt; 0.3, "Alert: Preference Shift", "")</f>
        <v>Alert: Preference Shift</v>
      </c>
    </row>
    <row r="482" spans="1:10">
      <c r="A482" s="53">
        <v>56405</v>
      </c>
      <c r="B482" s="14" t="s">
        <v>12</v>
      </c>
      <c r="C482" s="14" t="str">
        <f t="shared" si="30"/>
        <v>June</v>
      </c>
      <c r="D482" s="14" t="str">
        <f>CHOOSE(MATCH(MONTH(A482), {1,4,7,10}), "Winter", "Spring", "Summer", "Autumn")</f>
        <v>Spring</v>
      </c>
      <c r="E482">
        <f t="shared" si="31"/>
        <v>2054</v>
      </c>
      <c r="F482">
        <v>93</v>
      </c>
      <c r="G482">
        <f t="shared" ca="1" si="28"/>
        <v>100</v>
      </c>
      <c r="H482">
        <f t="shared" ca="1" si="29"/>
        <v>63</v>
      </c>
      <c r="I482" s="81">
        <f ca="1">(Table17[[#This Row],[Current_Month_Sales]]-Table17[[#This Row],[Previous Month Sales]])/Table17[[#This Row],[Previous Month Sales]]</f>
        <v>0.58730158730158732</v>
      </c>
      <c r="J482" t="str">
        <f ca="1">IF(ABS(Table17[[#This Row],[%Change]]) &gt; 0.3, "Alert: Preference Shift", "")</f>
        <v>Alert: Preference Shift</v>
      </c>
    </row>
    <row r="483" spans="1:10">
      <c r="A483" s="54">
        <v>56435</v>
      </c>
      <c r="B483" s="15" t="s">
        <v>13</v>
      </c>
      <c r="C483" s="14" t="str">
        <f t="shared" si="30"/>
        <v>July</v>
      </c>
      <c r="D483" s="15" t="str">
        <f>CHOOSE(MATCH(MONTH(A483), {1,4,7,10}), "Winter", "Spring", "Summer", "Autumn")</f>
        <v>Summer</v>
      </c>
      <c r="E483">
        <f t="shared" si="31"/>
        <v>2054</v>
      </c>
      <c r="F483">
        <v>109</v>
      </c>
      <c r="G483">
        <f t="shared" ca="1" si="28"/>
        <v>157</v>
      </c>
      <c r="H483">
        <f t="shared" ca="1" si="29"/>
        <v>118</v>
      </c>
      <c r="I483" s="81">
        <f ca="1">(Table17[[#This Row],[Current_Month_Sales]]-Table17[[#This Row],[Previous Month Sales]])/Table17[[#This Row],[Previous Month Sales]]</f>
        <v>0.33050847457627119</v>
      </c>
      <c r="J483" t="str">
        <f ca="1">IF(ABS(Table17[[#This Row],[%Change]]) &gt; 0.3, "Alert: Preference Shift", "")</f>
        <v>Alert: Preference Shift</v>
      </c>
    </row>
    <row r="484" spans="1:10">
      <c r="A484" s="53">
        <v>56465</v>
      </c>
      <c r="B484" s="14" t="s">
        <v>13</v>
      </c>
      <c r="C484" s="14" t="str">
        <f t="shared" si="30"/>
        <v>August</v>
      </c>
      <c r="D484" s="14" t="str">
        <f>CHOOSE(MATCH(MONTH(A484), {1,4,7,10}), "Winter", "Spring", "Summer", "Autumn")</f>
        <v>Summer</v>
      </c>
      <c r="E484">
        <f t="shared" si="31"/>
        <v>2054</v>
      </c>
      <c r="F484">
        <v>106</v>
      </c>
      <c r="G484">
        <f t="shared" ca="1" si="28"/>
        <v>130</v>
      </c>
      <c r="H484">
        <f t="shared" ca="1" si="29"/>
        <v>118</v>
      </c>
      <c r="I484" s="81">
        <f ca="1">(Table17[[#This Row],[Current_Month_Sales]]-Table17[[#This Row],[Previous Month Sales]])/Table17[[#This Row],[Previous Month Sales]]</f>
        <v>0.10169491525423729</v>
      </c>
      <c r="J484" t="str">
        <f ca="1">IF(ABS(Table17[[#This Row],[%Change]]) &gt; 0.3, "Alert: Preference Shift", "")</f>
        <v/>
      </c>
    </row>
    <row r="485" spans="1:10">
      <c r="A485" s="54">
        <v>56495</v>
      </c>
      <c r="B485" s="15" t="s">
        <v>11</v>
      </c>
      <c r="C485" s="14" t="str">
        <f t="shared" si="30"/>
        <v>September</v>
      </c>
      <c r="D485" s="15" t="str">
        <f>CHOOSE(MATCH(MONTH(A485), {1,4,7,10}), "Winter", "Spring", "Summer", "Autumn")</f>
        <v>Summer</v>
      </c>
      <c r="E485">
        <f t="shared" si="31"/>
        <v>2054</v>
      </c>
      <c r="F485">
        <v>106</v>
      </c>
      <c r="G485">
        <f t="shared" ca="1" si="28"/>
        <v>97</v>
      </c>
      <c r="H485">
        <f t="shared" ca="1" si="29"/>
        <v>118</v>
      </c>
      <c r="I485" s="81">
        <f ca="1">(Table17[[#This Row],[Current_Month_Sales]]-Table17[[#This Row],[Previous Month Sales]])/Table17[[#This Row],[Previous Month Sales]]</f>
        <v>-0.17796610169491525</v>
      </c>
      <c r="J485" t="str">
        <f ca="1">IF(ABS(Table17[[#This Row],[%Change]]) &gt; 0.3, "Alert: Preference Shift", "")</f>
        <v/>
      </c>
    </row>
    <row r="486" spans="1:10">
      <c r="A486" s="53">
        <v>56525</v>
      </c>
      <c r="B486" s="14" t="s">
        <v>14</v>
      </c>
      <c r="C486" s="14" t="str">
        <f t="shared" si="30"/>
        <v>October</v>
      </c>
      <c r="D486" s="14" t="str">
        <f>CHOOSE(MATCH(MONTH(A486), {1,4,7,10}), "Winter", "Spring", "Summer", "Autumn")</f>
        <v>Autumn</v>
      </c>
      <c r="E486">
        <f t="shared" si="31"/>
        <v>2054</v>
      </c>
      <c r="F486">
        <v>103</v>
      </c>
      <c r="G486">
        <f t="shared" ca="1" si="28"/>
        <v>157</v>
      </c>
      <c r="H486">
        <f t="shared" ca="1" si="29"/>
        <v>48</v>
      </c>
      <c r="I486" s="81">
        <f ca="1">(Table17[[#This Row],[Current_Month_Sales]]-Table17[[#This Row],[Previous Month Sales]])/Table17[[#This Row],[Previous Month Sales]]</f>
        <v>2.2708333333333335</v>
      </c>
      <c r="J486" t="str">
        <f ca="1">IF(ABS(Table17[[#This Row],[%Change]]) &gt; 0.3, "Alert: Preference Shift", "")</f>
        <v>Alert: Preference Shift</v>
      </c>
    </row>
    <row r="487" spans="1:10">
      <c r="A487" s="54">
        <v>56555</v>
      </c>
      <c r="B487" s="15" t="s">
        <v>13</v>
      </c>
      <c r="C487" s="14" t="str">
        <f t="shared" si="30"/>
        <v>November</v>
      </c>
      <c r="D487" s="15" t="str">
        <f>CHOOSE(MATCH(MONTH(A487), {1,4,7,10}), "Winter", "Spring", "Summer", "Autumn")</f>
        <v>Autumn</v>
      </c>
      <c r="E487">
        <f t="shared" si="31"/>
        <v>2054</v>
      </c>
      <c r="F487">
        <v>113</v>
      </c>
      <c r="G487">
        <f t="shared" ca="1" si="28"/>
        <v>97</v>
      </c>
      <c r="H487">
        <f t="shared" ca="1" si="29"/>
        <v>105</v>
      </c>
      <c r="I487" s="81">
        <f ca="1">(Table17[[#This Row],[Current_Month_Sales]]-Table17[[#This Row],[Previous Month Sales]])/Table17[[#This Row],[Previous Month Sales]]</f>
        <v>-7.6190476190476197E-2</v>
      </c>
      <c r="J487" t="str">
        <f ca="1">IF(ABS(Table17[[#This Row],[%Change]]) &gt; 0.3, "Alert: Preference Shift", "")</f>
        <v/>
      </c>
    </row>
    <row r="488" spans="1:10">
      <c r="A488" s="53">
        <v>56585</v>
      </c>
      <c r="B488" s="14" t="s">
        <v>10</v>
      </c>
      <c r="C488" s="14" t="str">
        <f t="shared" si="30"/>
        <v>December</v>
      </c>
      <c r="D488" s="14" t="str">
        <f>CHOOSE(MATCH(MONTH(A488), {1,4,7,10}), "Winter", "Spring", "Summer", "Autumn")</f>
        <v>Autumn</v>
      </c>
      <c r="E488">
        <f t="shared" si="31"/>
        <v>2054</v>
      </c>
      <c r="F488">
        <v>111</v>
      </c>
      <c r="G488">
        <f t="shared" ca="1" si="28"/>
        <v>100</v>
      </c>
      <c r="H488">
        <f t="shared" ca="1" si="29"/>
        <v>109</v>
      </c>
      <c r="I488" s="81">
        <f ca="1">(Table17[[#This Row],[Current_Month_Sales]]-Table17[[#This Row],[Previous Month Sales]])/Table17[[#This Row],[Previous Month Sales]]</f>
        <v>-8.2568807339449546E-2</v>
      </c>
      <c r="J488" t="str">
        <f ca="1">IF(ABS(Table17[[#This Row],[%Change]]) &gt; 0.3, "Alert: Preference Shift", "")</f>
        <v/>
      </c>
    </row>
    <row r="489" spans="1:10">
      <c r="A489" s="54">
        <v>56615</v>
      </c>
      <c r="B489" s="15" t="s">
        <v>11</v>
      </c>
      <c r="C489" s="14" t="str">
        <f t="shared" si="30"/>
        <v>January</v>
      </c>
      <c r="D489" s="15" t="str">
        <f>CHOOSE(MATCH(MONTH(A489), {1,4,7,10}), "Winter", "Spring", "Summer", "Autumn")</f>
        <v>Winter</v>
      </c>
      <c r="E489">
        <f t="shared" si="31"/>
        <v>2055</v>
      </c>
      <c r="F489">
        <v>100</v>
      </c>
      <c r="G489">
        <f t="shared" ca="1" si="28"/>
        <v>89</v>
      </c>
      <c r="H489">
        <f t="shared" ca="1" si="29"/>
        <v>56</v>
      </c>
      <c r="I489" s="81">
        <f ca="1">(Table17[[#This Row],[Current_Month_Sales]]-Table17[[#This Row],[Previous Month Sales]])/Table17[[#This Row],[Previous Month Sales]]</f>
        <v>0.5892857142857143</v>
      </c>
      <c r="J489" t="str">
        <f ca="1">IF(ABS(Table17[[#This Row],[%Change]]) &gt; 0.3, "Alert: Preference Shift", "")</f>
        <v>Alert: Preference Shift</v>
      </c>
    </row>
    <row r="490" spans="1:10">
      <c r="A490" s="53">
        <v>56645</v>
      </c>
      <c r="B490" s="14" t="s">
        <v>11</v>
      </c>
      <c r="C490" s="14" t="str">
        <f t="shared" si="30"/>
        <v>January</v>
      </c>
      <c r="D490" s="14" t="str">
        <f>CHOOSE(MATCH(MONTH(A490), {1,4,7,10}), "Winter", "Spring", "Summer", "Autumn")</f>
        <v>Winter</v>
      </c>
      <c r="E490">
        <f t="shared" si="31"/>
        <v>2055</v>
      </c>
      <c r="F490">
        <v>89</v>
      </c>
      <c r="G490">
        <f t="shared" ca="1" si="28"/>
        <v>78</v>
      </c>
      <c r="H490">
        <f t="shared" ca="1" si="29"/>
        <v>48</v>
      </c>
      <c r="I490" s="81">
        <f ca="1">(Table17[[#This Row],[Current_Month_Sales]]-Table17[[#This Row],[Previous Month Sales]])/Table17[[#This Row],[Previous Month Sales]]</f>
        <v>0.625</v>
      </c>
      <c r="J490" t="str">
        <f ca="1">IF(ABS(Table17[[#This Row],[%Change]]) &gt; 0.3, "Alert: Preference Shift", "")</f>
        <v>Alert: Preference Shift</v>
      </c>
    </row>
    <row r="491" spans="1:10">
      <c r="A491" s="54">
        <v>56675</v>
      </c>
      <c r="B491" s="15" t="s">
        <v>12</v>
      </c>
      <c r="C491" s="14" t="str">
        <f t="shared" si="30"/>
        <v>March</v>
      </c>
      <c r="D491" s="15" t="str">
        <f>CHOOSE(MATCH(MONTH(A491), {1,4,7,10}), "Winter", "Spring", "Summer", "Autumn")</f>
        <v>Winter</v>
      </c>
      <c r="E491">
        <f t="shared" si="31"/>
        <v>2055</v>
      </c>
      <c r="F491">
        <v>111</v>
      </c>
      <c r="G491">
        <f t="shared" ca="1" si="28"/>
        <v>133</v>
      </c>
      <c r="H491">
        <f t="shared" ca="1" si="29"/>
        <v>79</v>
      </c>
      <c r="I491" s="81">
        <f ca="1">(Table17[[#This Row],[Current_Month_Sales]]-Table17[[#This Row],[Previous Month Sales]])/Table17[[#This Row],[Previous Month Sales]]</f>
        <v>0.68354430379746833</v>
      </c>
      <c r="J491" t="str">
        <f ca="1">IF(ABS(Table17[[#This Row],[%Change]]) &gt; 0.3, "Alert: Preference Shift", "")</f>
        <v>Alert: Preference Shift</v>
      </c>
    </row>
    <row r="492" spans="1:10">
      <c r="A492" s="53">
        <v>56705</v>
      </c>
      <c r="B492" s="14" t="s">
        <v>14</v>
      </c>
      <c r="C492" s="14" t="str">
        <f t="shared" si="30"/>
        <v>April</v>
      </c>
      <c r="D492" s="14" t="str">
        <f>CHOOSE(MATCH(MONTH(A492), {1,4,7,10}), "Winter", "Spring", "Summer", "Autumn")</f>
        <v>Spring</v>
      </c>
      <c r="E492">
        <f t="shared" si="31"/>
        <v>2055</v>
      </c>
      <c r="F492">
        <v>104</v>
      </c>
      <c r="G492">
        <f t="shared" ca="1" si="28"/>
        <v>97</v>
      </c>
      <c r="H492">
        <f t="shared" ca="1" si="29"/>
        <v>129</v>
      </c>
      <c r="I492" s="81">
        <f ca="1">(Table17[[#This Row],[Current_Month_Sales]]-Table17[[#This Row],[Previous Month Sales]])/Table17[[#This Row],[Previous Month Sales]]</f>
        <v>-0.24806201550387597</v>
      </c>
      <c r="J492" t="str">
        <f ca="1">IF(ABS(Table17[[#This Row],[%Change]]) &gt; 0.3, "Alert: Preference Shift", "")</f>
        <v/>
      </c>
    </row>
    <row r="493" spans="1:10">
      <c r="A493" s="54">
        <v>56735</v>
      </c>
      <c r="B493" s="15" t="s">
        <v>13</v>
      </c>
      <c r="C493" s="14" t="str">
        <f t="shared" si="30"/>
        <v>May</v>
      </c>
      <c r="D493" s="15" t="str">
        <f>CHOOSE(MATCH(MONTH(A493), {1,4,7,10}), "Winter", "Spring", "Summer", "Autumn")</f>
        <v>Spring</v>
      </c>
      <c r="E493">
        <f t="shared" si="31"/>
        <v>2055</v>
      </c>
      <c r="F493">
        <v>100</v>
      </c>
      <c r="G493">
        <f t="shared" ca="1" si="28"/>
        <v>121</v>
      </c>
      <c r="H493">
        <f t="shared" ca="1" si="29"/>
        <v>109</v>
      </c>
      <c r="I493" s="81">
        <f ca="1">(Table17[[#This Row],[Current_Month_Sales]]-Table17[[#This Row],[Previous Month Sales]])/Table17[[#This Row],[Previous Month Sales]]</f>
        <v>0.11009174311926606</v>
      </c>
      <c r="J493" t="str">
        <f ca="1">IF(ABS(Table17[[#This Row],[%Change]]) &gt; 0.3, "Alert: Preference Shift", "")</f>
        <v/>
      </c>
    </row>
    <row r="494" spans="1:10">
      <c r="A494" s="53">
        <v>56765</v>
      </c>
      <c r="B494" s="14" t="s">
        <v>13</v>
      </c>
      <c r="C494" s="14" t="str">
        <f t="shared" si="30"/>
        <v>May</v>
      </c>
      <c r="D494" s="14" t="str">
        <f>CHOOSE(MATCH(MONTH(A494), {1,4,7,10}), "Winter", "Spring", "Summer", "Autumn")</f>
        <v>Spring</v>
      </c>
      <c r="E494">
        <f t="shared" si="31"/>
        <v>2055</v>
      </c>
      <c r="F494">
        <v>109</v>
      </c>
      <c r="G494">
        <f t="shared" ca="1" si="28"/>
        <v>130</v>
      </c>
      <c r="H494">
        <f t="shared" ca="1" si="29"/>
        <v>117</v>
      </c>
      <c r="I494" s="81">
        <f ca="1">(Table17[[#This Row],[Current_Month_Sales]]-Table17[[#This Row],[Previous Month Sales]])/Table17[[#This Row],[Previous Month Sales]]</f>
        <v>0.1111111111111111</v>
      </c>
      <c r="J494" t="str">
        <f ca="1">IF(ABS(Table17[[#This Row],[%Change]]) &gt; 0.3, "Alert: Preference Shift", "")</f>
        <v/>
      </c>
    </row>
    <row r="495" spans="1:10">
      <c r="A495" s="54">
        <v>56795</v>
      </c>
      <c r="B495" s="15" t="s">
        <v>11</v>
      </c>
      <c r="C495" s="14" t="str">
        <f t="shared" si="30"/>
        <v>June</v>
      </c>
      <c r="D495" s="15" t="str">
        <f>CHOOSE(MATCH(MONTH(A495), {1,4,7,10}), "Winter", "Spring", "Summer", "Autumn")</f>
        <v>Spring</v>
      </c>
      <c r="E495">
        <f t="shared" si="31"/>
        <v>2055</v>
      </c>
      <c r="F495">
        <v>108</v>
      </c>
      <c r="G495">
        <f t="shared" ca="1" si="28"/>
        <v>157</v>
      </c>
      <c r="H495">
        <f t="shared" ca="1" si="29"/>
        <v>63</v>
      </c>
      <c r="I495" s="81">
        <f ca="1">(Table17[[#This Row],[Current_Month_Sales]]-Table17[[#This Row],[Previous Month Sales]])/Table17[[#This Row],[Previous Month Sales]]</f>
        <v>1.4920634920634921</v>
      </c>
      <c r="J495" t="str">
        <f ca="1">IF(ABS(Table17[[#This Row],[%Change]]) &gt; 0.3, "Alert: Preference Shift", "")</f>
        <v>Alert: Preference Shift</v>
      </c>
    </row>
    <row r="496" spans="1:10">
      <c r="A496" s="53">
        <v>56825</v>
      </c>
      <c r="B496" s="14" t="s">
        <v>14</v>
      </c>
      <c r="C496" s="14" t="str">
        <f t="shared" si="30"/>
        <v>July</v>
      </c>
      <c r="D496" s="14" t="str">
        <f>CHOOSE(MATCH(MONTH(A496), {1,4,7,10}), "Winter", "Spring", "Summer", "Autumn")</f>
        <v>Summer</v>
      </c>
      <c r="E496">
        <f t="shared" si="31"/>
        <v>2055</v>
      </c>
      <c r="F496">
        <v>100</v>
      </c>
      <c r="G496">
        <f t="shared" ca="1" si="28"/>
        <v>121</v>
      </c>
      <c r="H496">
        <f t="shared" ca="1" si="29"/>
        <v>79</v>
      </c>
      <c r="I496" s="81">
        <f ca="1">(Table17[[#This Row],[Current_Month_Sales]]-Table17[[#This Row],[Previous Month Sales]])/Table17[[#This Row],[Previous Month Sales]]</f>
        <v>0.53164556962025311</v>
      </c>
      <c r="J496" t="str">
        <f ca="1">IF(ABS(Table17[[#This Row],[%Change]]) &gt; 0.3, "Alert: Preference Shift", "")</f>
        <v>Alert: Preference Shift</v>
      </c>
    </row>
    <row r="497" spans="1:10">
      <c r="A497" s="54">
        <v>56855</v>
      </c>
      <c r="B497" s="15" t="s">
        <v>14</v>
      </c>
      <c r="C497" s="14" t="str">
        <f t="shared" si="30"/>
        <v>August</v>
      </c>
      <c r="D497" s="15" t="str">
        <f>CHOOSE(MATCH(MONTH(A497), {1,4,7,10}), "Winter", "Spring", "Summer", "Autumn")</f>
        <v>Summer</v>
      </c>
      <c r="E497">
        <f t="shared" si="31"/>
        <v>2055</v>
      </c>
      <c r="F497">
        <v>104</v>
      </c>
      <c r="G497">
        <f t="shared" ca="1" si="28"/>
        <v>97</v>
      </c>
      <c r="H497">
        <f t="shared" ca="1" si="29"/>
        <v>48</v>
      </c>
      <c r="I497" s="81">
        <f ca="1">(Table17[[#This Row],[Current_Month_Sales]]-Table17[[#This Row],[Previous Month Sales]])/Table17[[#This Row],[Previous Month Sales]]</f>
        <v>1.0208333333333333</v>
      </c>
      <c r="J497" t="str">
        <f ca="1">IF(ABS(Table17[[#This Row],[%Change]]) &gt; 0.3, "Alert: Preference Shift", "")</f>
        <v>Alert: Preference Shift</v>
      </c>
    </row>
    <row r="498" spans="1:10">
      <c r="A498" s="53">
        <v>56885</v>
      </c>
      <c r="B498" s="14" t="s">
        <v>14</v>
      </c>
      <c r="C498" s="14" t="str">
        <f t="shared" si="30"/>
        <v>September</v>
      </c>
      <c r="D498" s="14" t="str">
        <f>CHOOSE(MATCH(MONTH(A498), {1,4,7,10}), "Winter", "Spring", "Summer", "Autumn")</f>
        <v>Summer</v>
      </c>
      <c r="E498">
        <f t="shared" si="31"/>
        <v>2055</v>
      </c>
      <c r="F498">
        <v>106</v>
      </c>
      <c r="G498">
        <f t="shared" ca="1" si="28"/>
        <v>150</v>
      </c>
      <c r="H498">
        <f t="shared" ca="1" si="29"/>
        <v>117</v>
      </c>
      <c r="I498" s="81">
        <f ca="1">(Table17[[#This Row],[Current_Month_Sales]]-Table17[[#This Row],[Previous Month Sales]])/Table17[[#This Row],[Previous Month Sales]]</f>
        <v>0.28205128205128205</v>
      </c>
      <c r="J498" t="str">
        <f ca="1">IF(ABS(Table17[[#This Row],[%Change]]) &gt; 0.3, "Alert: Preference Shift", "")</f>
        <v/>
      </c>
    </row>
    <row r="499" spans="1:10">
      <c r="A499" s="54">
        <v>56915</v>
      </c>
      <c r="B499" s="15" t="s">
        <v>12</v>
      </c>
      <c r="C499" s="14" t="str">
        <f t="shared" si="30"/>
        <v>October</v>
      </c>
      <c r="D499" s="15" t="str">
        <f>CHOOSE(MATCH(MONTH(A499), {1,4,7,10}), "Winter", "Spring", "Summer", "Autumn")</f>
        <v>Autumn</v>
      </c>
      <c r="E499">
        <f t="shared" si="31"/>
        <v>2055</v>
      </c>
      <c r="F499">
        <v>94</v>
      </c>
      <c r="G499">
        <f t="shared" ca="1" si="28"/>
        <v>150</v>
      </c>
      <c r="H499">
        <f t="shared" ca="1" si="29"/>
        <v>129</v>
      </c>
      <c r="I499" s="81">
        <f ca="1">(Table17[[#This Row],[Current_Month_Sales]]-Table17[[#This Row],[Previous Month Sales]])/Table17[[#This Row],[Previous Month Sales]]</f>
        <v>0.16279069767441862</v>
      </c>
      <c r="J499" t="str">
        <f ca="1">IF(ABS(Table17[[#This Row],[%Change]]) &gt; 0.3, "Alert: Preference Shift", "")</f>
        <v/>
      </c>
    </row>
    <row r="500" spans="1:10">
      <c r="A500" s="53">
        <v>56945</v>
      </c>
      <c r="B500" s="14" t="s">
        <v>13</v>
      </c>
      <c r="C500" s="14" t="str">
        <f t="shared" si="30"/>
        <v>November</v>
      </c>
      <c r="D500" s="14" t="str">
        <f>CHOOSE(MATCH(MONTH(A500), {1,4,7,10}), "Winter", "Spring", "Summer", "Autumn")</f>
        <v>Autumn</v>
      </c>
      <c r="E500">
        <f t="shared" si="31"/>
        <v>2055</v>
      </c>
      <c r="F500">
        <v>81</v>
      </c>
      <c r="G500">
        <f t="shared" ca="1" si="28"/>
        <v>172</v>
      </c>
      <c r="H500">
        <f t="shared" ca="1" si="29"/>
        <v>118</v>
      </c>
      <c r="I500" s="81">
        <f ca="1">(Table17[[#This Row],[Current_Month_Sales]]-Table17[[#This Row],[Previous Month Sales]])/Table17[[#This Row],[Previous Month Sales]]</f>
        <v>0.4576271186440678</v>
      </c>
      <c r="J500" t="str">
        <f ca="1">IF(ABS(Table17[[#This Row],[%Change]]) &gt; 0.3, "Alert: Preference Shift", "")</f>
        <v>Alert: Preference Shift</v>
      </c>
    </row>
    <row r="501" spans="1:10">
      <c r="A501" s="54">
        <v>56975</v>
      </c>
      <c r="B501" s="15" t="s">
        <v>14</v>
      </c>
      <c r="C501" s="14" t="str">
        <f t="shared" si="30"/>
        <v>December</v>
      </c>
      <c r="D501" s="15" t="str">
        <f>CHOOSE(MATCH(MONTH(A501), {1,4,7,10}), "Winter", "Spring", "Summer", "Autumn")</f>
        <v>Autumn</v>
      </c>
      <c r="E501">
        <f t="shared" si="31"/>
        <v>2055</v>
      </c>
      <c r="F501">
        <v>95</v>
      </c>
      <c r="G501">
        <f t="shared" ca="1" si="28"/>
        <v>130</v>
      </c>
      <c r="H501">
        <f t="shared" ca="1" si="29"/>
        <v>129</v>
      </c>
      <c r="I501" s="81">
        <f ca="1">(Table17[[#This Row],[Current_Month_Sales]]-Table17[[#This Row],[Previous Month Sales]])/Table17[[#This Row],[Previous Month Sales]]</f>
        <v>7.7519379844961239E-3</v>
      </c>
      <c r="J501" t="str">
        <f ca="1">IF(ABS(Table17[[#This Row],[%Change]]) &gt; 0.3, "Alert: Preference Shift", "")</f>
        <v/>
      </c>
    </row>
  </sheetData>
  <conditionalFormatting sqref="A1:A501">
    <cfRule type="containsBlanks" dxfId="60" priority="10">
      <formula>LEN(TRIM(A1))=0</formula>
    </cfRule>
  </conditionalFormatting>
  <conditionalFormatting sqref="B1:B501">
    <cfRule type="containsBlanks" dxfId="59" priority="9">
      <formula>LEN(TRIM(B1))=0</formula>
    </cfRule>
  </conditionalFormatting>
  <conditionalFormatting sqref="C1:C501">
    <cfRule type="containsBlanks" dxfId="58" priority="8">
      <formula>LEN(TRIM(C1))=0</formula>
    </cfRule>
  </conditionalFormatting>
  <conditionalFormatting sqref="D1:D501">
    <cfRule type="containsBlanks" dxfId="57" priority="7">
      <formula>LEN(TRIM(D1))=0</formula>
    </cfRule>
  </conditionalFormatting>
  <conditionalFormatting sqref="F1:F501">
    <cfRule type="cellIs" dxfId="56" priority="5" operator="greaterThan">
      <formula>127</formula>
    </cfRule>
    <cfRule type="containsBlanks" dxfId="55" priority="6">
      <formula>LEN(TRIM(F1))=0</formula>
    </cfRule>
  </conditionalFormatting>
  <conditionalFormatting sqref="F2:F501">
    <cfRule type="cellIs" dxfId="54" priority="4" operator="notBetween">
      <formula>75</formula>
      <formula>127</formula>
    </cfRule>
  </conditionalFormatting>
  <conditionalFormatting sqref="I1:I501">
    <cfRule type="cellIs" dxfId="53" priority="3" operator="lessThan">
      <formula>0</formula>
    </cfRule>
  </conditionalFormatting>
  <conditionalFormatting sqref="I2:I501">
    <cfRule type="iconSet" priority="1">
      <iconSet iconSet="3Arrows">
        <cfvo type="percent" val="0"/>
        <cfvo type="percent" val="33"/>
        <cfvo type="percent" val="67"/>
      </iconSet>
    </cfRule>
    <cfRule type="cellIs" dxfId="52" priority="2" operator="between">
      <formula>0</formula>
      <formula>0.3</formula>
    </cfRule>
  </conditionalFormatting>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C54BF-9896-4EAE-A104-0C53D934D802}">
  <sheetPr codeName="Sheet8"/>
  <dimension ref="A1:E635"/>
  <sheetViews>
    <sheetView topLeftCell="E1" workbookViewId="0">
      <selection activeCell="T12" sqref="T12"/>
    </sheetView>
  </sheetViews>
  <sheetFormatPr defaultRowHeight="14.4"/>
  <cols>
    <col min="1" max="1" width="10.33203125" bestFit="1" customWidth="1"/>
    <col min="2" max="2" width="11.88671875" customWidth="1"/>
    <col min="3" max="3" width="20.21875" customWidth="1"/>
    <col min="4" max="4" width="34.33203125" customWidth="1"/>
    <col min="5" max="5" width="34.44140625" customWidth="1"/>
  </cols>
  <sheetData>
    <row r="1" spans="1:5">
      <c r="A1" t="s">
        <v>0</v>
      </c>
      <c r="B1" t="s">
        <v>2</v>
      </c>
      <c r="C1" t="s">
        <v>163</v>
      </c>
      <c r="D1" t="s">
        <v>164</v>
      </c>
      <c r="E1" t="s">
        <v>165</v>
      </c>
    </row>
    <row r="2" spans="1:5">
      <c r="A2" s="1">
        <v>42005</v>
      </c>
      <c r="B2">
        <v>96</v>
      </c>
    </row>
    <row r="3" spans="1:5">
      <c r="A3" s="1">
        <v>42035</v>
      </c>
      <c r="B3">
        <v>107</v>
      </c>
    </row>
    <row r="4" spans="1:5">
      <c r="A4" s="1">
        <v>42065</v>
      </c>
      <c r="B4">
        <v>88</v>
      </c>
    </row>
    <row r="5" spans="1:5">
      <c r="A5" s="1">
        <v>42095</v>
      </c>
      <c r="B5">
        <v>103</v>
      </c>
    </row>
    <row r="6" spans="1:5">
      <c r="A6" s="1">
        <v>42125</v>
      </c>
      <c r="B6">
        <v>111</v>
      </c>
    </row>
    <row r="7" spans="1:5">
      <c r="A7" s="1">
        <v>42155</v>
      </c>
      <c r="B7">
        <v>90</v>
      </c>
    </row>
    <row r="8" spans="1:5">
      <c r="A8" s="1">
        <v>42185</v>
      </c>
      <c r="B8">
        <v>94</v>
      </c>
    </row>
    <row r="9" spans="1:5">
      <c r="A9" s="1">
        <v>42215</v>
      </c>
      <c r="B9">
        <v>98</v>
      </c>
    </row>
    <row r="10" spans="1:5">
      <c r="A10" s="1">
        <v>42245</v>
      </c>
      <c r="B10">
        <v>103</v>
      </c>
    </row>
    <row r="11" spans="1:5">
      <c r="A11" s="1">
        <v>42275</v>
      </c>
      <c r="B11">
        <v>94</v>
      </c>
    </row>
    <row r="12" spans="1:5">
      <c r="A12" s="1">
        <v>42305</v>
      </c>
      <c r="B12">
        <v>99</v>
      </c>
    </row>
    <row r="13" spans="1:5">
      <c r="A13" s="1">
        <v>42335</v>
      </c>
      <c r="B13">
        <v>90</v>
      </c>
    </row>
    <row r="14" spans="1:5">
      <c r="A14" s="1">
        <v>42365</v>
      </c>
      <c r="B14">
        <v>100</v>
      </c>
    </row>
    <row r="15" spans="1:5">
      <c r="A15" s="1">
        <v>42395</v>
      </c>
      <c r="B15">
        <v>103</v>
      </c>
    </row>
    <row r="16" spans="1:5">
      <c r="A16" s="1">
        <v>42425</v>
      </c>
      <c r="B16">
        <v>94</v>
      </c>
    </row>
    <row r="17" spans="1:2">
      <c r="A17" s="1">
        <v>42455</v>
      </c>
      <c r="B17">
        <v>105</v>
      </c>
    </row>
    <row r="18" spans="1:2">
      <c r="A18" s="1">
        <v>42485</v>
      </c>
      <c r="B18">
        <v>86</v>
      </c>
    </row>
    <row r="19" spans="1:2">
      <c r="A19" s="1">
        <v>42515</v>
      </c>
      <c r="B19">
        <v>92</v>
      </c>
    </row>
    <row r="20" spans="1:2">
      <c r="A20" s="1">
        <v>42545</v>
      </c>
      <c r="B20">
        <v>94</v>
      </c>
    </row>
    <row r="21" spans="1:2">
      <c r="A21" s="1">
        <v>42575</v>
      </c>
      <c r="B21">
        <v>101</v>
      </c>
    </row>
    <row r="22" spans="1:2">
      <c r="A22" s="1">
        <v>42605</v>
      </c>
      <c r="B22">
        <v>103</v>
      </c>
    </row>
    <row r="23" spans="1:2">
      <c r="A23" s="1">
        <v>42635</v>
      </c>
      <c r="B23">
        <v>84</v>
      </c>
    </row>
    <row r="24" spans="1:2">
      <c r="A24" s="1">
        <v>42665</v>
      </c>
      <c r="B24">
        <v>76</v>
      </c>
    </row>
    <row r="25" spans="1:2">
      <c r="A25" s="1">
        <v>42695</v>
      </c>
      <c r="B25">
        <v>100</v>
      </c>
    </row>
    <row r="26" spans="1:2">
      <c r="A26" s="1">
        <v>42725</v>
      </c>
      <c r="B26">
        <v>111</v>
      </c>
    </row>
    <row r="27" spans="1:2">
      <c r="A27" s="1">
        <v>42755</v>
      </c>
      <c r="B27">
        <v>93</v>
      </c>
    </row>
    <row r="28" spans="1:2">
      <c r="A28" s="1">
        <v>42785</v>
      </c>
      <c r="B28">
        <v>87</v>
      </c>
    </row>
    <row r="29" spans="1:2">
      <c r="A29" s="1">
        <v>42815</v>
      </c>
      <c r="B29">
        <v>108</v>
      </c>
    </row>
    <row r="30" spans="1:2">
      <c r="A30" s="1">
        <v>42845</v>
      </c>
      <c r="B30">
        <v>106</v>
      </c>
    </row>
    <row r="31" spans="1:2">
      <c r="A31" s="1">
        <v>42875</v>
      </c>
      <c r="B31">
        <v>108</v>
      </c>
    </row>
    <row r="32" spans="1:2">
      <c r="A32" s="1">
        <v>42905</v>
      </c>
      <c r="B32">
        <v>96</v>
      </c>
    </row>
    <row r="33" spans="1:2">
      <c r="A33" s="1">
        <v>42935</v>
      </c>
      <c r="B33">
        <v>113</v>
      </c>
    </row>
    <row r="34" spans="1:2">
      <c r="A34" s="1">
        <v>42965</v>
      </c>
      <c r="B34">
        <v>95</v>
      </c>
    </row>
    <row r="35" spans="1:2">
      <c r="A35" s="1">
        <v>42995</v>
      </c>
      <c r="B35">
        <v>94</v>
      </c>
    </row>
    <row r="36" spans="1:2">
      <c r="A36" s="1">
        <v>43025</v>
      </c>
      <c r="B36">
        <v>107</v>
      </c>
    </row>
    <row r="37" spans="1:2">
      <c r="A37" s="1">
        <v>43055</v>
      </c>
      <c r="B37">
        <v>114</v>
      </c>
    </row>
    <row r="38" spans="1:2">
      <c r="A38" s="1">
        <v>43085</v>
      </c>
      <c r="B38">
        <v>86</v>
      </c>
    </row>
    <row r="39" spans="1:2">
      <c r="A39" s="1">
        <v>43115</v>
      </c>
      <c r="B39">
        <v>100</v>
      </c>
    </row>
    <row r="40" spans="1:2">
      <c r="A40" s="1">
        <v>43145</v>
      </c>
      <c r="B40">
        <v>108</v>
      </c>
    </row>
    <row r="41" spans="1:2">
      <c r="A41" s="1">
        <v>43175</v>
      </c>
      <c r="B41">
        <v>101</v>
      </c>
    </row>
    <row r="42" spans="1:2">
      <c r="A42" s="1">
        <v>43205</v>
      </c>
      <c r="B42">
        <v>94</v>
      </c>
    </row>
    <row r="43" spans="1:2">
      <c r="A43" s="1">
        <v>43235</v>
      </c>
      <c r="B43">
        <v>116</v>
      </c>
    </row>
    <row r="44" spans="1:2">
      <c r="A44" s="1">
        <v>43265</v>
      </c>
      <c r="B44">
        <v>97</v>
      </c>
    </row>
    <row r="45" spans="1:2">
      <c r="A45" s="1">
        <v>43295</v>
      </c>
      <c r="B45">
        <v>96</v>
      </c>
    </row>
    <row r="46" spans="1:2">
      <c r="A46" s="1">
        <v>43325</v>
      </c>
      <c r="B46">
        <v>94</v>
      </c>
    </row>
    <row r="47" spans="1:2">
      <c r="A47" s="1">
        <v>43355</v>
      </c>
      <c r="B47">
        <v>118</v>
      </c>
    </row>
    <row r="48" spans="1:2">
      <c r="A48" s="1">
        <v>43385</v>
      </c>
      <c r="B48">
        <v>104</v>
      </c>
    </row>
    <row r="49" spans="1:2">
      <c r="A49" s="1">
        <v>43415</v>
      </c>
      <c r="B49">
        <v>96</v>
      </c>
    </row>
    <row r="50" spans="1:2">
      <c r="A50" s="1">
        <v>43445</v>
      </c>
      <c r="B50">
        <v>115</v>
      </c>
    </row>
    <row r="51" spans="1:2">
      <c r="A51" s="1">
        <v>43475</v>
      </c>
      <c r="B51">
        <v>94</v>
      </c>
    </row>
    <row r="52" spans="1:2">
      <c r="A52" s="1">
        <v>43505</v>
      </c>
      <c r="B52">
        <v>91</v>
      </c>
    </row>
    <row r="53" spans="1:2">
      <c r="A53" s="1">
        <v>43535</v>
      </c>
      <c r="B53">
        <v>110</v>
      </c>
    </row>
    <row r="54" spans="1:2">
      <c r="A54" s="1">
        <v>43565</v>
      </c>
      <c r="B54">
        <v>98</v>
      </c>
    </row>
    <row r="55" spans="1:2">
      <c r="A55" s="1">
        <v>43595</v>
      </c>
      <c r="B55">
        <v>86</v>
      </c>
    </row>
    <row r="56" spans="1:2">
      <c r="A56" s="1">
        <v>43625</v>
      </c>
      <c r="B56">
        <v>121</v>
      </c>
    </row>
    <row r="57" spans="1:2">
      <c r="A57" s="1">
        <v>43655</v>
      </c>
      <c r="B57">
        <v>100</v>
      </c>
    </row>
    <row r="58" spans="1:2">
      <c r="A58" s="1">
        <v>43685</v>
      </c>
      <c r="B58">
        <v>96</v>
      </c>
    </row>
    <row r="59" spans="1:2">
      <c r="A59" s="1">
        <v>43715</v>
      </c>
      <c r="B59">
        <v>127</v>
      </c>
    </row>
    <row r="60" spans="1:2">
      <c r="A60" s="1">
        <v>43745</v>
      </c>
      <c r="B60">
        <v>100</v>
      </c>
    </row>
    <row r="61" spans="1:2">
      <c r="A61" s="1">
        <v>43775</v>
      </c>
      <c r="B61">
        <v>93</v>
      </c>
    </row>
    <row r="62" spans="1:2">
      <c r="A62" s="1">
        <v>43805</v>
      </c>
      <c r="B62">
        <v>103</v>
      </c>
    </row>
    <row r="63" spans="1:2">
      <c r="A63" s="1">
        <v>43835</v>
      </c>
      <c r="B63">
        <v>78</v>
      </c>
    </row>
    <row r="64" spans="1:2">
      <c r="A64" s="1">
        <v>43865</v>
      </c>
      <c r="B64">
        <v>116</v>
      </c>
    </row>
    <row r="65" spans="1:2">
      <c r="A65" s="1">
        <v>43895</v>
      </c>
      <c r="B65">
        <v>88</v>
      </c>
    </row>
    <row r="66" spans="1:2">
      <c r="A66" s="1">
        <v>43925</v>
      </c>
      <c r="B66">
        <v>105</v>
      </c>
    </row>
    <row r="67" spans="1:2">
      <c r="A67" s="1">
        <v>43955</v>
      </c>
      <c r="B67">
        <v>92</v>
      </c>
    </row>
    <row r="68" spans="1:2">
      <c r="A68" s="1">
        <v>43985</v>
      </c>
      <c r="B68">
        <v>96</v>
      </c>
    </row>
    <row r="69" spans="1:2">
      <c r="A69" s="1">
        <v>44015</v>
      </c>
      <c r="B69">
        <v>104</v>
      </c>
    </row>
    <row r="70" spans="1:2">
      <c r="A70" s="1">
        <v>44045</v>
      </c>
      <c r="B70">
        <v>84</v>
      </c>
    </row>
    <row r="71" spans="1:2">
      <c r="A71" s="1">
        <v>44075</v>
      </c>
      <c r="B71">
        <v>95</v>
      </c>
    </row>
    <row r="72" spans="1:2">
      <c r="A72" s="1">
        <v>44105</v>
      </c>
      <c r="B72">
        <v>105</v>
      </c>
    </row>
    <row r="73" spans="1:2">
      <c r="A73" s="1">
        <v>44135</v>
      </c>
      <c r="B73">
        <v>100</v>
      </c>
    </row>
    <row r="74" spans="1:2">
      <c r="A74" s="1">
        <v>44165</v>
      </c>
      <c r="B74">
        <v>104</v>
      </c>
    </row>
    <row r="75" spans="1:2">
      <c r="A75" s="1">
        <v>44195</v>
      </c>
      <c r="B75">
        <v>106</v>
      </c>
    </row>
    <row r="76" spans="1:2">
      <c r="A76" s="1">
        <v>44225</v>
      </c>
      <c r="B76">
        <v>120</v>
      </c>
    </row>
    <row r="77" spans="1:2">
      <c r="A77" s="1">
        <v>44255</v>
      </c>
      <c r="B77">
        <v>106</v>
      </c>
    </row>
    <row r="78" spans="1:2">
      <c r="A78" s="1">
        <v>44285</v>
      </c>
      <c r="B78">
        <v>118</v>
      </c>
    </row>
    <row r="79" spans="1:2">
      <c r="A79" s="1">
        <v>44315</v>
      </c>
      <c r="B79">
        <v>92</v>
      </c>
    </row>
    <row r="80" spans="1:2">
      <c r="A80" s="1">
        <v>44345</v>
      </c>
      <c r="B80">
        <v>110</v>
      </c>
    </row>
    <row r="81" spans="1:2">
      <c r="A81" s="1">
        <v>44375</v>
      </c>
      <c r="B81">
        <v>101</v>
      </c>
    </row>
    <row r="82" spans="1:2">
      <c r="A82" s="1">
        <v>44405</v>
      </c>
      <c r="B82">
        <v>84</v>
      </c>
    </row>
    <row r="83" spans="1:2">
      <c r="A83" s="1">
        <v>44435</v>
      </c>
      <c r="B83">
        <v>115</v>
      </c>
    </row>
    <row r="84" spans="1:2">
      <c r="A84" s="1">
        <v>44465</v>
      </c>
      <c r="B84">
        <v>95</v>
      </c>
    </row>
    <row r="85" spans="1:2">
      <c r="A85" s="1">
        <v>44495</v>
      </c>
      <c r="B85">
        <v>114</v>
      </c>
    </row>
    <row r="86" spans="1:2">
      <c r="A86" s="1">
        <v>44525</v>
      </c>
      <c r="B86">
        <v>104</v>
      </c>
    </row>
    <row r="87" spans="1:2">
      <c r="A87" s="1">
        <v>44555</v>
      </c>
      <c r="B87">
        <v>89</v>
      </c>
    </row>
    <row r="88" spans="1:2">
      <c r="A88" s="1">
        <v>44585</v>
      </c>
      <c r="B88">
        <v>101</v>
      </c>
    </row>
    <row r="89" spans="1:2">
      <c r="A89" s="1">
        <v>44615</v>
      </c>
      <c r="B89">
        <v>85</v>
      </c>
    </row>
    <row r="90" spans="1:2">
      <c r="A90" s="1">
        <v>44645</v>
      </c>
      <c r="B90">
        <v>101</v>
      </c>
    </row>
    <row r="91" spans="1:2">
      <c r="A91" s="1">
        <v>44675</v>
      </c>
      <c r="B91">
        <v>104</v>
      </c>
    </row>
    <row r="92" spans="1:2">
      <c r="A92" s="1">
        <v>44705</v>
      </c>
      <c r="B92">
        <v>106</v>
      </c>
    </row>
    <row r="93" spans="1:2">
      <c r="A93" s="1">
        <v>44735</v>
      </c>
      <c r="B93">
        <v>95</v>
      </c>
    </row>
    <row r="94" spans="1:2">
      <c r="A94" s="1">
        <v>44765</v>
      </c>
      <c r="B94">
        <v>104</v>
      </c>
    </row>
    <row r="95" spans="1:2">
      <c r="A95" s="1">
        <v>44795</v>
      </c>
      <c r="B95">
        <v>105</v>
      </c>
    </row>
    <row r="96" spans="1:2">
      <c r="A96" s="1">
        <v>44825</v>
      </c>
      <c r="B96">
        <v>84</v>
      </c>
    </row>
    <row r="97" spans="1:2">
      <c r="A97" s="1">
        <v>44855</v>
      </c>
      <c r="B97">
        <v>93</v>
      </c>
    </row>
    <row r="98" spans="1:2">
      <c r="A98" s="1">
        <v>44885</v>
      </c>
      <c r="B98">
        <v>115</v>
      </c>
    </row>
    <row r="99" spans="1:2">
      <c r="A99" s="1">
        <v>44915</v>
      </c>
      <c r="B99">
        <v>109</v>
      </c>
    </row>
    <row r="100" spans="1:2">
      <c r="A100" s="1">
        <v>44945</v>
      </c>
      <c r="B100">
        <v>102</v>
      </c>
    </row>
    <row r="101" spans="1:2">
      <c r="A101" s="1">
        <v>44975</v>
      </c>
      <c r="B101">
        <v>100</v>
      </c>
    </row>
    <row r="102" spans="1:2">
      <c r="A102" s="1">
        <v>45005</v>
      </c>
      <c r="B102">
        <v>93</v>
      </c>
    </row>
    <row r="103" spans="1:2">
      <c r="A103" s="1">
        <v>45035</v>
      </c>
      <c r="B103">
        <v>121</v>
      </c>
    </row>
    <row r="104" spans="1:2">
      <c r="A104" s="1">
        <v>45065</v>
      </c>
      <c r="B104">
        <v>117</v>
      </c>
    </row>
    <row r="105" spans="1:2">
      <c r="A105" s="1">
        <v>45095</v>
      </c>
      <c r="B105">
        <v>98</v>
      </c>
    </row>
    <row r="106" spans="1:2">
      <c r="A106" s="1">
        <v>45125</v>
      </c>
      <c r="B106">
        <v>94</v>
      </c>
    </row>
    <row r="107" spans="1:2">
      <c r="A107" s="1">
        <v>45155</v>
      </c>
      <c r="B107">
        <v>112</v>
      </c>
    </row>
    <row r="108" spans="1:2">
      <c r="A108" s="1">
        <v>45185</v>
      </c>
      <c r="B108">
        <v>89</v>
      </c>
    </row>
    <row r="109" spans="1:2">
      <c r="A109" s="1">
        <v>45215</v>
      </c>
      <c r="B109">
        <v>119</v>
      </c>
    </row>
    <row r="110" spans="1:2">
      <c r="A110" s="1">
        <v>45245</v>
      </c>
      <c r="B110">
        <v>102</v>
      </c>
    </row>
    <row r="111" spans="1:2">
      <c r="A111" s="1">
        <v>45275</v>
      </c>
      <c r="B111">
        <v>87</v>
      </c>
    </row>
    <row r="112" spans="1:2">
      <c r="A112" s="1">
        <v>45305</v>
      </c>
      <c r="B112">
        <v>113</v>
      </c>
    </row>
    <row r="113" spans="1:2">
      <c r="A113" s="1">
        <v>45335</v>
      </c>
      <c r="B113">
        <v>106</v>
      </c>
    </row>
    <row r="114" spans="1:2">
      <c r="A114" s="1">
        <v>45365</v>
      </c>
      <c r="B114">
        <v>96</v>
      </c>
    </row>
    <row r="115" spans="1:2">
      <c r="A115" s="1">
        <v>45395</v>
      </c>
      <c r="B115">
        <v>110</v>
      </c>
    </row>
    <row r="116" spans="1:2">
      <c r="A116" s="1">
        <v>45425</v>
      </c>
      <c r="B116">
        <v>100</v>
      </c>
    </row>
    <row r="117" spans="1:2">
      <c r="A117" s="1">
        <v>45455</v>
      </c>
      <c r="B117">
        <v>84</v>
      </c>
    </row>
    <row r="118" spans="1:2">
      <c r="A118" s="1">
        <v>45485</v>
      </c>
      <c r="B118">
        <v>106</v>
      </c>
    </row>
    <row r="119" spans="1:2">
      <c r="A119" s="1">
        <v>45515</v>
      </c>
      <c r="B119">
        <v>114</v>
      </c>
    </row>
    <row r="120" spans="1:2">
      <c r="A120" s="1">
        <v>45545</v>
      </c>
      <c r="B120">
        <v>96</v>
      </c>
    </row>
    <row r="121" spans="1:2">
      <c r="A121" s="1">
        <v>45575</v>
      </c>
      <c r="B121">
        <v>102</v>
      </c>
    </row>
    <row r="122" spans="1:2">
      <c r="A122" s="1">
        <v>45605</v>
      </c>
      <c r="B122">
        <v>106</v>
      </c>
    </row>
    <row r="123" spans="1:2">
      <c r="A123" s="1">
        <v>45635</v>
      </c>
      <c r="B123">
        <v>93</v>
      </c>
    </row>
    <row r="124" spans="1:2">
      <c r="A124" s="1">
        <v>45665</v>
      </c>
      <c r="B124">
        <v>100</v>
      </c>
    </row>
    <row r="125" spans="1:2">
      <c r="A125" s="1">
        <v>45695</v>
      </c>
      <c r="B125">
        <v>111</v>
      </c>
    </row>
    <row r="126" spans="1:2">
      <c r="A126" s="1">
        <v>45725</v>
      </c>
      <c r="B126">
        <v>87</v>
      </c>
    </row>
    <row r="127" spans="1:2">
      <c r="A127" s="1">
        <v>45755</v>
      </c>
      <c r="B127">
        <v>100</v>
      </c>
    </row>
    <row r="128" spans="1:2">
      <c r="A128" s="1">
        <v>45785</v>
      </c>
      <c r="B128">
        <v>104</v>
      </c>
    </row>
    <row r="129" spans="1:2">
      <c r="A129" s="1">
        <v>45815</v>
      </c>
      <c r="B129">
        <v>78</v>
      </c>
    </row>
    <row r="130" spans="1:2">
      <c r="A130" s="1">
        <v>45845</v>
      </c>
      <c r="B130">
        <v>101</v>
      </c>
    </row>
    <row r="131" spans="1:2">
      <c r="A131" s="1">
        <v>45875</v>
      </c>
      <c r="B131">
        <v>100</v>
      </c>
    </row>
    <row r="132" spans="1:2">
      <c r="A132" s="1">
        <v>45905</v>
      </c>
      <c r="B132">
        <v>109</v>
      </c>
    </row>
    <row r="133" spans="1:2">
      <c r="A133" s="1">
        <v>45935</v>
      </c>
      <c r="B133">
        <v>98</v>
      </c>
    </row>
    <row r="134" spans="1:2">
      <c r="A134" s="1">
        <v>45965</v>
      </c>
      <c r="B134">
        <v>111</v>
      </c>
    </row>
    <row r="135" spans="1:2">
      <c r="A135" s="1">
        <v>45995</v>
      </c>
      <c r="B135">
        <v>97</v>
      </c>
    </row>
    <row r="136" spans="1:2">
      <c r="A136" s="1">
        <v>46025</v>
      </c>
      <c r="B136">
        <v>88</v>
      </c>
    </row>
    <row r="137" spans="1:2">
      <c r="A137" s="1">
        <v>46055</v>
      </c>
      <c r="B137">
        <v>101</v>
      </c>
    </row>
    <row r="138" spans="1:2">
      <c r="A138" s="1">
        <v>46085</v>
      </c>
      <c r="B138">
        <v>105</v>
      </c>
    </row>
    <row r="139" spans="1:2">
      <c r="A139" s="1">
        <v>46115</v>
      </c>
      <c r="B139">
        <v>102</v>
      </c>
    </row>
    <row r="140" spans="1:2">
      <c r="A140" s="1">
        <v>46145</v>
      </c>
      <c r="B140">
        <v>98</v>
      </c>
    </row>
    <row r="141" spans="1:2">
      <c r="A141" s="1">
        <v>46175</v>
      </c>
      <c r="B141">
        <v>96</v>
      </c>
    </row>
    <row r="142" spans="1:2">
      <c r="A142" s="1">
        <v>46205</v>
      </c>
      <c r="B142">
        <v>76</v>
      </c>
    </row>
    <row r="143" spans="1:2">
      <c r="A143" s="1">
        <v>46235</v>
      </c>
      <c r="B143">
        <v>112</v>
      </c>
    </row>
    <row r="144" spans="1:2">
      <c r="A144" s="1">
        <v>46265</v>
      </c>
      <c r="B144">
        <v>99</v>
      </c>
    </row>
    <row r="145" spans="1:2">
      <c r="A145" s="1">
        <v>46295</v>
      </c>
      <c r="B145">
        <v>100</v>
      </c>
    </row>
    <row r="146" spans="1:2">
      <c r="A146" s="1">
        <v>46325</v>
      </c>
      <c r="B146">
        <v>89</v>
      </c>
    </row>
    <row r="147" spans="1:2">
      <c r="A147" s="1">
        <v>46355</v>
      </c>
      <c r="B147">
        <v>102</v>
      </c>
    </row>
    <row r="148" spans="1:2">
      <c r="A148" s="1">
        <v>46385</v>
      </c>
      <c r="B148">
        <v>104</v>
      </c>
    </row>
    <row r="149" spans="1:2">
      <c r="A149" s="1">
        <v>46415</v>
      </c>
      <c r="B149">
        <v>96</v>
      </c>
    </row>
    <row r="150" spans="1:2">
      <c r="A150" s="1">
        <v>46445</v>
      </c>
      <c r="B150">
        <v>100</v>
      </c>
    </row>
    <row r="151" spans="1:2">
      <c r="A151" s="1">
        <v>46475</v>
      </c>
      <c r="B151">
        <v>105</v>
      </c>
    </row>
    <row r="152" spans="1:2">
      <c r="A152" s="1">
        <v>46505</v>
      </c>
      <c r="B152">
        <v>81</v>
      </c>
    </row>
    <row r="153" spans="1:2">
      <c r="A153" s="1">
        <v>46535</v>
      </c>
      <c r="B153">
        <v>120</v>
      </c>
    </row>
    <row r="154" spans="1:2">
      <c r="A154" s="1">
        <v>46565</v>
      </c>
      <c r="B154">
        <v>97</v>
      </c>
    </row>
    <row r="155" spans="1:2">
      <c r="A155" s="1">
        <v>46595</v>
      </c>
      <c r="B155">
        <v>99</v>
      </c>
    </row>
    <row r="156" spans="1:2">
      <c r="A156" s="1">
        <v>46625</v>
      </c>
      <c r="B156">
        <v>120</v>
      </c>
    </row>
    <row r="157" spans="1:2">
      <c r="A157" s="1">
        <v>46655</v>
      </c>
      <c r="B157">
        <v>90</v>
      </c>
    </row>
    <row r="158" spans="1:2">
      <c r="A158" s="1">
        <v>46685</v>
      </c>
      <c r="B158">
        <v>85</v>
      </c>
    </row>
    <row r="159" spans="1:2">
      <c r="A159" s="1">
        <v>46715</v>
      </c>
      <c r="B159">
        <v>84</v>
      </c>
    </row>
    <row r="160" spans="1:2">
      <c r="A160" s="1">
        <v>46745</v>
      </c>
      <c r="B160">
        <v>106</v>
      </c>
    </row>
    <row r="161" spans="1:2">
      <c r="A161" s="1">
        <v>46775</v>
      </c>
      <c r="B161">
        <v>112</v>
      </c>
    </row>
    <row r="162" spans="1:2">
      <c r="A162" s="1">
        <v>46805</v>
      </c>
      <c r="B162">
        <v>110</v>
      </c>
    </row>
    <row r="163" spans="1:2">
      <c r="A163" s="1">
        <v>46835</v>
      </c>
      <c r="B163">
        <v>86</v>
      </c>
    </row>
    <row r="164" spans="1:2">
      <c r="A164" s="1">
        <v>46865</v>
      </c>
      <c r="B164">
        <v>104</v>
      </c>
    </row>
    <row r="165" spans="1:2">
      <c r="A165" s="1">
        <v>46895</v>
      </c>
      <c r="B165">
        <v>107</v>
      </c>
    </row>
    <row r="166" spans="1:2">
      <c r="A166" s="1">
        <v>46925</v>
      </c>
      <c r="B166">
        <v>93</v>
      </c>
    </row>
    <row r="167" spans="1:2">
      <c r="A167" s="1">
        <v>46955</v>
      </c>
      <c r="B167">
        <v>108</v>
      </c>
    </row>
    <row r="168" spans="1:2">
      <c r="A168" s="1">
        <v>46985</v>
      </c>
      <c r="B168">
        <v>96</v>
      </c>
    </row>
    <row r="169" spans="1:2">
      <c r="A169" s="1">
        <v>47015</v>
      </c>
      <c r="B169">
        <v>95</v>
      </c>
    </row>
    <row r="170" spans="1:2">
      <c r="A170" s="1">
        <v>47045</v>
      </c>
      <c r="B170">
        <v>112</v>
      </c>
    </row>
    <row r="171" spans="1:2">
      <c r="A171" s="1">
        <v>47075</v>
      </c>
      <c r="B171">
        <v>108</v>
      </c>
    </row>
    <row r="172" spans="1:2">
      <c r="A172" s="1">
        <v>47105</v>
      </c>
      <c r="B172">
        <v>85</v>
      </c>
    </row>
    <row r="173" spans="1:2">
      <c r="A173" s="1">
        <v>47135</v>
      </c>
      <c r="B173">
        <v>87</v>
      </c>
    </row>
    <row r="174" spans="1:2">
      <c r="A174" s="1">
        <v>47165</v>
      </c>
      <c r="B174">
        <v>95</v>
      </c>
    </row>
    <row r="175" spans="1:2">
      <c r="A175" s="1">
        <v>47195</v>
      </c>
      <c r="B175">
        <v>97</v>
      </c>
    </row>
    <row r="176" spans="1:2">
      <c r="A176" s="1">
        <v>47225</v>
      </c>
      <c r="B176">
        <v>116</v>
      </c>
    </row>
    <row r="177" spans="1:2">
      <c r="A177" s="1">
        <v>47255</v>
      </c>
      <c r="B177">
        <v>95</v>
      </c>
    </row>
    <row r="178" spans="1:2">
      <c r="A178" s="1">
        <v>47285</v>
      </c>
      <c r="B178">
        <v>123</v>
      </c>
    </row>
    <row r="179" spans="1:2">
      <c r="A179" s="1">
        <v>47315</v>
      </c>
      <c r="B179">
        <v>104</v>
      </c>
    </row>
    <row r="180" spans="1:2">
      <c r="A180" s="1">
        <v>47345</v>
      </c>
      <c r="B180">
        <v>94</v>
      </c>
    </row>
    <row r="181" spans="1:2">
      <c r="A181" s="1">
        <v>47375</v>
      </c>
      <c r="B181">
        <v>105</v>
      </c>
    </row>
    <row r="182" spans="1:2">
      <c r="A182" s="1">
        <v>47405</v>
      </c>
      <c r="B182">
        <v>109</v>
      </c>
    </row>
    <row r="183" spans="1:2">
      <c r="A183" s="1">
        <v>47435</v>
      </c>
      <c r="B183">
        <v>84</v>
      </c>
    </row>
    <row r="184" spans="1:2">
      <c r="A184" s="1">
        <v>47465</v>
      </c>
      <c r="B184">
        <v>79</v>
      </c>
    </row>
    <row r="185" spans="1:2">
      <c r="A185" s="1">
        <v>47495</v>
      </c>
      <c r="B185">
        <v>98</v>
      </c>
    </row>
    <row r="186" spans="1:2">
      <c r="A186" s="1">
        <v>47525</v>
      </c>
      <c r="B186">
        <v>96</v>
      </c>
    </row>
    <row r="187" spans="1:2">
      <c r="A187" s="1">
        <v>47555</v>
      </c>
      <c r="B187">
        <v>88</v>
      </c>
    </row>
    <row r="188" spans="1:2">
      <c r="A188" s="1">
        <v>47585</v>
      </c>
      <c r="B188">
        <v>103</v>
      </c>
    </row>
    <row r="189" spans="1:2">
      <c r="A189" s="1">
        <v>47615</v>
      </c>
      <c r="B189">
        <v>83</v>
      </c>
    </row>
    <row r="190" spans="1:2">
      <c r="A190" s="1">
        <v>47645</v>
      </c>
      <c r="B190">
        <v>82</v>
      </c>
    </row>
    <row r="191" spans="1:2">
      <c r="A191" s="1">
        <v>47675</v>
      </c>
      <c r="B191">
        <v>106</v>
      </c>
    </row>
    <row r="192" spans="1:2">
      <c r="A192" s="1">
        <v>47705</v>
      </c>
      <c r="B192">
        <v>96</v>
      </c>
    </row>
    <row r="193" spans="1:2">
      <c r="A193" s="1">
        <v>47735</v>
      </c>
      <c r="B193">
        <v>96</v>
      </c>
    </row>
    <row r="194" spans="1:2">
      <c r="A194" s="1">
        <v>47765</v>
      </c>
      <c r="B194">
        <v>109</v>
      </c>
    </row>
    <row r="195" spans="1:2">
      <c r="A195" s="1">
        <v>47795</v>
      </c>
      <c r="B195">
        <v>98</v>
      </c>
    </row>
    <row r="196" spans="1:2">
      <c r="A196" s="1">
        <v>47825</v>
      </c>
      <c r="B196">
        <v>86</v>
      </c>
    </row>
    <row r="197" spans="1:2">
      <c r="A197" s="1">
        <v>47855</v>
      </c>
      <c r="B197">
        <v>79</v>
      </c>
    </row>
    <row r="198" spans="1:2">
      <c r="A198" s="1">
        <v>47885</v>
      </c>
      <c r="B198">
        <v>86</v>
      </c>
    </row>
    <row r="199" spans="1:2">
      <c r="A199" s="1">
        <v>47915</v>
      </c>
      <c r="B199">
        <v>108</v>
      </c>
    </row>
    <row r="200" spans="1:2">
      <c r="A200" s="1">
        <v>47945</v>
      </c>
      <c r="B200">
        <v>127</v>
      </c>
    </row>
    <row r="201" spans="1:2">
      <c r="A201" s="1">
        <v>47975</v>
      </c>
      <c r="B201">
        <v>93</v>
      </c>
    </row>
    <row r="202" spans="1:2">
      <c r="A202" s="1">
        <v>48005</v>
      </c>
      <c r="B202">
        <v>82</v>
      </c>
    </row>
    <row r="203" spans="1:2">
      <c r="A203" s="1">
        <v>48035</v>
      </c>
      <c r="B203">
        <v>104</v>
      </c>
    </row>
    <row r="204" spans="1:2">
      <c r="A204" s="1">
        <v>48065</v>
      </c>
      <c r="B204">
        <v>99</v>
      </c>
    </row>
    <row r="205" spans="1:2">
      <c r="A205" s="1">
        <v>48095</v>
      </c>
      <c r="B205">
        <v>102</v>
      </c>
    </row>
    <row r="206" spans="1:2">
      <c r="A206" s="1">
        <v>48125</v>
      </c>
      <c r="B206">
        <v>76</v>
      </c>
    </row>
    <row r="207" spans="1:2">
      <c r="A207" s="1">
        <v>48155</v>
      </c>
      <c r="B207">
        <v>99</v>
      </c>
    </row>
    <row r="208" spans="1:2">
      <c r="A208" s="1">
        <v>48185</v>
      </c>
      <c r="B208">
        <v>93</v>
      </c>
    </row>
    <row r="209" spans="1:2">
      <c r="A209" s="1">
        <v>48215</v>
      </c>
      <c r="B209">
        <v>99</v>
      </c>
    </row>
    <row r="210" spans="1:2">
      <c r="A210" s="1">
        <v>48245</v>
      </c>
      <c r="B210">
        <v>102</v>
      </c>
    </row>
    <row r="211" spans="1:2">
      <c r="A211" s="1">
        <v>48275</v>
      </c>
      <c r="B211">
        <v>106</v>
      </c>
    </row>
    <row r="212" spans="1:2">
      <c r="A212" s="1">
        <v>48305</v>
      </c>
      <c r="B212">
        <v>94</v>
      </c>
    </row>
    <row r="213" spans="1:2">
      <c r="A213" s="1">
        <v>48335</v>
      </c>
      <c r="B213">
        <v>105</v>
      </c>
    </row>
    <row r="214" spans="1:2">
      <c r="A214" s="1">
        <v>48365</v>
      </c>
      <c r="B214">
        <v>100</v>
      </c>
    </row>
    <row r="215" spans="1:2">
      <c r="A215" s="1">
        <v>48395</v>
      </c>
      <c r="B215">
        <v>122</v>
      </c>
    </row>
    <row r="216" spans="1:2">
      <c r="A216" s="1">
        <v>48425</v>
      </c>
      <c r="B216">
        <v>103</v>
      </c>
    </row>
    <row r="217" spans="1:2">
      <c r="A217" s="1">
        <v>48455</v>
      </c>
      <c r="B217">
        <v>119</v>
      </c>
    </row>
    <row r="218" spans="1:2">
      <c r="A218" s="1">
        <v>48485</v>
      </c>
      <c r="B218">
        <v>76</v>
      </c>
    </row>
    <row r="219" spans="1:2">
      <c r="A219" s="1">
        <v>48515</v>
      </c>
      <c r="B219">
        <v>96</v>
      </c>
    </row>
    <row r="220" spans="1:2">
      <c r="A220" s="1">
        <v>48545</v>
      </c>
      <c r="B220">
        <v>103</v>
      </c>
    </row>
    <row r="221" spans="1:2">
      <c r="A221" s="1">
        <v>48575</v>
      </c>
      <c r="B221">
        <v>111</v>
      </c>
    </row>
    <row r="222" spans="1:2">
      <c r="A222" s="1">
        <v>48605</v>
      </c>
      <c r="B222">
        <v>97</v>
      </c>
    </row>
    <row r="223" spans="1:2">
      <c r="A223" s="1">
        <v>48635</v>
      </c>
      <c r="B223">
        <v>112</v>
      </c>
    </row>
    <row r="224" spans="1:2">
      <c r="A224" s="1">
        <v>48665</v>
      </c>
      <c r="B224">
        <v>99</v>
      </c>
    </row>
    <row r="225" spans="1:2">
      <c r="A225" s="1">
        <v>48695</v>
      </c>
      <c r="B225">
        <v>124</v>
      </c>
    </row>
    <row r="226" spans="1:2">
      <c r="A226" s="1">
        <v>48725</v>
      </c>
      <c r="B226">
        <v>91</v>
      </c>
    </row>
    <row r="227" spans="1:2">
      <c r="A227" s="1">
        <v>48755</v>
      </c>
      <c r="B227">
        <v>103</v>
      </c>
    </row>
    <row r="228" spans="1:2">
      <c r="A228" s="1">
        <v>48785</v>
      </c>
      <c r="B228">
        <v>86</v>
      </c>
    </row>
    <row r="229" spans="1:2">
      <c r="A229" s="1">
        <v>48815</v>
      </c>
      <c r="B229">
        <v>101</v>
      </c>
    </row>
    <row r="230" spans="1:2">
      <c r="A230" s="1">
        <v>48845</v>
      </c>
      <c r="B230">
        <v>101</v>
      </c>
    </row>
    <row r="231" spans="1:2">
      <c r="A231" s="1">
        <v>48875</v>
      </c>
      <c r="B231">
        <v>101</v>
      </c>
    </row>
    <row r="232" spans="1:2">
      <c r="A232" s="1">
        <v>48905</v>
      </c>
      <c r="B232">
        <v>113</v>
      </c>
    </row>
    <row r="233" spans="1:2">
      <c r="A233" s="1">
        <v>48935</v>
      </c>
      <c r="B233">
        <v>87</v>
      </c>
    </row>
    <row r="234" spans="1:2">
      <c r="A234" s="1">
        <v>48965</v>
      </c>
      <c r="B234">
        <v>108</v>
      </c>
    </row>
    <row r="235" spans="1:2">
      <c r="A235" s="1">
        <v>48995</v>
      </c>
      <c r="B235">
        <v>100</v>
      </c>
    </row>
    <row r="236" spans="1:2">
      <c r="A236" s="1">
        <v>49025</v>
      </c>
      <c r="B236">
        <v>87</v>
      </c>
    </row>
    <row r="237" spans="1:2">
      <c r="A237" s="1">
        <v>49055</v>
      </c>
      <c r="B237">
        <v>96</v>
      </c>
    </row>
    <row r="238" spans="1:2">
      <c r="A238" s="1">
        <v>49085</v>
      </c>
      <c r="B238">
        <v>97</v>
      </c>
    </row>
    <row r="239" spans="1:2">
      <c r="A239" s="1">
        <v>49115</v>
      </c>
      <c r="B239">
        <v>116</v>
      </c>
    </row>
    <row r="240" spans="1:2">
      <c r="A240" s="1">
        <v>49145</v>
      </c>
      <c r="B240">
        <v>100</v>
      </c>
    </row>
    <row r="241" spans="1:2">
      <c r="A241" s="1">
        <v>49175</v>
      </c>
      <c r="B241">
        <v>97</v>
      </c>
    </row>
    <row r="242" spans="1:2">
      <c r="A242" s="1">
        <v>49205</v>
      </c>
      <c r="B242">
        <v>100</v>
      </c>
    </row>
    <row r="243" spans="1:2">
      <c r="A243" s="1">
        <v>49235</v>
      </c>
      <c r="B243">
        <v>99</v>
      </c>
    </row>
    <row r="244" spans="1:2">
      <c r="A244" s="1">
        <v>49265</v>
      </c>
      <c r="B244">
        <v>100</v>
      </c>
    </row>
    <row r="245" spans="1:2">
      <c r="A245" s="1">
        <v>49295</v>
      </c>
      <c r="B245">
        <v>100</v>
      </c>
    </row>
    <row r="246" spans="1:2">
      <c r="A246" s="1">
        <v>49325</v>
      </c>
      <c r="B246">
        <v>82</v>
      </c>
    </row>
    <row r="247" spans="1:2">
      <c r="A247" s="1">
        <v>49355</v>
      </c>
      <c r="B247">
        <v>87</v>
      </c>
    </row>
    <row r="248" spans="1:2">
      <c r="A248" s="1">
        <v>49385</v>
      </c>
      <c r="B248">
        <v>87</v>
      </c>
    </row>
    <row r="249" spans="1:2">
      <c r="A249" s="1">
        <v>49415</v>
      </c>
      <c r="B249">
        <v>90</v>
      </c>
    </row>
    <row r="250" spans="1:2">
      <c r="A250" s="1">
        <v>49445</v>
      </c>
      <c r="B250">
        <v>115</v>
      </c>
    </row>
    <row r="251" spans="1:2">
      <c r="A251" s="1">
        <v>49475</v>
      </c>
      <c r="B251">
        <v>105</v>
      </c>
    </row>
    <row r="252" spans="1:2">
      <c r="A252" s="1">
        <v>49505</v>
      </c>
      <c r="B252">
        <v>90</v>
      </c>
    </row>
    <row r="253" spans="1:2">
      <c r="A253" s="1">
        <v>49535</v>
      </c>
      <c r="B253">
        <v>89</v>
      </c>
    </row>
    <row r="254" spans="1:2">
      <c r="A254" s="1">
        <v>49565</v>
      </c>
      <c r="B254">
        <v>89</v>
      </c>
    </row>
    <row r="255" spans="1:2">
      <c r="A255" s="1">
        <v>49595</v>
      </c>
      <c r="B255">
        <v>86</v>
      </c>
    </row>
    <row r="256" spans="1:2">
      <c r="A256" s="1">
        <v>49625</v>
      </c>
      <c r="B256">
        <v>91</v>
      </c>
    </row>
    <row r="257" spans="1:2">
      <c r="A257" s="1">
        <v>49655</v>
      </c>
      <c r="B257">
        <v>100</v>
      </c>
    </row>
    <row r="258" spans="1:2">
      <c r="A258" s="1">
        <v>49685</v>
      </c>
      <c r="B258">
        <v>104</v>
      </c>
    </row>
    <row r="259" spans="1:2">
      <c r="A259" s="1">
        <v>49715</v>
      </c>
      <c r="B259">
        <v>80</v>
      </c>
    </row>
    <row r="260" spans="1:2">
      <c r="A260" s="1">
        <v>49745</v>
      </c>
      <c r="B260">
        <v>110</v>
      </c>
    </row>
    <row r="261" spans="1:2">
      <c r="A261" s="1">
        <v>49775</v>
      </c>
      <c r="B261">
        <v>90</v>
      </c>
    </row>
    <row r="262" spans="1:2">
      <c r="A262" s="1">
        <v>49805</v>
      </c>
      <c r="B262">
        <v>96</v>
      </c>
    </row>
    <row r="263" spans="1:2">
      <c r="A263" s="1">
        <v>49835</v>
      </c>
      <c r="B263">
        <v>103</v>
      </c>
    </row>
    <row r="264" spans="1:2">
      <c r="A264" s="1">
        <v>49865</v>
      </c>
      <c r="B264">
        <v>99</v>
      </c>
    </row>
    <row r="265" spans="1:2">
      <c r="A265" s="1">
        <v>49895</v>
      </c>
      <c r="B265">
        <v>76</v>
      </c>
    </row>
    <row r="266" spans="1:2">
      <c r="A266" s="1">
        <v>49925</v>
      </c>
      <c r="B266">
        <v>106</v>
      </c>
    </row>
    <row r="267" spans="1:2">
      <c r="A267" s="1">
        <v>49955</v>
      </c>
      <c r="B267">
        <v>100</v>
      </c>
    </row>
    <row r="268" spans="1:2">
      <c r="A268" s="1">
        <v>49985</v>
      </c>
      <c r="B268">
        <v>85</v>
      </c>
    </row>
    <row r="269" spans="1:2">
      <c r="A269" s="1">
        <v>50015</v>
      </c>
      <c r="B269">
        <v>101</v>
      </c>
    </row>
    <row r="270" spans="1:2">
      <c r="A270" s="1">
        <v>50045</v>
      </c>
      <c r="B270">
        <v>93</v>
      </c>
    </row>
    <row r="271" spans="1:2">
      <c r="A271" s="1">
        <v>50075</v>
      </c>
      <c r="B271">
        <v>91</v>
      </c>
    </row>
    <row r="272" spans="1:2">
      <c r="A272" s="1">
        <v>50105</v>
      </c>
      <c r="B272">
        <v>103</v>
      </c>
    </row>
    <row r="273" spans="1:2">
      <c r="A273" s="1">
        <v>50135</v>
      </c>
      <c r="B273">
        <v>109</v>
      </c>
    </row>
    <row r="274" spans="1:2">
      <c r="A274" s="1">
        <v>50165</v>
      </c>
      <c r="B274">
        <v>83</v>
      </c>
    </row>
    <row r="275" spans="1:2">
      <c r="A275" s="1">
        <v>50195</v>
      </c>
      <c r="B275">
        <v>102</v>
      </c>
    </row>
    <row r="276" spans="1:2">
      <c r="A276" s="1">
        <v>50225</v>
      </c>
      <c r="B276">
        <v>98</v>
      </c>
    </row>
    <row r="277" spans="1:2">
      <c r="A277" s="1">
        <v>50255</v>
      </c>
      <c r="B277">
        <v>93</v>
      </c>
    </row>
    <row r="278" spans="1:2">
      <c r="A278" s="1">
        <v>50285</v>
      </c>
      <c r="B278">
        <v>104</v>
      </c>
    </row>
    <row r="279" spans="1:2">
      <c r="A279" s="1">
        <v>50315</v>
      </c>
      <c r="B279">
        <v>96</v>
      </c>
    </row>
    <row r="280" spans="1:2">
      <c r="A280" s="1">
        <v>50345</v>
      </c>
      <c r="B280">
        <v>103</v>
      </c>
    </row>
    <row r="281" spans="1:2">
      <c r="A281" s="1">
        <v>50375</v>
      </c>
      <c r="B281">
        <v>85</v>
      </c>
    </row>
    <row r="282" spans="1:2">
      <c r="A282" s="1">
        <v>50405</v>
      </c>
      <c r="B282">
        <v>92</v>
      </c>
    </row>
    <row r="283" spans="1:2">
      <c r="A283" s="1">
        <v>50435</v>
      </c>
      <c r="B283">
        <v>90</v>
      </c>
    </row>
    <row r="284" spans="1:2">
      <c r="A284" s="1">
        <v>50465</v>
      </c>
      <c r="B284">
        <v>83</v>
      </c>
    </row>
    <row r="285" spans="1:2">
      <c r="A285" s="1">
        <v>50495</v>
      </c>
      <c r="B285">
        <v>86</v>
      </c>
    </row>
    <row r="286" spans="1:2">
      <c r="A286" s="1">
        <v>50525</v>
      </c>
      <c r="B286">
        <v>110</v>
      </c>
    </row>
    <row r="287" spans="1:2">
      <c r="A287" s="1">
        <v>50555</v>
      </c>
      <c r="B287">
        <v>89</v>
      </c>
    </row>
    <row r="288" spans="1:2">
      <c r="A288" s="1">
        <v>50585</v>
      </c>
      <c r="B288">
        <v>118</v>
      </c>
    </row>
    <row r="289" spans="1:2">
      <c r="A289" s="1">
        <v>50615</v>
      </c>
      <c r="B289">
        <v>102</v>
      </c>
    </row>
    <row r="290" spans="1:2">
      <c r="A290" s="1">
        <v>50645</v>
      </c>
      <c r="B290">
        <v>108</v>
      </c>
    </row>
    <row r="291" spans="1:2">
      <c r="A291" s="1">
        <v>50675</v>
      </c>
      <c r="B291">
        <v>95</v>
      </c>
    </row>
    <row r="292" spans="1:2">
      <c r="A292" s="1">
        <v>50705</v>
      </c>
      <c r="B292">
        <v>100</v>
      </c>
    </row>
    <row r="293" spans="1:2">
      <c r="A293" s="1">
        <v>50735</v>
      </c>
      <c r="B293">
        <v>86</v>
      </c>
    </row>
    <row r="294" spans="1:2">
      <c r="A294" s="1">
        <v>50765</v>
      </c>
      <c r="B294">
        <v>94</v>
      </c>
    </row>
    <row r="295" spans="1:2">
      <c r="A295" s="1">
        <v>50795</v>
      </c>
      <c r="B295">
        <v>88</v>
      </c>
    </row>
    <row r="296" spans="1:2">
      <c r="A296" s="1">
        <v>50825</v>
      </c>
      <c r="B296">
        <v>100</v>
      </c>
    </row>
    <row r="297" spans="1:2">
      <c r="A297" s="1">
        <v>50855</v>
      </c>
      <c r="B297">
        <v>95</v>
      </c>
    </row>
    <row r="298" spans="1:2">
      <c r="A298" s="1">
        <v>50885</v>
      </c>
      <c r="B298">
        <v>95</v>
      </c>
    </row>
    <row r="299" spans="1:2">
      <c r="A299" s="1">
        <v>50915</v>
      </c>
      <c r="B299">
        <v>92</v>
      </c>
    </row>
    <row r="300" spans="1:2">
      <c r="A300" s="1">
        <v>50945</v>
      </c>
      <c r="B300">
        <v>108</v>
      </c>
    </row>
    <row r="301" spans="1:2">
      <c r="A301" s="1">
        <v>50975</v>
      </c>
      <c r="B301">
        <v>99</v>
      </c>
    </row>
    <row r="302" spans="1:2">
      <c r="A302" s="1">
        <v>51005</v>
      </c>
      <c r="B302">
        <v>95</v>
      </c>
    </row>
    <row r="303" spans="1:2">
      <c r="A303" s="1">
        <v>51035</v>
      </c>
      <c r="B303">
        <v>86</v>
      </c>
    </row>
    <row r="304" spans="1:2">
      <c r="A304" s="1">
        <v>51065</v>
      </c>
      <c r="B304">
        <v>120</v>
      </c>
    </row>
    <row r="305" spans="1:2">
      <c r="A305" s="1">
        <v>51095</v>
      </c>
      <c r="B305">
        <v>81</v>
      </c>
    </row>
    <row r="306" spans="1:2">
      <c r="A306" s="1">
        <v>51125</v>
      </c>
      <c r="B306">
        <v>102</v>
      </c>
    </row>
    <row r="307" spans="1:2">
      <c r="A307" s="1">
        <v>51155</v>
      </c>
      <c r="B307">
        <v>87</v>
      </c>
    </row>
    <row r="308" spans="1:2">
      <c r="A308" s="1">
        <v>51185</v>
      </c>
      <c r="B308">
        <v>90</v>
      </c>
    </row>
    <row r="309" spans="1:2">
      <c r="A309" s="1">
        <v>51215</v>
      </c>
      <c r="B309">
        <v>89</v>
      </c>
    </row>
    <row r="310" spans="1:2">
      <c r="A310" s="1">
        <v>51245</v>
      </c>
      <c r="B310">
        <v>105</v>
      </c>
    </row>
    <row r="311" spans="1:2">
      <c r="A311" s="1">
        <v>51275</v>
      </c>
      <c r="B311">
        <v>96</v>
      </c>
    </row>
    <row r="312" spans="1:2">
      <c r="A312" s="1">
        <v>51305</v>
      </c>
      <c r="B312">
        <v>97</v>
      </c>
    </row>
    <row r="313" spans="1:2">
      <c r="A313" s="1">
        <v>51335</v>
      </c>
      <c r="B313">
        <v>98</v>
      </c>
    </row>
    <row r="314" spans="1:2">
      <c r="A314" s="1">
        <v>51365</v>
      </c>
      <c r="B314">
        <v>100</v>
      </c>
    </row>
    <row r="315" spans="1:2">
      <c r="A315" s="1">
        <v>51395</v>
      </c>
      <c r="B315">
        <v>108</v>
      </c>
    </row>
    <row r="316" spans="1:2">
      <c r="A316" s="1">
        <v>51425</v>
      </c>
      <c r="B316">
        <v>92</v>
      </c>
    </row>
    <row r="317" spans="1:2">
      <c r="A317" s="1">
        <v>51455</v>
      </c>
      <c r="B317">
        <v>97</v>
      </c>
    </row>
    <row r="318" spans="1:2">
      <c r="A318" s="1">
        <v>51485</v>
      </c>
      <c r="B318">
        <v>116</v>
      </c>
    </row>
    <row r="319" spans="1:2">
      <c r="A319" s="1">
        <v>51515</v>
      </c>
      <c r="B319">
        <v>103</v>
      </c>
    </row>
    <row r="320" spans="1:2">
      <c r="A320" s="1">
        <v>51545</v>
      </c>
      <c r="B320">
        <v>87</v>
      </c>
    </row>
    <row r="321" spans="1:2">
      <c r="A321" s="1">
        <v>51575</v>
      </c>
      <c r="B321">
        <v>103</v>
      </c>
    </row>
    <row r="322" spans="1:2">
      <c r="A322" s="1">
        <v>51605</v>
      </c>
      <c r="B322">
        <v>115</v>
      </c>
    </row>
    <row r="323" spans="1:2">
      <c r="A323" s="1">
        <v>51635</v>
      </c>
      <c r="B323">
        <v>88</v>
      </c>
    </row>
    <row r="324" spans="1:2">
      <c r="A324" s="1">
        <v>51665</v>
      </c>
      <c r="B324">
        <v>100</v>
      </c>
    </row>
    <row r="325" spans="1:2">
      <c r="A325" s="1">
        <v>51695</v>
      </c>
      <c r="B325">
        <v>108</v>
      </c>
    </row>
    <row r="326" spans="1:2">
      <c r="A326" s="1">
        <v>51725</v>
      </c>
      <c r="B326">
        <v>96</v>
      </c>
    </row>
    <row r="327" spans="1:2">
      <c r="A327" s="1">
        <v>51755</v>
      </c>
      <c r="B327">
        <v>86</v>
      </c>
    </row>
    <row r="328" spans="1:2">
      <c r="A328" s="1">
        <v>51785</v>
      </c>
      <c r="B328">
        <v>87</v>
      </c>
    </row>
    <row r="329" spans="1:2">
      <c r="A329" s="1">
        <v>51815</v>
      </c>
      <c r="B329">
        <v>109</v>
      </c>
    </row>
    <row r="330" spans="1:2">
      <c r="A330" s="1">
        <v>51845</v>
      </c>
      <c r="B330">
        <v>91</v>
      </c>
    </row>
    <row r="331" spans="1:2">
      <c r="A331" s="1">
        <v>51875</v>
      </c>
      <c r="B331">
        <v>107</v>
      </c>
    </row>
    <row r="332" spans="1:2">
      <c r="A332" s="1">
        <v>51905</v>
      </c>
      <c r="B332">
        <v>106</v>
      </c>
    </row>
    <row r="333" spans="1:2">
      <c r="A333" s="1">
        <v>51935</v>
      </c>
      <c r="B333">
        <v>92</v>
      </c>
    </row>
    <row r="334" spans="1:2">
      <c r="A334" s="1">
        <v>51965</v>
      </c>
      <c r="B334">
        <v>90</v>
      </c>
    </row>
    <row r="335" spans="1:2">
      <c r="A335" s="1">
        <v>51995</v>
      </c>
      <c r="B335">
        <v>102</v>
      </c>
    </row>
    <row r="336" spans="1:2">
      <c r="A336" s="1">
        <v>52025</v>
      </c>
      <c r="B336">
        <v>99</v>
      </c>
    </row>
    <row r="337" spans="1:2">
      <c r="A337" s="1">
        <v>52055</v>
      </c>
      <c r="B337">
        <v>88</v>
      </c>
    </row>
    <row r="338" spans="1:2">
      <c r="A338" s="1">
        <v>52085</v>
      </c>
      <c r="B338">
        <v>100</v>
      </c>
    </row>
    <row r="339" spans="1:2">
      <c r="A339" s="1">
        <v>52115</v>
      </c>
      <c r="B339">
        <v>100</v>
      </c>
    </row>
    <row r="340" spans="1:2">
      <c r="A340" s="1">
        <v>52145</v>
      </c>
      <c r="B340">
        <v>106</v>
      </c>
    </row>
    <row r="341" spans="1:2">
      <c r="A341" s="1">
        <v>52175</v>
      </c>
      <c r="B341">
        <v>94</v>
      </c>
    </row>
    <row r="342" spans="1:2">
      <c r="A342" s="1">
        <v>52205</v>
      </c>
      <c r="B342">
        <v>98</v>
      </c>
    </row>
    <row r="343" spans="1:2">
      <c r="A343" s="1">
        <v>52235</v>
      </c>
      <c r="B343">
        <v>119</v>
      </c>
    </row>
    <row r="344" spans="1:2">
      <c r="A344" s="1">
        <v>52265</v>
      </c>
      <c r="B344">
        <v>99</v>
      </c>
    </row>
    <row r="345" spans="1:2">
      <c r="A345" s="1">
        <v>52295</v>
      </c>
      <c r="B345">
        <v>87</v>
      </c>
    </row>
    <row r="346" spans="1:2">
      <c r="A346" s="1">
        <v>52325</v>
      </c>
      <c r="B346">
        <v>92</v>
      </c>
    </row>
    <row r="347" spans="1:2">
      <c r="A347" s="1">
        <v>52355</v>
      </c>
      <c r="B347">
        <v>103</v>
      </c>
    </row>
    <row r="348" spans="1:2">
      <c r="A348" s="1">
        <v>52385</v>
      </c>
      <c r="B348">
        <v>79</v>
      </c>
    </row>
    <row r="349" spans="1:2">
      <c r="A349" s="1">
        <v>52415</v>
      </c>
      <c r="B349">
        <v>110</v>
      </c>
    </row>
    <row r="350" spans="1:2">
      <c r="A350" s="1">
        <v>52445</v>
      </c>
      <c r="B350">
        <v>95</v>
      </c>
    </row>
    <row r="351" spans="1:2">
      <c r="A351" s="1">
        <v>52475</v>
      </c>
      <c r="B351">
        <v>101</v>
      </c>
    </row>
    <row r="352" spans="1:2">
      <c r="A352" s="1">
        <v>52505</v>
      </c>
      <c r="B352">
        <v>95</v>
      </c>
    </row>
    <row r="353" spans="1:2">
      <c r="A353" s="1">
        <v>52535</v>
      </c>
      <c r="B353">
        <v>107</v>
      </c>
    </row>
    <row r="354" spans="1:2">
      <c r="A354" s="1">
        <v>52565</v>
      </c>
      <c r="B354">
        <v>91</v>
      </c>
    </row>
    <row r="355" spans="1:2">
      <c r="A355" s="1">
        <v>52595</v>
      </c>
      <c r="B355">
        <v>87</v>
      </c>
    </row>
    <row r="356" spans="1:2">
      <c r="A356" s="1">
        <v>52625</v>
      </c>
      <c r="B356">
        <v>100</v>
      </c>
    </row>
    <row r="357" spans="1:2">
      <c r="A357" s="1">
        <v>52655</v>
      </c>
      <c r="B357">
        <v>117</v>
      </c>
    </row>
    <row r="358" spans="1:2">
      <c r="A358" s="1">
        <v>52685</v>
      </c>
      <c r="B358">
        <v>102</v>
      </c>
    </row>
    <row r="359" spans="1:2">
      <c r="A359" s="1">
        <v>52715</v>
      </c>
      <c r="B359">
        <v>88</v>
      </c>
    </row>
    <row r="360" spans="1:2">
      <c r="A360" s="1">
        <v>52745</v>
      </c>
      <c r="B360">
        <v>100</v>
      </c>
    </row>
    <row r="361" spans="1:2">
      <c r="A361" s="1">
        <v>52775</v>
      </c>
      <c r="B361">
        <v>81</v>
      </c>
    </row>
    <row r="362" spans="1:2">
      <c r="A362" s="1">
        <v>52805</v>
      </c>
      <c r="B362">
        <v>91</v>
      </c>
    </row>
    <row r="363" spans="1:2">
      <c r="A363" s="1">
        <v>52835</v>
      </c>
      <c r="B363">
        <v>90</v>
      </c>
    </row>
    <row r="364" spans="1:2">
      <c r="A364" s="1">
        <v>52865</v>
      </c>
      <c r="B364">
        <v>102</v>
      </c>
    </row>
    <row r="365" spans="1:2">
      <c r="A365" s="1">
        <v>52895</v>
      </c>
      <c r="B365">
        <v>109</v>
      </c>
    </row>
    <row r="366" spans="1:2">
      <c r="A366" s="1">
        <v>52925</v>
      </c>
      <c r="B366">
        <v>101</v>
      </c>
    </row>
    <row r="367" spans="1:2">
      <c r="A367" s="1">
        <v>52955</v>
      </c>
      <c r="B367">
        <v>97</v>
      </c>
    </row>
    <row r="368" spans="1:2">
      <c r="A368" s="1">
        <v>52985</v>
      </c>
      <c r="B368">
        <v>88</v>
      </c>
    </row>
    <row r="369" spans="1:2">
      <c r="A369" s="1">
        <v>53015</v>
      </c>
      <c r="B369">
        <v>100</v>
      </c>
    </row>
    <row r="370" spans="1:2">
      <c r="A370" s="1">
        <v>53045</v>
      </c>
      <c r="B370">
        <v>104</v>
      </c>
    </row>
    <row r="371" spans="1:2">
      <c r="A371" s="1">
        <v>53075</v>
      </c>
      <c r="B371">
        <v>106</v>
      </c>
    </row>
    <row r="372" spans="1:2">
      <c r="A372" s="1">
        <v>53105</v>
      </c>
      <c r="B372">
        <v>91</v>
      </c>
    </row>
    <row r="373" spans="1:2">
      <c r="A373" s="1">
        <v>53135</v>
      </c>
      <c r="B373">
        <v>110</v>
      </c>
    </row>
    <row r="374" spans="1:2">
      <c r="A374" s="1">
        <v>53165</v>
      </c>
      <c r="B374">
        <v>104</v>
      </c>
    </row>
    <row r="375" spans="1:2">
      <c r="A375" s="1">
        <v>53195</v>
      </c>
      <c r="B375">
        <v>85</v>
      </c>
    </row>
    <row r="376" spans="1:2">
      <c r="A376" s="1">
        <v>53225</v>
      </c>
      <c r="B376">
        <v>107</v>
      </c>
    </row>
    <row r="377" spans="1:2">
      <c r="A377" s="1">
        <v>53255</v>
      </c>
      <c r="B377">
        <v>111</v>
      </c>
    </row>
    <row r="378" spans="1:2">
      <c r="A378" s="1">
        <v>53285</v>
      </c>
      <c r="B378">
        <v>107</v>
      </c>
    </row>
    <row r="379" spans="1:2">
      <c r="A379" s="1">
        <v>53315</v>
      </c>
      <c r="B379">
        <v>94</v>
      </c>
    </row>
    <row r="380" spans="1:2">
      <c r="A380" s="1">
        <v>53345</v>
      </c>
      <c r="B380">
        <v>91</v>
      </c>
    </row>
    <row r="381" spans="1:2">
      <c r="A381" s="1">
        <v>53375</v>
      </c>
      <c r="B381">
        <v>89</v>
      </c>
    </row>
    <row r="382" spans="1:2">
      <c r="A382" s="1">
        <v>53405</v>
      </c>
      <c r="B382">
        <v>98</v>
      </c>
    </row>
    <row r="383" spans="1:2">
      <c r="A383" s="1">
        <v>53435</v>
      </c>
      <c r="B383">
        <v>110</v>
      </c>
    </row>
    <row r="384" spans="1:2">
      <c r="A384" s="1">
        <v>53465</v>
      </c>
      <c r="B384">
        <v>93</v>
      </c>
    </row>
    <row r="385" spans="1:2">
      <c r="A385" s="1">
        <v>53495</v>
      </c>
      <c r="B385">
        <v>103</v>
      </c>
    </row>
    <row r="386" spans="1:2">
      <c r="A386" s="1">
        <v>53525</v>
      </c>
      <c r="B386">
        <v>100</v>
      </c>
    </row>
    <row r="387" spans="1:2">
      <c r="A387" s="1">
        <v>53555</v>
      </c>
      <c r="B387">
        <v>101</v>
      </c>
    </row>
    <row r="388" spans="1:2">
      <c r="A388" s="1">
        <v>53585</v>
      </c>
      <c r="B388">
        <v>94</v>
      </c>
    </row>
    <row r="389" spans="1:2">
      <c r="A389" s="1">
        <v>53615</v>
      </c>
      <c r="B389">
        <v>108</v>
      </c>
    </row>
    <row r="390" spans="1:2">
      <c r="A390" s="1">
        <v>53645</v>
      </c>
      <c r="B390">
        <v>113</v>
      </c>
    </row>
    <row r="391" spans="1:2">
      <c r="A391" s="1">
        <v>53675</v>
      </c>
      <c r="B391">
        <v>115</v>
      </c>
    </row>
    <row r="392" spans="1:2">
      <c r="A392" s="1">
        <v>53705</v>
      </c>
      <c r="B392">
        <v>98</v>
      </c>
    </row>
    <row r="393" spans="1:2">
      <c r="A393" s="1">
        <v>53735</v>
      </c>
      <c r="B393">
        <v>93</v>
      </c>
    </row>
    <row r="394" spans="1:2">
      <c r="A394" s="1">
        <v>53765</v>
      </c>
      <c r="B394">
        <v>104</v>
      </c>
    </row>
    <row r="395" spans="1:2">
      <c r="A395" s="1">
        <v>53795</v>
      </c>
      <c r="B395">
        <v>100</v>
      </c>
    </row>
    <row r="396" spans="1:2">
      <c r="A396" s="1">
        <v>53825</v>
      </c>
      <c r="B396">
        <v>89</v>
      </c>
    </row>
    <row r="397" spans="1:2">
      <c r="A397" s="1">
        <v>53855</v>
      </c>
      <c r="B397">
        <v>86</v>
      </c>
    </row>
    <row r="398" spans="1:2">
      <c r="A398" s="1">
        <v>53885</v>
      </c>
      <c r="B398">
        <v>93</v>
      </c>
    </row>
    <row r="399" spans="1:2">
      <c r="A399" s="1">
        <v>53915</v>
      </c>
      <c r="B399">
        <v>104</v>
      </c>
    </row>
    <row r="400" spans="1:2">
      <c r="A400" s="1">
        <v>53945</v>
      </c>
      <c r="B400">
        <v>91</v>
      </c>
    </row>
    <row r="401" spans="1:2">
      <c r="A401" s="1">
        <v>53975</v>
      </c>
      <c r="B401">
        <v>113</v>
      </c>
    </row>
    <row r="402" spans="1:2">
      <c r="A402" s="1">
        <v>54005</v>
      </c>
      <c r="B402">
        <v>103</v>
      </c>
    </row>
    <row r="403" spans="1:2">
      <c r="A403" s="1">
        <v>54035</v>
      </c>
      <c r="B403">
        <v>98</v>
      </c>
    </row>
    <row r="404" spans="1:2">
      <c r="A404" s="1">
        <v>54065</v>
      </c>
      <c r="B404">
        <v>100</v>
      </c>
    </row>
    <row r="405" spans="1:2">
      <c r="A405" s="1">
        <v>54095</v>
      </c>
      <c r="B405">
        <v>89</v>
      </c>
    </row>
    <row r="406" spans="1:2">
      <c r="A406" s="1">
        <v>54125</v>
      </c>
      <c r="B406">
        <v>83</v>
      </c>
    </row>
    <row r="407" spans="1:2">
      <c r="A407" s="1">
        <v>54155</v>
      </c>
      <c r="B407">
        <v>92</v>
      </c>
    </row>
    <row r="408" spans="1:2">
      <c r="A408" s="1">
        <v>54185</v>
      </c>
      <c r="B408">
        <v>81</v>
      </c>
    </row>
    <row r="409" spans="1:2">
      <c r="A409" s="1">
        <v>54215</v>
      </c>
      <c r="B409">
        <v>91</v>
      </c>
    </row>
    <row r="410" spans="1:2">
      <c r="A410" s="1">
        <v>54245</v>
      </c>
      <c r="B410">
        <v>102</v>
      </c>
    </row>
    <row r="411" spans="1:2">
      <c r="A411" s="1">
        <v>54275</v>
      </c>
      <c r="B411">
        <v>107</v>
      </c>
    </row>
    <row r="412" spans="1:2">
      <c r="A412" s="1">
        <v>54305</v>
      </c>
      <c r="B412">
        <v>103</v>
      </c>
    </row>
    <row r="413" spans="1:2">
      <c r="A413" s="1">
        <v>54335</v>
      </c>
      <c r="B413">
        <v>100</v>
      </c>
    </row>
    <row r="414" spans="1:2">
      <c r="A414" s="1">
        <v>54365</v>
      </c>
      <c r="B414">
        <v>97</v>
      </c>
    </row>
    <row r="415" spans="1:2">
      <c r="A415" s="1">
        <v>54395</v>
      </c>
      <c r="B415">
        <v>85</v>
      </c>
    </row>
    <row r="416" spans="1:2">
      <c r="A416" s="1">
        <v>54425</v>
      </c>
      <c r="B416">
        <v>107</v>
      </c>
    </row>
    <row r="417" spans="1:2">
      <c r="A417" s="1">
        <v>54455</v>
      </c>
      <c r="B417">
        <v>106</v>
      </c>
    </row>
    <row r="418" spans="1:2">
      <c r="A418" s="1">
        <v>54485</v>
      </c>
      <c r="B418">
        <v>92</v>
      </c>
    </row>
    <row r="419" spans="1:2">
      <c r="A419" s="1">
        <v>54515</v>
      </c>
      <c r="B419">
        <v>110</v>
      </c>
    </row>
    <row r="420" spans="1:2">
      <c r="A420" s="1">
        <v>54545</v>
      </c>
      <c r="B420">
        <v>93</v>
      </c>
    </row>
    <row r="421" spans="1:2">
      <c r="A421" s="1">
        <v>54575</v>
      </c>
      <c r="B421">
        <v>104</v>
      </c>
    </row>
    <row r="422" spans="1:2">
      <c r="A422" s="1">
        <v>54605</v>
      </c>
      <c r="B422">
        <v>117</v>
      </c>
    </row>
    <row r="423" spans="1:2">
      <c r="A423" s="1">
        <v>54635</v>
      </c>
      <c r="B423">
        <v>122</v>
      </c>
    </row>
    <row r="424" spans="1:2">
      <c r="A424" s="1">
        <v>54665</v>
      </c>
      <c r="B424">
        <v>90</v>
      </c>
    </row>
    <row r="425" spans="1:2">
      <c r="A425" s="1">
        <v>54695</v>
      </c>
      <c r="B425">
        <v>113</v>
      </c>
    </row>
    <row r="426" spans="1:2">
      <c r="A426" s="1">
        <v>54725</v>
      </c>
      <c r="B426">
        <v>110</v>
      </c>
    </row>
    <row r="427" spans="1:2">
      <c r="A427" s="1">
        <v>54755</v>
      </c>
      <c r="B427">
        <v>106</v>
      </c>
    </row>
    <row r="428" spans="1:2">
      <c r="A428" s="1">
        <v>54785</v>
      </c>
      <c r="B428">
        <v>92</v>
      </c>
    </row>
    <row r="429" spans="1:2">
      <c r="A429" s="1">
        <v>54815</v>
      </c>
      <c r="B429">
        <v>121</v>
      </c>
    </row>
    <row r="430" spans="1:2">
      <c r="A430" s="1">
        <v>54845</v>
      </c>
      <c r="B430">
        <v>89</v>
      </c>
    </row>
    <row r="431" spans="1:2">
      <c r="A431" s="1">
        <v>54875</v>
      </c>
      <c r="B431">
        <v>117</v>
      </c>
    </row>
    <row r="432" spans="1:2">
      <c r="A432" s="1">
        <v>54905</v>
      </c>
      <c r="B432">
        <v>106</v>
      </c>
    </row>
    <row r="433" spans="1:2">
      <c r="A433" s="1">
        <v>54935</v>
      </c>
      <c r="B433">
        <v>121</v>
      </c>
    </row>
    <row r="434" spans="1:2">
      <c r="A434" s="1">
        <v>54965</v>
      </c>
      <c r="B434">
        <v>95</v>
      </c>
    </row>
    <row r="435" spans="1:2">
      <c r="A435" s="1">
        <v>54995</v>
      </c>
      <c r="B435">
        <v>91</v>
      </c>
    </row>
    <row r="436" spans="1:2">
      <c r="A436" s="1">
        <v>55025</v>
      </c>
      <c r="B436">
        <v>82</v>
      </c>
    </row>
    <row r="437" spans="1:2">
      <c r="A437" s="1">
        <v>55055</v>
      </c>
      <c r="B437">
        <v>100</v>
      </c>
    </row>
    <row r="438" spans="1:2">
      <c r="A438" s="1">
        <v>55085</v>
      </c>
      <c r="B438">
        <v>81</v>
      </c>
    </row>
    <row r="439" spans="1:2">
      <c r="A439" s="1">
        <v>55115</v>
      </c>
      <c r="B439">
        <v>101</v>
      </c>
    </row>
    <row r="440" spans="1:2">
      <c r="A440" s="1">
        <v>55145</v>
      </c>
      <c r="B440">
        <v>95</v>
      </c>
    </row>
    <row r="441" spans="1:2">
      <c r="A441" s="1">
        <v>55175</v>
      </c>
      <c r="B441">
        <v>114</v>
      </c>
    </row>
    <row r="442" spans="1:2">
      <c r="A442" s="1">
        <v>55205</v>
      </c>
      <c r="B442">
        <v>92</v>
      </c>
    </row>
    <row r="443" spans="1:2">
      <c r="A443" s="1">
        <v>55235</v>
      </c>
      <c r="B443">
        <v>113</v>
      </c>
    </row>
    <row r="444" spans="1:2">
      <c r="A444" s="1">
        <v>55265</v>
      </c>
      <c r="B444">
        <v>113</v>
      </c>
    </row>
    <row r="445" spans="1:2">
      <c r="A445" s="1">
        <v>55295</v>
      </c>
      <c r="B445">
        <v>120</v>
      </c>
    </row>
    <row r="446" spans="1:2">
      <c r="A446" s="1">
        <v>55325</v>
      </c>
      <c r="B446">
        <v>108</v>
      </c>
    </row>
    <row r="447" spans="1:2">
      <c r="A447" s="1">
        <v>55355</v>
      </c>
      <c r="B447">
        <v>99</v>
      </c>
    </row>
    <row r="448" spans="1:2">
      <c r="A448" s="1">
        <v>55385</v>
      </c>
      <c r="B448">
        <v>108</v>
      </c>
    </row>
    <row r="449" spans="1:2">
      <c r="A449" s="1">
        <v>55415</v>
      </c>
      <c r="B449">
        <v>98</v>
      </c>
    </row>
    <row r="450" spans="1:2">
      <c r="A450" s="1">
        <v>55445</v>
      </c>
      <c r="B450">
        <v>92</v>
      </c>
    </row>
    <row r="451" spans="1:2">
      <c r="A451" s="1">
        <v>55475</v>
      </c>
      <c r="B451">
        <v>96</v>
      </c>
    </row>
    <row r="452" spans="1:2">
      <c r="A452" s="1">
        <v>55505</v>
      </c>
      <c r="B452">
        <v>94</v>
      </c>
    </row>
    <row r="453" spans="1:2">
      <c r="A453" s="1">
        <v>55535</v>
      </c>
      <c r="B453">
        <v>75</v>
      </c>
    </row>
    <row r="454" spans="1:2">
      <c r="A454" s="1">
        <v>55565</v>
      </c>
      <c r="B454">
        <v>97</v>
      </c>
    </row>
    <row r="455" spans="1:2">
      <c r="A455" s="1">
        <v>55595</v>
      </c>
      <c r="B455">
        <v>100</v>
      </c>
    </row>
    <row r="456" spans="1:2">
      <c r="A456" s="1">
        <v>55625</v>
      </c>
      <c r="B456">
        <v>98</v>
      </c>
    </row>
    <row r="457" spans="1:2">
      <c r="A457" s="1">
        <v>55655</v>
      </c>
      <c r="B457">
        <v>121</v>
      </c>
    </row>
    <row r="458" spans="1:2">
      <c r="A458" s="1">
        <v>55685</v>
      </c>
      <c r="B458">
        <v>103</v>
      </c>
    </row>
    <row r="459" spans="1:2">
      <c r="A459" s="1">
        <v>55715</v>
      </c>
      <c r="B459">
        <v>121</v>
      </c>
    </row>
    <row r="460" spans="1:2">
      <c r="A460" s="1">
        <v>55745</v>
      </c>
      <c r="B460">
        <v>103</v>
      </c>
    </row>
    <row r="461" spans="1:2">
      <c r="A461" s="1">
        <v>55775</v>
      </c>
      <c r="B461">
        <v>91</v>
      </c>
    </row>
    <row r="462" spans="1:2">
      <c r="A462" s="1">
        <v>55805</v>
      </c>
      <c r="B462">
        <v>91</v>
      </c>
    </row>
    <row r="463" spans="1:2">
      <c r="A463" s="1">
        <v>55835</v>
      </c>
      <c r="B463">
        <v>107</v>
      </c>
    </row>
    <row r="464" spans="1:2">
      <c r="A464" s="1">
        <v>55865</v>
      </c>
      <c r="B464">
        <v>97</v>
      </c>
    </row>
    <row r="465" spans="1:2">
      <c r="A465" s="1">
        <v>55895</v>
      </c>
      <c r="B465">
        <v>106</v>
      </c>
    </row>
    <row r="466" spans="1:2">
      <c r="A466" s="1">
        <v>55925</v>
      </c>
      <c r="B466">
        <v>110</v>
      </c>
    </row>
    <row r="467" spans="1:2">
      <c r="A467" s="1">
        <v>55955</v>
      </c>
      <c r="B467">
        <v>91</v>
      </c>
    </row>
    <row r="468" spans="1:2">
      <c r="A468" s="1">
        <v>55985</v>
      </c>
      <c r="B468">
        <v>103</v>
      </c>
    </row>
    <row r="469" spans="1:2">
      <c r="A469" s="1">
        <v>56015</v>
      </c>
      <c r="B469">
        <v>84</v>
      </c>
    </row>
    <row r="470" spans="1:2">
      <c r="A470" s="1">
        <v>56045</v>
      </c>
      <c r="B470">
        <v>93</v>
      </c>
    </row>
    <row r="471" spans="1:2">
      <c r="A471" s="1">
        <v>56075</v>
      </c>
      <c r="B471">
        <v>113</v>
      </c>
    </row>
    <row r="472" spans="1:2">
      <c r="A472" s="1">
        <v>56105</v>
      </c>
      <c r="B472">
        <v>105</v>
      </c>
    </row>
    <row r="473" spans="1:2">
      <c r="A473" s="1">
        <v>56135</v>
      </c>
      <c r="B473">
        <v>83</v>
      </c>
    </row>
    <row r="474" spans="1:2">
      <c r="A474" s="1">
        <v>56165</v>
      </c>
      <c r="B474">
        <v>96</v>
      </c>
    </row>
    <row r="475" spans="1:2">
      <c r="A475" s="1">
        <v>56195</v>
      </c>
      <c r="B475">
        <v>107</v>
      </c>
    </row>
    <row r="476" spans="1:2">
      <c r="A476" s="1">
        <v>56225</v>
      </c>
      <c r="B476">
        <v>83</v>
      </c>
    </row>
    <row r="477" spans="1:2">
      <c r="A477" s="1">
        <v>56255</v>
      </c>
      <c r="B477">
        <v>105</v>
      </c>
    </row>
    <row r="478" spans="1:2">
      <c r="A478" s="1">
        <v>56285</v>
      </c>
      <c r="B478">
        <v>112</v>
      </c>
    </row>
    <row r="479" spans="1:2">
      <c r="A479" s="1">
        <v>56315</v>
      </c>
      <c r="B479">
        <v>99</v>
      </c>
    </row>
    <row r="480" spans="1:2">
      <c r="A480" s="1">
        <v>56345</v>
      </c>
      <c r="B480">
        <v>111</v>
      </c>
    </row>
    <row r="481" spans="1:2">
      <c r="A481" s="1">
        <v>56375</v>
      </c>
      <c r="B481">
        <v>105</v>
      </c>
    </row>
    <row r="482" spans="1:2">
      <c r="A482" s="1">
        <v>56405</v>
      </c>
      <c r="B482">
        <v>93</v>
      </c>
    </row>
    <row r="483" spans="1:2">
      <c r="A483" s="1">
        <v>56435</v>
      </c>
      <c r="B483">
        <v>109</v>
      </c>
    </row>
    <row r="484" spans="1:2">
      <c r="A484" s="1">
        <v>56465</v>
      </c>
      <c r="B484">
        <v>106</v>
      </c>
    </row>
    <row r="485" spans="1:2">
      <c r="A485" s="1">
        <v>56495</v>
      </c>
      <c r="B485">
        <v>106</v>
      </c>
    </row>
    <row r="486" spans="1:2">
      <c r="A486" s="1">
        <v>56525</v>
      </c>
      <c r="B486">
        <v>103</v>
      </c>
    </row>
    <row r="487" spans="1:2">
      <c r="A487" s="1">
        <v>56555</v>
      </c>
      <c r="B487">
        <v>113</v>
      </c>
    </row>
    <row r="488" spans="1:2">
      <c r="A488" s="1">
        <v>56585</v>
      </c>
      <c r="B488">
        <v>111</v>
      </c>
    </row>
    <row r="489" spans="1:2">
      <c r="A489" s="1">
        <v>56615</v>
      </c>
      <c r="B489">
        <v>92</v>
      </c>
    </row>
    <row r="490" spans="1:2">
      <c r="A490" s="1">
        <v>56645</v>
      </c>
      <c r="B490">
        <v>89</v>
      </c>
    </row>
    <row r="491" spans="1:2">
      <c r="A491" s="1">
        <v>56675</v>
      </c>
      <c r="B491">
        <v>111</v>
      </c>
    </row>
    <row r="492" spans="1:2">
      <c r="A492" s="1">
        <v>56705</v>
      </c>
      <c r="B492">
        <v>104</v>
      </c>
    </row>
    <row r="493" spans="1:2">
      <c r="A493" s="1">
        <v>56735</v>
      </c>
      <c r="B493">
        <v>108</v>
      </c>
    </row>
    <row r="494" spans="1:2">
      <c r="A494" s="1">
        <v>56765</v>
      </c>
      <c r="B494">
        <v>109</v>
      </c>
    </row>
    <row r="495" spans="1:2">
      <c r="A495" s="1">
        <v>56795</v>
      </c>
      <c r="B495">
        <v>108</v>
      </c>
    </row>
    <row r="496" spans="1:2">
      <c r="A496" s="1">
        <v>56825</v>
      </c>
      <c r="B496">
        <v>127</v>
      </c>
    </row>
    <row r="497" spans="1:5">
      <c r="A497" s="1">
        <v>56855</v>
      </c>
      <c r="B497">
        <v>104</v>
      </c>
    </row>
    <row r="498" spans="1:5">
      <c r="A498" s="1">
        <v>56885</v>
      </c>
      <c r="B498">
        <v>106</v>
      </c>
    </row>
    <row r="499" spans="1:5">
      <c r="A499" s="1">
        <v>56915</v>
      </c>
      <c r="B499">
        <v>94</v>
      </c>
    </row>
    <row r="500" spans="1:5">
      <c r="A500" s="1">
        <v>56945</v>
      </c>
      <c r="B500">
        <v>81</v>
      </c>
    </row>
    <row r="501" spans="1:5">
      <c r="A501" s="1">
        <v>56975</v>
      </c>
      <c r="B501">
        <v>95</v>
      </c>
      <c r="C501">
        <v>95</v>
      </c>
      <c r="D501" s="81">
        <v>95</v>
      </c>
      <c r="E501" s="81">
        <v>95</v>
      </c>
    </row>
    <row r="502" spans="1:5">
      <c r="A502" s="1">
        <v>57005</v>
      </c>
      <c r="C502">
        <f t="shared" ref="C502:C533" si="0">_xlfn.FORECAST.ETS(A502,$B$2:$B$501,$A$2:$A$501,1,1)</f>
        <v>95.001164196656717</v>
      </c>
      <c r="D502" s="81">
        <f t="shared" ref="D502:D533" si="1">C502-_xlfn.FORECAST.ETS.CONFINT(A502,$B$2:$B$501,$A$2:$A$501,0.95,1,1)</f>
        <v>74.499024808985268</v>
      </c>
      <c r="E502" s="81">
        <f t="shared" ref="E502:E533" si="2">C502+_xlfn.FORECAST.ETS.CONFINT(A502,$B$2:$B$501,$A$2:$A$501,0.95,1,1)</f>
        <v>115.50330358432817</v>
      </c>
    </row>
    <row r="503" spans="1:5">
      <c r="A503" s="1">
        <v>57035</v>
      </c>
      <c r="C503">
        <f t="shared" si="0"/>
        <v>95.002328393313562</v>
      </c>
      <c r="D503" s="81">
        <f t="shared" si="1"/>
        <v>74.395883174697175</v>
      </c>
      <c r="E503" s="81">
        <f t="shared" si="2"/>
        <v>115.60877361192995</v>
      </c>
    </row>
    <row r="504" spans="1:5">
      <c r="A504" s="1">
        <v>57065</v>
      </c>
      <c r="C504">
        <f t="shared" si="0"/>
        <v>95.003492589970293</v>
      </c>
      <c r="D504" s="81">
        <f t="shared" si="1"/>
        <v>74.291206907766608</v>
      </c>
      <c r="E504" s="81">
        <f t="shared" si="2"/>
        <v>115.71577827217398</v>
      </c>
    </row>
    <row r="505" spans="1:5">
      <c r="A505" s="1">
        <v>57095</v>
      </c>
      <c r="C505">
        <f t="shared" si="0"/>
        <v>95.004656786627137</v>
      </c>
      <c r="D505" s="81">
        <f t="shared" si="1"/>
        <v>74.184999223470797</v>
      </c>
      <c r="E505" s="81">
        <f t="shared" si="2"/>
        <v>115.82431434978348</v>
      </c>
    </row>
    <row r="506" spans="1:5">
      <c r="A506" s="1">
        <v>57125</v>
      </c>
      <c r="C506">
        <f t="shared" si="0"/>
        <v>95.005820983283868</v>
      </c>
      <c r="D506" s="81">
        <f t="shared" si="1"/>
        <v>74.077263607752784</v>
      </c>
      <c r="E506" s="81">
        <f t="shared" si="2"/>
        <v>115.93437835881495</v>
      </c>
    </row>
    <row r="507" spans="1:5">
      <c r="A507" s="1">
        <v>57155</v>
      </c>
      <c r="C507">
        <f t="shared" si="0"/>
        <v>95.006985179940699</v>
      </c>
      <c r="D507" s="81">
        <f t="shared" si="1"/>
        <v>73.968003807781301</v>
      </c>
      <c r="E507" s="81">
        <f t="shared" si="2"/>
        <v>116.0459665521001</v>
      </c>
    </row>
    <row r="508" spans="1:5">
      <c r="A508" s="1">
        <v>57185</v>
      </c>
      <c r="C508">
        <f t="shared" si="0"/>
        <v>95.00814937659743</v>
      </c>
      <c r="D508" s="81">
        <f t="shared" si="1"/>
        <v>73.857223822521732</v>
      </c>
      <c r="E508" s="81">
        <f t="shared" si="2"/>
        <v>116.15907493067313</v>
      </c>
    </row>
    <row r="509" spans="1:5">
      <c r="A509" s="1">
        <v>57215</v>
      </c>
      <c r="C509">
        <f t="shared" si="0"/>
        <v>95.009313573254275</v>
      </c>
      <c r="D509" s="81">
        <f t="shared" si="1"/>
        <v>73.744927893336751</v>
      </c>
      <c r="E509" s="81">
        <f t="shared" si="2"/>
        <v>116.2736992531718</v>
      </c>
    </row>
    <row r="510" spans="1:5">
      <c r="A510" s="1">
        <v>57245</v>
      </c>
      <c r="C510">
        <f t="shared" si="0"/>
        <v>95.010477769911006</v>
      </c>
      <c r="D510" s="81">
        <f t="shared" si="1"/>
        <v>73.631120494627979</v>
      </c>
      <c r="E510" s="81">
        <f t="shared" si="2"/>
        <v>116.38983504519403</v>
      </c>
    </row>
    <row r="511" spans="1:5">
      <c r="A511" s="1">
        <v>57275</v>
      </c>
      <c r="C511">
        <f t="shared" si="0"/>
        <v>95.011641966567851</v>
      </c>
      <c r="D511" s="81">
        <f t="shared" si="1"/>
        <v>73.5158063245362</v>
      </c>
      <c r="E511" s="81">
        <f t="shared" si="2"/>
        <v>116.5074776085995</v>
      </c>
    </row>
    <row r="512" spans="1:5">
      <c r="A512" s="1">
        <v>57305</v>
      </c>
      <c r="C512">
        <f t="shared" si="0"/>
        <v>95.012806163224582</v>
      </c>
      <c r="D512" s="81">
        <f t="shared" si="1"/>
        <v>73.398990295709581</v>
      </c>
      <c r="E512" s="81">
        <f t="shared" si="2"/>
        <v>116.62662203073958</v>
      </c>
    </row>
    <row r="513" spans="1:5">
      <c r="A513" s="1">
        <v>57335</v>
      </c>
      <c r="C513">
        <f t="shared" si="0"/>
        <v>95.013970359881426</v>
      </c>
      <c r="D513" s="81">
        <f t="shared" si="1"/>
        <v>73.280677526156211</v>
      </c>
      <c r="E513" s="81">
        <f t="shared" si="2"/>
        <v>116.74726319360664</v>
      </c>
    </row>
    <row r="514" spans="1:5">
      <c r="A514" s="1">
        <v>57365</v>
      </c>
      <c r="C514">
        <f t="shared" si="0"/>
        <v>95.015134556538158</v>
      </c>
      <c r="D514" s="81">
        <f t="shared" si="1"/>
        <v>73.160873330189133</v>
      </c>
      <c r="E514" s="81">
        <f t="shared" si="2"/>
        <v>116.86939578288718</v>
      </c>
    </row>
    <row r="515" spans="1:5">
      <c r="A515" s="1">
        <v>57395</v>
      </c>
      <c r="C515">
        <f t="shared" si="0"/>
        <v>95.016298753195002</v>
      </c>
      <c r="D515" s="81">
        <f t="shared" si="1"/>
        <v>73.039583209478423</v>
      </c>
      <c r="E515" s="81">
        <f t="shared" si="2"/>
        <v>116.99301429691158</v>
      </c>
    </row>
    <row r="516" spans="1:5">
      <c r="A516" s="1">
        <v>57425</v>
      </c>
      <c r="C516">
        <f t="shared" si="0"/>
        <v>95.017462949851733</v>
      </c>
      <c r="D516" s="81">
        <f t="shared" si="1"/>
        <v>72.916812844217148</v>
      </c>
      <c r="E516" s="81">
        <f t="shared" si="2"/>
        <v>117.11811305548632</v>
      </c>
    </row>
    <row r="517" spans="1:5">
      <c r="A517" s="1">
        <v>57455</v>
      </c>
      <c r="C517">
        <f t="shared" si="0"/>
        <v>95.018627146508578</v>
      </c>
      <c r="D517" s="81">
        <f t="shared" si="1"/>
        <v>72.792568084414441</v>
      </c>
      <c r="E517" s="81">
        <f t="shared" si="2"/>
        <v>117.24468620860272</v>
      </c>
    </row>
    <row r="518" spans="1:5">
      <c r="A518" s="1">
        <v>57485</v>
      </c>
      <c r="C518">
        <f t="shared" si="0"/>
        <v>95.019791343165295</v>
      </c>
      <c r="D518" s="81">
        <f t="shared" si="1"/>
        <v>72.666854941320793</v>
      </c>
      <c r="E518" s="81">
        <f t="shared" si="2"/>
        <v>117.3727277450098</v>
      </c>
    </row>
    <row r="519" spans="1:5">
      <c r="A519" s="1">
        <v>57515</v>
      </c>
      <c r="C519">
        <f t="shared" si="0"/>
        <v>95.02095553982214</v>
      </c>
      <c r="D519" s="81">
        <f t="shared" si="1"/>
        <v>72.539679578997522</v>
      </c>
      <c r="E519" s="81">
        <f t="shared" si="2"/>
        <v>117.50223150064676</v>
      </c>
    </row>
    <row r="520" spans="1:5">
      <c r="A520" s="1">
        <v>57545</v>
      </c>
      <c r="C520">
        <f t="shared" si="0"/>
        <v>95.022119736478871</v>
      </c>
      <c r="D520" s="81">
        <f t="shared" si="1"/>
        <v>72.411048306034175</v>
      </c>
      <c r="E520" s="81">
        <f t="shared" si="2"/>
        <v>117.63319116692357</v>
      </c>
    </row>
    <row r="521" spans="1:5">
      <c r="A521" s="1">
        <v>57575</v>
      </c>
      <c r="C521">
        <f t="shared" si="0"/>
        <v>95.023283933135716</v>
      </c>
      <c r="D521" s="81">
        <f t="shared" si="1"/>
        <v>72.280967567424227</v>
      </c>
      <c r="E521" s="81">
        <f t="shared" si="2"/>
        <v>117.7656002988472</v>
      </c>
    </row>
    <row r="522" spans="1:5">
      <c r="A522" s="1">
        <v>57605</v>
      </c>
      <c r="C522">
        <f t="shared" si="0"/>
        <v>95.024448129792447</v>
      </c>
      <c r="D522" s="81">
        <f t="shared" si="1"/>
        <v>72.149443936601614</v>
      </c>
      <c r="E522" s="81">
        <f t="shared" si="2"/>
        <v>117.89945232298328</v>
      </c>
    </row>
    <row r="523" spans="1:5">
      <c r="A523" s="1">
        <v>57635</v>
      </c>
      <c r="C523">
        <f t="shared" si="0"/>
        <v>95.025612326449291</v>
      </c>
      <c r="D523" s="81">
        <f t="shared" si="1"/>
        <v>72.016484107647074</v>
      </c>
      <c r="E523" s="81">
        <f t="shared" si="2"/>
        <v>118.03474054525151</v>
      </c>
    </row>
    <row r="524" spans="1:5">
      <c r="A524" s="1">
        <v>57665</v>
      </c>
      <c r="C524">
        <f t="shared" si="0"/>
        <v>95.026776523106022</v>
      </c>
      <c r="D524" s="81">
        <f t="shared" si="1"/>
        <v>71.882094887665573</v>
      </c>
      <c r="E524" s="81">
        <f t="shared" si="2"/>
        <v>118.17145815854647</v>
      </c>
    </row>
    <row r="525" spans="1:5">
      <c r="A525" s="1">
        <v>57695</v>
      </c>
      <c r="C525">
        <f t="shared" si="0"/>
        <v>95.027940719762867</v>
      </c>
      <c r="D525" s="81">
        <f t="shared" si="1"/>
        <v>71.746283189342506</v>
      </c>
      <c r="E525" s="81">
        <f t="shared" si="2"/>
        <v>118.30959825018323</v>
      </c>
    </row>
    <row r="526" spans="1:5">
      <c r="A526" s="1">
        <v>57725</v>
      </c>
      <c r="C526">
        <f t="shared" si="0"/>
        <v>95.029104916419598</v>
      </c>
      <c r="D526" s="81">
        <f t="shared" si="1"/>
        <v>71.609056023678733</v>
      </c>
      <c r="E526" s="81">
        <f t="shared" si="2"/>
        <v>118.44915380916046</v>
      </c>
    </row>
    <row r="527" spans="1:5">
      <c r="A527" s="1">
        <v>57755</v>
      </c>
      <c r="C527">
        <f t="shared" si="0"/>
        <v>95.030269113076443</v>
      </c>
      <c r="D527" s="81">
        <f t="shared" si="1"/>
        <v>71.470420492910932</v>
      </c>
      <c r="E527" s="81">
        <f t="shared" si="2"/>
        <v>118.59011773324195</v>
      </c>
    </row>
    <row r="528" spans="1:5">
      <c r="A528" s="1">
        <v>57785</v>
      </c>
      <c r="C528">
        <f t="shared" si="0"/>
        <v>95.031433309733174</v>
      </c>
      <c r="D528" s="81">
        <f t="shared" si="1"/>
        <v>71.330383783616298</v>
      </c>
      <c r="E528" s="81">
        <f t="shared" si="2"/>
        <v>118.73248283585005</v>
      </c>
    </row>
    <row r="529" spans="1:5">
      <c r="A529" s="1">
        <v>57815</v>
      </c>
      <c r="C529">
        <f t="shared" si="0"/>
        <v>95.032597506390005</v>
      </c>
      <c r="D529" s="81">
        <f t="shared" si="1"/>
        <v>71.188953160007031</v>
      </c>
      <c r="E529" s="81">
        <f t="shared" si="2"/>
        <v>118.87624185277298</v>
      </c>
    </row>
    <row r="530" spans="1:5">
      <c r="A530" s="1">
        <v>57845</v>
      </c>
      <c r="C530">
        <f t="shared" si="0"/>
        <v>95.033761703046736</v>
      </c>
      <c r="D530" s="81">
        <f t="shared" si="1"/>
        <v>71.046135957412346</v>
      </c>
      <c r="E530" s="81">
        <f t="shared" si="2"/>
        <v>119.02138744868112</v>
      </c>
    </row>
    <row r="531" spans="1:5">
      <c r="A531" s="1">
        <v>57875</v>
      </c>
      <c r="C531">
        <f t="shared" si="0"/>
        <v>95.03492589970358</v>
      </c>
      <c r="D531" s="81">
        <f t="shared" si="1"/>
        <v>70.901939575952696</v>
      </c>
      <c r="E531" s="81">
        <f t="shared" si="2"/>
        <v>119.16791222345446</v>
      </c>
    </row>
    <row r="532" spans="1:5">
      <c r="A532" s="1">
        <v>57905</v>
      </c>
      <c r="C532">
        <f t="shared" si="0"/>
        <v>95.036090096360311</v>
      </c>
      <c r="D532" s="81">
        <f t="shared" si="1"/>
        <v>70.756371474403096</v>
      </c>
      <c r="E532" s="81">
        <f t="shared" si="2"/>
        <v>119.31580871831753</v>
      </c>
    </row>
    <row r="533" spans="1:5">
      <c r="A533" s="1">
        <v>57935</v>
      </c>
      <c r="C533">
        <f t="shared" si="0"/>
        <v>95.037254293017156</v>
      </c>
      <c r="D533" s="81">
        <f t="shared" si="1"/>
        <v>70.609439164249167</v>
      </c>
      <c r="E533" s="81">
        <f t="shared" si="2"/>
        <v>119.46506942178515</v>
      </c>
    </row>
    <row r="534" spans="1:5">
      <c r="A534" s="1">
        <v>57965</v>
      </c>
      <c r="C534">
        <f t="shared" ref="C534:C565" si="3">_xlfn.FORECAST.ETS(A534,$B$2:$B$501,$A$2:$A$501,1,1)</f>
        <v>95.038418489673887</v>
      </c>
      <c r="D534" s="81">
        <f t="shared" ref="D534:D565" si="4">C534-_xlfn.FORECAST.ETS.CONFINT(A534,$B$2:$B$501,$A$2:$A$501,0.95,1,1)</f>
        <v>70.461150203931908</v>
      </c>
      <c r="E534" s="81">
        <f t="shared" ref="E534:E565" si="5">C534+_xlfn.FORECAST.ETS.CONFINT(A534,$B$2:$B$501,$A$2:$A$501,0.95,1,1)</f>
        <v>119.61568677541587</v>
      </c>
    </row>
    <row r="535" spans="1:5">
      <c r="A535" s="1">
        <v>57995</v>
      </c>
      <c r="C535">
        <f t="shared" si="3"/>
        <v>95.039582686330732</v>
      </c>
      <c r="D535" s="81">
        <f t="shared" si="4"/>
        <v>70.311512193284386</v>
      </c>
      <c r="E535" s="81">
        <f t="shared" si="5"/>
        <v>119.76765317937708</v>
      </c>
    </row>
    <row r="536" spans="1:5">
      <c r="A536" s="1">
        <v>58025</v>
      </c>
      <c r="C536">
        <f t="shared" si="3"/>
        <v>95.040746882987463</v>
      </c>
      <c r="D536" s="81">
        <f t="shared" si="4"/>
        <v>70.160532768155178</v>
      </c>
      <c r="E536" s="81">
        <f t="shared" si="5"/>
        <v>119.92096099781975</v>
      </c>
    </row>
    <row r="537" spans="1:5">
      <c r="A537" s="1">
        <v>58055</v>
      </c>
      <c r="C537">
        <f t="shared" si="3"/>
        <v>95.041911079644308</v>
      </c>
      <c r="D537" s="81">
        <f t="shared" si="4"/>
        <v>70.008219595221391</v>
      </c>
      <c r="E537" s="81">
        <f t="shared" si="5"/>
        <v>120.07560256406722</v>
      </c>
    </row>
    <row r="538" spans="1:5">
      <c r="A538" s="1">
        <v>58085</v>
      </c>
      <c r="C538">
        <f t="shared" si="3"/>
        <v>95.043075276301039</v>
      </c>
      <c r="D538" s="81">
        <f t="shared" si="4"/>
        <v>69.85458036698553</v>
      </c>
      <c r="E538" s="81">
        <f t="shared" si="5"/>
        <v>120.23157018561655</v>
      </c>
    </row>
    <row r="539" spans="1:5">
      <c r="A539" s="1">
        <v>58115</v>
      </c>
      <c r="C539">
        <f t="shared" si="3"/>
        <v>95.044239472957884</v>
      </c>
      <c r="D539" s="81">
        <f t="shared" si="4"/>
        <v>69.699622796957954</v>
      </c>
      <c r="E539" s="81">
        <f t="shared" si="5"/>
        <v>120.38885614895781</v>
      </c>
    </row>
    <row r="540" spans="1:5">
      <c r="A540" s="1">
        <v>58145</v>
      </c>
      <c r="C540">
        <f t="shared" si="3"/>
        <v>95.045403669614601</v>
      </c>
      <c r="D540" s="81">
        <f t="shared" si="4"/>
        <v>69.543354615019211</v>
      </c>
      <c r="E540" s="81">
        <f t="shared" si="5"/>
        <v>120.54745272420999</v>
      </c>
    </row>
    <row r="541" spans="1:5">
      <c r="A541" s="1">
        <v>58175</v>
      </c>
      <c r="C541">
        <f t="shared" si="3"/>
        <v>95.046567866271445</v>
      </c>
      <c r="D541" s="81">
        <f t="shared" si="4"/>
        <v>69.385783562963439</v>
      </c>
      <c r="E541" s="81">
        <f t="shared" si="5"/>
        <v>120.70735216957945</v>
      </c>
    </row>
    <row r="542" spans="1:5">
      <c r="A542" s="1">
        <v>58205</v>
      </c>
      <c r="C542">
        <f t="shared" si="3"/>
        <v>95.047732062928176</v>
      </c>
      <c r="D542" s="81">
        <f t="shared" si="4"/>
        <v>69.226917390216158</v>
      </c>
      <c r="E542" s="81">
        <f t="shared" si="5"/>
        <v>120.86854673564019</v>
      </c>
    </row>
    <row r="543" spans="1:5">
      <c r="A543" s="1">
        <v>58235</v>
      </c>
      <c r="C543">
        <f t="shared" si="3"/>
        <v>95.048896259585021</v>
      </c>
      <c r="D543" s="81">
        <f t="shared" si="4"/>
        <v>69.066763849727792</v>
      </c>
      <c r="E543" s="81">
        <f t="shared" si="5"/>
        <v>121.03102866944225</v>
      </c>
    </row>
    <row r="544" spans="1:5">
      <c r="A544" s="1">
        <v>58265</v>
      </c>
      <c r="C544">
        <f t="shared" si="3"/>
        <v>95.050060456241752</v>
      </c>
      <c r="D544" s="81">
        <f t="shared" si="4"/>
        <v>68.905330694035825</v>
      </c>
      <c r="E544" s="81">
        <f t="shared" si="5"/>
        <v>121.19479021844768</v>
      </c>
    </row>
    <row r="545" spans="1:5">
      <c r="A545" s="1">
        <v>58295</v>
      </c>
      <c r="C545">
        <f t="shared" si="3"/>
        <v>95.051224652898597</v>
      </c>
      <c r="D545" s="81">
        <f t="shared" si="4"/>
        <v>68.742625671496157</v>
      </c>
      <c r="E545" s="81">
        <f t="shared" si="5"/>
        <v>121.35982363430104</v>
      </c>
    </row>
    <row r="546" spans="1:5">
      <c r="A546" s="1">
        <v>58325</v>
      </c>
      <c r="C546">
        <f t="shared" si="3"/>
        <v>95.052388849555328</v>
      </c>
      <c r="D546" s="81">
        <f t="shared" si="4"/>
        <v>68.578656522676852</v>
      </c>
      <c r="E546" s="81">
        <f t="shared" si="5"/>
        <v>121.5261211764338</v>
      </c>
    </row>
    <row r="547" spans="1:5">
      <c r="A547" s="1">
        <v>58355</v>
      </c>
      <c r="C547">
        <f t="shared" si="3"/>
        <v>95.053553046212173</v>
      </c>
      <c r="D547" s="81">
        <f t="shared" si="4"/>
        <v>68.413430976914157</v>
      </c>
      <c r="E547" s="81">
        <f t="shared" si="5"/>
        <v>121.69367511551019</v>
      </c>
    </row>
    <row r="548" spans="1:5">
      <c r="A548" s="1">
        <v>58385</v>
      </c>
      <c r="C548">
        <f t="shared" si="3"/>
        <v>95.054717242868904</v>
      </c>
      <c r="D548" s="81">
        <f t="shared" si="4"/>
        <v>68.246956749023951</v>
      </c>
      <c r="E548" s="81">
        <f t="shared" si="5"/>
        <v>121.86247773671386</v>
      </c>
    </row>
    <row r="549" spans="1:5">
      <c r="A549" s="1">
        <v>58415</v>
      </c>
      <c r="C549">
        <f t="shared" si="3"/>
        <v>95.055881439525749</v>
      </c>
      <c r="D549" s="81">
        <f t="shared" si="4"/>
        <v>68.079241536168354</v>
      </c>
      <c r="E549" s="81">
        <f t="shared" si="5"/>
        <v>122.03252134288314</v>
      </c>
    </row>
    <row r="550" spans="1:5">
      <c r="A550" s="1">
        <v>58445</v>
      </c>
      <c r="C550">
        <f t="shared" si="3"/>
        <v>95.05704563618248</v>
      </c>
      <c r="D550" s="81">
        <f t="shared" si="4"/>
        <v>67.910293014870334</v>
      </c>
      <c r="E550" s="81">
        <f t="shared" si="5"/>
        <v>122.20379825749463</v>
      </c>
    </row>
    <row r="551" spans="1:5">
      <c r="A551" s="1">
        <v>58475</v>
      </c>
      <c r="C551">
        <f t="shared" si="3"/>
        <v>95.05820983283931</v>
      </c>
      <c r="D551" s="81">
        <f t="shared" si="4"/>
        <v>67.740118838175988</v>
      </c>
      <c r="E551" s="81">
        <f t="shared" si="5"/>
        <v>122.37630082750263</v>
      </c>
    </row>
    <row r="552" spans="1:5">
      <c r="A552" s="1">
        <v>58505</v>
      </c>
      <c r="C552">
        <f t="shared" si="3"/>
        <v>95.059374029496041</v>
      </c>
      <c r="D552" s="81">
        <f t="shared" si="4"/>
        <v>67.56872663295745</v>
      </c>
      <c r="E552" s="81">
        <f t="shared" si="5"/>
        <v>122.55002142603463</v>
      </c>
    </row>
    <row r="553" spans="1:5">
      <c r="A553" s="1">
        <v>58535</v>
      </c>
      <c r="C553">
        <f t="shared" si="3"/>
        <v>95.060538226152886</v>
      </c>
      <c r="D553" s="81">
        <f t="shared" si="4"/>
        <v>67.396123997355559</v>
      </c>
      <c r="E553" s="81">
        <f t="shared" si="5"/>
        <v>122.72495245495021</v>
      </c>
    </row>
    <row r="554" spans="1:5">
      <c r="A554" s="1">
        <v>58565</v>
      </c>
      <c r="C554">
        <f t="shared" si="3"/>
        <v>95.061702422809617</v>
      </c>
      <c r="D554" s="81">
        <f t="shared" si="4"/>
        <v>67.22231849835552</v>
      </c>
      <c r="E554" s="81">
        <f t="shared" si="5"/>
        <v>122.90108634726371</v>
      </c>
    </row>
    <row r="555" spans="1:5">
      <c r="A555" s="1">
        <v>58595</v>
      </c>
      <c r="C555">
        <f t="shared" si="3"/>
        <v>95.062866619466462</v>
      </c>
      <c r="D555" s="81">
        <f t="shared" si="4"/>
        <v>67.047317669494731</v>
      </c>
      <c r="E555" s="81">
        <f t="shared" si="5"/>
        <v>123.07841556943819</v>
      </c>
    </row>
    <row r="556" spans="1:5">
      <c r="A556" s="1">
        <v>58625</v>
      </c>
      <c r="C556">
        <f t="shared" si="3"/>
        <v>95.064030816123193</v>
      </c>
      <c r="D556" s="81">
        <f t="shared" si="4"/>
        <v>66.871129008695704</v>
      </c>
      <c r="E556" s="81">
        <f t="shared" si="5"/>
        <v>123.25693262355068</v>
      </c>
    </row>
    <row r="557" spans="1:5">
      <c r="A557" s="1">
        <v>58655</v>
      </c>
      <c r="C557">
        <f t="shared" si="3"/>
        <v>95.065195012780038</v>
      </c>
      <c r="D557" s="81">
        <f t="shared" si="4"/>
        <v>66.693759976223433</v>
      </c>
      <c r="E557" s="81">
        <f t="shared" si="5"/>
        <v>123.43663004933664</v>
      </c>
    </row>
    <row r="558" spans="1:5">
      <c r="A558" s="1">
        <v>58685</v>
      </c>
      <c r="C558">
        <f t="shared" si="3"/>
        <v>95.066359209436769</v>
      </c>
      <c r="D558" s="81">
        <f t="shared" si="4"/>
        <v>66.515217992760157</v>
      </c>
      <c r="E558" s="81">
        <f t="shared" si="5"/>
        <v>123.61750042611338</v>
      </c>
    </row>
    <row r="559" spans="1:5">
      <c r="A559" s="1">
        <v>58715</v>
      </c>
      <c r="C559">
        <f t="shared" si="3"/>
        <v>95.067523406093613</v>
      </c>
      <c r="D559" s="81">
        <f t="shared" si="4"/>
        <v>66.335510437596895</v>
      </c>
      <c r="E559" s="81">
        <f t="shared" si="5"/>
        <v>123.79953637459033</v>
      </c>
    </row>
    <row r="560" spans="1:5">
      <c r="A560" s="1">
        <v>58745</v>
      </c>
      <c r="C560">
        <f t="shared" si="3"/>
        <v>95.068687602750344</v>
      </c>
      <c r="D560" s="81">
        <f t="shared" si="4"/>
        <v>66.154644646934742</v>
      </c>
      <c r="E560" s="81">
        <f t="shared" si="5"/>
        <v>123.98273055856595</v>
      </c>
    </row>
    <row r="561" spans="1:5">
      <c r="A561" s="1">
        <v>58775</v>
      </c>
      <c r="C561">
        <f t="shared" si="3"/>
        <v>95.069851799407189</v>
      </c>
      <c r="D561" s="81">
        <f t="shared" si="4"/>
        <v>65.972627912295394</v>
      </c>
      <c r="E561" s="81">
        <f t="shared" si="5"/>
        <v>124.16707568651898</v>
      </c>
    </row>
    <row r="562" spans="1:5">
      <c r="A562" s="1">
        <v>58805</v>
      </c>
      <c r="C562">
        <f t="shared" si="3"/>
        <v>95.07101599606392</v>
      </c>
      <c r="D562" s="81">
        <f t="shared" si="4"/>
        <v>65.789467479033945</v>
      </c>
      <c r="E562" s="81">
        <f t="shared" si="5"/>
        <v>124.3525645130939</v>
      </c>
    </row>
    <row r="563" spans="1:5">
      <c r="A563" s="1">
        <v>58835</v>
      </c>
      <c r="C563">
        <f t="shared" si="3"/>
        <v>95.072180192720751</v>
      </c>
      <c r="D563" s="81">
        <f t="shared" si="4"/>
        <v>65.605170544953623</v>
      </c>
      <c r="E563" s="81">
        <f t="shared" si="5"/>
        <v>124.53918984048788</v>
      </c>
    </row>
    <row r="564" spans="1:5">
      <c r="A564" s="1">
        <v>58865</v>
      </c>
      <c r="C564">
        <f t="shared" si="3"/>
        <v>95.073344389377482</v>
      </c>
      <c r="D564" s="81">
        <f t="shared" si="4"/>
        <v>65.419744259015374</v>
      </c>
      <c r="E564" s="81">
        <f t="shared" si="5"/>
        <v>124.72694451973959</v>
      </c>
    </row>
    <row r="565" spans="1:5">
      <c r="A565" s="1">
        <v>58895</v>
      </c>
      <c r="C565">
        <f t="shared" si="3"/>
        <v>95.074508586034327</v>
      </c>
      <c r="D565" s="81">
        <f t="shared" si="4"/>
        <v>65.233195720142348</v>
      </c>
      <c r="E565" s="81">
        <f t="shared" si="5"/>
        <v>124.91582145192631</v>
      </c>
    </row>
    <row r="566" spans="1:5">
      <c r="A566" s="1">
        <v>58925</v>
      </c>
      <c r="C566">
        <f t="shared" ref="C566:C597" si="6">_xlfn.FORECAST.ETS(A566,$B$2:$B$501,$A$2:$A$501,1,1)</f>
        <v>95.075672782691058</v>
      </c>
      <c r="D566" s="81">
        <f t="shared" ref="D566:D597" si="7">C566-_xlfn.FORECAST.ETS.CONFINT(A566,$B$2:$B$501,$A$2:$A$501,0.95,1,1)</f>
        <v>65.045531976112159</v>
      </c>
      <c r="E566" s="81">
        <f t="shared" ref="E566:E597" si="8">C566+_xlfn.FORECAST.ETS.CONFINT(A566,$B$2:$B$501,$A$2:$A$501,0.95,1,1)</f>
        <v>125.10581358926996</v>
      </c>
    </row>
    <row r="567" spans="1:5">
      <c r="A567" s="1">
        <v>58955</v>
      </c>
      <c r="C567">
        <f t="shared" si="6"/>
        <v>95.076836979347902</v>
      </c>
      <c r="D567" s="81">
        <f t="shared" si="7"/>
        <v>64.856760022537088</v>
      </c>
      <c r="E567" s="81">
        <f t="shared" si="8"/>
        <v>125.29691393615872</v>
      </c>
    </row>
    <row r="568" spans="1:5">
      <c r="A568" s="1">
        <v>58985</v>
      </c>
      <c r="C568">
        <f t="shared" si="6"/>
        <v>95.078001176004634</v>
      </c>
      <c r="D568" s="81">
        <f t="shared" si="7"/>
        <v>64.666886801925472</v>
      </c>
      <c r="E568" s="81">
        <f t="shared" si="8"/>
        <v>125.4891155500838</v>
      </c>
    </row>
    <row r="569" spans="1:5">
      <c r="A569" s="1">
        <v>59015</v>
      </c>
      <c r="C569">
        <f t="shared" si="6"/>
        <v>95.079165372661478</v>
      </c>
      <c r="D569" s="81">
        <f t="shared" si="7"/>
        <v>64.475919202824116</v>
      </c>
      <c r="E569" s="81">
        <f t="shared" si="8"/>
        <v>125.68241154249884</v>
      </c>
    </row>
    <row r="570" spans="1:5">
      <c r="A570" s="1">
        <v>59045</v>
      </c>
      <c r="C570">
        <f t="shared" si="6"/>
        <v>95.080329569318209</v>
      </c>
      <c r="D570" s="81">
        <f t="shared" si="7"/>
        <v>64.283864059035551</v>
      </c>
      <c r="E570" s="81">
        <f t="shared" si="8"/>
        <v>125.87679507960087</v>
      </c>
    </row>
    <row r="571" spans="1:5">
      <c r="A571" s="1">
        <v>59075</v>
      </c>
      <c r="C571">
        <f t="shared" si="6"/>
        <v>95.081493765975054</v>
      </c>
      <c r="D571" s="81">
        <f t="shared" si="7"/>
        <v>64.090728148910102</v>
      </c>
      <c r="E571" s="81">
        <f t="shared" si="8"/>
        <v>126.07225938304001</v>
      </c>
    </row>
    <row r="572" spans="1:5">
      <c r="A572" s="1">
        <v>59105</v>
      </c>
      <c r="C572">
        <f t="shared" si="6"/>
        <v>95.082657962631785</v>
      </c>
      <c r="D572" s="81">
        <f t="shared" si="7"/>
        <v>63.896518194706331</v>
      </c>
      <c r="E572" s="81">
        <f t="shared" si="8"/>
        <v>126.26879773055724</v>
      </c>
    </row>
    <row r="573" spans="1:5">
      <c r="A573" s="1">
        <v>59135</v>
      </c>
      <c r="C573">
        <f t="shared" si="6"/>
        <v>95.08382215928863</v>
      </c>
      <c r="D573" s="81">
        <f t="shared" si="7"/>
        <v>63.701240862020427</v>
      </c>
      <c r="E573" s="81">
        <f t="shared" si="8"/>
        <v>126.46640345655683</v>
      </c>
    </row>
    <row r="574" spans="1:5">
      <c r="A574" s="1">
        <v>59165</v>
      </c>
      <c r="C574">
        <f t="shared" si="6"/>
        <v>95.084986355945347</v>
      </c>
      <c r="D574" s="81">
        <f t="shared" si="7"/>
        <v>63.504902759278067</v>
      </c>
      <c r="E574" s="81">
        <f t="shared" si="8"/>
        <v>126.66506995261263</v>
      </c>
    </row>
    <row r="575" spans="1:5">
      <c r="A575" s="1">
        <v>59195</v>
      </c>
      <c r="C575">
        <f t="shared" si="6"/>
        <v>95.086150552602192</v>
      </c>
      <c r="D575" s="81">
        <f t="shared" si="7"/>
        <v>63.307510437289579</v>
      </c>
      <c r="E575" s="81">
        <f t="shared" si="8"/>
        <v>126.8647906679148</v>
      </c>
    </row>
    <row r="576" spans="1:5">
      <c r="A576" s="1">
        <v>59225</v>
      </c>
      <c r="C576">
        <f t="shared" si="6"/>
        <v>95.087314749258923</v>
      </c>
      <c r="D576" s="81">
        <f t="shared" si="7"/>
        <v>63.109070388861717</v>
      </c>
      <c r="E576" s="81">
        <f t="shared" si="8"/>
        <v>127.06555910965614</v>
      </c>
    </row>
    <row r="577" spans="1:5">
      <c r="A577" s="1">
        <v>59255</v>
      </c>
      <c r="C577">
        <f t="shared" si="6"/>
        <v>95.088478945915767</v>
      </c>
      <c r="D577" s="81">
        <f t="shared" si="7"/>
        <v>62.909589048467623</v>
      </c>
      <c r="E577" s="81">
        <f t="shared" si="8"/>
        <v>127.26736884336391</v>
      </c>
    </row>
    <row r="578" spans="1:5">
      <c r="A578" s="1">
        <v>59285</v>
      </c>
      <c r="C578">
        <f t="shared" si="6"/>
        <v>95.089643142572498</v>
      </c>
      <c r="D578" s="81">
        <f t="shared" si="7"/>
        <v>62.709072791968119</v>
      </c>
      <c r="E578" s="81">
        <f t="shared" si="8"/>
        <v>127.47021349317689</v>
      </c>
    </row>
    <row r="579" spans="1:5">
      <c r="A579" s="1">
        <v>59315</v>
      </c>
      <c r="C579">
        <f t="shared" si="6"/>
        <v>95.090807339229343</v>
      </c>
      <c r="D579" s="81">
        <f t="shared" si="7"/>
        <v>62.507527936385884</v>
      </c>
      <c r="E579" s="81">
        <f t="shared" si="8"/>
        <v>127.6740867420728</v>
      </c>
    </row>
    <row r="580" spans="1:5">
      <c r="A580" s="1">
        <v>59345</v>
      </c>
      <c r="C580">
        <f t="shared" si="6"/>
        <v>95.091971535886074</v>
      </c>
      <c r="D580" s="81">
        <f t="shared" si="7"/>
        <v>62.304960739726297</v>
      </c>
      <c r="E580" s="81">
        <f t="shared" si="8"/>
        <v>127.87898233204585</v>
      </c>
    </row>
    <row r="581" spans="1:5">
      <c r="A581" s="1">
        <v>59375</v>
      </c>
      <c r="C581">
        <f t="shared" si="6"/>
        <v>95.093135732542919</v>
      </c>
      <c r="D581" s="81">
        <f t="shared" si="7"/>
        <v>62.101377400846125</v>
      </c>
      <c r="E581" s="81">
        <f t="shared" si="8"/>
        <v>128.08489406423971</v>
      </c>
    </row>
    <row r="582" spans="1:5">
      <c r="A582" s="1">
        <v>59405</v>
      </c>
      <c r="C582">
        <f t="shared" si="6"/>
        <v>95.09429992919965</v>
      </c>
      <c r="D582" s="81">
        <f t="shared" si="7"/>
        <v>61.896784059364421</v>
      </c>
      <c r="E582" s="81">
        <f t="shared" si="8"/>
        <v>128.29181579903488</v>
      </c>
    </row>
    <row r="583" spans="1:5">
      <c r="A583" s="1">
        <v>59435</v>
      </c>
      <c r="C583">
        <f t="shared" si="6"/>
        <v>95.095464125856495</v>
      </c>
      <c r="D583" s="81">
        <f t="shared" si="7"/>
        <v>61.691186795616765</v>
      </c>
      <c r="E583" s="81">
        <f t="shared" si="8"/>
        <v>128.49974145609622</v>
      </c>
    </row>
    <row r="584" spans="1:5">
      <c r="A584" s="1">
        <v>59465</v>
      </c>
      <c r="C584">
        <f t="shared" si="6"/>
        <v>95.096628322513226</v>
      </c>
      <c r="D584" s="81">
        <f t="shared" si="7"/>
        <v>61.484591630647287</v>
      </c>
      <c r="E584" s="81">
        <f t="shared" si="8"/>
        <v>128.70866501437916</v>
      </c>
    </row>
    <row r="585" spans="1:5">
      <c r="A585" s="1">
        <v>59495</v>
      </c>
      <c r="C585">
        <f t="shared" si="6"/>
        <v>95.097792519170056</v>
      </c>
      <c r="D585" s="81">
        <f t="shared" si="7"/>
        <v>61.277004526239978</v>
      </c>
      <c r="E585" s="81">
        <f t="shared" si="8"/>
        <v>128.91858051210014</v>
      </c>
    </row>
    <row r="586" spans="1:5">
      <c r="A586" s="1">
        <v>59525</v>
      </c>
      <c r="C586">
        <f t="shared" si="6"/>
        <v>95.098956715826787</v>
      </c>
      <c r="D586" s="81">
        <f t="shared" si="7"/>
        <v>61.068431384983732</v>
      </c>
      <c r="E586" s="81">
        <f t="shared" si="8"/>
        <v>129.12948204666984</v>
      </c>
    </row>
    <row r="587" spans="1:5">
      <c r="A587" s="1">
        <v>59555</v>
      </c>
      <c r="C587">
        <f t="shared" si="6"/>
        <v>95.100120912483632</v>
      </c>
      <c r="D587" s="81">
        <f t="shared" si="7"/>
        <v>60.858878050372688</v>
      </c>
      <c r="E587" s="81">
        <f t="shared" si="8"/>
        <v>129.34136377459458</v>
      </c>
    </row>
    <row r="588" spans="1:5">
      <c r="A588" s="1">
        <v>59585</v>
      </c>
      <c r="C588">
        <f t="shared" si="6"/>
        <v>95.101285109140363</v>
      </c>
      <c r="D588" s="81">
        <f t="shared" si="7"/>
        <v>60.648350306936649</v>
      </c>
      <c r="E588" s="81">
        <f t="shared" si="8"/>
        <v>129.55421991134409</v>
      </c>
    </row>
    <row r="589" spans="1:5">
      <c r="A589" s="1">
        <v>59615</v>
      </c>
      <c r="C589">
        <f t="shared" si="6"/>
        <v>95.102449305797208</v>
      </c>
      <c r="D589" s="81">
        <f t="shared" si="7"/>
        <v>60.436853880403184</v>
      </c>
      <c r="E589" s="81">
        <f t="shared" si="8"/>
        <v>129.76804473119122</v>
      </c>
    </row>
    <row r="590" spans="1:5">
      <c r="A590" s="1">
        <v>59645</v>
      </c>
      <c r="C590">
        <f t="shared" si="6"/>
        <v>95.103613502453939</v>
      </c>
      <c r="D590" s="81">
        <f t="shared" si="7"/>
        <v>60.224394437886282</v>
      </c>
      <c r="E590" s="81">
        <f t="shared" si="8"/>
        <v>129.9828325670216</v>
      </c>
    </row>
    <row r="591" spans="1:5">
      <c r="A591" s="1">
        <v>59675</v>
      </c>
      <c r="C591">
        <f t="shared" si="6"/>
        <v>95.104777699110784</v>
      </c>
      <c r="D591" s="81">
        <f t="shared" si="7"/>
        <v>60.010977588103401</v>
      </c>
      <c r="E591" s="81">
        <f t="shared" si="8"/>
        <v>130.19857781011817</v>
      </c>
    </row>
    <row r="592" spans="1:5">
      <c r="A592" s="1">
        <v>59705</v>
      </c>
      <c r="C592">
        <f t="shared" si="6"/>
        <v>95.105941895767515</v>
      </c>
      <c r="D592" s="81">
        <f t="shared" si="7"/>
        <v>59.796608881615811</v>
      </c>
      <c r="E592" s="81">
        <f t="shared" si="8"/>
        <v>130.41527490991922</v>
      </c>
    </row>
    <row r="593" spans="1:5">
      <c r="A593" s="1">
        <v>59735</v>
      </c>
      <c r="C593">
        <f t="shared" si="6"/>
        <v>95.10710609242436</v>
      </c>
      <c r="D593" s="81">
        <f t="shared" si="7"/>
        <v>59.58129381109427</v>
      </c>
      <c r="E593" s="81">
        <f t="shared" si="8"/>
        <v>130.63291837375445</v>
      </c>
    </row>
    <row r="594" spans="1:5">
      <c r="A594" s="1">
        <v>59765</v>
      </c>
      <c r="C594">
        <f t="shared" si="6"/>
        <v>95.108270289081091</v>
      </c>
      <c r="D594" s="81">
        <f t="shared" si="7"/>
        <v>59.365037811604999</v>
      </c>
      <c r="E594" s="81">
        <f t="shared" si="8"/>
        <v>130.85150276655719</v>
      </c>
    </row>
    <row r="595" spans="1:5">
      <c r="A595" s="1">
        <v>59795</v>
      </c>
      <c r="C595">
        <f t="shared" si="6"/>
        <v>95.109434485737935</v>
      </c>
      <c r="D595" s="81">
        <f t="shared" si="7"/>
        <v>59.147846260918172</v>
      </c>
      <c r="E595" s="81">
        <f t="shared" si="8"/>
        <v>131.07102271055771</v>
      </c>
    </row>
    <row r="596" spans="1:5">
      <c r="A596" s="1">
        <v>59825</v>
      </c>
      <c r="C596">
        <f t="shared" si="6"/>
        <v>95.110598682394652</v>
      </c>
      <c r="D596" s="81">
        <f t="shared" si="7"/>
        <v>58.929724479833915</v>
      </c>
      <c r="E596" s="81">
        <f t="shared" si="8"/>
        <v>131.2914728849554</v>
      </c>
    </row>
    <row r="597" spans="1:5">
      <c r="A597" s="1">
        <v>59855</v>
      </c>
      <c r="C597">
        <f t="shared" si="6"/>
        <v>95.111762879051497</v>
      </c>
      <c r="D597" s="81">
        <f t="shared" si="7"/>
        <v>58.710677732528332</v>
      </c>
      <c r="E597" s="81">
        <f t="shared" si="8"/>
        <v>131.51284802557467</v>
      </c>
    </row>
    <row r="598" spans="1:5">
      <c r="A598" s="1">
        <v>59885</v>
      </c>
      <c r="C598">
        <f t="shared" ref="C598:C629" si="9">_xlfn.FORECAST.ETS(A598,$B$2:$B$501,$A$2:$A$501,1,1)</f>
        <v>95.112927075708228</v>
      </c>
      <c r="D598" s="81">
        <f t="shared" ref="D598:D629" si="10">C598-_xlfn.FORECAST.ETS.CONFINT(A598,$B$2:$B$501,$A$2:$A$501,0.95,1,1)</f>
        <v>58.490711226914378</v>
      </c>
      <c r="E598" s="81">
        <f t="shared" ref="E598:E629" si="11">C598+_xlfn.FORECAST.ETS.CONFINT(A598,$B$2:$B$501,$A$2:$A$501,0.95,1,1)</f>
        <v>131.73514292450207</v>
      </c>
    </row>
    <row r="599" spans="1:5">
      <c r="A599" s="1">
        <v>59915</v>
      </c>
      <c r="C599">
        <f t="shared" si="9"/>
        <v>95.114091272365073</v>
      </c>
      <c r="D599" s="81">
        <f t="shared" si="10"/>
        <v>58.269830115020412</v>
      </c>
      <c r="E599" s="81">
        <f t="shared" si="11"/>
        <v>131.95835242970975</v>
      </c>
    </row>
    <row r="600" spans="1:5">
      <c r="A600" s="1">
        <v>59945</v>
      </c>
      <c r="C600">
        <f t="shared" si="9"/>
        <v>95.115255469021804</v>
      </c>
      <c r="D600" s="81">
        <f t="shared" si="10"/>
        <v>58.048039493381303</v>
      </c>
      <c r="E600" s="81">
        <f t="shared" si="11"/>
        <v>132.1824714446623</v>
      </c>
    </row>
    <row r="601" spans="1:5">
      <c r="A601" s="1">
        <v>59975</v>
      </c>
      <c r="C601">
        <f t="shared" si="9"/>
        <v>95.116419665678649</v>
      </c>
      <c r="D601" s="81">
        <f t="shared" si="10"/>
        <v>57.825344403445065</v>
      </c>
      <c r="E601" s="81">
        <f t="shared" si="11"/>
        <v>132.40749492791224</v>
      </c>
    </row>
    <row r="602" spans="1:5">
      <c r="A602" s="1">
        <v>60005</v>
      </c>
      <c r="C602">
        <f t="shared" si="9"/>
        <v>95.11758386233538</v>
      </c>
      <c r="D602" s="81">
        <f t="shared" si="10"/>
        <v>57.601749831989878</v>
      </c>
      <c r="E602" s="81">
        <f t="shared" si="11"/>
        <v>132.63341789268088</v>
      </c>
    </row>
    <row r="603" spans="1:5">
      <c r="A603" s="1">
        <v>60035</v>
      </c>
      <c r="C603">
        <f t="shared" si="9"/>
        <v>95.118748058992225</v>
      </c>
      <c r="D603" s="81">
        <f t="shared" si="10"/>
        <v>57.377260711554555</v>
      </c>
      <c r="E603" s="81">
        <f t="shared" si="11"/>
        <v>132.86023540642989</v>
      </c>
    </row>
    <row r="604" spans="1:5">
      <c r="A604" s="1">
        <v>60065</v>
      </c>
      <c r="C604">
        <f t="shared" si="9"/>
        <v>95.119912255648956</v>
      </c>
      <c r="D604" s="81">
        <f t="shared" si="10"/>
        <v>57.151881920877656</v>
      </c>
      <c r="E604" s="81">
        <f t="shared" si="11"/>
        <v>133.08794259042025</v>
      </c>
    </row>
    <row r="605" spans="1:5">
      <c r="A605" s="1">
        <v>60095</v>
      </c>
      <c r="C605">
        <f t="shared" si="9"/>
        <v>95.1210764523058</v>
      </c>
      <c r="D605" s="81">
        <f t="shared" si="10"/>
        <v>56.925618285348108</v>
      </c>
      <c r="E605" s="81">
        <f t="shared" si="11"/>
        <v>133.31653461926351</v>
      </c>
    </row>
    <row r="606" spans="1:5">
      <c r="A606" s="1">
        <v>60125</v>
      </c>
      <c r="C606">
        <f t="shared" si="9"/>
        <v>95.122240648962531</v>
      </c>
      <c r="D606" s="81">
        <f t="shared" si="10"/>
        <v>56.698474577462704</v>
      </c>
      <c r="E606" s="81">
        <f t="shared" si="11"/>
        <v>133.54600672046234</v>
      </c>
    </row>
    <row r="607" spans="1:5">
      <c r="A607" s="1">
        <v>60155</v>
      </c>
      <c r="C607">
        <f t="shared" si="9"/>
        <v>95.123404845619362</v>
      </c>
      <c r="D607" s="81">
        <f t="shared" si="10"/>
        <v>56.470455517293438</v>
      </c>
      <c r="E607" s="81">
        <f t="shared" si="11"/>
        <v>133.77635417394529</v>
      </c>
    </row>
    <row r="608" spans="1:5">
      <c r="A608" s="1">
        <v>60185</v>
      </c>
      <c r="C608">
        <f t="shared" si="9"/>
        <v>95.124569042276093</v>
      </c>
      <c r="D608" s="81">
        <f t="shared" si="10"/>
        <v>56.241565772960278</v>
      </c>
      <c r="E608" s="81">
        <f t="shared" si="11"/>
        <v>134.0075723115919</v>
      </c>
    </row>
    <row r="609" spans="1:5">
      <c r="A609" s="1">
        <v>60215</v>
      </c>
      <c r="C609">
        <f t="shared" si="9"/>
        <v>95.125733238932938</v>
      </c>
      <c r="D609" s="81">
        <f t="shared" si="10"/>
        <v>56.01180996111205</v>
      </c>
      <c r="E609" s="81">
        <f t="shared" si="11"/>
        <v>134.23965651675383</v>
      </c>
    </row>
    <row r="610" spans="1:5">
      <c r="A610" s="1">
        <v>60245</v>
      </c>
      <c r="C610">
        <f t="shared" si="9"/>
        <v>95.126897435589669</v>
      </c>
      <c r="D610" s="81">
        <f t="shared" si="10"/>
        <v>55.781192647411402</v>
      </c>
      <c r="E610" s="81">
        <f t="shared" si="11"/>
        <v>134.47260222376792</v>
      </c>
    </row>
    <row r="611" spans="1:5">
      <c r="A611" s="1">
        <v>60275</v>
      </c>
      <c r="C611">
        <f t="shared" si="9"/>
        <v>95.128061632246514</v>
      </c>
      <c r="D611" s="81">
        <f t="shared" si="10"/>
        <v>55.549718347026634</v>
      </c>
      <c r="E611" s="81">
        <f t="shared" si="11"/>
        <v>134.70640491746639</v>
      </c>
    </row>
    <row r="612" spans="1:5">
      <c r="A612" s="1">
        <v>60305</v>
      </c>
      <c r="C612">
        <f t="shared" si="9"/>
        <v>95.129225828903245</v>
      </c>
      <c r="D612" s="81">
        <f t="shared" si="10"/>
        <v>55.317391525126141</v>
      </c>
      <c r="E612" s="81">
        <f t="shared" si="11"/>
        <v>134.94106013268035</v>
      </c>
    </row>
    <row r="613" spans="1:5">
      <c r="A613" s="1">
        <v>60335</v>
      </c>
      <c r="C613">
        <f t="shared" si="9"/>
        <v>95.130390025560089</v>
      </c>
      <c r="D613" s="81">
        <f t="shared" si="10"/>
        <v>55.084216597378536</v>
      </c>
      <c r="E613" s="81">
        <f t="shared" si="11"/>
        <v>135.17656345374164</v>
      </c>
    </row>
    <row r="614" spans="1:5">
      <c r="A614" s="1">
        <v>60365</v>
      </c>
      <c r="C614">
        <f t="shared" si="9"/>
        <v>95.13155422221682</v>
      </c>
      <c r="D614" s="81">
        <f t="shared" si="10"/>
        <v>54.850197930454229</v>
      </c>
      <c r="E614" s="81">
        <f t="shared" si="11"/>
        <v>135.4129105139794</v>
      </c>
    </row>
    <row r="615" spans="1:5">
      <c r="A615" s="1">
        <v>60395</v>
      </c>
      <c r="C615">
        <f t="shared" si="9"/>
        <v>95.132718418873665</v>
      </c>
      <c r="D615" s="81">
        <f t="shared" si="10"/>
        <v>54.615339842531576</v>
      </c>
      <c r="E615" s="81">
        <f t="shared" si="11"/>
        <v>135.65009699521576</v>
      </c>
    </row>
    <row r="616" spans="1:5">
      <c r="A616" s="1">
        <v>60425</v>
      </c>
      <c r="C616">
        <f t="shared" si="9"/>
        <v>95.133882615530396</v>
      </c>
      <c r="D616" s="81">
        <f t="shared" si="10"/>
        <v>54.379646603803444</v>
      </c>
      <c r="E616" s="81">
        <f t="shared" si="11"/>
        <v>135.88811862725734</v>
      </c>
    </row>
    <row r="617" spans="1:5">
      <c r="A617" s="1">
        <v>60455</v>
      </c>
      <c r="C617">
        <f t="shared" si="9"/>
        <v>95.135046812187241</v>
      </c>
      <c r="D617" s="81">
        <f t="shared" si="10"/>
        <v>54.143122436987284</v>
      </c>
      <c r="E617" s="81">
        <f t="shared" si="11"/>
        <v>136.1269711873872</v>
      </c>
    </row>
    <row r="618" spans="1:5">
      <c r="A618" s="1">
        <v>60485</v>
      </c>
      <c r="C618">
        <f t="shared" si="9"/>
        <v>95.136211008843958</v>
      </c>
      <c r="D618" s="81">
        <f t="shared" si="10"/>
        <v>53.905771517834701</v>
      </c>
      <c r="E618" s="81">
        <f t="shared" si="11"/>
        <v>136.36665049985322</v>
      </c>
    </row>
    <row r="619" spans="1:5">
      <c r="A619" s="1">
        <v>60515</v>
      </c>
      <c r="C619">
        <f t="shared" si="9"/>
        <v>95.137375205500803</v>
      </c>
      <c r="D619" s="81">
        <f t="shared" si="10"/>
        <v>53.667597975643766</v>
      </c>
      <c r="E619" s="81">
        <f t="shared" si="11"/>
        <v>136.60715243535785</v>
      </c>
    </row>
    <row r="620" spans="1:5">
      <c r="A620" s="1">
        <v>60545</v>
      </c>
      <c r="C620">
        <f t="shared" si="9"/>
        <v>95.138539402157534</v>
      </c>
      <c r="D620" s="81">
        <f t="shared" si="10"/>
        <v>53.428605893769713</v>
      </c>
      <c r="E620" s="81">
        <f t="shared" si="11"/>
        <v>136.84847291054535</v>
      </c>
    </row>
    <row r="621" spans="1:5">
      <c r="A621" s="1">
        <v>60575</v>
      </c>
      <c r="C621">
        <f t="shared" si="9"/>
        <v>95.139703598814378</v>
      </c>
      <c r="D621" s="81">
        <f t="shared" si="10"/>
        <v>53.18879931013776</v>
      </c>
      <c r="E621" s="81">
        <f t="shared" si="11"/>
        <v>137.09060788749099</v>
      </c>
    </row>
    <row r="622" spans="1:5">
      <c r="A622" s="1">
        <v>60605</v>
      </c>
      <c r="C622">
        <f t="shared" si="9"/>
        <v>95.14086779547111</v>
      </c>
      <c r="D622" s="81">
        <f t="shared" si="10"/>
        <v>52.94818221775364</v>
      </c>
      <c r="E622" s="81">
        <f t="shared" si="11"/>
        <v>137.33355337318858</v>
      </c>
    </row>
    <row r="623" spans="1:5">
      <c r="A623" s="1">
        <v>60635</v>
      </c>
      <c r="C623">
        <f t="shared" si="9"/>
        <v>95.142031992127954</v>
      </c>
      <c r="D623" s="81">
        <f t="shared" si="10"/>
        <v>52.706758565215345</v>
      </c>
      <c r="E623" s="81">
        <f t="shared" si="11"/>
        <v>137.57730541904056</v>
      </c>
    </row>
    <row r="624" spans="1:5">
      <c r="A624" s="1">
        <v>60665</v>
      </c>
      <c r="C624">
        <f t="shared" si="9"/>
        <v>95.143196188784685</v>
      </c>
      <c r="D624" s="81">
        <f t="shared" si="10"/>
        <v>52.464532257222004</v>
      </c>
      <c r="E624" s="81">
        <f t="shared" si="11"/>
        <v>137.82186012034737</v>
      </c>
    </row>
    <row r="625" spans="1:5">
      <c r="A625" s="1">
        <v>60695</v>
      </c>
      <c r="C625">
        <f t="shared" si="9"/>
        <v>95.14436038544153</v>
      </c>
      <c r="D625" s="81">
        <f t="shared" si="10"/>
        <v>52.221507155083373</v>
      </c>
      <c r="E625" s="81">
        <f t="shared" si="11"/>
        <v>138.06721361579969</v>
      </c>
    </row>
    <row r="626" spans="1:5">
      <c r="A626" s="1">
        <v>60725</v>
      </c>
      <c r="C626">
        <f t="shared" si="9"/>
        <v>95.145524582098261</v>
      </c>
      <c r="D626" s="81">
        <f t="shared" si="10"/>
        <v>51.977687077225831</v>
      </c>
      <c r="E626" s="81">
        <f t="shared" si="11"/>
        <v>138.3133620869707</v>
      </c>
    </row>
    <row r="627" spans="1:5">
      <c r="A627" s="1">
        <v>60755</v>
      </c>
      <c r="C627">
        <f t="shared" si="9"/>
        <v>95.146688778755106</v>
      </c>
      <c r="D627" s="81">
        <f t="shared" si="10"/>
        <v>51.733075799698462</v>
      </c>
      <c r="E627" s="81">
        <f t="shared" si="11"/>
        <v>138.56030175781174</v>
      </c>
    </row>
    <row r="628" spans="1:5">
      <c r="A628" s="1">
        <v>60785</v>
      </c>
      <c r="C628">
        <f t="shared" si="9"/>
        <v>95.147852975411837</v>
      </c>
      <c r="D628" s="81">
        <f t="shared" si="10"/>
        <v>51.487677056675068</v>
      </c>
      <c r="E628" s="81">
        <f t="shared" si="11"/>
        <v>138.80802889414861</v>
      </c>
    </row>
    <row r="629" spans="1:5">
      <c r="A629" s="1">
        <v>60815</v>
      </c>
      <c r="C629">
        <f t="shared" si="9"/>
        <v>95.149017172068667</v>
      </c>
      <c r="D629" s="81">
        <f t="shared" si="10"/>
        <v>51.241494540955792</v>
      </c>
      <c r="E629" s="81">
        <f t="shared" si="11"/>
        <v>139.05653980318155</v>
      </c>
    </row>
    <row r="630" spans="1:5">
      <c r="A630" s="1">
        <v>60845</v>
      </c>
      <c r="C630">
        <f t="shared" ref="C630:C635" si="12">_xlfn.FORECAST.ETS(A630,$B$2:$B$501,$A$2:$A$501,1,1)</f>
        <v>95.150181368725399</v>
      </c>
      <c r="D630" s="81">
        <f t="shared" ref="D630:D635" si="13">C630-_xlfn.FORECAST.ETS.CONFINT(A630,$B$2:$B$501,$A$2:$A$501,0.95,1,1)</f>
        <v>50.994531904464353</v>
      </c>
      <c r="E630" s="81">
        <f t="shared" ref="E630:E635" si="14">C630+_xlfn.FORECAST.ETS.CONFINT(A630,$B$2:$B$501,$A$2:$A$501,0.95,1,1)</f>
        <v>139.30583083298643</v>
      </c>
    </row>
    <row r="631" spans="1:5">
      <c r="A631" s="1">
        <v>60875</v>
      </c>
      <c r="C631">
        <f t="shared" si="12"/>
        <v>95.151345565382243</v>
      </c>
      <c r="D631" s="81">
        <f t="shared" si="13"/>
        <v>50.746792758744249</v>
      </c>
      <c r="E631" s="81">
        <f t="shared" si="14"/>
        <v>139.55589837202024</v>
      </c>
    </row>
    <row r="632" spans="1:5">
      <c r="A632" s="1">
        <v>60905</v>
      </c>
      <c r="C632">
        <f t="shared" si="12"/>
        <v>95.152509762038974</v>
      </c>
      <c r="D632" s="81">
        <f t="shared" si="13"/>
        <v>50.498280675450268</v>
      </c>
      <c r="E632" s="81">
        <f t="shared" si="14"/>
        <v>139.80673884862767</v>
      </c>
    </row>
    <row r="633" spans="1:5">
      <c r="A633" s="1">
        <v>60935</v>
      </c>
      <c r="C633">
        <f t="shared" si="12"/>
        <v>95.153673958695819</v>
      </c>
      <c r="D633" s="81">
        <f t="shared" si="13"/>
        <v>50.248999186838667</v>
      </c>
      <c r="E633" s="81">
        <f t="shared" si="14"/>
        <v>140.05834873055298</v>
      </c>
    </row>
    <row r="634" spans="1:5">
      <c r="A634" s="1">
        <v>60965</v>
      </c>
      <c r="C634">
        <f t="shared" si="12"/>
        <v>95.15483815535255</v>
      </c>
      <c r="D634" s="81">
        <f t="shared" si="13"/>
        <v>49.998951786252235</v>
      </c>
      <c r="E634" s="81">
        <f t="shared" si="14"/>
        <v>140.31072452445287</v>
      </c>
    </row>
    <row r="635" spans="1:5">
      <c r="A635" s="1">
        <v>60966</v>
      </c>
      <c r="C635">
        <f t="shared" si="12"/>
        <v>95.154876961907775</v>
      </c>
      <c r="D635" s="81">
        <f t="shared" si="13"/>
        <v>49.990568809036532</v>
      </c>
      <c r="E635" s="81">
        <f t="shared" si="14"/>
        <v>140.31918511477903</v>
      </c>
    </row>
  </sheetData>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465DB-8BC7-4F2B-9759-37D94F65D334}">
  <sheetPr codeName="Sheet31"/>
  <dimension ref="A1:L501"/>
  <sheetViews>
    <sheetView workbookViewId="0">
      <selection activeCell="D2" sqref="D2"/>
    </sheetView>
  </sheetViews>
  <sheetFormatPr defaultRowHeight="14.4"/>
  <cols>
    <col min="1" max="1" width="10.33203125" bestFit="1" customWidth="1"/>
    <col min="2" max="2" width="14.109375" customWidth="1"/>
    <col min="3" max="3" width="11.88671875" customWidth="1"/>
    <col min="4" max="4" width="16.109375" customWidth="1"/>
  </cols>
  <sheetData>
    <row r="1" spans="1:12">
      <c r="A1" s="16" t="s">
        <v>0</v>
      </c>
      <c r="B1" s="16" t="s">
        <v>1</v>
      </c>
      <c r="C1" s="16" t="s">
        <v>2</v>
      </c>
      <c r="D1" t="s">
        <v>178</v>
      </c>
    </row>
    <row r="2" spans="1:12">
      <c r="A2" s="53">
        <v>42005</v>
      </c>
      <c r="B2" s="14" t="s">
        <v>10</v>
      </c>
      <c r="C2" s="14">
        <v>96</v>
      </c>
      <c r="D2" t="str">
        <f>IF(B2=B1, C2 - C1, "")</f>
        <v/>
      </c>
    </row>
    <row r="3" spans="1:12">
      <c r="A3" s="54">
        <v>42035</v>
      </c>
      <c r="B3" s="15" t="s">
        <v>10</v>
      </c>
      <c r="C3" s="15">
        <v>107</v>
      </c>
      <c r="D3">
        <f t="shared" ref="D3:D66" si="0">IF(B3=B2, C3 - C2, "")</f>
        <v>11</v>
      </c>
      <c r="H3" t="s">
        <v>179</v>
      </c>
    </row>
    <row r="4" spans="1:12">
      <c r="A4" s="53">
        <v>42065</v>
      </c>
      <c r="B4" s="14" t="s">
        <v>11</v>
      </c>
      <c r="C4" s="14">
        <v>88</v>
      </c>
      <c r="D4" t="str">
        <f t="shared" si="0"/>
        <v/>
      </c>
    </row>
    <row r="5" spans="1:12">
      <c r="A5" s="54">
        <v>42095</v>
      </c>
      <c r="B5" s="15" t="s">
        <v>12</v>
      </c>
      <c r="C5" s="15">
        <v>103</v>
      </c>
      <c r="D5" t="str">
        <f t="shared" si="0"/>
        <v/>
      </c>
      <c r="H5" s="91" t="s">
        <v>180</v>
      </c>
    </row>
    <row r="6" spans="1:12">
      <c r="A6" s="53">
        <v>42125</v>
      </c>
      <c r="B6" s="14" t="s">
        <v>12</v>
      </c>
      <c r="C6" s="14">
        <v>111</v>
      </c>
      <c r="D6">
        <f t="shared" si="0"/>
        <v>8</v>
      </c>
    </row>
    <row r="7" spans="1:12">
      <c r="A7" s="54">
        <v>42155</v>
      </c>
      <c r="B7" s="15" t="s">
        <v>12</v>
      </c>
      <c r="C7" s="15">
        <v>90</v>
      </c>
      <c r="D7">
        <f t="shared" si="0"/>
        <v>-21</v>
      </c>
      <c r="H7" s="2" t="s">
        <v>181</v>
      </c>
      <c r="I7" s="2"/>
      <c r="J7" s="2"/>
      <c r="K7" s="2"/>
      <c r="L7" s="2"/>
    </row>
    <row r="8" spans="1:12">
      <c r="A8" s="53">
        <v>42185</v>
      </c>
      <c r="B8" s="14" t="s">
        <v>10</v>
      </c>
      <c r="C8" s="14">
        <v>94</v>
      </c>
      <c r="D8" t="str">
        <f t="shared" si="0"/>
        <v/>
      </c>
      <c r="H8" t="s">
        <v>182</v>
      </c>
    </row>
    <row r="9" spans="1:12">
      <c r="A9" s="54">
        <v>42215</v>
      </c>
      <c r="B9" s="15" t="s">
        <v>13</v>
      </c>
      <c r="C9" s="15">
        <v>98</v>
      </c>
      <c r="D9" t="str">
        <f t="shared" si="0"/>
        <v/>
      </c>
    </row>
    <row r="10" spans="1:12">
      <c r="A10" s="53">
        <v>42245</v>
      </c>
      <c r="B10" s="14" t="s">
        <v>10</v>
      </c>
      <c r="C10" s="14">
        <v>103</v>
      </c>
      <c r="D10" t="str">
        <f t="shared" si="0"/>
        <v/>
      </c>
    </row>
    <row r="11" spans="1:12">
      <c r="A11" s="54">
        <v>42275</v>
      </c>
      <c r="B11" s="15" t="s">
        <v>13</v>
      </c>
      <c r="C11" s="15">
        <v>94</v>
      </c>
      <c r="D11" t="str">
        <f t="shared" si="0"/>
        <v/>
      </c>
    </row>
    <row r="12" spans="1:12">
      <c r="A12" s="53">
        <v>42305</v>
      </c>
      <c r="B12" s="14" t="s">
        <v>14</v>
      </c>
      <c r="C12" s="14">
        <v>99</v>
      </c>
      <c r="D12" t="str">
        <f t="shared" si="0"/>
        <v/>
      </c>
    </row>
    <row r="13" spans="1:12">
      <c r="A13" s="54">
        <v>42335</v>
      </c>
      <c r="B13" s="15" t="s">
        <v>10</v>
      </c>
      <c r="C13" s="15">
        <v>90</v>
      </c>
      <c r="D13" t="str">
        <f t="shared" si="0"/>
        <v/>
      </c>
    </row>
    <row r="14" spans="1:12">
      <c r="A14" s="53">
        <v>42365</v>
      </c>
      <c r="B14" s="14" t="s">
        <v>10</v>
      </c>
      <c r="C14" s="14">
        <v>100</v>
      </c>
      <c r="D14">
        <f t="shared" si="0"/>
        <v>10</v>
      </c>
    </row>
    <row r="15" spans="1:12">
      <c r="A15" s="54">
        <v>42395</v>
      </c>
      <c r="B15" s="15" t="s">
        <v>10</v>
      </c>
      <c r="C15" s="15">
        <v>103</v>
      </c>
      <c r="D15">
        <f t="shared" si="0"/>
        <v>3</v>
      </c>
    </row>
    <row r="16" spans="1:12">
      <c r="A16" s="53">
        <v>42425</v>
      </c>
      <c r="B16" s="14" t="s">
        <v>12</v>
      </c>
      <c r="C16" s="14">
        <v>94</v>
      </c>
      <c r="D16" t="str">
        <f t="shared" si="0"/>
        <v/>
      </c>
    </row>
    <row r="17" spans="1:4">
      <c r="A17" s="54">
        <v>42455</v>
      </c>
      <c r="B17" s="15" t="s">
        <v>12</v>
      </c>
      <c r="C17" s="15">
        <v>105</v>
      </c>
      <c r="D17">
        <f t="shared" si="0"/>
        <v>11</v>
      </c>
    </row>
    <row r="18" spans="1:4">
      <c r="A18" s="53">
        <v>42485</v>
      </c>
      <c r="B18" s="14" t="s">
        <v>13</v>
      </c>
      <c r="C18" s="14">
        <v>86</v>
      </c>
      <c r="D18" t="str">
        <f t="shared" si="0"/>
        <v/>
      </c>
    </row>
    <row r="19" spans="1:4">
      <c r="A19" s="54">
        <v>42515</v>
      </c>
      <c r="B19" s="15" t="s">
        <v>13</v>
      </c>
      <c r="C19" s="15">
        <v>92</v>
      </c>
      <c r="D19">
        <f t="shared" si="0"/>
        <v>6</v>
      </c>
    </row>
    <row r="20" spans="1:4">
      <c r="A20" s="53">
        <v>42545</v>
      </c>
      <c r="B20" s="14" t="s">
        <v>10</v>
      </c>
      <c r="C20" s="14">
        <v>94</v>
      </c>
      <c r="D20" t="str">
        <f t="shared" si="0"/>
        <v/>
      </c>
    </row>
    <row r="21" spans="1:4">
      <c r="A21" s="54">
        <v>42575</v>
      </c>
      <c r="B21" s="15" t="s">
        <v>13</v>
      </c>
      <c r="C21" s="15">
        <v>101</v>
      </c>
      <c r="D21" t="str">
        <f>IF(B21=B20, C21 - C20, "")</f>
        <v/>
      </c>
    </row>
    <row r="22" spans="1:4">
      <c r="A22" s="53">
        <v>42605</v>
      </c>
      <c r="B22" s="14" t="s">
        <v>12</v>
      </c>
      <c r="C22" s="14">
        <v>103</v>
      </c>
      <c r="D22" t="str">
        <f t="shared" si="0"/>
        <v/>
      </c>
    </row>
    <row r="23" spans="1:4">
      <c r="A23" s="54">
        <v>42635</v>
      </c>
      <c r="B23" s="15" t="s">
        <v>13</v>
      </c>
      <c r="C23" s="15">
        <v>84</v>
      </c>
      <c r="D23" t="str">
        <f t="shared" si="0"/>
        <v/>
      </c>
    </row>
    <row r="24" spans="1:4">
      <c r="A24" s="53">
        <v>42665</v>
      </c>
      <c r="B24" s="14" t="s">
        <v>14</v>
      </c>
      <c r="C24" s="14">
        <v>76</v>
      </c>
      <c r="D24" t="str">
        <f t="shared" si="0"/>
        <v/>
      </c>
    </row>
    <row r="25" spans="1:4">
      <c r="A25" s="54">
        <v>42695</v>
      </c>
      <c r="B25" s="15" t="s">
        <v>12</v>
      </c>
      <c r="C25" s="15">
        <v>100</v>
      </c>
      <c r="D25" t="str">
        <f t="shared" si="0"/>
        <v/>
      </c>
    </row>
    <row r="26" spans="1:4">
      <c r="A26" s="53">
        <v>42725</v>
      </c>
      <c r="B26" s="14" t="s">
        <v>14</v>
      </c>
      <c r="C26" s="14">
        <v>111</v>
      </c>
      <c r="D26" t="str">
        <f t="shared" si="0"/>
        <v/>
      </c>
    </row>
    <row r="27" spans="1:4">
      <c r="A27" s="54">
        <v>42755</v>
      </c>
      <c r="B27" s="15" t="s">
        <v>13</v>
      </c>
      <c r="C27" s="15">
        <v>93</v>
      </c>
      <c r="D27" t="str">
        <f t="shared" si="0"/>
        <v/>
      </c>
    </row>
    <row r="28" spans="1:4">
      <c r="A28" s="53">
        <v>42785</v>
      </c>
      <c r="B28" s="14" t="s">
        <v>11</v>
      </c>
      <c r="C28" s="14">
        <v>87</v>
      </c>
      <c r="D28" t="str">
        <f t="shared" si="0"/>
        <v/>
      </c>
    </row>
    <row r="29" spans="1:4">
      <c r="A29" s="54">
        <v>42815</v>
      </c>
      <c r="B29" s="15" t="s">
        <v>10</v>
      </c>
      <c r="C29" s="15">
        <v>108</v>
      </c>
      <c r="D29" t="str">
        <f t="shared" si="0"/>
        <v/>
      </c>
    </row>
    <row r="30" spans="1:4">
      <c r="A30" s="53">
        <v>42845</v>
      </c>
      <c r="B30" s="14" t="s">
        <v>12</v>
      </c>
      <c r="C30" s="14">
        <v>106</v>
      </c>
      <c r="D30" t="str">
        <f t="shared" si="0"/>
        <v/>
      </c>
    </row>
    <row r="31" spans="1:4">
      <c r="A31" s="54">
        <v>42875</v>
      </c>
      <c r="B31" s="15" t="s">
        <v>14</v>
      </c>
      <c r="C31" s="15">
        <v>108</v>
      </c>
      <c r="D31" t="str">
        <f t="shared" si="0"/>
        <v/>
      </c>
    </row>
    <row r="32" spans="1:4">
      <c r="A32" s="53">
        <v>42905</v>
      </c>
      <c r="B32" s="14" t="s">
        <v>11</v>
      </c>
      <c r="C32" s="14">
        <v>96</v>
      </c>
      <c r="D32" t="str">
        <f t="shared" si="0"/>
        <v/>
      </c>
    </row>
    <row r="33" spans="1:4">
      <c r="A33" s="54">
        <v>42935</v>
      </c>
      <c r="B33" s="15" t="s">
        <v>11</v>
      </c>
      <c r="C33" s="15">
        <v>113</v>
      </c>
      <c r="D33">
        <f t="shared" si="0"/>
        <v>17</v>
      </c>
    </row>
    <row r="34" spans="1:4">
      <c r="A34" s="53">
        <v>42965</v>
      </c>
      <c r="B34" s="14" t="s">
        <v>12</v>
      </c>
      <c r="C34" s="14">
        <v>95</v>
      </c>
      <c r="D34" t="str">
        <f t="shared" si="0"/>
        <v/>
      </c>
    </row>
    <row r="35" spans="1:4">
      <c r="A35" s="54">
        <v>42995</v>
      </c>
      <c r="B35" s="15" t="s">
        <v>12</v>
      </c>
      <c r="C35" s="15">
        <v>94</v>
      </c>
      <c r="D35">
        <f t="shared" si="0"/>
        <v>-1</v>
      </c>
    </row>
    <row r="36" spans="1:4">
      <c r="A36" s="53">
        <v>43025</v>
      </c>
      <c r="B36" s="14" t="s">
        <v>11</v>
      </c>
      <c r="C36" s="14">
        <v>107</v>
      </c>
      <c r="D36" t="str">
        <f t="shared" si="0"/>
        <v/>
      </c>
    </row>
    <row r="37" spans="1:4">
      <c r="A37" s="54">
        <v>43055</v>
      </c>
      <c r="B37" s="15" t="s">
        <v>10</v>
      </c>
      <c r="C37" s="15">
        <v>114</v>
      </c>
      <c r="D37" t="str">
        <f t="shared" si="0"/>
        <v/>
      </c>
    </row>
    <row r="38" spans="1:4">
      <c r="A38" s="53">
        <v>43085</v>
      </c>
      <c r="B38" s="14" t="s">
        <v>10</v>
      </c>
      <c r="C38" s="14">
        <v>86</v>
      </c>
      <c r="D38">
        <f t="shared" si="0"/>
        <v>-28</v>
      </c>
    </row>
    <row r="39" spans="1:4">
      <c r="A39" s="54">
        <v>43115</v>
      </c>
      <c r="B39" s="15" t="s">
        <v>14</v>
      </c>
      <c r="C39" s="15">
        <v>100</v>
      </c>
      <c r="D39" t="str">
        <f t="shared" si="0"/>
        <v/>
      </c>
    </row>
    <row r="40" spans="1:4">
      <c r="A40" s="53">
        <v>43145</v>
      </c>
      <c r="B40" s="14" t="s">
        <v>10</v>
      </c>
      <c r="C40" s="14">
        <v>108</v>
      </c>
      <c r="D40" t="str">
        <f t="shared" si="0"/>
        <v/>
      </c>
    </row>
    <row r="41" spans="1:4">
      <c r="A41" s="54">
        <v>43175</v>
      </c>
      <c r="B41" s="15" t="s">
        <v>11</v>
      </c>
      <c r="C41" s="15">
        <v>101</v>
      </c>
      <c r="D41" t="str">
        <f t="shared" si="0"/>
        <v/>
      </c>
    </row>
    <row r="42" spans="1:4">
      <c r="A42" s="53">
        <v>43205</v>
      </c>
      <c r="B42" s="14" t="s">
        <v>11</v>
      </c>
      <c r="C42" s="14">
        <v>94</v>
      </c>
      <c r="D42">
        <f t="shared" si="0"/>
        <v>-7</v>
      </c>
    </row>
    <row r="43" spans="1:4">
      <c r="A43" s="54">
        <v>43235</v>
      </c>
      <c r="B43" s="15" t="s">
        <v>13</v>
      </c>
      <c r="C43" s="15">
        <v>116</v>
      </c>
      <c r="D43" t="str">
        <f t="shared" si="0"/>
        <v/>
      </c>
    </row>
    <row r="44" spans="1:4">
      <c r="A44" s="53">
        <v>43265</v>
      </c>
      <c r="B44" s="14" t="s">
        <v>11</v>
      </c>
      <c r="C44" s="14">
        <v>97</v>
      </c>
      <c r="D44" t="str">
        <f t="shared" si="0"/>
        <v/>
      </c>
    </row>
    <row r="45" spans="1:4">
      <c r="A45" s="54">
        <v>43295</v>
      </c>
      <c r="B45" s="15" t="s">
        <v>10</v>
      </c>
      <c r="C45" s="15">
        <f>IF(ISBLANK(C2), O3, C2)</f>
        <v>96</v>
      </c>
      <c r="D45" t="str">
        <f t="shared" si="0"/>
        <v/>
      </c>
    </row>
    <row r="46" spans="1:4">
      <c r="A46" s="53">
        <v>43325</v>
      </c>
      <c r="B46" s="14" t="s">
        <v>14</v>
      </c>
      <c r="C46" s="14">
        <v>94</v>
      </c>
      <c r="D46" t="str">
        <f t="shared" si="0"/>
        <v/>
      </c>
    </row>
    <row r="47" spans="1:4">
      <c r="A47" s="54">
        <v>43355</v>
      </c>
      <c r="B47" s="15" t="s">
        <v>13</v>
      </c>
      <c r="C47" s="15">
        <v>118</v>
      </c>
      <c r="D47" t="str">
        <f t="shared" si="0"/>
        <v/>
      </c>
    </row>
    <row r="48" spans="1:4">
      <c r="A48" s="53">
        <v>43385</v>
      </c>
      <c r="B48" s="14" t="s">
        <v>10</v>
      </c>
      <c r="C48" s="14">
        <v>104</v>
      </c>
      <c r="D48" t="str">
        <f t="shared" si="0"/>
        <v/>
      </c>
    </row>
    <row r="49" spans="1:4">
      <c r="A49" s="54">
        <v>43415</v>
      </c>
      <c r="B49" s="15" t="s">
        <v>14</v>
      </c>
      <c r="C49" s="15">
        <f>IF(ISBLANK(C2), O3, C2)</f>
        <v>96</v>
      </c>
      <c r="D49" t="str">
        <f t="shared" si="0"/>
        <v/>
      </c>
    </row>
    <row r="50" spans="1:4">
      <c r="A50" s="53">
        <v>43445</v>
      </c>
      <c r="B50" s="14" t="s">
        <v>10</v>
      </c>
      <c r="C50" s="14">
        <v>115</v>
      </c>
      <c r="D50" t="str">
        <f t="shared" si="0"/>
        <v/>
      </c>
    </row>
    <row r="51" spans="1:4">
      <c r="A51" s="54">
        <v>43475</v>
      </c>
      <c r="B51" s="15" t="s">
        <v>13</v>
      </c>
      <c r="C51" s="15">
        <v>94</v>
      </c>
      <c r="D51" t="str">
        <f t="shared" si="0"/>
        <v/>
      </c>
    </row>
    <row r="52" spans="1:4">
      <c r="A52" s="53">
        <v>43505</v>
      </c>
      <c r="B52" s="14" t="s">
        <v>11</v>
      </c>
      <c r="C52" s="14">
        <v>91</v>
      </c>
      <c r="D52" t="str">
        <f t="shared" si="0"/>
        <v/>
      </c>
    </row>
    <row r="53" spans="1:4">
      <c r="A53" s="54">
        <v>43535</v>
      </c>
      <c r="B53" s="15" t="s">
        <v>13</v>
      </c>
      <c r="C53" s="15">
        <v>110</v>
      </c>
      <c r="D53" t="str">
        <f t="shared" si="0"/>
        <v/>
      </c>
    </row>
    <row r="54" spans="1:4">
      <c r="A54" s="53">
        <v>43565</v>
      </c>
      <c r="B54" s="14" t="s">
        <v>11</v>
      </c>
      <c r="C54" s="14">
        <v>98</v>
      </c>
      <c r="D54" t="str">
        <f t="shared" si="0"/>
        <v/>
      </c>
    </row>
    <row r="55" spans="1:4">
      <c r="A55" s="54">
        <v>43595</v>
      </c>
      <c r="B55" s="15" t="s">
        <v>13</v>
      </c>
      <c r="C55" s="15">
        <v>86</v>
      </c>
      <c r="D55" t="str">
        <f t="shared" si="0"/>
        <v/>
      </c>
    </row>
    <row r="56" spans="1:4">
      <c r="A56" s="53">
        <v>43625</v>
      </c>
      <c r="B56" s="14" t="s">
        <v>12</v>
      </c>
      <c r="C56" s="14">
        <v>121</v>
      </c>
      <c r="D56" t="str">
        <f t="shared" si="0"/>
        <v/>
      </c>
    </row>
    <row r="57" spans="1:4">
      <c r="A57" s="54">
        <v>43655</v>
      </c>
      <c r="B57" s="15" t="s">
        <v>10</v>
      </c>
      <c r="C57" s="15">
        <v>100</v>
      </c>
      <c r="D57" t="str">
        <f t="shared" si="0"/>
        <v/>
      </c>
    </row>
    <row r="58" spans="1:4">
      <c r="A58" s="53">
        <v>43685</v>
      </c>
      <c r="B58" s="14" t="s">
        <v>10</v>
      </c>
      <c r="C58" s="14">
        <v>96</v>
      </c>
      <c r="D58">
        <f t="shared" si="0"/>
        <v>-4</v>
      </c>
    </row>
    <row r="59" spans="1:4">
      <c r="A59" s="54">
        <v>43715</v>
      </c>
      <c r="B59" s="15" t="s">
        <v>12</v>
      </c>
      <c r="C59" s="15">
        <v>127</v>
      </c>
      <c r="D59" t="str">
        <f t="shared" si="0"/>
        <v/>
      </c>
    </row>
    <row r="60" spans="1:4">
      <c r="A60" s="53">
        <v>43745</v>
      </c>
      <c r="B60" s="14" t="s">
        <v>11</v>
      </c>
      <c r="C60" s="14">
        <v>100</v>
      </c>
      <c r="D60" t="str">
        <f t="shared" si="0"/>
        <v/>
      </c>
    </row>
    <row r="61" spans="1:4">
      <c r="A61" s="54">
        <v>43775</v>
      </c>
      <c r="B61" s="15" t="s">
        <v>10</v>
      </c>
      <c r="C61" s="15">
        <v>93</v>
      </c>
      <c r="D61" t="str">
        <f t="shared" si="0"/>
        <v/>
      </c>
    </row>
    <row r="62" spans="1:4">
      <c r="A62" s="53">
        <v>43805</v>
      </c>
      <c r="B62" s="14" t="s">
        <v>12</v>
      </c>
      <c r="C62" s="14">
        <v>103</v>
      </c>
      <c r="D62" t="str">
        <f t="shared" si="0"/>
        <v/>
      </c>
    </row>
    <row r="63" spans="1:4">
      <c r="A63" s="54">
        <v>43835</v>
      </c>
      <c r="B63" s="15" t="s">
        <v>10</v>
      </c>
      <c r="C63" s="15">
        <v>78</v>
      </c>
      <c r="D63" t="str">
        <f t="shared" si="0"/>
        <v/>
      </c>
    </row>
    <row r="64" spans="1:4">
      <c r="A64" s="53">
        <v>43865</v>
      </c>
      <c r="B64" s="14" t="s">
        <v>14</v>
      </c>
      <c r="C64" s="14">
        <v>116</v>
      </c>
      <c r="D64" t="str">
        <f t="shared" si="0"/>
        <v/>
      </c>
    </row>
    <row r="65" spans="1:4">
      <c r="A65" s="54">
        <v>43895</v>
      </c>
      <c r="B65" s="15" t="s">
        <v>11</v>
      </c>
      <c r="C65" s="15">
        <v>88</v>
      </c>
      <c r="D65" t="str">
        <f t="shared" si="0"/>
        <v/>
      </c>
    </row>
    <row r="66" spans="1:4">
      <c r="A66" s="53">
        <v>43925</v>
      </c>
      <c r="B66" s="14" t="s">
        <v>14</v>
      </c>
      <c r="C66" s="14">
        <v>105</v>
      </c>
      <c r="D66" t="str">
        <f t="shared" si="0"/>
        <v/>
      </c>
    </row>
    <row r="67" spans="1:4">
      <c r="A67" s="54">
        <v>43955</v>
      </c>
      <c r="B67" s="15" t="s">
        <v>11</v>
      </c>
      <c r="C67" s="15">
        <v>92</v>
      </c>
      <c r="D67" t="str">
        <f t="shared" ref="D67:D130" si="1">IF(B67=B66, C67 - C66, "")</f>
        <v/>
      </c>
    </row>
    <row r="68" spans="1:4">
      <c r="A68" s="53">
        <v>43985</v>
      </c>
      <c r="B68" s="14" t="s">
        <v>12</v>
      </c>
      <c r="C68" s="14">
        <v>96</v>
      </c>
      <c r="D68" t="str">
        <f t="shared" si="1"/>
        <v/>
      </c>
    </row>
    <row r="69" spans="1:4">
      <c r="A69" s="54">
        <v>44015</v>
      </c>
      <c r="B69" s="15" t="s">
        <v>11</v>
      </c>
      <c r="C69" s="15">
        <v>104</v>
      </c>
      <c r="D69" t="str">
        <f t="shared" si="1"/>
        <v/>
      </c>
    </row>
    <row r="70" spans="1:4">
      <c r="A70" s="53">
        <v>44045</v>
      </c>
      <c r="B70" s="14" t="s">
        <v>11</v>
      </c>
      <c r="C70" s="14">
        <v>84</v>
      </c>
      <c r="D70">
        <f t="shared" si="1"/>
        <v>-20</v>
      </c>
    </row>
    <row r="71" spans="1:4">
      <c r="A71" s="54">
        <v>44075</v>
      </c>
      <c r="B71" s="15" t="s">
        <v>12</v>
      </c>
      <c r="C71" s="15">
        <v>95</v>
      </c>
      <c r="D71" t="str">
        <f t="shared" si="1"/>
        <v/>
      </c>
    </row>
    <row r="72" spans="1:4">
      <c r="A72" s="53">
        <v>44105</v>
      </c>
      <c r="B72" s="14" t="s">
        <v>11</v>
      </c>
      <c r="C72" s="14">
        <v>105</v>
      </c>
      <c r="D72" t="str">
        <f t="shared" si="1"/>
        <v/>
      </c>
    </row>
    <row r="73" spans="1:4">
      <c r="A73" s="54">
        <v>44135</v>
      </c>
      <c r="B73" s="15" t="s">
        <v>10</v>
      </c>
      <c r="C73" s="15">
        <v>100</v>
      </c>
      <c r="D73" t="str">
        <f t="shared" si="1"/>
        <v/>
      </c>
    </row>
    <row r="74" spans="1:4">
      <c r="A74" s="53">
        <v>44165</v>
      </c>
      <c r="B74" s="14" t="s">
        <v>13</v>
      </c>
      <c r="C74" s="14">
        <v>104</v>
      </c>
      <c r="D74" t="str">
        <f t="shared" si="1"/>
        <v/>
      </c>
    </row>
    <row r="75" spans="1:4">
      <c r="A75" s="54">
        <v>44195</v>
      </c>
      <c r="B75" s="15" t="s">
        <v>12</v>
      </c>
      <c r="C75" s="15">
        <v>106</v>
      </c>
      <c r="D75" t="str">
        <f t="shared" si="1"/>
        <v/>
      </c>
    </row>
    <row r="76" spans="1:4">
      <c r="A76" s="53">
        <v>44225</v>
      </c>
      <c r="B76" s="14" t="s">
        <v>13</v>
      </c>
      <c r="C76" s="14">
        <v>120</v>
      </c>
      <c r="D76" t="str">
        <f t="shared" si="1"/>
        <v/>
      </c>
    </row>
    <row r="77" spans="1:4">
      <c r="A77" s="54">
        <v>44255</v>
      </c>
      <c r="B77" s="15" t="s">
        <v>12</v>
      </c>
      <c r="C77" s="15">
        <f>IF(ISBLANK(C30), O31, C30)</f>
        <v>106</v>
      </c>
      <c r="D77" t="str">
        <f t="shared" si="1"/>
        <v/>
      </c>
    </row>
    <row r="78" spans="1:4">
      <c r="A78" s="53">
        <v>44285</v>
      </c>
      <c r="B78" s="14" t="s">
        <v>12</v>
      </c>
      <c r="C78" s="14">
        <v>118</v>
      </c>
      <c r="D78">
        <f t="shared" si="1"/>
        <v>12</v>
      </c>
    </row>
    <row r="79" spans="1:4">
      <c r="A79" s="54">
        <v>44315</v>
      </c>
      <c r="B79" s="15" t="s">
        <v>14</v>
      </c>
      <c r="C79" s="15">
        <v>92</v>
      </c>
      <c r="D79" t="str">
        <f t="shared" si="1"/>
        <v/>
      </c>
    </row>
    <row r="80" spans="1:4">
      <c r="A80" s="53">
        <v>44345</v>
      </c>
      <c r="B80" s="14" t="s">
        <v>14</v>
      </c>
      <c r="C80" s="14">
        <v>110</v>
      </c>
      <c r="D80">
        <f t="shared" si="1"/>
        <v>18</v>
      </c>
    </row>
    <row r="81" spans="1:4">
      <c r="A81" s="54">
        <v>44375</v>
      </c>
      <c r="B81" s="15" t="s">
        <v>11</v>
      </c>
      <c r="C81" s="15">
        <v>101</v>
      </c>
      <c r="D81" t="str">
        <f t="shared" si="1"/>
        <v/>
      </c>
    </row>
    <row r="82" spans="1:4">
      <c r="A82" s="53">
        <v>44405</v>
      </c>
      <c r="B82" s="14" t="s">
        <v>13</v>
      </c>
      <c r="C82" s="14">
        <v>84</v>
      </c>
      <c r="D82" t="str">
        <f t="shared" si="1"/>
        <v/>
      </c>
    </row>
    <row r="83" spans="1:4">
      <c r="A83" s="54">
        <v>44435</v>
      </c>
      <c r="B83" s="15" t="s">
        <v>12</v>
      </c>
      <c r="C83" s="15">
        <v>115</v>
      </c>
      <c r="D83" t="str">
        <f t="shared" si="1"/>
        <v/>
      </c>
    </row>
    <row r="84" spans="1:4">
      <c r="A84" s="53">
        <v>44465</v>
      </c>
      <c r="B84" s="14" t="s">
        <v>11</v>
      </c>
      <c r="C84" s="14">
        <v>95</v>
      </c>
      <c r="D84" t="str">
        <f t="shared" si="1"/>
        <v/>
      </c>
    </row>
    <row r="85" spans="1:4">
      <c r="A85" s="54">
        <v>44495</v>
      </c>
      <c r="B85" s="15" t="s">
        <v>10</v>
      </c>
      <c r="C85" s="15">
        <v>114</v>
      </c>
      <c r="D85" t="str">
        <f t="shared" si="1"/>
        <v/>
      </c>
    </row>
    <row r="86" spans="1:4">
      <c r="A86" s="53">
        <v>44525</v>
      </c>
      <c r="B86" s="14" t="s">
        <v>12</v>
      </c>
      <c r="C86" s="14">
        <v>104</v>
      </c>
      <c r="D86" t="str">
        <f t="shared" si="1"/>
        <v/>
      </c>
    </row>
    <row r="87" spans="1:4">
      <c r="A87" s="54">
        <v>44555</v>
      </c>
      <c r="B87" s="15" t="s">
        <v>10</v>
      </c>
      <c r="C87" s="15">
        <v>89</v>
      </c>
      <c r="D87" t="str">
        <f t="shared" si="1"/>
        <v/>
      </c>
    </row>
    <row r="88" spans="1:4">
      <c r="A88" s="53">
        <v>44585</v>
      </c>
      <c r="B88" s="14" t="s">
        <v>11</v>
      </c>
      <c r="C88" s="14">
        <f>IF(ISBLANK(C41), O42, C41)</f>
        <v>101</v>
      </c>
      <c r="D88" t="str">
        <f t="shared" si="1"/>
        <v/>
      </c>
    </row>
    <row r="89" spans="1:4">
      <c r="A89" s="54">
        <v>44615</v>
      </c>
      <c r="B89" s="15" t="s">
        <v>14</v>
      </c>
      <c r="C89" s="15">
        <v>85</v>
      </c>
      <c r="D89" t="str">
        <f t="shared" si="1"/>
        <v/>
      </c>
    </row>
    <row r="90" spans="1:4">
      <c r="A90" s="53">
        <v>44645</v>
      </c>
      <c r="B90" s="14" t="s">
        <v>11</v>
      </c>
      <c r="C90" s="14">
        <v>101</v>
      </c>
      <c r="D90" t="str">
        <f t="shared" si="1"/>
        <v/>
      </c>
    </row>
    <row r="91" spans="1:4">
      <c r="A91" s="54">
        <v>44675</v>
      </c>
      <c r="B91" s="15" t="s">
        <v>10</v>
      </c>
      <c r="C91" s="15">
        <v>104</v>
      </c>
      <c r="D91" t="str">
        <f t="shared" si="1"/>
        <v/>
      </c>
    </row>
    <row r="92" spans="1:4">
      <c r="A92" s="53">
        <v>44705</v>
      </c>
      <c r="B92" s="14" t="s">
        <v>12</v>
      </c>
      <c r="C92" s="14">
        <v>106</v>
      </c>
      <c r="D92" t="str">
        <f t="shared" si="1"/>
        <v/>
      </c>
    </row>
    <row r="93" spans="1:4">
      <c r="A93" s="54">
        <v>44735</v>
      </c>
      <c r="B93" s="15" t="s">
        <v>13</v>
      </c>
      <c r="C93" s="15">
        <v>95</v>
      </c>
      <c r="D93" t="str">
        <f t="shared" si="1"/>
        <v/>
      </c>
    </row>
    <row r="94" spans="1:4">
      <c r="A94" s="53">
        <v>44765</v>
      </c>
      <c r="B94" s="14" t="s">
        <v>11</v>
      </c>
      <c r="C94" s="14">
        <v>104</v>
      </c>
      <c r="D94" t="str">
        <f t="shared" si="1"/>
        <v/>
      </c>
    </row>
    <row r="95" spans="1:4">
      <c r="A95" s="54">
        <v>44795</v>
      </c>
      <c r="B95" s="15" t="s">
        <v>12</v>
      </c>
      <c r="C95" s="15">
        <v>105</v>
      </c>
      <c r="D95" t="str">
        <f t="shared" si="1"/>
        <v/>
      </c>
    </row>
    <row r="96" spans="1:4">
      <c r="A96" s="53">
        <v>44825</v>
      </c>
      <c r="B96" s="14" t="s">
        <v>14</v>
      </c>
      <c r="C96" s="14">
        <v>84</v>
      </c>
      <c r="D96" t="str">
        <f t="shared" si="1"/>
        <v/>
      </c>
    </row>
    <row r="97" spans="1:4">
      <c r="A97" s="54">
        <v>44855</v>
      </c>
      <c r="B97" s="15" t="s">
        <v>14</v>
      </c>
      <c r="C97" s="15">
        <v>93</v>
      </c>
      <c r="D97">
        <f t="shared" si="1"/>
        <v>9</v>
      </c>
    </row>
    <row r="98" spans="1:4">
      <c r="A98" s="53">
        <v>44885</v>
      </c>
      <c r="B98" s="14" t="s">
        <v>14</v>
      </c>
      <c r="C98" s="14">
        <v>115</v>
      </c>
      <c r="D98">
        <f t="shared" si="1"/>
        <v>22</v>
      </c>
    </row>
    <row r="99" spans="1:4">
      <c r="A99" s="54">
        <v>44915</v>
      </c>
      <c r="B99" s="15" t="s">
        <v>12</v>
      </c>
      <c r="C99" s="15">
        <v>109</v>
      </c>
      <c r="D99" t="str">
        <f t="shared" si="1"/>
        <v/>
      </c>
    </row>
    <row r="100" spans="1:4">
      <c r="A100" s="53">
        <v>44945</v>
      </c>
      <c r="B100" s="14" t="s">
        <v>11</v>
      </c>
      <c r="C100" s="14">
        <v>102</v>
      </c>
      <c r="D100" t="str">
        <f t="shared" si="1"/>
        <v/>
      </c>
    </row>
    <row r="101" spans="1:4">
      <c r="A101" s="54">
        <v>44975</v>
      </c>
      <c r="B101" s="15" t="s">
        <v>12</v>
      </c>
      <c r="C101" s="15">
        <v>100</v>
      </c>
      <c r="D101" t="str">
        <f t="shared" si="1"/>
        <v/>
      </c>
    </row>
    <row r="102" spans="1:4">
      <c r="A102" s="53">
        <v>45005</v>
      </c>
      <c r="B102" s="14" t="s">
        <v>12</v>
      </c>
      <c r="C102" s="14">
        <v>93</v>
      </c>
      <c r="D102">
        <f t="shared" si="1"/>
        <v>-7</v>
      </c>
    </row>
    <row r="103" spans="1:4">
      <c r="A103" s="54">
        <v>45035</v>
      </c>
      <c r="B103" s="15" t="s">
        <v>13</v>
      </c>
      <c r="C103" s="15">
        <v>121</v>
      </c>
      <c r="D103" t="str">
        <f t="shared" si="1"/>
        <v/>
      </c>
    </row>
    <row r="104" spans="1:4">
      <c r="A104" s="53">
        <v>45065</v>
      </c>
      <c r="B104" s="14" t="s">
        <v>13</v>
      </c>
      <c r="C104" s="14">
        <v>117</v>
      </c>
      <c r="D104">
        <f t="shared" si="1"/>
        <v>-4</v>
      </c>
    </row>
    <row r="105" spans="1:4">
      <c r="A105" s="54">
        <v>45095</v>
      </c>
      <c r="B105" s="15" t="s">
        <v>11</v>
      </c>
      <c r="C105" s="15">
        <v>98</v>
      </c>
      <c r="D105" t="str">
        <f t="shared" si="1"/>
        <v/>
      </c>
    </row>
    <row r="106" spans="1:4">
      <c r="A106" s="53">
        <v>45125</v>
      </c>
      <c r="B106" s="14" t="s">
        <v>13</v>
      </c>
      <c r="C106" s="14">
        <v>94</v>
      </c>
      <c r="D106" t="str">
        <f t="shared" si="1"/>
        <v/>
      </c>
    </row>
    <row r="107" spans="1:4">
      <c r="A107" s="54">
        <v>45155</v>
      </c>
      <c r="B107" s="15" t="s">
        <v>14</v>
      </c>
      <c r="C107" s="15">
        <v>112</v>
      </c>
      <c r="D107" t="str">
        <f t="shared" si="1"/>
        <v/>
      </c>
    </row>
    <row r="108" spans="1:4">
      <c r="A108" s="53">
        <v>45185</v>
      </c>
      <c r="B108" s="14" t="s">
        <v>13</v>
      </c>
      <c r="C108" s="14">
        <v>89</v>
      </c>
      <c r="D108" t="str">
        <f t="shared" si="1"/>
        <v/>
      </c>
    </row>
    <row r="109" spans="1:4">
      <c r="A109" s="54">
        <v>45215</v>
      </c>
      <c r="B109" s="15" t="s">
        <v>14</v>
      </c>
      <c r="C109" s="15">
        <v>119</v>
      </c>
      <c r="D109" t="str">
        <f t="shared" si="1"/>
        <v/>
      </c>
    </row>
    <row r="110" spans="1:4">
      <c r="A110" s="53">
        <v>45245</v>
      </c>
      <c r="B110" s="14" t="s">
        <v>11</v>
      </c>
      <c r="C110" s="14">
        <v>102</v>
      </c>
      <c r="D110" t="str">
        <f t="shared" si="1"/>
        <v/>
      </c>
    </row>
    <row r="111" spans="1:4">
      <c r="A111" s="54">
        <v>45275</v>
      </c>
      <c r="B111" s="15" t="s">
        <v>12</v>
      </c>
      <c r="C111" s="15">
        <v>87</v>
      </c>
      <c r="D111" t="str">
        <f t="shared" si="1"/>
        <v/>
      </c>
    </row>
    <row r="112" spans="1:4">
      <c r="A112" s="53">
        <v>45305</v>
      </c>
      <c r="B112" s="14" t="s">
        <v>12</v>
      </c>
      <c r="C112" s="14">
        <v>113</v>
      </c>
      <c r="D112">
        <f t="shared" si="1"/>
        <v>26</v>
      </c>
    </row>
    <row r="113" spans="1:4">
      <c r="A113" s="54">
        <v>45335</v>
      </c>
      <c r="B113" s="15" t="s">
        <v>13</v>
      </c>
      <c r="C113" s="15">
        <v>106</v>
      </c>
      <c r="D113" t="str">
        <f t="shared" si="1"/>
        <v/>
      </c>
    </row>
    <row r="114" spans="1:4">
      <c r="A114" s="53">
        <v>45365</v>
      </c>
      <c r="B114" s="14" t="s">
        <v>14</v>
      </c>
      <c r="C114" s="14">
        <v>96</v>
      </c>
      <c r="D114" t="str">
        <f t="shared" si="1"/>
        <v/>
      </c>
    </row>
    <row r="115" spans="1:4">
      <c r="A115" s="54">
        <v>45395</v>
      </c>
      <c r="B115" s="15" t="s">
        <v>10</v>
      </c>
      <c r="C115" s="15">
        <v>110</v>
      </c>
      <c r="D115" t="str">
        <f t="shared" si="1"/>
        <v/>
      </c>
    </row>
    <row r="116" spans="1:4">
      <c r="A116" s="53">
        <v>45425</v>
      </c>
      <c r="B116" s="14" t="s">
        <v>10</v>
      </c>
      <c r="C116" s="14">
        <v>100</v>
      </c>
      <c r="D116">
        <f t="shared" si="1"/>
        <v>-10</v>
      </c>
    </row>
    <row r="117" spans="1:4">
      <c r="A117" s="54">
        <v>45455</v>
      </c>
      <c r="B117" s="15" t="s">
        <v>10</v>
      </c>
      <c r="C117" s="15">
        <f>IF(ISBLANK(C70), O71, C70)</f>
        <v>84</v>
      </c>
      <c r="D117">
        <f t="shared" si="1"/>
        <v>-16</v>
      </c>
    </row>
    <row r="118" spans="1:4">
      <c r="A118" s="53">
        <v>45485</v>
      </c>
      <c r="B118" s="14" t="s">
        <v>12</v>
      </c>
      <c r="C118" s="14">
        <v>106</v>
      </c>
      <c r="D118" t="str">
        <f t="shared" si="1"/>
        <v/>
      </c>
    </row>
    <row r="119" spans="1:4">
      <c r="A119" s="54">
        <v>45515</v>
      </c>
      <c r="B119" s="15" t="s">
        <v>12</v>
      </c>
      <c r="C119" s="15">
        <v>114</v>
      </c>
      <c r="D119">
        <f t="shared" si="1"/>
        <v>8</v>
      </c>
    </row>
    <row r="120" spans="1:4">
      <c r="A120" s="53">
        <v>45545</v>
      </c>
      <c r="B120" s="14" t="s">
        <v>14</v>
      </c>
      <c r="C120" s="14">
        <v>96</v>
      </c>
      <c r="D120" t="str">
        <f t="shared" si="1"/>
        <v/>
      </c>
    </row>
    <row r="121" spans="1:4">
      <c r="A121" s="54">
        <v>45575</v>
      </c>
      <c r="B121" s="15" t="s">
        <v>13</v>
      </c>
      <c r="C121" s="15">
        <v>102</v>
      </c>
      <c r="D121" t="str">
        <f t="shared" si="1"/>
        <v/>
      </c>
    </row>
    <row r="122" spans="1:4">
      <c r="A122" s="53">
        <v>45605</v>
      </c>
      <c r="B122" s="14" t="s">
        <v>10</v>
      </c>
      <c r="C122" s="14">
        <f>IF(ISBLANK(C75), O76, C75)</f>
        <v>106</v>
      </c>
      <c r="D122" t="str">
        <f t="shared" si="1"/>
        <v/>
      </c>
    </row>
    <row r="123" spans="1:4">
      <c r="A123" s="54">
        <v>45635</v>
      </c>
      <c r="B123" s="15" t="s">
        <v>14</v>
      </c>
      <c r="C123" s="15">
        <v>93</v>
      </c>
      <c r="D123" t="str">
        <f t="shared" si="1"/>
        <v/>
      </c>
    </row>
    <row r="124" spans="1:4">
      <c r="A124" s="53">
        <v>45665</v>
      </c>
      <c r="B124" s="14" t="s">
        <v>14</v>
      </c>
      <c r="C124" s="14">
        <v>100</v>
      </c>
      <c r="D124">
        <f t="shared" si="1"/>
        <v>7</v>
      </c>
    </row>
    <row r="125" spans="1:4">
      <c r="A125" s="54">
        <v>45695</v>
      </c>
      <c r="B125" s="15" t="s">
        <v>13</v>
      </c>
      <c r="C125" s="15">
        <v>111</v>
      </c>
      <c r="D125" t="str">
        <f t="shared" si="1"/>
        <v/>
      </c>
    </row>
    <row r="126" spans="1:4">
      <c r="A126" s="53">
        <v>45725</v>
      </c>
      <c r="B126" s="14" t="s">
        <v>14</v>
      </c>
      <c r="C126" s="14">
        <v>87</v>
      </c>
      <c r="D126" t="str">
        <f t="shared" si="1"/>
        <v/>
      </c>
    </row>
    <row r="127" spans="1:4">
      <c r="A127" s="54">
        <v>45755</v>
      </c>
      <c r="B127" s="15" t="s">
        <v>13</v>
      </c>
      <c r="C127" s="15">
        <v>100</v>
      </c>
      <c r="D127" t="str">
        <f t="shared" si="1"/>
        <v/>
      </c>
    </row>
    <row r="128" spans="1:4">
      <c r="A128" s="53">
        <v>45785</v>
      </c>
      <c r="B128" s="14" t="s">
        <v>11</v>
      </c>
      <c r="C128" s="14">
        <v>104</v>
      </c>
      <c r="D128" t="str">
        <f t="shared" si="1"/>
        <v/>
      </c>
    </row>
    <row r="129" spans="1:4">
      <c r="A129" s="54">
        <v>45815</v>
      </c>
      <c r="B129" s="15" t="s">
        <v>13</v>
      </c>
      <c r="C129" s="15">
        <v>78</v>
      </c>
      <c r="D129" t="str">
        <f t="shared" si="1"/>
        <v/>
      </c>
    </row>
    <row r="130" spans="1:4">
      <c r="A130" s="53">
        <v>45845</v>
      </c>
      <c r="B130" s="14" t="s">
        <v>10</v>
      </c>
      <c r="C130" s="14">
        <v>101</v>
      </c>
      <c r="D130" t="str">
        <f t="shared" si="1"/>
        <v/>
      </c>
    </row>
    <row r="131" spans="1:4">
      <c r="A131" s="54">
        <v>45875</v>
      </c>
      <c r="B131" s="15" t="s">
        <v>10</v>
      </c>
      <c r="C131" s="15">
        <v>100</v>
      </c>
      <c r="D131">
        <f t="shared" ref="D131:D192" si="2">IF(B131=B130, C131 - C130, "")</f>
        <v>-1</v>
      </c>
    </row>
    <row r="132" spans="1:4">
      <c r="A132" s="53">
        <v>45905</v>
      </c>
      <c r="B132" s="14" t="s">
        <v>13</v>
      </c>
      <c r="C132" s="14">
        <v>109</v>
      </c>
      <c r="D132" t="str">
        <f t="shared" si="2"/>
        <v/>
      </c>
    </row>
    <row r="133" spans="1:4">
      <c r="A133" s="54">
        <v>45935</v>
      </c>
      <c r="B133" s="15" t="s">
        <v>11</v>
      </c>
      <c r="C133" s="15">
        <v>98</v>
      </c>
      <c r="D133" t="str">
        <f t="shared" si="2"/>
        <v/>
      </c>
    </row>
    <row r="134" spans="1:4">
      <c r="A134" s="53">
        <v>45965</v>
      </c>
      <c r="B134" s="14" t="s">
        <v>11</v>
      </c>
      <c r="C134" s="14">
        <v>111</v>
      </c>
      <c r="D134">
        <f t="shared" si="2"/>
        <v>13</v>
      </c>
    </row>
    <row r="135" spans="1:4">
      <c r="A135" s="54">
        <v>45995</v>
      </c>
      <c r="B135" s="15" t="s">
        <v>10</v>
      </c>
      <c r="C135" s="15">
        <v>97</v>
      </c>
      <c r="D135" t="str">
        <f t="shared" si="2"/>
        <v/>
      </c>
    </row>
    <row r="136" spans="1:4">
      <c r="A136" s="53">
        <v>46025</v>
      </c>
      <c r="B136" s="14" t="s">
        <v>11</v>
      </c>
      <c r="C136" s="14">
        <v>88</v>
      </c>
      <c r="D136" t="str">
        <f t="shared" si="2"/>
        <v/>
      </c>
    </row>
    <row r="137" spans="1:4">
      <c r="A137" s="54">
        <v>46055</v>
      </c>
      <c r="B137" s="15" t="s">
        <v>14</v>
      </c>
      <c r="C137" s="15">
        <v>101</v>
      </c>
      <c r="D137" t="str">
        <f t="shared" si="2"/>
        <v/>
      </c>
    </row>
    <row r="138" spans="1:4">
      <c r="A138" s="53">
        <v>46085</v>
      </c>
      <c r="B138" s="14" t="s">
        <v>12</v>
      </c>
      <c r="C138" s="14">
        <v>105</v>
      </c>
      <c r="D138" t="str">
        <f t="shared" si="2"/>
        <v/>
      </c>
    </row>
    <row r="139" spans="1:4">
      <c r="A139" s="54">
        <v>46115</v>
      </c>
      <c r="B139" s="15" t="s">
        <v>14</v>
      </c>
      <c r="C139" s="15">
        <v>102</v>
      </c>
      <c r="D139" t="str">
        <f t="shared" si="2"/>
        <v/>
      </c>
    </row>
    <row r="140" spans="1:4">
      <c r="A140" s="53">
        <v>46145</v>
      </c>
      <c r="B140" s="14" t="s">
        <v>10</v>
      </c>
      <c r="C140" s="14">
        <v>98</v>
      </c>
      <c r="D140" t="str">
        <f t="shared" si="2"/>
        <v/>
      </c>
    </row>
    <row r="141" spans="1:4">
      <c r="A141" s="54">
        <v>46175</v>
      </c>
      <c r="B141" s="15" t="s">
        <v>11</v>
      </c>
      <c r="C141" s="15">
        <v>96</v>
      </c>
      <c r="D141" t="str">
        <f t="shared" si="2"/>
        <v/>
      </c>
    </row>
    <row r="142" spans="1:4">
      <c r="A142" s="53">
        <v>46205</v>
      </c>
      <c r="B142" s="14" t="s">
        <v>13</v>
      </c>
      <c r="C142" s="14">
        <v>76</v>
      </c>
      <c r="D142" t="str">
        <f t="shared" si="2"/>
        <v/>
      </c>
    </row>
    <row r="143" spans="1:4">
      <c r="A143" s="54">
        <v>46235</v>
      </c>
      <c r="B143" s="15" t="s">
        <v>12</v>
      </c>
      <c r="C143" s="15">
        <v>112</v>
      </c>
      <c r="D143" t="str">
        <f t="shared" si="2"/>
        <v/>
      </c>
    </row>
    <row r="144" spans="1:4">
      <c r="A144" s="53">
        <v>46265</v>
      </c>
      <c r="B144" s="14" t="s">
        <v>13</v>
      </c>
      <c r="C144" s="14">
        <v>99</v>
      </c>
      <c r="D144" t="str">
        <f t="shared" si="2"/>
        <v/>
      </c>
    </row>
    <row r="145" spans="1:4">
      <c r="A145" s="54">
        <v>46295</v>
      </c>
      <c r="B145" s="15" t="s">
        <v>10</v>
      </c>
      <c r="C145" s="15">
        <v>100</v>
      </c>
      <c r="D145" t="str">
        <f t="shared" si="2"/>
        <v/>
      </c>
    </row>
    <row r="146" spans="1:4">
      <c r="A146" s="53">
        <v>46325</v>
      </c>
      <c r="B146" s="14" t="s">
        <v>11</v>
      </c>
      <c r="C146" s="14">
        <v>89</v>
      </c>
      <c r="D146" t="str">
        <f t="shared" si="2"/>
        <v/>
      </c>
    </row>
    <row r="147" spans="1:4">
      <c r="A147" s="54">
        <v>46355</v>
      </c>
      <c r="B147" s="15" t="s">
        <v>13</v>
      </c>
      <c r="C147" s="15">
        <v>102</v>
      </c>
      <c r="D147" t="str">
        <f t="shared" si="2"/>
        <v/>
      </c>
    </row>
    <row r="148" spans="1:4">
      <c r="A148" s="53">
        <v>46385</v>
      </c>
      <c r="B148" s="14" t="s">
        <v>13</v>
      </c>
      <c r="C148" s="14">
        <v>104</v>
      </c>
      <c r="D148">
        <f t="shared" si="2"/>
        <v>2</v>
      </c>
    </row>
    <row r="149" spans="1:4">
      <c r="A149" s="54">
        <v>46415</v>
      </c>
      <c r="B149" s="15" t="s">
        <v>12</v>
      </c>
      <c r="C149" s="15">
        <v>96</v>
      </c>
      <c r="D149" t="str">
        <f t="shared" si="2"/>
        <v/>
      </c>
    </row>
    <row r="150" spans="1:4">
      <c r="A150" s="53">
        <v>46445</v>
      </c>
      <c r="B150" s="14" t="s">
        <v>12</v>
      </c>
      <c r="C150" s="14">
        <v>100</v>
      </c>
      <c r="D150">
        <f t="shared" si="2"/>
        <v>4</v>
      </c>
    </row>
    <row r="151" spans="1:4">
      <c r="A151" s="54">
        <v>46475</v>
      </c>
      <c r="B151" s="15" t="s">
        <v>11</v>
      </c>
      <c r="C151" s="15">
        <v>105</v>
      </c>
      <c r="D151" t="str">
        <f t="shared" si="2"/>
        <v/>
      </c>
    </row>
    <row r="152" spans="1:4">
      <c r="A152" s="53">
        <v>46505</v>
      </c>
      <c r="B152" s="14" t="s">
        <v>12</v>
      </c>
      <c r="C152" s="14">
        <v>81</v>
      </c>
      <c r="D152" t="str">
        <f t="shared" si="2"/>
        <v/>
      </c>
    </row>
    <row r="153" spans="1:4">
      <c r="A153" s="54">
        <v>46535</v>
      </c>
      <c r="B153" s="15" t="s">
        <v>13</v>
      </c>
      <c r="C153" s="15">
        <v>120</v>
      </c>
      <c r="D153" t="str">
        <f t="shared" si="2"/>
        <v/>
      </c>
    </row>
    <row r="154" spans="1:4">
      <c r="A154" s="53">
        <v>46565</v>
      </c>
      <c r="B154" s="14" t="s">
        <v>13</v>
      </c>
      <c r="C154" s="14">
        <v>97</v>
      </c>
      <c r="D154">
        <f t="shared" si="2"/>
        <v>-23</v>
      </c>
    </row>
    <row r="155" spans="1:4">
      <c r="A155" s="54">
        <v>46595</v>
      </c>
      <c r="B155" s="15" t="s">
        <v>10</v>
      </c>
      <c r="C155" s="15">
        <v>99</v>
      </c>
      <c r="D155" t="str">
        <f t="shared" si="2"/>
        <v/>
      </c>
    </row>
    <row r="156" spans="1:4">
      <c r="A156" s="53">
        <v>46625</v>
      </c>
      <c r="B156" s="14" t="s">
        <v>13</v>
      </c>
      <c r="C156" s="14">
        <v>120</v>
      </c>
      <c r="D156" t="str">
        <f t="shared" si="2"/>
        <v/>
      </c>
    </row>
    <row r="157" spans="1:4">
      <c r="A157" s="54">
        <v>46655</v>
      </c>
      <c r="B157" s="15" t="s">
        <v>11</v>
      </c>
      <c r="C157" s="15">
        <v>90</v>
      </c>
      <c r="D157" t="str">
        <f t="shared" si="2"/>
        <v/>
      </c>
    </row>
    <row r="158" spans="1:4">
      <c r="A158" s="53">
        <v>46685</v>
      </c>
      <c r="B158" s="14" t="s">
        <v>14</v>
      </c>
      <c r="C158" s="14">
        <v>85</v>
      </c>
      <c r="D158" t="str">
        <f t="shared" si="2"/>
        <v/>
      </c>
    </row>
    <row r="159" spans="1:4">
      <c r="A159" s="54">
        <v>46715</v>
      </c>
      <c r="B159" s="15" t="s">
        <v>10</v>
      </c>
      <c r="C159" s="15">
        <v>84</v>
      </c>
      <c r="D159" t="str">
        <f t="shared" si="2"/>
        <v/>
      </c>
    </row>
    <row r="160" spans="1:4">
      <c r="A160" s="53">
        <v>46745</v>
      </c>
      <c r="B160" s="14" t="s">
        <v>10</v>
      </c>
      <c r="C160" s="14">
        <f>IF(ISBLANK(C113), O114, C113)</f>
        <v>106</v>
      </c>
      <c r="D160">
        <f t="shared" si="2"/>
        <v>22</v>
      </c>
    </row>
    <row r="161" spans="1:4">
      <c r="A161" s="54">
        <v>46775</v>
      </c>
      <c r="B161" s="15" t="s">
        <v>11</v>
      </c>
      <c r="C161" s="15">
        <v>112</v>
      </c>
      <c r="D161" t="str">
        <f t="shared" si="2"/>
        <v/>
      </c>
    </row>
    <row r="162" spans="1:4">
      <c r="A162" s="53">
        <v>46805</v>
      </c>
      <c r="B162" s="14" t="s">
        <v>11</v>
      </c>
      <c r="C162" s="14">
        <v>110</v>
      </c>
      <c r="D162">
        <f t="shared" si="2"/>
        <v>-2</v>
      </c>
    </row>
    <row r="163" spans="1:4">
      <c r="A163" s="54">
        <v>46835</v>
      </c>
      <c r="B163" s="15" t="s">
        <v>12</v>
      </c>
      <c r="C163" s="15">
        <v>86</v>
      </c>
      <c r="D163" t="str">
        <f t="shared" si="2"/>
        <v/>
      </c>
    </row>
    <row r="164" spans="1:4">
      <c r="A164" s="53">
        <v>46865</v>
      </c>
      <c r="B164" s="14" t="s">
        <v>10</v>
      </c>
      <c r="C164" s="14">
        <v>104</v>
      </c>
      <c r="D164" t="str">
        <f t="shared" si="2"/>
        <v/>
      </c>
    </row>
    <row r="165" spans="1:4">
      <c r="A165" s="54">
        <v>46895</v>
      </c>
      <c r="B165" s="15" t="s">
        <v>12</v>
      </c>
      <c r="C165" s="15">
        <v>107</v>
      </c>
      <c r="D165" t="str">
        <f t="shared" si="2"/>
        <v/>
      </c>
    </row>
    <row r="166" spans="1:4">
      <c r="A166" s="53">
        <v>46925</v>
      </c>
      <c r="B166" s="14" t="s">
        <v>13</v>
      </c>
      <c r="C166" s="14">
        <v>93</v>
      </c>
      <c r="D166" t="str">
        <f t="shared" si="2"/>
        <v/>
      </c>
    </row>
    <row r="167" spans="1:4">
      <c r="A167" s="54">
        <v>46955</v>
      </c>
      <c r="B167" s="15" t="s">
        <v>10</v>
      </c>
      <c r="C167" s="15">
        <v>108</v>
      </c>
      <c r="D167" t="str">
        <f t="shared" si="2"/>
        <v/>
      </c>
    </row>
    <row r="168" spans="1:4">
      <c r="A168" s="53">
        <v>46985</v>
      </c>
      <c r="B168" s="14" t="s">
        <v>10</v>
      </c>
      <c r="C168" s="14">
        <v>96</v>
      </c>
      <c r="D168">
        <f t="shared" si="2"/>
        <v>-12</v>
      </c>
    </row>
    <row r="169" spans="1:4">
      <c r="A169" s="54">
        <v>47015</v>
      </c>
      <c r="B169" s="15" t="s">
        <v>14</v>
      </c>
      <c r="C169" s="15">
        <v>95</v>
      </c>
      <c r="D169" t="str">
        <f t="shared" si="2"/>
        <v/>
      </c>
    </row>
    <row r="170" spans="1:4">
      <c r="A170" s="53">
        <v>47045</v>
      </c>
      <c r="B170" s="14" t="s">
        <v>10</v>
      </c>
      <c r="C170" s="14">
        <v>112</v>
      </c>
      <c r="D170" t="str">
        <f t="shared" si="2"/>
        <v/>
      </c>
    </row>
    <row r="171" spans="1:4">
      <c r="A171" s="54">
        <v>47075</v>
      </c>
      <c r="B171" s="15" t="s">
        <v>13</v>
      </c>
      <c r="C171" s="15">
        <v>108</v>
      </c>
      <c r="D171" t="str">
        <f t="shared" si="2"/>
        <v/>
      </c>
    </row>
    <row r="172" spans="1:4">
      <c r="A172" s="53">
        <v>47105</v>
      </c>
      <c r="B172" s="14" t="s">
        <v>12</v>
      </c>
      <c r="C172" s="14">
        <v>85</v>
      </c>
      <c r="D172" t="str">
        <f t="shared" si="2"/>
        <v/>
      </c>
    </row>
    <row r="173" spans="1:4">
      <c r="A173" s="54">
        <v>47135</v>
      </c>
      <c r="B173" s="15" t="s">
        <v>12</v>
      </c>
      <c r="C173" s="15">
        <f>IF(ISBLANK(C126), O127, C126)</f>
        <v>87</v>
      </c>
      <c r="D173">
        <f t="shared" si="2"/>
        <v>2</v>
      </c>
    </row>
    <row r="174" spans="1:4">
      <c r="A174" s="53">
        <v>47165</v>
      </c>
      <c r="B174" s="14" t="s">
        <v>14</v>
      </c>
      <c r="C174" s="14">
        <v>95</v>
      </c>
      <c r="D174" t="str">
        <f t="shared" si="2"/>
        <v/>
      </c>
    </row>
    <row r="175" spans="1:4">
      <c r="A175" s="54">
        <v>47195</v>
      </c>
      <c r="B175" s="15" t="s">
        <v>13</v>
      </c>
      <c r="C175" s="15">
        <v>97</v>
      </c>
      <c r="D175" t="str">
        <f t="shared" si="2"/>
        <v/>
      </c>
    </row>
    <row r="176" spans="1:4">
      <c r="A176" s="53">
        <v>47225</v>
      </c>
      <c r="B176" s="14" t="s">
        <v>12</v>
      </c>
      <c r="C176" s="14">
        <v>116</v>
      </c>
      <c r="D176" t="str">
        <f t="shared" si="2"/>
        <v/>
      </c>
    </row>
    <row r="177" spans="1:4">
      <c r="A177" s="54">
        <v>47255</v>
      </c>
      <c r="B177" s="15" t="s">
        <v>11</v>
      </c>
      <c r="C177" s="15">
        <v>95</v>
      </c>
      <c r="D177" t="str">
        <f t="shared" si="2"/>
        <v/>
      </c>
    </row>
    <row r="178" spans="1:4">
      <c r="A178" s="53">
        <v>47285</v>
      </c>
      <c r="B178" s="14" t="s">
        <v>13</v>
      </c>
      <c r="C178" s="14">
        <v>123</v>
      </c>
      <c r="D178" t="str">
        <f t="shared" si="2"/>
        <v/>
      </c>
    </row>
    <row r="179" spans="1:4">
      <c r="A179" s="54">
        <v>47315</v>
      </c>
      <c r="B179" s="15" t="s">
        <v>13</v>
      </c>
      <c r="C179" s="15">
        <v>104</v>
      </c>
      <c r="D179">
        <f t="shared" si="2"/>
        <v>-19</v>
      </c>
    </row>
    <row r="180" spans="1:4">
      <c r="A180" s="53">
        <v>47345</v>
      </c>
      <c r="B180" s="14" t="s">
        <v>14</v>
      </c>
      <c r="C180" s="14">
        <v>94</v>
      </c>
      <c r="D180" t="str">
        <f t="shared" si="2"/>
        <v/>
      </c>
    </row>
    <row r="181" spans="1:4">
      <c r="A181" s="54">
        <v>47375</v>
      </c>
      <c r="B181" s="15" t="s">
        <v>12</v>
      </c>
      <c r="C181" s="15">
        <v>105</v>
      </c>
      <c r="D181" t="str">
        <f t="shared" si="2"/>
        <v/>
      </c>
    </row>
    <row r="182" spans="1:4">
      <c r="A182" s="53">
        <v>47405</v>
      </c>
      <c r="B182" s="14" t="s">
        <v>13</v>
      </c>
      <c r="C182" s="14">
        <v>109</v>
      </c>
      <c r="D182" t="str">
        <f t="shared" si="2"/>
        <v/>
      </c>
    </row>
    <row r="183" spans="1:4">
      <c r="A183" s="54">
        <v>47435</v>
      </c>
      <c r="B183" s="15" t="s">
        <v>12</v>
      </c>
      <c r="C183" s="15">
        <v>84</v>
      </c>
      <c r="D183" t="str">
        <f t="shared" si="2"/>
        <v/>
      </c>
    </row>
    <row r="184" spans="1:4">
      <c r="A184" s="53">
        <v>47465</v>
      </c>
      <c r="B184" s="14" t="s">
        <v>11</v>
      </c>
      <c r="C184" s="14">
        <v>79</v>
      </c>
      <c r="D184" t="str">
        <f t="shared" si="2"/>
        <v/>
      </c>
    </row>
    <row r="185" spans="1:4">
      <c r="A185" s="54">
        <v>47495</v>
      </c>
      <c r="B185" s="15" t="s">
        <v>14</v>
      </c>
      <c r="C185" s="15">
        <v>98</v>
      </c>
      <c r="D185" t="str">
        <f t="shared" si="2"/>
        <v/>
      </c>
    </row>
    <row r="186" spans="1:4">
      <c r="A186" s="53">
        <v>47525</v>
      </c>
      <c r="B186" s="14" t="s">
        <v>11</v>
      </c>
      <c r="C186" s="14">
        <v>96</v>
      </c>
      <c r="D186" t="str">
        <f t="shared" si="2"/>
        <v/>
      </c>
    </row>
    <row r="187" spans="1:4">
      <c r="A187" s="54">
        <v>47555</v>
      </c>
      <c r="B187" s="15" t="s">
        <v>14</v>
      </c>
      <c r="C187" s="15">
        <v>88</v>
      </c>
      <c r="D187" t="str">
        <f t="shared" si="2"/>
        <v/>
      </c>
    </row>
    <row r="188" spans="1:4">
      <c r="A188" s="53">
        <v>47585</v>
      </c>
      <c r="B188" s="14" t="s">
        <v>13</v>
      </c>
      <c r="C188" s="14">
        <v>103</v>
      </c>
      <c r="D188" t="str">
        <f t="shared" si="2"/>
        <v/>
      </c>
    </row>
    <row r="189" spans="1:4">
      <c r="A189" s="54">
        <v>47615</v>
      </c>
      <c r="B189" s="15" t="s">
        <v>14</v>
      </c>
      <c r="C189" s="15">
        <v>83</v>
      </c>
      <c r="D189" t="str">
        <f t="shared" si="2"/>
        <v/>
      </c>
    </row>
    <row r="190" spans="1:4">
      <c r="A190" s="53">
        <v>47645</v>
      </c>
      <c r="B190" s="14" t="s">
        <v>10</v>
      </c>
      <c r="C190" s="14">
        <v>82</v>
      </c>
      <c r="D190" t="str">
        <f t="shared" si="2"/>
        <v/>
      </c>
    </row>
    <row r="191" spans="1:4">
      <c r="A191" s="54">
        <v>47675</v>
      </c>
      <c r="B191" s="15" t="s">
        <v>12</v>
      </c>
      <c r="C191" s="15">
        <v>106</v>
      </c>
      <c r="D191" t="str">
        <f t="shared" si="2"/>
        <v/>
      </c>
    </row>
    <row r="192" spans="1:4">
      <c r="A192" s="53">
        <v>47705</v>
      </c>
      <c r="B192" s="14" t="s">
        <v>12</v>
      </c>
      <c r="C192" s="14">
        <v>96</v>
      </c>
      <c r="D192">
        <f t="shared" si="2"/>
        <v>-10</v>
      </c>
    </row>
    <row r="193" spans="1:4">
      <c r="A193" s="54">
        <v>47735</v>
      </c>
      <c r="B193" s="15" t="s">
        <v>10</v>
      </c>
      <c r="C193" s="15">
        <v>96</v>
      </c>
      <c r="D193" t="str">
        <f>IF(B193=B192, C193 - C192, "")</f>
        <v/>
      </c>
    </row>
    <row r="194" spans="1:4">
      <c r="A194" s="53">
        <v>47765</v>
      </c>
      <c r="B194" s="14" t="s">
        <v>11</v>
      </c>
      <c r="C194" s="14">
        <v>109</v>
      </c>
      <c r="D194" t="str">
        <f t="shared" ref="D194:D257" si="3">IF(B194=B193, C194 - C193, "")</f>
        <v/>
      </c>
    </row>
    <row r="195" spans="1:4">
      <c r="A195" s="54">
        <v>47795</v>
      </c>
      <c r="B195" s="15" t="s">
        <v>10</v>
      </c>
      <c r="C195" s="15">
        <v>98</v>
      </c>
      <c r="D195" t="str">
        <f t="shared" si="3"/>
        <v/>
      </c>
    </row>
    <row r="196" spans="1:4">
      <c r="A196" s="53">
        <v>47825</v>
      </c>
      <c r="B196" s="14" t="s">
        <v>13</v>
      </c>
      <c r="C196" s="14">
        <v>86</v>
      </c>
      <c r="D196" t="str">
        <f t="shared" si="3"/>
        <v/>
      </c>
    </row>
    <row r="197" spans="1:4">
      <c r="A197" s="54">
        <v>47855</v>
      </c>
      <c r="B197" s="15" t="s">
        <v>13</v>
      </c>
      <c r="C197" s="15">
        <v>79</v>
      </c>
      <c r="D197">
        <f t="shared" si="3"/>
        <v>-7</v>
      </c>
    </row>
    <row r="198" spans="1:4">
      <c r="A198" s="53">
        <v>47885</v>
      </c>
      <c r="B198" s="14" t="s">
        <v>12</v>
      </c>
      <c r="C198" s="14">
        <v>86</v>
      </c>
      <c r="D198" t="str">
        <f t="shared" si="3"/>
        <v/>
      </c>
    </row>
    <row r="199" spans="1:4">
      <c r="A199" s="54">
        <v>47915</v>
      </c>
      <c r="B199" s="15" t="s">
        <v>13</v>
      </c>
      <c r="C199" s="15">
        <v>108</v>
      </c>
      <c r="D199" t="str">
        <f t="shared" si="3"/>
        <v/>
      </c>
    </row>
    <row r="200" spans="1:4">
      <c r="A200" s="53">
        <v>47945</v>
      </c>
      <c r="B200" s="14" t="s">
        <v>12</v>
      </c>
      <c r="C200" s="14">
        <v>127</v>
      </c>
      <c r="D200" t="str">
        <f t="shared" si="3"/>
        <v/>
      </c>
    </row>
    <row r="201" spans="1:4">
      <c r="A201" s="54">
        <v>47975</v>
      </c>
      <c r="B201" s="15" t="s">
        <v>10</v>
      </c>
      <c r="C201" s="15">
        <v>93</v>
      </c>
      <c r="D201" t="str">
        <f t="shared" si="3"/>
        <v/>
      </c>
    </row>
    <row r="202" spans="1:4">
      <c r="A202" s="53">
        <v>48005</v>
      </c>
      <c r="B202" s="14" t="s">
        <v>10</v>
      </c>
      <c r="C202" s="14">
        <v>82</v>
      </c>
      <c r="D202">
        <f t="shared" si="3"/>
        <v>-11</v>
      </c>
    </row>
    <row r="203" spans="1:4">
      <c r="A203" s="54">
        <v>48035</v>
      </c>
      <c r="B203" s="15" t="s">
        <v>10</v>
      </c>
      <c r="C203" s="15">
        <v>104</v>
      </c>
      <c r="D203">
        <f t="shared" si="3"/>
        <v>22</v>
      </c>
    </row>
    <row r="204" spans="1:4">
      <c r="A204" s="53">
        <v>48065</v>
      </c>
      <c r="B204" s="14" t="s">
        <v>12</v>
      </c>
      <c r="C204" s="14">
        <v>99</v>
      </c>
      <c r="D204" t="str">
        <f t="shared" si="3"/>
        <v/>
      </c>
    </row>
    <row r="205" spans="1:4">
      <c r="A205" s="54">
        <v>48095</v>
      </c>
      <c r="B205" s="15" t="s">
        <v>10</v>
      </c>
      <c r="C205" s="15">
        <v>102</v>
      </c>
      <c r="D205" t="str">
        <f t="shared" si="3"/>
        <v/>
      </c>
    </row>
    <row r="206" spans="1:4">
      <c r="A206" s="53">
        <v>48125</v>
      </c>
      <c r="B206" s="14" t="s">
        <v>10</v>
      </c>
      <c r="C206" s="14">
        <v>76</v>
      </c>
      <c r="D206">
        <f t="shared" si="3"/>
        <v>-26</v>
      </c>
    </row>
    <row r="207" spans="1:4">
      <c r="A207" s="54">
        <v>48155</v>
      </c>
      <c r="B207" s="15" t="s">
        <v>11</v>
      </c>
      <c r="C207" s="15">
        <v>99</v>
      </c>
      <c r="D207" t="str">
        <f t="shared" si="3"/>
        <v/>
      </c>
    </row>
    <row r="208" spans="1:4">
      <c r="A208" s="53">
        <v>48185</v>
      </c>
      <c r="B208" s="14" t="s">
        <v>10</v>
      </c>
      <c r="C208" s="14">
        <v>93</v>
      </c>
      <c r="D208" t="str">
        <f t="shared" si="3"/>
        <v/>
      </c>
    </row>
    <row r="209" spans="1:4">
      <c r="A209" s="54">
        <v>48215</v>
      </c>
      <c r="B209" s="15" t="s">
        <v>13</v>
      </c>
      <c r="C209" s="15">
        <v>99</v>
      </c>
      <c r="D209" t="str">
        <f t="shared" si="3"/>
        <v/>
      </c>
    </row>
    <row r="210" spans="1:4">
      <c r="A210" s="53">
        <v>48245</v>
      </c>
      <c r="B210" s="14" t="s">
        <v>12</v>
      </c>
      <c r="C210" s="14">
        <v>102</v>
      </c>
      <c r="D210" t="str">
        <f t="shared" si="3"/>
        <v/>
      </c>
    </row>
    <row r="211" spans="1:4">
      <c r="A211" s="54">
        <v>48275</v>
      </c>
      <c r="B211" s="15" t="s">
        <v>11</v>
      </c>
      <c r="C211" s="15">
        <v>106</v>
      </c>
      <c r="D211" t="str">
        <f t="shared" si="3"/>
        <v/>
      </c>
    </row>
    <row r="212" spans="1:4">
      <c r="A212" s="53">
        <v>48305</v>
      </c>
      <c r="B212" s="14" t="s">
        <v>14</v>
      </c>
      <c r="C212" s="14">
        <v>94</v>
      </c>
      <c r="D212" t="str">
        <f t="shared" si="3"/>
        <v/>
      </c>
    </row>
    <row r="213" spans="1:4">
      <c r="A213" s="54">
        <v>48335</v>
      </c>
      <c r="B213" s="15" t="s">
        <v>12</v>
      </c>
      <c r="C213" s="15">
        <v>105</v>
      </c>
      <c r="D213" t="str">
        <f t="shared" si="3"/>
        <v/>
      </c>
    </row>
    <row r="214" spans="1:4">
      <c r="A214" s="53">
        <v>48365</v>
      </c>
      <c r="B214" s="14" t="s">
        <v>13</v>
      </c>
      <c r="C214" s="14">
        <v>100</v>
      </c>
      <c r="D214" t="str">
        <f t="shared" si="3"/>
        <v/>
      </c>
    </row>
    <row r="215" spans="1:4">
      <c r="A215" s="54">
        <v>48395</v>
      </c>
      <c r="B215" s="15" t="s">
        <v>12</v>
      </c>
      <c r="C215" s="15">
        <v>122</v>
      </c>
      <c r="D215" t="str">
        <f t="shared" si="3"/>
        <v/>
      </c>
    </row>
    <row r="216" spans="1:4">
      <c r="A216" s="53">
        <v>48425</v>
      </c>
      <c r="B216" s="14" t="s">
        <v>13</v>
      </c>
      <c r="C216" s="14">
        <v>103</v>
      </c>
      <c r="D216" t="str">
        <f t="shared" si="3"/>
        <v/>
      </c>
    </row>
    <row r="217" spans="1:4">
      <c r="A217" s="54">
        <v>48455</v>
      </c>
      <c r="B217" s="15" t="s">
        <v>13</v>
      </c>
      <c r="C217" s="15">
        <v>119</v>
      </c>
      <c r="D217">
        <f t="shared" si="3"/>
        <v>16</v>
      </c>
    </row>
    <row r="218" spans="1:4">
      <c r="A218" s="53">
        <v>48485</v>
      </c>
      <c r="B218" s="14" t="s">
        <v>14</v>
      </c>
      <c r="C218" s="14">
        <v>76</v>
      </c>
      <c r="D218" t="str">
        <f t="shared" si="3"/>
        <v/>
      </c>
    </row>
    <row r="219" spans="1:4">
      <c r="A219" s="54">
        <v>48515</v>
      </c>
      <c r="B219" s="15" t="s">
        <v>12</v>
      </c>
      <c r="C219" s="15">
        <v>96</v>
      </c>
      <c r="D219" t="str">
        <f t="shared" si="3"/>
        <v/>
      </c>
    </row>
    <row r="220" spans="1:4">
      <c r="A220" s="53">
        <v>48545</v>
      </c>
      <c r="B220" s="14" t="s">
        <v>14</v>
      </c>
      <c r="C220" s="14">
        <v>103</v>
      </c>
      <c r="D220" t="str">
        <f t="shared" si="3"/>
        <v/>
      </c>
    </row>
    <row r="221" spans="1:4">
      <c r="A221" s="54">
        <v>48575</v>
      </c>
      <c r="B221" s="15" t="s">
        <v>14</v>
      </c>
      <c r="C221" s="15">
        <v>111</v>
      </c>
      <c r="D221">
        <f t="shared" si="3"/>
        <v>8</v>
      </c>
    </row>
    <row r="222" spans="1:4">
      <c r="A222" s="53">
        <v>48605</v>
      </c>
      <c r="B222" s="14" t="s">
        <v>12</v>
      </c>
      <c r="C222" s="14">
        <v>97</v>
      </c>
      <c r="D222" t="str">
        <f t="shared" si="3"/>
        <v/>
      </c>
    </row>
    <row r="223" spans="1:4">
      <c r="A223" s="54">
        <v>48635</v>
      </c>
      <c r="B223" s="15" t="s">
        <v>10</v>
      </c>
      <c r="C223" s="15">
        <v>112</v>
      </c>
      <c r="D223" t="str">
        <f t="shared" si="3"/>
        <v/>
      </c>
    </row>
    <row r="224" spans="1:4">
      <c r="A224" s="53">
        <v>48665</v>
      </c>
      <c r="B224" s="14" t="s">
        <v>10</v>
      </c>
      <c r="C224" s="14">
        <v>99</v>
      </c>
      <c r="D224">
        <f t="shared" si="3"/>
        <v>-13</v>
      </c>
    </row>
    <row r="225" spans="1:4">
      <c r="A225" s="54">
        <v>48695</v>
      </c>
      <c r="B225" s="15" t="s">
        <v>14</v>
      </c>
      <c r="C225" s="15">
        <v>124</v>
      </c>
      <c r="D225" t="str">
        <f t="shared" si="3"/>
        <v/>
      </c>
    </row>
    <row r="226" spans="1:4">
      <c r="A226" s="53">
        <v>48725</v>
      </c>
      <c r="B226" s="14" t="s">
        <v>11</v>
      </c>
      <c r="C226" s="14">
        <v>91</v>
      </c>
      <c r="D226" t="str">
        <f t="shared" si="3"/>
        <v/>
      </c>
    </row>
    <row r="227" spans="1:4">
      <c r="A227" s="54">
        <v>48755</v>
      </c>
      <c r="B227" s="15" t="s">
        <v>14</v>
      </c>
      <c r="C227" s="15">
        <v>103</v>
      </c>
      <c r="D227" t="str">
        <f t="shared" si="3"/>
        <v/>
      </c>
    </row>
    <row r="228" spans="1:4">
      <c r="A228" s="53">
        <v>48785</v>
      </c>
      <c r="B228" s="14" t="s">
        <v>14</v>
      </c>
      <c r="C228" s="14">
        <v>86</v>
      </c>
      <c r="D228">
        <f t="shared" si="3"/>
        <v>-17</v>
      </c>
    </row>
    <row r="229" spans="1:4">
      <c r="A229" s="54">
        <v>48815</v>
      </c>
      <c r="B229" s="15" t="s">
        <v>14</v>
      </c>
      <c r="C229" s="15">
        <v>101</v>
      </c>
      <c r="D229">
        <f t="shared" si="3"/>
        <v>15</v>
      </c>
    </row>
    <row r="230" spans="1:4">
      <c r="A230" s="53">
        <v>48845</v>
      </c>
      <c r="B230" s="14" t="s">
        <v>10</v>
      </c>
      <c r="C230" s="14">
        <v>101</v>
      </c>
      <c r="D230" t="str">
        <f t="shared" si="3"/>
        <v/>
      </c>
    </row>
    <row r="231" spans="1:4">
      <c r="A231" s="54">
        <v>48875</v>
      </c>
      <c r="B231" s="15" t="s">
        <v>10</v>
      </c>
      <c r="C231" s="15">
        <v>101</v>
      </c>
      <c r="D231">
        <f t="shared" si="3"/>
        <v>0</v>
      </c>
    </row>
    <row r="232" spans="1:4">
      <c r="A232" s="53">
        <v>48905</v>
      </c>
      <c r="B232" s="14" t="s">
        <v>10</v>
      </c>
      <c r="C232" s="14">
        <v>113</v>
      </c>
      <c r="D232">
        <f t="shared" si="3"/>
        <v>12</v>
      </c>
    </row>
    <row r="233" spans="1:4">
      <c r="A233" s="54">
        <v>48935</v>
      </c>
      <c r="B233" s="15" t="s">
        <v>14</v>
      </c>
      <c r="C233" s="15">
        <v>87</v>
      </c>
      <c r="D233" t="str">
        <f t="shared" si="3"/>
        <v/>
      </c>
    </row>
    <row r="234" spans="1:4">
      <c r="A234" s="53">
        <v>48965</v>
      </c>
      <c r="B234" s="14" t="s">
        <v>11</v>
      </c>
      <c r="C234" s="14">
        <v>108</v>
      </c>
      <c r="D234" t="str">
        <f t="shared" si="3"/>
        <v/>
      </c>
    </row>
    <row r="235" spans="1:4">
      <c r="A235" s="54">
        <v>48995</v>
      </c>
      <c r="B235" s="15" t="s">
        <v>10</v>
      </c>
      <c r="C235" s="15">
        <v>100</v>
      </c>
      <c r="D235" t="str">
        <f t="shared" si="3"/>
        <v/>
      </c>
    </row>
    <row r="236" spans="1:4">
      <c r="A236" s="53">
        <v>49025</v>
      </c>
      <c r="B236" s="14" t="s">
        <v>12</v>
      </c>
      <c r="C236" s="14">
        <v>87</v>
      </c>
      <c r="D236" t="str">
        <f t="shared" si="3"/>
        <v/>
      </c>
    </row>
    <row r="237" spans="1:4">
      <c r="A237" s="54">
        <v>49055</v>
      </c>
      <c r="B237" s="15" t="s">
        <v>12</v>
      </c>
      <c r="C237" s="15">
        <v>96</v>
      </c>
      <c r="D237">
        <f t="shared" si="3"/>
        <v>9</v>
      </c>
    </row>
    <row r="238" spans="1:4">
      <c r="A238" s="53">
        <v>49085</v>
      </c>
      <c r="B238" s="14" t="s">
        <v>12</v>
      </c>
      <c r="C238" s="14">
        <v>97</v>
      </c>
      <c r="D238">
        <f t="shared" si="3"/>
        <v>1</v>
      </c>
    </row>
    <row r="239" spans="1:4">
      <c r="A239" s="54">
        <v>49115</v>
      </c>
      <c r="B239" s="15" t="s">
        <v>13</v>
      </c>
      <c r="C239" s="15">
        <v>116</v>
      </c>
      <c r="D239" t="str">
        <f t="shared" si="3"/>
        <v/>
      </c>
    </row>
    <row r="240" spans="1:4">
      <c r="A240" s="53">
        <v>49145</v>
      </c>
      <c r="B240" s="14" t="s">
        <v>14</v>
      </c>
      <c r="C240" s="14">
        <v>100</v>
      </c>
      <c r="D240" t="str">
        <f t="shared" si="3"/>
        <v/>
      </c>
    </row>
    <row r="241" spans="1:4">
      <c r="A241" s="54">
        <v>49175</v>
      </c>
      <c r="B241" s="15" t="s">
        <v>12</v>
      </c>
      <c r="C241" s="15">
        <v>97</v>
      </c>
      <c r="D241" t="str">
        <f t="shared" si="3"/>
        <v/>
      </c>
    </row>
    <row r="242" spans="1:4">
      <c r="A242" s="53">
        <v>49205</v>
      </c>
      <c r="B242" s="14" t="s">
        <v>14</v>
      </c>
      <c r="C242" s="14">
        <v>100</v>
      </c>
      <c r="D242" t="str">
        <f t="shared" si="3"/>
        <v/>
      </c>
    </row>
    <row r="243" spans="1:4">
      <c r="A243" s="54">
        <v>49235</v>
      </c>
      <c r="B243" s="15" t="s">
        <v>12</v>
      </c>
      <c r="C243" s="15">
        <v>99</v>
      </c>
      <c r="D243" t="str">
        <f t="shared" si="3"/>
        <v/>
      </c>
    </row>
    <row r="244" spans="1:4">
      <c r="A244" s="53">
        <v>49265</v>
      </c>
      <c r="B244" s="14" t="s">
        <v>11</v>
      </c>
      <c r="C244" s="14">
        <v>100</v>
      </c>
      <c r="D244" t="str">
        <f t="shared" si="3"/>
        <v/>
      </c>
    </row>
    <row r="245" spans="1:4">
      <c r="A245" s="54">
        <v>49295</v>
      </c>
      <c r="B245" s="15" t="s">
        <v>14</v>
      </c>
      <c r="C245" s="15">
        <v>100</v>
      </c>
      <c r="D245" t="str">
        <f t="shared" si="3"/>
        <v/>
      </c>
    </row>
    <row r="246" spans="1:4">
      <c r="A246" s="53">
        <v>49325</v>
      </c>
      <c r="B246" s="14" t="s">
        <v>12</v>
      </c>
      <c r="C246" s="14">
        <v>82</v>
      </c>
      <c r="D246" t="str">
        <f t="shared" si="3"/>
        <v/>
      </c>
    </row>
    <row r="247" spans="1:4">
      <c r="A247" s="54">
        <v>49355</v>
      </c>
      <c r="B247" s="15" t="s">
        <v>10</v>
      </c>
      <c r="C247" s="15">
        <v>87</v>
      </c>
      <c r="D247" t="str">
        <f t="shared" si="3"/>
        <v/>
      </c>
    </row>
    <row r="248" spans="1:4">
      <c r="A248" s="53">
        <v>49385</v>
      </c>
      <c r="B248" s="14" t="s">
        <v>14</v>
      </c>
      <c r="C248" s="14">
        <v>87</v>
      </c>
      <c r="D248" t="str">
        <f t="shared" si="3"/>
        <v/>
      </c>
    </row>
    <row r="249" spans="1:4">
      <c r="A249" s="54">
        <v>49415</v>
      </c>
      <c r="B249" s="15" t="s">
        <v>13</v>
      </c>
      <c r="C249" s="15">
        <v>90</v>
      </c>
      <c r="D249" t="str">
        <f t="shared" si="3"/>
        <v/>
      </c>
    </row>
    <row r="250" spans="1:4">
      <c r="A250" s="53">
        <v>49445</v>
      </c>
      <c r="B250" s="14" t="s">
        <v>10</v>
      </c>
      <c r="C250" s="14">
        <v>115</v>
      </c>
      <c r="D250" t="str">
        <f t="shared" si="3"/>
        <v/>
      </c>
    </row>
    <row r="251" spans="1:4">
      <c r="A251" s="54">
        <v>49475</v>
      </c>
      <c r="B251" s="15" t="s">
        <v>10</v>
      </c>
      <c r="C251" s="15">
        <v>105</v>
      </c>
      <c r="D251">
        <f t="shared" si="3"/>
        <v>-10</v>
      </c>
    </row>
    <row r="252" spans="1:4">
      <c r="A252" s="53">
        <v>49505</v>
      </c>
      <c r="B252" s="14" t="s">
        <v>13</v>
      </c>
      <c r="C252" s="14">
        <v>90</v>
      </c>
      <c r="D252" t="str">
        <f t="shared" si="3"/>
        <v/>
      </c>
    </row>
    <row r="253" spans="1:4">
      <c r="A253" s="54">
        <v>49535</v>
      </c>
      <c r="B253" s="15" t="s">
        <v>10</v>
      </c>
      <c r="C253" s="15">
        <v>89</v>
      </c>
      <c r="D253" t="str">
        <f t="shared" si="3"/>
        <v/>
      </c>
    </row>
    <row r="254" spans="1:4">
      <c r="A254" s="53">
        <v>49565</v>
      </c>
      <c r="B254" s="14" t="s">
        <v>10</v>
      </c>
      <c r="C254" s="14">
        <v>89</v>
      </c>
      <c r="D254">
        <f t="shared" si="3"/>
        <v>0</v>
      </c>
    </row>
    <row r="255" spans="1:4">
      <c r="A255" s="54">
        <v>49595</v>
      </c>
      <c r="B255" s="15" t="s">
        <v>12</v>
      </c>
      <c r="C255" s="15">
        <v>86</v>
      </c>
      <c r="D255" t="str">
        <f t="shared" si="3"/>
        <v/>
      </c>
    </row>
    <row r="256" spans="1:4">
      <c r="A256" s="53">
        <v>49625</v>
      </c>
      <c r="B256" s="14" t="s">
        <v>12</v>
      </c>
      <c r="C256" s="14">
        <v>91</v>
      </c>
      <c r="D256">
        <f t="shared" si="3"/>
        <v>5</v>
      </c>
    </row>
    <row r="257" spans="1:4">
      <c r="A257" s="54">
        <v>49655</v>
      </c>
      <c r="B257" s="15" t="s">
        <v>14</v>
      </c>
      <c r="C257" s="15">
        <v>100</v>
      </c>
      <c r="D257" t="str">
        <f t="shared" si="3"/>
        <v/>
      </c>
    </row>
    <row r="258" spans="1:4">
      <c r="A258" s="53">
        <v>49685</v>
      </c>
      <c r="B258" s="14" t="s">
        <v>14</v>
      </c>
      <c r="C258" s="14">
        <v>104</v>
      </c>
      <c r="D258">
        <f t="shared" ref="D258:D321" si="4">IF(B258=B257, C258 - C257, "")</f>
        <v>4</v>
      </c>
    </row>
    <row r="259" spans="1:4">
      <c r="A259" s="54">
        <v>49715</v>
      </c>
      <c r="B259" s="15" t="s">
        <v>14</v>
      </c>
      <c r="C259" s="15">
        <v>80</v>
      </c>
      <c r="D259">
        <f t="shared" si="4"/>
        <v>-24</v>
      </c>
    </row>
    <row r="260" spans="1:4">
      <c r="A260" s="53">
        <v>49745</v>
      </c>
      <c r="B260" s="14" t="s">
        <v>12</v>
      </c>
      <c r="C260" s="14">
        <v>110</v>
      </c>
      <c r="D260" t="str">
        <f t="shared" si="4"/>
        <v/>
      </c>
    </row>
    <row r="261" spans="1:4">
      <c r="A261" s="54">
        <v>49775</v>
      </c>
      <c r="B261" s="15" t="s">
        <v>14</v>
      </c>
      <c r="C261" s="15">
        <v>90</v>
      </c>
      <c r="D261" t="str">
        <f t="shared" si="4"/>
        <v/>
      </c>
    </row>
    <row r="262" spans="1:4">
      <c r="A262" s="53">
        <v>49805</v>
      </c>
      <c r="B262" s="14" t="s">
        <v>10</v>
      </c>
      <c r="C262" s="14">
        <v>96</v>
      </c>
      <c r="D262" t="str">
        <f t="shared" si="4"/>
        <v/>
      </c>
    </row>
    <row r="263" spans="1:4">
      <c r="A263" s="54">
        <v>49835</v>
      </c>
      <c r="B263" s="15" t="s">
        <v>12</v>
      </c>
      <c r="C263" s="15">
        <v>103</v>
      </c>
      <c r="D263" t="str">
        <f t="shared" si="4"/>
        <v/>
      </c>
    </row>
    <row r="264" spans="1:4">
      <c r="A264" s="53">
        <v>49865</v>
      </c>
      <c r="B264" s="14" t="s">
        <v>14</v>
      </c>
      <c r="C264" s="14">
        <v>99</v>
      </c>
      <c r="D264" t="str">
        <f t="shared" si="4"/>
        <v/>
      </c>
    </row>
    <row r="265" spans="1:4">
      <c r="A265" s="54">
        <v>49895</v>
      </c>
      <c r="B265" s="15" t="s">
        <v>10</v>
      </c>
      <c r="C265" s="15">
        <f>IF(ISBLANK(C218), O219, C218)</f>
        <v>76</v>
      </c>
      <c r="D265" t="str">
        <f t="shared" si="4"/>
        <v/>
      </c>
    </row>
    <row r="266" spans="1:4">
      <c r="A266" s="53">
        <v>49925</v>
      </c>
      <c r="B266" s="14" t="s">
        <v>14</v>
      </c>
      <c r="C266" s="14">
        <v>106</v>
      </c>
      <c r="D266" t="str">
        <f t="shared" si="4"/>
        <v/>
      </c>
    </row>
    <row r="267" spans="1:4">
      <c r="A267" s="54">
        <v>49955</v>
      </c>
      <c r="B267" s="15" t="s">
        <v>11</v>
      </c>
      <c r="C267" s="15">
        <v>100</v>
      </c>
      <c r="D267" t="str">
        <f t="shared" si="4"/>
        <v/>
      </c>
    </row>
    <row r="268" spans="1:4">
      <c r="A268" s="53">
        <v>49985</v>
      </c>
      <c r="B268" s="14" t="s">
        <v>14</v>
      </c>
      <c r="C268" s="14">
        <v>85</v>
      </c>
      <c r="D268" t="str">
        <f t="shared" si="4"/>
        <v/>
      </c>
    </row>
    <row r="269" spans="1:4">
      <c r="A269" s="54">
        <v>50015</v>
      </c>
      <c r="B269" s="15" t="s">
        <v>11</v>
      </c>
      <c r="C269" s="15">
        <v>101</v>
      </c>
      <c r="D269" t="str">
        <f t="shared" si="4"/>
        <v/>
      </c>
    </row>
    <row r="270" spans="1:4">
      <c r="A270" s="53">
        <v>50045</v>
      </c>
      <c r="B270" s="14" t="s">
        <v>14</v>
      </c>
      <c r="C270" s="14">
        <v>93</v>
      </c>
      <c r="D270" t="str">
        <f t="shared" si="4"/>
        <v/>
      </c>
    </row>
    <row r="271" spans="1:4">
      <c r="A271" s="54">
        <v>50075</v>
      </c>
      <c r="B271" s="15" t="s">
        <v>13</v>
      </c>
      <c r="C271" s="15">
        <v>91</v>
      </c>
      <c r="D271" t="str">
        <f t="shared" si="4"/>
        <v/>
      </c>
    </row>
    <row r="272" spans="1:4">
      <c r="A272" s="53">
        <v>50105</v>
      </c>
      <c r="B272" s="14" t="s">
        <v>14</v>
      </c>
      <c r="C272" s="14">
        <v>103</v>
      </c>
      <c r="D272" t="str">
        <f t="shared" si="4"/>
        <v/>
      </c>
    </row>
    <row r="273" spans="1:4">
      <c r="A273" s="54">
        <v>50135</v>
      </c>
      <c r="B273" s="15" t="s">
        <v>12</v>
      </c>
      <c r="C273" s="15">
        <v>109</v>
      </c>
      <c r="D273" t="str">
        <f t="shared" si="4"/>
        <v/>
      </c>
    </row>
    <row r="274" spans="1:4">
      <c r="A274" s="53">
        <v>50165</v>
      </c>
      <c r="B274" s="14" t="s">
        <v>12</v>
      </c>
      <c r="C274" s="14">
        <v>83</v>
      </c>
      <c r="D274">
        <f t="shared" si="4"/>
        <v>-26</v>
      </c>
    </row>
    <row r="275" spans="1:4">
      <c r="A275" s="54">
        <v>50195</v>
      </c>
      <c r="B275" s="15" t="s">
        <v>11</v>
      </c>
      <c r="C275" s="15">
        <v>102</v>
      </c>
      <c r="D275" t="str">
        <f t="shared" si="4"/>
        <v/>
      </c>
    </row>
    <row r="276" spans="1:4">
      <c r="A276" s="53">
        <v>50225</v>
      </c>
      <c r="B276" s="14" t="s">
        <v>12</v>
      </c>
      <c r="C276" s="14">
        <v>98</v>
      </c>
      <c r="D276" t="str">
        <f t="shared" si="4"/>
        <v/>
      </c>
    </row>
    <row r="277" spans="1:4">
      <c r="A277" s="54">
        <v>50255</v>
      </c>
      <c r="B277" s="15" t="s">
        <v>10</v>
      </c>
      <c r="C277" s="15">
        <v>93</v>
      </c>
      <c r="D277" t="str">
        <f t="shared" si="4"/>
        <v/>
      </c>
    </row>
    <row r="278" spans="1:4">
      <c r="A278" s="53">
        <v>50285</v>
      </c>
      <c r="B278" s="14" t="s">
        <v>13</v>
      </c>
      <c r="C278" s="14">
        <v>104</v>
      </c>
      <c r="D278" t="str">
        <f t="shared" si="4"/>
        <v/>
      </c>
    </row>
    <row r="279" spans="1:4">
      <c r="A279" s="54">
        <v>50315</v>
      </c>
      <c r="B279" s="15" t="s">
        <v>13</v>
      </c>
      <c r="C279" s="15">
        <v>96</v>
      </c>
      <c r="D279">
        <f t="shared" si="4"/>
        <v>-8</v>
      </c>
    </row>
    <row r="280" spans="1:4">
      <c r="A280" s="53">
        <v>50345</v>
      </c>
      <c r="B280" s="14" t="s">
        <v>10</v>
      </c>
      <c r="C280" s="14">
        <v>103</v>
      </c>
      <c r="D280" t="str">
        <f t="shared" si="4"/>
        <v/>
      </c>
    </row>
    <row r="281" spans="1:4">
      <c r="A281" s="54">
        <v>50375</v>
      </c>
      <c r="B281" s="15" t="s">
        <v>11</v>
      </c>
      <c r="C281" s="15">
        <v>85</v>
      </c>
      <c r="D281" t="str">
        <f t="shared" si="4"/>
        <v/>
      </c>
    </row>
    <row r="282" spans="1:4">
      <c r="A282" s="53">
        <v>50405</v>
      </c>
      <c r="B282" s="14" t="s">
        <v>10</v>
      </c>
      <c r="C282" s="14">
        <v>92</v>
      </c>
      <c r="D282" t="str">
        <f t="shared" si="4"/>
        <v/>
      </c>
    </row>
    <row r="283" spans="1:4">
      <c r="A283" s="54">
        <v>50435</v>
      </c>
      <c r="B283" s="15" t="s">
        <v>10</v>
      </c>
      <c r="C283" s="15">
        <v>90</v>
      </c>
      <c r="D283">
        <f t="shared" si="4"/>
        <v>-2</v>
      </c>
    </row>
    <row r="284" spans="1:4">
      <c r="A284" s="53">
        <v>50465</v>
      </c>
      <c r="B284" s="14" t="s">
        <v>13</v>
      </c>
      <c r="C284" s="14">
        <v>83</v>
      </c>
      <c r="D284" t="str">
        <f t="shared" si="4"/>
        <v/>
      </c>
    </row>
    <row r="285" spans="1:4">
      <c r="A285" s="54">
        <v>50495</v>
      </c>
      <c r="B285" s="15" t="s">
        <v>14</v>
      </c>
      <c r="C285" s="15">
        <v>86</v>
      </c>
      <c r="D285" t="str">
        <f t="shared" si="4"/>
        <v/>
      </c>
    </row>
    <row r="286" spans="1:4">
      <c r="A286" s="53">
        <v>50525</v>
      </c>
      <c r="B286" s="14" t="s">
        <v>13</v>
      </c>
      <c r="C286" s="14">
        <v>110</v>
      </c>
      <c r="D286" t="str">
        <f t="shared" si="4"/>
        <v/>
      </c>
    </row>
    <row r="287" spans="1:4">
      <c r="A287" s="54">
        <v>50555</v>
      </c>
      <c r="B287" s="15" t="s">
        <v>13</v>
      </c>
      <c r="C287" s="15">
        <v>89</v>
      </c>
      <c r="D287">
        <f t="shared" si="4"/>
        <v>-21</v>
      </c>
    </row>
    <row r="288" spans="1:4">
      <c r="A288" s="53">
        <v>50585</v>
      </c>
      <c r="B288" s="14" t="s">
        <v>12</v>
      </c>
      <c r="C288" s="14">
        <v>118</v>
      </c>
      <c r="D288" t="str">
        <f t="shared" si="4"/>
        <v/>
      </c>
    </row>
    <row r="289" spans="1:4">
      <c r="A289" s="54">
        <v>50615</v>
      </c>
      <c r="B289" s="15" t="s">
        <v>10</v>
      </c>
      <c r="C289" s="15">
        <v>102</v>
      </c>
      <c r="D289" t="str">
        <f t="shared" si="4"/>
        <v/>
      </c>
    </row>
    <row r="290" spans="1:4">
      <c r="A290" s="53">
        <v>50645</v>
      </c>
      <c r="B290" s="14" t="s">
        <v>13</v>
      </c>
      <c r="C290" s="14">
        <v>108</v>
      </c>
      <c r="D290" t="str">
        <f t="shared" si="4"/>
        <v/>
      </c>
    </row>
    <row r="291" spans="1:4">
      <c r="A291" s="54">
        <v>50675</v>
      </c>
      <c r="B291" s="15" t="s">
        <v>10</v>
      </c>
      <c r="C291" s="15">
        <v>95</v>
      </c>
      <c r="D291" t="str">
        <f t="shared" si="4"/>
        <v/>
      </c>
    </row>
    <row r="292" spans="1:4">
      <c r="A292" s="53">
        <v>50705</v>
      </c>
      <c r="B292" s="14" t="s">
        <v>12</v>
      </c>
      <c r="C292" s="14">
        <v>100</v>
      </c>
      <c r="D292" t="str">
        <f t="shared" si="4"/>
        <v/>
      </c>
    </row>
    <row r="293" spans="1:4">
      <c r="A293" s="54">
        <v>50735</v>
      </c>
      <c r="B293" s="15" t="s">
        <v>10</v>
      </c>
      <c r="C293" s="15">
        <v>86</v>
      </c>
      <c r="D293" t="str">
        <f t="shared" si="4"/>
        <v/>
      </c>
    </row>
    <row r="294" spans="1:4">
      <c r="A294" s="53">
        <v>50765</v>
      </c>
      <c r="B294" s="14" t="s">
        <v>13</v>
      </c>
      <c r="C294" s="14">
        <v>94</v>
      </c>
      <c r="D294" t="str">
        <f t="shared" si="4"/>
        <v/>
      </c>
    </row>
    <row r="295" spans="1:4">
      <c r="A295" s="54">
        <v>50795</v>
      </c>
      <c r="B295" s="15" t="s">
        <v>10</v>
      </c>
      <c r="C295" s="15">
        <v>88</v>
      </c>
      <c r="D295" t="str">
        <f t="shared" si="4"/>
        <v/>
      </c>
    </row>
    <row r="296" spans="1:4">
      <c r="A296" s="53">
        <v>50825</v>
      </c>
      <c r="B296" s="14" t="s">
        <v>12</v>
      </c>
      <c r="C296" s="14">
        <v>100</v>
      </c>
      <c r="D296" t="str">
        <f t="shared" si="4"/>
        <v/>
      </c>
    </row>
    <row r="297" spans="1:4">
      <c r="A297" s="54">
        <v>50855</v>
      </c>
      <c r="B297" s="15" t="s">
        <v>14</v>
      </c>
      <c r="C297" s="15">
        <v>95</v>
      </c>
      <c r="D297" t="str">
        <f t="shared" si="4"/>
        <v/>
      </c>
    </row>
    <row r="298" spans="1:4">
      <c r="A298" s="53">
        <v>50885</v>
      </c>
      <c r="B298" s="14" t="s">
        <v>10</v>
      </c>
      <c r="C298" s="14">
        <v>95</v>
      </c>
      <c r="D298" t="str">
        <f t="shared" si="4"/>
        <v/>
      </c>
    </row>
    <row r="299" spans="1:4">
      <c r="A299" s="54">
        <v>50915</v>
      </c>
      <c r="B299" s="15" t="s">
        <v>13</v>
      </c>
      <c r="C299" s="15">
        <v>92</v>
      </c>
      <c r="D299" t="str">
        <f t="shared" si="4"/>
        <v/>
      </c>
    </row>
    <row r="300" spans="1:4">
      <c r="A300" s="53">
        <v>50945</v>
      </c>
      <c r="B300" s="14" t="s">
        <v>12</v>
      </c>
      <c r="C300" s="14">
        <v>108</v>
      </c>
      <c r="D300" t="str">
        <f t="shared" si="4"/>
        <v/>
      </c>
    </row>
    <row r="301" spans="1:4">
      <c r="A301" s="54">
        <v>50975</v>
      </c>
      <c r="B301" s="15" t="s">
        <v>13</v>
      </c>
      <c r="C301" s="15">
        <v>99</v>
      </c>
      <c r="D301" t="str">
        <f t="shared" si="4"/>
        <v/>
      </c>
    </row>
    <row r="302" spans="1:4">
      <c r="A302" s="53">
        <v>51005</v>
      </c>
      <c r="B302" s="14" t="s">
        <v>13</v>
      </c>
      <c r="C302" s="14">
        <v>95</v>
      </c>
      <c r="D302">
        <f t="shared" si="4"/>
        <v>-4</v>
      </c>
    </row>
    <row r="303" spans="1:4">
      <c r="A303" s="54">
        <v>51035</v>
      </c>
      <c r="B303" s="15" t="s">
        <v>10</v>
      </c>
      <c r="C303" s="15">
        <v>86</v>
      </c>
      <c r="D303" t="str">
        <f t="shared" si="4"/>
        <v/>
      </c>
    </row>
    <row r="304" spans="1:4">
      <c r="A304" s="53">
        <v>51065</v>
      </c>
      <c r="B304" s="14" t="s">
        <v>13</v>
      </c>
      <c r="C304" s="14">
        <v>120</v>
      </c>
      <c r="D304" t="str">
        <f t="shared" si="4"/>
        <v/>
      </c>
    </row>
    <row r="305" spans="1:4">
      <c r="A305" s="54">
        <v>51095</v>
      </c>
      <c r="B305" s="15" t="s">
        <v>10</v>
      </c>
      <c r="C305" s="15">
        <v>81</v>
      </c>
      <c r="D305" t="str">
        <f t="shared" si="4"/>
        <v/>
      </c>
    </row>
    <row r="306" spans="1:4">
      <c r="A306" s="53">
        <v>51125</v>
      </c>
      <c r="B306" s="14" t="s">
        <v>14</v>
      </c>
      <c r="C306" s="14">
        <v>102</v>
      </c>
      <c r="D306" t="str">
        <f t="shared" si="4"/>
        <v/>
      </c>
    </row>
    <row r="307" spans="1:4">
      <c r="A307" s="54">
        <v>51155</v>
      </c>
      <c r="B307" s="15" t="s">
        <v>13</v>
      </c>
      <c r="C307" s="15">
        <v>87</v>
      </c>
      <c r="D307" t="str">
        <f t="shared" si="4"/>
        <v/>
      </c>
    </row>
    <row r="308" spans="1:4">
      <c r="A308" s="53">
        <v>51185</v>
      </c>
      <c r="B308" s="14" t="s">
        <v>13</v>
      </c>
      <c r="C308" s="14">
        <v>90</v>
      </c>
      <c r="D308">
        <f t="shared" si="4"/>
        <v>3</v>
      </c>
    </row>
    <row r="309" spans="1:4">
      <c r="A309" s="54">
        <v>51215</v>
      </c>
      <c r="B309" s="15" t="s">
        <v>13</v>
      </c>
      <c r="C309" s="15">
        <v>89</v>
      </c>
      <c r="D309">
        <f t="shared" si="4"/>
        <v>-1</v>
      </c>
    </row>
    <row r="310" spans="1:4">
      <c r="A310" s="53">
        <v>51245</v>
      </c>
      <c r="B310" s="14" t="s">
        <v>11</v>
      </c>
      <c r="C310" s="14">
        <v>105</v>
      </c>
      <c r="D310" t="str">
        <f t="shared" si="4"/>
        <v/>
      </c>
    </row>
    <row r="311" spans="1:4">
      <c r="A311" s="54">
        <v>51275</v>
      </c>
      <c r="B311" s="15" t="s">
        <v>11</v>
      </c>
      <c r="C311" s="15">
        <v>96</v>
      </c>
      <c r="D311">
        <f t="shared" si="4"/>
        <v>-9</v>
      </c>
    </row>
    <row r="312" spans="1:4">
      <c r="A312" s="53">
        <v>51305</v>
      </c>
      <c r="B312" s="14" t="s">
        <v>12</v>
      </c>
      <c r="C312" s="14">
        <v>97</v>
      </c>
      <c r="D312" t="str">
        <f t="shared" si="4"/>
        <v/>
      </c>
    </row>
    <row r="313" spans="1:4">
      <c r="A313" s="54">
        <v>51335</v>
      </c>
      <c r="B313" s="15" t="s">
        <v>11</v>
      </c>
      <c r="C313" s="15">
        <v>98</v>
      </c>
      <c r="D313" t="str">
        <f t="shared" si="4"/>
        <v/>
      </c>
    </row>
    <row r="314" spans="1:4">
      <c r="A314" s="53">
        <v>51365</v>
      </c>
      <c r="B314" s="14" t="s">
        <v>12</v>
      </c>
      <c r="C314" s="14">
        <v>100</v>
      </c>
      <c r="D314" t="str">
        <f t="shared" si="4"/>
        <v/>
      </c>
    </row>
    <row r="315" spans="1:4">
      <c r="A315" s="54">
        <v>51395</v>
      </c>
      <c r="B315" s="15" t="s">
        <v>11</v>
      </c>
      <c r="C315" s="15">
        <v>108</v>
      </c>
      <c r="D315" t="str">
        <f t="shared" si="4"/>
        <v/>
      </c>
    </row>
    <row r="316" spans="1:4">
      <c r="A316" s="53">
        <v>51425</v>
      </c>
      <c r="B316" s="14" t="s">
        <v>14</v>
      </c>
      <c r="C316" s="14">
        <v>92</v>
      </c>
      <c r="D316" t="str">
        <f t="shared" si="4"/>
        <v/>
      </c>
    </row>
    <row r="317" spans="1:4">
      <c r="A317" s="54">
        <v>51455</v>
      </c>
      <c r="B317" s="15" t="s">
        <v>12</v>
      </c>
      <c r="C317" s="15">
        <v>97</v>
      </c>
      <c r="D317" t="str">
        <f t="shared" si="4"/>
        <v/>
      </c>
    </row>
    <row r="318" spans="1:4">
      <c r="A318" s="53">
        <v>51485</v>
      </c>
      <c r="B318" s="14" t="s">
        <v>11</v>
      </c>
      <c r="C318" s="14">
        <v>116</v>
      </c>
      <c r="D318" t="str">
        <f t="shared" si="4"/>
        <v/>
      </c>
    </row>
    <row r="319" spans="1:4">
      <c r="A319" s="54">
        <v>51515</v>
      </c>
      <c r="B319" s="15" t="s">
        <v>14</v>
      </c>
      <c r="C319" s="15">
        <f>IF(ISBLANK(C272), O273, C272)</f>
        <v>103</v>
      </c>
      <c r="D319" t="str">
        <f t="shared" si="4"/>
        <v/>
      </c>
    </row>
    <row r="320" spans="1:4">
      <c r="A320" s="53">
        <v>51545</v>
      </c>
      <c r="B320" s="14" t="s">
        <v>11</v>
      </c>
      <c r="C320" s="14">
        <v>87</v>
      </c>
      <c r="D320" t="str">
        <f t="shared" si="4"/>
        <v/>
      </c>
    </row>
    <row r="321" spans="1:4">
      <c r="A321" s="54">
        <v>51575</v>
      </c>
      <c r="B321" s="15" t="s">
        <v>10</v>
      </c>
      <c r="C321" s="15">
        <v>103</v>
      </c>
      <c r="D321" t="str">
        <f t="shared" si="4"/>
        <v/>
      </c>
    </row>
    <row r="322" spans="1:4">
      <c r="A322" s="53">
        <v>51605</v>
      </c>
      <c r="B322" s="14" t="s">
        <v>10</v>
      </c>
      <c r="C322" s="14">
        <v>115</v>
      </c>
      <c r="D322">
        <f t="shared" ref="D322:D385" si="5">IF(B322=B321, C322 - C321, "")</f>
        <v>12</v>
      </c>
    </row>
    <row r="323" spans="1:4">
      <c r="A323" s="54">
        <v>51635</v>
      </c>
      <c r="B323" s="15" t="s">
        <v>14</v>
      </c>
      <c r="C323" s="15">
        <v>88</v>
      </c>
      <c r="D323" t="str">
        <f t="shared" si="5"/>
        <v/>
      </c>
    </row>
    <row r="324" spans="1:4">
      <c r="A324" s="53">
        <v>51665</v>
      </c>
      <c r="B324" s="14" t="s">
        <v>13</v>
      </c>
      <c r="C324" s="14">
        <v>100</v>
      </c>
      <c r="D324" t="str">
        <f t="shared" si="5"/>
        <v/>
      </c>
    </row>
    <row r="325" spans="1:4">
      <c r="A325" s="54">
        <v>51695</v>
      </c>
      <c r="B325" s="15" t="s">
        <v>13</v>
      </c>
      <c r="C325" s="15">
        <v>108</v>
      </c>
      <c r="D325">
        <f t="shared" si="5"/>
        <v>8</v>
      </c>
    </row>
    <row r="326" spans="1:4">
      <c r="A326" s="53">
        <v>51725</v>
      </c>
      <c r="B326" s="14" t="s">
        <v>10</v>
      </c>
      <c r="C326" s="14">
        <f>IF(ISBLANK(C279), O280, C279)</f>
        <v>96</v>
      </c>
      <c r="D326" t="str">
        <f t="shared" si="5"/>
        <v/>
      </c>
    </row>
    <row r="327" spans="1:4">
      <c r="A327" s="54">
        <v>51755</v>
      </c>
      <c r="B327" s="15" t="s">
        <v>10</v>
      </c>
      <c r="C327" s="15">
        <v>86</v>
      </c>
      <c r="D327">
        <f t="shared" si="5"/>
        <v>-10</v>
      </c>
    </row>
    <row r="328" spans="1:4">
      <c r="A328" s="53">
        <v>51785</v>
      </c>
      <c r="B328" s="14" t="s">
        <v>13</v>
      </c>
      <c r="C328" s="14">
        <v>87</v>
      </c>
      <c r="D328" t="str">
        <f t="shared" si="5"/>
        <v/>
      </c>
    </row>
    <row r="329" spans="1:4">
      <c r="A329" s="54">
        <v>51815</v>
      </c>
      <c r="B329" s="15" t="s">
        <v>12</v>
      </c>
      <c r="C329" s="15">
        <v>109</v>
      </c>
      <c r="D329" t="str">
        <f t="shared" si="5"/>
        <v/>
      </c>
    </row>
    <row r="330" spans="1:4">
      <c r="A330" s="53">
        <v>51845</v>
      </c>
      <c r="B330" s="14" t="s">
        <v>13</v>
      </c>
      <c r="C330" s="14">
        <v>91</v>
      </c>
      <c r="D330" t="str">
        <f t="shared" si="5"/>
        <v/>
      </c>
    </row>
    <row r="331" spans="1:4">
      <c r="A331" s="54">
        <v>51875</v>
      </c>
      <c r="B331" s="15" t="s">
        <v>11</v>
      </c>
      <c r="C331" s="15">
        <v>107</v>
      </c>
      <c r="D331" t="str">
        <f t="shared" si="5"/>
        <v/>
      </c>
    </row>
    <row r="332" spans="1:4">
      <c r="A332" s="53">
        <v>51905</v>
      </c>
      <c r="B332" s="14" t="s">
        <v>12</v>
      </c>
      <c r="C332" s="14">
        <v>106</v>
      </c>
      <c r="D332" t="str">
        <f t="shared" si="5"/>
        <v/>
      </c>
    </row>
    <row r="333" spans="1:4">
      <c r="A333" s="54">
        <v>51935</v>
      </c>
      <c r="B333" s="15" t="s">
        <v>11</v>
      </c>
      <c r="C333" s="15">
        <v>92</v>
      </c>
      <c r="D333" t="str">
        <f t="shared" si="5"/>
        <v/>
      </c>
    </row>
    <row r="334" spans="1:4">
      <c r="A334" s="53">
        <v>51965</v>
      </c>
      <c r="B334" s="14" t="s">
        <v>10</v>
      </c>
      <c r="C334" s="14">
        <v>90</v>
      </c>
      <c r="D334" t="str">
        <f t="shared" si="5"/>
        <v/>
      </c>
    </row>
    <row r="335" spans="1:4">
      <c r="A335" s="54">
        <v>51995</v>
      </c>
      <c r="B335" s="15" t="s">
        <v>12</v>
      </c>
      <c r="C335" s="15">
        <v>102</v>
      </c>
      <c r="D335" t="str">
        <f t="shared" si="5"/>
        <v/>
      </c>
    </row>
    <row r="336" spans="1:4">
      <c r="A336" s="53">
        <v>52025</v>
      </c>
      <c r="B336" s="14" t="s">
        <v>11</v>
      </c>
      <c r="C336" s="14">
        <v>99</v>
      </c>
      <c r="D336" t="str">
        <f t="shared" si="5"/>
        <v/>
      </c>
    </row>
    <row r="337" spans="1:4">
      <c r="A337" s="54">
        <v>52055</v>
      </c>
      <c r="B337" s="15" t="s">
        <v>11</v>
      </c>
      <c r="C337" s="15">
        <v>88</v>
      </c>
      <c r="D337">
        <f t="shared" si="5"/>
        <v>-11</v>
      </c>
    </row>
    <row r="338" spans="1:4">
      <c r="A338" s="53">
        <v>52085</v>
      </c>
      <c r="B338" s="14" t="s">
        <v>12</v>
      </c>
      <c r="C338" s="14">
        <v>100</v>
      </c>
      <c r="D338" t="str">
        <f t="shared" si="5"/>
        <v/>
      </c>
    </row>
    <row r="339" spans="1:4">
      <c r="A339" s="54">
        <v>52115</v>
      </c>
      <c r="B339" s="15" t="s">
        <v>14</v>
      </c>
      <c r="C339" s="15">
        <f>IF(ISBLANK(C292), O293, C292)</f>
        <v>100</v>
      </c>
      <c r="D339" t="str">
        <f t="shared" si="5"/>
        <v/>
      </c>
    </row>
    <row r="340" spans="1:4">
      <c r="A340" s="53">
        <v>52145</v>
      </c>
      <c r="B340" s="14" t="s">
        <v>13</v>
      </c>
      <c r="C340" s="14">
        <v>106</v>
      </c>
      <c r="D340" t="str">
        <f t="shared" si="5"/>
        <v/>
      </c>
    </row>
    <row r="341" spans="1:4">
      <c r="A341" s="54">
        <v>52175</v>
      </c>
      <c r="B341" s="15" t="s">
        <v>11</v>
      </c>
      <c r="C341" s="15">
        <f>IF(ISBLANK(C294), O295, C294)</f>
        <v>94</v>
      </c>
      <c r="D341" t="str">
        <f t="shared" si="5"/>
        <v/>
      </c>
    </row>
    <row r="342" spans="1:4">
      <c r="A342" s="53">
        <v>52205</v>
      </c>
      <c r="B342" s="14" t="s">
        <v>13</v>
      </c>
      <c r="C342" s="14">
        <v>98</v>
      </c>
      <c r="D342" t="str">
        <f t="shared" si="5"/>
        <v/>
      </c>
    </row>
    <row r="343" spans="1:4">
      <c r="A343" s="54">
        <v>52235</v>
      </c>
      <c r="B343" s="15" t="s">
        <v>13</v>
      </c>
      <c r="C343" s="15">
        <v>119</v>
      </c>
      <c r="D343">
        <f t="shared" si="5"/>
        <v>21</v>
      </c>
    </row>
    <row r="344" spans="1:4">
      <c r="A344" s="53">
        <v>52265</v>
      </c>
      <c r="B344" s="14" t="s">
        <v>10</v>
      </c>
      <c r="C344" s="14">
        <v>99</v>
      </c>
      <c r="D344" t="str">
        <f t="shared" si="5"/>
        <v/>
      </c>
    </row>
    <row r="345" spans="1:4">
      <c r="A345" s="54">
        <v>52295</v>
      </c>
      <c r="B345" s="15" t="s">
        <v>13</v>
      </c>
      <c r="C345" s="15">
        <v>87</v>
      </c>
      <c r="D345" t="str">
        <f t="shared" si="5"/>
        <v/>
      </c>
    </row>
    <row r="346" spans="1:4">
      <c r="A346" s="53">
        <v>52325</v>
      </c>
      <c r="B346" s="14" t="s">
        <v>11</v>
      </c>
      <c r="C346" s="14">
        <f>IF(ISBLANK(C299), O300, C299)</f>
        <v>92</v>
      </c>
      <c r="D346" t="str">
        <f t="shared" si="5"/>
        <v/>
      </c>
    </row>
    <row r="347" spans="1:4">
      <c r="A347" s="54">
        <v>52355</v>
      </c>
      <c r="B347" s="15" t="s">
        <v>10</v>
      </c>
      <c r="C347" s="15">
        <v>103</v>
      </c>
      <c r="D347" t="str">
        <f t="shared" si="5"/>
        <v/>
      </c>
    </row>
    <row r="348" spans="1:4">
      <c r="A348" s="53">
        <v>52385</v>
      </c>
      <c r="B348" s="14" t="s">
        <v>12</v>
      </c>
      <c r="C348" s="14">
        <v>79</v>
      </c>
      <c r="D348" t="str">
        <f t="shared" si="5"/>
        <v/>
      </c>
    </row>
    <row r="349" spans="1:4">
      <c r="A349" s="54">
        <v>52415</v>
      </c>
      <c r="B349" s="15" t="s">
        <v>11</v>
      </c>
      <c r="C349" s="15">
        <v>110</v>
      </c>
      <c r="D349" t="str">
        <f t="shared" si="5"/>
        <v/>
      </c>
    </row>
    <row r="350" spans="1:4">
      <c r="A350" s="53">
        <v>52445</v>
      </c>
      <c r="B350" s="14" t="s">
        <v>10</v>
      </c>
      <c r="C350" s="14">
        <v>95</v>
      </c>
      <c r="D350" t="str">
        <f t="shared" si="5"/>
        <v/>
      </c>
    </row>
    <row r="351" spans="1:4">
      <c r="A351" s="54">
        <v>52475</v>
      </c>
      <c r="B351" s="15" t="s">
        <v>10</v>
      </c>
      <c r="C351" s="15">
        <v>101</v>
      </c>
      <c r="D351">
        <f t="shared" si="5"/>
        <v>6</v>
      </c>
    </row>
    <row r="352" spans="1:4">
      <c r="A352" s="53">
        <v>52505</v>
      </c>
      <c r="B352" s="14" t="s">
        <v>13</v>
      </c>
      <c r="C352" s="14">
        <v>95</v>
      </c>
      <c r="D352" t="str">
        <f t="shared" si="5"/>
        <v/>
      </c>
    </row>
    <row r="353" spans="1:4">
      <c r="A353" s="54">
        <v>52535</v>
      </c>
      <c r="B353" s="15" t="s">
        <v>12</v>
      </c>
      <c r="C353" s="15">
        <v>107</v>
      </c>
      <c r="D353" t="str">
        <f t="shared" si="5"/>
        <v/>
      </c>
    </row>
    <row r="354" spans="1:4">
      <c r="A354" s="53">
        <v>52565</v>
      </c>
      <c r="B354" s="14" t="s">
        <v>11</v>
      </c>
      <c r="C354" s="14">
        <v>91</v>
      </c>
      <c r="D354" t="str">
        <f t="shared" si="5"/>
        <v/>
      </c>
    </row>
    <row r="355" spans="1:4">
      <c r="A355" s="54">
        <v>52595</v>
      </c>
      <c r="B355" s="15" t="s">
        <v>11</v>
      </c>
      <c r="C355" s="15">
        <v>87</v>
      </c>
      <c r="D355">
        <f t="shared" si="5"/>
        <v>-4</v>
      </c>
    </row>
    <row r="356" spans="1:4">
      <c r="A356" s="53">
        <v>52625</v>
      </c>
      <c r="B356" s="14" t="s">
        <v>13</v>
      </c>
      <c r="C356" s="14">
        <v>100</v>
      </c>
      <c r="D356" t="str">
        <f t="shared" si="5"/>
        <v/>
      </c>
    </row>
    <row r="357" spans="1:4">
      <c r="A357" s="54">
        <v>52655</v>
      </c>
      <c r="B357" s="15" t="s">
        <v>12</v>
      </c>
      <c r="C357" s="15">
        <v>117</v>
      </c>
      <c r="D357" t="str">
        <f t="shared" si="5"/>
        <v/>
      </c>
    </row>
    <row r="358" spans="1:4">
      <c r="A358" s="53">
        <v>52685</v>
      </c>
      <c r="B358" s="14" t="s">
        <v>11</v>
      </c>
      <c r="C358" s="14">
        <v>102</v>
      </c>
      <c r="D358" t="str">
        <f t="shared" si="5"/>
        <v/>
      </c>
    </row>
    <row r="359" spans="1:4">
      <c r="A359" s="54">
        <v>52715</v>
      </c>
      <c r="B359" s="15" t="s">
        <v>12</v>
      </c>
      <c r="C359" s="15">
        <v>88</v>
      </c>
      <c r="D359" t="str">
        <f t="shared" si="5"/>
        <v/>
      </c>
    </row>
    <row r="360" spans="1:4">
      <c r="A360" s="53">
        <v>52745</v>
      </c>
      <c r="B360" s="14" t="s">
        <v>11</v>
      </c>
      <c r="C360" s="14">
        <v>100</v>
      </c>
      <c r="D360" t="str">
        <f t="shared" si="5"/>
        <v/>
      </c>
    </row>
    <row r="361" spans="1:4">
      <c r="A361" s="54">
        <v>52775</v>
      </c>
      <c r="B361" s="15" t="s">
        <v>13</v>
      </c>
      <c r="C361" s="15">
        <v>81</v>
      </c>
      <c r="D361" t="str">
        <f t="shared" si="5"/>
        <v/>
      </c>
    </row>
    <row r="362" spans="1:4">
      <c r="A362" s="53">
        <v>52805</v>
      </c>
      <c r="B362" s="14" t="s">
        <v>14</v>
      </c>
      <c r="C362" s="14">
        <v>91</v>
      </c>
      <c r="D362" t="str">
        <f t="shared" si="5"/>
        <v/>
      </c>
    </row>
    <row r="363" spans="1:4">
      <c r="A363" s="54">
        <v>52835</v>
      </c>
      <c r="B363" s="15" t="s">
        <v>11</v>
      </c>
      <c r="C363" s="15">
        <v>90</v>
      </c>
      <c r="D363" t="str">
        <f t="shared" si="5"/>
        <v/>
      </c>
    </row>
    <row r="364" spans="1:4">
      <c r="A364" s="53">
        <v>52865</v>
      </c>
      <c r="B364" s="14" t="s">
        <v>10</v>
      </c>
      <c r="C364" s="14">
        <v>102</v>
      </c>
      <c r="D364" t="str">
        <f t="shared" si="5"/>
        <v/>
      </c>
    </row>
    <row r="365" spans="1:4">
      <c r="A365" s="54">
        <v>52895</v>
      </c>
      <c r="B365" s="15" t="s">
        <v>10</v>
      </c>
      <c r="C365" s="15">
        <v>109</v>
      </c>
      <c r="D365">
        <f t="shared" si="5"/>
        <v>7</v>
      </c>
    </row>
    <row r="366" spans="1:4">
      <c r="A366" s="53">
        <v>52925</v>
      </c>
      <c r="B366" s="14" t="s">
        <v>14</v>
      </c>
      <c r="C366" s="14">
        <v>101</v>
      </c>
      <c r="D366" t="str">
        <f t="shared" si="5"/>
        <v/>
      </c>
    </row>
    <row r="367" spans="1:4">
      <c r="A367" s="54">
        <v>52955</v>
      </c>
      <c r="B367" s="15" t="s">
        <v>11</v>
      </c>
      <c r="C367" s="15">
        <v>97</v>
      </c>
      <c r="D367" t="str">
        <f t="shared" si="5"/>
        <v/>
      </c>
    </row>
    <row r="368" spans="1:4">
      <c r="A368" s="53">
        <v>52985</v>
      </c>
      <c r="B368" s="14" t="s">
        <v>10</v>
      </c>
      <c r="C368" s="14">
        <v>88</v>
      </c>
      <c r="D368" t="str">
        <f t="shared" si="5"/>
        <v/>
      </c>
    </row>
    <row r="369" spans="1:4">
      <c r="A369" s="54">
        <v>53015</v>
      </c>
      <c r="B369" s="15" t="s">
        <v>10</v>
      </c>
      <c r="C369" s="15">
        <v>100</v>
      </c>
      <c r="D369">
        <f t="shared" si="5"/>
        <v>12</v>
      </c>
    </row>
    <row r="370" spans="1:4">
      <c r="A370" s="53">
        <v>53045</v>
      </c>
      <c r="B370" s="14" t="s">
        <v>11</v>
      </c>
      <c r="C370" s="14">
        <v>104</v>
      </c>
      <c r="D370" t="str">
        <f t="shared" si="5"/>
        <v/>
      </c>
    </row>
    <row r="371" spans="1:4">
      <c r="A371" s="54">
        <v>53075</v>
      </c>
      <c r="B371" s="15" t="s">
        <v>12</v>
      </c>
      <c r="C371" s="15">
        <v>106</v>
      </c>
      <c r="D371" t="str">
        <f t="shared" si="5"/>
        <v/>
      </c>
    </row>
    <row r="372" spans="1:4">
      <c r="A372" s="53">
        <v>53105</v>
      </c>
      <c r="B372" s="14" t="s">
        <v>11</v>
      </c>
      <c r="C372" s="14">
        <v>91</v>
      </c>
      <c r="D372" t="str">
        <f t="shared" si="5"/>
        <v/>
      </c>
    </row>
    <row r="373" spans="1:4">
      <c r="A373" s="54">
        <v>53135</v>
      </c>
      <c r="B373" s="15" t="s">
        <v>12</v>
      </c>
      <c r="C373" s="15">
        <v>110</v>
      </c>
      <c r="D373" t="str">
        <f t="shared" si="5"/>
        <v/>
      </c>
    </row>
    <row r="374" spans="1:4">
      <c r="A374" s="53">
        <v>53165</v>
      </c>
      <c r="B374" s="14" t="s">
        <v>14</v>
      </c>
      <c r="C374" s="14">
        <v>104</v>
      </c>
      <c r="D374" t="str">
        <f t="shared" si="5"/>
        <v/>
      </c>
    </row>
    <row r="375" spans="1:4">
      <c r="A375" s="54">
        <v>53195</v>
      </c>
      <c r="B375" s="15" t="s">
        <v>13</v>
      </c>
      <c r="C375" s="15">
        <v>85</v>
      </c>
      <c r="D375" t="str">
        <f t="shared" si="5"/>
        <v/>
      </c>
    </row>
    <row r="376" spans="1:4">
      <c r="A376" s="53">
        <v>53225</v>
      </c>
      <c r="B376" s="14" t="s">
        <v>14</v>
      </c>
      <c r="C376" s="14">
        <v>107</v>
      </c>
      <c r="D376" t="str">
        <f t="shared" si="5"/>
        <v/>
      </c>
    </row>
    <row r="377" spans="1:4">
      <c r="A377" s="54">
        <v>53255</v>
      </c>
      <c r="B377" s="15" t="s">
        <v>13</v>
      </c>
      <c r="C377" s="15">
        <v>111</v>
      </c>
      <c r="D377" t="str">
        <f t="shared" si="5"/>
        <v/>
      </c>
    </row>
    <row r="378" spans="1:4">
      <c r="A378" s="53">
        <v>53285</v>
      </c>
      <c r="B378" s="14" t="s">
        <v>10</v>
      </c>
      <c r="C378" s="14">
        <f>IF(ISBLANK(C331), O332, C331)</f>
        <v>107</v>
      </c>
      <c r="D378" t="str">
        <f t="shared" si="5"/>
        <v/>
      </c>
    </row>
    <row r="379" spans="1:4">
      <c r="A379" s="54">
        <v>53315</v>
      </c>
      <c r="B379" s="15" t="s">
        <v>10</v>
      </c>
      <c r="C379" s="15">
        <v>94</v>
      </c>
      <c r="D379">
        <f t="shared" si="5"/>
        <v>-13</v>
      </c>
    </row>
    <row r="380" spans="1:4">
      <c r="A380" s="53">
        <v>53345</v>
      </c>
      <c r="B380" s="14" t="s">
        <v>10</v>
      </c>
      <c r="C380" s="14">
        <v>91</v>
      </c>
      <c r="D380">
        <f t="shared" si="5"/>
        <v>-3</v>
      </c>
    </row>
    <row r="381" spans="1:4">
      <c r="A381" s="54">
        <v>53375</v>
      </c>
      <c r="B381" s="15" t="s">
        <v>12</v>
      </c>
      <c r="C381" s="15">
        <v>89</v>
      </c>
      <c r="D381" t="str">
        <f t="shared" si="5"/>
        <v/>
      </c>
    </row>
    <row r="382" spans="1:4">
      <c r="A382" s="53">
        <v>53405</v>
      </c>
      <c r="B382" s="14" t="s">
        <v>13</v>
      </c>
      <c r="C382" s="14">
        <v>98</v>
      </c>
      <c r="D382" t="str">
        <f t="shared" si="5"/>
        <v/>
      </c>
    </row>
    <row r="383" spans="1:4">
      <c r="A383" s="54">
        <v>53435</v>
      </c>
      <c r="B383" s="15" t="s">
        <v>10</v>
      </c>
      <c r="C383" s="15">
        <v>110</v>
      </c>
      <c r="D383" t="str">
        <f t="shared" si="5"/>
        <v/>
      </c>
    </row>
    <row r="384" spans="1:4">
      <c r="A384" s="53">
        <v>53465</v>
      </c>
      <c r="B384" s="14" t="s">
        <v>11</v>
      </c>
      <c r="C384" s="14">
        <v>93</v>
      </c>
      <c r="D384" t="str">
        <f t="shared" si="5"/>
        <v/>
      </c>
    </row>
    <row r="385" spans="1:4">
      <c r="A385" s="54">
        <v>53495</v>
      </c>
      <c r="B385" s="15" t="s">
        <v>13</v>
      </c>
      <c r="C385" s="15">
        <v>103</v>
      </c>
      <c r="D385" t="str">
        <f t="shared" si="5"/>
        <v/>
      </c>
    </row>
    <row r="386" spans="1:4">
      <c r="A386" s="53">
        <v>53525</v>
      </c>
      <c r="B386" s="14" t="s">
        <v>13</v>
      </c>
      <c r="C386" s="14">
        <f>IF(ISBLANK(C339), O340, C339)</f>
        <v>100</v>
      </c>
      <c r="D386">
        <f t="shared" ref="D386:D449" si="6">IF(B386=B385, C386 - C385, "")</f>
        <v>-3</v>
      </c>
    </row>
    <row r="387" spans="1:4">
      <c r="A387" s="54">
        <v>53555</v>
      </c>
      <c r="B387" s="15" t="s">
        <v>12</v>
      </c>
      <c r="C387" s="15">
        <v>101</v>
      </c>
      <c r="D387" t="str">
        <f t="shared" si="6"/>
        <v/>
      </c>
    </row>
    <row r="388" spans="1:4">
      <c r="A388" s="53">
        <v>53585</v>
      </c>
      <c r="B388" s="14" t="s">
        <v>14</v>
      </c>
      <c r="C388" s="14">
        <v>94</v>
      </c>
      <c r="D388" t="str">
        <f t="shared" si="6"/>
        <v/>
      </c>
    </row>
    <row r="389" spans="1:4">
      <c r="A389" s="54">
        <v>53615</v>
      </c>
      <c r="B389" s="15" t="s">
        <v>12</v>
      </c>
      <c r="C389" s="15">
        <v>108</v>
      </c>
      <c r="D389" t="str">
        <f t="shared" si="6"/>
        <v/>
      </c>
    </row>
    <row r="390" spans="1:4">
      <c r="A390" s="53">
        <v>53645</v>
      </c>
      <c r="B390" s="14" t="s">
        <v>10</v>
      </c>
      <c r="C390" s="14">
        <v>113</v>
      </c>
      <c r="D390" t="str">
        <f t="shared" si="6"/>
        <v/>
      </c>
    </row>
    <row r="391" spans="1:4">
      <c r="A391" s="54">
        <v>53675</v>
      </c>
      <c r="B391" s="15" t="s">
        <v>11</v>
      </c>
      <c r="C391" s="15">
        <v>115</v>
      </c>
      <c r="D391" t="str">
        <f t="shared" si="6"/>
        <v/>
      </c>
    </row>
    <row r="392" spans="1:4">
      <c r="A392" s="53">
        <v>53705</v>
      </c>
      <c r="B392" s="14" t="s">
        <v>11</v>
      </c>
      <c r="C392" s="14">
        <v>98</v>
      </c>
      <c r="D392">
        <f t="shared" si="6"/>
        <v>-17</v>
      </c>
    </row>
    <row r="393" spans="1:4">
      <c r="A393" s="54">
        <v>53735</v>
      </c>
      <c r="B393" s="15" t="s">
        <v>10</v>
      </c>
      <c r="C393" s="15">
        <v>93</v>
      </c>
      <c r="D393" t="str">
        <f t="shared" si="6"/>
        <v/>
      </c>
    </row>
    <row r="394" spans="1:4">
      <c r="A394" s="53">
        <v>53765</v>
      </c>
      <c r="B394" s="14" t="s">
        <v>11</v>
      </c>
      <c r="C394" s="14">
        <v>104</v>
      </c>
      <c r="D394" t="str">
        <f t="shared" si="6"/>
        <v/>
      </c>
    </row>
    <row r="395" spans="1:4">
      <c r="A395" s="54">
        <v>53795</v>
      </c>
      <c r="B395" s="15" t="s">
        <v>12</v>
      </c>
      <c r="C395" s="15">
        <v>100</v>
      </c>
      <c r="D395" t="str">
        <f t="shared" si="6"/>
        <v/>
      </c>
    </row>
    <row r="396" spans="1:4">
      <c r="A396" s="53">
        <v>53825</v>
      </c>
      <c r="B396" s="14" t="s">
        <v>12</v>
      </c>
      <c r="C396" s="14">
        <v>89</v>
      </c>
      <c r="D396">
        <f t="shared" si="6"/>
        <v>-11</v>
      </c>
    </row>
    <row r="397" spans="1:4">
      <c r="A397" s="54">
        <v>53855</v>
      </c>
      <c r="B397" s="15" t="s">
        <v>10</v>
      </c>
      <c r="C397" s="15">
        <v>86</v>
      </c>
      <c r="D397" t="str">
        <f t="shared" si="6"/>
        <v/>
      </c>
    </row>
    <row r="398" spans="1:4">
      <c r="A398" s="53">
        <v>53885</v>
      </c>
      <c r="B398" s="14" t="s">
        <v>11</v>
      </c>
      <c r="C398" s="14">
        <v>93</v>
      </c>
      <c r="D398" t="str">
        <f t="shared" si="6"/>
        <v/>
      </c>
    </row>
    <row r="399" spans="1:4">
      <c r="A399" s="54">
        <v>53915</v>
      </c>
      <c r="B399" s="15" t="s">
        <v>13</v>
      </c>
      <c r="C399" s="15">
        <v>104</v>
      </c>
      <c r="D399" t="str">
        <f t="shared" si="6"/>
        <v/>
      </c>
    </row>
    <row r="400" spans="1:4">
      <c r="A400" s="53">
        <v>53945</v>
      </c>
      <c r="B400" s="14" t="s">
        <v>14</v>
      </c>
      <c r="C400" s="14">
        <v>91</v>
      </c>
      <c r="D400" t="str">
        <f t="shared" si="6"/>
        <v/>
      </c>
    </row>
    <row r="401" spans="1:4">
      <c r="A401" s="54">
        <v>53975</v>
      </c>
      <c r="B401" s="15" t="s">
        <v>13</v>
      </c>
      <c r="C401" s="15">
        <v>113</v>
      </c>
      <c r="D401" t="str">
        <f t="shared" si="6"/>
        <v/>
      </c>
    </row>
    <row r="402" spans="1:4">
      <c r="A402" s="53">
        <v>54005</v>
      </c>
      <c r="B402" s="14" t="s">
        <v>12</v>
      </c>
      <c r="C402" s="14">
        <v>103</v>
      </c>
      <c r="D402" t="str">
        <f t="shared" si="6"/>
        <v/>
      </c>
    </row>
    <row r="403" spans="1:4">
      <c r="A403" s="54">
        <v>54035</v>
      </c>
      <c r="B403" s="15" t="s">
        <v>12</v>
      </c>
      <c r="C403" s="15">
        <v>98</v>
      </c>
      <c r="D403">
        <f t="shared" si="6"/>
        <v>-5</v>
      </c>
    </row>
    <row r="404" spans="1:4">
      <c r="A404" s="53">
        <v>54065</v>
      </c>
      <c r="B404" s="14" t="s">
        <v>12</v>
      </c>
      <c r="C404" s="14">
        <v>100</v>
      </c>
      <c r="D404">
        <f t="shared" si="6"/>
        <v>2</v>
      </c>
    </row>
    <row r="405" spans="1:4">
      <c r="A405" s="54">
        <v>54095</v>
      </c>
      <c r="B405" s="15" t="s">
        <v>12</v>
      </c>
      <c r="C405" s="15">
        <v>89</v>
      </c>
      <c r="D405">
        <f t="shared" si="6"/>
        <v>-11</v>
      </c>
    </row>
    <row r="406" spans="1:4">
      <c r="A406" s="53">
        <v>54125</v>
      </c>
      <c r="B406" s="14" t="s">
        <v>14</v>
      </c>
      <c r="C406" s="14">
        <v>83</v>
      </c>
      <c r="D406" t="str">
        <f t="shared" si="6"/>
        <v/>
      </c>
    </row>
    <row r="407" spans="1:4">
      <c r="A407" s="54">
        <v>54155</v>
      </c>
      <c r="B407" s="15" t="s">
        <v>10</v>
      </c>
      <c r="C407" s="15">
        <v>92</v>
      </c>
      <c r="D407" t="str">
        <f t="shared" si="6"/>
        <v/>
      </c>
    </row>
    <row r="408" spans="1:4">
      <c r="A408" s="53">
        <v>54185</v>
      </c>
      <c r="B408" s="14" t="s">
        <v>12</v>
      </c>
      <c r="C408" s="14">
        <f>IF(ISBLANK(C361), O362, C361)</f>
        <v>81</v>
      </c>
      <c r="D408" t="str">
        <f t="shared" si="6"/>
        <v/>
      </c>
    </row>
    <row r="409" spans="1:4">
      <c r="A409" s="54">
        <v>54215</v>
      </c>
      <c r="B409" s="15" t="s">
        <v>11</v>
      </c>
      <c r="C409" s="15">
        <f>IF(ISBLANK(C362), O363, C362)</f>
        <v>91</v>
      </c>
      <c r="D409" t="str">
        <f t="shared" si="6"/>
        <v/>
      </c>
    </row>
    <row r="410" spans="1:4">
      <c r="A410" s="53">
        <v>54245</v>
      </c>
      <c r="B410" s="14" t="s">
        <v>14</v>
      </c>
      <c r="C410" s="14">
        <v>102</v>
      </c>
      <c r="D410" t="str">
        <f t="shared" si="6"/>
        <v/>
      </c>
    </row>
    <row r="411" spans="1:4">
      <c r="A411" s="54">
        <v>54275</v>
      </c>
      <c r="B411" s="15" t="s">
        <v>12</v>
      </c>
      <c r="C411" s="15">
        <v>107</v>
      </c>
      <c r="D411" t="str">
        <f t="shared" si="6"/>
        <v/>
      </c>
    </row>
    <row r="412" spans="1:4">
      <c r="A412" s="53">
        <v>54305</v>
      </c>
      <c r="B412" s="14" t="s">
        <v>11</v>
      </c>
      <c r="C412" s="14">
        <v>103</v>
      </c>
      <c r="D412" t="str">
        <f t="shared" si="6"/>
        <v/>
      </c>
    </row>
    <row r="413" spans="1:4">
      <c r="A413" s="54">
        <v>54335</v>
      </c>
      <c r="B413" s="15" t="s">
        <v>12</v>
      </c>
      <c r="C413" s="15">
        <v>100</v>
      </c>
      <c r="D413" t="str">
        <f t="shared" si="6"/>
        <v/>
      </c>
    </row>
    <row r="414" spans="1:4">
      <c r="A414" s="53">
        <v>54365</v>
      </c>
      <c r="B414" s="14" t="s">
        <v>10</v>
      </c>
      <c r="C414" s="14">
        <f>IF(ISBLANK(C367), O368, C367)</f>
        <v>97</v>
      </c>
      <c r="D414" t="str">
        <f t="shared" si="6"/>
        <v/>
      </c>
    </row>
    <row r="415" spans="1:4">
      <c r="A415" s="54">
        <v>54395</v>
      </c>
      <c r="B415" s="15" t="s">
        <v>14</v>
      </c>
      <c r="C415" s="15">
        <v>85</v>
      </c>
      <c r="D415" t="str">
        <f t="shared" si="6"/>
        <v/>
      </c>
    </row>
    <row r="416" spans="1:4">
      <c r="A416" s="53">
        <v>54425</v>
      </c>
      <c r="B416" s="14" t="s">
        <v>10</v>
      </c>
      <c r="C416" s="14">
        <v>107</v>
      </c>
      <c r="D416" t="str">
        <f t="shared" si="6"/>
        <v/>
      </c>
    </row>
    <row r="417" spans="1:4">
      <c r="A417" s="54">
        <v>54455</v>
      </c>
      <c r="B417" s="15" t="s">
        <v>14</v>
      </c>
      <c r="C417" s="15">
        <v>106</v>
      </c>
      <c r="D417" t="str">
        <f t="shared" si="6"/>
        <v/>
      </c>
    </row>
    <row r="418" spans="1:4">
      <c r="A418" s="53">
        <v>54485</v>
      </c>
      <c r="B418" s="14" t="s">
        <v>12</v>
      </c>
      <c r="C418" s="14">
        <v>92</v>
      </c>
      <c r="D418" t="str">
        <f t="shared" si="6"/>
        <v/>
      </c>
    </row>
    <row r="419" spans="1:4">
      <c r="A419" s="54">
        <v>54515</v>
      </c>
      <c r="B419" s="15" t="s">
        <v>12</v>
      </c>
      <c r="C419" s="15">
        <v>110</v>
      </c>
      <c r="D419">
        <f t="shared" si="6"/>
        <v>18</v>
      </c>
    </row>
    <row r="420" spans="1:4">
      <c r="A420" s="53">
        <v>54545</v>
      </c>
      <c r="B420" s="14" t="s">
        <v>14</v>
      </c>
      <c r="C420" s="14">
        <v>93</v>
      </c>
      <c r="D420" t="str">
        <f t="shared" si="6"/>
        <v/>
      </c>
    </row>
    <row r="421" spans="1:4">
      <c r="A421" s="54">
        <v>54575</v>
      </c>
      <c r="B421" s="15" t="s">
        <v>11</v>
      </c>
      <c r="C421" s="15">
        <f>IF(ISBLANK(C374), O375, C374)</f>
        <v>104</v>
      </c>
      <c r="D421" t="str">
        <f t="shared" si="6"/>
        <v/>
      </c>
    </row>
    <row r="422" spans="1:4">
      <c r="A422" s="53">
        <v>54605</v>
      </c>
      <c r="B422" s="14" t="s">
        <v>11</v>
      </c>
      <c r="C422" s="14">
        <v>117</v>
      </c>
      <c r="D422">
        <f t="shared" si="6"/>
        <v>13</v>
      </c>
    </row>
    <row r="423" spans="1:4">
      <c r="A423" s="54">
        <v>54635</v>
      </c>
      <c r="B423" s="15" t="s">
        <v>12</v>
      </c>
      <c r="C423" s="15">
        <v>122</v>
      </c>
      <c r="D423" t="str">
        <f t="shared" si="6"/>
        <v/>
      </c>
    </row>
    <row r="424" spans="1:4">
      <c r="A424" s="53">
        <v>54665</v>
      </c>
      <c r="B424" s="14" t="s">
        <v>12</v>
      </c>
      <c r="C424" s="14">
        <v>90</v>
      </c>
      <c r="D424">
        <f t="shared" si="6"/>
        <v>-32</v>
      </c>
    </row>
    <row r="425" spans="1:4">
      <c r="A425" s="54">
        <v>54695</v>
      </c>
      <c r="B425" s="15" t="s">
        <v>10</v>
      </c>
      <c r="C425" s="15">
        <v>113</v>
      </c>
      <c r="D425" t="str">
        <f t="shared" si="6"/>
        <v/>
      </c>
    </row>
    <row r="426" spans="1:4">
      <c r="A426" s="53">
        <v>54725</v>
      </c>
      <c r="B426" s="14" t="s">
        <v>12</v>
      </c>
      <c r="C426" s="14">
        <v>110</v>
      </c>
      <c r="D426" t="str">
        <f t="shared" si="6"/>
        <v/>
      </c>
    </row>
    <row r="427" spans="1:4">
      <c r="A427" s="54">
        <v>54755</v>
      </c>
      <c r="B427" s="15" t="s">
        <v>14</v>
      </c>
      <c r="C427" s="15">
        <v>106</v>
      </c>
      <c r="D427" t="str">
        <f t="shared" si="6"/>
        <v/>
      </c>
    </row>
    <row r="428" spans="1:4">
      <c r="A428" s="53">
        <v>54785</v>
      </c>
      <c r="B428" s="14" t="s">
        <v>11</v>
      </c>
      <c r="C428" s="14">
        <v>92</v>
      </c>
      <c r="D428" t="str">
        <f t="shared" si="6"/>
        <v/>
      </c>
    </row>
    <row r="429" spans="1:4">
      <c r="A429" s="54">
        <v>54815</v>
      </c>
      <c r="B429" s="15" t="s">
        <v>11</v>
      </c>
      <c r="C429" s="15">
        <v>121</v>
      </c>
      <c r="D429">
        <f t="shared" si="6"/>
        <v>29</v>
      </c>
    </row>
    <row r="430" spans="1:4">
      <c r="A430" s="53">
        <v>54845</v>
      </c>
      <c r="B430" s="14" t="s">
        <v>10</v>
      </c>
      <c r="C430" s="14">
        <v>89</v>
      </c>
      <c r="D430" t="str">
        <f t="shared" si="6"/>
        <v/>
      </c>
    </row>
    <row r="431" spans="1:4">
      <c r="A431" s="54">
        <v>54875</v>
      </c>
      <c r="B431" s="15" t="s">
        <v>11</v>
      </c>
      <c r="C431" s="15">
        <v>117</v>
      </c>
      <c r="D431" t="str">
        <f t="shared" si="6"/>
        <v/>
      </c>
    </row>
    <row r="432" spans="1:4">
      <c r="A432" s="53">
        <v>54905</v>
      </c>
      <c r="B432" s="14" t="s">
        <v>11</v>
      </c>
      <c r="C432" s="14">
        <v>106</v>
      </c>
      <c r="D432">
        <f t="shared" si="6"/>
        <v>-11</v>
      </c>
    </row>
    <row r="433" spans="1:4">
      <c r="A433" s="54">
        <v>54935</v>
      </c>
      <c r="B433" s="15" t="s">
        <v>13</v>
      </c>
      <c r="C433" s="15">
        <v>121</v>
      </c>
      <c r="D433" t="str">
        <f t="shared" si="6"/>
        <v/>
      </c>
    </row>
    <row r="434" spans="1:4">
      <c r="A434" s="53">
        <v>54965</v>
      </c>
      <c r="B434" s="14" t="s">
        <v>14</v>
      </c>
      <c r="C434" s="14">
        <v>95</v>
      </c>
      <c r="D434" t="str">
        <f t="shared" si="6"/>
        <v/>
      </c>
    </row>
    <row r="435" spans="1:4">
      <c r="A435" s="54">
        <v>54995</v>
      </c>
      <c r="B435" s="15" t="s">
        <v>13</v>
      </c>
      <c r="C435" s="15">
        <v>91</v>
      </c>
      <c r="D435" t="str">
        <f t="shared" si="6"/>
        <v/>
      </c>
    </row>
    <row r="436" spans="1:4">
      <c r="A436" s="53">
        <v>55025</v>
      </c>
      <c r="B436" s="14" t="s">
        <v>11</v>
      </c>
      <c r="C436" s="14">
        <v>82</v>
      </c>
      <c r="D436" t="str">
        <f t="shared" si="6"/>
        <v/>
      </c>
    </row>
    <row r="437" spans="1:4">
      <c r="A437" s="54">
        <v>55055</v>
      </c>
      <c r="B437" s="15" t="s">
        <v>10</v>
      </c>
      <c r="C437" s="15">
        <v>100</v>
      </c>
      <c r="D437" t="str">
        <f t="shared" si="6"/>
        <v/>
      </c>
    </row>
    <row r="438" spans="1:4">
      <c r="A438" s="53">
        <v>55085</v>
      </c>
      <c r="B438" s="14" t="s">
        <v>10</v>
      </c>
      <c r="C438" s="14">
        <v>81</v>
      </c>
      <c r="D438">
        <f t="shared" si="6"/>
        <v>-19</v>
      </c>
    </row>
    <row r="439" spans="1:4">
      <c r="A439" s="54">
        <v>55115</v>
      </c>
      <c r="B439" s="15" t="s">
        <v>11</v>
      </c>
      <c r="C439" s="15">
        <v>101</v>
      </c>
      <c r="D439" t="str">
        <f t="shared" si="6"/>
        <v/>
      </c>
    </row>
    <row r="440" spans="1:4">
      <c r="A440" s="53">
        <v>55145</v>
      </c>
      <c r="B440" s="14" t="s">
        <v>12</v>
      </c>
      <c r="C440" s="14">
        <v>95</v>
      </c>
      <c r="D440" t="str">
        <f t="shared" si="6"/>
        <v/>
      </c>
    </row>
    <row r="441" spans="1:4">
      <c r="A441" s="54">
        <v>55175</v>
      </c>
      <c r="B441" s="15" t="s">
        <v>13</v>
      </c>
      <c r="C441" s="15">
        <v>114</v>
      </c>
      <c r="D441" t="str">
        <f t="shared" si="6"/>
        <v/>
      </c>
    </row>
    <row r="442" spans="1:4">
      <c r="A442" s="53">
        <v>55205</v>
      </c>
      <c r="B442" s="14" t="s">
        <v>11</v>
      </c>
      <c r="C442" s="14">
        <v>92</v>
      </c>
      <c r="D442" t="str">
        <f t="shared" si="6"/>
        <v/>
      </c>
    </row>
    <row r="443" spans="1:4">
      <c r="A443" s="54">
        <v>55235</v>
      </c>
      <c r="B443" s="15" t="s">
        <v>10</v>
      </c>
      <c r="C443" s="15">
        <v>113</v>
      </c>
      <c r="D443" t="str">
        <f t="shared" si="6"/>
        <v/>
      </c>
    </row>
    <row r="444" spans="1:4">
      <c r="A444" s="53">
        <v>55265</v>
      </c>
      <c r="B444" s="14" t="s">
        <v>10</v>
      </c>
      <c r="C444" s="14">
        <v>113</v>
      </c>
      <c r="D444">
        <f t="shared" si="6"/>
        <v>0</v>
      </c>
    </row>
    <row r="445" spans="1:4">
      <c r="A445" s="54">
        <v>55295</v>
      </c>
      <c r="B445" s="15" t="s">
        <v>13</v>
      </c>
      <c r="C445" s="15">
        <v>120</v>
      </c>
      <c r="D445" t="str">
        <f t="shared" si="6"/>
        <v/>
      </c>
    </row>
    <row r="446" spans="1:4">
      <c r="A446" s="53">
        <v>55325</v>
      </c>
      <c r="B446" s="14" t="s">
        <v>14</v>
      </c>
      <c r="C446" s="14">
        <v>108</v>
      </c>
      <c r="D446" t="str">
        <f t="shared" si="6"/>
        <v/>
      </c>
    </row>
    <row r="447" spans="1:4">
      <c r="A447" s="54">
        <v>55355</v>
      </c>
      <c r="B447" s="15" t="s">
        <v>11</v>
      </c>
      <c r="C447" s="15">
        <v>99</v>
      </c>
      <c r="D447" t="str">
        <f t="shared" si="6"/>
        <v/>
      </c>
    </row>
    <row r="448" spans="1:4">
      <c r="A448" s="53">
        <v>55385</v>
      </c>
      <c r="B448" s="14" t="s">
        <v>11</v>
      </c>
      <c r="C448" s="14">
        <v>108</v>
      </c>
      <c r="D448">
        <f t="shared" si="6"/>
        <v>9</v>
      </c>
    </row>
    <row r="449" spans="1:4">
      <c r="A449" s="54">
        <v>55415</v>
      </c>
      <c r="B449" s="15" t="s">
        <v>14</v>
      </c>
      <c r="C449" s="15">
        <v>98</v>
      </c>
      <c r="D449" t="str">
        <f t="shared" si="6"/>
        <v/>
      </c>
    </row>
    <row r="450" spans="1:4">
      <c r="A450" s="53">
        <v>55445</v>
      </c>
      <c r="B450" s="14" t="s">
        <v>13</v>
      </c>
      <c r="C450" s="14">
        <v>92</v>
      </c>
      <c r="D450" t="str">
        <f t="shared" ref="D450:D501" si="7">IF(B450=B449, C450 - C449, "")</f>
        <v/>
      </c>
    </row>
    <row r="451" spans="1:4">
      <c r="A451" s="54">
        <v>55475</v>
      </c>
      <c r="B451" s="15" t="s">
        <v>13</v>
      </c>
      <c r="C451" s="15">
        <v>96</v>
      </c>
      <c r="D451">
        <f t="shared" si="7"/>
        <v>4</v>
      </c>
    </row>
    <row r="452" spans="1:4">
      <c r="A452" s="53">
        <v>55505</v>
      </c>
      <c r="B452" s="14" t="s">
        <v>10</v>
      </c>
      <c r="C452" s="14">
        <v>94</v>
      </c>
      <c r="D452" t="str">
        <f t="shared" si="7"/>
        <v/>
      </c>
    </row>
    <row r="453" spans="1:4">
      <c r="A453" s="54">
        <v>55535</v>
      </c>
      <c r="B453" s="15" t="s">
        <v>14</v>
      </c>
      <c r="C453" s="15">
        <v>75</v>
      </c>
      <c r="D453" t="str">
        <f t="shared" si="7"/>
        <v/>
      </c>
    </row>
    <row r="454" spans="1:4">
      <c r="A454" s="53">
        <v>55565</v>
      </c>
      <c r="B454" s="14" t="s">
        <v>13</v>
      </c>
      <c r="C454" s="14">
        <v>97</v>
      </c>
      <c r="D454" t="str">
        <f t="shared" si="7"/>
        <v/>
      </c>
    </row>
    <row r="455" spans="1:4">
      <c r="A455" s="54">
        <v>55595</v>
      </c>
      <c r="B455" s="15" t="s">
        <v>12</v>
      </c>
      <c r="C455" s="15">
        <v>100</v>
      </c>
      <c r="D455" t="str">
        <f t="shared" si="7"/>
        <v/>
      </c>
    </row>
    <row r="456" spans="1:4">
      <c r="A456" s="53">
        <v>55625</v>
      </c>
      <c r="B456" s="14" t="s">
        <v>11</v>
      </c>
      <c r="C456" s="14">
        <v>98</v>
      </c>
      <c r="D456" t="str">
        <f t="shared" si="7"/>
        <v/>
      </c>
    </row>
    <row r="457" spans="1:4">
      <c r="A457" s="54">
        <v>55655</v>
      </c>
      <c r="B457" s="15" t="s">
        <v>10</v>
      </c>
      <c r="C457" s="15">
        <v>121</v>
      </c>
      <c r="D457" t="str">
        <f t="shared" si="7"/>
        <v/>
      </c>
    </row>
    <row r="458" spans="1:4">
      <c r="A458" s="53">
        <v>55685</v>
      </c>
      <c r="B458" s="14" t="s">
        <v>14</v>
      </c>
      <c r="C458" s="14">
        <v>103</v>
      </c>
      <c r="D458" t="str">
        <f t="shared" si="7"/>
        <v/>
      </c>
    </row>
    <row r="459" spans="1:4">
      <c r="A459" s="54">
        <v>55715</v>
      </c>
      <c r="B459" s="15" t="s">
        <v>10</v>
      </c>
      <c r="C459" s="15">
        <v>121</v>
      </c>
      <c r="D459" t="str">
        <f t="shared" si="7"/>
        <v/>
      </c>
    </row>
    <row r="460" spans="1:4">
      <c r="A460" s="53">
        <v>55745</v>
      </c>
      <c r="B460" s="14" t="s">
        <v>13</v>
      </c>
      <c r="C460" s="14">
        <v>103</v>
      </c>
      <c r="D460" t="str">
        <f t="shared" si="7"/>
        <v/>
      </c>
    </row>
    <row r="461" spans="1:4">
      <c r="A461" s="54">
        <v>55775</v>
      </c>
      <c r="B461" s="15" t="s">
        <v>13</v>
      </c>
      <c r="C461" s="15">
        <v>91</v>
      </c>
      <c r="D461">
        <f t="shared" si="7"/>
        <v>-12</v>
      </c>
    </row>
    <row r="462" spans="1:4">
      <c r="A462" s="53">
        <v>55805</v>
      </c>
      <c r="B462" s="14" t="s">
        <v>12</v>
      </c>
      <c r="C462" s="14">
        <v>91</v>
      </c>
      <c r="D462" t="str">
        <f t="shared" si="7"/>
        <v/>
      </c>
    </row>
    <row r="463" spans="1:4">
      <c r="A463" s="54">
        <v>55835</v>
      </c>
      <c r="B463" s="15" t="s">
        <v>11</v>
      </c>
      <c r="C463" s="15">
        <f>IF(ISBLANK(C416), O417, C416)</f>
        <v>107</v>
      </c>
      <c r="D463" t="str">
        <f t="shared" si="7"/>
        <v/>
      </c>
    </row>
    <row r="464" spans="1:4">
      <c r="A464" s="53">
        <v>55865</v>
      </c>
      <c r="B464" s="14" t="s">
        <v>14</v>
      </c>
      <c r="C464" s="14">
        <v>97</v>
      </c>
      <c r="D464" t="str">
        <f t="shared" si="7"/>
        <v/>
      </c>
    </row>
    <row r="465" spans="1:4">
      <c r="A465" s="54">
        <v>55895</v>
      </c>
      <c r="B465" s="15" t="s">
        <v>10</v>
      </c>
      <c r="C465" s="15">
        <v>106</v>
      </c>
      <c r="D465" t="str">
        <f t="shared" si="7"/>
        <v/>
      </c>
    </row>
    <row r="466" spans="1:4">
      <c r="A466" s="53">
        <v>55925</v>
      </c>
      <c r="B466" s="14" t="s">
        <v>11</v>
      </c>
      <c r="C466" s="14">
        <v>110</v>
      </c>
      <c r="D466" t="str">
        <f t="shared" si="7"/>
        <v/>
      </c>
    </row>
    <row r="467" spans="1:4">
      <c r="A467" s="54">
        <v>55955</v>
      </c>
      <c r="B467" s="15" t="s">
        <v>13</v>
      </c>
      <c r="C467" s="15">
        <v>91</v>
      </c>
      <c r="D467" t="str">
        <f t="shared" si="7"/>
        <v/>
      </c>
    </row>
    <row r="468" spans="1:4">
      <c r="A468" s="53">
        <v>55985</v>
      </c>
      <c r="B468" s="14" t="s">
        <v>11</v>
      </c>
      <c r="C468" s="14">
        <v>103</v>
      </c>
      <c r="D468" t="str">
        <f t="shared" si="7"/>
        <v/>
      </c>
    </row>
    <row r="469" spans="1:4">
      <c r="A469" s="54">
        <v>56015</v>
      </c>
      <c r="B469" s="15" t="s">
        <v>10</v>
      </c>
      <c r="C469" s="15">
        <v>84</v>
      </c>
      <c r="D469" t="str">
        <f t="shared" si="7"/>
        <v/>
      </c>
    </row>
    <row r="470" spans="1:4">
      <c r="A470" s="53">
        <v>56045</v>
      </c>
      <c r="B470" s="14" t="s">
        <v>11</v>
      </c>
      <c r="C470" s="14">
        <v>93</v>
      </c>
      <c r="D470" t="str">
        <f t="shared" si="7"/>
        <v/>
      </c>
    </row>
    <row r="471" spans="1:4">
      <c r="A471" s="54">
        <v>56075</v>
      </c>
      <c r="B471" s="15" t="s">
        <v>13</v>
      </c>
      <c r="C471" s="15">
        <v>113</v>
      </c>
      <c r="D471" t="str">
        <f t="shared" si="7"/>
        <v/>
      </c>
    </row>
    <row r="472" spans="1:4">
      <c r="A472" s="53">
        <v>56105</v>
      </c>
      <c r="B472" s="14" t="s">
        <v>11</v>
      </c>
      <c r="C472" s="14">
        <v>105</v>
      </c>
      <c r="D472" t="str">
        <f t="shared" si="7"/>
        <v/>
      </c>
    </row>
    <row r="473" spans="1:4">
      <c r="A473" s="54">
        <v>56135</v>
      </c>
      <c r="B473" s="15" t="s">
        <v>14</v>
      </c>
      <c r="C473" s="15">
        <v>83</v>
      </c>
      <c r="D473" t="str">
        <f t="shared" si="7"/>
        <v/>
      </c>
    </row>
    <row r="474" spans="1:4">
      <c r="A474" s="53">
        <v>56165</v>
      </c>
      <c r="B474" s="14" t="s">
        <v>11</v>
      </c>
      <c r="C474" s="14">
        <v>96</v>
      </c>
      <c r="D474" t="str">
        <f t="shared" si="7"/>
        <v/>
      </c>
    </row>
    <row r="475" spans="1:4">
      <c r="A475" s="54">
        <v>56195</v>
      </c>
      <c r="B475" s="15" t="s">
        <v>14</v>
      </c>
      <c r="C475" s="15">
        <v>107</v>
      </c>
      <c r="D475" t="str">
        <f t="shared" si="7"/>
        <v/>
      </c>
    </row>
    <row r="476" spans="1:4">
      <c r="A476" s="53">
        <v>56225</v>
      </c>
      <c r="B476" s="14" t="s">
        <v>11</v>
      </c>
      <c r="C476" s="14">
        <v>83</v>
      </c>
      <c r="D476" t="str">
        <f t="shared" si="7"/>
        <v/>
      </c>
    </row>
    <row r="477" spans="1:4">
      <c r="A477" s="54">
        <v>56255</v>
      </c>
      <c r="B477" s="15" t="s">
        <v>13</v>
      </c>
      <c r="C477" s="15">
        <v>105</v>
      </c>
      <c r="D477" t="str">
        <f t="shared" si="7"/>
        <v/>
      </c>
    </row>
    <row r="478" spans="1:4">
      <c r="A478" s="53">
        <v>56285</v>
      </c>
      <c r="B478" s="14" t="s">
        <v>12</v>
      </c>
      <c r="C478" s="14">
        <v>112</v>
      </c>
      <c r="D478" t="str">
        <f t="shared" si="7"/>
        <v/>
      </c>
    </row>
    <row r="479" spans="1:4">
      <c r="A479" s="54">
        <v>56315</v>
      </c>
      <c r="B479" s="15" t="s">
        <v>12</v>
      </c>
      <c r="C479" s="15">
        <v>99</v>
      </c>
      <c r="D479">
        <f t="shared" si="7"/>
        <v>-13</v>
      </c>
    </row>
    <row r="480" spans="1:4">
      <c r="A480" s="53">
        <v>56345</v>
      </c>
      <c r="B480" s="14" t="s">
        <v>14</v>
      </c>
      <c r="C480" s="14">
        <v>111</v>
      </c>
      <c r="D480" t="str">
        <f t="shared" si="7"/>
        <v/>
      </c>
    </row>
    <row r="481" spans="1:4">
      <c r="A481" s="54">
        <v>56375</v>
      </c>
      <c r="B481" s="15" t="s">
        <v>14</v>
      </c>
      <c r="C481" s="15">
        <v>105</v>
      </c>
      <c r="D481">
        <f t="shared" si="7"/>
        <v>-6</v>
      </c>
    </row>
    <row r="482" spans="1:4">
      <c r="A482" s="53">
        <v>56405</v>
      </c>
      <c r="B482" s="14" t="s">
        <v>12</v>
      </c>
      <c r="C482" s="14">
        <v>93</v>
      </c>
      <c r="D482" t="str">
        <f t="shared" si="7"/>
        <v/>
      </c>
    </row>
    <row r="483" spans="1:4">
      <c r="A483" s="54">
        <v>56435</v>
      </c>
      <c r="B483" s="15" t="s">
        <v>13</v>
      </c>
      <c r="C483" s="15">
        <v>109</v>
      </c>
      <c r="D483" t="str">
        <f t="shared" si="7"/>
        <v/>
      </c>
    </row>
    <row r="484" spans="1:4">
      <c r="A484" s="53">
        <v>56465</v>
      </c>
      <c r="B484" s="14" t="s">
        <v>13</v>
      </c>
      <c r="C484" s="14">
        <v>106</v>
      </c>
      <c r="D484">
        <f t="shared" si="7"/>
        <v>-3</v>
      </c>
    </row>
    <row r="485" spans="1:4">
      <c r="A485" s="54">
        <v>56495</v>
      </c>
      <c r="B485" s="15" t="s">
        <v>11</v>
      </c>
      <c r="C485" s="15">
        <v>106</v>
      </c>
      <c r="D485" t="str">
        <f t="shared" si="7"/>
        <v/>
      </c>
    </row>
    <row r="486" spans="1:4">
      <c r="A486" s="53">
        <v>56525</v>
      </c>
      <c r="B486" s="14" t="s">
        <v>14</v>
      </c>
      <c r="C486" s="14">
        <v>103</v>
      </c>
      <c r="D486" t="str">
        <f t="shared" si="7"/>
        <v/>
      </c>
    </row>
    <row r="487" spans="1:4">
      <c r="A487" s="54">
        <v>56555</v>
      </c>
      <c r="B487" s="15" t="s">
        <v>13</v>
      </c>
      <c r="C487" s="15">
        <v>113</v>
      </c>
      <c r="D487" t="str">
        <f t="shared" si="7"/>
        <v/>
      </c>
    </row>
    <row r="488" spans="1:4">
      <c r="A488" s="53">
        <v>56585</v>
      </c>
      <c r="B488" s="14" t="s">
        <v>10</v>
      </c>
      <c r="C488" s="14">
        <v>111</v>
      </c>
      <c r="D488" t="str">
        <f t="shared" si="7"/>
        <v/>
      </c>
    </row>
    <row r="489" spans="1:4">
      <c r="A489" s="54">
        <v>56615</v>
      </c>
      <c r="B489" s="15" t="s">
        <v>11</v>
      </c>
      <c r="C489" s="15">
        <f>IF(ISBLANK(C442), O443, C442)</f>
        <v>92</v>
      </c>
      <c r="D489" t="str">
        <f t="shared" si="7"/>
        <v/>
      </c>
    </row>
    <row r="490" spans="1:4">
      <c r="A490" s="53">
        <v>56645</v>
      </c>
      <c r="B490" s="14" t="s">
        <v>11</v>
      </c>
      <c r="C490" s="14">
        <v>89</v>
      </c>
      <c r="D490">
        <f t="shared" si="7"/>
        <v>-3</v>
      </c>
    </row>
    <row r="491" spans="1:4">
      <c r="A491" s="54">
        <v>56675</v>
      </c>
      <c r="B491" s="15" t="s">
        <v>12</v>
      </c>
      <c r="C491" s="15">
        <v>111</v>
      </c>
      <c r="D491" t="str">
        <f t="shared" si="7"/>
        <v/>
      </c>
    </row>
    <row r="492" spans="1:4">
      <c r="A492" s="53">
        <v>56705</v>
      </c>
      <c r="B492" s="14" t="s">
        <v>14</v>
      </c>
      <c r="C492" s="14">
        <v>104</v>
      </c>
      <c r="D492" t="str">
        <f t="shared" si="7"/>
        <v/>
      </c>
    </row>
    <row r="493" spans="1:4">
      <c r="A493" s="54">
        <v>56735</v>
      </c>
      <c r="B493" s="15" t="s">
        <v>13</v>
      </c>
      <c r="C493" s="15">
        <f>IF(ISBLANK(C446), O447, C446)</f>
        <v>108</v>
      </c>
      <c r="D493" t="str">
        <f t="shared" si="7"/>
        <v/>
      </c>
    </row>
    <row r="494" spans="1:4">
      <c r="A494" s="53">
        <v>56765</v>
      </c>
      <c r="B494" s="14" t="s">
        <v>13</v>
      </c>
      <c r="C494" s="14">
        <v>109</v>
      </c>
      <c r="D494">
        <f t="shared" si="7"/>
        <v>1</v>
      </c>
    </row>
    <row r="495" spans="1:4">
      <c r="A495" s="54">
        <v>56795</v>
      </c>
      <c r="B495" s="15" t="s">
        <v>11</v>
      </c>
      <c r="C495" s="15">
        <v>108</v>
      </c>
      <c r="D495" t="str">
        <f t="shared" si="7"/>
        <v/>
      </c>
    </row>
    <row r="496" spans="1:4">
      <c r="A496" s="53">
        <v>56825</v>
      </c>
      <c r="B496" s="14" t="s">
        <v>14</v>
      </c>
      <c r="C496" s="14">
        <v>127</v>
      </c>
      <c r="D496" t="str">
        <f t="shared" si="7"/>
        <v/>
      </c>
    </row>
    <row r="497" spans="1:4">
      <c r="A497" s="54">
        <v>56855</v>
      </c>
      <c r="B497" s="15" t="s">
        <v>14</v>
      </c>
      <c r="C497" s="15">
        <v>104</v>
      </c>
      <c r="D497">
        <f t="shared" si="7"/>
        <v>-23</v>
      </c>
    </row>
    <row r="498" spans="1:4">
      <c r="A498" s="53">
        <v>56885</v>
      </c>
      <c r="B498" s="14" t="s">
        <v>14</v>
      </c>
      <c r="C498" s="14">
        <v>106</v>
      </c>
      <c r="D498">
        <f t="shared" si="7"/>
        <v>2</v>
      </c>
    </row>
    <row r="499" spans="1:4">
      <c r="A499" s="54">
        <v>56915</v>
      </c>
      <c r="B499" s="15" t="s">
        <v>12</v>
      </c>
      <c r="C499" s="15">
        <v>94</v>
      </c>
      <c r="D499" t="str">
        <f t="shared" si="7"/>
        <v/>
      </c>
    </row>
    <row r="500" spans="1:4">
      <c r="A500" s="53">
        <v>56945</v>
      </c>
      <c r="B500" s="14" t="s">
        <v>13</v>
      </c>
      <c r="C500" s="14">
        <v>81</v>
      </c>
      <c r="D500" t="str">
        <f t="shared" si="7"/>
        <v/>
      </c>
    </row>
    <row r="501" spans="1:4">
      <c r="A501" s="54">
        <v>56975</v>
      </c>
      <c r="B501" s="15" t="s">
        <v>14</v>
      </c>
      <c r="C501" s="15">
        <v>95</v>
      </c>
      <c r="D501" t="str">
        <f t="shared" si="7"/>
        <v/>
      </c>
    </row>
  </sheetData>
  <sortState xmlns:xlrd2="http://schemas.microsoft.com/office/spreadsheetml/2017/richdata2" ref="A2:C501">
    <sortCondition ref="A2:A501"/>
  </sortState>
  <conditionalFormatting sqref="A1:A501">
    <cfRule type="containsBlanks" dxfId="51" priority="6">
      <formula>LEN(TRIM(A1))=0</formula>
    </cfRule>
  </conditionalFormatting>
  <conditionalFormatting sqref="B1:B501">
    <cfRule type="containsBlanks" dxfId="50" priority="5">
      <formula>LEN(TRIM(B1))=0</formula>
    </cfRule>
  </conditionalFormatting>
  <conditionalFormatting sqref="C1:C501">
    <cfRule type="cellIs" dxfId="49" priority="3" operator="greaterThan">
      <formula>127</formula>
    </cfRule>
    <cfRule type="containsBlanks" dxfId="48" priority="4">
      <formula>LEN(TRIM(C1))=0</formula>
    </cfRule>
  </conditionalFormatting>
  <conditionalFormatting sqref="C2:C501">
    <cfRule type="cellIs" dxfId="47" priority="2" operator="notBetween">
      <formula>75</formula>
      <formula>127</formula>
    </cfRule>
  </conditionalFormatting>
  <conditionalFormatting sqref="D1:D501">
    <cfRule type="cellIs" dxfId="46" priority="1" operator="lessThan">
      <formula>0</formula>
    </cfRule>
  </conditionalFormatting>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19290-48FD-4439-A23E-A793F4242C0E}">
  <sheetPr codeName="Sheet32"/>
  <dimension ref="A1:AA501"/>
  <sheetViews>
    <sheetView topLeftCell="A2" workbookViewId="0">
      <selection activeCell="J2" sqref="J2"/>
    </sheetView>
  </sheetViews>
  <sheetFormatPr defaultRowHeight="14.4"/>
  <cols>
    <col min="1" max="1" width="10.33203125" bestFit="1" customWidth="1"/>
    <col min="2" max="3" width="14.109375" customWidth="1"/>
    <col min="4" max="4" width="11.88671875" customWidth="1"/>
    <col min="5" max="5" width="17.109375" customWidth="1"/>
    <col min="6" max="7" width="19.21875" customWidth="1"/>
    <col min="8" max="8" width="20.5546875" bestFit="1" customWidth="1"/>
    <col min="9" max="9" width="12" customWidth="1"/>
    <col min="10" max="10" width="21" bestFit="1" customWidth="1"/>
    <col min="11" max="11" width="10.44140625" customWidth="1"/>
    <col min="12" max="12" width="20.33203125" bestFit="1" customWidth="1"/>
    <col min="13" max="13" width="20.6640625" bestFit="1" customWidth="1"/>
    <col min="15" max="15" width="18" bestFit="1" customWidth="1"/>
    <col min="16" max="16" width="14.109375" customWidth="1"/>
    <col min="17" max="17" width="14.6640625" customWidth="1"/>
    <col min="19" max="19" width="10.88671875" customWidth="1"/>
  </cols>
  <sheetData>
    <row r="1" spans="1:27" ht="15.6">
      <c r="A1" s="16" t="s">
        <v>0</v>
      </c>
      <c r="B1" s="16" t="s">
        <v>1</v>
      </c>
      <c r="C1" s="16" t="s">
        <v>64</v>
      </c>
      <c r="D1" s="16" t="s">
        <v>2</v>
      </c>
      <c r="E1" t="s">
        <v>114</v>
      </c>
      <c r="F1" t="s">
        <v>185</v>
      </c>
      <c r="G1" t="s">
        <v>309</v>
      </c>
      <c r="H1" t="s">
        <v>183</v>
      </c>
      <c r="I1" t="s">
        <v>184</v>
      </c>
      <c r="J1" t="s">
        <v>186</v>
      </c>
      <c r="K1" t="s">
        <v>187</v>
      </c>
      <c r="L1" t="s">
        <v>188</v>
      </c>
      <c r="M1" t="s">
        <v>189</v>
      </c>
      <c r="N1" t="s">
        <v>190</v>
      </c>
      <c r="O1" s="92" t="s">
        <v>191</v>
      </c>
      <c r="P1" t="s">
        <v>235</v>
      </c>
      <c r="Q1" t="s">
        <v>237</v>
      </c>
    </row>
    <row r="2" spans="1:27">
      <c r="A2" s="53">
        <v>42005</v>
      </c>
      <c r="B2" s="14" t="s">
        <v>10</v>
      </c>
      <c r="C2" s="14" t="str">
        <f>TEXT(Table11[[#This Row],[Date]],"mmmm")</f>
        <v>January</v>
      </c>
      <c r="D2" s="14">
        <v>96</v>
      </c>
      <c r="E2" s="82">
        <f>_xlfn.FORECAST.LINEAR(Table11[[#This Row],[Date]],Table11[Units_Sold],Table11[Date])</f>
        <v>99.077532934131725</v>
      </c>
      <c r="F2" cm="1">
        <f t="array" ref="F2">_xlfn.IFS(Table11[[#This Row],[Vehicle_Type]]="SUV",250,Table11[[#This Row],[Vehicle_Type]]="Sedan",200,Table11[[#This Row],[Vehicle_Type]]="Hatchback",185,Table11[[#This Row],[Vehicle_Type]]="Electric",190,Table11[[#This Row],[Vehicle_Type]]="Truck",150)</f>
        <v>200</v>
      </c>
      <c r="G2">
        <f ca="1">RANDBETWEEN(20,25)</f>
        <v>22</v>
      </c>
      <c r="H2" s="82">
        <f>Table11[[#This Row],[Daily_Production]]-Table11[[#This Row],[Forecasted_Units]]</f>
        <v>100.92246706586828</v>
      </c>
      <c r="I2" cm="1">
        <f t="array" ref="I2">_xlfn.IFS(Table11[[#This Row],[Vehicle_Type]]="SUV",5,Table11[[#This Row],[Vehicle_Type]]="Sedan",7,Table11[[#This Row],[Vehicle_Type]]="Hatchback",10,Table11[[#This Row],[Vehicle_Type]]="Electric",11,Table11[[#This Row],[Vehicle_Type]]="Truck",13)</f>
        <v>7</v>
      </c>
      <c r="J2">
        <f ca="1">Table11[[#This Row],[Daily_Production]]*Table11[[#This Row],[Working_Days]]</f>
        <v>4400</v>
      </c>
      <c r="K2" s="81">
        <f>Table11[[#This Row],[Forecasted_Units]]*0.1</f>
        <v>9.9077532934131725</v>
      </c>
      <c r="L2" s="82">
        <f>Table11[[#This Row],[Adjusted_Forecast]]+Table11[[#This Row],[Safety_Stock]]-Table11[[#This Row],[Inventory_On_Hand]]</f>
        <v>-61.291453892215586</v>
      </c>
      <c r="M2" s="82">
        <f ca="1">MIN(Table11[[#This Row],[Production_Needed]],Table11[[#This Row],[Production_Capacity]])</f>
        <v>-61.291453892215586</v>
      </c>
      <c r="N2" s="82">
        <f ca="1">MAX(Table11[[#This Row],[Production_Needed]]-Table11[[#This Row],[Planned_Production]],0)</f>
        <v>0</v>
      </c>
      <c r="O2" s="93">
        <f ca="1">Table11[[#This Row],[Inventory_On_Hand]]+Table11[[#This Row],[Planned_Production]]-Table11[[#This Row],[Forecasted_Units]]</f>
        <v>-59.446519760479035</v>
      </c>
      <c r="P2" s="107" cm="1">
        <f t="array" ref="P2">_xlfn.XLOOKUP(Table11[[#This Row],[Date]] &amp; Table11[[#This Row],[Vehicle_Type]], Table12[Date] &amp; Table12[Vehicle_Type],Table12[Feedback_Adjustment], 0)</f>
        <v>-0.7</v>
      </c>
      <c r="Q2" s="82">
        <f>Table11[[#This Row],[Forecasted_Units]]*(1+Table11[[#This Row],[Adjustment_Percentage]])</f>
        <v>29.723259880239521</v>
      </c>
      <c r="R2" s="82"/>
      <c r="S2" s="33" t="s">
        <v>239</v>
      </c>
      <c r="T2" s="32"/>
      <c r="U2" s="32"/>
      <c r="V2" s="32"/>
      <c r="W2" s="32"/>
      <c r="X2" s="32"/>
      <c r="Y2" s="32"/>
      <c r="Z2" s="32"/>
      <c r="AA2" s="32"/>
    </row>
    <row r="3" spans="1:27">
      <c r="A3" s="54">
        <v>42035</v>
      </c>
      <c r="B3" s="15" t="s">
        <v>10</v>
      </c>
      <c r="C3" s="15" t="str">
        <f>TEXT(Table11[[#This Row],[Date]],"mmmm")</f>
        <v>January</v>
      </c>
      <c r="D3" s="15">
        <v>107</v>
      </c>
      <c r="E3" s="82">
        <f>_xlfn.FORECAST.LINEAR(Table11[[#This Row],[Date]],Table11[Units_Sold],Table11[Date])</f>
        <v>99.078697130788512</v>
      </c>
      <c r="F3" cm="1">
        <f t="array" ref="F3">_xlfn.IFS(Table11[[#This Row],[Vehicle_Type]]="SUV",250,Table11[[#This Row],[Vehicle_Type]]="Sedan",200,Table11[[#This Row],[Vehicle_Type]]="Hatchback",185,Table11[[#This Row],[Vehicle_Type]]="Electric",190,Table11[[#This Row],[Vehicle_Type]]="Truck",150)</f>
        <v>200</v>
      </c>
      <c r="G3">
        <f t="shared" ref="G3:G65" ca="1" si="0">RANDBETWEEN(20,25)</f>
        <v>21</v>
      </c>
      <c r="H3" s="82">
        <f>Table11[[#This Row],[Daily_Production]]-Table11[[#This Row],[Forecasted_Units]]</f>
        <v>100.92130286921149</v>
      </c>
      <c r="I3" cm="1">
        <f t="array" ref="I3">_xlfn.IFS(Table11[[#This Row],[Vehicle_Type]]="SUV",5,Table11[[#This Row],[Vehicle_Type]]="Sedan",7,Table11[[#This Row],[Vehicle_Type]]="Hatchback",10,Table11[[#This Row],[Vehicle_Type]]="Electric",11,Table11[[#This Row],[Vehicle_Type]]="Truck",13)</f>
        <v>7</v>
      </c>
      <c r="J3">
        <f ca="1">Table11[[#This Row],[Daily_Production]]*Table11[[#This Row],[Working_Days]]</f>
        <v>4200</v>
      </c>
      <c r="K3" s="81">
        <f>Table11[[#This Row],[Forecasted_Units]]*0.1</f>
        <v>9.9078697130788527</v>
      </c>
      <c r="L3" s="82">
        <f>Table11[[#This Row],[Adjusted_Forecast]]+Table11[[#This Row],[Safety_Stock]]-Table11[[#This Row],[Inventory_On_Hand]]</f>
        <v>-61.289824016896077</v>
      </c>
      <c r="M3" s="82">
        <f ca="1">MIN(Table11[[#This Row],[Production_Needed]],Table11[[#This Row],[Production_Capacity]])</f>
        <v>-61.289824016896077</v>
      </c>
      <c r="N3" s="82">
        <f ca="1">MAX(Table11[[#This Row],[Production_Needed]]-Table11[[#This Row],[Planned_Production]],0)</f>
        <v>0</v>
      </c>
      <c r="O3" s="94">
        <f ca="1">Table11[[#This Row],[Inventory_On_Hand]]+Table11[[#This Row],[Planned_Production]]-Table11[[#This Row],[Forecasted_Units]]</f>
        <v>-59.447218278473102</v>
      </c>
      <c r="P3" cm="1">
        <f t="array" ref="P3">_xlfn.XLOOKUP(Table11[[#This Row],[Date]] &amp; Table11[[#This Row],[Vehicle_Type]], Table12[Date] &amp; Table12[Vehicle_Type],Table12[Feedback_Adjustment], 0)</f>
        <v>-0.7</v>
      </c>
      <c r="Q3" s="82">
        <f>Table11[[#This Row],[Forecasted_Units]]*(1+Table11[[#This Row],[Adjustment_Percentage]])</f>
        <v>29.723609139236558</v>
      </c>
      <c r="R3" s="82"/>
      <c r="S3" s="32" t="s">
        <v>253</v>
      </c>
      <c r="T3" s="32"/>
      <c r="U3" s="32"/>
      <c r="V3" s="32"/>
      <c r="W3" s="32"/>
      <c r="X3" s="32"/>
      <c r="Y3" s="32"/>
      <c r="Z3" s="32"/>
      <c r="AA3" s="32"/>
    </row>
    <row r="4" spans="1:27">
      <c r="A4" s="53">
        <v>42065</v>
      </c>
      <c r="B4" s="14" t="s">
        <v>11</v>
      </c>
      <c r="C4" s="14" t="str">
        <f>TEXT(Table11[[#This Row],[Date]],"mmmm")</f>
        <v>March</v>
      </c>
      <c r="D4" s="14">
        <v>88</v>
      </c>
      <c r="E4" s="82">
        <f>_xlfn.FORECAST.LINEAR(Table11[[#This Row],[Date]],Table11[Units_Sold],Table11[Date])</f>
        <v>99.0798613274453</v>
      </c>
      <c r="F4" cm="1">
        <f t="array" ref="F4">_xlfn.IFS(Table11[[#This Row],[Vehicle_Type]]="SUV",250,Table11[[#This Row],[Vehicle_Type]]="Sedan",200,Table11[[#This Row],[Vehicle_Type]]="Hatchback",185,Table11[[#This Row],[Vehicle_Type]]="Electric",190,Table11[[#This Row],[Vehicle_Type]]="Truck",150)</f>
        <v>185</v>
      </c>
      <c r="G4">
        <f t="shared" ca="1" si="0"/>
        <v>20</v>
      </c>
      <c r="H4" s="82">
        <f>Table11[[#This Row],[Daily_Production]]-Table11[[#This Row],[Forecasted_Units]]</f>
        <v>85.9201386725547</v>
      </c>
      <c r="I4" cm="1">
        <f t="array" ref="I4">_xlfn.IFS(Table11[[#This Row],[Vehicle_Type]]="SUV",5,Table11[[#This Row],[Vehicle_Type]]="Sedan",7,Table11[[#This Row],[Vehicle_Type]]="Hatchback",10,Table11[[#This Row],[Vehicle_Type]]="Electric",11,Table11[[#This Row],[Vehicle_Type]]="Truck",13)</f>
        <v>10</v>
      </c>
      <c r="J4">
        <f ca="1">Table11[[#This Row],[Daily_Production]]*Table11[[#This Row],[Working_Days]]</f>
        <v>3700</v>
      </c>
      <c r="K4" s="81">
        <f>Table11[[#This Row],[Forecasted_Units]]*0.1</f>
        <v>9.9079861327445311</v>
      </c>
      <c r="L4" s="82">
        <f>Table11[[#This Row],[Adjusted_Forecast]]+Table11[[#This Row],[Safety_Stock]]-Table11[[#This Row],[Inventory_On_Hand]]</f>
        <v>42.883681053124192</v>
      </c>
      <c r="M4" s="82">
        <f ca="1">MIN(Table11[[#This Row],[Production_Needed]],Table11[[#This Row],[Production_Capacity]])</f>
        <v>42.883681053124192</v>
      </c>
      <c r="N4" s="82">
        <f ca="1">MAX(Table11[[#This Row],[Production_Needed]]-Table11[[#This Row],[Planned_Production]],0)</f>
        <v>0</v>
      </c>
      <c r="O4" s="94">
        <f ca="1">Table11[[#This Row],[Inventory_On_Hand]]+Table11[[#This Row],[Planned_Production]]-Table11[[#This Row],[Forecasted_Units]]</f>
        <v>29.723958398233592</v>
      </c>
      <c r="P4" cm="1">
        <f t="array" ref="P4">_xlfn.XLOOKUP(Table11[[#This Row],[Date]] &amp; Table11[[#This Row],[Vehicle_Type]], Table12[Date] &amp; Table12[Vehicle_Type],Table12[Feedback_Adjustment], 0)</f>
        <v>0.2</v>
      </c>
      <c r="Q4" s="82">
        <f>Table11[[#This Row],[Forecasted_Units]]*(1+Table11[[#This Row],[Adjustment_Percentage]])</f>
        <v>118.89583359293435</v>
      </c>
      <c r="R4" s="82"/>
      <c r="S4" s="32" t="s">
        <v>240</v>
      </c>
      <c r="T4" s="32"/>
      <c r="U4" s="32"/>
      <c r="V4" s="32"/>
      <c r="W4" s="32"/>
      <c r="X4" s="32"/>
      <c r="Y4" s="32"/>
      <c r="Z4" s="32"/>
      <c r="AA4" s="32"/>
    </row>
    <row r="5" spans="1:27">
      <c r="A5" s="54">
        <v>42095</v>
      </c>
      <c r="B5" s="15" t="s">
        <v>12</v>
      </c>
      <c r="C5" s="15" t="str">
        <f>TEXT(Table11[[#This Row],[Date]],"mmmm")</f>
        <v>April</v>
      </c>
      <c r="D5" s="15">
        <v>103</v>
      </c>
      <c r="E5" s="82">
        <f>_xlfn.FORECAST.LINEAR(Table11[[#This Row],[Date]],Table11[Units_Sold],Table11[Date])</f>
        <v>99.081025524102088</v>
      </c>
      <c r="F5" cm="1">
        <f t="array" ref="F5">_xlfn.IFS(Table11[[#This Row],[Vehicle_Type]]="SUV",250,Table11[[#This Row],[Vehicle_Type]]="Sedan",200,Table11[[#This Row],[Vehicle_Type]]="Hatchback",185,Table11[[#This Row],[Vehicle_Type]]="Electric",190,Table11[[#This Row],[Vehicle_Type]]="Truck",150)</f>
        <v>250</v>
      </c>
      <c r="G5">
        <f t="shared" ca="1" si="0"/>
        <v>25</v>
      </c>
      <c r="H5" s="82">
        <f>Table11[[#This Row],[Daily_Production]]-Table11[[#This Row],[Forecasted_Units]]</f>
        <v>150.91897447589793</v>
      </c>
      <c r="I5" cm="1">
        <f t="array" ref="I5">_xlfn.IFS(Table11[[#This Row],[Vehicle_Type]]="SUV",5,Table11[[#This Row],[Vehicle_Type]]="Sedan",7,Table11[[#This Row],[Vehicle_Type]]="Hatchback",10,Table11[[#This Row],[Vehicle_Type]]="Electric",11,Table11[[#This Row],[Vehicle_Type]]="Truck",13)</f>
        <v>5</v>
      </c>
      <c r="J5">
        <f ca="1">Table11[[#This Row],[Daily_Production]]*Table11[[#This Row],[Working_Days]]</f>
        <v>6250</v>
      </c>
      <c r="K5" s="81">
        <f>Table11[[#This Row],[Forecasted_Units]]*0.1</f>
        <v>9.9081025524102095</v>
      </c>
      <c r="L5" s="82">
        <f>Table11[[#This Row],[Adjusted_Forecast]]+Table11[[#This Row],[Safety_Stock]]-Table11[[#This Row],[Inventory_On_Hand]]</f>
        <v>-27.067692570770319</v>
      </c>
      <c r="M5" s="82">
        <f ca="1">MIN(Table11[[#This Row],[Production_Needed]],Table11[[#This Row],[Production_Capacity]])</f>
        <v>-27.067692570770319</v>
      </c>
      <c r="N5" s="82">
        <f ca="1">MAX(Table11[[#This Row],[Production_Needed]]-Table11[[#This Row],[Planned_Production]],0)</f>
        <v>0</v>
      </c>
      <c r="O5" s="82">
        <f ca="1">Table11[[#This Row],[Inventory_On_Hand]]+Table11[[#This Row],[Planned_Production]]-Table11[[#This Row],[Forecasted_Units]]</f>
        <v>24.770256381025519</v>
      </c>
      <c r="P5" s="107" cm="1">
        <f t="array" ref="P5">_xlfn.XLOOKUP(Table11[[#This Row],[Date]] &amp; Table11[[#This Row],[Vehicle_Type]], Table12[Date] &amp; Table12[Vehicle_Type],Table12[Feedback_Adjustment], 0)</f>
        <v>0.15</v>
      </c>
      <c r="Q5" s="82">
        <f>Table11[[#This Row],[Forecasted_Units]]*(1+Table11[[#This Row],[Adjustment_Percentage]])</f>
        <v>113.94317935271739</v>
      </c>
      <c r="R5" s="82"/>
      <c r="S5" s="32" t="s">
        <v>241</v>
      </c>
      <c r="T5" s="32"/>
      <c r="U5" s="32"/>
      <c r="V5" s="32"/>
      <c r="W5" s="32"/>
      <c r="X5" s="32"/>
      <c r="Y5" s="32"/>
      <c r="Z5" s="32"/>
      <c r="AA5" s="32"/>
    </row>
    <row r="6" spans="1:27">
      <c r="A6" s="53">
        <v>42125</v>
      </c>
      <c r="B6" s="14" t="s">
        <v>12</v>
      </c>
      <c r="C6" s="14" t="str">
        <f>TEXT(Table11[[#This Row],[Date]],"mmmm")</f>
        <v>May</v>
      </c>
      <c r="D6" s="14">
        <v>111</v>
      </c>
      <c r="E6" s="82">
        <f>_xlfn.FORECAST.LINEAR(Table11[[#This Row],[Date]],Table11[Units_Sold],Table11[Date])</f>
        <v>99.082189720758876</v>
      </c>
      <c r="F6" cm="1">
        <f t="array" ref="F6">_xlfn.IFS(Table11[[#This Row],[Vehicle_Type]]="SUV",250,Table11[[#This Row],[Vehicle_Type]]="Sedan",200,Table11[[#This Row],[Vehicle_Type]]="Hatchback",185,Table11[[#This Row],[Vehicle_Type]]="Electric",190,Table11[[#This Row],[Vehicle_Type]]="Truck",150)</f>
        <v>250</v>
      </c>
      <c r="G6">
        <f t="shared" ca="1" si="0"/>
        <v>25</v>
      </c>
      <c r="H6" s="82">
        <f>Table11[[#This Row],[Daily_Production]]-Table11[[#This Row],[Forecasted_Units]]</f>
        <v>150.91781027924111</v>
      </c>
      <c r="I6" cm="1">
        <f t="array" ref="I6">_xlfn.IFS(Table11[[#This Row],[Vehicle_Type]]="SUV",5,Table11[[#This Row],[Vehicle_Type]]="Sedan",7,Table11[[#This Row],[Vehicle_Type]]="Hatchback",10,Table11[[#This Row],[Vehicle_Type]]="Electric",11,Table11[[#This Row],[Vehicle_Type]]="Truck",13)</f>
        <v>5</v>
      </c>
      <c r="J6">
        <f ca="1">Table11[[#This Row],[Daily_Production]]*Table11[[#This Row],[Working_Days]]</f>
        <v>6250</v>
      </c>
      <c r="K6" s="81">
        <f>Table11[[#This Row],[Forecasted_Units]]*0.1</f>
        <v>9.908218972075888</v>
      </c>
      <c r="L6" s="82">
        <f>Table11[[#This Row],[Adjusted_Forecast]]+Table11[[#This Row],[Safety_Stock]]-Table11[[#This Row],[Inventory_On_Hand]]</f>
        <v>-27.065073128292525</v>
      </c>
      <c r="M6" s="82">
        <f ca="1">MIN(Table11[[#This Row],[Production_Needed]],Table11[[#This Row],[Production_Capacity]])</f>
        <v>-27.065073128292525</v>
      </c>
      <c r="N6" s="82">
        <f ca="1">MAX(Table11[[#This Row],[Production_Needed]]-Table11[[#This Row],[Planned_Production]],0)</f>
        <v>0</v>
      </c>
      <c r="O6" s="82">
        <f ca="1">Table11[[#This Row],[Inventory_On_Hand]]+Table11[[#This Row],[Planned_Production]]-Table11[[#This Row],[Forecasted_Units]]</f>
        <v>24.770547430189708</v>
      </c>
      <c r="P6" cm="1">
        <f t="array" ref="P6">_xlfn.XLOOKUP(Table11[[#This Row],[Date]] &amp; Table11[[#This Row],[Vehicle_Type]], Table12[Date] &amp; Table12[Vehicle_Type],Table12[Feedback_Adjustment], 0)</f>
        <v>0.15</v>
      </c>
      <c r="Q6" s="82">
        <f>Table11[[#This Row],[Forecasted_Units]]*(1+Table11[[#This Row],[Adjustment_Percentage]])</f>
        <v>113.9445181788727</v>
      </c>
      <c r="R6" s="82"/>
      <c r="S6" s="32" t="s">
        <v>242</v>
      </c>
      <c r="T6" s="32"/>
      <c r="U6" s="32"/>
      <c r="V6" s="32"/>
      <c r="W6" s="32"/>
      <c r="X6" s="32"/>
      <c r="Y6" s="32"/>
      <c r="Z6" s="32"/>
      <c r="AA6" s="32"/>
    </row>
    <row r="7" spans="1:27">
      <c r="A7" s="54">
        <v>42155</v>
      </c>
      <c r="B7" s="15" t="s">
        <v>12</v>
      </c>
      <c r="C7" s="15" t="str">
        <f>TEXT(Table11[[#This Row],[Date]],"mmmm")</f>
        <v>May</v>
      </c>
      <c r="D7" s="15">
        <v>90</v>
      </c>
      <c r="E7" s="82">
        <f>_xlfn.FORECAST.LINEAR(Table11[[#This Row],[Date]],Table11[Units_Sold],Table11[Date])</f>
        <v>99.083353917415664</v>
      </c>
      <c r="F7" cm="1">
        <f t="array" ref="F7">_xlfn.IFS(Table11[[#This Row],[Vehicle_Type]]="SUV",250,Table11[[#This Row],[Vehicle_Type]]="Sedan",200,Table11[[#This Row],[Vehicle_Type]]="Hatchback",185,Table11[[#This Row],[Vehicle_Type]]="Electric",190,Table11[[#This Row],[Vehicle_Type]]="Truck",150)</f>
        <v>250</v>
      </c>
      <c r="G7">
        <f t="shared" ca="1" si="0"/>
        <v>20</v>
      </c>
      <c r="H7" s="82">
        <f>Table11[[#This Row],[Daily_Production]]-Table11[[#This Row],[Forecasted_Units]]</f>
        <v>150.91664608258435</v>
      </c>
      <c r="I7" cm="1">
        <f t="array" ref="I7">_xlfn.IFS(Table11[[#This Row],[Vehicle_Type]]="SUV",5,Table11[[#This Row],[Vehicle_Type]]="Sedan",7,Table11[[#This Row],[Vehicle_Type]]="Hatchback",10,Table11[[#This Row],[Vehicle_Type]]="Electric",11,Table11[[#This Row],[Vehicle_Type]]="Truck",13)</f>
        <v>5</v>
      </c>
      <c r="J7">
        <f ca="1">Table11[[#This Row],[Daily_Production]]*Table11[[#This Row],[Working_Days]]</f>
        <v>5000</v>
      </c>
      <c r="K7" s="81">
        <f>Table11[[#This Row],[Forecasted_Units]]*0.1</f>
        <v>9.9083353917415664</v>
      </c>
      <c r="L7" s="82">
        <f>Table11[[#This Row],[Adjusted_Forecast]]+Table11[[#This Row],[Safety_Stock]]-Table11[[#This Row],[Inventory_On_Hand]]</f>
        <v>-27.062453685814774</v>
      </c>
      <c r="M7" s="82">
        <f ca="1">MIN(Table11[[#This Row],[Production_Needed]],Table11[[#This Row],[Production_Capacity]])</f>
        <v>-27.062453685814774</v>
      </c>
      <c r="N7" s="82">
        <f ca="1">MAX(Table11[[#This Row],[Production_Needed]]-Table11[[#This Row],[Planned_Production]],0)</f>
        <v>0</v>
      </c>
      <c r="O7" s="82">
        <f ca="1">Table11[[#This Row],[Inventory_On_Hand]]+Table11[[#This Row],[Planned_Production]]-Table11[[#This Row],[Forecasted_Units]]</f>
        <v>24.770838479353912</v>
      </c>
      <c r="P7" cm="1">
        <f t="array" ref="P7">_xlfn.XLOOKUP(Table11[[#This Row],[Date]] &amp; Table11[[#This Row],[Vehicle_Type]], Table12[Date] &amp; Table12[Vehicle_Type],Table12[Feedback_Adjustment], 0)</f>
        <v>0.15</v>
      </c>
      <c r="Q7" s="82">
        <f>Table11[[#This Row],[Forecasted_Units]]*(1+Table11[[#This Row],[Adjustment_Percentage]])</f>
        <v>113.945857005028</v>
      </c>
      <c r="R7" s="82"/>
      <c r="S7" s="32" t="s">
        <v>243</v>
      </c>
      <c r="T7" s="32"/>
      <c r="U7" s="32"/>
      <c r="V7" s="32"/>
      <c r="W7" s="32"/>
      <c r="X7" s="32"/>
      <c r="Y7" s="32"/>
      <c r="Z7" s="32"/>
      <c r="AA7" s="32"/>
    </row>
    <row r="8" spans="1:27">
      <c r="A8" s="53">
        <v>42185</v>
      </c>
      <c r="B8" s="14" t="s">
        <v>10</v>
      </c>
      <c r="C8" s="14" t="str">
        <f>TEXT(Table11[[#This Row],[Date]],"mmmm")</f>
        <v>June</v>
      </c>
      <c r="D8" s="14">
        <v>94</v>
      </c>
      <c r="E8" s="82">
        <f>_xlfn.FORECAST.LINEAR(Table11[[#This Row],[Date]],Table11[Units_Sold],Table11[Date])</f>
        <v>99.084518114072452</v>
      </c>
      <c r="F8" cm="1">
        <f t="array" ref="F8">_xlfn.IFS(Table11[[#This Row],[Vehicle_Type]]="SUV",250,Table11[[#This Row],[Vehicle_Type]]="Sedan",200,Table11[[#This Row],[Vehicle_Type]]="Hatchback",185,Table11[[#This Row],[Vehicle_Type]]="Electric",190,Table11[[#This Row],[Vehicle_Type]]="Truck",150)</f>
        <v>200</v>
      </c>
      <c r="G8">
        <f t="shared" ca="1" si="0"/>
        <v>24</v>
      </c>
      <c r="H8" s="82">
        <f>Table11[[#This Row],[Daily_Production]]-Table11[[#This Row],[Forecasted_Units]]</f>
        <v>100.91548188592755</v>
      </c>
      <c r="I8" cm="1">
        <f t="array" ref="I8">_xlfn.IFS(Table11[[#This Row],[Vehicle_Type]]="SUV",5,Table11[[#This Row],[Vehicle_Type]]="Sedan",7,Table11[[#This Row],[Vehicle_Type]]="Hatchback",10,Table11[[#This Row],[Vehicle_Type]]="Electric",11,Table11[[#This Row],[Vehicle_Type]]="Truck",13)</f>
        <v>7</v>
      </c>
      <c r="J8">
        <f ca="1">Table11[[#This Row],[Daily_Production]]*Table11[[#This Row],[Working_Days]]</f>
        <v>4800</v>
      </c>
      <c r="K8" s="81">
        <f>Table11[[#This Row],[Forecasted_Units]]*0.1</f>
        <v>9.9084518114072466</v>
      </c>
      <c r="L8" s="82">
        <f>Table11[[#This Row],[Adjusted_Forecast]]+Table11[[#This Row],[Safety_Stock]]-Table11[[#This Row],[Inventory_On_Hand]]</f>
        <v>-61.281674640298561</v>
      </c>
      <c r="M8" s="82">
        <f ca="1">MIN(Table11[[#This Row],[Production_Needed]],Table11[[#This Row],[Production_Capacity]])</f>
        <v>-61.281674640298561</v>
      </c>
      <c r="N8" s="82">
        <f ca="1">MAX(Table11[[#This Row],[Production_Needed]]-Table11[[#This Row],[Planned_Production]],0)</f>
        <v>0</v>
      </c>
      <c r="O8" s="82">
        <f ca="1">Table11[[#This Row],[Inventory_On_Hand]]+Table11[[#This Row],[Planned_Production]]-Table11[[#This Row],[Forecasted_Units]]</f>
        <v>-59.450710868443466</v>
      </c>
      <c r="P8" cm="1">
        <f t="array" ref="P8">_xlfn.XLOOKUP(Table11[[#This Row],[Date]] &amp; Table11[[#This Row],[Vehicle_Type]], Table12[Date] &amp; Table12[Vehicle_Type],Table12[Feedback_Adjustment], 0)</f>
        <v>-0.7</v>
      </c>
      <c r="Q8" s="82">
        <f>Table11[[#This Row],[Forecasted_Units]]*(1+Table11[[#This Row],[Adjustment_Percentage]])</f>
        <v>29.72535543422174</v>
      </c>
      <c r="R8" s="82"/>
      <c r="S8" s="32" t="s">
        <v>244</v>
      </c>
      <c r="T8" s="32"/>
      <c r="U8" s="32"/>
      <c r="V8" s="32"/>
      <c r="W8" s="32"/>
      <c r="X8" s="32"/>
      <c r="Y8" s="32"/>
      <c r="Z8" s="32"/>
      <c r="AA8" s="32"/>
    </row>
    <row r="9" spans="1:27">
      <c r="A9" s="54">
        <v>42215</v>
      </c>
      <c r="B9" s="15" t="s">
        <v>13</v>
      </c>
      <c r="C9" s="14" t="str">
        <f>TEXT(Table11[[#This Row],[Date]],"mmmm")</f>
        <v>July</v>
      </c>
      <c r="D9" s="15">
        <v>98</v>
      </c>
      <c r="E9" s="82">
        <f>_xlfn.FORECAST.LINEAR(Table11[[#This Row],[Date]],Table11[Units_Sold],Table11[Date])</f>
        <v>99.08568231072924</v>
      </c>
      <c r="F9" cm="1">
        <f t="array" ref="F9">_xlfn.IFS(Table11[[#This Row],[Vehicle_Type]]="SUV",250,Table11[[#This Row],[Vehicle_Type]]="Sedan",200,Table11[[#This Row],[Vehicle_Type]]="Hatchback",185,Table11[[#This Row],[Vehicle_Type]]="Electric",190,Table11[[#This Row],[Vehicle_Type]]="Truck",150)</f>
        <v>190</v>
      </c>
      <c r="G9">
        <f t="shared" ca="1" si="0"/>
        <v>23</v>
      </c>
      <c r="H9" s="82">
        <f>Table11[[#This Row],[Daily_Production]]-Table11[[#This Row],[Forecasted_Units]]</f>
        <v>90.91431768927076</v>
      </c>
      <c r="I9" cm="1">
        <f t="array" ref="I9">_xlfn.IFS(Table11[[#This Row],[Vehicle_Type]]="SUV",5,Table11[[#This Row],[Vehicle_Type]]="Sedan",7,Table11[[#This Row],[Vehicle_Type]]="Hatchback",10,Table11[[#This Row],[Vehicle_Type]]="Electric",11,Table11[[#This Row],[Vehicle_Type]]="Truck",13)</f>
        <v>11</v>
      </c>
      <c r="J9">
        <f ca="1">Table11[[#This Row],[Daily_Production]]*Table11[[#This Row],[Working_Days]]</f>
        <v>4370</v>
      </c>
      <c r="K9" s="81">
        <f>Table11[[#This Row],[Forecasted_Units]]*0.1</f>
        <v>9.9085682310729251</v>
      </c>
      <c r="L9" s="82">
        <f>Table11[[#This Row],[Adjusted_Forecast]]+Table11[[#This Row],[Safety_Stock]]-Table11[[#This Row],[Inventory_On_Hand]]</f>
        <v>8.1713646214584799</v>
      </c>
      <c r="M9" s="82">
        <f ca="1">MIN(Table11[[#This Row],[Production_Needed]],Table11[[#This Row],[Production_Capacity]])</f>
        <v>8.1713646214584799</v>
      </c>
      <c r="N9" s="82">
        <f ca="1">MAX(Table11[[#This Row],[Production_Needed]]-Table11[[#This Row],[Planned_Production]],0)</f>
        <v>0</v>
      </c>
      <c r="O9" s="82">
        <f ca="1">Table11[[#This Row],[Inventory_On_Hand]]+Table11[[#This Row],[Planned_Production]]-Table11[[#This Row],[Forecasted_Units]]</f>
        <v>0</v>
      </c>
      <c r="P9" cm="1">
        <f t="array" ref="P9">_xlfn.XLOOKUP(Table11[[#This Row],[Date]] &amp; Table11[[#This Row],[Vehicle_Type]], Table12[Date] &amp; Table12[Vehicle_Type],Table12[Feedback_Adjustment], 0)</f>
        <v>-0.1</v>
      </c>
      <c r="Q9" s="82">
        <f>Table11[[#This Row],[Forecasted_Units]]*(1+Table11[[#This Row],[Adjustment_Percentage]])</f>
        <v>89.17711407965632</v>
      </c>
      <c r="R9" s="82"/>
      <c r="S9" s="32" t="s">
        <v>245</v>
      </c>
      <c r="T9" s="32"/>
      <c r="U9" s="32"/>
      <c r="V9" s="32"/>
      <c r="W9" s="32"/>
      <c r="X9" s="32"/>
      <c r="Y9" s="32"/>
      <c r="Z9" s="32"/>
      <c r="AA9" s="32"/>
    </row>
    <row r="10" spans="1:27">
      <c r="A10" s="53">
        <v>42245</v>
      </c>
      <c r="B10" s="14" t="s">
        <v>10</v>
      </c>
      <c r="C10" s="14" t="str">
        <f>TEXT(Table11[[#This Row],[Date]],"mmmm")</f>
        <v>August</v>
      </c>
      <c r="D10" s="14">
        <v>103</v>
      </c>
      <c r="E10" s="82">
        <f>_xlfn.FORECAST.LINEAR(Table11[[#This Row],[Date]],Table11[Units_Sold],Table11[Date])</f>
        <v>99.086846507386028</v>
      </c>
      <c r="F10" cm="1">
        <f t="array" ref="F10">_xlfn.IFS(Table11[[#This Row],[Vehicle_Type]]="SUV",250,Table11[[#This Row],[Vehicle_Type]]="Sedan",200,Table11[[#This Row],[Vehicle_Type]]="Hatchback",185,Table11[[#This Row],[Vehicle_Type]]="Electric",190,Table11[[#This Row],[Vehicle_Type]]="Truck",150)</f>
        <v>200</v>
      </c>
      <c r="G10">
        <f t="shared" ca="1" si="0"/>
        <v>23</v>
      </c>
      <c r="H10" s="82">
        <f>Table11[[#This Row],[Daily_Production]]-Table11[[#This Row],[Forecasted_Units]]</f>
        <v>100.91315349261397</v>
      </c>
      <c r="I10" cm="1">
        <f t="array" ref="I10">_xlfn.IFS(Table11[[#This Row],[Vehicle_Type]]="SUV",5,Table11[[#This Row],[Vehicle_Type]]="Sedan",7,Table11[[#This Row],[Vehicle_Type]]="Hatchback",10,Table11[[#This Row],[Vehicle_Type]]="Electric",11,Table11[[#This Row],[Vehicle_Type]]="Truck",13)</f>
        <v>7</v>
      </c>
      <c r="J10">
        <f ca="1">Table11[[#This Row],[Daily_Production]]*Table11[[#This Row],[Working_Days]]</f>
        <v>4600</v>
      </c>
      <c r="K10" s="81">
        <f>Table11[[#This Row],[Forecasted_Units]]*0.1</f>
        <v>9.9086846507386035</v>
      </c>
      <c r="L10" s="82">
        <f>Table11[[#This Row],[Adjusted_Forecast]]+Table11[[#This Row],[Safety_Stock]]-Table11[[#This Row],[Inventory_On_Hand]]</f>
        <v>-61.278414889659558</v>
      </c>
      <c r="M10" s="82">
        <f ca="1">MIN(Table11[[#This Row],[Production_Needed]],Table11[[#This Row],[Production_Capacity]])</f>
        <v>-61.278414889659558</v>
      </c>
      <c r="N10" s="82">
        <f ca="1">MAX(Table11[[#This Row],[Production_Needed]]-Table11[[#This Row],[Planned_Production]],0)</f>
        <v>0</v>
      </c>
      <c r="O10" s="82">
        <f ca="1">Table11[[#This Row],[Inventory_On_Hand]]+Table11[[#This Row],[Planned_Production]]-Table11[[#This Row],[Forecasted_Units]]</f>
        <v>-59.452107904431614</v>
      </c>
      <c r="P10" cm="1">
        <f t="array" ref="P10">_xlfn.XLOOKUP(Table11[[#This Row],[Date]] &amp; Table11[[#This Row],[Vehicle_Type]], Table12[Date] &amp; Table12[Vehicle_Type],Table12[Feedback_Adjustment], 0)</f>
        <v>-0.7</v>
      </c>
      <c r="Q10" s="82">
        <f>Table11[[#This Row],[Forecasted_Units]]*(1+Table11[[#This Row],[Adjustment_Percentage]])</f>
        <v>29.726053952215814</v>
      </c>
      <c r="R10" s="82"/>
      <c r="S10" s="32" t="s">
        <v>246</v>
      </c>
      <c r="T10" s="32"/>
      <c r="U10" s="32"/>
      <c r="V10" s="32"/>
      <c r="W10" s="32"/>
      <c r="X10" s="32"/>
      <c r="Y10" s="32"/>
      <c r="Z10" s="32"/>
      <c r="AA10" s="32"/>
    </row>
    <row r="11" spans="1:27">
      <c r="A11" s="54">
        <v>42275</v>
      </c>
      <c r="B11" s="15" t="s">
        <v>13</v>
      </c>
      <c r="C11" s="15" t="str">
        <f>TEXT(Table11[[#This Row],[Date]],"mmmm")</f>
        <v>September</v>
      </c>
      <c r="D11" s="15">
        <v>94</v>
      </c>
      <c r="E11" s="82">
        <f>_xlfn.FORECAST.LINEAR(Table11[[#This Row],[Date]],Table11[Units_Sold],Table11[Date])</f>
        <v>99.088010704042816</v>
      </c>
      <c r="F11" cm="1">
        <f t="array" ref="F11">_xlfn.IFS(Table11[[#This Row],[Vehicle_Type]]="SUV",250,Table11[[#This Row],[Vehicle_Type]]="Sedan",200,Table11[[#This Row],[Vehicle_Type]]="Hatchback",185,Table11[[#This Row],[Vehicle_Type]]="Electric",190,Table11[[#This Row],[Vehicle_Type]]="Truck",150)</f>
        <v>190</v>
      </c>
      <c r="G11">
        <f t="shared" ca="1" si="0"/>
        <v>23</v>
      </c>
      <c r="H11" s="82">
        <f>Table11[[#This Row],[Daily_Production]]-Table11[[#This Row],[Forecasted_Units]]</f>
        <v>90.911989295957184</v>
      </c>
      <c r="I11" cm="1">
        <f t="array" ref="I11">_xlfn.IFS(Table11[[#This Row],[Vehicle_Type]]="SUV",5,Table11[[#This Row],[Vehicle_Type]]="Sedan",7,Table11[[#This Row],[Vehicle_Type]]="Hatchback",10,Table11[[#This Row],[Vehicle_Type]]="Electric",11,Table11[[#This Row],[Vehicle_Type]]="Truck",13)</f>
        <v>11</v>
      </c>
      <c r="J11">
        <f ca="1">Table11[[#This Row],[Daily_Production]]*Table11[[#This Row],[Working_Days]]</f>
        <v>4370</v>
      </c>
      <c r="K11" s="81">
        <f>Table11[[#This Row],[Forecasted_Units]]*0.1</f>
        <v>9.9088010704042819</v>
      </c>
      <c r="L11" s="82">
        <f>Table11[[#This Row],[Adjusted_Forecast]]+Table11[[#This Row],[Safety_Stock]]-Table11[[#This Row],[Inventory_On_Hand]]</f>
        <v>8.1760214080856315</v>
      </c>
      <c r="M11" s="82">
        <f ca="1">MIN(Table11[[#This Row],[Production_Needed]],Table11[[#This Row],[Production_Capacity]])</f>
        <v>8.1760214080856315</v>
      </c>
      <c r="N11" s="82">
        <f ca="1">MAX(Table11[[#This Row],[Production_Needed]]-Table11[[#This Row],[Planned_Production]],0)</f>
        <v>0</v>
      </c>
      <c r="O11" s="82">
        <f ca="1">Table11[[#This Row],[Inventory_On_Hand]]+Table11[[#This Row],[Planned_Production]]-Table11[[#This Row],[Forecasted_Units]]</f>
        <v>0</v>
      </c>
      <c r="P11" cm="1">
        <f t="array" ref="P11">_xlfn.XLOOKUP(Table11[[#This Row],[Date]] &amp; Table11[[#This Row],[Vehicle_Type]], Table12[Date] &amp; Table12[Vehicle_Type],Table12[Feedback_Adjustment], 0)</f>
        <v>-0.1</v>
      </c>
      <c r="Q11" s="82">
        <f>Table11[[#This Row],[Forecasted_Units]]*(1+Table11[[#This Row],[Adjustment_Percentage]])</f>
        <v>89.179209633638536</v>
      </c>
      <c r="R11" s="82"/>
      <c r="S11" s="32" t="s">
        <v>247</v>
      </c>
      <c r="T11" s="32"/>
      <c r="U11" s="32"/>
      <c r="V11" s="32"/>
      <c r="W11" s="32"/>
      <c r="X11" s="32"/>
      <c r="Y11" s="32"/>
      <c r="Z11" s="32"/>
      <c r="AA11" s="32"/>
    </row>
    <row r="12" spans="1:27">
      <c r="A12" s="53">
        <v>42305</v>
      </c>
      <c r="B12" s="14" t="s">
        <v>14</v>
      </c>
      <c r="C12" s="15" t="str">
        <f>TEXT(Table11[[#This Row],[Date]],"mmmm")</f>
        <v>October</v>
      </c>
      <c r="D12" s="14">
        <v>99</v>
      </c>
      <c r="E12" s="82">
        <f>_xlfn.FORECAST.LINEAR(Table11[[#This Row],[Date]],Table11[Units_Sold],Table11[Date])</f>
        <v>99.089174900699589</v>
      </c>
      <c r="F12" cm="1">
        <f t="array" ref="F12">_xlfn.IFS(Table11[[#This Row],[Vehicle_Type]]="SUV",250,Table11[[#This Row],[Vehicle_Type]]="Sedan",200,Table11[[#This Row],[Vehicle_Type]]="Hatchback",185,Table11[[#This Row],[Vehicle_Type]]="Electric",190,Table11[[#This Row],[Vehicle_Type]]="Truck",150)</f>
        <v>150</v>
      </c>
      <c r="G12">
        <f t="shared" ca="1" si="0"/>
        <v>25</v>
      </c>
      <c r="H12" s="82">
        <f>Table11[[#This Row],[Daily_Production]]-Table11[[#This Row],[Forecasted_Units]]</f>
        <v>50.910825099300411</v>
      </c>
      <c r="I12" cm="1">
        <f t="array" ref="I12">_xlfn.IFS(Table11[[#This Row],[Vehicle_Type]]="SUV",5,Table11[[#This Row],[Vehicle_Type]]="Sedan",7,Table11[[#This Row],[Vehicle_Type]]="Hatchback",10,Table11[[#This Row],[Vehicle_Type]]="Electric",11,Table11[[#This Row],[Vehicle_Type]]="Truck",13)</f>
        <v>13</v>
      </c>
      <c r="J12">
        <f ca="1">Table11[[#This Row],[Daily_Production]]*Table11[[#This Row],[Working_Days]]</f>
        <v>3750</v>
      </c>
      <c r="K12" s="81">
        <f>Table11[[#This Row],[Forecasted_Units]]*0.1</f>
        <v>9.9089174900699604</v>
      </c>
      <c r="L12" s="82">
        <f>Table11[[#This Row],[Adjusted_Forecast]]+Table11[[#This Row],[Safety_Stock]]-Table11[[#This Row],[Inventory_On_Hand]]</f>
        <v>46.196566303385197</v>
      </c>
      <c r="M12" s="82">
        <f ca="1">MIN(Table11[[#This Row],[Production_Needed]],Table11[[#This Row],[Production_Capacity]])</f>
        <v>46.196566303385197</v>
      </c>
      <c r="N12" s="82">
        <f ca="1">MAX(Table11[[#This Row],[Production_Needed]]-Table11[[#This Row],[Planned_Production]],0)</f>
        <v>0</v>
      </c>
      <c r="O12" s="82">
        <f ca="1">Table11[[#This Row],[Inventory_On_Hand]]+Table11[[#This Row],[Planned_Production]]-Table11[[#This Row],[Forecasted_Units]]</f>
        <v>-1.9817834980139821</v>
      </c>
      <c r="P12" cm="1">
        <f t="array" ref="P12">_xlfn.XLOOKUP(Table11[[#This Row],[Date]] &amp; Table11[[#This Row],[Vehicle_Type]], Table12[Date] &amp; Table12[Vehicle_Type],Table12[Feedback_Adjustment], 0)</f>
        <v>-0.12</v>
      </c>
      <c r="Q12" s="82">
        <f>Table11[[#This Row],[Forecasted_Units]]*(1+Table11[[#This Row],[Adjustment_Percentage]])</f>
        <v>87.19847391261564</v>
      </c>
      <c r="R12" s="82"/>
      <c r="S12" s="32" t="s">
        <v>248</v>
      </c>
      <c r="T12" s="32"/>
      <c r="U12" s="32"/>
      <c r="V12" s="32"/>
      <c r="W12" s="32"/>
      <c r="X12" s="32"/>
      <c r="Y12" s="32"/>
      <c r="Z12" s="32"/>
      <c r="AA12" s="32"/>
    </row>
    <row r="13" spans="1:27">
      <c r="A13" s="54">
        <v>42335</v>
      </c>
      <c r="B13" s="15" t="s">
        <v>10</v>
      </c>
      <c r="C13" s="15" t="str">
        <f>TEXT(Table11[[#This Row],[Date]],"mmmm")</f>
        <v>November</v>
      </c>
      <c r="D13" s="15">
        <v>90</v>
      </c>
      <c r="E13" s="82">
        <f>_xlfn.FORECAST.LINEAR(Table11[[#This Row],[Date]],Table11[Units_Sold],Table11[Date])</f>
        <v>99.090339097356377</v>
      </c>
      <c r="F13" cm="1">
        <f t="array" ref="F13">_xlfn.IFS(Table11[[#This Row],[Vehicle_Type]]="SUV",250,Table11[[#This Row],[Vehicle_Type]]="Sedan",200,Table11[[#This Row],[Vehicle_Type]]="Hatchback",185,Table11[[#This Row],[Vehicle_Type]]="Electric",190,Table11[[#This Row],[Vehicle_Type]]="Truck",150)</f>
        <v>200</v>
      </c>
      <c r="G13">
        <f t="shared" ca="1" si="0"/>
        <v>23</v>
      </c>
      <c r="H13" s="82">
        <f>Table11[[#This Row],[Daily_Production]]-Table11[[#This Row],[Forecasted_Units]]</f>
        <v>100.90966090264362</v>
      </c>
      <c r="I13" cm="1">
        <f t="array" ref="I13">_xlfn.IFS(Table11[[#This Row],[Vehicle_Type]]="SUV",5,Table11[[#This Row],[Vehicle_Type]]="Sedan",7,Table11[[#This Row],[Vehicle_Type]]="Hatchback",10,Table11[[#This Row],[Vehicle_Type]]="Electric",11,Table11[[#This Row],[Vehicle_Type]]="Truck",13)</f>
        <v>7</v>
      </c>
      <c r="J13">
        <f ca="1">Table11[[#This Row],[Daily_Production]]*Table11[[#This Row],[Working_Days]]</f>
        <v>4600</v>
      </c>
      <c r="K13" s="81">
        <f>Table11[[#This Row],[Forecasted_Units]]*0.1</f>
        <v>9.9090339097356388</v>
      </c>
      <c r="L13" s="82">
        <f>Table11[[#This Row],[Adjusted_Forecast]]+Table11[[#This Row],[Safety_Stock]]-Table11[[#This Row],[Inventory_On_Hand]]</f>
        <v>-61.273525263701067</v>
      </c>
      <c r="M13" s="82">
        <f ca="1">MIN(Table11[[#This Row],[Production_Needed]],Table11[[#This Row],[Production_Capacity]])</f>
        <v>-61.273525263701067</v>
      </c>
      <c r="N13" s="82">
        <f ca="1">MAX(Table11[[#This Row],[Production_Needed]]-Table11[[#This Row],[Planned_Production]],0)</f>
        <v>0</v>
      </c>
      <c r="O13" s="82">
        <f ca="1">Table11[[#This Row],[Inventory_On_Hand]]+Table11[[#This Row],[Planned_Production]]-Table11[[#This Row],[Forecasted_Units]]</f>
        <v>-59.454203458413822</v>
      </c>
      <c r="P13" cm="1">
        <f t="array" ref="P13">_xlfn.XLOOKUP(Table11[[#This Row],[Date]] &amp; Table11[[#This Row],[Vehicle_Type]], Table12[Date] &amp; Table12[Vehicle_Type],Table12[Feedback_Adjustment], 0)</f>
        <v>-0.7</v>
      </c>
      <c r="Q13" s="82">
        <f>Table11[[#This Row],[Forecasted_Units]]*(1+Table11[[#This Row],[Adjustment_Percentage]])</f>
        <v>29.727101729206918</v>
      </c>
      <c r="R13" s="82"/>
      <c r="S13" s="32" t="s">
        <v>249</v>
      </c>
      <c r="T13" s="32"/>
      <c r="U13" s="32"/>
      <c r="V13" s="32"/>
      <c r="W13" s="32"/>
      <c r="X13" s="32"/>
      <c r="Y13" s="32"/>
      <c r="Z13" s="32"/>
      <c r="AA13" s="32"/>
    </row>
    <row r="14" spans="1:27">
      <c r="A14" s="53">
        <v>42365</v>
      </c>
      <c r="B14" s="14" t="s">
        <v>10</v>
      </c>
      <c r="C14" s="15" t="str">
        <f>TEXT(Table11[[#This Row],[Date]],"mmmm")</f>
        <v>December</v>
      </c>
      <c r="D14" s="14">
        <v>100</v>
      </c>
      <c r="E14" s="82">
        <f>_xlfn.FORECAST.LINEAR(Table11[[#This Row],[Date]],Table11[Units_Sold],Table11[Date])</f>
        <v>99.091503294013165</v>
      </c>
      <c r="F14" cm="1">
        <f t="array" ref="F14">_xlfn.IFS(Table11[[#This Row],[Vehicle_Type]]="SUV",250,Table11[[#This Row],[Vehicle_Type]]="Sedan",200,Table11[[#This Row],[Vehicle_Type]]="Hatchback",185,Table11[[#This Row],[Vehicle_Type]]="Electric",190,Table11[[#This Row],[Vehicle_Type]]="Truck",150)</f>
        <v>200</v>
      </c>
      <c r="G14">
        <f t="shared" ca="1" si="0"/>
        <v>25</v>
      </c>
      <c r="H14" s="82">
        <f>Table11[[#This Row],[Daily_Production]]-Table11[[#This Row],[Forecasted_Units]]</f>
        <v>100.90849670598683</v>
      </c>
      <c r="I14" cm="1">
        <f t="array" ref="I14">_xlfn.IFS(Table11[[#This Row],[Vehicle_Type]]="SUV",5,Table11[[#This Row],[Vehicle_Type]]="Sedan",7,Table11[[#This Row],[Vehicle_Type]]="Hatchback",10,Table11[[#This Row],[Vehicle_Type]]="Electric",11,Table11[[#This Row],[Vehicle_Type]]="Truck",13)</f>
        <v>7</v>
      </c>
      <c r="J14">
        <f ca="1">Table11[[#This Row],[Daily_Production]]*Table11[[#This Row],[Working_Days]]</f>
        <v>5000</v>
      </c>
      <c r="K14" s="81">
        <f>Table11[[#This Row],[Forecasted_Units]]*0.1</f>
        <v>9.9091503294013172</v>
      </c>
      <c r="L14" s="82">
        <f>Table11[[#This Row],[Adjusted_Forecast]]+Table11[[#This Row],[Safety_Stock]]-Table11[[#This Row],[Inventory_On_Hand]]</f>
        <v>-61.271895388381566</v>
      </c>
      <c r="M14" s="82">
        <f ca="1">MIN(Table11[[#This Row],[Production_Needed]],Table11[[#This Row],[Production_Capacity]])</f>
        <v>-61.271895388381566</v>
      </c>
      <c r="N14" s="82">
        <f ca="1">MAX(Table11[[#This Row],[Production_Needed]]-Table11[[#This Row],[Planned_Production]],0)</f>
        <v>0</v>
      </c>
      <c r="O14" s="82">
        <f ca="1">Table11[[#This Row],[Inventory_On_Hand]]+Table11[[#This Row],[Planned_Production]]-Table11[[#This Row],[Forecasted_Units]]</f>
        <v>-59.454901976407896</v>
      </c>
      <c r="P14" cm="1">
        <f t="array" ref="P14">_xlfn.XLOOKUP(Table11[[#This Row],[Date]] &amp; Table11[[#This Row],[Vehicle_Type]], Table12[Date] &amp; Table12[Vehicle_Type],Table12[Feedback_Adjustment], 0)</f>
        <v>-0.7</v>
      </c>
      <c r="Q14" s="82">
        <f>Table11[[#This Row],[Forecasted_Units]]*(1+Table11[[#This Row],[Adjustment_Percentage]])</f>
        <v>29.727450988203955</v>
      </c>
      <c r="R14" s="82"/>
      <c r="S14" s="32" t="s">
        <v>250</v>
      </c>
      <c r="T14" s="32"/>
      <c r="U14" s="32"/>
      <c r="V14" s="32"/>
      <c r="W14" s="32"/>
      <c r="X14" s="32"/>
      <c r="Y14" s="32"/>
      <c r="Z14" s="32"/>
      <c r="AA14" s="32"/>
    </row>
    <row r="15" spans="1:27">
      <c r="A15" s="54">
        <v>42395</v>
      </c>
      <c r="B15" s="15" t="s">
        <v>10</v>
      </c>
      <c r="C15" s="15" t="str">
        <f>TEXT(Table11[[#This Row],[Date]],"mmmm")</f>
        <v>January</v>
      </c>
      <c r="D15" s="15">
        <v>103</v>
      </c>
      <c r="E15" s="82">
        <f>_xlfn.FORECAST.LINEAR(Table11[[#This Row],[Date]],Table11[Units_Sold],Table11[Date])</f>
        <v>99.092667490669953</v>
      </c>
      <c r="F15" cm="1">
        <f t="array" ref="F15">_xlfn.IFS(Table11[[#This Row],[Vehicle_Type]]="SUV",250,Table11[[#This Row],[Vehicle_Type]]="Sedan",200,Table11[[#This Row],[Vehicle_Type]]="Hatchback",185,Table11[[#This Row],[Vehicle_Type]]="Electric",190,Table11[[#This Row],[Vehicle_Type]]="Truck",150)</f>
        <v>200</v>
      </c>
      <c r="G15">
        <f t="shared" ca="1" si="0"/>
        <v>22</v>
      </c>
      <c r="H15" s="82">
        <f>Table11[[#This Row],[Daily_Production]]-Table11[[#This Row],[Forecasted_Units]]</f>
        <v>100.90733250933005</v>
      </c>
      <c r="I15" cm="1">
        <f t="array" ref="I15">_xlfn.IFS(Table11[[#This Row],[Vehicle_Type]]="SUV",5,Table11[[#This Row],[Vehicle_Type]]="Sedan",7,Table11[[#This Row],[Vehicle_Type]]="Hatchback",10,Table11[[#This Row],[Vehicle_Type]]="Electric",11,Table11[[#This Row],[Vehicle_Type]]="Truck",13)</f>
        <v>7</v>
      </c>
      <c r="J15">
        <f ca="1">Table11[[#This Row],[Daily_Production]]*Table11[[#This Row],[Working_Days]]</f>
        <v>4400</v>
      </c>
      <c r="K15" s="81">
        <f>Table11[[#This Row],[Forecasted_Units]]*0.1</f>
        <v>9.9092667490669957</v>
      </c>
      <c r="L15" s="82">
        <f>Table11[[#This Row],[Adjusted_Forecast]]+Table11[[#This Row],[Safety_Stock]]-Table11[[#This Row],[Inventory_On_Hand]]</f>
        <v>-61.270265513062064</v>
      </c>
      <c r="M15" s="82">
        <f ca="1">MIN(Table11[[#This Row],[Production_Needed]],Table11[[#This Row],[Production_Capacity]])</f>
        <v>-61.270265513062064</v>
      </c>
      <c r="N15" s="82">
        <f ca="1">MAX(Table11[[#This Row],[Production_Needed]]-Table11[[#This Row],[Planned_Production]],0)</f>
        <v>0</v>
      </c>
      <c r="O15" s="82">
        <f ca="1">Table11[[#This Row],[Inventory_On_Hand]]+Table11[[#This Row],[Planned_Production]]-Table11[[#This Row],[Forecasted_Units]]</f>
        <v>-59.45560049440197</v>
      </c>
      <c r="P15" cm="1">
        <f t="array" ref="P15">_xlfn.XLOOKUP(Table11[[#This Row],[Date]] &amp; Table11[[#This Row],[Vehicle_Type]], Table12[Date] &amp; Table12[Vehicle_Type],Table12[Feedback_Adjustment], 0)</f>
        <v>-0.7</v>
      </c>
      <c r="Q15" s="82">
        <f>Table11[[#This Row],[Forecasted_Units]]*(1+Table11[[#This Row],[Adjustment_Percentage]])</f>
        <v>29.727800247200989</v>
      </c>
      <c r="R15" s="82"/>
    </row>
    <row r="16" spans="1:27">
      <c r="A16" s="53">
        <v>42425</v>
      </c>
      <c r="B16" s="14" t="s">
        <v>12</v>
      </c>
      <c r="C16" s="15" t="str">
        <f>TEXT(Table11[[#This Row],[Date]],"mmmm")</f>
        <v>February</v>
      </c>
      <c r="D16" s="14">
        <v>94</v>
      </c>
      <c r="E16" s="82">
        <f>_xlfn.FORECAST.LINEAR(Table11[[#This Row],[Date]],Table11[Units_Sold],Table11[Date])</f>
        <v>99.093831687326741</v>
      </c>
      <c r="F16" cm="1">
        <f t="array" ref="F16">_xlfn.IFS(Table11[[#This Row],[Vehicle_Type]]="SUV",250,Table11[[#This Row],[Vehicle_Type]]="Sedan",200,Table11[[#This Row],[Vehicle_Type]]="Hatchback",185,Table11[[#This Row],[Vehicle_Type]]="Electric",190,Table11[[#This Row],[Vehicle_Type]]="Truck",150)</f>
        <v>250</v>
      </c>
      <c r="G16">
        <f t="shared" ca="1" si="0"/>
        <v>22</v>
      </c>
      <c r="H16" s="82">
        <f>Table11[[#This Row],[Daily_Production]]-Table11[[#This Row],[Forecasted_Units]]</f>
        <v>150.90616831267326</v>
      </c>
      <c r="I16" cm="1">
        <f t="array" ref="I16">_xlfn.IFS(Table11[[#This Row],[Vehicle_Type]]="SUV",5,Table11[[#This Row],[Vehicle_Type]]="Sedan",7,Table11[[#This Row],[Vehicle_Type]]="Hatchback",10,Table11[[#This Row],[Vehicle_Type]]="Electric",11,Table11[[#This Row],[Vehicle_Type]]="Truck",13)</f>
        <v>5</v>
      </c>
      <c r="J16">
        <f ca="1">Table11[[#This Row],[Daily_Production]]*Table11[[#This Row],[Working_Days]]</f>
        <v>5500</v>
      </c>
      <c r="K16" s="81">
        <f>Table11[[#This Row],[Forecasted_Units]]*0.1</f>
        <v>9.9093831687326741</v>
      </c>
      <c r="L16" s="82">
        <f>Table11[[#This Row],[Adjusted_Forecast]]+Table11[[#This Row],[Safety_Stock]]-Table11[[#This Row],[Inventory_On_Hand]]</f>
        <v>-27.03887870351484</v>
      </c>
      <c r="M16" s="82">
        <f ca="1">MIN(Table11[[#This Row],[Production_Needed]],Table11[[#This Row],[Production_Capacity]])</f>
        <v>-27.03887870351484</v>
      </c>
      <c r="N16" s="82">
        <f ca="1">MAX(Table11[[#This Row],[Production_Needed]]-Table11[[#This Row],[Planned_Production]],0)</f>
        <v>0</v>
      </c>
      <c r="O16" s="82">
        <f ca="1">Table11[[#This Row],[Inventory_On_Hand]]+Table11[[#This Row],[Planned_Production]]-Table11[[#This Row],[Forecasted_Units]]</f>
        <v>24.773457921831678</v>
      </c>
      <c r="P16" cm="1">
        <f t="array" ref="P16">_xlfn.XLOOKUP(Table11[[#This Row],[Date]] &amp; Table11[[#This Row],[Vehicle_Type]], Table12[Date] &amp; Table12[Vehicle_Type],Table12[Feedback_Adjustment], 0)</f>
        <v>0.15</v>
      </c>
      <c r="Q16" s="82">
        <f>Table11[[#This Row],[Forecasted_Units]]*(1+Table11[[#This Row],[Adjustment_Percentage]])</f>
        <v>113.95790644042575</v>
      </c>
      <c r="R16" s="82"/>
    </row>
    <row r="17" spans="1:18">
      <c r="A17" s="54">
        <v>42455</v>
      </c>
      <c r="B17" s="15" t="s">
        <v>12</v>
      </c>
      <c r="C17" s="15" t="str">
        <f>TEXT(Table11[[#This Row],[Date]],"mmmm")</f>
        <v>March</v>
      </c>
      <c r="D17" s="15">
        <v>105</v>
      </c>
      <c r="E17" s="82">
        <f>_xlfn.FORECAST.LINEAR(Table11[[#This Row],[Date]],Table11[Units_Sold],Table11[Date])</f>
        <v>99.094995883983529</v>
      </c>
      <c r="F17" cm="1">
        <f t="array" ref="F17">_xlfn.IFS(Table11[[#This Row],[Vehicle_Type]]="SUV",250,Table11[[#This Row],[Vehicle_Type]]="Sedan",200,Table11[[#This Row],[Vehicle_Type]]="Hatchback",185,Table11[[#This Row],[Vehicle_Type]]="Electric",190,Table11[[#This Row],[Vehicle_Type]]="Truck",150)</f>
        <v>250</v>
      </c>
      <c r="G17">
        <f t="shared" ca="1" si="0"/>
        <v>24</v>
      </c>
      <c r="H17" s="82">
        <f>Table11[[#This Row],[Daily_Production]]-Table11[[#This Row],[Forecasted_Units]]</f>
        <v>150.90500411601647</v>
      </c>
      <c r="I17" cm="1">
        <f t="array" ref="I17">_xlfn.IFS(Table11[[#This Row],[Vehicle_Type]]="SUV",5,Table11[[#This Row],[Vehicle_Type]]="Sedan",7,Table11[[#This Row],[Vehicle_Type]]="Hatchback",10,Table11[[#This Row],[Vehicle_Type]]="Electric",11,Table11[[#This Row],[Vehicle_Type]]="Truck",13)</f>
        <v>5</v>
      </c>
      <c r="J17">
        <f ca="1">Table11[[#This Row],[Daily_Production]]*Table11[[#This Row],[Working_Days]]</f>
        <v>6000</v>
      </c>
      <c r="K17" s="81">
        <f>Table11[[#This Row],[Forecasted_Units]]*0.1</f>
        <v>9.9094995883983543</v>
      </c>
      <c r="L17" s="82">
        <f>Table11[[#This Row],[Adjusted_Forecast]]+Table11[[#This Row],[Safety_Stock]]-Table11[[#This Row],[Inventory_On_Hand]]</f>
        <v>-27.03625926103706</v>
      </c>
      <c r="M17" s="82">
        <f ca="1">MIN(Table11[[#This Row],[Production_Needed]],Table11[[#This Row],[Production_Capacity]])</f>
        <v>-27.03625926103706</v>
      </c>
      <c r="N17" s="82">
        <f ca="1">MAX(Table11[[#This Row],[Production_Needed]]-Table11[[#This Row],[Planned_Production]],0)</f>
        <v>0</v>
      </c>
      <c r="O17" s="82">
        <f ca="1">Table11[[#This Row],[Inventory_On_Hand]]+Table11[[#This Row],[Planned_Production]]-Table11[[#This Row],[Forecasted_Units]]</f>
        <v>24.773748970995882</v>
      </c>
      <c r="P17" cm="1">
        <f t="array" ref="P17">_xlfn.XLOOKUP(Table11[[#This Row],[Date]] &amp; Table11[[#This Row],[Vehicle_Type]], Table12[Date] &amp; Table12[Vehicle_Type],Table12[Feedback_Adjustment], 0)</f>
        <v>0.15</v>
      </c>
      <c r="Q17" s="82">
        <f>Table11[[#This Row],[Forecasted_Units]]*(1+Table11[[#This Row],[Adjustment_Percentage]])</f>
        <v>113.95924526658105</v>
      </c>
      <c r="R17" s="82"/>
    </row>
    <row r="18" spans="1:18">
      <c r="A18" s="53">
        <v>42485</v>
      </c>
      <c r="B18" s="14" t="s">
        <v>13</v>
      </c>
      <c r="C18" s="15" t="str">
        <f>TEXT(Table11[[#This Row],[Date]],"mmmm")</f>
        <v>April</v>
      </c>
      <c r="D18" s="14">
        <v>86</v>
      </c>
      <c r="E18" s="82">
        <f>_xlfn.FORECAST.LINEAR(Table11[[#This Row],[Date]],Table11[Units_Sold],Table11[Date])</f>
        <v>99.096160080640317</v>
      </c>
      <c r="F18" cm="1">
        <f t="array" ref="F18">_xlfn.IFS(Table11[[#This Row],[Vehicle_Type]]="SUV",250,Table11[[#This Row],[Vehicle_Type]]="Sedan",200,Table11[[#This Row],[Vehicle_Type]]="Hatchback",185,Table11[[#This Row],[Vehicle_Type]]="Electric",190,Table11[[#This Row],[Vehicle_Type]]="Truck",150)</f>
        <v>190</v>
      </c>
      <c r="G18">
        <f t="shared" ca="1" si="0"/>
        <v>23</v>
      </c>
      <c r="H18" s="82">
        <f>Table11[[#This Row],[Daily_Production]]-Table11[[#This Row],[Forecasted_Units]]</f>
        <v>90.903839919359683</v>
      </c>
      <c r="I18" cm="1">
        <f t="array" ref="I18">_xlfn.IFS(Table11[[#This Row],[Vehicle_Type]]="SUV",5,Table11[[#This Row],[Vehicle_Type]]="Sedan",7,Table11[[#This Row],[Vehicle_Type]]="Hatchback",10,Table11[[#This Row],[Vehicle_Type]]="Electric",11,Table11[[#This Row],[Vehicle_Type]]="Truck",13)</f>
        <v>11</v>
      </c>
      <c r="J18">
        <f ca="1">Table11[[#This Row],[Daily_Production]]*Table11[[#This Row],[Working_Days]]</f>
        <v>4370</v>
      </c>
      <c r="K18" s="81">
        <f>Table11[[#This Row],[Forecasted_Units]]*0.1</f>
        <v>9.9096160080640328</v>
      </c>
      <c r="L18" s="82">
        <f>Table11[[#This Row],[Adjusted_Forecast]]+Table11[[#This Row],[Safety_Stock]]-Table11[[#This Row],[Inventory_On_Hand]]</f>
        <v>8.1923201612806338</v>
      </c>
      <c r="M18" s="82">
        <f ca="1">MIN(Table11[[#This Row],[Production_Needed]],Table11[[#This Row],[Production_Capacity]])</f>
        <v>8.1923201612806338</v>
      </c>
      <c r="N18" s="82">
        <f ca="1">MAX(Table11[[#This Row],[Production_Needed]]-Table11[[#This Row],[Planned_Production]],0)</f>
        <v>0</v>
      </c>
      <c r="O18" s="82">
        <f ca="1">Table11[[#This Row],[Inventory_On_Hand]]+Table11[[#This Row],[Planned_Production]]-Table11[[#This Row],[Forecasted_Units]]</f>
        <v>0</v>
      </c>
      <c r="P18" cm="1">
        <f t="array" ref="P18">_xlfn.XLOOKUP(Table11[[#This Row],[Date]] &amp; Table11[[#This Row],[Vehicle_Type]], Table12[Date] &amp; Table12[Vehicle_Type],Table12[Feedback_Adjustment], 0)</f>
        <v>-0.1</v>
      </c>
      <c r="Q18" s="82">
        <f>Table11[[#This Row],[Forecasted_Units]]*(1+Table11[[#This Row],[Adjustment_Percentage]])</f>
        <v>89.186544072576282</v>
      </c>
      <c r="R18" s="82"/>
    </row>
    <row r="19" spans="1:18">
      <c r="A19" s="54">
        <v>42515</v>
      </c>
      <c r="B19" s="15" t="s">
        <v>13</v>
      </c>
      <c r="C19" s="15" t="str">
        <f>TEXT(Table11[[#This Row],[Date]],"mmmm")</f>
        <v>May</v>
      </c>
      <c r="D19" s="15">
        <v>92</v>
      </c>
      <c r="E19" s="82">
        <f>_xlfn.FORECAST.LINEAR(Table11[[#This Row],[Date]],Table11[Units_Sold],Table11[Date])</f>
        <v>99.097324277297105</v>
      </c>
      <c r="F19" cm="1">
        <f t="array" ref="F19">_xlfn.IFS(Table11[[#This Row],[Vehicle_Type]]="SUV",250,Table11[[#This Row],[Vehicle_Type]]="Sedan",200,Table11[[#This Row],[Vehicle_Type]]="Hatchback",185,Table11[[#This Row],[Vehicle_Type]]="Electric",190,Table11[[#This Row],[Vehicle_Type]]="Truck",150)</f>
        <v>190</v>
      </c>
      <c r="G19">
        <f t="shared" ca="1" si="0"/>
        <v>24</v>
      </c>
      <c r="H19" s="82">
        <f>Table11[[#This Row],[Daily_Production]]-Table11[[#This Row],[Forecasted_Units]]</f>
        <v>90.902675722702895</v>
      </c>
      <c r="I19" cm="1">
        <f t="array" ref="I19">_xlfn.IFS(Table11[[#This Row],[Vehicle_Type]]="SUV",5,Table11[[#This Row],[Vehicle_Type]]="Sedan",7,Table11[[#This Row],[Vehicle_Type]]="Hatchback",10,Table11[[#This Row],[Vehicle_Type]]="Electric",11,Table11[[#This Row],[Vehicle_Type]]="Truck",13)</f>
        <v>11</v>
      </c>
      <c r="J19">
        <f ca="1">Table11[[#This Row],[Daily_Production]]*Table11[[#This Row],[Working_Days]]</f>
        <v>4560</v>
      </c>
      <c r="K19" s="81">
        <f>Table11[[#This Row],[Forecasted_Units]]*0.1</f>
        <v>9.9097324277297112</v>
      </c>
      <c r="L19" s="82">
        <f>Table11[[#This Row],[Adjusted_Forecast]]+Table11[[#This Row],[Safety_Stock]]-Table11[[#This Row],[Inventory_On_Hand]]</f>
        <v>8.1946485545942096</v>
      </c>
      <c r="M19" s="82">
        <f ca="1">MIN(Table11[[#This Row],[Production_Needed]],Table11[[#This Row],[Production_Capacity]])</f>
        <v>8.1946485545942096</v>
      </c>
      <c r="N19" s="82">
        <f ca="1">MAX(Table11[[#This Row],[Production_Needed]]-Table11[[#This Row],[Planned_Production]],0)</f>
        <v>0</v>
      </c>
      <c r="O19" s="82">
        <f ca="1">Table11[[#This Row],[Inventory_On_Hand]]+Table11[[#This Row],[Planned_Production]]-Table11[[#This Row],[Forecasted_Units]]</f>
        <v>0</v>
      </c>
      <c r="P19" cm="1">
        <f t="array" ref="P19">_xlfn.XLOOKUP(Table11[[#This Row],[Date]] &amp; Table11[[#This Row],[Vehicle_Type]], Table12[Date] &amp; Table12[Vehicle_Type],Table12[Feedback_Adjustment], 0)</f>
        <v>-0.1</v>
      </c>
      <c r="Q19" s="82">
        <f>Table11[[#This Row],[Forecasted_Units]]*(1+Table11[[#This Row],[Adjustment_Percentage]])</f>
        <v>89.187591849567397</v>
      </c>
      <c r="R19" s="82"/>
    </row>
    <row r="20" spans="1:18">
      <c r="A20" s="53">
        <v>42545</v>
      </c>
      <c r="B20" s="14" t="s">
        <v>10</v>
      </c>
      <c r="C20" s="15" t="str">
        <f>TEXT(Table11[[#This Row],[Date]],"mmmm")</f>
        <v>June</v>
      </c>
      <c r="D20" s="14">
        <v>94</v>
      </c>
      <c r="E20" s="82">
        <f>_xlfn.FORECAST.LINEAR(Table11[[#This Row],[Date]],Table11[Units_Sold],Table11[Date])</f>
        <v>99.098488473953893</v>
      </c>
      <c r="F20" cm="1">
        <f t="array" ref="F20">_xlfn.IFS(Table11[[#This Row],[Vehicle_Type]]="SUV",250,Table11[[#This Row],[Vehicle_Type]]="Sedan",200,Table11[[#This Row],[Vehicle_Type]]="Hatchback",185,Table11[[#This Row],[Vehicle_Type]]="Electric",190,Table11[[#This Row],[Vehicle_Type]]="Truck",150)</f>
        <v>200</v>
      </c>
      <c r="G20">
        <f t="shared" ca="1" si="0"/>
        <v>21</v>
      </c>
      <c r="H20" s="82">
        <f>Table11[[#This Row],[Daily_Production]]-Table11[[#This Row],[Forecasted_Units]]</f>
        <v>100.90151152604611</v>
      </c>
      <c r="I20" cm="1">
        <f t="array" ref="I20">_xlfn.IFS(Table11[[#This Row],[Vehicle_Type]]="SUV",5,Table11[[#This Row],[Vehicle_Type]]="Sedan",7,Table11[[#This Row],[Vehicle_Type]]="Hatchback",10,Table11[[#This Row],[Vehicle_Type]]="Electric",11,Table11[[#This Row],[Vehicle_Type]]="Truck",13)</f>
        <v>7</v>
      </c>
      <c r="J20">
        <f ca="1">Table11[[#This Row],[Daily_Production]]*Table11[[#This Row],[Working_Days]]</f>
        <v>4200</v>
      </c>
      <c r="K20" s="81">
        <f>Table11[[#This Row],[Forecasted_Units]]*0.1</f>
        <v>9.9098488473953896</v>
      </c>
      <c r="L20" s="82">
        <f>Table11[[#This Row],[Adjusted_Forecast]]+Table11[[#This Row],[Safety_Stock]]-Table11[[#This Row],[Inventory_On_Hand]]</f>
        <v>-61.262116136464549</v>
      </c>
      <c r="M20" s="82">
        <f ca="1">MIN(Table11[[#This Row],[Production_Needed]],Table11[[#This Row],[Production_Capacity]])</f>
        <v>-61.262116136464549</v>
      </c>
      <c r="N20" s="82">
        <f ca="1">MAX(Table11[[#This Row],[Production_Needed]]-Table11[[#This Row],[Planned_Production]],0)</f>
        <v>0</v>
      </c>
      <c r="O20" s="82">
        <f ca="1">Table11[[#This Row],[Inventory_On_Hand]]+Table11[[#This Row],[Planned_Production]]-Table11[[#This Row],[Forecasted_Units]]</f>
        <v>-59.459093084372334</v>
      </c>
      <c r="P20" cm="1">
        <f t="array" ref="P20">_xlfn.XLOOKUP(Table11[[#This Row],[Date]] &amp; Table11[[#This Row],[Vehicle_Type]], Table12[Date] &amp; Table12[Vehicle_Type],Table12[Feedback_Adjustment], 0)</f>
        <v>-0.7</v>
      </c>
      <c r="Q20" s="82">
        <f>Table11[[#This Row],[Forecasted_Units]]*(1+Table11[[#This Row],[Adjustment_Percentage]])</f>
        <v>29.729546542186171</v>
      </c>
      <c r="R20" s="82"/>
    </row>
    <row r="21" spans="1:18">
      <c r="A21" s="54">
        <v>42575</v>
      </c>
      <c r="B21" s="15" t="s">
        <v>13</v>
      </c>
      <c r="C21" s="15" t="str">
        <f>TEXT(Table11[[#This Row],[Date]],"mmmm")</f>
        <v>July</v>
      </c>
      <c r="D21" s="15">
        <v>101</v>
      </c>
      <c r="E21" s="82">
        <f>_xlfn.FORECAST.LINEAR(Table11[[#This Row],[Date]],Table11[Units_Sold],Table11[Date])</f>
        <v>99.099652670610681</v>
      </c>
      <c r="F21" cm="1">
        <f t="array" ref="F21">_xlfn.IFS(Table11[[#This Row],[Vehicle_Type]]="SUV",250,Table11[[#This Row],[Vehicle_Type]]="Sedan",200,Table11[[#This Row],[Vehicle_Type]]="Hatchback",185,Table11[[#This Row],[Vehicle_Type]]="Electric",190,Table11[[#This Row],[Vehicle_Type]]="Truck",150)</f>
        <v>190</v>
      </c>
      <c r="G21">
        <f t="shared" ca="1" si="0"/>
        <v>20</v>
      </c>
      <c r="H21" s="82">
        <f>Table11[[#This Row],[Daily_Production]]-Table11[[#This Row],[Forecasted_Units]]</f>
        <v>90.900347329389319</v>
      </c>
      <c r="I21" cm="1">
        <f t="array" ref="I21">_xlfn.IFS(Table11[[#This Row],[Vehicle_Type]]="SUV",5,Table11[[#This Row],[Vehicle_Type]]="Sedan",7,Table11[[#This Row],[Vehicle_Type]]="Hatchback",10,Table11[[#This Row],[Vehicle_Type]]="Electric",11,Table11[[#This Row],[Vehicle_Type]]="Truck",13)</f>
        <v>11</v>
      </c>
      <c r="J21">
        <f ca="1">Table11[[#This Row],[Daily_Production]]*Table11[[#This Row],[Working_Days]]</f>
        <v>3800</v>
      </c>
      <c r="K21" s="81">
        <f>Table11[[#This Row],[Forecasted_Units]]*0.1</f>
        <v>9.9099652670610681</v>
      </c>
      <c r="L21" s="82">
        <f>Table11[[#This Row],[Adjusted_Forecast]]+Table11[[#This Row],[Safety_Stock]]-Table11[[#This Row],[Inventory_On_Hand]]</f>
        <v>8.1993053412213612</v>
      </c>
      <c r="M21" s="82">
        <f ca="1">MIN(Table11[[#This Row],[Production_Needed]],Table11[[#This Row],[Production_Capacity]])</f>
        <v>8.1993053412213612</v>
      </c>
      <c r="N21" s="82">
        <f ca="1">MAX(Table11[[#This Row],[Production_Needed]]-Table11[[#This Row],[Planned_Production]],0)</f>
        <v>0</v>
      </c>
      <c r="O21" s="82">
        <f ca="1">Table11[[#This Row],[Inventory_On_Hand]]+Table11[[#This Row],[Planned_Production]]-Table11[[#This Row],[Forecasted_Units]]</f>
        <v>0</v>
      </c>
      <c r="P21" cm="1">
        <f t="array" ref="P21">_xlfn.XLOOKUP(Table11[[#This Row],[Date]] &amp; Table11[[#This Row],[Vehicle_Type]], Table12[Date] &amp; Table12[Vehicle_Type],Table12[Feedback_Adjustment], 0)</f>
        <v>-0.1</v>
      </c>
      <c r="Q21" s="82">
        <f>Table11[[#This Row],[Forecasted_Units]]*(1+Table11[[#This Row],[Adjustment_Percentage]])</f>
        <v>89.189687403549613</v>
      </c>
      <c r="R21" s="82"/>
    </row>
    <row r="22" spans="1:18">
      <c r="A22" s="53">
        <v>42605</v>
      </c>
      <c r="B22" s="14" t="s">
        <v>12</v>
      </c>
      <c r="C22" s="15" t="str">
        <f>TEXT(Table11[[#This Row],[Date]],"mmmm")</f>
        <v>August</v>
      </c>
      <c r="D22" s="14">
        <v>103</v>
      </c>
      <c r="E22" s="82">
        <f>_xlfn.FORECAST.LINEAR(Table11[[#This Row],[Date]],Table11[Units_Sold],Table11[Date])</f>
        <v>99.100816867267469</v>
      </c>
      <c r="F22" cm="1">
        <f t="array" ref="F22">_xlfn.IFS(Table11[[#This Row],[Vehicle_Type]]="SUV",250,Table11[[#This Row],[Vehicle_Type]]="Sedan",200,Table11[[#This Row],[Vehicle_Type]]="Hatchback",185,Table11[[#This Row],[Vehicle_Type]]="Electric",190,Table11[[#This Row],[Vehicle_Type]]="Truck",150)</f>
        <v>250</v>
      </c>
      <c r="G22">
        <f t="shared" ca="1" si="0"/>
        <v>20</v>
      </c>
      <c r="H22" s="82">
        <f>Table11[[#This Row],[Daily_Production]]-Table11[[#This Row],[Forecasted_Units]]</f>
        <v>150.89918313273253</v>
      </c>
      <c r="I22" cm="1">
        <f t="array" ref="I22">_xlfn.IFS(Table11[[#This Row],[Vehicle_Type]]="SUV",5,Table11[[#This Row],[Vehicle_Type]]="Sedan",7,Table11[[#This Row],[Vehicle_Type]]="Hatchback",10,Table11[[#This Row],[Vehicle_Type]]="Electric",11,Table11[[#This Row],[Vehicle_Type]]="Truck",13)</f>
        <v>5</v>
      </c>
      <c r="J22">
        <f ca="1">Table11[[#This Row],[Daily_Production]]*Table11[[#This Row],[Working_Days]]</f>
        <v>5000</v>
      </c>
      <c r="K22" s="81">
        <f>Table11[[#This Row],[Forecasted_Units]]*0.1</f>
        <v>9.9100816867267483</v>
      </c>
      <c r="L22" s="82">
        <f>Table11[[#This Row],[Adjusted_Forecast]]+Table11[[#This Row],[Safety_Stock]]-Table11[[#This Row],[Inventory_On_Hand]]</f>
        <v>-27.023162048648203</v>
      </c>
      <c r="M22" s="82">
        <f ca="1">MIN(Table11[[#This Row],[Production_Needed]],Table11[[#This Row],[Production_Capacity]])</f>
        <v>-27.023162048648203</v>
      </c>
      <c r="N22" s="82">
        <f ca="1">MAX(Table11[[#This Row],[Production_Needed]]-Table11[[#This Row],[Planned_Production]],0)</f>
        <v>0</v>
      </c>
      <c r="O22" s="82">
        <f ca="1">Table11[[#This Row],[Inventory_On_Hand]]+Table11[[#This Row],[Planned_Production]]-Table11[[#This Row],[Forecasted_Units]]</f>
        <v>24.77520421681686</v>
      </c>
      <c r="P22" cm="1">
        <f t="array" ref="P22">_xlfn.XLOOKUP(Table11[[#This Row],[Date]] &amp; Table11[[#This Row],[Vehicle_Type]], Table12[Date] &amp; Table12[Vehicle_Type],Table12[Feedback_Adjustment], 0)</f>
        <v>0.15</v>
      </c>
      <c r="Q22" s="82">
        <f>Table11[[#This Row],[Forecasted_Units]]*(1+Table11[[#This Row],[Adjustment_Percentage]])</f>
        <v>113.96593939735757</v>
      </c>
      <c r="R22" s="82"/>
    </row>
    <row r="23" spans="1:18">
      <c r="A23" s="54">
        <v>42635</v>
      </c>
      <c r="B23" s="15" t="s">
        <v>13</v>
      </c>
      <c r="C23" s="15" t="str">
        <f>TEXT(Table11[[#This Row],[Date]],"mmmm")</f>
        <v>September</v>
      </c>
      <c r="D23" s="15">
        <v>84</v>
      </c>
      <c r="E23" s="82">
        <f>_xlfn.FORECAST.LINEAR(Table11[[#This Row],[Date]],Table11[Units_Sold],Table11[Date])</f>
        <v>99.101981063924256</v>
      </c>
      <c r="F23" cm="1">
        <f t="array" ref="F23">_xlfn.IFS(Table11[[#This Row],[Vehicle_Type]]="SUV",250,Table11[[#This Row],[Vehicle_Type]]="Sedan",200,Table11[[#This Row],[Vehicle_Type]]="Hatchback",185,Table11[[#This Row],[Vehicle_Type]]="Electric",190,Table11[[#This Row],[Vehicle_Type]]="Truck",150)</f>
        <v>190</v>
      </c>
      <c r="G23">
        <f t="shared" ca="1" si="0"/>
        <v>20</v>
      </c>
      <c r="H23" s="82">
        <f>Table11[[#This Row],[Daily_Production]]-Table11[[#This Row],[Forecasted_Units]]</f>
        <v>90.898018936075744</v>
      </c>
      <c r="I23" cm="1">
        <f t="array" ref="I23">_xlfn.IFS(Table11[[#This Row],[Vehicle_Type]]="SUV",5,Table11[[#This Row],[Vehicle_Type]]="Sedan",7,Table11[[#This Row],[Vehicle_Type]]="Hatchback",10,Table11[[#This Row],[Vehicle_Type]]="Electric",11,Table11[[#This Row],[Vehicle_Type]]="Truck",13)</f>
        <v>11</v>
      </c>
      <c r="J23">
        <f ca="1">Table11[[#This Row],[Daily_Production]]*Table11[[#This Row],[Working_Days]]</f>
        <v>3800</v>
      </c>
      <c r="K23" s="81">
        <f>Table11[[#This Row],[Forecasted_Units]]*0.1</f>
        <v>9.9101981063924267</v>
      </c>
      <c r="L23" s="82">
        <f>Table11[[#This Row],[Adjusted_Forecast]]+Table11[[#This Row],[Safety_Stock]]-Table11[[#This Row],[Inventory_On_Hand]]</f>
        <v>8.2039621278485129</v>
      </c>
      <c r="M23" s="82">
        <f ca="1">MIN(Table11[[#This Row],[Production_Needed]],Table11[[#This Row],[Production_Capacity]])</f>
        <v>8.2039621278485129</v>
      </c>
      <c r="N23" s="82">
        <f ca="1">MAX(Table11[[#This Row],[Production_Needed]]-Table11[[#This Row],[Planned_Production]],0)</f>
        <v>0</v>
      </c>
      <c r="O23" s="82">
        <f ca="1">Table11[[#This Row],[Inventory_On_Hand]]+Table11[[#This Row],[Planned_Production]]-Table11[[#This Row],[Forecasted_Units]]</f>
        <v>0</v>
      </c>
      <c r="P23" cm="1">
        <f t="array" ref="P23">_xlfn.XLOOKUP(Table11[[#This Row],[Date]] &amp; Table11[[#This Row],[Vehicle_Type]], Table12[Date] &amp; Table12[Vehicle_Type],Table12[Feedback_Adjustment], 0)</f>
        <v>-0.1</v>
      </c>
      <c r="Q23" s="82">
        <f>Table11[[#This Row],[Forecasted_Units]]*(1+Table11[[#This Row],[Adjustment_Percentage]])</f>
        <v>89.191782957531828</v>
      </c>
      <c r="R23" s="82"/>
    </row>
    <row r="24" spans="1:18">
      <c r="A24" s="53">
        <v>42665</v>
      </c>
      <c r="B24" s="14" t="s">
        <v>14</v>
      </c>
      <c r="C24" s="15" t="str">
        <f>TEXT(Table11[[#This Row],[Date]],"mmmm")</f>
        <v>October</v>
      </c>
      <c r="D24" s="14">
        <v>76</v>
      </c>
      <c r="E24" s="82">
        <f>_xlfn.FORECAST.LINEAR(Table11[[#This Row],[Date]],Table11[Units_Sold],Table11[Date])</f>
        <v>99.10314526058103</v>
      </c>
      <c r="F24" cm="1">
        <f t="array" ref="F24">_xlfn.IFS(Table11[[#This Row],[Vehicle_Type]]="SUV",250,Table11[[#This Row],[Vehicle_Type]]="Sedan",200,Table11[[#This Row],[Vehicle_Type]]="Hatchback",185,Table11[[#This Row],[Vehicle_Type]]="Electric",190,Table11[[#This Row],[Vehicle_Type]]="Truck",150)</f>
        <v>150</v>
      </c>
      <c r="G24">
        <f t="shared" ca="1" si="0"/>
        <v>22</v>
      </c>
      <c r="H24" s="82">
        <f>Table11[[#This Row],[Daily_Production]]-Table11[[#This Row],[Forecasted_Units]]</f>
        <v>50.89685473941897</v>
      </c>
      <c r="I24" cm="1">
        <f t="array" ref="I24">_xlfn.IFS(Table11[[#This Row],[Vehicle_Type]]="SUV",5,Table11[[#This Row],[Vehicle_Type]]="Sedan",7,Table11[[#This Row],[Vehicle_Type]]="Hatchback",10,Table11[[#This Row],[Vehicle_Type]]="Electric",11,Table11[[#This Row],[Vehicle_Type]]="Truck",13)</f>
        <v>13</v>
      </c>
      <c r="J24">
        <f ca="1">Table11[[#This Row],[Daily_Production]]*Table11[[#This Row],[Working_Days]]</f>
        <v>3300</v>
      </c>
      <c r="K24" s="81">
        <f>Table11[[#This Row],[Forecasted_Units]]*0.1</f>
        <v>9.9103145260581034</v>
      </c>
      <c r="L24" s="82">
        <f>Table11[[#This Row],[Adjusted_Forecast]]+Table11[[#This Row],[Safety_Stock]]-Table11[[#This Row],[Inventory_On_Hand]]</f>
        <v>46.22422761595044</v>
      </c>
      <c r="M24" s="82">
        <f ca="1">MIN(Table11[[#This Row],[Production_Needed]],Table11[[#This Row],[Production_Capacity]])</f>
        <v>46.22422761595044</v>
      </c>
      <c r="N24" s="82">
        <f ca="1">MAX(Table11[[#This Row],[Production_Needed]]-Table11[[#This Row],[Planned_Production]],0)</f>
        <v>0</v>
      </c>
      <c r="O24" s="82">
        <f ca="1">Table11[[#This Row],[Inventory_On_Hand]]+Table11[[#This Row],[Planned_Production]]-Table11[[#This Row],[Forecasted_Units]]</f>
        <v>-1.9820629052116203</v>
      </c>
      <c r="P24" cm="1">
        <f t="array" ref="P24">_xlfn.XLOOKUP(Table11[[#This Row],[Date]] &amp; Table11[[#This Row],[Vehicle_Type]], Table12[Date] &amp; Table12[Vehicle_Type],Table12[Feedback_Adjustment], 0)</f>
        <v>-0.12</v>
      </c>
      <c r="Q24" s="82">
        <f>Table11[[#This Row],[Forecasted_Units]]*(1+Table11[[#This Row],[Adjustment_Percentage]])</f>
        <v>87.210767829311308</v>
      </c>
      <c r="R24" s="82"/>
    </row>
    <row r="25" spans="1:18">
      <c r="A25" s="54">
        <v>42695</v>
      </c>
      <c r="B25" s="15" t="s">
        <v>12</v>
      </c>
      <c r="C25" s="15" t="str">
        <f>TEXT(Table11[[#This Row],[Date]],"mmmm")</f>
        <v>November</v>
      </c>
      <c r="D25" s="15">
        <v>100</v>
      </c>
      <c r="E25" s="82">
        <f>_xlfn.FORECAST.LINEAR(Table11[[#This Row],[Date]],Table11[Units_Sold],Table11[Date])</f>
        <v>99.104309457237818</v>
      </c>
      <c r="F25" cm="1">
        <f t="array" ref="F25">_xlfn.IFS(Table11[[#This Row],[Vehicle_Type]]="SUV",250,Table11[[#This Row],[Vehicle_Type]]="Sedan",200,Table11[[#This Row],[Vehicle_Type]]="Hatchback",185,Table11[[#This Row],[Vehicle_Type]]="Electric",190,Table11[[#This Row],[Vehicle_Type]]="Truck",150)</f>
        <v>250</v>
      </c>
      <c r="G25">
        <f t="shared" ca="1" si="0"/>
        <v>20</v>
      </c>
      <c r="H25" s="82">
        <f>Table11[[#This Row],[Daily_Production]]-Table11[[#This Row],[Forecasted_Units]]</f>
        <v>150.89569054276217</v>
      </c>
      <c r="I25" cm="1">
        <f t="array" ref="I25">_xlfn.IFS(Table11[[#This Row],[Vehicle_Type]]="SUV",5,Table11[[#This Row],[Vehicle_Type]]="Sedan",7,Table11[[#This Row],[Vehicle_Type]]="Hatchback",10,Table11[[#This Row],[Vehicle_Type]]="Electric",11,Table11[[#This Row],[Vehicle_Type]]="Truck",13)</f>
        <v>5</v>
      </c>
      <c r="J25">
        <f ca="1">Table11[[#This Row],[Daily_Production]]*Table11[[#This Row],[Working_Days]]</f>
        <v>5000</v>
      </c>
      <c r="K25" s="81">
        <f>Table11[[#This Row],[Forecasted_Units]]*0.1</f>
        <v>9.9104309457237818</v>
      </c>
      <c r="L25" s="82">
        <f>Table11[[#This Row],[Adjusted_Forecast]]+Table11[[#This Row],[Safety_Stock]]-Table11[[#This Row],[Inventory_On_Hand]]</f>
        <v>-27.015303721214906</v>
      </c>
      <c r="M25" s="82">
        <f ca="1">MIN(Table11[[#This Row],[Production_Needed]],Table11[[#This Row],[Production_Capacity]])</f>
        <v>-27.015303721214906</v>
      </c>
      <c r="N25" s="82">
        <f ca="1">MAX(Table11[[#This Row],[Production_Needed]]-Table11[[#This Row],[Planned_Production]],0)</f>
        <v>0</v>
      </c>
      <c r="O25" s="82">
        <f ca="1">Table11[[#This Row],[Inventory_On_Hand]]+Table11[[#This Row],[Planned_Production]]-Table11[[#This Row],[Forecasted_Units]]</f>
        <v>24.776077364309444</v>
      </c>
      <c r="P25" cm="1">
        <f t="array" ref="P25">_xlfn.XLOOKUP(Table11[[#This Row],[Date]] &amp; Table11[[#This Row],[Vehicle_Type]], Table12[Date] &amp; Table12[Vehicle_Type],Table12[Feedback_Adjustment], 0)</f>
        <v>0.15</v>
      </c>
      <c r="Q25" s="82">
        <f>Table11[[#This Row],[Forecasted_Units]]*(1+Table11[[#This Row],[Adjustment_Percentage]])</f>
        <v>113.96995587582349</v>
      </c>
      <c r="R25" s="82"/>
    </row>
    <row r="26" spans="1:18">
      <c r="A26" s="53">
        <v>42725</v>
      </c>
      <c r="B26" s="14" t="s">
        <v>14</v>
      </c>
      <c r="C26" s="15" t="str">
        <f>TEXT(Table11[[#This Row],[Date]],"mmmm")</f>
        <v>December</v>
      </c>
      <c r="D26" s="14">
        <v>111</v>
      </c>
      <c r="E26" s="82">
        <f>_xlfn.FORECAST.LINEAR(Table11[[#This Row],[Date]],Table11[Units_Sold],Table11[Date])</f>
        <v>99.105473653894606</v>
      </c>
      <c r="F26" cm="1">
        <f t="array" ref="F26">_xlfn.IFS(Table11[[#This Row],[Vehicle_Type]]="SUV",250,Table11[[#This Row],[Vehicle_Type]]="Sedan",200,Table11[[#This Row],[Vehicle_Type]]="Hatchback",185,Table11[[#This Row],[Vehicle_Type]]="Electric",190,Table11[[#This Row],[Vehicle_Type]]="Truck",150)</f>
        <v>150</v>
      </c>
      <c r="G26">
        <f t="shared" ca="1" si="0"/>
        <v>20</v>
      </c>
      <c r="H26" s="82">
        <f>Table11[[#This Row],[Daily_Production]]-Table11[[#This Row],[Forecasted_Units]]</f>
        <v>50.894526346105394</v>
      </c>
      <c r="I26" cm="1">
        <f t="array" ref="I26">_xlfn.IFS(Table11[[#This Row],[Vehicle_Type]]="SUV",5,Table11[[#This Row],[Vehicle_Type]]="Sedan",7,Table11[[#This Row],[Vehicle_Type]]="Hatchback",10,Table11[[#This Row],[Vehicle_Type]]="Electric",11,Table11[[#This Row],[Vehicle_Type]]="Truck",13)</f>
        <v>13</v>
      </c>
      <c r="J26">
        <f ca="1">Table11[[#This Row],[Daily_Production]]*Table11[[#This Row],[Working_Days]]</f>
        <v>3000</v>
      </c>
      <c r="K26" s="81">
        <f>Table11[[#This Row],[Forecasted_Units]]*0.1</f>
        <v>9.910547365389462</v>
      </c>
      <c r="L26" s="82">
        <f>Table11[[#This Row],[Adjusted_Forecast]]+Table11[[#This Row],[Safety_Stock]]-Table11[[#This Row],[Inventory_On_Hand]]</f>
        <v>46.228837834711328</v>
      </c>
      <c r="M26" s="82">
        <f ca="1">MIN(Table11[[#This Row],[Production_Needed]],Table11[[#This Row],[Production_Capacity]])</f>
        <v>46.228837834711328</v>
      </c>
      <c r="N26" s="82">
        <f ca="1">MAX(Table11[[#This Row],[Production_Needed]]-Table11[[#This Row],[Planned_Production]],0)</f>
        <v>0</v>
      </c>
      <c r="O26" s="82">
        <f ca="1">Table11[[#This Row],[Inventory_On_Hand]]+Table11[[#This Row],[Planned_Production]]-Table11[[#This Row],[Forecasted_Units]]</f>
        <v>-1.9821094730778839</v>
      </c>
      <c r="P26" cm="1">
        <f t="array" ref="P26">_xlfn.XLOOKUP(Table11[[#This Row],[Date]] &amp; Table11[[#This Row],[Vehicle_Type]], Table12[Date] &amp; Table12[Vehicle_Type],Table12[Feedback_Adjustment], 0)</f>
        <v>-0.12</v>
      </c>
      <c r="Q26" s="82">
        <f>Table11[[#This Row],[Forecasted_Units]]*(1+Table11[[#This Row],[Adjustment_Percentage]])</f>
        <v>87.21281681542726</v>
      </c>
      <c r="R26" s="82"/>
    </row>
    <row r="27" spans="1:18">
      <c r="A27" s="54">
        <v>42755</v>
      </c>
      <c r="B27" s="15" t="s">
        <v>13</v>
      </c>
      <c r="C27" s="15" t="str">
        <f>TEXT(Table11[[#This Row],[Date]],"mmmm")</f>
        <v>January</v>
      </c>
      <c r="D27" s="15">
        <v>93</v>
      </c>
      <c r="E27" s="82">
        <f>_xlfn.FORECAST.LINEAR(Table11[[#This Row],[Date]],Table11[Units_Sold],Table11[Date])</f>
        <v>99.106637850551394</v>
      </c>
      <c r="F27" cm="1">
        <f t="array" ref="F27">_xlfn.IFS(Table11[[#This Row],[Vehicle_Type]]="SUV",250,Table11[[#This Row],[Vehicle_Type]]="Sedan",200,Table11[[#This Row],[Vehicle_Type]]="Hatchback",185,Table11[[#This Row],[Vehicle_Type]]="Electric",190,Table11[[#This Row],[Vehicle_Type]]="Truck",150)</f>
        <v>190</v>
      </c>
      <c r="G27">
        <f t="shared" ca="1" si="0"/>
        <v>21</v>
      </c>
      <c r="H27" s="82">
        <f>Table11[[#This Row],[Daily_Production]]-Table11[[#This Row],[Forecasted_Units]]</f>
        <v>90.893362149448606</v>
      </c>
      <c r="I27" cm="1">
        <f t="array" ref="I27">_xlfn.IFS(Table11[[#This Row],[Vehicle_Type]]="SUV",5,Table11[[#This Row],[Vehicle_Type]]="Sedan",7,Table11[[#This Row],[Vehicle_Type]]="Hatchback",10,Table11[[#This Row],[Vehicle_Type]]="Electric",11,Table11[[#This Row],[Vehicle_Type]]="Truck",13)</f>
        <v>11</v>
      </c>
      <c r="J27">
        <f ca="1">Table11[[#This Row],[Daily_Production]]*Table11[[#This Row],[Working_Days]]</f>
        <v>3990</v>
      </c>
      <c r="K27" s="81">
        <f>Table11[[#This Row],[Forecasted_Units]]*0.1</f>
        <v>9.9106637850551405</v>
      </c>
      <c r="L27" s="82">
        <f>Table11[[#This Row],[Adjusted_Forecast]]+Table11[[#This Row],[Safety_Stock]]-Table11[[#This Row],[Inventory_On_Hand]]</f>
        <v>8.2132757011027877</v>
      </c>
      <c r="M27" s="82">
        <f ca="1">MIN(Table11[[#This Row],[Production_Needed]],Table11[[#This Row],[Production_Capacity]])</f>
        <v>8.2132757011027877</v>
      </c>
      <c r="N27" s="82">
        <f ca="1">MAX(Table11[[#This Row],[Production_Needed]]-Table11[[#This Row],[Planned_Production]],0)</f>
        <v>0</v>
      </c>
      <c r="O27" s="82">
        <f ca="1">Table11[[#This Row],[Inventory_On_Hand]]+Table11[[#This Row],[Planned_Production]]-Table11[[#This Row],[Forecasted_Units]]</f>
        <v>0</v>
      </c>
      <c r="P27" cm="1">
        <f t="array" ref="P27">_xlfn.XLOOKUP(Table11[[#This Row],[Date]] &amp; Table11[[#This Row],[Vehicle_Type]], Table12[Date] &amp; Table12[Vehicle_Type],Table12[Feedback_Adjustment], 0)</f>
        <v>-0.1</v>
      </c>
      <c r="Q27" s="82">
        <f>Table11[[#This Row],[Forecasted_Units]]*(1+Table11[[#This Row],[Adjustment_Percentage]])</f>
        <v>89.195974065496259</v>
      </c>
      <c r="R27" s="82"/>
    </row>
    <row r="28" spans="1:18">
      <c r="A28" s="53">
        <v>42785</v>
      </c>
      <c r="B28" s="14" t="s">
        <v>11</v>
      </c>
      <c r="C28" s="15" t="str">
        <f>TEXT(Table11[[#This Row],[Date]],"mmmm")</f>
        <v>February</v>
      </c>
      <c r="D28" s="14">
        <v>87</v>
      </c>
      <c r="E28" s="82">
        <f>_xlfn.FORECAST.LINEAR(Table11[[#This Row],[Date]],Table11[Units_Sold],Table11[Date])</f>
        <v>99.107802047208182</v>
      </c>
      <c r="F28" cm="1">
        <f t="array" ref="F28">_xlfn.IFS(Table11[[#This Row],[Vehicle_Type]]="SUV",250,Table11[[#This Row],[Vehicle_Type]]="Sedan",200,Table11[[#This Row],[Vehicle_Type]]="Hatchback",185,Table11[[#This Row],[Vehicle_Type]]="Electric",190,Table11[[#This Row],[Vehicle_Type]]="Truck",150)</f>
        <v>185</v>
      </c>
      <c r="G28">
        <f t="shared" ca="1" si="0"/>
        <v>24</v>
      </c>
      <c r="H28" s="82">
        <f>Table11[[#This Row],[Daily_Production]]-Table11[[#This Row],[Forecasted_Units]]</f>
        <v>85.892197952791818</v>
      </c>
      <c r="I28" cm="1">
        <f t="array" ref="I28">_xlfn.IFS(Table11[[#This Row],[Vehicle_Type]]="SUV",5,Table11[[#This Row],[Vehicle_Type]]="Sedan",7,Table11[[#This Row],[Vehicle_Type]]="Hatchback",10,Table11[[#This Row],[Vehicle_Type]]="Electric",11,Table11[[#This Row],[Vehicle_Type]]="Truck",13)</f>
        <v>10</v>
      </c>
      <c r="J28">
        <f ca="1">Table11[[#This Row],[Daily_Production]]*Table11[[#This Row],[Working_Days]]</f>
        <v>4440</v>
      </c>
      <c r="K28" s="81">
        <f>Table11[[#This Row],[Forecasted_Units]]*0.1</f>
        <v>9.9107802047208189</v>
      </c>
      <c r="L28" s="82">
        <f>Table11[[#This Row],[Adjusted_Forecast]]+Table11[[#This Row],[Safety_Stock]]-Table11[[#This Row],[Inventory_On_Hand]]</f>
        <v>42.947944708578817</v>
      </c>
      <c r="M28" s="82">
        <f ca="1">MIN(Table11[[#This Row],[Production_Needed]],Table11[[#This Row],[Production_Capacity]])</f>
        <v>42.947944708578817</v>
      </c>
      <c r="N28" s="82">
        <f ca="1">MAX(Table11[[#This Row],[Production_Needed]]-Table11[[#This Row],[Planned_Production]],0)</f>
        <v>0</v>
      </c>
      <c r="O28" s="82">
        <f ca="1">Table11[[#This Row],[Inventory_On_Hand]]+Table11[[#This Row],[Planned_Production]]-Table11[[#This Row],[Forecasted_Units]]</f>
        <v>29.732340614162453</v>
      </c>
      <c r="P28" cm="1">
        <f t="array" ref="P28">_xlfn.XLOOKUP(Table11[[#This Row],[Date]] &amp; Table11[[#This Row],[Vehicle_Type]], Table12[Date] &amp; Table12[Vehicle_Type],Table12[Feedback_Adjustment], 0)</f>
        <v>0.2</v>
      </c>
      <c r="Q28" s="82">
        <f>Table11[[#This Row],[Forecasted_Units]]*(1+Table11[[#This Row],[Adjustment_Percentage]])</f>
        <v>118.92936245664981</v>
      </c>
      <c r="R28" s="82"/>
    </row>
    <row r="29" spans="1:18">
      <c r="A29" s="54">
        <v>42815</v>
      </c>
      <c r="B29" s="15" t="s">
        <v>10</v>
      </c>
      <c r="C29" s="15" t="str">
        <f>TEXT(Table11[[#This Row],[Date]],"mmmm")</f>
        <v>March</v>
      </c>
      <c r="D29" s="15">
        <v>108</v>
      </c>
      <c r="E29" s="82">
        <f>_xlfn.FORECAST.LINEAR(Table11[[#This Row],[Date]],Table11[Units_Sold],Table11[Date])</f>
        <v>99.10896624386497</v>
      </c>
      <c r="F29" cm="1">
        <f t="array" ref="F29">_xlfn.IFS(Table11[[#This Row],[Vehicle_Type]]="SUV",250,Table11[[#This Row],[Vehicle_Type]]="Sedan",200,Table11[[#This Row],[Vehicle_Type]]="Hatchback",185,Table11[[#This Row],[Vehicle_Type]]="Electric",190,Table11[[#This Row],[Vehicle_Type]]="Truck",150)</f>
        <v>200</v>
      </c>
      <c r="G29">
        <f t="shared" ca="1" si="0"/>
        <v>20</v>
      </c>
      <c r="H29" s="82">
        <f>Table11[[#This Row],[Daily_Production]]-Table11[[#This Row],[Forecasted_Units]]</f>
        <v>100.89103375613503</v>
      </c>
      <c r="I29" cm="1">
        <f t="array" ref="I29">_xlfn.IFS(Table11[[#This Row],[Vehicle_Type]]="SUV",5,Table11[[#This Row],[Vehicle_Type]]="Sedan",7,Table11[[#This Row],[Vehicle_Type]]="Hatchback",10,Table11[[#This Row],[Vehicle_Type]]="Electric",11,Table11[[#This Row],[Vehicle_Type]]="Truck",13)</f>
        <v>7</v>
      </c>
      <c r="J29">
        <f ca="1">Table11[[#This Row],[Daily_Production]]*Table11[[#This Row],[Working_Days]]</f>
        <v>4000</v>
      </c>
      <c r="K29" s="81">
        <f>Table11[[#This Row],[Forecasted_Units]]*0.1</f>
        <v>9.9108966243864973</v>
      </c>
      <c r="L29" s="82">
        <f>Table11[[#This Row],[Adjusted_Forecast]]+Table11[[#This Row],[Safety_Stock]]-Table11[[#This Row],[Inventory_On_Hand]]</f>
        <v>-61.247447258589041</v>
      </c>
      <c r="M29" s="82">
        <f ca="1">MIN(Table11[[#This Row],[Production_Needed]],Table11[[#This Row],[Production_Capacity]])</f>
        <v>-61.247447258589041</v>
      </c>
      <c r="N29" s="82">
        <f ca="1">MAX(Table11[[#This Row],[Production_Needed]]-Table11[[#This Row],[Planned_Production]],0)</f>
        <v>0</v>
      </c>
      <c r="O29" s="82">
        <f ca="1">Table11[[#This Row],[Inventory_On_Hand]]+Table11[[#This Row],[Planned_Production]]-Table11[[#This Row],[Forecasted_Units]]</f>
        <v>-59.46537974631898</v>
      </c>
      <c r="P29" cm="1">
        <f t="array" ref="P29">_xlfn.XLOOKUP(Table11[[#This Row],[Date]] &amp; Table11[[#This Row],[Vehicle_Type]], Table12[Date] &amp; Table12[Vehicle_Type],Table12[Feedback_Adjustment], 0)</f>
        <v>-0.7</v>
      </c>
      <c r="Q29" s="82">
        <f>Table11[[#This Row],[Forecasted_Units]]*(1+Table11[[#This Row],[Adjustment_Percentage]])</f>
        <v>29.732689873159494</v>
      </c>
      <c r="R29" s="82"/>
    </row>
    <row r="30" spans="1:18">
      <c r="A30" s="53">
        <v>42845</v>
      </c>
      <c r="B30" s="14" t="s">
        <v>12</v>
      </c>
      <c r="C30" s="15" t="str">
        <f>TEXT(Table11[[#This Row],[Date]],"mmmm")</f>
        <v>April</v>
      </c>
      <c r="D30" s="14">
        <v>106</v>
      </c>
      <c r="E30" s="82">
        <f>_xlfn.FORECAST.LINEAR(Table11[[#This Row],[Date]],Table11[Units_Sold],Table11[Date])</f>
        <v>99.110130440521758</v>
      </c>
      <c r="F30" cm="1">
        <f t="array" ref="F30">_xlfn.IFS(Table11[[#This Row],[Vehicle_Type]]="SUV",250,Table11[[#This Row],[Vehicle_Type]]="Sedan",200,Table11[[#This Row],[Vehicle_Type]]="Hatchback",185,Table11[[#This Row],[Vehicle_Type]]="Electric",190,Table11[[#This Row],[Vehicle_Type]]="Truck",150)</f>
        <v>250</v>
      </c>
      <c r="G30">
        <f t="shared" ca="1" si="0"/>
        <v>22</v>
      </c>
      <c r="H30" s="82">
        <f>Table11[[#This Row],[Daily_Production]]-Table11[[#This Row],[Forecasted_Units]]</f>
        <v>150.88986955947826</v>
      </c>
      <c r="I30" cm="1">
        <f t="array" ref="I30">_xlfn.IFS(Table11[[#This Row],[Vehicle_Type]]="SUV",5,Table11[[#This Row],[Vehicle_Type]]="Sedan",7,Table11[[#This Row],[Vehicle_Type]]="Hatchback",10,Table11[[#This Row],[Vehicle_Type]]="Electric",11,Table11[[#This Row],[Vehicle_Type]]="Truck",13)</f>
        <v>5</v>
      </c>
      <c r="J30">
        <f ca="1">Table11[[#This Row],[Daily_Production]]*Table11[[#This Row],[Working_Days]]</f>
        <v>5500</v>
      </c>
      <c r="K30" s="81">
        <f>Table11[[#This Row],[Forecasted_Units]]*0.1</f>
        <v>9.9110130440521758</v>
      </c>
      <c r="L30" s="82">
        <f>Table11[[#This Row],[Adjusted_Forecast]]+Table11[[#This Row],[Safety_Stock]]-Table11[[#This Row],[Inventory_On_Hand]]</f>
        <v>-41.868726074904316</v>
      </c>
      <c r="M30" s="82">
        <f ca="1">MIN(Table11[[#This Row],[Production_Needed]],Table11[[#This Row],[Production_Capacity]])</f>
        <v>-41.868726074904316</v>
      </c>
      <c r="N30" s="82">
        <f ca="1">MAX(Table11[[#This Row],[Production_Needed]]-Table11[[#This Row],[Planned_Production]],0)</f>
        <v>0</v>
      </c>
      <c r="O30" s="82">
        <f ca="1">Table11[[#This Row],[Inventory_On_Hand]]+Table11[[#This Row],[Planned_Production]]-Table11[[#This Row],[Forecasted_Units]]</f>
        <v>9.9110130440521829</v>
      </c>
      <c r="P30" cm="1">
        <f t="array" ref="P30">_xlfn.XLOOKUP(Table11[[#This Row],[Date]] &amp; Table11[[#This Row],[Vehicle_Type]], Table12[Date] &amp; Table12[Vehicle_Type],Table12[Feedback_Adjustment], 0)</f>
        <v>0</v>
      </c>
      <c r="Q30" s="82">
        <f>Table11[[#This Row],[Forecasted_Units]]*(1+Table11[[#This Row],[Adjustment_Percentage]])</f>
        <v>99.110130440521758</v>
      </c>
      <c r="R30" s="82"/>
    </row>
    <row r="31" spans="1:18">
      <c r="A31" s="54">
        <v>42875</v>
      </c>
      <c r="B31" s="15" t="s">
        <v>14</v>
      </c>
      <c r="C31" s="15" t="str">
        <f>TEXT(Table11[[#This Row],[Date]],"mmmm")</f>
        <v>May</v>
      </c>
      <c r="D31" s="15">
        <v>108</v>
      </c>
      <c r="E31" s="82">
        <f>_xlfn.FORECAST.LINEAR(Table11[[#This Row],[Date]],Table11[Units_Sold],Table11[Date])</f>
        <v>99.111294637178545</v>
      </c>
      <c r="F31" cm="1">
        <f t="array" ref="F31">_xlfn.IFS(Table11[[#This Row],[Vehicle_Type]]="SUV",250,Table11[[#This Row],[Vehicle_Type]]="Sedan",200,Table11[[#This Row],[Vehicle_Type]]="Hatchback",185,Table11[[#This Row],[Vehicle_Type]]="Electric",190,Table11[[#This Row],[Vehicle_Type]]="Truck",150)</f>
        <v>150</v>
      </c>
      <c r="G31">
        <f t="shared" ca="1" si="0"/>
        <v>24</v>
      </c>
      <c r="H31" s="82">
        <f>Table11[[#This Row],[Daily_Production]]-Table11[[#This Row],[Forecasted_Units]]</f>
        <v>50.888705362821455</v>
      </c>
      <c r="I31" cm="1">
        <f t="array" ref="I31">_xlfn.IFS(Table11[[#This Row],[Vehicle_Type]]="SUV",5,Table11[[#This Row],[Vehicle_Type]]="Sedan",7,Table11[[#This Row],[Vehicle_Type]]="Hatchback",10,Table11[[#This Row],[Vehicle_Type]]="Electric",11,Table11[[#This Row],[Vehicle_Type]]="Truck",13)</f>
        <v>13</v>
      </c>
      <c r="J31">
        <f ca="1">Table11[[#This Row],[Daily_Production]]*Table11[[#This Row],[Working_Days]]</f>
        <v>3600</v>
      </c>
      <c r="K31" s="81">
        <f>Table11[[#This Row],[Forecasted_Units]]*0.1</f>
        <v>9.911129463717856</v>
      </c>
      <c r="L31" s="82">
        <f>Table11[[#This Row],[Adjusted_Forecast]]+Table11[[#This Row],[Safety_Stock]]-Table11[[#This Row],[Inventory_On_Hand]]</f>
        <v>58.133718738074947</v>
      </c>
      <c r="M31" s="82">
        <f ca="1">MIN(Table11[[#This Row],[Production_Needed]],Table11[[#This Row],[Production_Capacity]])</f>
        <v>58.133718738074947</v>
      </c>
      <c r="N31" s="82">
        <f ca="1">MAX(Table11[[#This Row],[Production_Needed]]-Table11[[#This Row],[Planned_Production]],0)</f>
        <v>0</v>
      </c>
      <c r="O31" s="82">
        <f ca="1">Table11[[#This Row],[Inventory_On_Hand]]+Table11[[#This Row],[Planned_Production]]-Table11[[#This Row],[Forecasted_Units]]</f>
        <v>9.911129463717856</v>
      </c>
      <c r="P31" cm="1">
        <f t="array" ref="P31">_xlfn.XLOOKUP(Table11[[#This Row],[Date]] &amp; Table11[[#This Row],[Vehicle_Type]], Table12[Date] &amp; Table12[Vehicle_Type],Table12[Feedback_Adjustment], 0)</f>
        <v>0</v>
      </c>
      <c r="Q31" s="82">
        <f>Table11[[#This Row],[Forecasted_Units]]*(1+Table11[[#This Row],[Adjustment_Percentage]])</f>
        <v>99.111294637178545</v>
      </c>
      <c r="R31" s="82"/>
    </row>
    <row r="32" spans="1:18">
      <c r="A32" s="53">
        <v>42905</v>
      </c>
      <c r="B32" s="14" t="s">
        <v>11</v>
      </c>
      <c r="C32" s="15" t="str">
        <f>TEXT(Table11[[#This Row],[Date]],"mmmm")</f>
        <v>June</v>
      </c>
      <c r="D32" s="14">
        <v>96</v>
      </c>
      <c r="E32" s="82">
        <f>_xlfn.FORECAST.LINEAR(Table11[[#This Row],[Date]],Table11[Units_Sold],Table11[Date])</f>
        <v>99.112458833835333</v>
      </c>
      <c r="F32" cm="1">
        <f t="array" ref="F32">_xlfn.IFS(Table11[[#This Row],[Vehicle_Type]]="SUV",250,Table11[[#This Row],[Vehicle_Type]]="Sedan",200,Table11[[#This Row],[Vehicle_Type]]="Hatchback",185,Table11[[#This Row],[Vehicle_Type]]="Electric",190,Table11[[#This Row],[Vehicle_Type]]="Truck",150)</f>
        <v>185</v>
      </c>
      <c r="G32">
        <f t="shared" ca="1" si="0"/>
        <v>23</v>
      </c>
      <c r="H32" s="82">
        <f>Table11[[#This Row],[Daily_Production]]-Table11[[#This Row],[Forecasted_Units]]</f>
        <v>85.887541166164667</v>
      </c>
      <c r="I32" cm="1">
        <f t="array" ref="I32">_xlfn.IFS(Table11[[#This Row],[Vehicle_Type]]="SUV",5,Table11[[#This Row],[Vehicle_Type]]="Sedan",7,Table11[[#This Row],[Vehicle_Type]]="Hatchback",10,Table11[[#This Row],[Vehicle_Type]]="Electric",11,Table11[[#This Row],[Vehicle_Type]]="Truck",13)</f>
        <v>10</v>
      </c>
      <c r="J32">
        <f ca="1">Table11[[#This Row],[Daily_Production]]*Table11[[#This Row],[Working_Days]]</f>
        <v>4255</v>
      </c>
      <c r="K32" s="81">
        <f>Table11[[#This Row],[Forecasted_Units]]*0.1</f>
        <v>9.9112458833835344</v>
      </c>
      <c r="L32" s="82">
        <f>Table11[[#This Row],[Adjusted_Forecast]]+Table11[[#This Row],[Safety_Stock]]-Table11[[#This Row],[Inventory_On_Hand]]</f>
        <v>23.136163551054196</v>
      </c>
      <c r="M32" s="82">
        <f ca="1">MIN(Table11[[#This Row],[Production_Needed]],Table11[[#This Row],[Production_Capacity]])</f>
        <v>23.136163551054196</v>
      </c>
      <c r="N32" s="82">
        <f ca="1">MAX(Table11[[#This Row],[Production_Needed]]-Table11[[#This Row],[Planned_Production]],0)</f>
        <v>0</v>
      </c>
      <c r="O32" s="82">
        <f ca="1">Table11[[#This Row],[Inventory_On_Hand]]+Table11[[#This Row],[Planned_Production]]-Table11[[#This Row],[Forecasted_Units]]</f>
        <v>9.9112458833835291</v>
      </c>
      <c r="P32" cm="1">
        <f t="array" ref="P32">_xlfn.XLOOKUP(Table11[[#This Row],[Date]] &amp; Table11[[#This Row],[Vehicle_Type]], Table12[Date] &amp; Table12[Vehicle_Type],Table12[Feedback_Adjustment], 0)</f>
        <v>0</v>
      </c>
      <c r="Q32" s="82">
        <f>Table11[[#This Row],[Forecasted_Units]]*(1+Table11[[#This Row],[Adjustment_Percentage]])</f>
        <v>99.112458833835333</v>
      </c>
      <c r="R32" s="82"/>
    </row>
    <row r="33" spans="1:18">
      <c r="A33" s="54">
        <v>42935</v>
      </c>
      <c r="B33" s="15" t="s">
        <v>11</v>
      </c>
      <c r="C33" s="15" t="str">
        <f>TEXT(Table11[[#This Row],[Date]],"mmmm")</f>
        <v>July</v>
      </c>
      <c r="D33" s="15">
        <v>113</v>
      </c>
      <c r="E33" s="82">
        <f>_xlfn.FORECAST.LINEAR(Table11[[#This Row],[Date]],Table11[Units_Sold],Table11[Date])</f>
        <v>99.113623030492121</v>
      </c>
      <c r="F33" cm="1">
        <f t="array" ref="F33">_xlfn.IFS(Table11[[#This Row],[Vehicle_Type]]="SUV",250,Table11[[#This Row],[Vehicle_Type]]="Sedan",200,Table11[[#This Row],[Vehicle_Type]]="Hatchback",185,Table11[[#This Row],[Vehicle_Type]]="Electric",190,Table11[[#This Row],[Vehicle_Type]]="Truck",150)</f>
        <v>185</v>
      </c>
      <c r="G33">
        <f t="shared" ca="1" si="0"/>
        <v>23</v>
      </c>
      <c r="H33" s="82">
        <f>Table11[[#This Row],[Daily_Production]]-Table11[[#This Row],[Forecasted_Units]]</f>
        <v>85.886376969507879</v>
      </c>
      <c r="I33" cm="1">
        <f t="array" ref="I33">_xlfn.IFS(Table11[[#This Row],[Vehicle_Type]]="SUV",5,Table11[[#This Row],[Vehicle_Type]]="Sedan",7,Table11[[#This Row],[Vehicle_Type]]="Hatchback",10,Table11[[#This Row],[Vehicle_Type]]="Electric",11,Table11[[#This Row],[Vehicle_Type]]="Truck",13)</f>
        <v>10</v>
      </c>
      <c r="J33">
        <f ca="1">Table11[[#This Row],[Daily_Production]]*Table11[[#This Row],[Working_Days]]</f>
        <v>4255</v>
      </c>
      <c r="K33" s="81">
        <f>Table11[[#This Row],[Forecasted_Units]]*0.1</f>
        <v>9.9113623030492128</v>
      </c>
      <c r="L33" s="82">
        <f>Table11[[#This Row],[Adjusted_Forecast]]+Table11[[#This Row],[Safety_Stock]]-Table11[[#This Row],[Inventory_On_Hand]]</f>
        <v>23.138608364033459</v>
      </c>
      <c r="M33" s="82">
        <f ca="1">MIN(Table11[[#This Row],[Production_Needed]],Table11[[#This Row],[Production_Capacity]])</f>
        <v>23.138608364033459</v>
      </c>
      <c r="N33" s="82">
        <f ca="1">MAX(Table11[[#This Row],[Production_Needed]]-Table11[[#This Row],[Planned_Production]],0)</f>
        <v>0</v>
      </c>
      <c r="O33" s="82">
        <f ca="1">Table11[[#This Row],[Inventory_On_Hand]]+Table11[[#This Row],[Planned_Production]]-Table11[[#This Row],[Forecasted_Units]]</f>
        <v>9.9113623030492164</v>
      </c>
      <c r="P33" cm="1">
        <f t="array" ref="P33">_xlfn.XLOOKUP(Table11[[#This Row],[Date]] &amp; Table11[[#This Row],[Vehicle_Type]], Table12[Date] &amp; Table12[Vehicle_Type],Table12[Feedback_Adjustment], 0)</f>
        <v>0</v>
      </c>
      <c r="Q33" s="82">
        <f>Table11[[#This Row],[Forecasted_Units]]*(1+Table11[[#This Row],[Adjustment_Percentage]])</f>
        <v>99.113623030492121</v>
      </c>
      <c r="R33" s="82"/>
    </row>
    <row r="34" spans="1:18">
      <c r="A34" s="53">
        <v>42965</v>
      </c>
      <c r="B34" s="14" t="s">
        <v>12</v>
      </c>
      <c r="C34" s="15" t="str">
        <f>TEXT(Table11[[#This Row],[Date]],"mmmm")</f>
        <v>August</v>
      </c>
      <c r="D34" s="14">
        <v>95</v>
      </c>
      <c r="E34" s="82">
        <f>_xlfn.FORECAST.LINEAR(Table11[[#This Row],[Date]],Table11[Units_Sold],Table11[Date])</f>
        <v>99.114787227148909</v>
      </c>
      <c r="F34" cm="1">
        <f t="array" ref="F34">_xlfn.IFS(Table11[[#This Row],[Vehicle_Type]]="SUV",250,Table11[[#This Row],[Vehicle_Type]]="Sedan",200,Table11[[#This Row],[Vehicle_Type]]="Hatchback",185,Table11[[#This Row],[Vehicle_Type]]="Electric",190,Table11[[#This Row],[Vehicle_Type]]="Truck",150)</f>
        <v>250</v>
      </c>
      <c r="G34">
        <f t="shared" ca="1" si="0"/>
        <v>22</v>
      </c>
      <c r="H34" s="82">
        <f>Table11[[#This Row],[Daily_Production]]-Table11[[#This Row],[Forecasted_Units]]</f>
        <v>150.88521277285111</v>
      </c>
      <c r="I34" cm="1">
        <f t="array" ref="I34">_xlfn.IFS(Table11[[#This Row],[Vehicle_Type]]="SUV",5,Table11[[#This Row],[Vehicle_Type]]="Sedan",7,Table11[[#This Row],[Vehicle_Type]]="Hatchback",10,Table11[[#This Row],[Vehicle_Type]]="Electric",11,Table11[[#This Row],[Vehicle_Type]]="Truck",13)</f>
        <v>5</v>
      </c>
      <c r="J34">
        <f ca="1">Table11[[#This Row],[Daily_Production]]*Table11[[#This Row],[Working_Days]]</f>
        <v>5500</v>
      </c>
      <c r="K34" s="81">
        <f>Table11[[#This Row],[Forecasted_Units]]*0.1</f>
        <v>9.9114787227148913</v>
      </c>
      <c r="L34" s="82">
        <f>Table11[[#This Row],[Adjusted_Forecast]]+Table11[[#This Row],[Safety_Stock]]-Table11[[#This Row],[Inventory_On_Hand]]</f>
        <v>-41.858946822987306</v>
      </c>
      <c r="M34" s="82">
        <f ca="1">MIN(Table11[[#This Row],[Production_Needed]],Table11[[#This Row],[Production_Capacity]])</f>
        <v>-41.858946822987306</v>
      </c>
      <c r="N34" s="82">
        <f ca="1">MAX(Table11[[#This Row],[Production_Needed]]-Table11[[#This Row],[Planned_Production]],0)</f>
        <v>0</v>
      </c>
      <c r="O34" s="82">
        <f ca="1">Table11[[#This Row],[Inventory_On_Hand]]+Table11[[#This Row],[Planned_Production]]-Table11[[#This Row],[Forecasted_Units]]</f>
        <v>9.9114787227148895</v>
      </c>
      <c r="P34" cm="1">
        <f t="array" ref="P34">_xlfn.XLOOKUP(Table11[[#This Row],[Date]] &amp; Table11[[#This Row],[Vehicle_Type]], Table12[Date] &amp; Table12[Vehicle_Type],Table12[Feedback_Adjustment], 0)</f>
        <v>0</v>
      </c>
      <c r="Q34" s="82">
        <f>Table11[[#This Row],[Forecasted_Units]]*(1+Table11[[#This Row],[Adjustment_Percentage]])</f>
        <v>99.114787227148909</v>
      </c>
      <c r="R34" s="82"/>
    </row>
    <row r="35" spans="1:18">
      <c r="A35" s="54">
        <v>42995</v>
      </c>
      <c r="B35" s="15" t="s">
        <v>12</v>
      </c>
      <c r="C35" s="15" t="str">
        <f>TEXT(Table11[[#This Row],[Date]],"mmmm")</f>
        <v>September</v>
      </c>
      <c r="D35" s="15">
        <v>94</v>
      </c>
      <c r="E35" s="82">
        <f>_xlfn.FORECAST.LINEAR(Table11[[#This Row],[Date]],Table11[Units_Sold],Table11[Date])</f>
        <v>99.115951423805683</v>
      </c>
      <c r="F35" cm="1">
        <f t="array" ref="F35">_xlfn.IFS(Table11[[#This Row],[Vehicle_Type]]="SUV",250,Table11[[#This Row],[Vehicle_Type]]="Sedan",200,Table11[[#This Row],[Vehicle_Type]]="Hatchback",185,Table11[[#This Row],[Vehicle_Type]]="Electric",190,Table11[[#This Row],[Vehicle_Type]]="Truck",150)</f>
        <v>250</v>
      </c>
      <c r="G35">
        <f t="shared" ca="1" si="0"/>
        <v>25</v>
      </c>
      <c r="H35" s="82">
        <f>Table11[[#This Row],[Daily_Production]]-Table11[[#This Row],[Forecasted_Units]]</f>
        <v>150.88404857619432</v>
      </c>
      <c r="I35" cm="1">
        <f t="array" ref="I35">_xlfn.IFS(Table11[[#This Row],[Vehicle_Type]]="SUV",5,Table11[[#This Row],[Vehicle_Type]]="Sedan",7,Table11[[#This Row],[Vehicle_Type]]="Hatchback",10,Table11[[#This Row],[Vehicle_Type]]="Electric",11,Table11[[#This Row],[Vehicle_Type]]="Truck",13)</f>
        <v>5</v>
      </c>
      <c r="J35">
        <f ca="1">Table11[[#This Row],[Daily_Production]]*Table11[[#This Row],[Working_Days]]</f>
        <v>6250</v>
      </c>
      <c r="K35" s="81">
        <f>Table11[[#This Row],[Forecasted_Units]]*0.1</f>
        <v>9.9115951423805697</v>
      </c>
      <c r="L35" s="82">
        <f>Table11[[#This Row],[Adjusted_Forecast]]+Table11[[#This Row],[Safety_Stock]]-Table11[[#This Row],[Inventory_On_Hand]]</f>
        <v>-41.856502010008057</v>
      </c>
      <c r="M35" s="82">
        <f ca="1">MIN(Table11[[#This Row],[Production_Needed]],Table11[[#This Row],[Production_Capacity]])</f>
        <v>-41.856502010008057</v>
      </c>
      <c r="N35" s="82">
        <f ca="1">MAX(Table11[[#This Row],[Production_Needed]]-Table11[[#This Row],[Planned_Production]],0)</f>
        <v>0</v>
      </c>
      <c r="O35" s="82">
        <f ca="1">Table11[[#This Row],[Inventory_On_Hand]]+Table11[[#This Row],[Planned_Production]]-Table11[[#This Row],[Forecasted_Units]]</f>
        <v>9.9115951423805768</v>
      </c>
      <c r="P35" cm="1">
        <f t="array" ref="P35">_xlfn.XLOOKUP(Table11[[#This Row],[Date]] &amp; Table11[[#This Row],[Vehicle_Type]], Table12[Date] &amp; Table12[Vehicle_Type],Table12[Feedback_Adjustment], 0)</f>
        <v>0</v>
      </c>
      <c r="Q35" s="82">
        <f>Table11[[#This Row],[Forecasted_Units]]*(1+Table11[[#This Row],[Adjustment_Percentage]])</f>
        <v>99.115951423805683</v>
      </c>
      <c r="R35" s="82"/>
    </row>
    <row r="36" spans="1:18">
      <c r="A36" s="53">
        <v>43025</v>
      </c>
      <c r="B36" s="14" t="s">
        <v>11</v>
      </c>
      <c r="C36" s="15" t="str">
        <f>TEXT(Table11[[#This Row],[Date]],"mmmm")</f>
        <v>October</v>
      </c>
      <c r="D36" s="14">
        <v>107</v>
      </c>
      <c r="E36" s="82">
        <f>_xlfn.FORECAST.LINEAR(Table11[[#This Row],[Date]],Table11[Units_Sold],Table11[Date])</f>
        <v>99.117115620462471</v>
      </c>
      <c r="F36" cm="1">
        <f t="array" ref="F36">_xlfn.IFS(Table11[[#This Row],[Vehicle_Type]]="SUV",250,Table11[[#This Row],[Vehicle_Type]]="Sedan",200,Table11[[#This Row],[Vehicle_Type]]="Hatchback",185,Table11[[#This Row],[Vehicle_Type]]="Electric",190,Table11[[#This Row],[Vehicle_Type]]="Truck",150)</f>
        <v>185</v>
      </c>
      <c r="G36">
        <f t="shared" ca="1" si="0"/>
        <v>24</v>
      </c>
      <c r="H36" s="82">
        <f>Table11[[#This Row],[Daily_Production]]-Table11[[#This Row],[Forecasted_Units]]</f>
        <v>85.882884379537529</v>
      </c>
      <c r="I36" cm="1">
        <f t="array" ref="I36">_xlfn.IFS(Table11[[#This Row],[Vehicle_Type]]="SUV",5,Table11[[#This Row],[Vehicle_Type]]="Sedan",7,Table11[[#This Row],[Vehicle_Type]]="Hatchback",10,Table11[[#This Row],[Vehicle_Type]]="Electric",11,Table11[[#This Row],[Vehicle_Type]]="Truck",13)</f>
        <v>10</v>
      </c>
      <c r="J36">
        <f ca="1">Table11[[#This Row],[Daily_Production]]*Table11[[#This Row],[Working_Days]]</f>
        <v>4440</v>
      </c>
      <c r="K36" s="81">
        <f>Table11[[#This Row],[Forecasted_Units]]*0.1</f>
        <v>9.9117115620462481</v>
      </c>
      <c r="L36" s="82">
        <f>Table11[[#This Row],[Adjusted_Forecast]]+Table11[[#This Row],[Safety_Stock]]-Table11[[#This Row],[Inventory_On_Hand]]</f>
        <v>23.145942802971192</v>
      </c>
      <c r="M36" s="82">
        <f ca="1">MIN(Table11[[#This Row],[Production_Needed]],Table11[[#This Row],[Production_Capacity]])</f>
        <v>23.145942802971192</v>
      </c>
      <c r="N36" s="82">
        <f ca="1">MAX(Table11[[#This Row],[Production_Needed]]-Table11[[#This Row],[Planned_Production]],0)</f>
        <v>0</v>
      </c>
      <c r="O36" s="82">
        <f ca="1">Table11[[#This Row],[Inventory_On_Hand]]+Table11[[#This Row],[Planned_Production]]-Table11[[#This Row],[Forecasted_Units]]</f>
        <v>9.9117115620462499</v>
      </c>
      <c r="P36" cm="1">
        <f t="array" ref="P36">_xlfn.XLOOKUP(Table11[[#This Row],[Date]] &amp; Table11[[#This Row],[Vehicle_Type]], Table12[Date] &amp; Table12[Vehicle_Type],Table12[Feedback_Adjustment], 0)</f>
        <v>0</v>
      </c>
      <c r="Q36" s="82">
        <f>Table11[[#This Row],[Forecasted_Units]]*(1+Table11[[#This Row],[Adjustment_Percentage]])</f>
        <v>99.117115620462471</v>
      </c>
      <c r="R36" s="82"/>
    </row>
    <row r="37" spans="1:18">
      <c r="A37" s="54">
        <v>43055</v>
      </c>
      <c r="B37" s="15" t="s">
        <v>10</v>
      </c>
      <c r="C37" s="15" t="str">
        <f>TEXT(Table11[[#This Row],[Date]],"mmmm")</f>
        <v>November</v>
      </c>
      <c r="D37" s="15">
        <v>114</v>
      </c>
      <c r="E37" s="82">
        <f>_xlfn.FORECAST.LINEAR(Table11[[#This Row],[Date]],Table11[Units_Sold],Table11[Date])</f>
        <v>99.118279817119259</v>
      </c>
      <c r="F37" cm="1">
        <f t="array" ref="F37">_xlfn.IFS(Table11[[#This Row],[Vehicle_Type]]="SUV",250,Table11[[#This Row],[Vehicle_Type]]="Sedan",200,Table11[[#This Row],[Vehicle_Type]]="Hatchback",185,Table11[[#This Row],[Vehicle_Type]]="Electric",190,Table11[[#This Row],[Vehicle_Type]]="Truck",150)</f>
        <v>200</v>
      </c>
      <c r="G37">
        <f t="shared" ca="1" si="0"/>
        <v>22</v>
      </c>
      <c r="H37" s="82">
        <f>Table11[[#This Row],[Daily_Production]]-Table11[[#This Row],[Forecasted_Units]]</f>
        <v>100.88172018288074</v>
      </c>
      <c r="I37" cm="1">
        <f t="array" ref="I37">_xlfn.IFS(Table11[[#This Row],[Vehicle_Type]]="SUV",5,Table11[[#This Row],[Vehicle_Type]]="Sedan",7,Table11[[#This Row],[Vehicle_Type]]="Hatchback",10,Table11[[#This Row],[Vehicle_Type]]="Electric",11,Table11[[#This Row],[Vehicle_Type]]="Truck",13)</f>
        <v>7</v>
      </c>
      <c r="J37">
        <f ca="1">Table11[[#This Row],[Daily_Production]]*Table11[[#This Row],[Working_Days]]</f>
        <v>4400</v>
      </c>
      <c r="K37" s="81">
        <f>Table11[[#This Row],[Forecasted_Units]]*0.1</f>
        <v>9.9118279817119266</v>
      </c>
      <c r="L37" s="82">
        <f>Table11[[#This Row],[Adjusted_Forecast]]+Table11[[#This Row],[Safety_Stock]]-Table11[[#This Row],[Inventory_On_Hand]]</f>
        <v>8.1483876159504405</v>
      </c>
      <c r="M37" s="82">
        <f ca="1">MIN(Table11[[#This Row],[Production_Needed]],Table11[[#This Row],[Production_Capacity]])</f>
        <v>8.1483876159504405</v>
      </c>
      <c r="N37" s="82">
        <f ca="1">MAX(Table11[[#This Row],[Production_Needed]]-Table11[[#This Row],[Planned_Production]],0)</f>
        <v>0</v>
      </c>
      <c r="O37" s="82">
        <f ca="1">Table11[[#This Row],[Inventory_On_Hand]]+Table11[[#This Row],[Planned_Production]]-Table11[[#This Row],[Forecasted_Units]]</f>
        <v>9.911827981711923</v>
      </c>
      <c r="P37" cm="1">
        <f t="array" ref="P37">_xlfn.XLOOKUP(Table11[[#This Row],[Date]] &amp; Table11[[#This Row],[Vehicle_Type]], Table12[Date] &amp; Table12[Vehicle_Type],Table12[Feedback_Adjustment], 0)</f>
        <v>0</v>
      </c>
      <c r="Q37" s="82">
        <f>Table11[[#This Row],[Forecasted_Units]]*(1+Table11[[#This Row],[Adjustment_Percentage]])</f>
        <v>99.118279817119259</v>
      </c>
      <c r="R37" s="82"/>
    </row>
    <row r="38" spans="1:18">
      <c r="A38" s="53">
        <v>43085</v>
      </c>
      <c r="B38" s="14" t="s">
        <v>10</v>
      </c>
      <c r="C38" s="15" t="str">
        <f>TEXT(Table11[[#This Row],[Date]],"mmmm")</f>
        <v>December</v>
      </c>
      <c r="D38" s="14">
        <v>86</v>
      </c>
      <c r="E38" s="82">
        <f>_xlfn.FORECAST.LINEAR(Table11[[#This Row],[Date]],Table11[Units_Sold],Table11[Date])</f>
        <v>99.119444013776047</v>
      </c>
      <c r="F38" cm="1">
        <f t="array" ref="F38">_xlfn.IFS(Table11[[#This Row],[Vehicle_Type]]="SUV",250,Table11[[#This Row],[Vehicle_Type]]="Sedan",200,Table11[[#This Row],[Vehicle_Type]]="Hatchback",185,Table11[[#This Row],[Vehicle_Type]]="Electric",190,Table11[[#This Row],[Vehicle_Type]]="Truck",150)</f>
        <v>200</v>
      </c>
      <c r="G38">
        <f t="shared" ca="1" si="0"/>
        <v>21</v>
      </c>
      <c r="H38" s="82">
        <f>Table11[[#This Row],[Daily_Production]]-Table11[[#This Row],[Forecasted_Units]]</f>
        <v>100.88055598622395</v>
      </c>
      <c r="I38" cm="1">
        <f t="array" ref="I38">_xlfn.IFS(Table11[[#This Row],[Vehicle_Type]]="SUV",5,Table11[[#This Row],[Vehicle_Type]]="Sedan",7,Table11[[#This Row],[Vehicle_Type]]="Hatchback",10,Table11[[#This Row],[Vehicle_Type]]="Electric",11,Table11[[#This Row],[Vehicle_Type]]="Truck",13)</f>
        <v>7</v>
      </c>
      <c r="J38">
        <f ca="1">Table11[[#This Row],[Daily_Production]]*Table11[[#This Row],[Working_Days]]</f>
        <v>4200</v>
      </c>
      <c r="K38" s="81">
        <f>Table11[[#This Row],[Forecasted_Units]]*0.1</f>
        <v>9.911944401377605</v>
      </c>
      <c r="L38" s="82">
        <f>Table11[[#This Row],[Adjusted_Forecast]]+Table11[[#This Row],[Safety_Stock]]-Table11[[#This Row],[Inventory_On_Hand]]</f>
        <v>8.1508324289297036</v>
      </c>
      <c r="M38" s="82">
        <f ca="1">MIN(Table11[[#This Row],[Production_Needed]],Table11[[#This Row],[Production_Capacity]])</f>
        <v>8.1508324289297036</v>
      </c>
      <c r="N38" s="82">
        <f ca="1">MAX(Table11[[#This Row],[Production_Needed]]-Table11[[#This Row],[Planned_Production]],0)</f>
        <v>0</v>
      </c>
      <c r="O38" s="82">
        <f ca="1">Table11[[#This Row],[Inventory_On_Hand]]+Table11[[#This Row],[Planned_Production]]-Table11[[#This Row],[Forecasted_Units]]</f>
        <v>9.9119444013776103</v>
      </c>
      <c r="P38" cm="1">
        <f t="array" ref="P38">_xlfn.XLOOKUP(Table11[[#This Row],[Date]] &amp; Table11[[#This Row],[Vehicle_Type]], Table12[Date] &amp; Table12[Vehicle_Type],Table12[Feedback_Adjustment], 0)</f>
        <v>0</v>
      </c>
      <c r="Q38" s="82">
        <f>Table11[[#This Row],[Forecasted_Units]]*(1+Table11[[#This Row],[Adjustment_Percentage]])</f>
        <v>99.119444013776047</v>
      </c>
      <c r="R38" s="82"/>
    </row>
    <row r="39" spans="1:18">
      <c r="A39" s="54">
        <v>43115</v>
      </c>
      <c r="B39" s="15" t="s">
        <v>14</v>
      </c>
      <c r="C39" s="15" t="str">
        <f>TEXT(Table11[[#This Row],[Date]],"mmmm")</f>
        <v>January</v>
      </c>
      <c r="D39" s="15">
        <v>100</v>
      </c>
      <c r="E39" s="82">
        <f>_xlfn.FORECAST.LINEAR(Table11[[#This Row],[Date]],Table11[Units_Sold],Table11[Date])</f>
        <v>99.120608210432835</v>
      </c>
      <c r="F39" cm="1">
        <f t="array" ref="F39">_xlfn.IFS(Table11[[#This Row],[Vehicle_Type]]="SUV",250,Table11[[#This Row],[Vehicle_Type]]="Sedan",200,Table11[[#This Row],[Vehicle_Type]]="Hatchback",185,Table11[[#This Row],[Vehicle_Type]]="Electric",190,Table11[[#This Row],[Vehicle_Type]]="Truck",150)</f>
        <v>150</v>
      </c>
      <c r="G39">
        <f t="shared" ca="1" si="0"/>
        <v>24</v>
      </c>
      <c r="H39" s="82">
        <f>Table11[[#This Row],[Daily_Production]]-Table11[[#This Row],[Forecasted_Units]]</f>
        <v>50.879391789567165</v>
      </c>
      <c r="I39" cm="1">
        <f t="array" ref="I39">_xlfn.IFS(Table11[[#This Row],[Vehicle_Type]]="SUV",5,Table11[[#This Row],[Vehicle_Type]]="Sedan",7,Table11[[#This Row],[Vehicle_Type]]="Hatchback",10,Table11[[#This Row],[Vehicle_Type]]="Electric",11,Table11[[#This Row],[Vehicle_Type]]="Truck",13)</f>
        <v>13</v>
      </c>
      <c r="J39">
        <f ca="1">Table11[[#This Row],[Daily_Production]]*Table11[[#This Row],[Working_Days]]</f>
        <v>3600</v>
      </c>
      <c r="K39" s="81">
        <f>Table11[[#This Row],[Forecasted_Units]]*0.1</f>
        <v>9.9120608210432835</v>
      </c>
      <c r="L39" s="82">
        <f>Table11[[#This Row],[Adjusted_Forecast]]+Table11[[#This Row],[Safety_Stock]]-Table11[[#This Row],[Inventory_On_Hand]]</f>
        <v>58.153277241908953</v>
      </c>
      <c r="M39" s="82">
        <f ca="1">MIN(Table11[[#This Row],[Production_Needed]],Table11[[#This Row],[Production_Capacity]])</f>
        <v>58.153277241908953</v>
      </c>
      <c r="N39" s="82">
        <f ca="1">MAX(Table11[[#This Row],[Production_Needed]]-Table11[[#This Row],[Planned_Production]],0)</f>
        <v>0</v>
      </c>
      <c r="O39" s="82">
        <f ca="1">Table11[[#This Row],[Inventory_On_Hand]]+Table11[[#This Row],[Planned_Production]]-Table11[[#This Row],[Forecasted_Units]]</f>
        <v>9.9120608210432835</v>
      </c>
      <c r="P39" cm="1">
        <f t="array" ref="P39">_xlfn.XLOOKUP(Table11[[#This Row],[Date]] &amp; Table11[[#This Row],[Vehicle_Type]], Table12[Date] &amp; Table12[Vehicle_Type],Table12[Feedback_Adjustment], 0)</f>
        <v>0</v>
      </c>
      <c r="Q39" s="82">
        <f>Table11[[#This Row],[Forecasted_Units]]*(1+Table11[[#This Row],[Adjustment_Percentage]])</f>
        <v>99.120608210432835</v>
      </c>
      <c r="R39" s="82"/>
    </row>
    <row r="40" spans="1:18">
      <c r="A40" s="53">
        <v>43145</v>
      </c>
      <c r="B40" s="14" t="s">
        <v>10</v>
      </c>
      <c r="C40" s="15" t="str">
        <f>TEXT(Table11[[#This Row],[Date]],"mmmm")</f>
        <v>February</v>
      </c>
      <c r="D40" s="14">
        <v>108</v>
      </c>
      <c r="E40" s="82">
        <f>_xlfn.FORECAST.LINEAR(Table11[[#This Row],[Date]],Table11[Units_Sold],Table11[Date])</f>
        <v>99.121772407089622</v>
      </c>
      <c r="F40" cm="1">
        <f t="array" ref="F40">_xlfn.IFS(Table11[[#This Row],[Vehicle_Type]]="SUV",250,Table11[[#This Row],[Vehicle_Type]]="Sedan",200,Table11[[#This Row],[Vehicle_Type]]="Hatchback",185,Table11[[#This Row],[Vehicle_Type]]="Electric",190,Table11[[#This Row],[Vehicle_Type]]="Truck",150)</f>
        <v>200</v>
      </c>
      <c r="G40">
        <f t="shared" ca="1" si="0"/>
        <v>21</v>
      </c>
      <c r="H40" s="82">
        <f>Table11[[#This Row],[Daily_Production]]-Table11[[#This Row],[Forecasted_Units]]</f>
        <v>100.87822759291038</v>
      </c>
      <c r="I40" cm="1">
        <f t="array" ref="I40">_xlfn.IFS(Table11[[#This Row],[Vehicle_Type]]="SUV",5,Table11[[#This Row],[Vehicle_Type]]="Sedan",7,Table11[[#This Row],[Vehicle_Type]]="Hatchback",10,Table11[[#This Row],[Vehicle_Type]]="Electric",11,Table11[[#This Row],[Vehicle_Type]]="Truck",13)</f>
        <v>7</v>
      </c>
      <c r="J40">
        <f ca="1">Table11[[#This Row],[Daily_Production]]*Table11[[#This Row],[Working_Days]]</f>
        <v>4200</v>
      </c>
      <c r="K40" s="81">
        <f>Table11[[#This Row],[Forecasted_Units]]*0.1</f>
        <v>9.9121772407089637</v>
      </c>
      <c r="L40" s="82">
        <f>Table11[[#This Row],[Adjusted_Forecast]]+Table11[[#This Row],[Safety_Stock]]-Table11[[#This Row],[Inventory_On_Hand]]</f>
        <v>8.1557220548882015</v>
      </c>
      <c r="M40" s="82">
        <f ca="1">MIN(Table11[[#This Row],[Production_Needed]],Table11[[#This Row],[Production_Capacity]])</f>
        <v>8.1557220548882015</v>
      </c>
      <c r="N40" s="82">
        <f ca="1">MAX(Table11[[#This Row],[Production_Needed]]-Table11[[#This Row],[Planned_Production]],0)</f>
        <v>0</v>
      </c>
      <c r="O40" s="82">
        <f ca="1">Table11[[#This Row],[Inventory_On_Hand]]+Table11[[#This Row],[Planned_Production]]-Table11[[#This Row],[Forecasted_Units]]</f>
        <v>9.9121772407089566</v>
      </c>
      <c r="P40" cm="1">
        <f t="array" ref="P40">_xlfn.XLOOKUP(Table11[[#This Row],[Date]] &amp; Table11[[#This Row],[Vehicle_Type]], Table12[Date] &amp; Table12[Vehicle_Type],Table12[Feedback_Adjustment], 0)</f>
        <v>0</v>
      </c>
      <c r="Q40" s="82">
        <f>Table11[[#This Row],[Forecasted_Units]]*(1+Table11[[#This Row],[Adjustment_Percentage]])</f>
        <v>99.121772407089622</v>
      </c>
      <c r="R40" s="82"/>
    </row>
    <row r="41" spans="1:18">
      <c r="A41" s="54">
        <v>43175</v>
      </c>
      <c r="B41" s="15" t="s">
        <v>11</v>
      </c>
      <c r="C41" s="15" t="str">
        <f>TEXT(Table11[[#This Row],[Date]],"mmmm")</f>
        <v>March</v>
      </c>
      <c r="D41" s="15">
        <v>101</v>
      </c>
      <c r="E41" s="82">
        <f>_xlfn.FORECAST.LINEAR(Table11[[#This Row],[Date]],Table11[Units_Sold],Table11[Date])</f>
        <v>99.12293660374641</v>
      </c>
      <c r="F41" cm="1">
        <f t="array" ref="F41">_xlfn.IFS(Table11[[#This Row],[Vehicle_Type]]="SUV",250,Table11[[#This Row],[Vehicle_Type]]="Sedan",200,Table11[[#This Row],[Vehicle_Type]]="Hatchback",185,Table11[[#This Row],[Vehicle_Type]]="Electric",190,Table11[[#This Row],[Vehicle_Type]]="Truck",150)</f>
        <v>185</v>
      </c>
      <c r="G41">
        <f t="shared" ca="1" si="0"/>
        <v>23</v>
      </c>
      <c r="H41" s="82">
        <f>Table11[[#This Row],[Daily_Production]]-Table11[[#This Row],[Forecasted_Units]]</f>
        <v>85.87706339625359</v>
      </c>
      <c r="I41" cm="1">
        <f t="array" ref="I41">_xlfn.IFS(Table11[[#This Row],[Vehicle_Type]]="SUV",5,Table11[[#This Row],[Vehicle_Type]]="Sedan",7,Table11[[#This Row],[Vehicle_Type]]="Hatchback",10,Table11[[#This Row],[Vehicle_Type]]="Electric",11,Table11[[#This Row],[Vehicle_Type]]="Truck",13)</f>
        <v>10</v>
      </c>
      <c r="J41">
        <f ca="1">Table11[[#This Row],[Daily_Production]]*Table11[[#This Row],[Working_Days]]</f>
        <v>4255</v>
      </c>
      <c r="K41" s="81">
        <f>Table11[[#This Row],[Forecasted_Units]]*0.1</f>
        <v>9.9122936603746421</v>
      </c>
      <c r="L41" s="82">
        <f>Table11[[#This Row],[Adjusted_Forecast]]+Table11[[#This Row],[Safety_Stock]]-Table11[[#This Row],[Inventory_On_Hand]]</f>
        <v>23.158166867867465</v>
      </c>
      <c r="M41" s="82">
        <f ca="1">MIN(Table11[[#This Row],[Production_Needed]],Table11[[#This Row],[Production_Capacity]])</f>
        <v>23.158166867867465</v>
      </c>
      <c r="N41" s="82">
        <f ca="1">MAX(Table11[[#This Row],[Production_Needed]]-Table11[[#This Row],[Planned_Production]],0)</f>
        <v>0</v>
      </c>
      <c r="O41" s="82">
        <f ca="1">Table11[[#This Row],[Inventory_On_Hand]]+Table11[[#This Row],[Planned_Production]]-Table11[[#This Row],[Forecasted_Units]]</f>
        <v>9.9122936603746439</v>
      </c>
      <c r="P41" cm="1">
        <f t="array" ref="P41">_xlfn.XLOOKUP(Table11[[#This Row],[Date]] &amp; Table11[[#This Row],[Vehicle_Type]], Table12[Date] &amp; Table12[Vehicle_Type],Table12[Feedback_Adjustment], 0)</f>
        <v>0</v>
      </c>
      <c r="Q41" s="82">
        <f>Table11[[#This Row],[Forecasted_Units]]*(1+Table11[[#This Row],[Adjustment_Percentage]])</f>
        <v>99.12293660374641</v>
      </c>
      <c r="R41" s="82"/>
    </row>
    <row r="42" spans="1:18">
      <c r="A42" s="53">
        <v>43205</v>
      </c>
      <c r="B42" s="14" t="s">
        <v>11</v>
      </c>
      <c r="C42" s="15" t="str">
        <f>TEXT(Table11[[#This Row],[Date]],"mmmm")</f>
        <v>April</v>
      </c>
      <c r="D42" s="14">
        <v>94</v>
      </c>
      <c r="E42" s="82">
        <f>_xlfn.FORECAST.LINEAR(Table11[[#This Row],[Date]],Table11[Units_Sold],Table11[Date])</f>
        <v>99.124100800403198</v>
      </c>
      <c r="F42" cm="1">
        <f t="array" ref="F42">_xlfn.IFS(Table11[[#This Row],[Vehicle_Type]]="SUV",250,Table11[[#This Row],[Vehicle_Type]]="Sedan",200,Table11[[#This Row],[Vehicle_Type]]="Hatchback",185,Table11[[#This Row],[Vehicle_Type]]="Electric",190,Table11[[#This Row],[Vehicle_Type]]="Truck",150)</f>
        <v>185</v>
      </c>
      <c r="G42">
        <f t="shared" ca="1" si="0"/>
        <v>23</v>
      </c>
      <c r="H42" s="82">
        <f>Table11[[#This Row],[Daily_Production]]-Table11[[#This Row],[Forecasted_Units]]</f>
        <v>85.875899199596802</v>
      </c>
      <c r="I42" cm="1">
        <f t="array" ref="I42">_xlfn.IFS(Table11[[#This Row],[Vehicle_Type]]="SUV",5,Table11[[#This Row],[Vehicle_Type]]="Sedan",7,Table11[[#This Row],[Vehicle_Type]]="Hatchback",10,Table11[[#This Row],[Vehicle_Type]]="Electric",11,Table11[[#This Row],[Vehicle_Type]]="Truck",13)</f>
        <v>10</v>
      </c>
      <c r="J42">
        <f ca="1">Table11[[#This Row],[Daily_Production]]*Table11[[#This Row],[Working_Days]]</f>
        <v>4255</v>
      </c>
      <c r="K42" s="81">
        <f>Table11[[#This Row],[Forecasted_Units]]*0.1</f>
        <v>9.9124100800403205</v>
      </c>
      <c r="L42" s="82">
        <f>Table11[[#This Row],[Adjusted_Forecast]]+Table11[[#This Row],[Safety_Stock]]-Table11[[#This Row],[Inventory_On_Hand]]</f>
        <v>23.160611680846714</v>
      </c>
      <c r="M42" s="82">
        <f ca="1">MIN(Table11[[#This Row],[Production_Needed]],Table11[[#This Row],[Production_Capacity]])</f>
        <v>23.160611680846714</v>
      </c>
      <c r="N42" s="82">
        <f ca="1">MAX(Table11[[#This Row],[Production_Needed]]-Table11[[#This Row],[Planned_Production]],0)</f>
        <v>0</v>
      </c>
      <c r="O42" s="82">
        <f ca="1">Table11[[#This Row],[Inventory_On_Hand]]+Table11[[#This Row],[Planned_Production]]-Table11[[#This Row],[Forecasted_Units]]</f>
        <v>9.912410080040317</v>
      </c>
      <c r="P42" cm="1">
        <f t="array" ref="P42">_xlfn.XLOOKUP(Table11[[#This Row],[Date]] &amp; Table11[[#This Row],[Vehicle_Type]], Table12[Date] &amp; Table12[Vehicle_Type],Table12[Feedback_Adjustment], 0)</f>
        <v>0</v>
      </c>
      <c r="Q42" s="82">
        <f>Table11[[#This Row],[Forecasted_Units]]*(1+Table11[[#This Row],[Adjustment_Percentage]])</f>
        <v>99.124100800403198</v>
      </c>
      <c r="R42" s="82"/>
    </row>
    <row r="43" spans="1:18">
      <c r="A43" s="54">
        <v>43235</v>
      </c>
      <c r="B43" s="15" t="s">
        <v>13</v>
      </c>
      <c r="C43" s="15" t="str">
        <f>TEXT(Table11[[#This Row],[Date]],"mmmm")</f>
        <v>May</v>
      </c>
      <c r="D43" s="15">
        <v>116</v>
      </c>
      <c r="E43" s="82">
        <f>_xlfn.FORECAST.LINEAR(Table11[[#This Row],[Date]],Table11[Units_Sold],Table11[Date])</f>
        <v>99.125264997059986</v>
      </c>
      <c r="F43" cm="1">
        <f t="array" ref="F43">_xlfn.IFS(Table11[[#This Row],[Vehicle_Type]]="SUV",250,Table11[[#This Row],[Vehicle_Type]]="Sedan",200,Table11[[#This Row],[Vehicle_Type]]="Hatchback",185,Table11[[#This Row],[Vehicle_Type]]="Electric",190,Table11[[#This Row],[Vehicle_Type]]="Truck",150)</f>
        <v>190</v>
      </c>
      <c r="G43">
        <f t="shared" ca="1" si="0"/>
        <v>25</v>
      </c>
      <c r="H43" s="82">
        <f>Table11[[#This Row],[Daily_Production]]-Table11[[#This Row],[Forecasted_Units]]</f>
        <v>90.874735002940014</v>
      </c>
      <c r="I43" cm="1">
        <f t="array" ref="I43">_xlfn.IFS(Table11[[#This Row],[Vehicle_Type]]="SUV",5,Table11[[#This Row],[Vehicle_Type]]="Sedan",7,Table11[[#This Row],[Vehicle_Type]]="Hatchback",10,Table11[[#This Row],[Vehicle_Type]]="Electric",11,Table11[[#This Row],[Vehicle_Type]]="Truck",13)</f>
        <v>11</v>
      </c>
      <c r="J43">
        <f ca="1">Table11[[#This Row],[Daily_Production]]*Table11[[#This Row],[Working_Days]]</f>
        <v>4750</v>
      </c>
      <c r="K43" s="81">
        <f>Table11[[#This Row],[Forecasted_Units]]*0.1</f>
        <v>9.912526499705999</v>
      </c>
      <c r="L43" s="82">
        <f>Table11[[#This Row],[Adjusted_Forecast]]+Table11[[#This Row],[Safety_Stock]]-Table11[[#This Row],[Inventory_On_Hand]]</f>
        <v>18.163056493825977</v>
      </c>
      <c r="M43" s="82">
        <f ca="1">MIN(Table11[[#This Row],[Production_Needed]],Table11[[#This Row],[Production_Capacity]])</f>
        <v>18.163056493825977</v>
      </c>
      <c r="N43" s="82">
        <f ca="1">MAX(Table11[[#This Row],[Production_Needed]]-Table11[[#This Row],[Planned_Production]],0)</f>
        <v>0</v>
      </c>
      <c r="O43" s="82">
        <f ca="1">Table11[[#This Row],[Inventory_On_Hand]]+Table11[[#This Row],[Planned_Production]]-Table11[[#This Row],[Forecasted_Units]]</f>
        <v>9.9125264997060043</v>
      </c>
      <c r="P43" cm="1">
        <f t="array" ref="P43">_xlfn.XLOOKUP(Table11[[#This Row],[Date]] &amp; Table11[[#This Row],[Vehicle_Type]], Table12[Date] &amp; Table12[Vehicle_Type],Table12[Feedback_Adjustment], 0)</f>
        <v>0</v>
      </c>
      <c r="Q43" s="82">
        <f>Table11[[#This Row],[Forecasted_Units]]*(1+Table11[[#This Row],[Adjustment_Percentage]])</f>
        <v>99.125264997059986</v>
      </c>
      <c r="R43" s="82"/>
    </row>
    <row r="44" spans="1:18">
      <c r="A44" s="53">
        <v>43265</v>
      </c>
      <c r="B44" s="14" t="s">
        <v>11</v>
      </c>
      <c r="C44" s="15" t="str">
        <f>TEXT(Table11[[#This Row],[Date]],"mmmm")</f>
        <v>June</v>
      </c>
      <c r="D44" s="14">
        <v>97</v>
      </c>
      <c r="E44" s="82">
        <f>_xlfn.FORECAST.LINEAR(Table11[[#This Row],[Date]],Table11[Units_Sold],Table11[Date])</f>
        <v>99.126429193716774</v>
      </c>
      <c r="F44" cm="1">
        <f t="array" ref="F44">_xlfn.IFS(Table11[[#This Row],[Vehicle_Type]]="SUV",250,Table11[[#This Row],[Vehicle_Type]]="Sedan",200,Table11[[#This Row],[Vehicle_Type]]="Hatchback",185,Table11[[#This Row],[Vehicle_Type]]="Electric",190,Table11[[#This Row],[Vehicle_Type]]="Truck",150)</f>
        <v>185</v>
      </c>
      <c r="G44">
        <f t="shared" ca="1" si="0"/>
        <v>22</v>
      </c>
      <c r="H44" s="82">
        <f>Table11[[#This Row],[Daily_Production]]-Table11[[#This Row],[Forecasted_Units]]</f>
        <v>85.873570806283226</v>
      </c>
      <c r="I44" cm="1">
        <f t="array" ref="I44">_xlfn.IFS(Table11[[#This Row],[Vehicle_Type]]="SUV",5,Table11[[#This Row],[Vehicle_Type]]="Sedan",7,Table11[[#This Row],[Vehicle_Type]]="Hatchback",10,Table11[[#This Row],[Vehicle_Type]]="Electric",11,Table11[[#This Row],[Vehicle_Type]]="Truck",13)</f>
        <v>10</v>
      </c>
      <c r="J44">
        <f ca="1">Table11[[#This Row],[Daily_Production]]*Table11[[#This Row],[Working_Days]]</f>
        <v>4070</v>
      </c>
      <c r="K44" s="81">
        <f>Table11[[#This Row],[Forecasted_Units]]*0.1</f>
        <v>9.9126429193716774</v>
      </c>
      <c r="L44" s="82">
        <f>Table11[[#This Row],[Adjusted_Forecast]]+Table11[[#This Row],[Safety_Stock]]-Table11[[#This Row],[Inventory_On_Hand]]</f>
        <v>23.165501306805226</v>
      </c>
      <c r="M44" s="82">
        <f ca="1">MIN(Table11[[#This Row],[Production_Needed]],Table11[[#This Row],[Production_Capacity]])</f>
        <v>23.165501306805226</v>
      </c>
      <c r="N44" s="82">
        <f ca="1">MAX(Table11[[#This Row],[Production_Needed]]-Table11[[#This Row],[Planned_Production]],0)</f>
        <v>0</v>
      </c>
      <c r="O44" s="82">
        <f ca="1">Table11[[#This Row],[Inventory_On_Hand]]+Table11[[#This Row],[Planned_Production]]-Table11[[#This Row],[Forecasted_Units]]</f>
        <v>9.9126429193716774</v>
      </c>
      <c r="P44" cm="1">
        <f t="array" ref="P44">_xlfn.XLOOKUP(Table11[[#This Row],[Date]] &amp; Table11[[#This Row],[Vehicle_Type]], Table12[Date] &amp; Table12[Vehicle_Type],Table12[Feedback_Adjustment], 0)</f>
        <v>0</v>
      </c>
      <c r="Q44" s="82">
        <f>Table11[[#This Row],[Forecasted_Units]]*(1+Table11[[#This Row],[Adjustment_Percentage]])</f>
        <v>99.126429193716774</v>
      </c>
      <c r="R44" s="82"/>
    </row>
    <row r="45" spans="1:18">
      <c r="A45" s="54">
        <v>43295</v>
      </c>
      <c r="B45" s="15" t="s">
        <v>10</v>
      </c>
      <c r="C45" s="15" t="str">
        <f>TEXT(Table11[[#This Row],[Date]],"mmmm")</f>
        <v>July</v>
      </c>
      <c r="D45" s="15">
        <f>IF(ISBLANK(D2), P3, D2)</f>
        <v>96</v>
      </c>
      <c r="E45" s="82">
        <f>_xlfn.FORECAST.LINEAR(Table11[[#This Row],[Date]],Table11[Units_Sold],Table11[Date])</f>
        <v>99.127593390373562</v>
      </c>
      <c r="F45" cm="1">
        <f t="array" ref="F45">_xlfn.IFS(Table11[[#This Row],[Vehicle_Type]]="SUV",250,Table11[[#This Row],[Vehicle_Type]]="Sedan",200,Table11[[#This Row],[Vehicle_Type]]="Hatchback",185,Table11[[#This Row],[Vehicle_Type]]="Electric",190,Table11[[#This Row],[Vehicle_Type]]="Truck",150)</f>
        <v>200</v>
      </c>
      <c r="G45">
        <f t="shared" ca="1" si="0"/>
        <v>22</v>
      </c>
      <c r="H45" s="82">
        <f>Table11[[#This Row],[Daily_Production]]-Table11[[#This Row],[Forecasted_Units]]</f>
        <v>100.87240660962644</v>
      </c>
      <c r="I45" cm="1">
        <f t="array" ref="I45">_xlfn.IFS(Table11[[#This Row],[Vehicle_Type]]="SUV",5,Table11[[#This Row],[Vehicle_Type]]="Sedan",7,Table11[[#This Row],[Vehicle_Type]]="Hatchback",10,Table11[[#This Row],[Vehicle_Type]]="Electric",11,Table11[[#This Row],[Vehicle_Type]]="Truck",13)</f>
        <v>7</v>
      </c>
      <c r="J45">
        <f ca="1">Table11[[#This Row],[Daily_Production]]*Table11[[#This Row],[Working_Days]]</f>
        <v>4400</v>
      </c>
      <c r="K45" s="81">
        <f>Table11[[#This Row],[Forecasted_Units]]*0.1</f>
        <v>9.9127593390373576</v>
      </c>
      <c r="L45" s="82">
        <f>Table11[[#This Row],[Adjusted_Forecast]]+Table11[[#This Row],[Safety_Stock]]-Table11[[#This Row],[Inventory_On_Hand]]</f>
        <v>8.1679461197844887</v>
      </c>
      <c r="M45" s="82">
        <f ca="1">MIN(Table11[[#This Row],[Production_Needed]],Table11[[#This Row],[Production_Capacity]])</f>
        <v>8.1679461197844887</v>
      </c>
      <c r="N45" s="82">
        <f ca="1">MAX(Table11[[#This Row],[Production_Needed]]-Table11[[#This Row],[Planned_Production]],0)</f>
        <v>0</v>
      </c>
      <c r="O45" s="82">
        <f ca="1">Table11[[#This Row],[Inventory_On_Hand]]+Table11[[#This Row],[Planned_Production]]-Table11[[#This Row],[Forecasted_Units]]</f>
        <v>9.9127593390373647</v>
      </c>
      <c r="P45" cm="1">
        <f t="array" ref="P45">_xlfn.XLOOKUP(Table11[[#This Row],[Date]] &amp; Table11[[#This Row],[Vehicle_Type]], Table12[Date] &amp; Table12[Vehicle_Type],Table12[Feedback_Adjustment], 0)</f>
        <v>0</v>
      </c>
      <c r="Q45" s="82">
        <f>Table11[[#This Row],[Forecasted_Units]]*(1+Table11[[#This Row],[Adjustment_Percentage]])</f>
        <v>99.127593390373562</v>
      </c>
      <c r="R45" s="82"/>
    </row>
    <row r="46" spans="1:18">
      <c r="A46" s="53">
        <v>43325</v>
      </c>
      <c r="B46" s="14" t="s">
        <v>14</v>
      </c>
      <c r="C46" s="15" t="str">
        <f>TEXT(Table11[[#This Row],[Date]],"mmmm")</f>
        <v>August</v>
      </c>
      <c r="D46" s="14">
        <v>94</v>
      </c>
      <c r="E46" s="82">
        <f>_xlfn.FORECAST.LINEAR(Table11[[#This Row],[Date]],Table11[Units_Sold],Table11[Date])</f>
        <v>99.128757587030336</v>
      </c>
      <c r="F46" cm="1">
        <f t="array" ref="F46">_xlfn.IFS(Table11[[#This Row],[Vehicle_Type]]="SUV",250,Table11[[#This Row],[Vehicle_Type]]="Sedan",200,Table11[[#This Row],[Vehicle_Type]]="Hatchback",185,Table11[[#This Row],[Vehicle_Type]]="Electric",190,Table11[[#This Row],[Vehicle_Type]]="Truck",150)</f>
        <v>150</v>
      </c>
      <c r="G46">
        <f t="shared" ca="1" si="0"/>
        <v>25</v>
      </c>
      <c r="H46" s="82">
        <f>Table11[[#This Row],[Daily_Production]]-Table11[[#This Row],[Forecasted_Units]]</f>
        <v>50.871242412969664</v>
      </c>
      <c r="I46" cm="1">
        <f t="array" ref="I46">_xlfn.IFS(Table11[[#This Row],[Vehicle_Type]]="SUV",5,Table11[[#This Row],[Vehicle_Type]]="Sedan",7,Table11[[#This Row],[Vehicle_Type]]="Hatchback",10,Table11[[#This Row],[Vehicle_Type]]="Electric",11,Table11[[#This Row],[Vehicle_Type]]="Truck",13)</f>
        <v>13</v>
      </c>
      <c r="J46">
        <f ca="1">Table11[[#This Row],[Daily_Production]]*Table11[[#This Row],[Working_Days]]</f>
        <v>3750</v>
      </c>
      <c r="K46" s="81">
        <f>Table11[[#This Row],[Forecasted_Units]]*0.1</f>
        <v>9.9128757587030343</v>
      </c>
      <c r="L46" s="82">
        <f>Table11[[#This Row],[Adjusted_Forecast]]+Table11[[#This Row],[Safety_Stock]]-Table11[[#This Row],[Inventory_On_Hand]]</f>
        <v>58.170390932763709</v>
      </c>
      <c r="M46" s="82">
        <f ca="1">MIN(Table11[[#This Row],[Production_Needed]],Table11[[#This Row],[Production_Capacity]])</f>
        <v>58.170390932763709</v>
      </c>
      <c r="N46" s="82">
        <f ca="1">MAX(Table11[[#This Row],[Production_Needed]]-Table11[[#This Row],[Planned_Production]],0)</f>
        <v>0</v>
      </c>
      <c r="O46" s="82">
        <f ca="1">Table11[[#This Row],[Inventory_On_Hand]]+Table11[[#This Row],[Planned_Production]]-Table11[[#This Row],[Forecasted_Units]]</f>
        <v>9.9128757587030378</v>
      </c>
      <c r="P46" cm="1">
        <f t="array" ref="P46">_xlfn.XLOOKUP(Table11[[#This Row],[Date]] &amp; Table11[[#This Row],[Vehicle_Type]], Table12[Date] &amp; Table12[Vehicle_Type],Table12[Feedback_Adjustment], 0)</f>
        <v>0</v>
      </c>
      <c r="Q46" s="82">
        <f>Table11[[#This Row],[Forecasted_Units]]*(1+Table11[[#This Row],[Adjustment_Percentage]])</f>
        <v>99.128757587030336</v>
      </c>
      <c r="R46" s="82"/>
    </row>
    <row r="47" spans="1:18">
      <c r="A47" s="54">
        <v>43355</v>
      </c>
      <c r="B47" s="15" t="s">
        <v>13</v>
      </c>
      <c r="C47" s="15" t="str">
        <f>TEXT(Table11[[#This Row],[Date]],"mmmm")</f>
        <v>September</v>
      </c>
      <c r="D47" s="15">
        <v>118</v>
      </c>
      <c r="E47" s="82">
        <f>_xlfn.FORECAST.LINEAR(Table11[[#This Row],[Date]],Table11[Units_Sold],Table11[Date])</f>
        <v>99.129921783687124</v>
      </c>
      <c r="F47" cm="1">
        <f t="array" ref="F47">_xlfn.IFS(Table11[[#This Row],[Vehicle_Type]]="SUV",250,Table11[[#This Row],[Vehicle_Type]]="Sedan",200,Table11[[#This Row],[Vehicle_Type]]="Hatchback",185,Table11[[#This Row],[Vehicle_Type]]="Electric",190,Table11[[#This Row],[Vehicle_Type]]="Truck",150)</f>
        <v>190</v>
      </c>
      <c r="G47">
        <f t="shared" ca="1" si="0"/>
        <v>23</v>
      </c>
      <c r="H47" s="82">
        <f>Table11[[#This Row],[Daily_Production]]-Table11[[#This Row],[Forecasted_Units]]</f>
        <v>90.870078216312876</v>
      </c>
      <c r="I47" cm="1">
        <f t="array" ref="I47">_xlfn.IFS(Table11[[#This Row],[Vehicle_Type]]="SUV",5,Table11[[#This Row],[Vehicle_Type]]="Sedan",7,Table11[[#This Row],[Vehicle_Type]]="Hatchback",10,Table11[[#This Row],[Vehicle_Type]]="Electric",11,Table11[[#This Row],[Vehicle_Type]]="Truck",13)</f>
        <v>11</v>
      </c>
      <c r="J47">
        <f ca="1">Table11[[#This Row],[Daily_Production]]*Table11[[#This Row],[Working_Days]]</f>
        <v>4370</v>
      </c>
      <c r="K47" s="81">
        <f>Table11[[#This Row],[Forecasted_Units]]*0.1</f>
        <v>9.9129921783687127</v>
      </c>
      <c r="L47" s="82">
        <f>Table11[[#This Row],[Adjusted_Forecast]]+Table11[[#This Row],[Safety_Stock]]-Table11[[#This Row],[Inventory_On_Hand]]</f>
        <v>18.172835745742958</v>
      </c>
      <c r="M47" s="82">
        <f ca="1">MIN(Table11[[#This Row],[Production_Needed]],Table11[[#This Row],[Production_Capacity]])</f>
        <v>18.172835745742958</v>
      </c>
      <c r="N47" s="82">
        <f ca="1">MAX(Table11[[#This Row],[Production_Needed]]-Table11[[#This Row],[Planned_Production]],0)</f>
        <v>0</v>
      </c>
      <c r="O47" s="82">
        <f ca="1">Table11[[#This Row],[Inventory_On_Hand]]+Table11[[#This Row],[Planned_Production]]-Table11[[#This Row],[Forecasted_Units]]</f>
        <v>9.9129921783687109</v>
      </c>
      <c r="P47" cm="1">
        <f t="array" ref="P47">_xlfn.XLOOKUP(Table11[[#This Row],[Date]] &amp; Table11[[#This Row],[Vehicle_Type]], Table12[Date] &amp; Table12[Vehicle_Type],Table12[Feedback_Adjustment], 0)</f>
        <v>0</v>
      </c>
      <c r="Q47" s="82">
        <f>Table11[[#This Row],[Forecasted_Units]]*(1+Table11[[#This Row],[Adjustment_Percentage]])</f>
        <v>99.129921783687124</v>
      </c>
      <c r="R47" s="82"/>
    </row>
    <row r="48" spans="1:18">
      <c r="A48" s="53">
        <v>43385</v>
      </c>
      <c r="B48" s="14" t="s">
        <v>10</v>
      </c>
      <c r="C48" s="15" t="str">
        <f>TEXT(Table11[[#This Row],[Date]],"mmmm")</f>
        <v>October</v>
      </c>
      <c r="D48" s="14">
        <v>104</v>
      </c>
      <c r="E48" s="82">
        <f>_xlfn.FORECAST.LINEAR(Table11[[#This Row],[Date]],Table11[Units_Sold],Table11[Date])</f>
        <v>99.131085980343912</v>
      </c>
      <c r="F48" cm="1">
        <f t="array" ref="F48">_xlfn.IFS(Table11[[#This Row],[Vehicle_Type]]="SUV",250,Table11[[#This Row],[Vehicle_Type]]="Sedan",200,Table11[[#This Row],[Vehicle_Type]]="Hatchback",185,Table11[[#This Row],[Vehicle_Type]]="Electric",190,Table11[[#This Row],[Vehicle_Type]]="Truck",150)</f>
        <v>200</v>
      </c>
      <c r="G48">
        <f t="shared" ca="1" si="0"/>
        <v>22</v>
      </c>
      <c r="H48" s="82">
        <f>Table11[[#This Row],[Daily_Production]]-Table11[[#This Row],[Forecasted_Units]]</f>
        <v>100.86891401965609</v>
      </c>
      <c r="I48" cm="1">
        <f t="array" ref="I48">_xlfn.IFS(Table11[[#This Row],[Vehicle_Type]]="SUV",5,Table11[[#This Row],[Vehicle_Type]]="Sedan",7,Table11[[#This Row],[Vehicle_Type]]="Hatchback",10,Table11[[#This Row],[Vehicle_Type]]="Electric",11,Table11[[#This Row],[Vehicle_Type]]="Truck",13)</f>
        <v>7</v>
      </c>
      <c r="J48">
        <f ca="1">Table11[[#This Row],[Daily_Production]]*Table11[[#This Row],[Working_Days]]</f>
        <v>4400</v>
      </c>
      <c r="K48" s="81">
        <f>Table11[[#This Row],[Forecasted_Units]]*0.1</f>
        <v>9.9131085980343912</v>
      </c>
      <c r="L48" s="82">
        <f>Table11[[#This Row],[Adjusted_Forecast]]+Table11[[#This Row],[Safety_Stock]]-Table11[[#This Row],[Inventory_On_Hand]]</f>
        <v>8.175280558722207</v>
      </c>
      <c r="M48" s="82">
        <f ca="1">MIN(Table11[[#This Row],[Production_Needed]],Table11[[#This Row],[Production_Capacity]])</f>
        <v>8.175280558722207</v>
      </c>
      <c r="N48" s="82">
        <f ca="1">MAX(Table11[[#This Row],[Production_Needed]]-Table11[[#This Row],[Planned_Production]],0)</f>
        <v>0</v>
      </c>
      <c r="O48" s="82">
        <f ca="1">Table11[[#This Row],[Inventory_On_Hand]]+Table11[[#This Row],[Planned_Production]]-Table11[[#This Row],[Forecasted_Units]]</f>
        <v>9.913108598034384</v>
      </c>
      <c r="P48" cm="1">
        <f t="array" ref="P48">_xlfn.XLOOKUP(Table11[[#This Row],[Date]] &amp; Table11[[#This Row],[Vehicle_Type]], Table12[Date] &amp; Table12[Vehicle_Type],Table12[Feedback_Adjustment], 0)</f>
        <v>0</v>
      </c>
      <c r="Q48" s="82">
        <f>Table11[[#This Row],[Forecasted_Units]]*(1+Table11[[#This Row],[Adjustment_Percentage]])</f>
        <v>99.131085980343912</v>
      </c>
      <c r="R48" s="82"/>
    </row>
    <row r="49" spans="1:18">
      <c r="A49" s="54">
        <v>43415</v>
      </c>
      <c r="B49" s="15" t="s">
        <v>14</v>
      </c>
      <c r="C49" s="15" t="str">
        <f>TEXT(Table11[[#This Row],[Date]],"mmmm")</f>
        <v>November</v>
      </c>
      <c r="D49" s="15">
        <f>IF(ISBLANK(D2), P3, D2)</f>
        <v>96</v>
      </c>
      <c r="E49" s="82">
        <f>_xlfn.FORECAST.LINEAR(Table11[[#This Row],[Date]],Table11[Units_Sold],Table11[Date])</f>
        <v>99.132250177000699</v>
      </c>
      <c r="F49" cm="1">
        <f t="array" ref="F49">_xlfn.IFS(Table11[[#This Row],[Vehicle_Type]]="SUV",250,Table11[[#This Row],[Vehicle_Type]]="Sedan",200,Table11[[#This Row],[Vehicle_Type]]="Hatchback",185,Table11[[#This Row],[Vehicle_Type]]="Electric",190,Table11[[#This Row],[Vehicle_Type]]="Truck",150)</f>
        <v>150</v>
      </c>
      <c r="G49">
        <f t="shared" ca="1" si="0"/>
        <v>21</v>
      </c>
      <c r="H49" s="82">
        <f>Table11[[#This Row],[Daily_Production]]-Table11[[#This Row],[Forecasted_Units]]</f>
        <v>50.867749822999301</v>
      </c>
      <c r="I49" cm="1">
        <f t="array" ref="I49">_xlfn.IFS(Table11[[#This Row],[Vehicle_Type]]="SUV",5,Table11[[#This Row],[Vehicle_Type]]="Sedan",7,Table11[[#This Row],[Vehicle_Type]]="Hatchback",10,Table11[[#This Row],[Vehicle_Type]]="Electric",11,Table11[[#This Row],[Vehicle_Type]]="Truck",13)</f>
        <v>13</v>
      </c>
      <c r="J49">
        <f ca="1">Table11[[#This Row],[Daily_Production]]*Table11[[#This Row],[Working_Days]]</f>
        <v>3150</v>
      </c>
      <c r="K49" s="81">
        <f>Table11[[#This Row],[Forecasted_Units]]*0.1</f>
        <v>9.9132250177000714</v>
      </c>
      <c r="L49" s="82">
        <f>Table11[[#This Row],[Adjusted_Forecast]]+Table11[[#This Row],[Safety_Stock]]-Table11[[#This Row],[Inventory_On_Hand]]</f>
        <v>58.17772537170147</v>
      </c>
      <c r="M49" s="82">
        <f ca="1">MIN(Table11[[#This Row],[Production_Needed]],Table11[[#This Row],[Production_Capacity]])</f>
        <v>58.17772537170147</v>
      </c>
      <c r="N49" s="82">
        <f ca="1">MAX(Table11[[#This Row],[Production_Needed]]-Table11[[#This Row],[Planned_Production]],0)</f>
        <v>0</v>
      </c>
      <c r="O49" s="82">
        <f ca="1">Table11[[#This Row],[Inventory_On_Hand]]+Table11[[#This Row],[Planned_Production]]-Table11[[#This Row],[Forecasted_Units]]</f>
        <v>9.9132250177000714</v>
      </c>
      <c r="P49" cm="1">
        <f t="array" ref="P49">_xlfn.XLOOKUP(Table11[[#This Row],[Date]] &amp; Table11[[#This Row],[Vehicle_Type]], Table12[Date] &amp; Table12[Vehicle_Type],Table12[Feedback_Adjustment], 0)</f>
        <v>0</v>
      </c>
      <c r="Q49" s="82">
        <f>Table11[[#This Row],[Forecasted_Units]]*(1+Table11[[#This Row],[Adjustment_Percentage]])</f>
        <v>99.132250177000699</v>
      </c>
      <c r="R49" s="82"/>
    </row>
    <row r="50" spans="1:18">
      <c r="A50" s="53">
        <v>43445</v>
      </c>
      <c r="B50" s="14" t="s">
        <v>10</v>
      </c>
      <c r="C50" s="15" t="str">
        <f>TEXT(Table11[[#This Row],[Date]],"mmmm")</f>
        <v>December</v>
      </c>
      <c r="D50" s="14">
        <v>115</v>
      </c>
      <c r="E50" s="82">
        <f>_xlfn.FORECAST.LINEAR(Table11[[#This Row],[Date]],Table11[Units_Sold],Table11[Date])</f>
        <v>99.133414373657487</v>
      </c>
      <c r="F50" cm="1">
        <f t="array" ref="F50">_xlfn.IFS(Table11[[#This Row],[Vehicle_Type]]="SUV",250,Table11[[#This Row],[Vehicle_Type]]="Sedan",200,Table11[[#This Row],[Vehicle_Type]]="Hatchback",185,Table11[[#This Row],[Vehicle_Type]]="Electric",190,Table11[[#This Row],[Vehicle_Type]]="Truck",150)</f>
        <v>200</v>
      </c>
      <c r="G50">
        <f t="shared" ca="1" si="0"/>
        <v>23</v>
      </c>
      <c r="H50" s="82">
        <f>Table11[[#This Row],[Daily_Production]]-Table11[[#This Row],[Forecasted_Units]]</f>
        <v>100.86658562634251</v>
      </c>
      <c r="I50" cm="1">
        <f t="array" ref="I50">_xlfn.IFS(Table11[[#This Row],[Vehicle_Type]]="SUV",5,Table11[[#This Row],[Vehicle_Type]]="Sedan",7,Table11[[#This Row],[Vehicle_Type]]="Hatchback",10,Table11[[#This Row],[Vehicle_Type]]="Electric",11,Table11[[#This Row],[Vehicle_Type]]="Truck",13)</f>
        <v>7</v>
      </c>
      <c r="J50">
        <f ca="1">Table11[[#This Row],[Daily_Production]]*Table11[[#This Row],[Working_Days]]</f>
        <v>4600</v>
      </c>
      <c r="K50" s="81">
        <f>Table11[[#This Row],[Forecasted_Units]]*0.1</f>
        <v>9.9133414373657498</v>
      </c>
      <c r="L50" s="82">
        <f>Table11[[#This Row],[Adjusted_Forecast]]+Table11[[#This Row],[Safety_Stock]]-Table11[[#This Row],[Inventory_On_Hand]]</f>
        <v>8.1801701846807191</v>
      </c>
      <c r="M50" s="82">
        <f ca="1">MIN(Table11[[#This Row],[Production_Needed]],Table11[[#This Row],[Production_Capacity]])</f>
        <v>8.1801701846807191</v>
      </c>
      <c r="N50" s="82">
        <f ca="1">MAX(Table11[[#This Row],[Production_Needed]]-Table11[[#This Row],[Planned_Production]],0)</f>
        <v>0</v>
      </c>
      <c r="O50" s="82">
        <f ca="1">Table11[[#This Row],[Inventory_On_Hand]]+Table11[[#This Row],[Planned_Production]]-Table11[[#This Row],[Forecasted_Units]]</f>
        <v>9.9133414373657445</v>
      </c>
      <c r="P50" cm="1">
        <f t="array" ref="P50">_xlfn.XLOOKUP(Table11[[#This Row],[Date]] &amp; Table11[[#This Row],[Vehicle_Type]], Table12[Date] &amp; Table12[Vehicle_Type],Table12[Feedback_Adjustment], 0)</f>
        <v>0</v>
      </c>
      <c r="Q50" s="82">
        <f>Table11[[#This Row],[Forecasted_Units]]*(1+Table11[[#This Row],[Adjustment_Percentage]])</f>
        <v>99.133414373657487</v>
      </c>
      <c r="R50" s="82"/>
    </row>
    <row r="51" spans="1:18">
      <c r="A51" s="54">
        <v>43475</v>
      </c>
      <c r="B51" s="15" t="s">
        <v>13</v>
      </c>
      <c r="C51" s="15" t="str">
        <f>TEXT(Table11[[#This Row],[Date]],"mmmm")</f>
        <v>January</v>
      </c>
      <c r="D51" s="15">
        <v>94</v>
      </c>
      <c r="E51" s="82">
        <f>_xlfn.FORECAST.LINEAR(Table11[[#This Row],[Date]],Table11[Units_Sold],Table11[Date])</f>
        <v>99.134578570314275</v>
      </c>
      <c r="F51" cm="1">
        <f t="array" ref="F51">_xlfn.IFS(Table11[[#This Row],[Vehicle_Type]]="SUV",250,Table11[[#This Row],[Vehicle_Type]]="Sedan",200,Table11[[#This Row],[Vehicle_Type]]="Hatchback",185,Table11[[#This Row],[Vehicle_Type]]="Electric",190,Table11[[#This Row],[Vehicle_Type]]="Truck",150)</f>
        <v>190</v>
      </c>
      <c r="G51">
        <f t="shared" ca="1" si="0"/>
        <v>21</v>
      </c>
      <c r="H51" s="82">
        <f>Table11[[#This Row],[Daily_Production]]-Table11[[#This Row],[Forecasted_Units]]</f>
        <v>90.865421429685725</v>
      </c>
      <c r="I51" cm="1">
        <f t="array" ref="I51">_xlfn.IFS(Table11[[#This Row],[Vehicle_Type]]="SUV",5,Table11[[#This Row],[Vehicle_Type]]="Sedan",7,Table11[[#This Row],[Vehicle_Type]]="Hatchback",10,Table11[[#This Row],[Vehicle_Type]]="Electric",11,Table11[[#This Row],[Vehicle_Type]]="Truck",13)</f>
        <v>11</v>
      </c>
      <c r="J51">
        <f ca="1">Table11[[#This Row],[Daily_Production]]*Table11[[#This Row],[Working_Days]]</f>
        <v>3990</v>
      </c>
      <c r="K51" s="81">
        <f>Table11[[#This Row],[Forecasted_Units]]*0.1</f>
        <v>9.9134578570314282</v>
      </c>
      <c r="L51" s="82">
        <f>Table11[[#This Row],[Adjusted_Forecast]]+Table11[[#This Row],[Safety_Stock]]-Table11[[#This Row],[Inventory_On_Hand]]</f>
        <v>18.182614997659982</v>
      </c>
      <c r="M51" s="82">
        <f ca="1">MIN(Table11[[#This Row],[Production_Needed]],Table11[[#This Row],[Production_Capacity]])</f>
        <v>18.182614997659982</v>
      </c>
      <c r="N51" s="82">
        <f ca="1">MAX(Table11[[#This Row],[Production_Needed]]-Table11[[#This Row],[Planned_Production]],0)</f>
        <v>0</v>
      </c>
      <c r="O51" s="82">
        <f ca="1">Table11[[#This Row],[Inventory_On_Hand]]+Table11[[#This Row],[Planned_Production]]-Table11[[#This Row],[Forecasted_Units]]</f>
        <v>9.9134578570314318</v>
      </c>
      <c r="P51" cm="1">
        <f t="array" ref="P51">_xlfn.XLOOKUP(Table11[[#This Row],[Date]] &amp; Table11[[#This Row],[Vehicle_Type]], Table12[Date] &amp; Table12[Vehicle_Type],Table12[Feedback_Adjustment], 0)</f>
        <v>0</v>
      </c>
      <c r="Q51" s="82">
        <f>Table11[[#This Row],[Forecasted_Units]]*(1+Table11[[#This Row],[Adjustment_Percentage]])</f>
        <v>99.134578570314275</v>
      </c>
      <c r="R51" s="82"/>
    </row>
    <row r="52" spans="1:18">
      <c r="A52" s="53">
        <v>43505</v>
      </c>
      <c r="B52" s="14" t="s">
        <v>11</v>
      </c>
      <c r="C52" s="15" t="str">
        <f>TEXT(Table11[[#This Row],[Date]],"mmmm")</f>
        <v>February</v>
      </c>
      <c r="D52" s="14">
        <v>91</v>
      </c>
      <c r="E52" s="82">
        <f>_xlfn.FORECAST.LINEAR(Table11[[#This Row],[Date]],Table11[Units_Sold],Table11[Date])</f>
        <v>99.135742766971063</v>
      </c>
      <c r="F52" cm="1">
        <f t="array" ref="F52">_xlfn.IFS(Table11[[#This Row],[Vehicle_Type]]="SUV",250,Table11[[#This Row],[Vehicle_Type]]="Sedan",200,Table11[[#This Row],[Vehicle_Type]]="Hatchback",185,Table11[[#This Row],[Vehicle_Type]]="Electric",190,Table11[[#This Row],[Vehicle_Type]]="Truck",150)</f>
        <v>185</v>
      </c>
      <c r="G52">
        <f t="shared" ca="1" si="0"/>
        <v>20</v>
      </c>
      <c r="H52" s="82">
        <f>Table11[[#This Row],[Daily_Production]]-Table11[[#This Row],[Forecasted_Units]]</f>
        <v>85.864257233028937</v>
      </c>
      <c r="I52" cm="1">
        <f t="array" ref="I52">_xlfn.IFS(Table11[[#This Row],[Vehicle_Type]]="SUV",5,Table11[[#This Row],[Vehicle_Type]]="Sedan",7,Table11[[#This Row],[Vehicle_Type]]="Hatchback",10,Table11[[#This Row],[Vehicle_Type]]="Electric",11,Table11[[#This Row],[Vehicle_Type]]="Truck",13)</f>
        <v>10</v>
      </c>
      <c r="J52">
        <f ca="1">Table11[[#This Row],[Daily_Production]]*Table11[[#This Row],[Working_Days]]</f>
        <v>3700</v>
      </c>
      <c r="K52" s="81">
        <f>Table11[[#This Row],[Forecasted_Units]]*0.1</f>
        <v>9.9135742766971067</v>
      </c>
      <c r="L52" s="82">
        <f>Table11[[#This Row],[Adjusted_Forecast]]+Table11[[#This Row],[Safety_Stock]]-Table11[[#This Row],[Inventory_On_Hand]]</f>
        <v>23.185059810639231</v>
      </c>
      <c r="M52" s="82">
        <f ca="1">MIN(Table11[[#This Row],[Production_Needed]],Table11[[#This Row],[Production_Capacity]])</f>
        <v>23.185059810639231</v>
      </c>
      <c r="N52" s="82">
        <f ca="1">MAX(Table11[[#This Row],[Production_Needed]]-Table11[[#This Row],[Planned_Production]],0)</f>
        <v>0</v>
      </c>
      <c r="O52" s="82">
        <f ca="1">Table11[[#This Row],[Inventory_On_Hand]]+Table11[[#This Row],[Planned_Production]]-Table11[[#This Row],[Forecasted_Units]]</f>
        <v>9.9135742766971049</v>
      </c>
      <c r="P52" cm="1">
        <f t="array" ref="P52">_xlfn.XLOOKUP(Table11[[#This Row],[Date]] &amp; Table11[[#This Row],[Vehicle_Type]], Table12[Date] &amp; Table12[Vehicle_Type],Table12[Feedback_Adjustment], 0)</f>
        <v>0</v>
      </c>
      <c r="Q52" s="82">
        <f>Table11[[#This Row],[Forecasted_Units]]*(1+Table11[[#This Row],[Adjustment_Percentage]])</f>
        <v>99.135742766971063</v>
      </c>
      <c r="R52" s="82"/>
    </row>
    <row r="53" spans="1:18">
      <c r="A53" s="54">
        <v>43535</v>
      </c>
      <c r="B53" s="15" t="s">
        <v>13</v>
      </c>
      <c r="C53" s="15" t="str">
        <f>TEXT(Table11[[#This Row],[Date]],"mmmm")</f>
        <v>March</v>
      </c>
      <c r="D53" s="15">
        <v>110</v>
      </c>
      <c r="E53" s="82">
        <f>_xlfn.FORECAST.LINEAR(Table11[[#This Row],[Date]],Table11[Units_Sold],Table11[Date])</f>
        <v>99.136906963627851</v>
      </c>
      <c r="F53" cm="1">
        <f t="array" ref="F53">_xlfn.IFS(Table11[[#This Row],[Vehicle_Type]]="SUV",250,Table11[[#This Row],[Vehicle_Type]]="Sedan",200,Table11[[#This Row],[Vehicle_Type]]="Hatchback",185,Table11[[#This Row],[Vehicle_Type]]="Electric",190,Table11[[#This Row],[Vehicle_Type]]="Truck",150)</f>
        <v>190</v>
      </c>
      <c r="G53">
        <f t="shared" ca="1" si="0"/>
        <v>21</v>
      </c>
      <c r="H53" s="82">
        <f>Table11[[#This Row],[Daily_Production]]-Table11[[#This Row],[Forecasted_Units]]</f>
        <v>90.863093036372149</v>
      </c>
      <c r="I53" cm="1">
        <f t="array" ref="I53">_xlfn.IFS(Table11[[#This Row],[Vehicle_Type]]="SUV",5,Table11[[#This Row],[Vehicle_Type]]="Sedan",7,Table11[[#This Row],[Vehicle_Type]]="Hatchback",10,Table11[[#This Row],[Vehicle_Type]]="Electric",11,Table11[[#This Row],[Vehicle_Type]]="Truck",13)</f>
        <v>11</v>
      </c>
      <c r="J53">
        <f ca="1">Table11[[#This Row],[Daily_Production]]*Table11[[#This Row],[Working_Days]]</f>
        <v>3990</v>
      </c>
      <c r="K53" s="81">
        <f>Table11[[#This Row],[Forecasted_Units]]*0.1</f>
        <v>9.9136906963627851</v>
      </c>
      <c r="L53" s="82">
        <f>Table11[[#This Row],[Adjusted_Forecast]]+Table11[[#This Row],[Safety_Stock]]-Table11[[#This Row],[Inventory_On_Hand]]</f>
        <v>18.187504623618494</v>
      </c>
      <c r="M53" s="82">
        <f ca="1">MIN(Table11[[#This Row],[Production_Needed]],Table11[[#This Row],[Production_Capacity]])</f>
        <v>18.187504623618494</v>
      </c>
      <c r="N53" s="82">
        <f ca="1">MAX(Table11[[#This Row],[Production_Needed]]-Table11[[#This Row],[Planned_Production]],0)</f>
        <v>0</v>
      </c>
      <c r="O53" s="82">
        <f ca="1">Table11[[#This Row],[Inventory_On_Hand]]+Table11[[#This Row],[Planned_Production]]-Table11[[#This Row],[Forecasted_Units]]</f>
        <v>9.9136906963627922</v>
      </c>
      <c r="P53" cm="1">
        <f t="array" ref="P53">_xlfn.XLOOKUP(Table11[[#This Row],[Date]] &amp; Table11[[#This Row],[Vehicle_Type]], Table12[Date] &amp; Table12[Vehicle_Type],Table12[Feedback_Adjustment], 0)</f>
        <v>0</v>
      </c>
      <c r="Q53" s="82">
        <f>Table11[[#This Row],[Forecasted_Units]]*(1+Table11[[#This Row],[Adjustment_Percentage]])</f>
        <v>99.136906963627851</v>
      </c>
      <c r="R53" s="82"/>
    </row>
    <row r="54" spans="1:18">
      <c r="A54" s="53">
        <v>43565</v>
      </c>
      <c r="B54" s="14" t="s">
        <v>11</v>
      </c>
      <c r="C54" s="15" t="str">
        <f>TEXT(Table11[[#This Row],[Date]],"mmmm")</f>
        <v>April</v>
      </c>
      <c r="D54" s="14">
        <v>98</v>
      </c>
      <c r="E54" s="82">
        <f>_xlfn.FORECAST.LINEAR(Table11[[#This Row],[Date]],Table11[Units_Sold],Table11[Date])</f>
        <v>99.138071160284639</v>
      </c>
      <c r="F54" cm="1">
        <f t="array" ref="F54">_xlfn.IFS(Table11[[#This Row],[Vehicle_Type]]="SUV",250,Table11[[#This Row],[Vehicle_Type]]="Sedan",200,Table11[[#This Row],[Vehicle_Type]]="Hatchback",185,Table11[[#This Row],[Vehicle_Type]]="Electric",190,Table11[[#This Row],[Vehicle_Type]]="Truck",150)</f>
        <v>185</v>
      </c>
      <c r="G54">
        <f t="shared" ca="1" si="0"/>
        <v>22</v>
      </c>
      <c r="H54" s="82">
        <f>Table11[[#This Row],[Daily_Production]]-Table11[[#This Row],[Forecasted_Units]]</f>
        <v>85.861928839715361</v>
      </c>
      <c r="I54" cm="1">
        <f t="array" ref="I54">_xlfn.IFS(Table11[[#This Row],[Vehicle_Type]]="SUV",5,Table11[[#This Row],[Vehicle_Type]]="Sedan",7,Table11[[#This Row],[Vehicle_Type]]="Hatchback",10,Table11[[#This Row],[Vehicle_Type]]="Electric",11,Table11[[#This Row],[Vehicle_Type]]="Truck",13)</f>
        <v>10</v>
      </c>
      <c r="J54">
        <f ca="1">Table11[[#This Row],[Daily_Production]]*Table11[[#This Row],[Working_Days]]</f>
        <v>4070</v>
      </c>
      <c r="K54" s="81">
        <f>Table11[[#This Row],[Forecasted_Units]]*0.1</f>
        <v>9.9138071160284653</v>
      </c>
      <c r="L54" s="82">
        <f>Table11[[#This Row],[Adjusted_Forecast]]+Table11[[#This Row],[Safety_Stock]]-Table11[[#This Row],[Inventory_On_Hand]]</f>
        <v>23.189949436597743</v>
      </c>
      <c r="M54" s="82">
        <f ca="1">MIN(Table11[[#This Row],[Production_Needed]],Table11[[#This Row],[Production_Capacity]])</f>
        <v>23.189949436597743</v>
      </c>
      <c r="N54" s="82">
        <f ca="1">MAX(Table11[[#This Row],[Production_Needed]]-Table11[[#This Row],[Planned_Production]],0)</f>
        <v>0</v>
      </c>
      <c r="O54" s="82">
        <f ca="1">Table11[[#This Row],[Inventory_On_Hand]]+Table11[[#This Row],[Planned_Production]]-Table11[[#This Row],[Forecasted_Units]]</f>
        <v>9.9138071160284653</v>
      </c>
      <c r="P54" cm="1">
        <f t="array" ref="P54">_xlfn.XLOOKUP(Table11[[#This Row],[Date]] &amp; Table11[[#This Row],[Vehicle_Type]], Table12[Date] &amp; Table12[Vehicle_Type],Table12[Feedback_Adjustment], 0)</f>
        <v>0</v>
      </c>
      <c r="Q54" s="82">
        <f>Table11[[#This Row],[Forecasted_Units]]*(1+Table11[[#This Row],[Adjustment_Percentage]])</f>
        <v>99.138071160284639</v>
      </c>
      <c r="R54" s="82"/>
    </row>
    <row r="55" spans="1:18">
      <c r="A55" s="54">
        <v>43595</v>
      </c>
      <c r="B55" s="15" t="s">
        <v>13</v>
      </c>
      <c r="C55" s="15" t="str">
        <f>TEXT(Table11[[#This Row],[Date]],"mmmm")</f>
        <v>May</v>
      </c>
      <c r="D55" s="15">
        <v>86</v>
      </c>
      <c r="E55" s="82">
        <f>_xlfn.FORECAST.LINEAR(Table11[[#This Row],[Date]],Table11[Units_Sold],Table11[Date])</f>
        <v>99.139235356941427</v>
      </c>
      <c r="F55" cm="1">
        <f t="array" ref="F55">_xlfn.IFS(Table11[[#This Row],[Vehicle_Type]]="SUV",250,Table11[[#This Row],[Vehicle_Type]]="Sedan",200,Table11[[#This Row],[Vehicle_Type]]="Hatchback",185,Table11[[#This Row],[Vehicle_Type]]="Electric",190,Table11[[#This Row],[Vehicle_Type]]="Truck",150)</f>
        <v>190</v>
      </c>
      <c r="G55">
        <f t="shared" ca="1" si="0"/>
        <v>25</v>
      </c>
      <c r="H55" s="82">
        <f>Table11[[#This Row],[Daily_Production]]-Table11[[#This Row],[Forecasted_Units]]</f>
        <v>90.860764643058573</v>
      </c>
      <c r="I55" cm="1">
        <f t="array" ref="I55">_xlfn.IFS(Table11[[#This Row],[Vehicle_Type]]="SUV",5,Table11[[#This Row],[Vehicle_Type]]="Sedan",7,Table11[[#This Row],[Vehicle_Type]]="Hatchback",10,Table11[[#This Row],[Vehicle_Type]]="Electric",11,Table11[[#This Row],[Vehicle_Type]]="Truck",13)</f>
        <v>11</v>
      </c>
      <c r="J55">
        <f ca="1">Table11[[#This Row],[Daily_Production]]*Table11[[#This Row],[Working_Days]]</f>
        <v>4750</v>
      </c>
      <c r="K55" s="81">
        <f>Table11[[#This Row],[Forecasted_Units]]*0.1</f>
        <v>9.9139235356941438</v>
      </c>
      <c r="L55" s="82">
        <f>Table11[[#This Row],[Adjusted_Forecast]]+Table11[[#This Row],[Safety_Stock]]-Table11[[#This Row],[Inventory_On_Hand]]</f>
        <v>18.192394249576992</v>
      </c>
      <c r="M55" s="82">
        <f ca="1">MIN(Table11[[#This Row],[Production_Needed]],Table11[[#This Row],[Production_Capacity]])</f>
        <v>18.192394249576992</v>
      </c>
      <c r="N55" s="82">
        <f ca="1">MAX(Table11[[#This Row],[Production_Needed]]-Table11[[#This Row],[Planned_Production]],0)</f>
        <v>0</v>
      </c>
      <c r="O55" s="82">
        <f ca="1">Table11[[#This Row],[Inventory_On_Hand]]+Table11[[#This Row],[Planned_Production]]-Table11[[#This Row],[Forecasted_Units]]</f>
        <v>9.9139235356941384</v>
      </c>
      <c r="P55" cm="1">
        <f t="array" ref="P55">_xlfn.XLOOKUP(Table11[[#This Row],[Date]] &amp; Table11[[#This Row],[Vehicle_Type]], Table12[Date] &amp; Table12[Vehicle_Type],Table12[Feedback_Adjustment], 0)</f>
        <v>0</v>
      </c>
      <c r="Q55" s="82">
        <f>Table11[[#This Row],[Forecasted_Units]]*(1+Table11[[#This Row],[Adjustment_Percentage]])</f>
        <v>99.139235356941427</v>
      </c>
      <c r="R55" s="82"/>
    </row>
    <row r="56" spans="1:18">
      <c r="A56" s="53">
        <v>43625</v>
      </c>
      <c r="B56" s="14" t="s">
        <v>12</v>
      </c>
      <c r="C56" s="15" t="str">
        <f>TEXT(Table11[[#This Row],[Date]],"mmmm")</f>
        <v>June</v>
      </c>
      <c r="D56" s="14">
        <v>121</v>
      </c>
      <c r="E56" s="82">
        <f>_xlfn.FORECAST.LINEAR(Table11[[#This Row],[Date]],Table11[Units_Sold],Table11[Date])</f>
        <v>99.140399553598215</v>
      </c>
      <c r="F56" cm="1">
        <f t="array" ref="F56">_xlfn.IFS(Table11[[#This Row],[Vehicle_Type]]="SUV",250,Table11[[#This Row],[Vehicle_Type]]="Sedan",200,Table11[[#This Row],[Vehicle_Type]]="Hatchback",185,Table11[[#This Row],[Vehicle_Type]]="Electric",190,Table11[[#This Row],[Vehicle_Type]]="Truck",150)</f>
        <v>250</v>
      </c>
      <c r="G56">
        <f t="shared" ca="1" si="0"/>
        <v>22</v>
      </c>
      <c r="H56" s="82">
        <f>Table11[[#This Row],[Daily_Production]]-Table11[[#This Row],[Forecasted_Units]]</f>
        <v>150.85960044640177</v>
      </c>
      <c r="I56" cm="1">
        <f t="array" ref="I56">_xlfn.IFS(Table11[[#This Row],[Vehicle_Type]]="SUV",5,Table11[[#This Row],[Vehicle_Type]]="Sedan",7,Table11[[#This Row],[Vehicle_Type]]="Hatchback",10,Table11[[#This Row],[Vehicle_Type]]="Electric",11,Table11[[#This Row],[Vehicle_Type]]="Truck",13)</f>
        <v>5</v>
      </c>
      <c r="J56">
        <f ca="1">Table11[[#This Row],[Daily_Production]]*Table11[[#This Row],[Working_Days]]</f>
        <v>5500</v>
      </c>
      <c r="K56" s="81">
        <f>Table11[[#This Row],[Forecasted_Units]]*0.1</f>
        <v>9.9140399553598222</v>
      </c>
      <c r="L56" s="82">
        <f>Table11[[#This Row],[Adjusted_Forecast]]+Table11[[#This Row],[Safety_Stock]]-Table11[[#This Row],[Inventory_On_Hand]]</f>
        <v>-41.805160937443731</v>
      </c>
      <c r="M56" s="82">
        <f ca="1">MIN(Table11[[#This Row],[Production_Needed]],Table11[[#This Row],[Production_Capacity]])</f>
        <v>-41.805160937443731</v>
      </c>
      <c r="N56" s="82">
        <f ca="1">MAX(Table11[[#This Row],[Production_Needed]]-Table11[[#This Row],[Planned_Production]],0)</f>
        <v>0</v>
      </c>
      <c r="O56" s="82">
        <f ca="1">Table11[[#This Row],[Inventory_On_Hand]]+Table11[[#This Row],[Planned_Production]]-Table11[[#This Row],[Forecasted_Units]]</f>
        <v>9.9140399553598257</v>
      </c>
      <c r="P56" cm="1">
        <f t="array" ref="P56">_xlfn.XLOOKUP(Table11[[#This Row],[Date]] &amp; Table11[[#This Row],[Vehicle_Type]], Table12[Date] &amp; Table12[Vehicle_Type],Table12[Feedback_Adjustment], 0)</f>
        <v>0</v>
      </c>
      <c r="Q56" s="82">
        <f>Table11[[#This Row],[Forecasted_Units]]*(1+Table11[[#This Row],[Adjustment_Percentage]])</f>
        <v>99.140399553598215</v>
      </c>
      <c r="R56" s="82"/>
    </row>
    <row r="57" spans="1:18">
      <c r="A57" s="54">
        <v>43655</v>
      </c>
      <c r="B57" s="15" t="s">
        <v>10</v>
      </c>
      <c r="C57" s="15" t="str">
        <f>TEXT(Table11[[#This Row],[Date]],"mmmm")</f>
        <v>July</v>
      </c>
      <c r="D57" s="15">
        <v>100</v>
      </c>
      <c r="E57" s="82">
        <f>_xlfn.FORECAST.LINEAR(Table11[[#This Row],[Date]],Table11[Units_Sold],Table11[Date])</f>
        <v>99.141563750254988</v>
      </c>
      <c r="F57" cm="1">
        <f t="array" ref="F57">_xlfn.IFS(Table11[[#This Row],[Vehicle_Type]]="SUV",250,Table11[[#This Row],[Vehicle_Type]]="Sedan",200,Table11[[#This Row],[Vehicle_Type]]="Hatchback",185,Table11[[#This Row],[Vehicle_Type]]="Electric",190,Table11[[#This Row],[Vehicle_Type]]="Truck",150)</f>
        <v>200</v>
      </c>
      <c r="G57">
        <f t="shared" ca="1" si="0"/>
        <v>23</v>
      </c>
      <c r="H57" s="82">
        <f>Table11[[#This Row],[Daily_Production]]-Table11[[#This Row],[Forecasted_Units]]</f>
        <v>100.85843624974501</v>
      </c>
      <c r="I57" cm="1">
        <f t="array" ref="I57">_xlfn.IFS(Table11[[#This Row],[Vehicle_Type]]="SUV",5,Table11[[#This Row],[Vehicle_Type]]="Sedan",7,Table11[[#This Row],[Vehicle_Type]]="Hatchback",10,Table11[[#This Row],[Vehicle_Type]]="Electric",11,Table11[[#This Row],[Vehicle_Type]]="Truck",13)</f>
        <v>7</v>
      </c>
      <c r="J57">
        <f ca="1">Table11[[#This Row],[Daily_Production]]*Table11[[#This Row],[Working_Days]]</f>
        <v>4600</v>
      </c>
      <c r="K57" s="81">
        <f>Table11[[#This Row],[Forecasted_Units]]*0.1</f>
        <v>9.9141563750254988</v>
      </c>
      <c r="L57" s="82">
        <f>Table11[[#This Row],[Adjusted_Forecast]]+Table11[[#This Row],[Safety_Stock]]-Table11[[#This Row],[Inventory_On_Hand]]</f>
        <v>8.1972838755354758</v>
      </c>
      <c r="M57" s="82">
        <f ca="1">MIN(Table11[[#This Row],[Production_Needed]],Table11[[#This Row],[Production_Capacity]])</f>
        <v>8.1972838755354758</v>
      </c>
      <c r="N57" s="82">
        <f ca="1">MAX(Table11[[#This Row],[Production_Needed]]-Table11[[#This Row],[Planned_Production]],0)</f>
        <v>0</v>
      </c>
      <c r="O57" s="82">
        <f ca="1">Table11[[#This Row],[Inventory_On_Hand]]+Table11[[#This Row],[Planned_Production]]-Table11[[#This Row],[Forecasted_Units]]</f>
        <v>9.9141563750254988</v>
      </c>
      <c r="P57" cm="1">
        <f t="array" ref="P57">_xlfn.XLOOKUP(Table11[[#This Row],[Date]] &amp; Table11[[#This Row],[Vehicle_Type]], Table12[Date] &amp; Table12[Vehicle_Type],Table12[Feedback_Adjustment], 0)</f>
        <v>0</v>
      </c>
      <c r="Q57" s="82">
        <f>Table11[[#This Row],[Forecasted_Units]]*(1+Table11[[#This Row],[Adjustment_Percentage]])</f>
        <v>99.141563750254988</v>
      </c>
      <c r="R57" s="82"/>
    </row>
    <row r="58" spans="1:18">
      <c r="A58" s="53">
        <v>43685</v>
      </c>
      <c r="B58" s="14" t="s">
        <v>10</v>
      </c>
      <c r="C58" s="15" t="str">
        <f>TEXT(Table11[[#This Row],[Date]],"mmmm")</f>
        <v>August</v>
      </c>
      <c r="D58" s="14">
        <v>96</v>
      </c>
      <c r="E58" s="82">
        <f>_xlfn.FORECAST.LINEAR(Table11[[#This Row],[Date]],Table11[Units_Sold],Table11[Date])</f>
        <v>99.142727946911776</v>
      </c>
      <c r="F58" cm="1">
        <f t="array" ref="F58">_xlfn.IFS(Table11[[#This Row],[Vehicle_Type]]="SUV",250,Table11[[#This Row],[Vehicle_Type]]="Sedan",200,Table11[[#This Row],[Vehicle_Type]]="Hatchback",185,Table11[[#This Row],[Vehicle_Type]]="Electric",190,Table11[[#This Row],[Vehicle_Type]]="Truck",150)</f>
        <v>200</v>
      </c>
      <c r="G58">
        <f t="shared" ca="1" si="0"/>
        <v>25</v>
      </c>
      <c r="H58" s="82">
        <f>Table11[[#This Row],[Daily_Production]]-Table11[[#This Row],[Forecasted_Units]]</f>
        <v>100.85727205308822</v>
      </c>
      <c r="I58" cm="1">
        <f t="array" ref="I58">_xlfn.IFS(Table11[[#This Row],[Vehicle_Type]]="SUV",5,Table11[[#This Row],[Vehicle_Type]]="Sedan",7,Table11[[#This Row],[Vehicle_Type]]="Hatchback",10,Table11[[#This Row],[Vehicle_Type]]="Electric",11,Table11[[#This Row],[Vehicle_Type]]="Truck",13)</f>
        <v>7</v>
      </c>
      <c r="J58">
        <f ca="1">Table11[[#This Row],[Daily_Production]]*Table11[[#This Row],[Working_Days]]</f>
        <v>5000</v>
      </c>
      <c r="K58" s="81">
        <f>Table11[[#This Row],[Forecasted_Units]]*0.1</f>
        <v>9.9142727946911791</v>
      </c>
      <c r="L58" s="82">
        <f>Table11[[#This Row],[Adjusted_Forecast]]+Table11[[#This Row],[Safety_Stock]]-Table11[[#This Row],[Inventory_On_Hand]]</f>
        <v>8.1997286885147389</v>
      </c>
      <c r="M58" s="82">
        <f ca="1">MIN(Table11[[#This Row],[Production_Needed]],Table11[[#This Row],[Production_Capacity]])</f>
        <v>8.1997286885147389</v>
      </c>
      <c r="N58" s="82">
        <f ca="1">MAX(Table11[[#This Row],[Production_Needed]]-Table11[[#This Row],[Planned_Production]],0)</f>
        <v>0</v>
      </c>
      <c r="O58" s="82">
        <f ca="1">Table11[[#This Row],[Inventory_On_Hand]]+Table11[[#This Row],[Planned_Production]]-Table11[[#This Row],[Forecasted_Units]]</f>
        <v>9.9142727946911862</v>
      </c>
      <c r="P58" cm="1">
        <f t="array" ref="P58">_xlfn.XLOOKUP(Table11[[#This Row],[Date]] &amp; Table11[[#This Row],[Vehicle_Type]], Table12[Date] &amp; Table12[Vehicle_Type],Table12[Feedback_Adjustment], 0)</f>
        <v>0</v>
      </c>
      <c r="Q58" s="82">
        <f>Table11[[#This Row],[Forecasted_Units]]*(1+Table11[[#This Row],[Adjustment_Percentage]])</f>
        <v>99.142727946911776</v>
      </c>
      <c r="R58" s="82"/>
    </row>
    <row r="59" spans="1:18">
      <c r="A59" s="54">
        <v>43715</v>
      </c>
      <c r="B59" s="15" t="s">
        <v>12</v>
      </c>
      <c r="C59" s="15" t="str">
        <f>TEXT(Table11[[#This Row],[Date]],"mmmm")</f>
        <v>September</v>
      </c>
      <c r="D59" s="15">
        <v>127</v>
      </c>
      <c r="E59" s="82">
        <f>_xlfn.FORECAST.LINEAR(Table11[[#This Row],[Date]],Table11[Units_Sold],Table11[Date])</f>
        <v>99.143892143568564</v>
      </c>
      <c r="F59" cm="1">
        <f t="array" ref="F59">_xlfn.IFS(Table11[[#This Row],[Vehicle_Type]]="SUV",250,Table11[[#This Row],[Vehicle_Type]]="Sedan",200,Table11[[#This Row],[Vehicle_Type]]="Hatchback",185,Table11[[#This Row],[Vehicle_Type]]="Electric",190,Table11[[#This Row],[Vehicle_Type]]="Truck",150)</f>
        <v>250</v>
      </c>
      <c r="G59">
        <f t="shared" ca="1" si="0"/>
        <v>23</v>
      </c>
      <c r="H59" s="82">
        <f>Table11[[#This Row],[Daily_Production]]-Table11[[#This Row],[Forecasted_Units]]</f>
        <v>150.85610785643144</v>
      </c>
      <c r="I59" cm="1">
        <f t="array" ref="I59">_xlfn.IFS(Table11[[#This Row],[Vehicle_Type]]="SUV",5,Table11[[#This Row],[Vehicle_Type]]="Sedan",7,Table11[[#This Row],[Vehicle_Type]]="Hatchback",10,Table11[[#This Row],[Vehicle_Type]]="Electric",11,Table11[[#This Row],[Vehicle_Type]]="Truck",13)</f>
        <v>5</v>
      </c>
      <c r="J59">
        <f ca="1">Table11[[#This Row],[Daily_Production]]*Table11[[#This Row],[Working_Days]]</f>
        <v>5750</v>
      </c>
      <c r="K59" s="81">
        <f>Table11[[#This Row],[Forecasted_Units]]*0.1</f>
        <v>9.9143892143568575</v>
      </c>
      <c r="L59" s="82">
        <f>Table11[[#This Row],[Adjusted_Forecast]]+Table11[[#This Row],[Safety_Stock]]-Table11[[#This Row],[Inventory_On_Hand]]</f>
        <v>-41.797826498506012</v>
      </c>
      <c r="M59" s="82">
        <f ca="1">MIN(Table11[[#This Row],[Production_Needed]],Table11[[#This Row],[Production_Capacity]])</f>
        <v>-41.797826498506012</v>
      </c>
      <c r="N59" s="82">
        <f ca="1">MAX(Table11[[#This Row],[Production_Needed]]-Table11[[#This Row],[Planned_Production]],0)</f>
        <v>0</v>
      </c>
      <c r="O59" s="82">
        <f ca="1">Table11[[#This Row],[Inventory_On_Hand]]+Table11[[#This Row],[Planned_Production]]-Table11[[#This Row],[Forecasted_Units]]</f>
        <v>9.9143892143568593</v>
      </c>
      <c r="P59" cm="1">
        <f t="array" ref="P59">_xlfn.XLOOKUP(Table11[[#This Row],[Date]] &amp; Table11[[#This Row],[Vehicle_Type]], Table12[Date] &amp; Table12[Vehicle_Type],Table12[Feedback_Adjustment], 0)</f>
        <v>0</v>
      </c>
      <c r="Q59" s="82">
        <f>Table11[[#This Row],[Forecasted_Units]]*(1+Table11[[#This Row],[Adjustment_Percentage]])</f>
        <v>99.143892143568564</v>
      </c>
      <c r="R59" s="82"/>
    </row>
    <row r="60" spans="1:18">
      <c r="A60" s="53">
        <v>43745</v>
      </c>
      <c r="B60" s="14" t="s">
        <v>11</v>
      </c>
      <c r="C60" s="15" t="str">
        <f>TEXT(Table11[[#This Row],[Date]],"mmmm")</f>
        <v>October</v>
      </c>
      <c r="D60" s="14">
        <v>100</v>
      </c>
      <c r="E60" s="82">
        <f>_xlfn.FORECAST.LINEAR(Table11[[#This Row],[Date]],Table11[Units_Sold],Table11[Date])</f>
        <v>99.145056340225352</v>
      </c>
      <c r="F60" cm="1">
        <f t="array" ref="F60">_xlfn.IFS(Table11[[#This Row],[Vehicle_Type]]="SUV",250,Table11[[#This Row],[Vehicle_Type]]="Sedan",200,Table11[[#This Row],[Vehicle_Type]]="Hatchback",185,Table11[[#This Row],[Vehicle_Type]]="Electric",190,Table11[[#This Row],[Vehicle_Type]]="Truck",150)</f>
        <v>185</v>
      </c>
      <c r="G60">
        <f t="shared" ca="1" si="0"/>
        <v>20</v>
      </c>
      <c r="H60" s="82">
        <f>Table11[[#This Row],[Daily_Production]]-Table11[[#This Row],[Forecasted_Units]]</f>
        <v>85.854943659774648</v>
      </c>
      <c r="I60" cm="1">
        <f t="array" ref="I60">_xlfn.IFS(Table11[[#This Row],[Vehicle_Type]]="SUV",5,Table11[[#This Row],[Vehicle_Type]]="Sedan",7,Table11[[#This Row],[Vehicle_Type]]="Hatchback",10,Table11[[#This Row],[Vehicle_Type]]="Electric",11,Table11[[#This Row],[Vehicle_Type]]="Truck",13)</f>
        <v>10</v>
      </c>
      <c r="J60">
        <f ca="1">Table11[[#This Row],[Daily_Production]]*Table11[[#This Row],[Working_Days]]</f>
        <v>3700</v>
      </c>
      <c r="K60" s="81">
        <f>Table11[[#This Row],[Forecasted_Units]]*0.1</f>
        <v>9.9145056340225359</v>
      </c>
      <c r="L60" s="82">
        <f>Table11[[#This Row],[Adjusted_Forecast]]+Table11[[#This Row],[Safety_Stock]]-Table11[[#This Row],[Inventory_On_Hand]]</f>
        <v>23.204618314473237</v>
      </c>
      <c r="M60" s="82">
        <f ca="1">MIN(Table11[[#This Row],[Production_Needed]],Table11[[#This Row],[Production_Capacity]])</f>
        <v>23.204618314473237</v>
      </c>
      <c r="N60" s="82">
        <f ca="1">MAX(Table11[[#This Row],[Production_Needed]]-Table11[[#This Row],[Planned_Production]],0)</f>
        <v>0</v>
      </c>
      <c r="O60" s="82">
        <f ca="1">Table11[[#This Row],[Inventory_On_Hand]]+Table11[[#This Row],[Planned_Production]]-Table11[[#This Row],[Forecasted_Units]]</f>
        <v>9.9145056340225324</v>
      </c>
      <c r="P60" cm="1">
        <f t="array" ref="P60">_xlfn.XLOOKUP(Table11[[#This Row],[Date]] &amp; Table11[[#This Row],[Vehicle_Type]], Table12[Date] &amp; Table12[Vehicle_Type],Table12[Feedback_Adjustment], 0)</f>
        <v>0</v>
      </c>
      <c r="Q60" s="82">
        <f>Table11[[#This Row],[Forecasted_Units]]*(1+Table11[[#This Row],[Adjustment_Percentage]])</f>
        <v>99.145056340225352</v>
      </c>
      <c r="R60" s="82"/>
    </row>
    <row r="61" spans="1:18">
      <c r="A61" s="54">
        <v>43775</v>
      </c>
      <c r="B61" s="15" t="s">
        <v>10</v>
      </c>
      <c r="C61" s="15" t="str">
        <f>TEXT(Table11[[#This Row],[Date]],"mmmm")</f>
        <v>November</v>
      </c>
      <c r="D61" s="15">
        <v>93</v>
      </c>
      <c r="E61" s="82">
        <f>_xlfn.FORECAST.LINEAR(Table11[[#This Row],[Date]],Table11[Units_Sold],Table11[Date])</f>
        <v>99.14622053688214</v>
      </c>
      <c r="F61" cm="1">
        <f t="array" ref="F61">_xlfn.IFS(Table11[[#This Row],[Vehicle_Type]]="SUV",250,Table11[[#This Row],[Vehicle_Type]]="Sedan",200,Table11[[#This Row],[Vehicle_Type]]="Hatchback",185,Table11[[#This Row],[Vehicle_Type]]="Electric",190,Table11[[#This Row],[Vehicle_Type]]="Truck",150)</f>
        <v>200</v>
      </c>
      <c r="G61">
        <f t="shared" ca="1" si="0"/>
        <v>24</v>
      </c>
      <c r="H61" s="82">
        <f>Table11[[#This Row],[Daily_Production]]-Table11[[#This Row],[Forecasted_Units]]</f>
        <v>100.85377946311786</v>
      </c>
      <c r="I61" cm="1">
        <f t="array" ref="I61">_xlfn.IFS(Table11[[#This Row],[Vehicle_Type]]="SUV",5,Table11[[#This Row],[Vehicle_Type]]="Sedan",7,Table11[[#This Row],[Vehicle_Type]]="Hatchback",10,Table11[[#This Row],[Vehicle_Type]]="Electric",11,Table11[[#This Row],[Vehicle_Type]]="Truck",13)</f>
        <v>7</v>
      </c>
      <c r="J61">
        <f ca="1">Table11[[#This Row],[Daily_Production]]*Table11[[#This Row],[Working_Days]]</f>
        <v>4800</v>
      </c>
      <c r="K61" s="81">
        <f>Table11[[#This Row],[Forecasted_Units]]*0.1</f>
        <v>9.9146220536882144</v>
      </c>
      <c r="L61" s="82">
        <f>Table11[[#This Row],[Adjusted_Forecast]]+Table11[[#This Row],[Safety_Stock]]-Table11[[#This Row],[Inventory_On_Hand]]</f>
        <v>8.2070631274524999</v>
      </c>
      <c r="M61" s="82">
        <f ca="1">MIN(Table11[[#This Row],[Production_Needed]],Table11[[#This Row],[Production_Capacity]])</f>
        <v>8.2070631274524999</v>
      </c>
      <c r="N61" s="82">
        <f ca="1">MAX(Table11[[#This Row],[Production_Needed]]-Table11[[#This Row],[Planned_Production]],0)</f>
        <v>0</v>
      </c>
      <c r="O61" s="82">
        <f ca="1">Table11[[#This Row],[Inventory_On_Hand]]+Table11[[#This Row],[Planned_Production]]-Table11[[#This Row],[Forecasted_Units]]</f>
        <v>9.9146220536882197</v>
      </c>
      <c r="P61" cm="1">
        <f t="array" ref="P61">_xlfn.XLOOKUP(Table11[[#This Row],[Date]] &amp; Table11[[#This Row],[Vehicle_Type]], Table12[Date] &amp; Table12[Vehicle_Type],Table12[Feedback_Adjustment], 0)</f>
        <v>0</v>
      </c>
      <c r="Q61" s="82">
        <f>Table11[[#This Row],[Forecasted_Units]]*(1+Table11[[#This Row],[Adjustment_Percentage]])</f>
        <v>99.14622053688214</v>
      </c>
      <c r="R61" s="82"/>
    </row>
    <row r="62" spans="1:18">
      <c r="A62" s="53">
        <v>43805</v>
      </c>
      <c r="B62" s="14" t="s">
        <v>12</v>
      </c>
      <c r="C62" s="15" t="str">
        <f>TEXT(Table11[[#This Row],[Date]],"mmmm")</f>
        <v>December</v>
      </c>
      <c r="D62" s="14">
        <v>103</v>
      </c>
      <c r="E62" s="82">
        <f>_xlfn.FORECAST.LINEAR(Table11[[#This Row],[Date]],Table11[Units_Sold],Table11[Date])</f>
        <v>99.147384733538928</v>
      </c>
      <c r="F62" cm="1">
        <f t="array" ref="F62">_xlfn.IFS(Table11[[#This Row],[Vehicle_Type]]="SUV",250,Table11[[#This Row],[Vehicle_Type]]="Sedan",200,Table11[[#This Row],[Vehicle_Type]]="Hatchback",185,Table11[[#This Row],[Vehicle_Type]]="Electric",190,Table11[[#This Row],[Vehicle_Type]]="Truck",150)</f>
        <v>250</v>
      </c>
      <c r="G62">
        <f t="shared" ca="1" si="0"/>
        <v>25</v>
      </c>
      <c r="H62" s="82">
        <f>Table11[[#This Row],[Daily_Production]]-Table11[[#This Row],[Forecasted_Units]]</f>
        <v>150.85261526646107</v>
      </c>
      <c r="I62" cm="1">
        <f t="array" ref="I62">_xlfn.IFS(Table11[[#This Row],[Vehicle_Type]]="SUV",5,Table11[[#This Row],[Vehicle_Type]]="Sedan",7,Table11[[#This Row],[Vehicle_Type]]="Hatchback",10,Table11[[#This Row],[Vehicle_Type]]="Electric",11,Table11[[#This Row],[Vehicle_Type]]="Truck",13)</f>
        <v>5</v>
      </c>
      <c r="J62">
        <f ca="1">Table11[[#This Row],[Daily_Production]]*Table11[[#This Row],[Working_Days]]</f>
        <v>6250</v>
      </c>
      <c r="K62" s="81">
        <f>Table11[[#This Row],[Forecasted_Units]]*0.1</f>
        <v>9.9147384733538928</v>
      </c>
      <c r="L62" s="82">
        <f>Table11[[#This Row],[Adjusted_Forecast]]+Table11[[#This Row],[Safety_Stock]]-Table11[[#This Row],[Inventory_On_Hand]]</f>
        <v>-41.790492059568251</v>
      </c>
      <c r="M62" s="82">
        <f ca="1">MIN(Table11[[#This Row],[Production_Needed]],Table11[[#This Row],[Production_Capacity]])</f>
        <v>-41.790492059568251</v>
      </c>
      <c r="N62" s="82">
        <f ca="1">MAX(Table11[[#This Row],[Production_Needed]]-Table11[[#This Row],[Planned_Production]],0)</f>
        <v>0</v>
      </c>
      <c r="O62" s="82">
        <f ca="1">Table11[[#This Row],[Inventory_On_Hand]]+Table11[[#This Row],[Planned_Production]]-Table11[[#This Row],[Forecasted_Units]]</f>
        <v>9.9147384733538928</v>
      </c>
      <c r="P62" cm="1">
        <f t="array" ref="P62">_xlfn.XLOOKUP(Table11[[#This Row],[Date]] &amp; Table11[[#This Row],[Vehicle_Type]], Table12[Date] &amp; Table12[Vehicle_Type],Table12[Feedback_Adjustment], 0)</f>
        <v>0</v>
      </c>
      <c r="Q62" s="82">
        <f>Table11[[#This Row],[Forecasted_Units]]*(1+Table11[[#This Row],[Adjustment_Percentage]])</f>
        <v>99.147384733538928</v>
      </c>
      <c r="R62" s="82"/>
    </row>
    <row r="63" spans="1:18">
      <c r="A63" s="54">
        <v>43835</v>
      </c>
      <c r="B63" s="15" t="s">
        <v>10</v>
      </c>
      <c r="C63" s="15" t="str">
        <f>TEXT(Table11[[#This Row],[Date]],"mmmm")</f>
        <v>January</v>
      </c>
      <c r="D63" s="15">
        <v>78</v>
      </c>
      <c r="E63" s="82">
        <f>_xlfn.FORECAST.LINEAR(Table11[[#This Row],[Date]],Table11[Units_Sold],Table11[Date])</f>
        <v>99.148548930195716</v>
      </c>
      <c r="F63" cm="1">
        <f t="array" ref="F63">_xlfn.IFS(Table11[[#This Row],[Vehicle_Type]]="SUV",250,Table11[[#This Row],[Vehicle_Type]]="Sedan",200,Table11[[#This Row],[Vehicle_Type]]="Hatchback",185,Table11[[#This Row],[Vehicle_Type]]="Electric",190,Table11[[#This Row],[Vehicle_Type]]="Truck",150)</f>
        <v>200</v>
      </c>
      <c r="G63">
        <f t="shared" ca="1" si="0"/>
        <v>23</v>
      </c>
      <c r="H63" s="82">
        <f>Table11[[#This Row],[Daily_Production]]-Table11[[#This Row],[Forecasted_Units]]</f>
        <v>100.85145106980428</v>
      </c>
      <c r="I63" cm="1">
        <f t="array" ref="I63">_xlfn.IFS(Table11[[#This Row],[Vehicle_Type]]="SUV",5,Table11[[#This Row],[Vehicle_Type]]="Sedan",7,Table11[[#This Row],[Vehicle_Type]]="Hatchback",10,Table11[[#This Row],[Vehicle_Type]]="Electric",11,Table11[[#This Row],[Vehicle_Type]]="Truck",13)</f>
        <v>7</v>
      </c>
      <c r="J63">
        <f ca="1">Table11[[#This Row],[Daily_Production]]*Table11[[#This Row],[Working_Days]]</f>
        <v>4600</v>
      </c>
      <c r="K63" s="81">
        <f>Table11[[#This Row],[Forecasted_Units]]*0.1</f>
        <v>9.914854893019573</v>
      </c>
      <c r="L63" s="82">
        <f>Table11[[#This Row],[Adjusted_Forecast]]+Table11[[#This Row],[Safety_Stock]]-Table11[[#This Row],[Inventory_On_Hand]]</f>
        <v>8.2119527534109977</v>
      </c>
      <c r="M63" s="82">
        <f ca="1">MIN(Table11[[#This Row],[Production_Needed]],Table11[[#This Row],[Production_Capacity]])</f>
        <v>8.2119527534109977</v>
      </c>
      <c r="N63" s="82">
        <f ca="1">MAX(Table11[[#This Row],[Production_Needed]]-Table11[[#This Row],[Planned_Production]],0)</f>
        <v>0</v>
      </c>
      <c r="O63" s="82">
        <f ca="1">Table11[[#This Row],[Inventory_On_Hand]]+Table11[[#This Row],[Planned_Production]]-Table11[[#This Row],[Forecasted_Units]]</f>
        <v>9.9148548930195659</v>
      </c>
      <c r="P63" cm="1">
        <f t="array" ref="P63">_xlfn.XLOOKUP(Table11[[#This Row],[Date]] &amp; Table11[[#This Row],[Vehicle_Type]], Table12[Date] &amp; Table12[Vehicle_Type],Table12[Feedback_Adjustment], 0)</f>
        <v>0</v>
      </c>
      <c r="Q63" s="82">
        <f>Table11[[#This Row],[Forecasted_Units]]*(1+Table11[[#This Row],[Adjustment_Percentage]])</f>
        <v>99.148548930195716</v>
      </c>
      <c r="R63" s="82"/>
    </row>
    <row r="64" spans="1:18">
      <c r="A64" s="53">
        <v>43865</v>
      </c>
      <c r="B64" s="14" t="s">
        <v>14</v>
      </c>
      <c r="C64" s="15" t="str">
        <f>TEXT(Table11[[#This Row],[Date]],"mmmm")</f>
        <v>February</v>
      </c>
      <c r="D64" s="14">
        <v>116</v>
      </c>
      <c r="E64" s="82">
        <f>_xlfn.FORECAST.LINEAR(Table11[[#This Row],[Date]],Table11[Units_Sold],Table11[Date])</f>
        <v>99.149713126852504</v>
      </c>
      <c r="F64" cm="1">
        <f t="array" ref="F64">_xlfn.IFS(Table11[[#This Row],[Vehicle_Type]]="SUV",250,Table11[[#This Row],[Vehicle_Type]]="Sedan",200,Table11[[#This Row],[Vehicle_Type]]="Hatchback",185,Table11[[#This Row],[Vehicle_Type]]="Electric",190,Table11[[#This Row],[Vehicle_Type]]="Truck",150)</f>
        <v>150</v>
      </c>
      <c r="G64">
        <f t="shared" ca="1" si="0"/>
        <v>21</v>
      </c>
      <c r="H64" s="82">
        <f>Table11[[#This Row],[Daily_Production]]-Table11[[#This Row],[Forecasted_Units]]</f>
        <v>50.850286873147496</v>
      </c>
      <c r="I64" cm="1">
        <f t="array" ref="I64">_xlfn.IFS(Table11[[#This Row],[Vehicle_Type]]="SUV",5,Table11[[#This Row],[Vehicle_Type]]="Sedan",7,Table11[[#This Row],[Vehicle_Type]]="Hatchback",10,Table11[[#This Row],[Vehicle_Type]]="Electric",11,Table11[[#This Row],[Vehicle_Type]]="Truck",13)</f>
        <v>13</v>
      </c>
      <c r="J64">
        <f ca="1">Table11[[#This Row],[Daily_Production]]*Table11[[#This Row],[Working_Days]]</f>
        <v>3150</v>
      </c>
      <c r="K64" s="81">
        <f>Table11[[#This Row],[Forecasted_Units]]*0.1</f>
        <v>9.9149713126852514</v>
      </c>
      <c r="L64" s="82">
        <f>Table11[[#This Row],[Adjusted_Forecast]]+Table11[[#This Row],[Safety_Stock]]-Table11[[#This Row],[Inventory_On_Hand]]</f>
        <v>58.214397566390261</v>
      </c>
      <c r="M64" s="82">
        <f ca="1">MIN(Table11[[#This Row],[Production_Needed]],Table11[[#This Row],[Production_Capacity]])</f>
        <v>58.214397566390261</v>
      </c>
      <c r="N64" s="82">
        <f ca="1">MAX(Table11[[#This Row],[Production_Needed]]-Table11[[#This Row],[Planned_Production]],0)</f>
        <v>0</v>
      </c>
      <c r="O64" s="82">
        <f ca="1">Table11[[#This Row],[Inventory_On_Hand]]+Table11[[#This Row],[Planned_Production]]-Table11[[#This Row],[Forecasted_Units]]</f>
        <v>9.9149713126852532</v>
      </c>
      <c r="P64" cm="1">
        <f t="array" ref="P64">_xlfn.XLOOKUP(Table11[[#This Row],[Date]] &amp; Table11[[#This Row],[Vehicle_Type]], Table12[Date] &amp; Table12[Vehicle_Type],Table12[Feedback_Adjustment], 0)</f>
        <v>0</v>
      </c>
      <c r="Q64" s="82">
        <f>Table11[[#This Row],[Forecasted_Units]]*(1+Table11[[#This Row],[Adjustment_Percentage]])</f>
        <v>99.149713126852504</v>
      </c>
      <c r="R64" s="82"/>
    </row>
    <row r="65" spans="1:18">
      <c r="A65" s="54">
        <v>43895</v>
      </c>
      <c r="B65" s="15" t="s">
        <v>11</v>
      </c>
      <c r="C65" s="15" t="str">
        <f>TEXT(Table11[[#This Row],[Date]],"mmmm")</f>
        <v>March</v>
      </c>
      <c r="D65" s="15">
        <v>88</v>
      </c>
      <c r="E65" s="82">
        <f>_xlfn.FORECAST.LINEAR(Table11[[#This Row],[Date]],Table11[Units_Sold],Table11[Date])</f>
        <v>99.150877323509292</v>
      </c>
      <c r="F65" cm="1">
        <f t="array" ref="F65">_xlfn.IFS(Table11[[#This Row],[Vehicle_Type]]="SUV",250,Table11[[#This Row],[Vehicle_Type]]="Sedan",200,Table11[[#This Row],[Vehicle_Type]]="Hatchback",185,Table11[[#This Row],[Vehicle_Type]]="Electric",190,Table11[[#This Row],[Vehicle_Type]]="Truck",150)</f>
        <v>185</v>
      </c>
      <c r="G65">
        <f t="shared" ca="1" si="0"/>
        <v>22</v>
      </c>
      <c r="H65" s="82">
        <f>Table11[[#This Row],[Daily_Production]]-Table11[[#This Row],[Forecasted_Units]]</f>
        <v>85.849122676490708</v>
      </c>
      <c r="I65" cm="1">
        <f t="array" ref="I65">_xlfn.IFS(Table11[[#This Row],[Vehicle_Type]]="SUV",5,Table11[[#This Row],[Vehicle_Type]]="Sedan",7,Table11[[#This Row],[Vehicle_Type]]="Hatchback",10,Table11[[#This Row],[Vehicle_Type]]="Electric",11,Table11[[#This Row],[Vehicle_Type]]="Truck",13)</f>
        <v>10</v>
      </c>
      <c r="J65">
        <f ca="1">Table11[[#This Row],[Daily_Production]]*Table11[[#This Row],[Working_Days]]</f>
        <v>4070</v>
      </c>
      <c r="K65" s="81">
        <f>Table11[[#This Row],[Forecasted_Units]]*0.1</f>
        <v>9.9150877323509299</v>
      </c>
      <c r="L65" s="82">
        <f>Table11[[#This Row],[Adjusted_Forecast]]+Table11[[#This Row],[Safety_Stock]]-Table11[[#This Row],[Inventory_On_Hand]]</f>
        <v>23.21684237936951</v>
      </c>
      <c r="M65" s="82">
        <f ca="1">MIN(Table11[[#This Row],[Production_Needed]],Table11[[#This Row],[Production_Capacity]])</f>
        <v>23.21684237936951</v>
      </c>
      <c r="N65" s="82">
        <f ca="1">MAX(Table11[[#This Row],[Production_Needed]]-Table11[[#This Row],[Planned_Production]],0)</f>
        <v>0</v>
      </c>
      <c r="O65" s="82">
        <f ca="1">Table11[[#This Row],[Inventory_On_Hand]]+Table11[[#This Row],[Planned_Production]]-Table11[[#This Row],[Forecasted_Units]]</f>
        <v>9.9150877323509263</v>
      </c>
      <c r="P65" cm="1">
        <f t="array" ref="P65">_xlfn.XLOOKUP(Table11[[#This Row],[Date]] &amp; Table11[[#This Row],[Vehicle_Type]], Table12[Date] &amp; Table12[Vehicle_Type],Table12[Feedback_Adjustment], 0)</f>
        <v>0</v>
      </c>
      <c r="Q65" s="82">
        <f>Table11[[#This Row],[Forecasted_Units]]*(1+Table11[[#This Row],[Adjustment_Percentage]])</f>
        <v>99.150877323509292</v>
      </c>
      <c r="R65" s="82"/>
    </row>
    <row r="66" spans="1:18">
      <c r="A66" s="53">
        <v>43925</v>
      </c>
      <c r="B66" s="14" t="s">
        <v>14</v>
      </c>
      <c r="C66" s="15" t="str">
        <f>TEXT(Table11[[#This Row],[Date]],"mmmm")</f>
        <v>April</v>
      </c>
      <c r="D66" s="14">
        <v>105</v>
      </c>
      <c r="E66" s="82">
        <f>_xlfn.FORECAST.LINEAR(Table11[[#This Row],[Date]],Table11[Units_Sold],Table11[Date])</f>
        <v>99.15204152016608</v>
      </c>
      <c r="F66" cm="1">
        <f t="array" ref="F66">_xlfn.IFS(Table11[[#This Row],[Vehicle_Type]]="SUV",250,Table11[[#This Row],[Vehicle_Type]]="Sedan",200,Table11[[#This Row],[Vehicle_Type]]="Hatchback",185,Table11[[#This Row],[Vehicle_Type]]="Electric",190,Table11[[#This Row],[Vehicle_Type]]="Truck",150)</f>
        <v>150</v>
      </c>
      <c r="G66">
        <f t="shared" ref="G66:G129" ca="1" si="1">RANDBETWEEN(20,25)</f>
        <v>23</v>
      </c>
      <c r="H66" s="82">
        <f>Table11[[#This Row],[Daily_Production]]-Table11[[#This Row],[Forecasted_Units]]</f>
        <v>50.84795847983392</v>
      </c>
      <c r="I66" cm="1">
        <f t="array" ref="I66">_xlfn.IFS(Table11[[#This Row],[Vehicle_Type]]="SUV",5,Table11[[#This Row],[Vehicle_Type]]="Sedan",7,Table11[[#This Row],[Vehicle_Type]]="Hatchback",10,Table11[[#This Row],[Vehicle_Type]]="Electric",11,Table11[[#This Row],[Vehicle_Type]]="Truck",13)</f>
        <v>13</v>
      </c>
      <c r="J66">
        <f ca="1">Table11[[#This Row],[Daily_Production]]*Table11[[#This Row],[Working_Days]]</f>
        <v>3450</v>
      </c>
      <c r="K66" s="81">
        <f>Table11[[#This Row],[Forecasted_Units]]*0.1</f>
        <v>9.9152041520166083</v>
      </c>
      <c r="L66" s="82">
        <f>Table11[[#This Row],[Adjusted_Forecast]]+Table11[[#This Row],[Safety_Stock]]-Table11[[#This Row],[Inventory_On_Hand]]</f>
        <v>58.219287192348773</v>
      </c>
      <c r="M66" s="82">
        <f ca="1">MIN(Table11[[#This Row],[Production_Needed]],Table11[[#This Row],[Production_Capacity]])</f>
        <v>58.219287192348773</v>
      </c>
      <c r="N66" s="82">
        <f ca="1">MAX(Table11[[#This Row],[Production_Needed]]-Table11[[#This Row],[Planned_Production]],0)</f>
        <v>0</v>
      </c>
      <c r="O66" s="82">
        <f ca="1">Table11[[#This Row],[Inventory_On_Hand]]+Table11[[#This Row],[Planned_Production]]-Table11[[#This Row],[Forecasted_Units]]</f>
        <v>9.9152041520166136</v>
      </c>
      <c r="P66" cm="1">
        <f t="array" ref="P66">_xlfn.XLOOKUP(Table11[[#This Row],[Date]] &amp; Table11[[#This Row],[Vehicle_Type]], Table12[Date] &amp; Table12[Vehicle_Type],Table12[Feedback_Adjustment], 0)</f>
        <v>0</v>
      </c>
      <c r="Q66" s="82">
        <f>Table11[[#This Row],[Forecasted_Units]]*(1+Table11[[#This Row],[Adjustment_Percentage]])</f>
        <v>99.15204152016608</v>
      </c>
      <c r="R66" s="82"/>
    </row>
    <row r="67" spans="1:18">
      <c r="A67" s="54">
        <v>43955</v>
      </c>
      <c r="B67" s="15" t="s">
        <v>11</v>
      </c>
      <c r="C67" s="15" t="str">
        <f>TEXT(Table11[[#This Row],[Date]],"mmmm")</f>
        <v>May</v>
      </c>
      <c r="D67" s="15">
        <v>92</v>
      </c>
      <c r="E67" s="82">
        <f>_xlfn.FORECAST.LINEAR(Table11[[#This Row],[Date]],Table11[Units_Sold],Table11[Date])</f>
        <v>99.153205716822868</v>
      </c>
      <c r="F67" cm="1">
        <f t="array" ref="F67">_xlfn.IFS(Table11[[#This Row],[Vehicle_Type]]="SUV",250,Table11[[#This Row],[Vehicle_Type]]="Sedan",200,Table11[[#This Row],[Vehicle_Type]]="Hatchback",185,Table11[[#This Row],[Vehicle_Type]]="Electric",190,Table11[[#This Row],[Vehicle_Type]]="Truck",150)</f>
        <v>185</v>
      </c>
      <c r="G67">
        <f t="shared" ca="1" si="1"/>
        <v>22</v>
      </c>
      <c r="H67" s="82">
        <f>Table11[[#This Row],[Daily_Production]]-Table11[[#This Row],[Forecasted_Units]]</f>
        <v>85.846794283177132</v>
      </c>
      <c r="I67" cm="1">
        <f t="array" ref="I67">_xlfn.IFS(Table11[[#This Row],[Vehicle_Type]]="SUV",5,Table11[[#This Row],[Vehicle_Type]]="Sedan",7,Table11[[#This Row],[Vehicle_Type]]="Hatchback",10,Table11[[#This Row],[Vehicle_Type]]="Electric",11,Table11[[#This Row],[Vehicle_Type]]="Truck",13)</f>
        <v>10</v>
      </c>
      <c r="J67">
        <f ca="1">Table11[[#This Row],[Daily_Production]]*Table11[[#This Row],[Working_Days]]</f>
        <v>4070</v>
      </c>
      <c r="K67" s="81">
        <f>Table11[[#This Row],[Forecasted_Units]]*0.1</f>
        <v>9.9153205716822868</v>
      </c>
      <c r="L67" s="82">
        <f>Table11[[#This Row],[Adjusted_Forecast]]+Table11[[#This Row],[Safety_Stock]]-Table11[[#This Row],[Inventory_On_Hand]]</f>
        <v>23.221732005328022</v>
      </c>
      <c r="M67" s="82">
        <f ca="1">MIN(Table11[[#This Row],[Production_Needed]],Table11[[#This Row],[Production_Capacity]])</f>
        <v>23.221732005328022</v>
      </c>
      <c r="N67" s="82">
        <f ca="1">MAX(Table11[[#This Row],[Production_Needed]]-Table11[[#This Row],[Planned_Production]],0)</f>
        <v>0</v>
      </c>
      <c r="O67" s="82">
        <f ca="1">Table11[[#This Row],[Inventory_On_Hand]]+Table11[[#This Row],[Planned_Production]]-Table11[[#This Row],[Forecasted_Units]]</f>
        <v>9.9153205716822868</v>
      </c>
      <c r="P67" cm="1">
        <f t="array" ref="P67">_xlfn.XLOOKUP(Table11[[#This Row],[Date]] &amp; Table11[[#This Row],[Vehicle_Type]], Table12[Date] &amp; Table12[Vehicle_Type],Table12[Feedback_Adjustment], 0)</f>
        <v>0</v>
      </c>
      <c r="Q67" s="82">
        <f>Table11[[#This Row],[Forecasted_Units]]*(1+Table11[[#This Row],[Adjustment_Percentage]])</f>
        <v>99.153205716822868</v>
      </c>
      <c r="R67" s="82"/>
    </row>
    <row r="68" spans="1:18">
      <c r="A68" s="53">
        <v>43985</v>
      </c>
      <c r="B68" s="14" t="s">
        <v>12</v>
      </c>
      <c r="C68" s="15" t="str">
        <f>TEXT(Table11[[#This Row],[Date]],"mmmm")</f>
        <v>June</v>
      </c>
      <c r="D68" s="14">
        <v>96</v>
      </c>
      <c r="E68" s="82">
        <f>_xlfn.FORECAST.LINEAR(Table11[[#This Row],[Date]],Table11[Units_Sold],Table11[Date])</f>
        <v>99.154369913479641</v>
      </c>
      <c r="F68" cm="1">
        <f t="array" ref="F68">_xlfn.IFS(Table11[[#This Row],[Vehicle_Type]]="SUV",250,Table11[[#This Row],[Vehicle_Type]]="Sedan",200,Table11[[#This Row],[Vehicle_Type]]="Hatchback",185,Table11[[#This Row],[Vehicle_Type]]="Electric",190,Table11[[#This Row],[Vehicle_Type]]="Truck",150)</f>
        <v>250</v>
      </c>
      <c r="G68">
        <f t="shared" ca="1" si="1"/>
        <v>20</v>
      </c>
      <c r="H68" s="82">
        <f>Table11[[#This Row],[Daily_Production]]-Table11[[#This Row],[Forecasted_Units]]</f>
        <v>150.84563008652037</v>
      </c>
      <c r="I68" cm="1">
        <f t="array" ref="I68">_xlfn.IFS(Table11[[#This Row],[Vehicle_Type]]="SUV",5,Table11[[#This Row],[Vehicle_Type]]="Sedan",7,Table11[[#This Row],[Vehicle_Type]]="Hatchback",10,Table11[[#This Row],[Vehicle_Type]]="Electric",11,Table11[[#This Row],[Vehicle_Type]]="Truck",13)</f>
        <v>5</v>
      </c>
      <c r="J68">
        <f ca="1">Table11[[#This Row],[Daily_Production]]*Table11[[#This Row],[Working_Days]]</f>
        <v>5000</v>
      </c>
      <c r="K68" s="81">
        <f>Table11[[#This Row],[Forecasted_Units]]*0.1</f>
        <v>9.9154369913479652</v>
      </c>
      <c r="L68" s="82">
        <f>Table11[[#This Row],[Adjusted_Forecast]]+Table11[[#This Row],[Safety_Stock]]-Table11[[#This Row],[Inventory_On_Hand]]</f>
        <v>-41.775823181692772</v>
      </c>
      <c r="M68" s="82">
        <f ca="1">MIN(Table11[[#This Row],[Production_Needed]],Table11[[#This Row],[Production_Capacity]])</f>
        <v>-41.775823181692772</v>
      </c>
      <c r="N68" s="82">
        <f ca="1">MAX(Table11[[#This Row],[Production_Needed]]-Table11[[#This Row],[Planned_Production]],0)</f>
        <v>0</v>
      </c>
      <c r="O68" s="82">
        <f ca="1">Table11[[#This Row],[Inventory_On_Hand]]+Table11[[#This Row],[Planned_Production]]-Table11[[#This Row],[Forecasted_Units]]</f>
        <v>9.9154369913479599</v>
      </c>
      <c r="P68" cm="1">
        <f t="array" ref="P68">_xlfn.XLOOKUP(Table11[[#This Row],[Date]] &amp; Table11[[#This Row],[Vehicle_Type]], Table12[Date] &amp; Table12[Vehicle_Type],Table12[Feedback_Adjustment], 0)</f>
        <v>0</v>
      </c>
      <c r="Q68" s="82">
        <f>Table11[[#This Row],[Forecasted_Units]]*(1+Table11[[#This Row],[Adjustment_Percentage]])</f>
        <v>99.154369913479641</v>
      </c>
      <c r="R68" s="82"/>
    </row>
    <row r="69" spans="1:18">
      <c r="A69" s="54">
        <v>44015</v>
      </c>
      <c r="B69" s="15" t="s">
        <v>11</v>
      </c>
      <c r="C69" s="15" t="str">
        <f>TEXT(Table11[[#This Row],[Date]],"mmmm")</f>
        <v>July</v>
      </c>
      <c r="D69" s="15">
        <v>104</v>
      </c>
      <c r="E69" s="82">
        <f>_xlfn.FORECAST.LINEAR(Table11[[#This Row],[Date]],Table11[Units_Sold],Table11[Date])</f>
        <v>99.155534110136429</v>
      </c>
      <c r="F69" cm="1">
        <f t="array" ref="F69">_xlfn.IFS(Table11[[#This Row],[Vehicle_Type]]="SUV",250,Table11[[#This Row],[Vehicle_Type]]="Sedan",200,Table11[[#This Row],[Vehicle_Type]]="Hatchback",185,Table11[[#This Row],[Vehicle_Type]]="Electric",190,Table11[[#This Row],[Vehicle_Type]]="Truck",150)</f>
        <v>185</v>
      </c>
      <c r="G69">
        <f t="shared" ca="1" si="1"/>
        <v>23</v>
      </c>
      <c r="H69" s="82">
        <f>Table11[[#This Row],[Daily_Production]]-Table11[[#This Row],[Forecasted_Units]]</f>
        <v>85.844465889863571</v>
      </c>
      <c r="I69" cm="1">
        <f t="array" ref="I69">_xlfn.IFS(Table11[[#This Row],[Vehicle_Type]]="SUV",5,Table11[[#This Row],[Vehicle_Type]]="Sedan",7,Table11[[#This Row],[Vehicle_Type]]="Hatchback",10,Table11[[#This Row],[Vehicle_Type]]="Electric",11,Table11[[#This Row],[Vehicle_Type]]="Truck",13)</f>
        <v>10</v>
      </c>
      <c r="J69">
        <f ca="1">Table11[[#This Row],[Daily_Production]]*Table11[[#This Row],[Working_Days]]</f>
        <v>4255</v>
      </c>
      <c r="K69" s="81">
        <f>Table11[[#This Row],[Forecasted_Units]]*0.1</f>
        <v>9.9155534110136436</v>
      </c>
      <c r="L69" s="82">
        <f>Table11[[#This Row],[Adjusted_Forecast]]+Table11[[#This Row],[Safety_Stock]]-Table11[[#This Row],[Inventory_On_Hand]]</f>
        <v>23.226621631286505</v>
      </c>
      <c r="M69" s="82">
        <f ca="1">MIN(Table11[[#This Row],[Production_Needed]],Table11[[#This Row],[Production_Capacity]])</f>
        <v>23.226621631286505</v>
      </c>
      <c r="N69" s="82">
        <f ca="1">MAX(Table11[[#This Row],[Production_Needed]]-Table11[[#This Row],[Planned_Production]],0)</f>
        <v>0</v>
      </c>
      <c r="O69" s="82">
        <f ca="1">Table11[[#This Row],[Inventory_On_Hand]]+Table11[[#This Row],[Planned_Production]]-Table11[[#This Row],[Forecasted_Units]]</f>
        <v>9.9155534110136472</v>
      </c>
      <c r="P69" cm="1">
        <f t="array" ref="P69">_xlfn.XLOOKUP(Table11[[#This Row],[Date]] &amp; Table11[[#This Row],[Vehicle_Type]], Table12[Date] &amp; Table12[Vehicle_Type],Table12[Feedback_Adjustment], 0)</f>
        <v>0</v>
      </c>
      <c r="Q69" s="82">
        <f>Table11[[#This Row],[Forecasted_Units]]*(1+Table11[[#This Row],[Adjustment_Percentage]])</f>
        <v>99.155534110136429</v>
      </c>
      <c r="R69" s="82"/>
    </row>
    <row r="70" spans="1:18">
      <c r="A70" s="53">
        <v>44045</v>
      </c>
      <c r="B70" s="14" t="s">
        <v>11</v>
      </c>
      <c r="C70" s="15" t="str">
        <f>TEXT(Table11[[#This Row],[Date]],"mmmm")</f>
        <v>August</v>
      </c>
      <c r="D70" s="14">
        <v>84</v>
      </c>
      <c r="E70" s="82">
        <f>_xlfn.FORECAST.LINEAR(Table11[[#This Row],[Date]],Table11[Units_Sold],Table11[Date])</f>
        <v>99.156698306793217</v>
      </c>
      <c r="F70" cm="1">
        <f t="array" ref="F70">_xlfn.IFS(Table11[[#This Row],[Vehicle_Type]]="SUV",250,Table11[[#This Row],[Vehicle_Type]]="Sedan",200,Table11[[#This Row],[Vehicle_Type]]="Hatchback",185,Table11[[#This Row],[Vehicle_Type]]="Electric",190,Table11[[#This Row],[Vehicle_Type]]="Truck",150)</f>
        <v>185</v>
      </c>
      <c r="G70">
        <f t="shared" ca="1" si="1"/>
        <v>20</v>
      </c>
      <c r="H70" s="82">
        <f>Table11[[#This Row],[Daily_Production]]-Table11[[#This Row],[Forecasted_Units]]</f>
        <v>85.843301693206783</v>
      </c>
      <c r="I70" cm="1">
        <f t="array" ref="I70">_xlfn.IFS(Table11[[#This Row],[Vehicle_Type]]="SUV",5,Table11[[#This Row],[Vehicle_Type]]="Sedan",7,Table11[[#This Row],[Vehicle_Type]]="Hatchback",10,Table11[[#This Row],[Vehicle_Type]]="Electric",11,Table11[[#This Row],[Vehicle_Type]]="Truck",13)</f>
        <v>10</v>
      </c>
      <c r="J70">
        <f ca="1">Table11[[#This Row],[Daily_Production]]*Table11[[#This Row],[Working_Days]]</f>
        <v>3700</v>
      </c>
      <c r="K70" s="81">
        <f>Table11[[#This Row],[Forecasted_Units]]*0.1</f>
        <v>9.9156698306793221</v>
      </c>
      <c r="L70" s="82">
        <f>Table11[[#This Row],[Adjusted_Forecast]]+Table11[[#This Row],[Safety_Stock]]-Table11[[#This Row],[Inventory_On_Hand]]</f>
        <v>23.229066444265754</v>
      </c>
      <c r="M70" s="82">
        <f ca="1">MIN(Table11[[#This Row],[Production_Needed]],Table11[[#This Row],[Production_Capacity]])</f>
        <v>23.229066444265754</v>
      </c>
      <c r="N70" s="82">
        <f ca="1">MAX(Table11[[#This Row],[Production_Needed]]-Table11[[#This Row],[Planned_Production]],0)</f>
        <v>0</v>
      </c>
      <c r="O70" s="82">
        <f ca="1">Table11[[#This Row],[Inventory_On_Hand]]+Table11[[#This Row],[Planned_Production]]-Table11[[#This Row],[Forecasted_Units]]</f>
        <v>9.9156698306793203</v>
      </c>
      <c r="P70" cm="1">
        <f t="array" ref="P70">_xlfn.XLOOKUP(Table11[[#This Row],[Date]] &amp; Table11[[#This Row],[Vehicle_Type]], Table12[Date] &amp; Table12[Vehicle_Type],Table12[Feedback_Adjustment], 0)</f>
        <v>0</v>
      </c>
      <c r="Q70" s="82">
        <f>Table11[[#This Row],[Forecasted_Units]]*(1+Table11[[#This Row],[Adjustment_Percentage]])</f>
        <v>99.156698306793217</v>
      </c>
      <c r="R70" s="82"/>
    </row>
    <row r="71" spans="1:18">
      <c r="A71" s="54">
        <v>44075</v>
      </c>
      <c r="B71" s="15" t="s">
        <v>12</v>
      </c>
      <c r="C71" s="15" t="str">
        <f>TEXT(Table11[[#This Row],[Date]],"mmmm")</f>
        <v>September</v>
      </c>
      <c r="D71" s="15">
        <v>95</v>
      </c>
      <c r="E71" s="82">
        <f>_xlfn.FORECAST.LINEAR(Table11[[#This Row],[Date]],Table11[Units_Sold],Table11[Date])</f>
        <v>99.157862503450005</v>
      </c>
      <c r="F71" cm="1">
        <f t="array" ref="F71">_xlfn.IFS(Table11[[#This Row],[Vehicle_Type]]="SUV",250,Table11[[#This Row],[Vehicle_Type]]="Sedan",200,Table11[[#This Row],[Vehicle_Type]]="Hatchback",185,Table11[[#This Row],[Vehicle_Type]]="Electric",190,Table11[[#This Row],[Vehicle_Type]]="Truck",150)</f>
        <v>250</v>
      </c>
      <c r="G71">
        <f t="shared" ca="1" si="1"/>
        <v>20</v>
      </c>
      <c r="H71" s="82">
        <f>Table11[[#This Row],[Daily_Production]]-Table11[[#This Row],[Forecasted_Units]]</f>
        <v>150.84213749654998</v>
      </c>
      <c r="I71" cm="1">
        <f t="array" ref="I71">_xlfn.IFS(Table11[[#This Row],[Vehicle_Type]]="SUV",5,Table11[[#This Row],[Vehicle_Type]]="Sedan",7,Table11[[#This Row],[Vehicle_Type]]="Hatchback",10,Table11[[#This Row],[Vehicle_Type]]="Electric",11,Table11[[#This Row],[Vehicle_Type]]="Truck",13)</f>
        <v>5</v>
      </c>
      <c r="J71">
        <f ca="1">Table11[[#This Row],[Daily_Production]]*Table11[[#This Row],[Working_Days]]</f>
        <v>5000</v>
      </c>
      <c r="K71" s="81">
        <f>Table11[[#This Row],[Forecasted_Units]]*0.1</f>
        <v>9.9157862503450005</v>
      </c>
      <c r="L71" s="82">
        <f>Table11[[#This Row],[Adjusted_Forecast]]+Table11[[#This Row],[Safety_Stock]]-Table11[[#This Row],[Inventory_On_Hand]]</f>
        <v>-41.768488742754982</v>
      </c>
      <c r="M71" s="82">
        <f ca="1">MIN(Table11[[#This Row],[Production_Needed]],Table11[[#This Row],[Production_Capacity]])</f>
        <v>-41.768488742754982</v>
      </c>
      <c r="N71" s="82">
        <f ca="1">MAX(Table11[[#This Row],[Production_Needed]]-Table11[[#This Row],[Planned_Production]],0)</f>
        <v>0</v>
      </c>
      <c r="O71" s="82">
        <f ca="1">Table11[[#This Row],[Inventory_On_Hand]]+Table11[[#This Row],[Planned_Production]]-Table11[[#This Row],[Forecasted_Units]]</f>
        <v>9.9157862503449934</v>
      </c>
      <c r="P71" cm="1">
        <f t="array" ref="P71">_xlfn.XLOOKUP(Table11[[#This Row],[Date]] &amp; Table11[[#This Row],[Vehicle_Type]], Table12[Date] &amp; Table12[Vehicle_Type],Table12[Feedback_Adjustment], 0)</f>
        <v>0</v>
      </c>
      <c r="Q71" s="82">
        <f>Table11[[#This Row],[Forecasted_Units]]*(1+Table11[[#This Row],[Adjustment_Percentage]])</f>
        <v>99.157862503450005</v>
      </c>
      <c r="R71" s="82"/>
    </row>
    <row r="72" spans="1:18">
      <c r="A72" s="53">
        <v>44105</v>
      </c>
      <c r="B72" s="14" t="s">
        <v>11</v>
      </c>
      <c r="C72" s="15" t="str">
        <f>TEXT(Table11[[#This Row],[Date]],"mmmm")</f>
        <v>October</v>
      </c>
      <c r="D72" s="14">
        <v>105</v>
      </c>
      <c r="E72" s="82">
        <f>_xlfn.FORECAST.LINEAR(Table11[[#This Row],[Date]],Table11[Units_Sold],Table11[Date])</f>
        <v>99.159026700106793</v>
      </c>
      <c r="F72" cm="1">
        <f t="array" ref="F72">_xlfn.IFS(Table11[[#This Row],[Vehicle_Type]]="SUV",250,Table11[[#This Row],[Vehicle_Type]]="Sedan",200,Table11[[#This Row],[Vehicle_Type]]="Hatchback",185,Table11[[#This Row],[Vehicle_Type]]="Electric",190,Table11[[#This Row],[Vehicle_Type]]="Truck",150)</f>
        <v>185</v>
      </c>
      <c r="G72">
        <f t="shared" ca="1" si="1"/>
        <v>22</v>
      </c>
      <c r="H72" s="82">
        <f>Table11[[#This Row],[Daily_Production]]-Table11[[#This Row],[Forecasted_Units]]</f>
        <v>85.840973299893207</v>
      </c>
      <c r="I72" cm="1">
        <f t="array" ref="I72">_xlfn.IFS(Table11[[#This Row],[Vehicle_Type]]="SUV",5,Table11[[#This Row],[Vehicle_Type]]="Sedan",7,Table11[[#This Row],[Vehicle_Type]]="Hatchback",10,Table11[[#This Row],[Vehicle_Type]]="Electric",11,Table11[[#This Row],[Vehicle_Type]]="Truck",13)</f>
        <v>10</v>
      </c>
      <c r="J72">
        <f ca="1">Table11[[#This Row],[Daily_Production]]*Table11[[#This Row],[Working_Days]]</f>
        <v>4070</v>
      </c>
      <c r="K72" s="81">
        <f>Table11[[#This Row],[Forecasted_Units]]*0.1</f>
        <v>9.9159026700106807</v>
      </c>
      <c r="L72" s="82">
        <f>Table11[[#This Row],[Adjusted_Forecast]]+Table11[[#This Row],[Safety_Stock]]-Table11[[#This Row],[Inventory_On_Hand]]</f>
        <v>23.233956070224266</v>
      </c>
      <c r="M72" s="82">
        <f ca="1">MIN(Table11[[#This Row],[Production_Needed]],Table11[[#This Row],[Production_Capacity]])</f>
        <v>23.233956070224266</v>
      </c>
      <c r="N72" s="82">
        <f ca="1">MAX(Table11[[#This Row],[Production_Needed]]-Table11[[#This Row],[Planned_Production]],0)</f>
        <v>0</v>
      </c>
      <c r="O72" s="82">
        <f ca="1">Table11[[#This Row],[Inventory_On_Hand]]+Table11[[#This Row],[Planned_Production]]-Table11[[#This Row],[Forecasted_Units]]</f>
        <v>9.9159026700106807</v>
      </c>
      <c r="P72" cm="1">
        <f t="array" ref="P72">_xlfn.XLOOKUP(Table11[[#This Row],[Date]] &amp; Table11[[#This Row],[Vehicle_Type]], Table12[Date] &amp; Table12[Vehicle_Type],Table12[Feedback_Adjustment], 0)</f>
        <v>0</v>
      </c>
      <c r="Q72" s="82">
        <f>Table11[[#This Row],[Forecasted_Units]]*(1+Table11[[#This Row],[Adjustment_Percentage]])</f>
        <v>99.159026700106793</v>
      </c>
      <c r="R72" s="82"/>
    </row>
    <row r="73" spans="1:18">
      <c r="A73" s="54">
        <v>44135</v>
      </c>
      <c r="B73" s="15" t="s">
        <v>10</v>
      </c>
      <c r="C73" s="15" t="str">
        <f>TEXT(Table11[[#This Row],[Date]],"mmmm")</f>
        <v>October</v>
      </c>
      <c r="D73" s="15">
        <v>100</v>
      </c>
      <c r="E73" s="82">
        <f>_xlfn.FORECAST.LINEAR(Table11[[#This Row],[Date]],Table11[Units_Sold],Table11[Date])</f>
        <v>99.160190896763581</v>
      </c>
      <c r="F73" cm="1">
        <f t="array" ref="F73">_xlfn.IFS(Table11[[#This Row],[Vehicle_Type]]="SUV",250,Table11[[#This Row],[Vehicle_Type]]="Sedan",200,Table11[[#This Row],[Vehicle_Type]]="Hatchback",185,Table11[[#This Row],[Vehicle_Type]]="Electric",190,Table11[[#This Row],[Vehicle_Type]]="Truck",150)</f>
        <v>200</v>
      </c>
      <c r="G73">
        <f t="shared" ca="1" si="1"/>
        <v>23</v>
      </c>
      <c r="H73" s="82">
        <f>Table11[[#This Row],[Daily_Production]]-Table11[[#This Row],[Forecasted_Units]]</f>
        <v>100.83980910323642</v>
      </c>
      <c r="I73" cm="1">
        <f t="array" ref="I73">_xlfn.IFS(Table11[[#This Row],[Vehicle_Type]]="SUV",5,Table11[[#This Row],[Vehicle_Type]]="Sedan",7,Table11[[#This Row],[Vehicle_Type]]="Hatchback",10,Table11[[#This Row],[Vehicle_Type]]="Electric",11,Table11[[#This Row],[Vehicle_Type]]="Truck",13)</f>
        <v>7</v>
      </c>
      <c r="J73">
        <f ca="1">Table11[[#This Row],[Daily_Production]]*Table11[[#This Row],[Working_Days]]</f>
        <v>4600</v>
      </c>
      <c r="K73" s="81">
        <f>Table11[[#This Row],[Forecasted_Units]]*0.1</f>
        <v>9.9160190896763591</v>
      </c>
      <c r="L73" s="82">
        <f>Table11[[#This Row],[Adjusted_Forecast]]+Table11[[#This Row],[Safety_Stock]]-Table11[[#This Row],[Inventory_On_Hand]]</f>
        <v>8.2364008832035154</v>
      </c>
      <c r="M73" s="82">
        <f ca="1">MIN(Table11[[#This Row],[Production_Needed]],Table11[[#This Row],[Production_Capacity]])</f>
        <v>8.2364008832035154</v>
      </c>
      <c r="N73" s="82">
        <f ca="1">MAX(Table11[[#This Row],[Production_Needed]]-Table11[[#This Row],[Planned_Production]],0)</f>
        <v>0</v>
      </c>
      <c r="O73" s="82">
        <f ca="1">Table11[[#This Row],[Inventory_On_Hand]]+Table11[[#This Row],[Planned_Production]]-Table11[[#This Row],[Forecasted_Units]]</f>
        <v>9.9160190896763538</v>
      </c>
      <c r="P73" cm="1">
        <f t="array" ref="P73">_xlfn.XLOOKUP(Table11[[#This Row],[Date]] &amp; Table11[[#This Row],[Vehicle_Type]], Table12[Date] &amp; Table12[Vehicle_Type],Table12[Feedback_Adjustment], 0)</f>
        <v>0</v>
      </c>
      <c r="Q73" s="82">
        <f>Table11[[#This Row],[Forecasted_Units]]*(1+Table11[[#This Row],[Adjustment_Percentage]])</f>
        <v>99.160190896763581</v>
      </c>
      <c r="R73" s="82"/>
    </row>
    <row r="74" spans="1:18">
      <c r="A74" s="53">
        <v>44165</v>
      </c>
      <c r="B74" s="14" t="s">
        <v>13</v>
      </c>
      <c r="C74" s="15" t="str">
        <f>TEXT(Table11[[#This Row],[Date]],"mmmm")</f>
        <v>November</v>
      </c>
      <c r="D74" s="14">
        <v>104</v>
      </c>
      <c r="E74" s="82">
        <f>_xlfn.FORECAST.LINEAR(Table11[[#This Row],[Date]],Table11[Units_Sold],Table11[Date])</f>
        <v>99.161355093420369</v>
      </c>
      <c r="F74" cm="1">
        <f t="array" ref="F74">_xlfn.IFS(Table11[[#This Row],[Vehicle_Type]]="SUV",250,Table11[[#This Row],[Vehicle_Type]]="Sedan",200,Table11[[#This Row],[Vehicle_Type]]="Hatchback",185,Table11[[#This Row],[Vehicle_Type]]="Electric",190,Table11[[#This Row],[Vehicle_Type]]="Truck",150)</f>
        <v>190</v>
      </c>
      <c r="G74">
        <f t="shared" ca="1" si="1"/>
        <v>20</v>
      </c>
      <c r="H74" s="82">
        <f>Table11[[#This Row],[Daily_Production]]-Table11[[#This Row],[Forecasted_Units]]</f>
        <v>90.838644906579631</v>
      </c>
      <c r="I74" cm="1">
        <f t="array" ref="I74">_xlfn.IFS(Table11[[#This Row],[Vehicle_Type]]="SUV",5,Table11[[#This Row],[Vehicle_Type]]="Sedan",7,Table11[[#This Row],[Vehicle_Type]]="Hatchback",10,Table11[[#This Row],[Vehicle_Type]]="Electric",11,Table11[[#This Row],[Vehicle_Type]]="Truck",13)</f>
        <v>11</v>
      </c>
      <c r="J74">
        <f ca="1">Table11[[#This Row],[Daily_Production]]*Table11[[#This Row],[Working_Days]]</f>
        <v>3800</v>
      </c>
      <c r="K74" s="81">
        <f>Table11[[#This Row],[Forecasted_Units]]*0.1</f>
        <v>9.9161355093420376</v>
      </c>
      <c r="L74" s="82">
        <f>Table11[[#This Row],[Adjusted_Forecast]]+Table11[[#This Row],[Safety_Stock]]-Table11[[#This Row],[Inventory_On_Hand]]</f>
        <v>18.238845696182779</v>
      </c>
      <c r="M74" s="82">
        <f ca="1">MIN(Table11[[#This Row],[Production_Needed]],Table11[[#This Row],[Production_Capacity]])</f>
        <v>18.238845696182779</v>
      </c>
      <c r="N74" s="82">
        <f ca="1">MAX(Table11[[#This Row],[Production_Needed]]-Table11[[#This Row],[Planned_Production]],0)</f>
        <v>0</v>
      </c>
      <c r="O74" s="82">
        <f ca="1">Table11[[#This Row],[Inventory_On_Hand]]+Table11[[#This Row],[Planned_Production]]-Table11[[#This Row],[Forecasted_Units]]</f>
        <v>9.9161355093420411</v>
      </c>
      <c r="P74" cm="1">
        <f t="array" ref="P74">_xlfn.XLOOKUP(Table11[[#This Row],[Date]] &amp; Table11[[#This Row],[Vehicle_Type]], Table12[Date] &amp; Table12[Vehicle_Type],Table12[Feedback_Adjustment], 0)</f>
        <v>0</v>
      </c>
      <c r="Q74" s="82">
        <f>Table11[[#This Row],[Forecasted_Units]]*(1+Table11[[#This Row],[Adjustment_Percentage]])</f>
        <v>99.161355093420369</v>
      </c>
      <c r="R74" s="82"/>
    </row>
    <row r="75" spans="1:18">
      <c r="A75" s="54">
        <v>44195</v>
      </c>
      <c r="B75" s="15" t="s">
        <v>12</v>
      </c>
      <c r="C75" s="15" t="str">
        <f>TEXT(Table11[[#This Row],[Date]],"mmmm")</f>
        <v>December</v>
      </c>
      <c r="D75" s="15">
        <v>106</v>
      </c>
      <c r="E75" s="82">
        <f>_xlfn.FORECAST.LINEAR(Table11[[#This Row],[Date]],Table11[Units_Sold],Table11[Date])</f>
        <v>99.162519290077157</v>
      </c>
      <c r="F75" cm="1">
        <f t="array" ref="F75">_xlfn.IFS(Table11[[#This Row],[Vehicle_Type]]="SUV",250,Table11[[#This Row],[Vehicle_Type]]="Sedan",200,Table11[[#This Row],[Vehicle_Type]]="Hatchback",185,Table11[[#This Row],[Vehicle_Type]]="Electric",190,Table11[[#This Row],[Vehicle_Type]]="Truck",150)</f>
        <v>250</v>
      </c>
      <c r="G75">
        <f t="shared" ca="1" si="1"/>
        <v>22</v>
      </c>
      <c r="H75" s="82">
        <f>Table11[[#This Row],[Daily_Production]]-Table11[[#This Row],[Forecasted_Units]]</f>
        <v>150.83748070992283</v>
      </c>
      <c r="I75" cm="1">
        <f t="array" ref="I75">_xlfn.IFS(Table11[[#This Row],[Vehicle_Type]]="SUV",5,Table11[[#This Row],[Vehicle_Type]]="Sedan",7,Table11[[#This Row],[Vehicle_Type]]="Hatchback",10,Table11[[#This Row],[Vehicle_Type]]="Electric",11,Table11[[#This Row],[Vehicle_Type]]="Truck",13)</f>
        <v>5</v>
      </c>
      <c r="J75">
        <f ca="1">Table11[[#This Row],[Daily_Production]]*Table11[[#This Row],[Working_Days]]</f>
        <v>5500</v>
      </c>
      <c r="K75" s="81">
        <f>Table11[[#This Row],[Forecasted_Units]]*0.1</f>
        <v>9.916251929007716</v>
      </c>
      <c r="L75" s="82">
        <f>Table11[[#This Row],[Adjusted_Forecast]]+Table11[[#This Row],[Safety_Stock]]-Table11[[#This Row],[Inventory_On_Hand]]</f>
        <v>-41.758709490837958</v>
      </c>
      <c r="M75" s="82">
        <f ca="1">MIN(Table11[[#This Row],[Production_Needed]],Table11[[#This Row],[Production_Capacity]])</f>
        <v>-41.758709490837958</v>
      </c>
      <c r="N75" s="82">
        <f ca="1">MAX(Table11[[#This Row],[Production_Needed]]-Table11[[#This Row],[Planned_Production]],0)</f>
        <v>0</v>
      </c>
      <c r="O75" s="82">
        <f ca="1">Table11[[#This Row],[Inventory_On_Hand]]+Table11[[#This Row],[Planned_Production]]-Table11[[#This Row],[Forecasted_Units]]</f>
        <v>9.9162519290077142</v>
      </c>
      <c r="P75" cm="1">
        <f t="array" ref="P75">_xlfn.XLOOKUP(Table11[[#This Row],[Date]] &amp; Table11[[#This Row],[Vehicle_Type]], Table12[Date] &amp; Table12[Vehicle_Type],Table12[Feedback_Adjustment], 0)</f>
        <v>0</v>
      </c>
      <c r="Q75" s="82">
        <f>Table11[[#This Row],[Forecasted_Units]]*(1+Table11[[#This Row],[Adjustment_Percentage]])</f>
        <v>99.162519290077157</v>
      </c>
      <c r="R75" s="82"/>
    </row>
    <row r="76" spans="1:18">
      <c r="A76" s="53">
        <v>44225</v>
      </c>
      <c r="B76" s="14" t="s">
        <v>13</v>
      </c>
      <c r="C76" s="15" t="str">
        <f>TEXT(Table11[[#This Row],[Date]],"mmmm")</f>
        <v>January</v>
      </c>
      <c r="D76" s="14">
        <v>120</v>
      </c>
      <c r="E76" s="82">
        <f>_xlfn.FORECAST.LINEAR(Table11[[#This Row],[Date]],Table11[Units_Sold],Table11[Date])</f>
        <v>99.163683486733945</v>
      </c>
      <c r="F76" cm="1">
        <f t="array" ref="F76">_xlfn.IFS(Table11[[#This Row],[Vehicle_Type]]="SUV",250,Table11[[#This Row],[Vehicle_Type]]="Sedan",200,Table11[[#This Row],[Vehicle_Type]]="Hatchback",185,Table11[[#This Row],[Vehicle_Type]]="Electric",190,Table11[[#This Row],[Vehicle_Type]]="Truck",150)</f>
        <v>190</v>
      </c>
      <c r="G76">
        <f t="shared" ca="1" si="1"/>
        <v>25</v>
      </c>
      <c r="H76" s="82">
        <f>Table11[[#This Row],[Daily_Production]]-Table11[[#This Row],[Forecasted_Units]]</f>
        <v>90.836316513266055</v>
      </c>
      <c r="I76" cm="1">
        <f t="array" ref="I76">_xlfn.IFS(Table11[[#This Row],[Vehicle_Type]]="SUV",5,Table11[[#This Row],[Vehicle_Type]]="Sedan",7,Table11[[#This Row],[Vehicle_Type]]="Hatchback",10,Table11[[#This Row],[Vehicle_Type]]="Electric",11,Table11[[#This Row],[Vehicle_Type]]="Truck",13)</f>
        <v>11</v>
      </c>
      <c r="J76">
        <f ca="1">Table11[[#This Row],[Daily_Production]]*Table11[[#This Row],[Working_Days]]</f>
        <v>4750</v>
      </c>
      <c r="K76" s="81">
        <f>Table11[[#This Row],[Forecasted_Units]]*0.1</f>
        <v>9.9163683486733945</v>
      </c>
      <c r="L76" s="82">
        <f>Table11[[#This Row],[Adjusted_Forecast]]+Table11[[#This Row],[Safety_Stock]]-Table11[[#This Row],[Inventory_On_Hand]]</f>
        <v>18.243735322141291</v>
      </c>
      <c r="M76" s="82">
        <f ca="1">MIN(Table11[[#This Row],[Production_Needed]],Table11[[#This Row],[Production_Capacity]])</f>
        <v>18.243735322141291</v>
      </c>
      <c r="N76" s="82">
        <f ca="1">MAX(Table11[[#This Row],[Production_Needed]]-Table11[[#This Row],[Planned_Production]],0)</f>
        <v>0</v>
      </c>
      <c r="O76" s="82">
        <f ca="1">Table11[[#This Row],[Inventory_On_Hand]]+Table11[[#This Row],[Planned_Production]]-Table11[[#This Row],[Forecasted_Units]]</f>
        <v>9.9163683486734016</v>
      </c>
      <c r="P76" cm="1">
        <f t="array" ref="P76">_xlfn.XLOOKUP(Table11[[#This Row],[Date]] &amp; Table11[[#This Row],[Vehicle_Type]], Table12[Date] &amp; Table12[Vehicle_Type],Table12[Feedback_Adjustment], 0)</f>
        <v>0</v>
      </c>
      <c r="Q76" s="82">
        <f>Table11[[#This Row],[Forecasted_Units]]*(1+Table11[[#This Row],[Adjustment_Percentage]])</f>
        <v>99.163683486733945</v>
      </c>
      <c r="R76" s="82"/>
    </row>
    <row r="77" spans="1:18">
      <c r="A77" s="54">
        <v>44255</v>
      </c>
      <c r="B77" s="15" t="s">
        <v>12</v>
      </c>
      <c r="C77" s="15" t="str">
        <f>TEXT(Table11[[#This Row],[Date]],"mmmm")</f>
        <v>February</v>
      </c>
      <c r="D77" s="15">
        <f>IF(ISBLANK(D30), P31, D30)</f>
        <v>106</v>
      </c>
      <c r="E77" s="82">
        <f>_xlfn.FORECAST.LINEAR(Table11[[#This Row],[Date]],Table11[Units_Sold],Table11[Date])</f>
        <v>99.164847683390732</v>
      </c>
      <c r="F77" cm="1">
        <f t="array" ref="F77">_xlfn.IFS(Table11[[#This Row],[Vehicle_Type]]="SUV",250,Table11[[#This Row],[Vehicle_Type]]="Sedan",200,Table11[[#This Row],[Vehicle_Type]]="Hatchback",185,Table11[[#This Row],[Vehicle_Type]]="Electric",190,Table11[[#This Row],[Vehicle_Type]]="Truck",150)</f>
        <v>250</v>
      </c>
      <c r="G77">
        <f t="shared" ca="1" si="1"/>
        <v>25</v>
      </c>
      <c r="H77" s="82">
        <f>Table11[[#This Row],[Daily_Production]]-Table11[[#This Row],[Forecasted_Units]]</f>
        <v>150.83515231660925</v>
      </c>
      <c r="I77" cm="1">
        <f t="array" ref="I77">_xlfn.IFS(Table11[[#This Row],[Vehicle_Type]]="SUV",5,Table11[[#This Row],[Vehicle_Type]]="Sedan",7,Table11[[#This Row],[Vehicle_Type]]="Hatchback",10,Table11[[#This Row],[Vehicle_Type]]="Electric",11,Table11[[#This Row],[Vehicle_Type]]="Truck",13)</f>
        <v>5</v>
      </c>
      <c r="J77">
        <f ca="1">Table11[[#This Row],[Daily_Production]]*Table11[[#This Row],[Working_Days]]</f>
        <v>6250</v>
      </c>
      <c r="K77" s="81">
        <f>Table11[[#This Row],[Forecasted_Units]]*0.1</f>
        <v>9.9164847683390747</v>
      </c>
      <c r="L77" s="82">
        <f>Table11[[#This Row],[Adjusted_Forecast]]+Table11[[#This Row],[Safety_Stock]]-Table11[[#This Row],[Inventory_On_Hand]]</f>
        <v>-41.753819864879446</v>
      </c>
      <c r="M77" s="82">
        <f ca="1">MIN(Table11[[#This Row],[Production_Needed]],Table11[[#This Row],[Production_Capacity]])</f>
        <v>-41.753819864879446</v>
      </c>
      <c r="N77" s="82">
        <f ca="1">MAX(Table11[[#This Row],[Production_Needed]]-Table11[[#This Row],[Planned_Production]],0)</f>
        <v>0</v>
      </c>
      <c r="O77" s="82">
        <f ca="1">Table11[[#This Row],[Inventory_On_Hand]]+Table11[[#This Row],[Planned_Production]]-Table11[[#This Row],[Forecasted_Units]]</f>
        <v>9.9164847683390747</v>
      </c>
      <c r="P77" cm="1">
        <f t="array" ref="P77">_xlfn.XLOOKUP(Table11[[#This Row],[Date]] &amp; Table11[[#This Row],[Vehicle_Type]], Table12[Date] &amp; Table12[Vehicle_Type],Table12[Feedback_Adjustment], 0)</f>
        <v>0</v>
      </c>
      <c r="Q77" s="82">
        <f>Table11[[#This Row],[Forecasted_Units]]*(1+Table11[[#This Row],[Adjustment_Percentage]])</f>
        <v>99.164847683390732</v>
      </c>
      <c r="R77" s="82"/>
    </row>
    <row r="78" spans="1:18">
      <c r="A78" s="53">
        <v>44285</v>
      </c>
      <c r="B78" s="14" t="s">
        <v>12</v>
      </c>
      <c r="C78" s="15" t="str">
        <f>TEXT(Table11[[#This Row],[Date]],"mmmm")</f>
        <v>March</v>
      </c>
      <c r="D78" s="14">
        <v>118</v>
      </c>
      <c r="E78" s="82">
        <f>_xlfn.FORECAST.LINEAR(Table11[[#This Row],[Date]],Table11[Units_Sold],Table11[Date])</f>
        <v>99.16601188004752</v>
      </c>
      <c r="F78" cm="1">
        <f t="array" ref="F78">_xlfn.IFS(Table11[[#This Row],[Vehicle_Type]]="SUV",250,Table11[[#This Row],[Vehicle_Type]]="Sedan",200,Table11[[#This Row],[Vehicle_Type]]="Hatchback",185,Table11[[#This Row],[Vehicle_Type]]="Electric",190,Table11[[#This Row],[Vehicle_Type]]="Truck",150)</f>
        <v>250</v>
      </c>
      <c r="G78">
        <f t="shared" ca="1" si="1"/>
        <v>24</v>
      </c>
      <c r="H78" s="82">
        <f>Table11[[#This Row],[Daily_Production]]-Table11[[#This Row],[Forecasted_Units]]</f>
        <v>150.83398811995249</v>
      </c>
      <c r="I78" cm="1">
        <f t="array" ref="I78">_xlfn.IFS(Table11[[#This Row],[Vehicle_Type]]="SUV",5,Table11[[#This Row],[Vehicle_Type]]="Sedan",7,Table11[[#This Row],[Vehicle_Type]]="Hatchback",10,Table11[[#This Row],[Vehicle_Type]]="Electric",11,Table11[[#This Row],[Vehicle_Type]]="Truck",13)</f>
        <v>5</v>
      </c>
      <c r="J78">
        <f ca="1">Table11[[#This Row],[Daily_Production]]*Table11[[#This Row],[Working_Days]]</f>
        <v>6000</v>
      </c>
      <c r="K78" s="81">
        <f>Table11[[#This Row],[Forecasted_Units]]*0.1</f>
        <v>9.9166011880047531</v>
      </c>
      <c r="L78" s="82">
        <f>Table11[[#This Row],[Adjusted_Forecast]]+Table11[[#This Row],[Safety_Stock]]-Table11[[#This Row],[Inventory_On_Hand]]</f>
        <v>-41.751375051900226</v>
      </c>
      <c r="M78" s="82">
        <f ca="1">MIN(Table11[[#This Row],[Production_Needed]],Table11[[#This Row],[Production_Capacity]])</f>
        <v>-41.751375051900226</v>
      </c>
      <c r="N78" s="82">
        <f ca="1">MAX(Table11[[#This Row],[Production_Needed]]-Table11[[#This Row],[Planned_Production]],0)</f>
        <v>0</v>
      </c>
      <c r="O78" s="82">
        <f ca="1">Table11[[#This Row],[Inventory_On_Hand]]+Table11[[#This Row],[Planned_Production]]-Table11[[#This Row],[Forecasted_Units]]</f>
        <v>9.9166011880047478</v>
      </c>
      <c r="P78" cm="1">
        <f t="array" ref="P78">_xlfn.XLOOKUP(Table11[[#This Row],[Date]] &amp; Table11[[#This Row],[Vehicle_Type]], Table12[Date] &amp; Table12[Vehicle_Type],Table12[Feedback_Adjustment], 0)</f>
        <v>0</v>
      </c>
      <c r="Q78" s="82">
        <f>Table11[[#This Row],[Forecasted_Units]]*(1+Table11[[#This Row],[Adjustment_Percentage]])</f>
        <v>99.16601188004752</v>
      </c>
      <c r="R78" s="82"/>
    </row>
    <row r="79" spans="1:18">
      <c r="A79" s="54">
        <v>44315</v>
      </c>
      <c r="B79" s="15" t="s">
        <v>14</v>
      </c>
      <c r="C79" s="15" t="str">
        <f>TEXT(Table11[[#This Row],[Date]],"mmmm")</f>
        <v>April</v>
      </c>
      <c r="D79" s="15">
        <v>92</v>
      </c>
      <c r="E79" s="82">
        <f>_xlfn.FORECAST.LINEAR(Table11[[#This Row],[Date]],Table11[Units_Sold],Table11[Date])</f>
        <v>99.167176076704294</v>
      </c>
      <c r="F79" cm="1">
        <f t="array" ref="F79">_xlfn.IFS(Table11[[#This Row],[Vehicle_Type]]="SUV",250,Table11[[#This Row],[Vehicle_Type]]="Sedan",200,Table11[[#This Row],[Vehicle_Type]]="Hatchback",185,Table11[[#This Row],[Vehicle_Type]]="Electric",190,Table11[[#This Row],[Vehicle_Type]]="Truck",150)</f>
        <v>150</v>
      </c>
      <c r="G79">
        <f t="shared" ca="1" si="1"/>
        <v>24</v>
      </c>
      <c r="H79" s="82">
        <f>Table11[[#This Row],[Daily_Production]]-Table11[[#This Row],[Forecasted_Units]]</f>
        <v>50.832823923295706</v>
      </c>
      <c r="I79" cm="1">
        <f t="array" ref="I79">_xlfn.IFS(Table11[[#This Row],[Vehicle_Type]]="SUV",5,Table11[[#This Row],[Vehicle_Type]]="Sedan",7,Table11[[#This Row],[Vehicle_Type]]="Hatchback",10,Table11[[#This Row],[Vehicle_Type]]="Electric",11,Table11[[#This Row],[Vehicle_Type]]="Truck",13)</f>
        <v>13</v>
      </c>
      <c r="J79">
        <f ca="1">Table11[[#This Row],[Daily_Production]]*Table11[[#This Row],[Working_Days]]</f>
        <v>3600</v>
      </c>
      <c r="K79" s="81">
        <f>Table11[[#This Row],[Forecasted_Units]]*0.1</f>
        <v>9.9167176076704298</v>
      </c>
      <c r="L79" s="82">
        <f>Table11[[#This Row],[Adjusted_Forecast]]+Table11[[#This Row],[Safety_Stock]]-Table11[[#This Row],[Inventory_On_Hand]]</f>
        <v>58.251069761079023</v>
      </c>
      <c r="M79" s="82">
        <f ca="1">MIN(Table11[[#This Row],[Production_Needed]],Table11[[#This Row],[Production_Capacity]])</f>
        <v>58.251069761079023</v>
      </c>
      <c r="N79" s="82">
        <f ca="1">MAX(Table11[[#This Row],[Production_Needed]]-Table11[[#This Row],[Planned_Production]],0)</f>
        <v>0</v>
      </c>
      <c r="O79" s="82">
        <f ca="1">Table11[[#This Row],[Inventory_On_Hand]]+Table11[[#This Row],[Planned_Production]]-Table11[[#This Row],[Forecasted_Units]]</f>
        <v>9.9167176076704351</v>
      </c>
      <c r="P79" cm="1">
        <f t="array" ref="P79">_xlfn.XLOOKUP(Table11[[#This Row],[Date]] &amp; Table11[[#This Row],[Vehicle_Type]], Table12[Date] &amp; Table12[Vehicle_Type],Table12[Feedback_Adjustment], 0)</f>
        <v>0</v>
      </c>
      <c r="Q79" s="82">
        <f>Table11[[#This Row],[Forecasted_Units]]*(1+Table11[[#This Row],[Adjustment_Percentage]])</f>
        <v>99.167176076704294</v>
      </c>
      <c r="R79" s="82"/>
    </row>
    <row r="80" spans="1:18">
      <c r="A80" s="53">
        <v>44345</v>
      </c>
      <c r="B80" s="14" t="s">
        <v>14</v>
      </c>
      <c r="C80" s="15" t="str">
        <f>TEXT(Table11[[#This Row],[Date]],"mmmm")</f>
        <v>May</v>
      </c>
      <c r="D80" s="14">
        <v>110</v>
      </c>
      <c r="E80" s="82">
        <f>_xlfn.FORECAST.LINEAR(Table11[[#This Row],[Date]],Table11[Units_Sold],Table11[Date])</f>
        <v>99.168340273361082</v>
      </c>
      <c r="F80" cm="1">
        <f t="array" ref="F80">_xlfn.IFS(Table11[[#This Row],[Vehicle_Type]]="SUV",250,Table11[[#This Row],[Vehicle_Type]]="Sedan",200,Table11[[#This Row],[Vehicle_Type]]="Hatchback",185,Table11[[#This Row],[Vehicle_Type]]="Electric",190,Table11[[#This Row],[Vehicle_Type]]="Truck",150)</f>
        <v>150</v>
      </c>
      <c r="G80">
        <f t="shared" ca="1" si="1"/>
        <v>23</v>
      </c>
      <c r="H80" s="82">
        <f>Table11[[#This Row],[Daily_Production]]-Table11[[#This Row],[Forecasted_Units]]</f>
        <v>50.831659726638918</v>
      </c>
      <c r="I80" cm="1">
        <f t="array" ref="I80">_xlfn.IFS(Table11[[#This Row],[Vehicle_Type]]="SUV",5,Table11[[#This Row],[Vehicle_Type]]="Sedan",7,Table11[[#This Row],[Vehicle_Type]]="Hatchback",10,Table11[[#This Row],[Vehicle_Type]]="Electric",11,Table11[[#This Row],[Vehicle_Type]]="Truck",13)</f>
        <v>13</v>
      </c>
      <c r="J80">
        <f ca="1">Table11[[#This Row],[Daily_Production]]*Table11[[#This Row],[Working_Days]]</f>
        <v>3450</v>
      </c>
      <c r="K80" s="81">
        <f>Table11[[#This Row],[Forecasted_Units]]*0.1</f>
        <v>9.9168340273361082</v>
      </c>
      <c r="L80" s="82">
        <f>Table11[[#This Row],[Adjusted_Forecast]]+Table11[[#This Row],[Safety_Stock]]-Table11[[#This Row],[Inventory_On_Hand]]</f>
        <v>58.253514574058272</v>
      </c>
      <c r="M80" s="82">
        <f ca="1">MIN(Table11[[#This Row],[Production_Needed]],Table11[[#This Row],[Production_Capacity]])</f>
        <v>58.253514574058272</v>
      </c>
      <c r="N80" s="82">
        <f ca="1">MAX(Table11[[#This Row],[Production_Needed]]-Table11[[#This Row],[Planned_Production]],0)</f>
        <v>0</v>
      </c>
      <c r="O80" s="82">
        <f ca="1">Table11[[#This Row],[Inventory_On_Hand]]+Table11[[#This Row],[Planned_Production]]-Table11[[#This Row],[Forecasted_Units]]</f>
        <v>9.9168340273361082</v>
      </c>
      <c r="P80" cm="1">
        <f t="array" ref="P80">_xlfn.XLOOKUP(Table11[[#This Row],[Date]] &amp; Table11[[#This Row],[Vehicle_Type]], Table12[Date] &amp; Table12[Vehicle_Type],Table12[Feedback_Adjustment], 0)</f>
        <v>0</v>
      </c>
      <c r="Q80" s="82">
        <f>Table11[[#This Row],[Forecasted_Units]]*(1+Table11[[#This Row],[Adjustment_Percentage]])</f>
        <v>99.168340273361082</v>
      </c>
      <c r="R80" s="82"/>
    </row>
    <row r="81" spans="1:18">
      <c r="A81" s="54">
        <v>44375</v>
      </c>
      <c r="B81" s="15" t="s">
        <v>11</v>
      </c>
      <c r="C81" s="15" t="str">
        <f>TEXT(Table11[[#This Row],[Date]],"mmmm")</f>
        <v>June</v>
      </c>
      <c r="D81" s="15">
        <v>101</v>
      </c>
      <c r="E81" s="82">
        <f>_xlfn.FORECAST.LINEAR(Table11[[#This Row],[Date]],Table11[Units_Sold],Table11[Date])</f>
        <v>99.16950447001787</v>
      </c>
      <c r="F81" cm="1">
        <f t="array" ref="F81">_xlfn.IFS(Table11[[#This Row],[Vehicle_Type]]="SUV",250,Table11[[#This Row],[Vehicle_Type]]="Sedan",200,Table11[[#This Row],[Vehicle_Type]]="Hatchback",185,Table11[[#This Row],[Vehicle_Type]]="Electric",190,Table11[[#This Row],[Vehicle_Type]]="Truck",150)</f>
        <v>185</v>
      </c>
      <c r="G81">
        <f t="shared" ca="1" si="1"/>
        <v>23</v>
      </c>
      <c r="H81" s="82">
        <f>Table11[[#This Row],[Daily_Production]]-Table11[[#This Row],[Forecasted_Units]]</f>
        <v>85.83049552998213</v>
      </c>
      <c r="I81" cm="1">
        <f t="array" ref="I81">_xlfn.IFS(Table11[[#This Row],[Vehicle_Type]]="SUV",5,Table11[[#This Row],[Vehicle_Type]]="Sedan",7,Table11[[#This Row],[Vehicle_Type]]="Hatchback",10,Table11[[#This Row],[Vehicle_Type]]="Electric",11,Table11[[#This Row],[Vehicle_Type]]="Truck",13)</f>
        <v>10</v>
      </c>
      <c r="J81">
        <f ca="1">Table11[[#This Row],[Daily_Production]]*Table11[[#This Row],[Working_Days]]</f>
        <v>4255</v>
      </c>
      <c r="K81" s="81">
        <f>Table11[[#This Row],[Forecasted_Units]]*0.1</f>
        <v>9.9169504470017884</v>
      </c>
      <c r="L81" s="82">
        <f>Table11[[#This Row],[Adjusted_Forecast]]+Table11[[#This Row],[Safety_Stock]]-Table11[[#This Row],[Inventory_On_Hand]]</f>
        <v>23.255959387037535</v>
      </c>
      <c r="M81" s="82">
        <f ca="1">MIN(Table11[[#This Row],[Production_Needed]],Table11[[#This Row],[Production_Capacity]])</f>
        <v>23.255959387037535</v>
      </c>
      <c r="N81" s="82">
        <f ca="1">MAX(Table11[[#This Row],[Production_Needed]]-Table11[[#This Row],[Planned_Production]],0)</f>
        <v>0</v>
      </c>
      <c r="O81" s="82">
        <f ca="1">Table11[[#This Row],[Inventory_On_Hand]]+Table11[[#This Row],[Planned_Production]]-Table11[[#This Row],[Forecasted_Units]]</f>
        <v>9.9169504470017955</v>
      </c>
      <c r="P81" cm="1">
        <f t="array" ref="P81">_xlfn.XLOOKUP(Table11[[#This Row],[Date]] &amp; Table11[[#This Row],[Vehicle_Type]], Table12[Date] &amp; Table12[Vehicle_Type],Table12[Feedback_Adjustment], 0)</f>
        <v>0</v>
      </c>
      <c r="Q81" s="82">
        <f>Table11[[#This Row],[Forecasted_Units]]*(1+Table11[[#This Row],[Adjustment_Percentage]])</f>
        <v>99.16950447001787</v>
      </c>
      <c r="R81" s="82"/>
    </row>
    <row r="82" spans="1:18">
      <c r="A82" s="53">
        <v>44405</v>
      </c>
      <c r="B82" s="14" t="s">
        <v>13</v>
      </c>
      <c r="C82" s="15" t="str">
        <f>TEXT(Table11[[#This Row],[Date]],"mmmm")</f>
        <v>July</v>
      </c>
      <c r="D82" s="14">
        <v>84</v>
      </c>
      <c r="E82" s="82">
        <f>_xlfn.FORECAST.LINEAR(Table11[[#This Row],[Date]],Table11[Units_Sold],Table11[Date])</f>
        <v>99.170668666674658</v>
      </c>
      <c r="F82" cm="1">
        <f t="array" ref="F82">_xlfn.IFS(Table11[[#This Row],[Vehicle_Type]]="SUV",250,Table11[[#This Row],[Vehicle_Type]]="Sedan",200,Table11[[#This Row],[Vehicle_Type]]="Hatchback",185,Table11[[#This Row],[Vehicle_Type]]="Electric",190,Table11[[#This Row],[Vehicle_Type]]="Truck",150)</f>
        <v>190</v>
      </c>
      <c r="G82">
        <f t="shared" ca="1" si="1"/>
        <v>22</v>
      </c>
      <c r="H82" s="82">
        <f>Table11[[#This Row],[Daily_Production]]-Table11[[#This Row],[Forecasted_Units]]</f>
        <v>90.829331333325342</v>
      </c>
      <c r="I82" cm="1">
        <f t="array" ref="I82">_xlfn.IFS(Table11[[#This Row],[Vehicle_Type]]="SUV",5,Table11[[#This Row],[Vehicle_Type]]="Sedan",7,Table11[[#This Row],[Vehicle_Type]]="Hatchback",10,Table11[[#This Row],[Vehicle_Type]]="Electric",11,Table11[[#This Row],[Vehicle_Type]]="Truck",13)</f>
        <v>11</v>
      </c>
      <c r="J82">
        <f ca="1">Table11[[#This Row],[Daily_Production]]*Table11[[#This Row],[Working_Days]]</f>
        <v>4180</v>
      </c>
      <c r="K82" s="81">
        <f>Table11[[#This Row],[Forecasted_Units]]*0.1</f>
        <v>9.9170668666674668</v>
      </c>
      <c r="L82" s="82">
        <f>Table11[[#This Row],[Adjusted_Forecast]]+Table11[[#This Row],[Safety_Stock]]-Table11[[#This Row],[Inventory_On_Hand]]</f>
        <v>18.258404200016784</v>
      </c>
      <c r="M82" s="82">
        <f ca="1">MIN(Table11[[#This Row],[Production_Needed]],Table11[[#This Row],[Production_Capacity]])</f>
        <v>18.258404200016784</v>
      </c>
      <c r="N82" s="82">
        <f ca="1">MAX(Table11[[#This Row],[Production_Needed]]-Table11[[#This Row],[Planned_Production]],0)</f>
        <v>0</v>
      </c>
      <c r="O82" s="82">
        <f ca="1">Table11[[#This Row],[Inventory_On_Hand]]+Table11[[#This Row],[Planned_Production]]-Table11[[#This Row],[Forecasted_Units]]</f>
        <v>9.9170668666674686</v>
      </c>
      <c r="P82" cm="1">
        <f t="array" ref="P82">_xlfn.XLOOKUP(Table11[[#This Row],[Date]] &amp; Table11[[#This Row],[Vehicle_Type]], Table12[Date] &amp; Table12[Vehicle_Type],Table12[Feedback_Adjustment], 0)</f>
        <v>0</v>
      </c>
      <c r="Q82" s="82">
        <f>Table11[[#This Row],[Forecasted_Units]]*(1+Table11[[#This Row],[Adjustment_Percentage]])</f>
        <v>99.170668666674658</v>
      </c>
      <c r="R82" s="82"/>
    </row>
    <row r="83" spans="1:18">
      <c r="A83" s="54">
        <v>44435</v>
      </c>
      <c r="B83" s="15" t="s">
        <v>12</v>
      </c>
      <c r="C83" s="15" t="str">
        <f>TEXT(Table11[[#This Row],[Date]],"mmmm")</f>
        <v>August</v>
      </c>
      <c r="D83" s="15">
        <v>115</v>
      </c>
      <c r="E83" s="82">
        <f>_xlfn.FORECAST.LINEAR(Table11[[#This Row],[Date]],Table11[Units_Sold],Table11[Date])</f>
        <v>99.171832863331446</v>
      </c>
      <c r="F83" cm="1">
        <f t="array" ref="F83">_xlfn.IFS(Table11[[#This Row],[Vehicle_Type]]="SUV",250,Table11[[#This Row],[Vehicle_Type]]="Sedan",200,Table11[[#This Row],[Vehicle_Type]]="Hatchback",185,Table11[[#This Row],[Vehicle_Type]]="Electric",190,Table11[[#This Row],[Vehicle_Type]]="Truck",150)</f>
        <v>250</v>
      </c>
      <c r="G83">
        <f t="shared" ca="1" si="1"/>
        <v>25</v>
      </c>
      <c r="H83" s="82">
        <f>Table11[[#This Row],[Daily_Production]]-Table11[[#This Row],[Forecasted_Units]]</f>
        <v>150.82816713666855</v>
      </c>
      <c r="I83" cm="1">
        <f t="array" ref="I83">_xlfn.IFS(Table11[[#This Row],[Vehicle_Type]]="SUV",5,Table11[[#This Row],[Vehicle_Type]]="Sedan",7,Table11[[#This Row],[Vehicle_Type]]="Hatchback",10,Table11[[#This Row],[Vehicle_Type]]="Electric",11,Table11[[#This Row],[Vehicle_Type]]="Truck",13)</f>
        <v>5</v>
      </c>
      <c r="J83">
        <f ca="1">Table11[[#This Row],[Daily_Production]]*Table11[[#This Row],[Working_Days]]</f>
        <v>6250</v>
      </c>
      <c r="K83" s="81">
        <f>Table11[[#This Row],[Forecasted_Units]]*0.1</f>
        <v>9.9171832863331453</v>
      </c>
      <c r="L83" s="82">
        <f>Table11[[#This Row],[Adjusted_Forecast]]+Table11[[#This Row],[Safety_Stock]]-Table11[[#This Row],[Inventory_On_Hand]]</f>
        <v>-41.739150987003967</v>
      </c>
      <c r="M83" s="82">
        <f ca="1">MIN(Table11[[#This Row],[Production_Needed]],Table11[[#This Row],[Production_Capacity]])</f>
        <v>-41.739150987003967</v>
      </c>
      <c r="N83" s="82">
        <f ca="1">MAX(Table11[[#This Row],[Production_Needed]]-Table11[[#This Row],[Planned_Production]],0)</f>
        <v>0</v>
      </c>
      <c r="O83" s="82">
        <f ca="1">Table11[[#This Row],[Inventory_On_Hand]]+Table11[[#This Row],[Planned_Production]]-Table11[[#This Row],[Forecasted_Units]]</f>
        <v>9.9171832863331417</v>
      </c>
      <c r="P83" cm="1">
        <f t="array" ref="P83">_xlfn.XLOOKUP(Table11[[#This Row],[Date]] &amp; Table11[[#This Row],[Vehicle_Type]], Table12[Date] &amp; Table12[Vehicle_Type],Table12[Feedback_Adjustment], 0)</f>
        <v>0</v>
      </c>
      <c r="Q83" s="82">
        <f>Table11[[#This Row],[Forecasted_Units]]*(1+Table11[[#This Row],[Adjustment_Percentage]])</f>
        <v>99.171832863331446</v>
      </c>
      <c r="R83" s="82"/>
    </row>
    <row r="84" spans="1:18">
      <c r="A84" s="53">
        <v>44465</v>
      </c>
      <c r="B84" s="14" t="s">
        <v>11</v>
      </c>
      <c r="C84" s="15" t="str">
        <f>TEXT(Table11[[#This Row],[Date]],"mmmm")</f>
        <v>September</v>
      </c>
      <c r="D84" s="14">
        <v>95</v>
      </c>
      <c r="E84" s="82">
        <f>_xlfn.FORECAST.LINEAR(Table11[[#This Row],[Date]],Table11[Units_Sold],Table11[Date])</f>
        <v>99.172997059988234</v>
      </c>
      <c r="F84" cm="1">
        <f t="array" ref="F84">_xlfn.IFS(Table11[[#This Row],[Vehicle_Type]]="SUV",250,Table11[[#This Row],[Vehicle_Type]]="Sedan",200,Table11[[#This Row],[Vehicle_Type]]="Hatchback",185,Table11[[#This Row],[Vehicle_Type]]="Electric",190,Table11[[#This Row],[Vehicle_Type]]="Truck",150)</f>
        <v>185</v>
      </c>
      <c r="G84">
        <f t="shared" ca="1" si="1"/>
        <v>25</v>
      </c>
      <c r="H84" s="82">
        <f>Table11[[#This Row],[Daily_Production]]-Table11[[#This Row],[Forecasted_Units]]</f>
        <v>85.827002940011766</v>
      </c>
      <c r="I84" cm="1">
        <f t="array" ref="I84">_xlfn.IFS(Table11[[#This Row],[Vehicle_Type]]="SUV",5,Table11[[#This Row],[Vehicle_Type]]="Sedan",7,Table11[[#This Row],[Vehicle_Type]]="Hatchback",10,Table11[[#This Row],[Vehicle_Type]]="Electric",11,Table11[[#This Row],[Vehicle_Type]]="Truck",13)</f>
        <v>10</v>
      </c>
      <c r="J84">
        <f ca="1">Table11[[#This Row],[Daily_Production]]*Table11[[#This Row],[Working_Days]]</f>
        <v>4625</v>
      </c>
      <c r="K84" s="81">
        <f>Table11[[#This Row],[Forecasted_Units]]*0.1</f>
        <v>9.9172997059988237</v>
      </c>
      <c r="L84" s="82">
        <f>Table11[[#This Row],[Adjusted_Forecast]]+Table11[[#This Row],[Safety_Stock]]-Table11[[#This Row],[Inventory_On_Hand]]</f>
        <v>23.263293825975296</v>
      </c>
      <c r="M84" s="82">
        <f ca="1">MIN(Table11[[#This Row],[Production_Needed]],Table11[[#This Row],[Production_Capacity]])</f>
        <v>23.263293825975296</v>
      </c>
      <c r="N84" s="82">
        <f ca="1">MAX(Table11[[#This Row],[Production_Needed]]-Table11[[#This Row],[Planned_Production]],0)</f>
        <v>0</v>
      </c>
      <c r="O84" s="82">
        <f ca="1">Table11[[#This Row],[Inventory_On_Hand]]+Table11[[#This Row],[Planned_Production]]-Table11[[#This Row],[Forecasted_Units]]</f>
        <v>9.917299705998829</v>
      </c>
      <c r="P84" cm="1">
        <f t="array" ref="P84">_xlfn.XLOOKUP(Table11[[#This Row],[Date]] &amp; Table11[[#This Row],[Vehicle_Type]], Table12[Date] &amp; Table12[Vehicle_Type],Table12[Feedback_Adjustment], 0)</f>
        <v>0</v>
      </c>
      <c r="Q84" s="82">
        <f>Table11[[#This Row],[Forecasted_Units]]*(1+Table11[[#This Row],[Adjustment_Percentage]])</f>
        <v>99.172997059988234</v>
      </c>
      <c r="R84" s="82"/>
    </row>
    <row r="85" spans="1:18">
      <c r="A85" s="54">
        <v>44495</v>
      </c>
      <c r="B85" s="15" t="s">
        <v>10</v>
      </c>
      <c r="C85" s="15" t="str">
        <f>TEXT(Table11[[#This Row],[Date]],"mmmm")</f>
        <v>October</v>
      </c>
      <c r="D85" s="15">
        <v>114</v>
      </c>
      <c r="E85" s="82">
        <f>_xlfn.FORECAST.LINEAR(Table11[[#This Row],[Date]],Table11[Units_Sold],Table11[Date])</f>
        <v>99.174161256645021</v>
      </c>
      <c r="F85" cm="1">
        <f t="array" ref="F85">_xlfn.IFS(Table11[[#This Row],[Vehicle_Type]]="SUV",250,Table11[[#This Row],[Vehicle_Type]]="Sedan",200,Table11[[#This Row],[Vehicle_Type]]="Hatchback",185,Table11[[#This Row],[Vehicle_Type]]="Electric",190,Table11[[#This Row],[Vehicle_Type]]="Truck",150)</f>
        <v>200</v>
      </c>
      <c r="G85">
        <f t="shared" ca="1" si="1"/>
        <v>23</v>
      </c>
      <c r="H85" s="82">
        <f>Table11[[#This Row],[Daily_Production]]-Table11[[#This Row],[Forecasted_Units]]</f>
        <v>100.82583874335498</v>
      </c>
      <c r="I85" cm="1">
        <f t="array" ref="I85">_xlfn.IFS(Table11[[#This Row],[Vehicle_Type]]="SUV",5,Table11[[#This Row],[Vehicle_Type]]="Sedan",7,Table11[[#This Row],[Vehicle_Type]]="Hatchback",10,Table11[[#This Row],[Vehicle_Type]]="Electric",11,Table11[[#This Row],[Vehicle_Type]]="Truck",13)</f>
        <v>7</v>
      </c>
      <c r="J85">
        <f ca="1">Table11[[#This Row],[Daily_Production]]*Table11[[#This Row],[Working_Days]]</f>
        <v>4600</v>
      </c>
      <c r="K85" s="81">
        <f>Table11[[#This Row],[Forecasted_Units]]*0.1</f>
        <v>9.9174161256645021</v>
      </c>
      <c r="L85" s="82">
        <f>Table11[[#This Row],[Adjusted_Forecast]]+Table11[[#This Row],[Safety_Stock]]-Table11[[#This Row],[Inventory_On_Hand]]</f>
        <v>8.2657386389545451</v>
      </c>
      <c r="M85" s="82">
        <f ca="1">MIN(Table11[[#This Row],[Production_Needed]],Table11[[#This Row],[Production_Capacity]])</f>
        <v>8.2657386389545451</v>
      </c>
      <c r="N85" s="82">
        <f ca="1">MAX(Table11[[#This Row],[Production_Needed]]-Table11[[#This Row],[Planned_Production]],0)</f>
        <v>0</v>
      </c>
      <c r="O85" s="82">
        <f ca="1">Table11[[#This Row],[Inventory_On_Hand]]+Table11[[#This Row],[Planned_Production]]-Table11[[#This Row],[Forecasted_Units]]</f>
        <v>9.9174161256645021</v>
      </c>
      <c r="P85" cm="1">
        <f t="array" ref="P85">_xlfn.XLOOKUP(Table11[[#This Row],[Date]] &amp; Table11[[#This Row],[Vehicle_Type]], Table12[Date] &amp; Table12[Vehicle_Type],Table12[Feedback_Adjustment], 0)</f>
        <v>0</v>
      </c>
      <c r="Q85" s="82">
        <f>Table11[[#This Row],[Forecasted_Units]]*(1+Table11[[#This Row],[Adjustment_Percentage]])</f>
        <v>99.174161256645021</v>
      </c>
      <c r="R85" s="82"/>
    </row>
    <row r="86" spans="1:18">
      <c r="A86" s="53">
        <v>44525</v>
      </c>
      <c r="B86" s="14" t="s">
        <v>12</v>
      </c>
      <c r="C86" s="15" t="str">
        <f>TEXT(Table11[[#This Row],[Date]],"mmmm")</f>
        <v>November</v>
      </c>
      <c r="D86" s="14">
        <v>104</v>
      </c>
      <c r="E86" s="82">
        <f>_xlfn.FORECAST.LINEAR(Table11[[#This Row],[Date]],Table11[Units_Sold],Table11[Date])</f>
        <v>99.175325453301809</v>
      </c>
      <c r="F86" cm="1">
        <f t="array" ref="F86">_xlfn.IFS(Table11[[#This Row],[Vehicle_Type]]="SUV",250,Table11[[#This Row],[Vehicle_Type]]="Sedan",200,Table11[[#This Row],[Vehicle_Type]]="Hatchback",185,Table11[[#This Row],[Vehicle_Type]]="Electric",190,Table11[[#This Row],[Vehicle_Type]]="Truck",150)</f>
        <v>250</v>
      </c>
      <c r="G86">
        <f t="shared" ca="1" si="1"/>
        <v>20</v>
      </c>
      <c r="H86" s="82">
        <f>Table11[[#This Row],[Daily_Production]]-Table11[[#This Row],[Forecasted_Units]]</f>
        <v>150.82467454669819</v>
      </c>
      <c r="I86" cm="1">
        <f t="array" ref="I86">_xlfn.IFS(Table11[[#This Row],[Vehicle_Type]]="SUV",5,Table11[[#This Row],[Vehicle_Type]]="Sedan",7,Table11[[#This Row],[Vehicle_Type]]="Hatchback",10,Table11[[#This Row],[Vehicle_Type]]="Electric",11,Table11[[#This Row],[Vehicle_Type]]="Truck",13)</f>
        <v>5</v>
      </c>
      <c r="J86">
        <f ca="1">Table11[[#This Row],[Daily_Production]]*Table11[[#This Row],[Working_Days]]</f>
        <v>5000</v>
      </c>
      <c r="K86" s="81">
        <f>Table11[[#This Row],[Forecasted_Units]]*0.1</f>
        <v>9.9175325453301824</v>
      </c>
      <c r="L86" s="82">
        <f>Table11[[#This Row],[Adjusted_Forecast]]+Table11[[#This Row],[Safety_Stock]]-Table11[[#This Row],[Inventory_On_Hand]]</f>
        <v>-41.731816548066206</v>
      </c>
      <c r="M86" s="82">
        <f ca="1">MIN(Table11[[#This Row],[Production_Needed]],Table11[[#This Row],[Production_Capacity]])</f>
        <v>-41.731816548066206</v>
      </c>
      <c r="N86" s="82">
        <f ca="1">MAX(Table11[[#This Row],[Production_Needed]]-Table11[[#This Row],[Planned_Production]],0)</f>
        <v>0</v>
      </c>
      <c r="O86" s="82">
        <f ca="1">Table11[[#This Row],[Inventory_On_Hand]]+Table11[[#This Row],[Planned_Production]]-Table11[[#This Row],[Forecasted_Units]]</f>
        <v>9.9175325453301753</v>
      </c>
      <c r="P86" cm="1">
        <f t="array" ref="P86">_xlfn.XLOOKUP(Table11[[#This Row],[Date]] &amp; Table11[[#This Row],[Vehicle_Type]], Table12[Date] &amp; Table12[Vehicle_Type],Table12[Feedback_Adjustment], 0)</f>
        <v>0</v>
      </c>
      <c r="Q86" s="82">
        <f>Table11[[#This Row],[Forecasted_Units]]*(1+Table11[[#This Row],[Adjustment_Percentage]])</f>
        <v>99.175325453301809</v>
      </c>
      <c r="R86" s="82"/>
    </row>
    <row r="87" spans="1:18">
      <c r="A87" s="54">
        <v>44555</v>
      </c>
      <c r="B87" s="15" t="s">
        <v>10</v>
      </c>
      <c r="C87" s="15" t="str">
        <f>TEXT(Table11[[#This Row],[Date]],"mmmm")</f>
        <v>December</v>
      </c>
      <c r="D87" s="15">
        <v>89</v>
      </c>
      <c r="E87" s="82">
        <f>_xlfn.FORECAST.LINEAR(Table11[[#This Row],[Date]],Table11[Units_Sold],Table11[Date])</f>
        <v>99.176489649958597</v>
      </c>
      <c r="F87" cm="1">
        <f t="array" ref="F87">_xlfn.IFS(Table11[[#This Row],[Vehicle_Type]]="SUV",250,Table11[[#This Row],[Vehicle_Type]]="Sedan",200,Table11[[#This Row],[Vehicle_Type]]="Hatchback",185,Table11[[#This Row],[Vehicle_Type]]="Electric",190,Table11[[#This Row],[Vehicle_Type]]="Truck",150)</f>
        <v>200</v>
      </c>
      <c r="G87">
        <f t="shared" ca="1" si="1"/>
        <v>22</v>
      </c>
      <c r="H87" s="82">
        <f>Table11[[#This Row],[Daily_Production]]-Table11[[#This Row],[Forecasted_Units]]</f>
        <v>100.8235103500414</v>
      </c>
      <c r="I87" cm="1">
        <f t="array" ref="I87">_xlfn.IFS(Table11[[#This Row],[Vehicle_Type]]="SUV",5,Table11[[#This Row],[Vehicle_Type]]="Sedan",7,Table11[[#This Row],[Vehicle_Type]]="Hatchback",10,Table11[[#This Row],[Vehicle_Type]]="Electric",11,Table11[[#This Row],[Vehicle_Type]]="Truck",13)</f>
        <v>7</v>
      </c>
      <c r="J87">
        <f ca="1">Table11[[#This Row],[Daily_Production]]*Table11[[#This Row],[Working_Days]]</f>
        <v>4400</v>
      </c>
      <c r="K87" s="81">
        <f>Table11[[#This Row],[Forecasted_Units]]*0.1</f>
        <v>9.9176489649958608</v>
      </c>
      <c r="L87" s="82">
        <f>Table11[[#This Row],[Adjusted_Forecast]]+Table11[[#This Row],[Safety_Stock]]-Table11[[#This Row],[Inventory_On_Hand]]</f>
        <v>8.2706282649130571</v>
      </c>
      <c r="M87" s="82">
        <f ca="1">MIN(Table11[[#This Row],[Production_Needed]],Table11[[#This Row],[Production_Capacity]])</f>
        <v>8.2706282649130571</v>
      </c>
      <c r="N87" s="82">
        <f ca="1">MAX(Table11[[#This Row],[Production_Needed]]-Table11[[#This Row],[Planned_Production]],0)</f>
        <v>0</v>
      </c>
      <c r="O87" s="82">
        <f ca="1">Table11[[#This Row],[Inventory_On_Hand]]+Table11[[#This Row],[Planned_Production]]-Table11[[#This Row],[Forecasted_Units]]</f>
        <v>9.9176489649958626</v>
      </c>
      <c r="P87" cm="1">
        <f t="array" ref="P87">_xlfn.XLOOKUP(Table11[[#This Row],[Date]] &amp; Table11[[#This Row],[Vehicle_Type]], Table12[Date] &amp; Table12[Vehicle_Type],Table12[Feedback_Adjustment], 0)</f>
        <v>0</v>
      </c>
      <c r="Q87" s="82">
        <f>Table11[[#This Row],[Forecasted_Units]]*(1+Table11[[#This Row],[Adjustment_Percentage]])</f>
        <v>99.176489649958597</v>
      </c>
      <c r="R87" s="82"/>
    </row>
    <row r="88" spans="1:18">
      <c r="A88" s="53">
        <v>44585</v>
      </c>
      <c r="B88" s="14" t="s">
        <v>11</v>
      </c>
      <c r="C88" s="15" t="str">
        <f>TEXT(Table11[[#This Row],[Date]],"mmmm")</f>
        <v>January</v>
      </c>
      <c r="D88" s="14">
        <f>IF(ISBLANK(D41), P42, D41)</f>
        <v>101</v>
      </c>
      <c r="E88" s="82">
        <f>_xlfn.FORECAST.LINEAR(Table11[[#This Row],[Date]],Table11[Units_Sold],Table11[Date])</f>
        <v>99.177653846615385</v>
      </c>
      <c r="F88" cm="1">
        <f t="array" ref="F88">_xlfn.IFS(Table11[[#This Row],[Vehicle_Type]]="SUV",250,Table11[[#This Row],[Vehicle_Type]]="Sedan",200,Table11[[#This Row],[Vehicle_Type]]="Hatchback",185,Table11[[#This Row],[Vehicle_Type]]="Electric",190,Table11[[#This Row],[Vehicle_Type]]="Truck",150)</f>
        <v>185</v>
      </c>
      <c r="G88">
        <f t="shared" ca="1" si="1"/>
        <v>22</v>
      </c>
      <c r="H88" s="82">
        <f>Table11[[#This Row],[Daily_Production]]-Table11[[#This Row],[Forecasted_Units]]</f>
        <v>85.822346153384615</v>
      </c>
      <c r="I88" cm="1">
        <f t="array" ref="I88">_xlfn.IFS(Table11[[#This Row],[Vehicle_Type]]="SUV",5,Table11[[#This Row],[Vehicle_Type]]="Sedan",7,Table11[[#This Row],[Vehicle_Type]]="Hatchback",10,Table11[[#This Row],[Vehicle_Type]]="Electric",11,Table11[[#This Row],[Vehicle_Type]]="Truck",13)</f>
        <v>10</v>
      </c>
      <c r="J88">
        <f ca="1">Table11[[#This Row],[Daily_Production]]*Table11[[#This Row],[Working_Days]]</f>
        <v>4070</v>
      </c>
      <c r="K88" s="81">
        <f>Table11[[#This Row],[Forecasted_Units]]*0.1</f>
        <v>9.9177653846615392</v>
      </c>
      <c r="L88" s="82">
        <f>Table11[[#This Row],[Adjusted_Forecast]]+Table11[[#This Row],[Safety_Stock]]-Table11[[#This Row],[Inventory_On_Hand]]</f>
        <v>23.273073077892306</v>
      </c>
      <c r="M88" s="82">
        <f ca="1">MIN(Table11[[#This Row],[Production_Needed]],Table11[[#This Row],[Production_Capacity]])</f>
        <v>23.273073077892306</v>
      </c>
      <c r="N88" s="82">
        <f ca="1">MAX(Table11[[#This Row],[Production_Needed]]-Table11[[#This Row],[Planned_Production]],0)</f>
        <v>0</v>
      </c>
      <c r="O88" s="82">
        <f ca="1">Table11[[#This Row],[Inventory_On_Hand]]+Table11[[#This Row],[Planned_Production]]-Table11[[#This Row],[Forecasted_Units]]</f>
        <v>9.9177653846615357</v>
      </c>
      <c r="P88" cm="1">
        <f t="array" ref="P88">_xlfn.XLOOKUP(Table11[[#This Row],[Date]] &amp; Table11[[#This Row],[Vehicle_Type]], Table12[Date] &amp; Table12[Vehicle_Type],Table12[Feedback_Adjustment], 0)</f>
        <v>0</v>
      </c>
      <c r="Q88" s="82">
        <f>Table11[[#This Row],[Forecasted_Units]]*(1+Table11[[#This Row],[Adjustment_Percentage]])</f>
        <v>99.177653846615385</v>
      </c>
      <c r="R88" s="82"/>
    </row>
    <row r="89" spans="1:18">
      <c r="A89" s="54">
        <v>44615</v>
      </c>
      <c r="B89" s="15" t="s">
        <v>14</v>
      </c>
      <c r="C89" s="15" t="str">
        <f>TEXT(Table11[[#This Row],[Date]],"mmmm")</f>
        <v>February</v>
      </c>
      <c r="D89" s="15">
        <v>85</v>
      </c>
      <c r="E89" s="82">
        <f>_xlfn.FORECAST.LINEAR(Table11[[#This Row],[Date]],Table11[Units_Sold],Table11[Date])</f>
        <v>99.178818043272173</v>
      </c>
      <c r="F89" cm="1">
        <f t="array" ref="F89">_xlfn.IFS(Table11[[#This Row],[Vehicle_Type]]="SUV",250,Table11[[#This Row],[Vehicle_Type]]="Sedan",200,Table11[[#This Row],[Vehicle_Type]]="Hatchback",185,Table11[[#This Row],[Vehicle_Type]]="Electric",190,Table11[[#This Row],[Vehicle_Type]]="Truck",150)</f>
        <v>150</v>
      </c>
      <c r="G89">
        <f t="shared" ca="1" si="1"/>
        <v>25</v>
      </c>
      <c r="H89" s="82">
        <f>Table11[[#This Row],[Daily_Production]]-Table11[[#This Row],[Forecasted_Units]]</f>
        <v>50.821181956727827</v>
      </c>
      <c r="I89" cm="1">
        <f t="array" ref="I89">_xlfn.IFS(Table11[[#This Row],[Vehicle_Type]]="SUV",5,Table11[[#This Row],[Vehicle_Type]]="Sedan",7,Table11[[#This Row],[Vehicle_Type]]="Hatchback",10,Table11[[#This Row],[Vehicle_Type]]="Electric",11,Table11[[#This Row],[Vehicle_Type]]="Truck",13)</f>
        <v>13</v>
      </c>
      <c r="J89">
        <f ca="1">Table11[[#This Row],[Daily_Production]]*Table11[[#This Row],[Working_Days]]</f>
        <v>3750</v>
      </c>
      <c r="K89" s="81">
        <f>Table11[[#This Row],[Forecasted_Units]]*0.1</f>
        <v>9.9178818043272177</v>
      </c>
      <c r="L89" s="82">
        <f>Table11[[#This Row],[Adjusted_Forecast]]+Table11[[#This Row],[Safety_Stock]]-Table11[[#This Row],[Inventory_On_Hand]]</f>
        <v>58.275517890871569</v>
      </c>
      <c r="M89" s="82">
        <f ca="1">MIN(Table11[[#This Row],[Production_Needed]],Table11[[#This Row],[Production_Capacity]])</f>
        <v>58.275517890871569</v>
      </c>
      <c r="N89" s="82">
        <f ca="1">MAX(Table11[[#This Row],[Production_Needed]]-Table11[[#This Row],[Planned_Production]],0)</f>
        <v>0</v>
      </c>
      <c r="O89" s="82">
        <f ca="1">Table11[[#This Row],[Inventory_On_Hand]]+Table11[[#This Row],[Planned_Production]]-Table11[[#This Row],[Forecasted_Units]]</f>
        <v>9.917881804327223</v>
      </c>
      <c r="P89" cm="1">
        <f t="array" ref="P89">_xlfn.XLOOKUP(Table11[[#This Row],[Date]] &amp; Table11[[#This Row],[Vehicle_Type]], Table12[Date] &amp; Table12[Vehicle_Type],Table12[Feedback_Adjustment], 0)</f>
        <v>0</v>
      </c>
      <c r="Q89" s="82">
        <f>Table11[[#This Row],[Forecasted_Units]]*(1+Table11[[#This Row],[Adjustment_Percentage]])</f>
        <v>99.178818043272173</v>
      </c>
      <c r="R89" s="82"/>
    </row>
    <row r="90" spans="1:18">
      <c r="A90" s="53">
        <v>44645</v>
      </c>
      <c r="B90" s="14" t="s">
        <v>11</v>
      </c>
      <c r="C90" s="15" t="str">
        <f>TEXT(Table11[[#This Row],[Date]],"mmmm")</f>
        <v>March</v>
      </c>
      <c r="D90" s="14">
        <v>101</v>
      </c>
      <c r="E90" s="82">
        <f>_xlfn.FORECAST.LINEAR(Table11[[#This Row],[Date]],Table11[Units_Sold],Table11[Date])</f>
        <v>99.179982239928947</v>
      </c>
      <c r="F90" cm="1">
        <f t="array" ref="F90">_xlfn.IFS(Table11[[#This Row],[Vehicle_Type]]="SUV",250,Table11[[#This Row],[Vehicle_Type]]="Sedan",200,Table11[[#This Row],[Vehicle_Type]]="Hatchback",185,Table11[[#This Row],[Vehicle_Type]]="Electric",190,Table11[[#This Row],[Vehicle_Type]]="Truck",150)</f>
        <v>185</v>
      </c>
      <c r="G90">
        <f t="shared" ca="1" si="1"/>
        <v>25</v>
      </c>
      <c r="H90" s="82">
        <f>Table11[[#This Row],[Daily_Production]]-Table11[[#This Row],[Forecasted_Units]]</f>
        <v>85.820017760071053</v>
      </c>
      <c r="I90" cm="1">
        <f t="array" ref="I90">_xlfn.IFS(Table11[[#This Row],[Vehicle_Type]]="SUV",5,Table11[[#This Row],[Vehicle_Type]]="Sedan",7,Table11[[#This Row],[Vehicle_Type]]="Hatchback",10,Table11[[#This Row],[Vehicle_Type]]="Electric",11,Table11[[#This Row],[Vehicle_Type]]="Truck",13)</f>
        <v>10</v>
      </c>
      <c r="J90">
        <f ca="1">Table11[[#This Row],[Daily_Production]]*Table11[[#This Row],[Working_Days]]</f>
        <v>4625</v>
      </c>
      <c r="K90" s="81">
        <f>Table11[[#This Row],[Forecasted_Units]]*0.1</f>
        <v>9.9179982239928961</v>
      </c>
      <c r="L90" s="82">
        <f>Table11[[#This Row],[Adjusted_Forecast]]+Table11[[#This Row],[Safety_Stock]]-Table11[[#This Row],[Inventory_On_Hand]]</f>
        <v>23.27796270385079</v>
      </c>
      <c r="M90" s="82">
        <f ca="1">MIN(Table11[[#This Row],[Production_Needed]],Table11[[#This Row],[Production_Capacity]])</f>
        <v>23.27796270385079</v>
      </c>
      <c r="N90" s="82">
        <f ca="1">MAX(Table11[[#This Row],[Production_Needed]]-Table11[[#This Row],[Planned_Production]],0)</f>
        <v>0</v>
      </c>
      <c r="O90" s="82">
        <f ca="1">Table11[[#This Row],[Inventory_On_Hand]]+Table11[[#This Row],[Planned_Production]]-Table11[[#This Row],[Forecasted_Units]]</f>
        <v>9.9179982239928961</v>
      </c>
      <c r="P90" cm="1">
        <f t="array" ref="P90">_xlfn.XLOOKUP(Table11[[#This Row],[Date]] &amp; Table11[[#This Row],[Vehicle_Type]], Table12[Date] &amp; Table12[Vehicle_Type],Table12[Feedback_Adjustment], 0)</f>
        <v>0</v>
      </c>
      <c r="Q90" s="82">
        <f>Table11[[#This Row],[Forecasted_Units]]*(1+Table11[[#This Row],[Adjustment_Percentage]])</f>
        <v>99.179982239928947</v>
      </c>
      <c r="R90" s="82"/>
    </row>
    <row r="91" spans="1:18">
      <c r="A91" s="54">
        <v>44675</v>
      </c>
      <c r="B91" s="15" t="s">
        <v>10</v>
      </c>
      <c r="C91" s="15" t="str">
        <f>TEXT(Table11[[#This Row],[Date]],"mmmm")</f>
        <v>April</v>
      </c>
      <c r="D91" s="15">
        <v>104</v>
      </c>
      <c r="E91" s="82">
        <f>_xlfn.FORECAST.LINEAR(Table11[[#This Row],[Date]],Table11[Units_Sold],Table11[Date])</f>
        <v>99.181146436585735</v>
      </c>
      <c r="F91" cm="1">
        <f t="array" ref="F91">_xlfn.IFS(Table11[[#This Row],[Vehicle_Type]]="SUV",250,Table11[[#This Row],[Vehicle_Type]]="Sedan",200,Table11[[#This Row],[Vehicle_Type]]="Hatchback",185,Table11[[#This Row],[Vehicle_Type]]="Electric",190,Table11[[#This Row],[Vehicle_Type]]="Truck",150)</f>
        <v>200</v>
      </c>
      <c r="G91">
        <f t="shared" ca="1" si="1"/>
        <v>25</v>
      </c>
      <c r="H91" s="82">
        <f>Table11[[#This Row],[Daily_Production]]-Table11[[#This Row],[Forecasted_Units]]</f>
        <v>100.81885356341427</v>
      </c>
      <c r="I91" cm="1">
        <f t="array" ref="I91">_xlfn.IFS(Table11[[#This Row],[Vehicle_Type]]="SUV",5,Table11[[#This Row],[Vehicle_Type]]="Sedan",7,Table11[[#This Row],[Vehicle_Type]]="Hatchback",10,Table11[[#This Row],[Vehicle_Type]]="Electric",11,Table11[[#This Row],[Vehicle_Type]]="Truck",13)</f>
        <v>7</v>
      </c>
      <c r="J91">
        <f ca="1">Table11[[#This Row],[Daily_Production]]*Table11[[#This Row],[Working_Days]]</f>
        <v>5000</v>
      </c>
      <c r="K91" s="81">
        <f>Table11[[#This Row],[Forecasted_Units]]*0.1</f>
        <v>9.9181146436585745</v>
      </c>
      <c r="L91" s="82">
        <f>Table11[[#This Row],[Adjusted_Forecast]]+Table11[[#This Row],[Safety_Stock]]-Table11[[#This Row],[Inventory_On_Hand]]</f>
        <v>8.2804075168300386</v>
      </c>
      <c r="M91" s="82">
        <f ca="1">MIN(Table11[[#This Row],[Production_Needed]],Table11[[#This Row],[Production_Capacity]])</f>
        <v>8.2804075168300386</v>
      </c>
      <c r="N91" s="82">
        <f ca="1">MAX(Table11[[#This Row],[Production_Needed]]-Table11[[#This Row],[Planned_Production]],0)</f>
        <v>0</v>
      </c>
      <c r="O91" s="82">
        <f ca="1">Table11[[#This Row],[Inventory_On_Hand]]+Table11[[#This Row],[Planned_Production]]-Table11[[#This Row],[Forecasted_Units]]</f>
        <v>9.9181146436585692</v>
      </c>
      <c r="P91" cm="1">
        <f t="array" ref="P91">_xlfn.XLOOKUP(Table11[[#This Row],[Date]] &amp; Table11[[#This Row],[Vehicle_Type]], Table12[Date] &amp; Table12[Vehicle_Type],Table12[Feedback_Adjustment], 0)</f>
        <v>0</v>
      </c>
      <c r="Q91" s="82">
        <f>Table11[[#This Row],[Forecasted_Units]]*(1+Table11[[#This Row],[Adjustment_Percentage]])</f>
        <v>99.181146436585735</v>
      </c>
      <c r="R91" s="82"/>
    </row>
    <row r="92" spans="1:18">
      <c r="A92" s="53">
        <v>44705</v>
      </c>
      <c r="B92" s="14" t="s">
        <v>12</v>
      </c>
      <c r="C92" s="15" t="str">
        <f>TEXT(Table11[[#This Row],[Date]],"mmmm")</f>
        <v>May</v>
      </c>
      <c r="D92" s="14">
        <v>106</v>
      </c>
      <c r="E92" s="82">
        <f>_xlfn.FORECAST.LINEAR(Table11[[#This Row],[Date]],Table11[Units_Sold],Table11[Date])</f>
        <v>99.182310633242523</v>
      </c>
      <c r="F92" cm="1">
        <f t="array" ref="F92">_xlfn.IFS(Table11[[#This Row],[Vehicle_Type]]="SUV",250,Table11[[#This Row],[Vehicle_Type]]="Sedan",200,Table11[[#This Row],[Vehicle_Type]]="Hatchback",185,Table11[[#This Row],[Vehicle_Type]]="Electric",190,Table11[[#This Row],[Vehicle_Type]]="Truck",150)</f>
        <v>250</v>
      </c>
      <c r="G92">
        <f t="shared" ca="1" si="1"/>
        <v>24</v>
      </c>
      <c r="H92" s="82">
        <f>Table11[[#This Row],[Daily_Production]]-Table11[[#This Row],[Forecasted_Units]]</f>
        <v>150.81768936675746</v>
      </c>
      <c r="I92" cm="1">
        <f t="array" ref="I92">_xlfn.IFS(Table11[[#This Row],[Vehicle_Type]]="SUV",5,Table11[[#This Row],[Vehicle_Type]]="Sedan",7,Table11[[#This Row],[Vehicle_Type]]="Hatchback",10,Table11[[#This Row],[Vehicle_Type]]="Electric",11,Table11[[#This Row],[Vehicle_Type]]="Truck",13)</f>
        <v>5</v>
      </c>
      <c r="J92">
        <f ca="1">Table11[[#This Row],[Daily_Production]]*Table11[[#This Row],[Working_Days]]</f>
        <v>6000</v>
      </c>
      <c r="K92" s="81">
        <f>Table11[[#This Row],[Forecasted_Units]]*0.1</f>
        <v>9.918231063324253</v>
      </c>
      <c r="L92" s="82">
        <f>Table11[[#This Row],[Adjusted_Forecast]]+Table11[[#This Row],[Safety_Stock]]-Table11[[#This Row],[Inventory_On_Hand]]</f>
        <v>-41.717147670190684</v>
      </c>
      <c r="M92" s="82">
        <f ca="1">MIN(Table11[[#This Row],[Production_Needed]],Table11[[#This Row],[Production_Capacity]])</f>
        <v>-41.717147670190684</v>
      </c>
      <c r="N92" s="82">
        <f ca="1">MAX(Table11[[#This Row],[Production_Needed]]-Table11[[#This Row],[Planned_Production]],0)</f>
        <v>0</v>
      </c>
      <c r="O92" s="82">
        <f ca="1">Table11[[#This Row],[Inventory_On_Hand]]+Table11[[#This Row],[Planned_Production]]-Table11[[#This Row],[Forecasted_Units]]</f>
        <v>9.9182310633242565</v>
      </c>
      <c r="P92" cm="1">
        <f t="array" ref="P92">_xlfn.XLOOKUP(Table11[[#This Row],[Date]] &amp; Table11[[#This Row],[Vehicle_Type]], Table12[Date] &amp; Table12[Vehicle_Type],Table12[Feedback_Adjustment], 0)</f>
        <v>0</v>
      </c>
      <c r="Q92" s="82">
        <f>Table11[[#This Row],[Forecasted_Units]]*(1+Table11[[#This Row],[Adjustment_Percentage]])</f>
        <v>99.182310633242523</v>
      </c>
      <c r="R92" s="82"/>
    </row>
    <row r="93" spans="1:18">
      <c r="A93" s="54">
        <v>44735</v>
      </c>
      <c r="B93" s="15" t="s">
        <v>13</v>
      </c>
      <c r="C93" s="15" t="str">
        <f>TEXT(Table11[[#This Row],[Date]],"mmmm")</f>
        <v>June</v>
      </c>
      <c r="D93" s="15">
        <v>95</v>
      </c>
      <c r="E93" s="82">
        <f>_xlfn.FORECAST.LINEAR(Table11[[#This Row],[Date]],Table11[Units_Sold],Table11[Date])</f>
        <v>99.183474829899311</v>
      </c>
      <c r="F93" cm="1">
        <f t="array" ref="F93">_xlfn.IFS(Table11[[#This Row],[Vehicle_Type]]="SUV",250,Table11[[#This Row],[Vehicle_Type]]="Sedan",200,Table11[[#This Row],[Vehicle_Type]]="Hatchback",185,Table11[[#This Row],[Vehicle_Type]]="Electric",190,Table11[[#This Row],[Vehicle_Type]]="Truck",150)</f>
        <v>190</v>
      </c>
      <c r="G93">
        <f t="shared" ca="1" si="1"/>
        <v>23</v>
      </c>
      <c r="H93" s="82">
        <f>Table11[[#This Row],[Daily_Production]]-Table11[[#This Row],[Forecasted_Units]]</f>
        <v>90.816525170100689</v>
      </c>
      <c r="I93" cm="1">
        <f t="array" ref="I93">_xlfn.IFS(Table11[[#This Row],[Vehicle_Type]]="SUV",5,Table11[[#This Row],[Vehicle_Type]]="Sedan",7,Table11[[#This Row],[Vehicle_Type]]="Hatchback",10,Table11[[#This Row],[Vehicle_Type]]="Electric",11,Table11[[#This Row],[Vehicle_Type]]="Truck",13)</f>
        <v>11</v>
      </c>
      <c r="J93">
        <f ca="1">Table11[[#This Row],[Daily_Production]]*Table11[[#This Row],[Working_Days]]</f>
        <v>4370</v>
      </c>
      <c r="K93" s="81">
        <f>Table11[[#This Row],[Forecasted_Units]]*0.1</f>
        <v>9.9183474829899314</v>
      </c>
      <c r="L93" s="82">
        <f>Table11[[#This Row],[Adjusted_Forecast]]+Table11[[#This Row],[Safety_Stock]]-Table11[[#This Row],[Inventory_On_Hand]]</f>
        <v>18.285297142788551</v>
      </c>
      <c r="M93" s="82">
        <f ca="1">MIN(Table11[[#This Row],[Production_Needed]],Table11[[#This Row],[Production_Capacity]])</f>
        <v>18.285297142788551</v>
      </c>
      <c r="N93" s="82">
        <f ca="1">MAX(Table11[[#This Row],[Production_Needed]]-Table11[[#This Row],[Planned_Production]],0)</f>
        <v>0</v>
      </c>
      <c r="O93" s="82">
        <f ca="1">Table11[[#This Row],[Inventory_On_Hand]]+Table11[[#This Row],[Planned_Production]]-Table11[[#This Row],[Forecasted_Units]]</f>
        <v>9.9183474829899296</v>
      </c>
      <c r="P93" cm="1">
        <f t="array" ref="P93">_xlfn.XLOOKUP(Table11[[#This Row],[Date]] &amp; Table11[[#This Row],[Vehicle_Type]], Table12[Date] &amp; Table12[Vehicle_Type],Table12[Feedback_Adjustment], 0)</f>
        <v>0</v>
      </c>
      <c r="Q93" s="82">
        <f>Table11[[#This Row],[Forecasted_Units]]*(1+Table11[[#This Row],[Adjustment_Percentage]])</f>
        <v>99.183474829899311</v>
      </c>
      <c r="R93" s="82"/>
    </row>
    <row r="94" spans="1:18">
      <c r="A94" s="53">
        <v>44765</v>
      </c>
      <c r="B94" s="14" t="s">
        <v>11</v>
      </c>
      <c r="C94" s="15" t="str">
        <f>TEXT(Table11[[#This Row],[Date]],"mmmm")</f>
        <v>July</v>
      </c>
      <c r="D94" s="14">
        <v>104</v>
      </c>
      <c r="E94" s="82">
        <f>_xlfn.FORECAST.LINEAR(Table11[[#This Row],[Date]],Table11[Units_Sold],Table11[Date])</f>
        <v>99.184639026556098</v>
      </c>
      <c r="F94" cm="1">
        <f t="array" ref="F94">_xlfn.IFS(Table11[[#This Row],[Vehicle_Type]]="SUV",250,Table11[[#This Row],[Vehicle_Type]]="Sedan",200,Table11[[#This Row],[Vehicle_Type]]="Hatchback",185,Table11[[#This Row],[Vehicle_Type]]="Electric",190,Table11[[#This Row],[Vehicle_Type]]="Truck",150)</f>
        <v>185</v>
      </c>
      <c r="G94">
        <f t="shared" ca="1" si="1"/>
        <v>24</v>
      </c>
      <c r="H94" s="82">
        <f>Table11[[#This Row],[Daily_Production]]-Table11[[#This Row],[Forecasted_Units]]</f>
        <v>85.815360973443902</v>
      </c>
      <c r="I94" cm="1">
        <f t="array" ref="I94">_xlfn.IFS(Table11[[#This Row],[Vehicle_Type]]="SUV",5,Table11[[#This Row],[Vehicle_Type]]="Sedan",7,Table11[[#This Row],[Vehicle_Type]]="Hatchback",10,Table11[[#This Row],[Vehicle_Type]]="Electric",11,Table11[[#This Row],[Vehicle_Type]]="Truck",13)</f>
        <v>10</v>
      </c>
      <c r="J94">
        <f ca="1">Table11[[#This Row],[Daily_Production]]*Table11[[#This Row],[Working_Days]]</f>
        <v>4440</v>
      </c>
      <c r="K94" s="81">
        <f>Table11[[#This Row],[Forecasted_Units]]*0.1</f>
        <v>9.9184639026556098</v>
      </c>
      <c r="L94" s="82">
        <f>Table11[[#This Row],[Adjusted_Forecast]]+Table11[[#This Row],[Safety_Stock]]-Table11[[#This Row],[Inventory_On_Hand]]</f>
        <v>23.2877419557678</v>
      </c>
      <c r="M94" s="82">
        <f ca="1">MIN(Table11[[#This Row],[Production_Needed]],Table11[[#This Row],[Production_Capacity]])</f>
        <v>23.2877419557678</v>
      </c>
      <c r="N94" s="82">
        <f ca="1">MAX(Table11[[#This Row],[Production_Needed]]-Table11[[#This Row],[Planned_Production]],0)</f>
        <v>0</v>
      </c>
      <c r="O94" s="82">
        <f ca="1">Table11[[#This Row],[Inventory_On_Hand]]+Table11[[#This Row],[Planned_Production]]-Table11[[#This Row],[Forecasted_Units]]</f>
        <v>9.9184639026556027</v>
      </c>
      <c r="P94" cm="1">
        <f t="array" ref="P94">_xlfn.XLOOKUP(Table11[[#This Row],[Date]] &amp; Table11[[#This Row],[Vehicle_Type]], Table12[Date] &amp; Table12[Vehicle_Type],Table12[Feedback_Adjustment], 0)</f>
        <v>0</v>
      </c>
      <c r="Q94" s="82">
        <f>Table11[[#This Row],[Forecasted_Units]]*(1+Table11[[#This Row],[Adjustment_Percentage]])</f>
        <v>99.184639026556098</v>
      </c>
      <c r="R94" s="82"/>
    </row>
    <row r="95" spans="1:18">
      <c r="A95" s="54">
        <v>44795</v>
      </c>
      <c r="B95" s="15" t="s">
        <v>12</v>
      </c>
      <c r="C95" s="15" t="str">
        <f>TEXT(Table11[[#This Row],[Date]],"mmmm")</f>
        <v>August</v>
      </c>
      <c r="D95" s="15">
        <v>105</v>
      </c>
      <c r="E95" s="82">
        <f>_xlfn.FORECAST.LINEAR(Table11[[#This Row],[Date]],Table11[Units_Sold],Table11[Date])</f>
        <v>99.185803223212886</v>
      </c>
      <c r="F95" cm="1">
        <f t="array" ref="F95">_xlfn.IFS(Table11[[#This Row],[Vehicle_Type]]="SUV",250,Table11[[#This Row],[Vehicle_Type]]="Sedan",200,Table11[[#This Row],[Vehicle_Type]]="Hatchback",185,Table11[[#This Row],[Vehicle_Type]]="Electric",190,Table11[[#This Row],[Vehicle_Type]]="Truck",150)</f>
        <v>250</v>
      </c>
      <c r="G95">
        <f t="shared" ca="1" si="1"/>
        <v>20</v>
      </c>
      <c r="H95" s="82">
        <f>Table11[[#This Row],[Daily_Production]]-Table11[[#This Row],[Forecasted_Units]]</f>
        <v>150.81419677678713</v>
      </c>
      <c r="I95" cm="1">
        <f t="array" ref="I95">_xlfn.IFS(Table11[[#This Row],[Vehicle_Type]]="SUV",5,Table11[[#This Row],[Vehicle_Type]]="Sedan",7,Table11[[#This Row],[Vehicle_Type]]="Hatchback",10,Table11[[#This Row],[Vehicle_Type]]="Electric",11,Table11[[#This Row],[Vehicle_Type]]="Truck",13)</f>
        <v>5</v>
      </c>
      <c r="J95">
        <f ca="1">Table11[[#This Row],[Daily_Production]]*Table11[[#This Row],[Working_Days]]</f>
        <v>5000</v>
      </c>
      <c r="K95" s="81">
        <f>Table11[[#This Row],[Forecasted_Units]]*0.1</f>
        <v>9.9185803223212901</v>
      </c>
      <c r="L95" s="82">
        <f>Table11[[#This Row],[Adjusted_Forecast]]+Table11[[#This Row],[Safety_Stock]]-Table11[[#This Row],[Inventory_On_Hand]]</f>
        <v>-41.709813231252951</v>
      </c>
      <c r="M95" s="82">
        <f ca="1">MIN(Table11[[#This Row],[Production_Needed]],Table11[[#This Row],[Production_Capacity]])</f>
        <v>-41.709813231252951</v>
      </c>
      <c r="N95" s="82">
        <f ca="1">MAX(Table11[[#This Row],[Production_Needed]]-Table11[[#This Row],[Planned_Production]],0)</f>
        <v>0</v>
      </c>
      <c r="O95" s="82">
        <f ca="1">Table11[[#This Row],[Inventory_On_Hand]]+Table11[[#This Row],[Planned_Production]]-Table11[[#This Row],[Forecasted_Units]]</f>
        <v>9.9185803223212901</v>
      </c>
      <c r="P95" cm="1">
        <f t="array" ref="P95">_xlfn.XLOOKUP(Table11[[#This Row],[Date]] &amp; Table11[[#This Row],[Vehicle_Type]], Table12[Date] &amp; Table12[Vehicle_Type],Table12[Feedback_Adjustment], 0)</f>
        <v>0</v>
      </c>
      <c r="Q95" s="82">
        <f>Table11[[#This Row],[Forecasted_Units]]*(1+Table11[[#This Row],[Adjustment_Percentage]])</f>
        <v>99.185803223212886</v>
      </c>
      <c r="R95" s="82"/>
    </row>
    <row r="96" spans="1:18">
      <c r="A96" s="53">
        <v>44825</v>
      </c>
      <c r="B96" s="14" t="s">
        <v>14</v>
      </c>
      <c r="C96" s="15" t="str">
        <f>TEXT(Table11[[#This Row],[Date]],"mmmm")</f>
        <v>September</v>
      </c>
      <c r="D96" s="14">
        <v>84</v>
      </c>
      <c r="E96" s="82">
        <f>_xlfn.FORECAST.LINEAR(Table11[[#This Row],[Date]],Table11[Units_Sold],Table11[Date])</f>
        <v>99.186967419869674</v>
      </c>
      <c r="F96" cm="1">
        <f t="array" ref="F96">_xlfn.IFS(Table11[[#This Row],[Vehicle_Type]]="SUV",250,Table11[[#This Row],[Vehicle_Type]]="Sedan",200,Table11[[#This Row],[Vehicle_Type]]="Hatchback",185,Table11[[#This Row],[Vehicle_Type]]="Electric",190,Table11[[#This Row],[Vehicle_Type]]="Truck",150)</f>
        <v>150</v>
      </c>
      <c r="G96">
        <f t="shared" ca="1" si="1"/>
        <v>22</v>
      </c>
      <c r="H96" s="82">
        <f>Table11[[#This Row],[Daily_Production]]-Table11[[#This Row],[Forecasted_Units]]</f>
        <v>50.813032580130326</v>
      </c>
      <c r="I96" cm="1">
        <f t="array" ref="I96">_xlfn.IFS(Table11[[#This Row],[Vehicle_Type]]="SUV",5,Table11[[#This Row],[Vehicle_Type]]="Sedan",7,Table11[[#This Row],[Vehicle_Type]]="Hatchback",10,Table11[[#This Row],[Vehicle_Type]]="Electric",11,Table11[[#This Row],[Vehicle_Type]]="Truck",13)</f>
        <v>13</v>
      </c>
      <c r="J96">
        <f ca="1">Table11[[#This Row],[Daily_Production]]*Table11[[#This Row],[Working_Days]]</f>
        <v>3300</v>
      </c>
      <c r="K96" s="81">
        <f>Table11[[#This Row],[Forecasted_Units]]*0.1</f>
        <v>9.9186967419869685</v>
      </c>
      <c r="L96" s="82">
        <f>Table11[[#This Row],[Adjusted_Forecast]]+Table11[[#This Row],[Safety_Stock]]-Table11[[#This Row],[Inventory_On_Hand]]</f>
        <v>58.292631581726312</v>
      </c>
      <c r="M96" s="82">
        <f ca="1">MIN(Table11[[#This Row],[Production_Needed]],Table11[[#This Row],[Production_Capacity]])</f>
        <v>58.292631581726312</v>
      </c>
      <c r="N96" s="82">
        <f ca="1">MAX(Table11[[#This Row],[Production_Needed]]-Table11[[#This Row],[Planned_Production]],0)</f>
        <v>0</v>
      </c>
      <c r="O96" s="82">
        <f ca="1">Table11[[#This Row],[Inventory_On_Hand]]+Table11[[#This Row],[Planned_Production]]-Table11[[#This Row],[Forecasted_Units]]</f>
        <v>9.9186967419869632</v>
      </c>
      <c r="P96" cm="1">
        <f t="array" ref="P96">_xlfn.XLOOKUP(Table11[[#This Row],[Date]] &amp; Table11[[#This Row],[Vehicle_Type]], Table12[Date] &amp; Table12[Vehicle_Type],Table12[Feedback_Adjustment], 0)</f>
        <v>0</v>
      </c>
      <c r="Q96" s="82">
        <f>Table11[[#This Row],[Forecasted_Units]]*(1+Table11[[#This Row],[Adjustment_Percentage]])</f>
        <v>99.186967419869674</v>
      </c>
      <c r="R96" s="82"/>
    </row>
    <row r="97" spans="1:18">
      <c r="A97" s="54">
        <v>44855</v>
      </c>
      <c r="B97" s="15" t="s">
        <v>14</v>
      </c>
      <c r="C97" s="15" t="str">
        <f>TEXT(Table11[[#This Row],[Date]],"mmmm")</f>
        <v>October</v>
      </c>
      <c r="D97" s="15">
        <v>93</v>
      </c>
      <c r="E97" s="82">
        <f>_xlfn.FORECAST.LINEAR(Table11[[#This Row],[Date]],Table11[Units_Sold],Table11[Date])</f>
        <v>99.188131616526462</v>
      </c>
      <c r="F97" cm="1">
        <f t="array" ref="F97">_xlfn.IFS(Table11[[#This Row],[Vehicle_Type]]="SUV",250,Table11[[#This Row],[Vehicle_Type]]="Sedan",200,Table11[[#This Row],[Vehicle_Type]]="Hatchback",185,Table11[[#This Row],[Vehicle_Type]]="Electric",190,Table11[[#This Row],[Vehicle_Type]]="Truck",150)</f>
        <v>150</v>
      </c>
      <c r="G97">
        <f t="shared" ca="1" si="1"/>
        <v>22</v>
      </c>
      <c r="H97" s="82">
        <f>Table11[[#This Row],[Daily_Production]]-Table11[[#This Row],[Forecasted_Units]]</f>
        <v>50.811868383473538</v>
      </c>
      <c r="I97" cm="1">
        <f t="array" ref="I97">_xlfn.IFS(Table11[[#This Row],[Vehicle_Type]]="SUV",5,Table11[[#This Row],[Vehicle_Type]]="Sedan",7,Table11[[#This Row],[Vehicle_Type]]="Hatchback",10,Table11[[#This Row],[Vehicle_Type]]="Electric",11,Table11[[#This Row],[Vehicle_Type]]="Truck",13)</f>
        <v>13</v>
      </c>
      <c r="J97">
        <f ca="1">Table11[[#This Row],[Daily_Production]]*Table11[[#This Row],[Working_Days]]</f>
        <v>3300</v>
      </c>
      <c r="K97" s="81">
        <f>Table11[[#This Row],[Forecasted_Units]]*0.1</f>
        <v>9.9188131616526469</v>
      </c>
      <c r="L97" s="82">
        <f>Table11[[#This Row],[Adjusted_Forecast]]+Table11[[#This Row],[Safety_Stock]]-Table11[[#This Row],[Inventory_On_Hand]]</f>
        <v>58.295076394705575</v>
      </c>
      <c r="M97" s="82">
        <f ca="1">MIN(Table11[[#This Row],[Production_Needed]],Table11[[#This Row],[Production_Capacity]])</f>
        <v>58.295076394705575</v>
      </c>
      <c r="N97" s="82">
        <f ca="1">MAX(Table11[[#This Row],[Production_Needed]]-Table11[[#This Row],[Planned_Production]],0)</f>
        <v>0</v>
      </c>
      <c r="O97" s="82">
        <f ca="1">Table11[[#This Row],[Inventory_On_Hand]]+Table11[[#This Row],[Planned_Production]]-Table11[[#This Row],[Forecasted_Units]]</f>
        <v>9.9188131616526505</v>
      </c>
      <c r="P97" cm="1">
        <f t="array" ref="P97">_xlfn.XLOOKUP(Table11[[#This Row],[Date]] &amp; Table11[[#This Row],[Vehicle_Type]], Table12[Date] &amp; Table12[Vehicle_Type],Table12[Feedback_Adjustment], 0)</f>
        <v>0</v>
      </c>
      <c r="Q97" s="82">
        <f>Table11[[#This Row],[Forecasted_Units]]*(1+Table11[[#This Row],[Adjustment_Percentage]])</f>
        <v>99.188131616526462</v>
      </c>
      <c r="R97" s="82"/>
    </row>
    <row r="98" spans="1:18">
      <c r="A98" s="53">
        <v>44885</v>
      </c>
      <c r="B98" s="14" t="s">
        <v>14</v>
      </c>
      <c r="C98" s="15" t="str">
        <f>TEXT(Table11[[#This Row],[Date]],"mmmm")</f>
        <v>November</v>
      </c>
      <c r="D98" s="14">
        <v>115</v>
      </c>
      <c r="E98" s="82">
        <f>_xlfn.FORECAST.LINEAR(Table11[[#This Row],[Date]],Table11[Units_Sold],Table11[Date])</f>
        <v>99.18929581318325</v>
      </c>
      <c r="F98" cm="1">
        <f t="array" ref="F98">_xlfn.IFS(Table11[[#This Row],[Vehicle_Type]]="SUV",250,Table11[[#This Row],[Vehicle_Type]]="Sedan",200,Table11[[#This Row],[Vehicle_Type]]="Hatchback",185,Table11[[#This Row],[Vehicle_Type]]="Electric",190,Table11[[#This Row],[Vehicle_Type]]="Truck",150)</f>
        <v>150</v>
      </c>
      <c r="G98">
        <f t="shared" ca="1" si="1"/>
        <v>24</v>
      </c>
      <c r="H98" s="82">
        <f>Table11[[#This Row],[Daily_Production]]-Table11[[#This Row],[Forecasted_Units]]</f>
        <v>50.81070418681675</v>
      </c>
      <c r="I98" cm="1">
        <f t="array" ref="I98">_xlfn.IFS(Table11[[#This Row],[Vehicle_Type]]="SUV",5,Table11[[#This Row],[Vehicle_Type]]="Sedan",7,Table11[[#This Row],[Vehicle_Type]]="Hatchback",10,Table11[[#This Row],[Vehicle_Type]]="Electric",11,Table11[[#This Row],[Vehicle_Type]]="Truck",13)</f>
        <v>13</v>
      </c>
      <c r="J98">
        <f ca="1">Table11[[#This Row],[Daily_Production]]*Table11[[#This Row],[Working_Days]]</f>
        <v>3600</v>
      </c>
      <c r="K98" s="81">
        <f>Table11[[#This Row],[Forecasted_Units]]*0.1</f>
        <v>9.9189295813183254</v>
      </c>
      <c r="L98" s="82">
        <f>Table11[[#This Row],[Adjusted_Forecast]]+Table11[[#This Row],[Safety_Stock]]-Table11[[#This Row],[Inventory_On_Hand]]</f>
        <v>58.297521207684824</v>
      </c>
      <c r="M98" s="82">
        <f ca="1">MIN(Table11[[#This Row],[Production_Needed]],Table11[[#This Row],[Production_Capacity]])</f>
        <v>58.297521207684824</v>
      </c>
      <c r="N98" s="82">
        <f ca="1">MAX(Table11[[#This Row],[Production_Needed]]-Table11[[#This Row],[Planned_Production]],0)</f>
        <v>0</v>
      </c>
      <c r="O98" s="82">
        <f ca="1">Table11[[#This Row],[Inventory_On_Hand]]+Table11[[#This Row],[Planned_Production]]-Table11[[#This Row],[Forecasted_Units]]</f>
        <v>9.9189295813183236</v>
      </c>
      <c r="P98" cm="1">
        <f t="array" ref="P98">_xlfn.XLOOKUP(Table11[[#This Row],[Date]] &amp; Table11[[#This Row],[Vehicle_Type]], Table12[Date] &amp; Table12[Vehicle_Type],Table12[Feedback_Adjustment], 0)</f>
        <v>0</v>
      </c>
      <c r="Q98" s="82">
        <f>Table11[[#This Row],[Forecasted_Units]]*(1+Table11[[#This Row],[Adjustment_Percentage]])</f>
        <v>99.18929581318325</v>
      </c>
      <c r="R98" s="82"/>
    </row>
    <row r="99" spans="1:18">
      <c r="A99" s="54">
        <v>44915</v>
      </c>
      <c r="B99" s="15" t="s">
        <v>12</v>
      </c>
      <c r="C99" s="15" t="str">
        <f>TEXT(Table11[[#This Row],[Date]],"mmmm")</f>
        <v>December</v>
      </c>
      <c r="D99" s="15">
        <v>109</v>
      </c>
      <c r="E99" s="82">
        <f>_xlfn.FORECAST.LINEAR(Table11[[#This Row],[Date]],Table11[Units_Sold],Table11[Date])</f>
        <v>99.190460009840038</v>
      </c>
      <c r="F99" cm="1">
        <f t="array" ref="F99">_xlfn.IFS(Table11[[#This Row],[Vehicle_Type]]="SUV",250,Table11[[#This Row],[Vehicle_Type]]="Sedan",200,Table11[[#This Row],[Vehicle_Type]]="Hatchback",185,Table11[[#This Row],[Vehicle_Type]]="Electric",190,Table11[[#This Row],[Vehicle_Type]]="Truck",150)</f>
        <v>250</v>
      </c>
      <c r="G99">
        <f t="shared" ca="1" si="1"/>
        <v>25</v>
      </c>
      <c r="H99" s="82">
        <f>Table11[[#This Row],[Daily_Production]]-Table11[[#This Row],[Forecasted_Units]]</f>
        <v>150.80953999015998</v>
      </c>
      <c r="I99" cm="1">
        <f t="array" ref="I99">_xlfn.IFS(Table11[[#This Row],[Vehicle_Type]]="SUV",5,Table11[[#This Row],[Vehicle_Type]]="Sedan",7,Table11[[#This Row],[Vehicle_Type]]="Hatchback",10,Table11[[#This Row],[Vehicle_Type]]="Electric",11,Table11[[#This Row],[Vehicle_Type]]="Truck",13)</f>
        <v>5</v>
      </c>
      <c r="J99">
        <f ca="1">Table11[[#This Row],[Daily_Production]]*Table11[[#This Row],[Working_Days]]</f>
        <v>6250</v>
      </c>
      <c r="K99" s="81">
        <f>Table11[[#This Row],[Forecasted_Units]]*0.1</f>
        <v>9.9190460009840038</v>
      </c>
      <c r="L99" s="82">
        <f>Table11[[#This Row],[Adjusted_Forecast]]+Table11[[#This Row],[Safety_Stock]]-Table11[[#This Row],[Inventory_On_Hand]]</f>
        <v>-41.700033979335927</v>
      </c>
      <c r="M99" s="82">
        <f ca="1">MIN(Table11[[#This Row],[Production_Needed]],Table11[[#This Row],[Production_Capacity]])</f>
        <v>-41.700033979335927</v>
      </c>
      <c r="N99" s="82">
        <f ca="1">MAX(Table11[[#This Row],[Production_Needed]]-Table11[[#This Row],[Planned_Production]],0)</f>
        <v>0</v>
      </c>
      <c r="O99" s="82">
        <f ca="1">Table11[[#This Row],[Inventory_On_Hand]]+Table11[[#This Row],[Planned_Production]]-Table11[[#This Row],[Forecasted_Units]]</f>
        <v>9.9190460009840109</v>
      </c>
      <c r="P99" cm="1">
        <f t="array" ref="P99">_xlfn.XLOOKUP(Table11[[#This Row],[Date]] &amp; Table11[[#This Row],[Vehicle_Type]], Table12[Date] &amp; Table12[Vehicle_Type],Table12[Feedback_Adjustment], 0)</f>
        <v>0</v>
      </c>
      <c r="Q99" s="82">
        <f>Table11[[#This Row],[Forecasted_Units]]*(1+Table11[[#This Row],[Adjustment_Percentage]])</f>
        <v>99.190460009840038</v>
      </c>
      <c r="R99" s="82"/>
    </row>
    <row r="100" spans="1:18">
      <c r="A100" s="53">
        <v>44945</v>
      </c>
      <c r="B100" s="14" t="s">
        <v>11</v>
      </c>
      <c r="C100" s="15" t="str">
        <f>TEXT(Table11[[#This Row],[Date]],"mmmm")</f>
        <v>January</v>
      </c>
      <c r="D100" s="14">
        <v>102</v>
      </c>
      <c r="E100" s="82">
        <f>_xlfn.FORECAST.LINEAR(Table11[[#This Row],[Date]],Table11[Units_Sold],Table11[Date])</f>
        <v>99.191624206496826</v>
      </c>
      <c r="F100" cm="1">
        <f t="array" ref="F100">_xlfn.IFS(Table11[[#This Row],[Vehicle_Type]]="SUV",250,Table11[[#This Row],[Vehicle_Type]]="Sedan",200,Table11[[#This Row],[Vehicle_Type]]="Hatchback",185,Table11[[#This Row],[Vehicle_Type]]="Electric",190,Table11[[#This Row],[Vehicle_Type]]="Truck",150)</f>
        <v>185</v>
      </c>
      <c r="G100">
        <f t="shared" ca="1" si="1"/>
        <v>25</v>
      </c>
      <c r="H100" s="82">
        <f>Table11[[#This Row],[Daily_Production]]-Table11[[#This Row],[Forecasted_Units]]</f>
        <v>85.808375793503174</v>
      </c>
      <c r="I100" cm="1">
        <f t="array" ref="I100">_xlfn.IFS(Table11[[#This Row],[Vehicle_Type]]="SUV",5,Table11[[#This Row],[Vehicle_Type]]="Sedan",7,Table11[[#This Row],[Vehicle_Type]]="Hatchback",10,Table11[[#This Row],[Vehicle_Type]]="Electric",11,Table11[[#This Row],[Vehicle_Type]]="Truck",13)</f>
        <v>10</v>
      </c>
      <c r="J100">
        <f ca="1">Table11[[#This Row],[Daily_Production]]*Table11[[#This Row],[Working_Days]]</f>
        <v>4625</v>
      </c>
      <c r="K100" s="81">
        <f>Table11[[#This Row],[Forecasted_Units]]*0.1</f>
        <v>9.919162420649684</v>
      </c>
      <c r="L100" s="82">
        <f>Table11[[#This Row],[Adjusted_Forecast]]+Table11[[#This Row],[Safety_Stock]]-Table11[[#This Row],[Inventory_On_Hand]]</f>
        <v>23.302410833643336</v>
      </c>
      <c r="M100" s="82">
        <f ca="1">MIN(Table11[[#This Row],[Production_Needed]],Table11[[#This Row],[Production_Capacity]])</f>
        <v>23.302410833643336</v>
      </c>
      <c r="N100" s="82">
        <f ca="1">MAX(Table11[[#This Row],[Production_Needed]]-Table11[[#This Row],[Planned_Production]],0)</f>
        <v>0</v>
      </c>
      <c r="O100" s="82">
        <f ca="1">Table11[[#This Row],[Inventory_On_Hand]]+Table11[[#This Row],[Planned_Production]]-Table11[[#This Row],[Forecasted_Units]]</f>
        <v>9.919162420649684</v>
      </c>
      <c r="P100" cm="1">
        <f t="array" ref="P100">_xlfn.XLOOKUP(Table11[[#This Row],[Date]] &amp; Table11[[#This Row],[Vehicle_Type]], Table12[Date] &amp; Table12[Vehicle_Type],Table12[Feedback_Adjustment], 0)</f>
        <v>0</v>
      </c>
      <c r="Q100" s="82">
        <f>Table11[[#This Row],[Forecasted_Units]]*(1+Table11[[#This Row],[Adjustment_Percentage]])</f>
        <v>99.191624206496826</v>
      </c>
      <c r="R100" s="82"/>
    </row>
    <row r="101" spans="1:18">
      <c r="A101" s="54">
        <v>44975</v>
      </c>
      <c r="B101" s="15" t="s">
        <v>12</v>
      </c>
      <c r="C101" s="15" t="str">
        <f>TEXT(Table11[[#This Row],[Date]],"mmmm")</f>
        <v>February</v>
      </c>
      <c r="D101" s="15">
        <v>100</v>
      </c>
      <c r="E101" s="82">
        <f>_xlfn.FORECAST.LINEAR(Table11[[#This Row],[Date]],Table11[Units_Sold],Table11[Date])</f>
        <v>99.1927884031536</v>
      </c>
      <c r="F101" cm="1">
        <f t="array" ref="F101">_xlfn.IFS(Table11[[#This Row],[Vehicle_Type]]="SUV",250,Table11[[#This Row],[Vehicle_Type]]="Sedan",200,Table11[[#This Row],[Vehicle_Type]]="Hatchback",185,Table11[[#This Row],[Vehicle_Type]]="Electric",190,Table11[[#This Row],[Vehicle_Type]]="Truck",150)</f>
        <v>250</v>
      </c>
      <c r="G101">
        <f t="shared" ca="1" si="1"/>
        <v>20</v>
      </c>
      <c r="H101" s="82">
        <f>Table11[[#This Row],[Daily_Production]]-Table11[[#This Row],[Forecasted_Units]]</f>
        <v>150.8072115968464</v>
      </c>
      <c r="I101" cm="1">
        <f t="array" ref="I101">_xlfn.IFS(Table11[[#This Row],[Vehicle_Type]]="SUV",5,Table11[[#This Row],[Vehicle_Type]]="Sedan",7,Table11[[#This Row],[Vehicle_Type]]="Hatchback",10,Table11[[#This Row],[Vehicle_Type]]="Electric",11,Table11[[#This Row],[Vehicle_Type]]="Truck",13)</f>
        <v>5</v>
      </c>
      <c r="J101">
        <f ca="1">Table11[[#This Row],[Daily_Production]]*Table11[[#This Row],[Working_Days]]</f>
        <v>5000</v>
      </c>
      <c r="K101" s="81">
        <f>Table11[[#This Row],[Forecasted_Units]]*0.1</f>
        <v>9.9192788403153607</v>
      </c>
      <c r="L101" s="82">
        <f>Table11[[#This Row],[Adjusted_Forecast]]+Table11[[#This Row],[Safety_Stock]]-Table11[[#This Row],[Inventory_On_Hand]]</f>
        <v>-41.695144353377444</v>
      </c>
      <c r="M101" s="82">
        <f ca="1">MIN(Table11[[#This Row],[Production_Needed]],Table11[[#This Row],[Production_Capacity]])</f>
        <v>-41.695144353377444</v>
      </c>
      <c r="N101" s="82">
        <f ca="1">MAX(Table11[[#This Row],[Production_Needed]]-Table11[[#This Row],[Planned_Production]],0)</f>
        <v>0</v>
      </c>
      <c r="O101" s="82">
        <f ca="1">Table11[[#This Row],[Inventory_On_Hand]]+Table11[[#This Row],[Planned_Production]]-Table11[[#This Row],[Forecasted_Units]]</f>
        <v>9.9192788403153571</v>
      </c>
      <c r="P101" cm="1">
        <f t="array" ref="P101">_xlfn.XLOOKUP(Table11[[#This Row],[Date]] &amp; Table11[[#This Row],[Vehicle_Type]], Table12[Date] &amp; Table12[Vehicle_Type],Table12[Feedback_Adjustment], 0)</f>
        <v>0</v>
      </c>
      <c r="Q101" s="82">
        <f>Table11[[#This Row],[Forecasted_Units]]*(1+Table11[[#This Row],[Adjustment_Percentage]])</f>
        <v>99.1927884031536</v>
      </c>
      <c r="R101" s="82"/>
    </row>
    <row r="102" spans="1:18">
      <c r="A102" s="53">
        <v>45005</v>
      </c>
      <c r="B102" s="14" t="s">
        <v>12</v>
      </c>
      <c r="C102" s="15" t="str">
        <f>TEXT(Table11[[#This Row],[Date]],"mmmm")</f>
        <v>March</v>
      </c>
      <c r="D102" s="14">
        <v>93</v>
      </c>
      <c r="E102" s="82">
        <f>_xlfn.FORECAST.LINEAR(Table11[[#This Row],[Date]],Table11[Units_Sold],Table11[Date])</f>
        <v>99.193952599810387</v>
      </c>
      <c r="F102" cm="1">
        <f t="array" ref="F102">_xlfn.IFS(Table11[[#This Row],[Vehicle_Type]]="SUV",250,Table11[[#This Row],[Vehicle_Type]]="Sedan",200,Table11[[#This Row],[Vehicle_Type]]="Hatchback",185,Table11[[#This Row],[Vehicle_Type]]="Electric",190,Table11[[#This Row],[Vehicle_Type]]="Truck",150)</f>
        <v>250</v>
      </c>
      <c r="G102">
        <f t="shared" ca="1" si="1"/>
        <v>20</v>
      </c>
      <c r="H102" s="82">
        <f>Table11[[#This Row],[Daily_Production]]-Table11[[#This Row],[Forecasted_Units]]</f>
        <v>150.80604740018961</v>
      </c>
      <c r="I102" cm="1">
        <f t="array" ref="I102">_xlfn.IFS(Table11[[#This Row],[Vehicle_Type]]="SUV",5,Table11[[#This Row],[Vehicle_Type]]="Sedan",7,Table11[[#This Row],[Vehicle_Type]]="Hatchback",10,Table11[[#This Row],[Vehicle_Type]]="Electric",11,Table11[[#This Row],[Vehicle_Type]]="Truck",13)</f>
        <v>5</v>
      </c>
      <c r="J102">
        <f ca="1">Table11[[#This Row],[Daily_Production]]*Table11[[#This Row],[Working_Days]]</f>
        <v>5000</v>
      </c>
      <c r="K102" s="81">
        <f>Table11[[#This Row],[Forecasted_Units]]*0.1</f>
        <v>9.9193952599810391</v>
      </c>
      <c r="L102" s="82">
        <f>Table11[[#This Row],[Adjusted_Forecast]]+Table11[[#This Row],[Safety_Stock]]-Table11[[#This Row],[Inventory_On_Hand]]</f>
        <v>-41.692699540398181</v>
      </c>
      <c r="M102" s="82">
        <f ca="1">MIN(Table11[[#This Row],[Production_Needed]],Table11[[#This Row],[Production_Capacity]])</f>
        <v>-41.692699540398181</v>
      </c>
      <c r="N102" s="82">
        <f ca="1">MAX(Table11[[#This Row],[Production_Needed]]-Table11[[#This Row],[Planned_Production]],0)</f>
        <v>0</v>
      </c>
      <c r="O102" s="82">
        <f ca="1">Table11[[#This Row],[Inventory_On_Hand]]+Table11[[#This Row],[Planned_Production]]-Table11[[#This Row],[Forecasted_Units]]</f>
        <v>9.9193952599810444</v>
      </c>
      <c r="P102" cm="1">
        <f t="array" ref="P102">_xlfn.XLOOKUP(Table11[[#This Row],[Date]] &amp; Table11[[#This Row],[Vehicle_Type]], Table12[Date] &amp; Table12[Vehicle_Type],Table12[Feedback_Adjustment], 0)</f>
        <v>0</v>
      </c>
      <c r="Q102" s="82">
        <f>Table11[[#This Row],[Forecasted_Units]]*(1+Table11[[#This Row],[Adjustment_Percentage]])</f>
        <v>99.193952599810387</v>
      </c>
      <c r="R102" s="82"/>
    </row>
    <row r="103" spans="1:18">
      <c r="A103" s="54">
        <v>45035</v>
      </c>
      <c r="B103" s="15" t="s">
        <v>13</v>
      </c>
      <c r="C103" s="15" t="str">
        <f>TEXT(Table11[[#This Row],[Date]],"mmmm")</f>
        <v>April</v>
      </c>
      <c r="D103" s="15">
        <f>IF(ISBLANK(D56), P57, D56)</f>
        <v>121</v>
      </c>
      <c r="E103" s="82">
        <f>_xlfn.FORECAST.LINEAR(Table11[[#This Row],[Date]],Table11[Units_Sold],Table11[Date])</f>
        <v>99.195116796467175</v>
      </c>
      <c r="F103" cm="1">
        <f t="array" ref="F103">_xlfn.IFS(Table11[[#This Row],[Vehicle_Type]]="SUV",250,Table11[[#This Row],[Vehicle_Type]]="Sedan",200,Table11[[#This Row],[Vehicle_Type]]="Hatchback",185,Table11[[#This Row],[Vehicle_Type]]="Electric",190,Table11[[#This Row],[Vehicle_Type]]="Truck",150)</f>
        <v>190</v>
      </c>
      <c r="G103">
        <f t="shared" ca="1" si="1"/>
        <v>21</v>
      </c>
      <c r="H103" s="82">
        <f>Table11[[#This Row],[Daily_Production]]-Table11[[#This Row],[Forecasted_Units]]</f>
        <v>90.804883203532825</v>
      </c>
      <c r="I103" cm="1">
        <f t="array" ref="I103">_xlfn.IFS(Table11[[#This Row],[Vehicle_Type]]="SUV",5,Table11[[#This Row],[Vehicle_Type]]="Sedan",7,Table11[[#This Row],[Vehicle_Type]]="Hatchback",10,Table11[[#This Row],[Vehicle_Type]]="Electric",11,Table11[[#This Row],[Vehicle_Type]]="Truck",13)</f>
        <v>11</v>
      </c>
      <c r="J103">
        <f ca="1">Table11[[#This Row],[Daily_Production]]*Table11[[#This Row],[Working_Days]]</f>
        <v>3990</v>
      </c>
      <c r="K103" s="81">
        <f>Table11[[#This Row],[Forecasted_Units]]*0.1</f>
        <v>9.9195116796467175</v>
      </c>
      <c r="L103" s="82">
        <f>Table11[[#This Row],[Adjusted_Forecast]]+Table11[[#This Row],[Safety_Stock]]-Table11[[#This Row],[Inventory_On_Hand]]</f>
        <v>18.309745272581068</v>
      </c>
      <c r="M103" s="82">
        <f ca="1">MIN(Table11[[#This Row],[Production_Needed]],Table11[[#This Row],[Production_Capacity]])</f>
        <v>18.309745272581068</v>
      </c>
      <c r="N103" s="82">
        <f ca="1">MAX(Table11[[#This Row],[Production_Needed]]-Table11[[#This Row],[Planned_Production]],0)</f>
        <v>0</v>
      </c>
      <c r="O103" s="82">
        <f ca="1">Table11[[#This Row],[Inventory_On_Hand]]+Table11[[#This Row],[Planned_Production]]-Table11[[#This Row],[Forecasted_Units]]</f>
        <v>9.9195116796467175</v>
      </c>
      <c r="P103" cm="1">
        <f t="array" ref="P103">_xlfn.XLOOKUP(Table11[[#This Row],[Date]] &amp; Table11[[#This Row],[Vehicle_Type]], Table12[Date] &amp; Table12[Vehicle_Type],Table12[Feedback_Adjustment], 0)</f>
        <v>0</v>
      </c>
      <c r="Q103" s="82">
        <f>Table11[[#This Row],[Forecasted_Units]]*(1+Table11[[#This Row],[Adjustment_Percentage]])</f>
        <v>99.195116796467175</v>
      </c>
      <c r="R103" s="82"/>
    </row>
    <row r="104" spans="1:18">
      <c r="A104" s="53">
        <v>45065</v>
      </c>
      <c r="B104" s="14" t="s">
        <v>13</v>
      </c>
      <c r="C104" s="15" t="str">
        <f>TEXT(Table11[[#This Row],[Date]],"mmmm")</f>
        <v>May</v>
      </c>
      <c r="D104" s="14">
        <v>117</v>
      </c>
      <c r="E104" s="82">
        <f>_xlfn.FORECAST.LINEAR(Table11[[#This Row],[Date]],Table11[Units_Sold],Table11[Date])</f>
        <v>99.196280993123963</v>
      </c>
      <c r="F104" cm="1">
        <f t="array" ref="F104">_xlfn.IFS(Table11[[#This Row],[Vehicle_Type]]="SUV",250,Table11[[#This Row],[Vehicle_Type]]="Sedan",200,Table11[[#This Row],[Vehicle_Type]]="Hatchback",185,Table11[[#This Row],[Vehicle_Type]]="Electric",190,Table11[[#This Row],[Vehicle_Type]]="Truck",150)</f>
        <v>190</v>
      </c>
      <c r="G104">
        <f t="shared" ca="1" si="1"/>
        <v>24</v>
      </c>
      <c r="H104" s="82">
        <f>Table11[[#This Row],[Daily_Production]]-Table11[[#This Row],[Forecasted_Units]]</f>
        <v>90.803719006876037</v>
      </c>
      <c r="I104" cm="1">
        <f t="array" ref="I104">_xlfn.IFS(Table11[[#This Row],[Vehicle_Type]]="SUV",5,Table11[[#This Row],[Vehicle_Type]]="Sedan",7,Table11[[#This Row],[Vehicle_Type]]="Hatchback",10,Table11[[#This Row],[Vehicle_Type]]="Electric",11,Table11[[#This Row],[Vehicle_Type]]="Truck",13)</f>
        <v>11</v>
      </c>
      <c r="J104">
        <f ca="1">Table11[[#This Row],[Daily_Production]]*Table11[[#This Row],[Working_Days]]</f>
        <v>4560</v>
      </c>
      <c r="K104" s="81">
        <f>Table11[[#This Row],[Forecasted_Units]]*0.1</f>
        <v>9.9196280993123978</v>
      </c>
      <c r="L104" s="82">
        <f>Table11[[#This Row],[Adjusted_Forecast]]+Table11[[#This Row],[Safety_Stock]]-Table11[[#This Row],[Inventory_On_Hand]]</f>
        <v>18.312190085560331</v>
      </c>
      <c r="M104" s="82">
        <f ca="1">MIN(Table11[[#This Row],[Production_Needed]],Table11[[#This Row],[Production_Capacity]])</f>
        <v>18.312190085560331</v>
      </c>
      <c r="N104" s="82">
        <f ca="1">MAX(Table11[[#This Row],[Production_Needed]]-Table11[[#This Row],[Planned_Production]],0)</f>
        <v>0</v>
      </c>
      <c r="O104" s="82">
        <f ca="1">Table11[[#This Row],[Inventory_On_Hand]]+Table11[[#This Row],[Planned_Production]]-Table11[[#This Row],[Forecasted_Units]]</f>
        <v>9.9196280993124049</v>
      </c>
      <c r="P104" cm="1">
        <f t="array" ref="P104">_xlfn.XLOOKUP(Table11[[#This Row],[Date]] &amp; Table11[[#This Row],[Vehicle_Type]], Table12[Date] &amp; Table12[Vehicle_Type],Table12[Feedback_Adjustment], 0)</f>
        <v>0</v>
      </c>
      <c r="Q104" s="82">
        <f>Table11[[#This Row],[Forecasted_Units]]*(1+Table11[[#This Row],[Adjustment_Percentage]])</f>
        <v>99.196280993123963</v>
      </c>
      <c r="R104" s="82"/>
    </row>
    <row r="105" spans="1:18">
      <c r="A105" s="54">
        <v>45095</v>
      </c>
      <c r="B105" s="15" t="s">
        <v>11</v>
      </c>
      <c r="C105" s="15" t="str">
        <f>TEXT(Table11[[#This Row],[Date]],"mmmm")</f>
        <v>June</v>
      </c>
      <c r="D105" s="15">
        <v>98</v>
      </c>
      <c r="E105" s="82">
        <f>_xlfn.FORECAST.LINEAR(Table11[[#This Row],[Date]],Table11[Units_Sold],Table11[Date])</f>
        <v>99.197445189780751</v>
      </c>
      <c r="F105" cm="1">
        <f t="array" ref="F105">_xlfn.IFS(Table11[[#This Row],[Vehicle_Type]]="SUV",250,Table11[[#This Row],[Vehicle_Type]]="Sedan",200,Table11[[#This Row],[Vehicle_Type]]="Hatchback",185,Table11[[#This Row],[Vehicle_Type]]="Electric",190,Table11[[#This Row],[Vehicle_Type]]="Truck",150)</f>
        <v>185</v>
      </c>
      <c r="G105">
        <f t="shared" ca="1" si="1"/>
        <v>23</v>
      </c>
      <c r="H105" s="82">
        <f>Table11[[#This Row],[Daily_Production]]-Table11[[#This Row],[Forecasted_Units]]</f>
        <v>85.802554810219249</v>
      </c>
      <c r="I105" cm="1">
        <f t="array" ref="I105">_xlfn.IFS(Table11[[#This Row],[Vehicle_Type]]="SUV",5,Table11[[#This Row],[Vehicle_Type]]="Sedan",7,Table11[[#This Row],[Vehicle_Type]]="Hatchback",10,Table11[[#This Row],[Vehicle_Type]]="Electric",11,Table11[[#This Row],[Vehicle_Type]]="Truck",13)</f>
        <v>10</v>
      </c>
      <c r="J105">
        <f ca="1">Table11[[#This Row],[Daily_Production]]*Table11[[#This Row],[Working_Days]]</f>
        <v>4255</v>
      </c>
      <c r="K105" s="81">
        <f>Table11[[#This Row],[Forecasted_Units]]*0.1</f>
        <v>9.9197445189780762</v>
      </c>
      <c r="L105" s="82">
        <f>Table11[[#This Row],[Adjusted_Forecast]]+Table11[[#This Row],[Safety_Stock]]-Table11[[#This Row],[Inventory_On_Hand]]</f>
        <v>23.31463489853958</v>
      </c>
      <c r="M105" s="82">
        <f ca="1">MIN(Table11[[#This Row],[Production_Needed]],Table11[[#This Row],[Production_Capacity]])</f>
        <v>23.31463489853958</v>
      </c>
      <c r="N105" s="82">
        <f ca="1">MAX(Table11[[#This Row],[Production_Needed]]-Table11[[#This Row],[Planned_Production]],0)</f>
        <v>0</v>
      </c>
      <c r="O105" s="82">
        <f ca="1">Table11[[#This Row],[Inventory_On_Hand]]+Table11[[#This Row],[Planned_Production]]-Table11[[#This Row],[Forecasted_Units]]</f>
        <v>9.919744518978078</v>
      </c>
      <c r="P105" cm="1">
        <f t="array" ref="P105">_xlfn.XLOOKUP(Table11[[#This Row],[Date]] &amp; Table11[[#This Row],[Vehicle_Type]], Table12[Date] &amp; Table12[Vehicle_Type],Table12[Feedback_Adjustment], 0)</f>
        <v>0</v>
      </c>
      <c r="Q105" s="82">
        <f>Table11[[#This Row],[Forecasted_Units]]*(1+Table11[[#This Row],[Adjustment_Percentage]])</f>
        <v>99.197445189780751</v>
      </c>
      <c r="R105" s="82"/>
    </row>
    <row r="106" spans="1:18">
      <c r="A106" s="53">
        <v>45125</v>
      </c>
      <c r="B106" s="14" t="s">
        <v>13</v>
      </c>
      <c r="C106" s="15" t="str">
        <f>TEXT(Table11[[#This Row],[Date]],"mmmm")</f>
        <v>July</v>
      </c>
      <c r="D106" s="14">
        <v>94</v>
      </c>
      <c r="E106" s="82">
        <f>_xlfn.FORECAST.LINEAR(Table11[[#This Row],[Date]],Table11[Units_Sold],Table11[Date])</f>
        <v>99.198609386437539</v>
      </c>
      <c r="F106" cm="1">
        <f t="array" ref="F106">_xlfn.IFS(Table11[[#This Row],[Vehicle_Type]]="SUV",250,Table11[[#This Row],[Vehicle_Type]]="Sedan",200,Table11[[#This Row],[Vehicle_Type]]="Hatchback",185,Table11[[#This Row],[Vehicle_Type]]="Electric",190,Table11[[#This Row],[Vehicle_Type]]="Truck",150)</f>
        <v>190</v>
      </c>
      <c r="G106">
        <f t="shared" ca="1" si="1"/>
        <v>21</v>
      </c>
      <c r="H106" s="82">
        <f>Table11[[#This Row],[Daily_Production]]-Table11[[#This Row],[Forecasted_Units]]</f>
        <v>90.801390613562461</v>
      </c>
      <c r="I106" cm="1">
        <f t="array" ref="I106">_xlfn.IFS(Table11[[#This Row],[Vehicle_Type]]="SUV",5,Table11[[#This Row],[Vehicle_Type]]="Sedan",7,Table11[[#This Row],[Vehicle_Type]]="Hatchback",10,Table11[[#This Row],[Vehicle_Type]]="Electric",11,Table11[[#This Row],[Vehicle_Type]]="Truck",13)</f>
        <v>11</v>
      </c>
      <c r="J106">
        <f ca="1">Table11[[#This Row],[Daily_Production]]*Table11[[#This Row],[Working_Days]]</f>
        <v>3990</v>
      </c>
      <c r="K106" s="81">
        <f>Table11[[#This Row],[Forecasted_Units]]*0.1</f>
        <v>9.9198609386437546</v>
      </c>
      <c r="L106" s="82">
        <f>Table11[[#This Row],[Adjusted_Forecast]]+Table11[[#This Row],[Safety_Stock]]-Table11[[#This Row],[Inventory_On_Hand]]</f>
        <v>18.317079711518829</v>
      </c>
      <c r="M106" s="82">
        <f ca="1">MIN(Table11[[#This Row],[Production_Needed]],Table11[[#This Row],[Production_Capacity]])</f>
        <v>18.317079711518829</v>
      </c>
      <c r="N106" s="82">
        <f ca="1">MAX(Table11[[#This Row],[Production_Needed]]-Table11[[#This Row],[Planned_Production]],0)</f>
        <v>0</v>
      </c>
      <c r="O106" s="82">
        <f ca="1">Table11[[#This Row],[Inventory_On_Hand]]+Table11[[#This Row],[Planned_Production]]-Table11[[#This Row],[Forecasted_Units]]</f>
        <v>9.9198609386437511</v>
      </c>
      <c r="P106" cm="1">
        <f t="array" ref="P106">_xlfn.XLOOKUP(Table11[[#This Row],[Date]] &amp; Table11[[#This Row],[Vehicle_Type]], Table12[Date] &amp; Table12[Vehicle_Type],Table12[Feedback_Adjustment], 0)</f>
        <v>0</v>
      </c>
      <c r="Q106" s="82">
        <f>Table11[[#This Row],[Forecasted_Units]]*(1+Table11[[#This Row],[Adjustment_Percentage]])</f>
        <v>99.198609386437539</v>
      </c>
      <c r="R106" s="82"/>
    </row>
    <row r="107" spans="1:18">
      <c r="A107" s="54">
        <v>45155</v>
      </c>
      <c r="B107" s="15" t="s">
        <v>14</v>
      </c>
      <c r="C107" s="15" t="str">
        <f>TEXT(Table11[[#This Row],[Date]],"mmmm")</f>
        <v>August</v>
      </c>
      <c r="D107" s="15">
        <v>112</v>
      </c>
      <c r="E107" s="82">
        <f>_xlfn.FORECAST.LINEAR(Table11[[#This Row],[Date]],Table11[Units_Sold],Table11[Date])</f>
        <v>99.199773583094327</v>
      </c>
      <c r="F107" cm="1">
        <f t="array" ref="F107">_xlfn.IFS(Table11[[#This Row],[Vehicle_Type]]="SUV",250,Table11[[#This Row],[Vehicle_Type]]="Sedan",200,Table11[[#This Row],[Vehicle_Type]]="Hatchback",185,Table11[[#This Row],[Vehicle_Type]]="Electric",190,Table11[[#This Row],[Vehicle_Type]]="Truck",150)</f>
        <v>150</v>
      </c>
      <c r="G107">
        <f t="shared" ca="1" si="1"/>
        <v>22</v>
      </c>
      <c r="H107" s="82">
        <f>Table11[[#This Row],[Daily_Production]]-Table11[[#This Row],[Forecasted_Units]]</f>
        <v>50.800226416905673</v>
      </c>
      <c r="I107" cm="1">
        <f t="array" ref="I107">_xlfn.IFS(Table11[[#This Row],[Vehicle_Type]]="SUV",5,Table11[[#This Row],[Vehicle_Type]]="Sedan",7,Table11[[#This Row],[Vehicle_Type]]="Hatchback",10,Table11[[#This Row],[Vehicle_Type]]="Electric",11,Table11[[#This Row],[Vehicle_Type]]="Truck",13)</f>
        <v>13</v>
      </c>
      <c r="J107">
        <f ca="1">Table11[[#This Row],[Daily_Production]]*Table11[[#This Row],[Working_Days]]</f>
        <v>3300</v>
      </c>
      <c r="K107" s="81">
        <f>Table11[[#This Row],[Forecasted_Units]]*0.1</f>
        <v>9.9199773583094331</v>
      </c>
      <c r="L107" s="82">
        <f>Table11[[#This Row],[Adjusted_Forecast]]+Table11[[#This Row],[Safety_Stock]]-Table11[[#This Row],[Inventory_On_Hand]]</f>
        <v>58.319524524498092</v>
      </c>
      <c r="M107" s="82">
        <f ca="1">MIN(Table11[[#This Row],[Production_Needed]],Table11[[#This Row],[Production_Capacity]])</f>
        <v>58.319524524498092</v>
      </c>
      <c r="N107" s="82">
        <f ca="1">MAX(Table11[[#This Row],[Production_Needed]]-Table11[[#This Row],[Planned_Production]],0)</f>
        <v>0</v>
      </c>
      <c r="O107" s="82">
        <f ca="1">Table11[[#This Row],[Inventory_On_Hand]]+Table11[[#This Row],[Planned_Production]]-Table11[[#This Row],[Forecasted_Units]]</f>
        <v>9.9199773583094384</v>
      </c>
      <c r="P107" cm="1">
        <f t="array" ref="P107">_xlfn.XLOOKUP(Table11[[#This Row],[Date]] &amp; Table11[[#This Row],[Vehicle_Type]], Table12[Date] &amp; Table12[Vehicle_Type],Table12[Feedback_Adjustment], 0)</f>
        <v>0</v>
      </c>
      <c r="Q107" s="82">
        <f>Table11[[#This Row],[Forecasted_Units]]*(1+Table11[[#This Row],[Adjustment_Percentage]])</f>
        <v>99.199773583094327</v>
      </c>
      <c r="R107" s="82"/>
    </row>
    <row r="108" spans="1:18">
      <c r="A108" s="53">
        <v>45185</v>
      </c>
      <c r="B108" s="14" t="s">
        <v>13</v>
      </c>
      <c r="C108" s="15" t="str">
        <f>TEXT(Table11[[#This Row],[Date]],"mmmm")</f>
        <v>September</v>
      </c>
      <c r="D108" s="14">
        <v>89</v>
      </c>
      <c r="E108" s="82">
        <f>_xlfn.FORECAST.LINEAR(Table11[[#This Row],[Date]],Table11[Units_Sold],Table11[Date])</f>
        <v>99.200937779751115</v>
      </c>
      <c r="F108" cm="1">
        <f t="array" ref="F108">_xlfn.IFS(Table11[[#This Row],[Vehicle_Type]]="SUV",250,Table11[[#This Row],[Vehicle_Type]]="Sedan",200,Table11[[#This Row],[Vehicle_Type]]="Hatchback",185,Table11[[#This Row],[Vehicle_Type]]="Electric",190,Table11[[#This Row],[Vehicle_Type]]="Truck",150)</f>
        <v>190</v>
      </c>
      <c r="G108">
        <f t="shared" ca="1" si="1"/>
        <v>22</v>
      </c>
      <c r="H108" s="82">
        <f>Table11[[#This Row],[Daily_Production]]-Table11[[#This Row],[Forecasted_Units]]</f>
        <v>90.799062220248885</v>
      </c>
      <c r="I108" cm="1">
        <f t="array" ref="I108">_xlfn.IFS(Table11[[#This Row],[Vehicle_Type]]="SUV",5,Table11[[#This Row],[Vehicle_Type]]="Sedan",7,Table11[[#This Row],[Vehicle_Type]]="Hatchback",10,Table11[[#This Row],[Vehicle_Type]]="Electric",11,Table11[[#This Row],[Vehicle_Type]]="Truck",13)</f>
        <v>11</v>
      </c>
      <c r="J108">
        <f ca="1">Table11[[#This Row],[Daily_Production]]*Table11[[#This Row],[Working_Days]]</f>
        <v>4180</v>
      </c>
      <c r="K108" s="81">
        <f>Table11[[#This Row],[Forecasted_Units]]*0.1</f>
        <v>9.9200937779751115</v>
      </c>
      <c r="L108" s="82">
        <f>Table11[[#This Row],[Adjusted_Forecast]]+Table11[[#This Row],[Safety_Stock]]-Table11[[#This Row],[Inventory_On_Hand]]</f>
        <v>18.321969337477341</v>
      </c>
      <c r="M108" s="82">
        <f ca="1">MIN(Table11[[#This Row],[Production_Needed]],Table11[[#This Row],[Production_Capacity]])</f>
        <v>18.321969337477341</v>
      </c>
      <c r="N108" s="82">
        <f ca="1">MAX(Table11[[#This Row],[Production_Needed]]-Table11[[#This Row],[Planned_Production]],0)</f>
        <v>0</v>
      </c>
      <c r="O108" s="82">
        <f ca="1">Table11[[#This Row],[Inventory_On_Hand]]+Table11[[#This Row],[Planned_Production]]-Table11[[#This Row],[Forecasted_Units]]</f>
        <v>9.9200937779751115</v>
      </c>
      <c r="P108" cm="1">
        <f t="array" ref="P108">_xlfn.XLOOKUP(Table11[[#This Row],[Date]] &amp; Table11[[#This Row],[Vehicle_Type]], Table12[Date] &amp; Table12[Vehicle_Type],Table12[Feedback_Adjustment], 0)</f>
        <v>0</v>
      </c>
      <c r="Q108" s="82">
        <f>Table11[[#This Row],[Forecasted_Units]]*(1+Table11[[#This Row],[Adjustment_Percentage]])</f>
        <v>99.200937779751115</v>
      </c>
      <c r="R108" s="82"/>
    </row>
    <row r="109" spans="1:18">
      <c r="A109" s="54">
        <v>45215</v>
      </c>
      <c r="B109" s="15" t="s">
        <v>14</v>
      </c>
      <c r="C109" s="15" t="str">
        <f>TEXT(Table11[[#This Row],[Date]],"mmmm")</f>
        <v>October</v>
      </c>
      <c r="D109" s="15">
        <v>119</v>
      </c>
      <c r="E109" s="82">
        <f>_xlfn.FORECAST.LINEAR(Table11[[#This Row],[Date]],Table11[Units_Sold],Table11[Date])</f>
        <v>99.202101976407903</v>
      </c>
      <c r="F109" cm="1">
        <f t="array" ref="F109">_xlfn.IFS(Table11[[#This Row],[Vehicle_Type]]="SUV",250,Table11[[#This Row],[Vehicle_Type]]="Sedan",200,Table11[[#This Row],[Vehicle_Type]]="Hatchback",185,Table11[[#This Row],[Vehicle_Type]]="Electric",190,Table11[[#This Row],[Vehicle_Type]]="Truck",150)</f>
        <v>150</v>
      </c>
      <c r="G109">
        <f t="shared" ca="1" si="1"/>
        <v>21</v>
      </c>
      <c r="H109" s="82">
        <f>Table11[[#This Row],[Daily_Production]]-Table11[[#This Row],[Forecasted_Units]]</f>
        <v>50.797898023592097</v>
      </c>
      <c r="I109" cm="1">
        <f t="array" ref="I109">_xlfn.IFS(Table11[[#This Row],[Vehicle_Type]]="SUV",5,Table11[[#This Row],[Vehicle_Type]]="Sedan",7,Table11[[#This Row],[Vehicle_Type]]="Hatchback",10,Table11[[#This Row],[Vehicle_Type]]="Electric",11,Table11[[#This Row],[Vehicle_Type]]="Truck",13)</f>
        <v>13</v>
      </c>
      <c r="J109">
        <f ca="1">Table11[[#This Row],[Daily_Production]]*Table11[[#This Row],[Working_Days]]</f>
        <v>3150</v>
      </c>
      <c r="K109" s="81">
        <f>Table11[[#This Row],[Forecasted_Units]]*0.1</f>
        <v>9.9202101976407917</v>
      </c>
      <c r="L109" s="82">
        <f>Table11[[#This Row],[Adjusted_Forecast]]+Table11[[#This Row],[Safety_Stock]]-Table11[[#This Row],[Inventory_On_Hand]]</f>
        <v>58.32441415045659</v>
      </c>
      <c r="M109" s="82">
        <f ca="1">MIN(Table11[[#This Row],[Production_Needed]],Table11[[#This Row],[Production_Capacity]])</f>
        <v>58.32441415045659</v>
      </c>
      <c r="N109" s="82">
        <f ca="1">MAX(Table11[[#This Row],[Production_Needed]]-Table11[[#This Row],[Planned_Production]],0)</f>
        <v>0</v>
      </c>
      <c r="O109" s="82">
        <f ca="1">Table11[[#This Row],[Inventory_On_Hand]]+Table11[[#This Row],[Planned_Production]]-Table11[[#This Row],[Forecasted_Units]]</f>
        <v>9.9202101976407846</v>
      </c>
      <c r="P109" cm="1">
        <f t="array" ref="P109">_xlfn.XLOOKUP(Table11[[#This Row],[Date]] &amp; Table11[[#This Row],[Vehicle_Type]], Table12[Date] &amp; Table12[Vehicle_Type],Table12[Feedback_Adjustment], 0)</f>
        <v>0</v>
      </c>
      <c r="Q109" s="82">
        <f>Table11[[#This Row],[Forecasted_Units]]*(1+Table11[[#This Row],[Adjustment_Percentage]])</f>
        <v>99.202101976407903</v>
      </c>
      <c r="R109" s="82"/>
    </row>
    <row r="110" spans="1:18">
      <c r="A110" s="53">
        <v>45245</v>
      </c>
      <c r="B110" s="14" t="s">
        <v>11</v>
      </c>
      <c r="C110" s="15" t="str">
        <f>TEXT(Table11[[#This Row],[Date]],"mmmm")</f>
        <v>November</v>
      </c>
      <c r="D110" s="14">
        <v>102</v>
      </c>
      <c r="E110" s="82">
        <f>_xlfn.FORECAST.LINEAR(Table11[[#This Row],[Date]],Table11[Units_Sold],Table11[Date])</f>
        <v>99.203266173064691</v>
      </c>
      <c r="F110" cm="1">
        <f t="array" ref="F110">_xlfn.IFS(Table11[[#This Row],[Vehicle_Type]]="SUV",250,Table11[[#This Row],[Vehicle_Type]]="Sedan",200,Table11[[#This Row],[Vehicle_Type]]="Hatchback",185,Table11[[#This Row],[Vehicle_Type]]="Electric",190,Table11[[#This Row],[Vehicle_Type]]="Truck",150)</f>
        <v>185</v>
      </c>
      <c r="G110">
        <f t="shared" ca="1" si="1"/>
        <v>24</v>
      </c>
      <c r="H110" s="82">
        <f>Table11[[#This Row],[Daily_Production]]-Table11[[#This Row],[Forecasted_Units]]</f>
        <v>85.796733826935309</v>
      </c>
      <c r="I110" cm="1">
        <f t="array" ref="I110">_xlfn.IFS(Table11[[#This Row],[Vehicle_Type]]="SUV",5,Table11[[#This Row],[Vehicle_Type]]="Sedan",7,Table11[[#This Row],[Vehicle_Type]]="Hatchback",10,Table11[[#This Row],[Vehicle_Type]]="Electric",11,Table11[[#This Row],[Vehicle_Type]]="Truck",13)</f>
        <v>10</v>
      </c>
      <c r="J110">
        <f ca="1">Table11[[#This Row],[Daily_Production]]*Table11[[#This Row],[Working_Days]]</f>
        <v>4440</v>
      </c>
      <c r="K110" s="81">
        <f>Table11[[#This Row],[Forecasted_Units]]*0.1</f>
        <v>9.9203266173064701</v>
      </c>
      <c r="L110" s="82">
        <f>Table11[[#This Row],[Adjusted_Forecast]]+Table11[[#This Row],[Safety_Stock]]-Table11[[#This Row],[Inventory_On_Hand]]</f>
        <v>23.326858963435853</v>
      </c>
      <c r="M110" s="82">
        <f ca="1">MIN(Table11[[#This Row],[Production_Needed]],Table11[[#This Row],[Production_Capacity]])</f>
        <v>23.326858963435853</v>
      </c>
      <c r="N110" s="82">
        <f ca="1">MAX(Table11[[#This Row],[Production_Needed]]-Table11[[#This Row],[Planned_Production]],0)</f>
        <v>0</v>
      </c>
      <c r="O110" s="82">
        <f ca="1">Table11[[#This Row],[Inventory_On_Hand]]+Table11[[#This Row],[Planned_Production]]-Table11[[#This Row],[Forecasted_Units]]</f>
        <v>9.9203266173064719</v>
      </c>
      <c r="P110" cm="1">
        <f t="array" ref="P110">_xlfn.XLOOKUP(Table11[[#This Row],[Date]] &amp; Table11[[#This Row],[Vehicle_Type]], Table12[Date] &amp; Table12[Vehicle_Type],Table12[Feedback_Adjustment], 0)</f>
        <v>0</v>
      </c>
      <c r="Q110" s="82">
        <f>Table11[[#This Row],[Forecasted_Units]]*(1+Table11[[#This Row],[Adjustment_Percentage]])</f>
        <v>99.203266173064691</v>
      </c>
      <c r="R110" s="82"/>
    </row>
    <row r="111" spans="1:18">
      <c r="A111" s="54">
        <v>45275</v>
      </c>
      <c r="B111" s="15" t="s">
        <v>12</v>
      </c>
      <c r="C111" s="15" t="str">
        <f>TEXT(Table11[[#This Row],[Date]],"mmmm")</f>
        <v>December</v>
      </c>
      <c r="D111" s="15">
        <v>87</v>
      </c>
      <c r="E111" s="82">
        <f>_xlfn.FORECAST.LINEAR(Table11[[#This Row],[Date]],Table11[Units_Sold],Table11[Date])</f>
        <v>99.204430369721479</v>
      </c>
      <c r="F111" cm="1">
        <f t="array" ref="F111">_xlfn.IFS(Table11[[#This Row],[Vehicle_Type]]="SUV",250,Table11[[#This Row],[Vehicle_Type]]="Sedan",200,Table11[[#This Row],[Vehicle_Type]]="Hatchback",185,Table11[[#This Row],[Vehicle_Type]]="Electric",190,Table11[[#This Row],[Vehicle_Type]]="Truck",150)</f>
        <v>250</v>
      </c>
      <c r="G111">
        <f t="shared" ca="1" si="1"/>
        <v>22</v>
      </c>
      <c r="H111" s="82">
        <f>Table11[[#This Row],[Daily_Production]]-Table11[[#This Row],[Forecasted_Units]]</f>
        <v>150.79556963027852</v>
      </c>
      <c r="I111" cm="1">
        <f t="array" ref="I111">_xlfn.IFS(Table11[[#This Row],[Vehicle_Type]]="SUV",5,Table11[[#This Row],[Vehicle_Type]]="Sedan",7,Table11[[#This Row],[Vehicle_Type]]="Hatchback",10,Table11[[#This Row],[Vehicle_Type]]="Electric",11,Table11[[#This Row],[Vehicle_Type]]="Truck",13)</f>
        <v>5</v>
      </c>
      <c r="J111">
        <f ca="1">Table11[[#This Row],[Daily_Production]]*Table11[[#This Row],[Working_Days]]</f>
        <v>5500</v>
      </c>
      <c r="K111" s="81">
        <f>Table11[[#This Row],[Forecasted_Units]]*0.1</f>
        <v>9.9204430369721486</v>
      </c>
      <c r="L111" s="82">
        <f>Table11[[#This Row],[Adjusted_Forecast]]+Table11[[#This Row],[Safety_Stock]]-Table11[[#This Row],[Inventory_On_Hand]]</f>
        <v>-41.670696223584898</v>
      </c>
      <c r="M111" s="82">
        <f ca="1">MIN(Table11[[#This Row],[Production_Needed]],Table11[[#This Row],[Production_Capacity]])</f>
        <v>-41.670696223584898</v>
      </c>
      <c r="N111" s="82">
        <f ca="1">MAX(Table11[[#This Row],[Production_Needed]]-Table11[[#This Row],[Planned_Production]],0)</f>
        <v>0</v>
      </c>
      <c r="O111" s="82">
        <f ca="1">Table11[[#This Row],[Inventory_On_Hand]]+Table11[[#This Row],[Planned_Production]]-Table11[[#This Row],[Forecasted_Units]]</f>
        <v>9.920443036972145</v>
      </c>
      <c r="P111" cm="1">
        <f t="array" ref="P111">_xlfn.XLOOKUP(Table11[[#This Row],[Date]] &amp; Table11[[#This Row],[Vehicle_Type]], Table12[Date] &amp; Table12[Vehicle_Type],Table12[Feedback_Adjustment], 0)</f>
        <v>0</v>
      </c>
      <c r="Q111" s="82">
        <f>Table11[[#This Row],[Forecasted_Units]]*(1+Table11[[#This Row],[Adjustment_Percentage]])</f>
        <v>99.204430369721479</v>
      </c>
      <c r="R111" s="82"/>
    </row>
    <row r="112" spans="1:18">
      <c r="A112" s="53">
        <v>45305</v>
      </c>
      <c r="B112" s="14" t="s">
        <v>12</v>
      </c>
      <c r="C112" s="15" t="str">
        <f>TEXT(Table11[[#This Row],[Date]],"mmmm")</f>
        <v>January</v>
      </c>
      <c r="D112" s="14">
        <v>113</v>
      </c>
      <c r="E112" s="82">
        <f>_xlfn.FORECAST.LINEAR(Table11[[#This Row],[Date]],Table11[Units_Sold],Table11[Date])</f>
        <v>99.205594566378252</v>
      </c>
      <c r="F112" cm="1">
        <f t="array" ref="F112">_xlfn.IFS(Table11[[#This Row],[Vehicle_Type]]="SUV",250,Table11[[#This Row],[Vehicle_Type]]="Sedan",200,Table11[[#This Row],[Vehicle_Type]]="Hatchback",185,Table11[[#This Row],[Vehicle_Type]]="Electric",190,Table11[[#This Row],[Vehicle_Type]]="Truck",150)</f>
        <v>250</v>
      </c>
      <c r="G112">
        <f t="shared" ca="1" si="1"/>
        <v>24</v>
      </c>
      <c r="H112" s="82">
        <f>Table11[[#This Row],[Daily_Production]]-Table11[[#This Row],[Forecasted_Units]]</f>
        <v>150.79440543362176</v>
      </c>
      <c r="I112" cm="1">
        <f t="array" ref="I112">_xlfn.IFS(Table11[[#This Row],[Vehicle_Type]]="SUV",5,Table11[[#This Row],[Vehicle_Type]]="Sedan",7,Table11[[#This Row],[Vehicle_Type]]="Hatchback",10,Table11[[#This Row],[Vehicle_Type]]="Electric",11,Table11[[#This Row],[Vehicle_Type]]="Truck",13)</f>
        <v>5</v>
      </c>
      <c r="J112">
        <f ca="1">Table11[[#This Row],[Daily_Production]]*Table11[[#This Row],[Working_Days]]</f>
        <v>6000</v>
      </c>
      <c r="K112" s="81">
        <f>Table11[[#This Row],[Forecasted_Units]]*0.1</f>
        <v>9.9205594566378252</v>
      </c>
      <c r="L112" s="82">
        <f>Table11[[#This Row],[Adjusted_Forecast]]+Table11[[#This Row],[Safety_Stock]]-Table11[[#This Row],[Inventory_On_Hand]]</f>
        <v>-41.668251410605677</v>
      </c>
      <c r="M112" s="82">
        <f ca="1">MIN(Table11[[#This Row],[Production_Needed]],Table11[[#This Row],[Production_Capacity]])</f>
        <v>-41.668251410605677</v>
      </c>
      <c r="N112" s="82">
        <f ca="1">MAX(Table11[[#This Row],[Production_Needed]]-Table11[[#This Row],[Planned_Production]],0)</f>
        <v>0</v>
      </c>
      <c r="O112" s="82">
        <f ca="1">Table11[[#This Row],[Inventory_On_Hand]]+Table11[[#This Row],[Planned_Production]]-Table11[[#This Row],[Forecasted_Units]]</f>
        <v>9.9205594566378323</v>
      </c>
      <c r="P112" cm="1">
        <f t="array" ref="P112">_xlfn.XLOOKUP(Table11[[#This Row],[Date]] &amp; Table11[[#This Row],[Vehicle_Type]], Table12[Date] &amp; Table12[Vehicle_Type],Table12[Feedback_Adjustment], 0)</f>
        <v>0</v>
      </c>
      <c r="Q112" s="82">
        <f>Table11[[#This Row],[Forecasted_Units]]*(1+Table11[[#This Row],[Adjustment_Percentage]])</f>
        <v>99.205594566378252</v>
      </c>
      <c r="R112" s="82"/>
    </row>
    <row r="113" spans="1:18">
      <c r="A113" s="54">
        <v>45335</v>
      </c>
      <c r="B113" s="15" t="s">
        <v>13</v>
      </c>
      <c r="C113" s="15" t="str">
        <f>TEXT(Table11[[#This Row],[Date]],"mmmm")</f>
        <v>February</v>
      </c>
      <c r="D113" s="15">
        <v>106</v>
      </c>
      <c r="E113" s="82">
        <f>_xlfn.FORECAST.LINEAR(Table11[[#This Row],[Date]],Table11[Units_Sold],Table11[Date])</f>
        <v>99.20675876303504</v>
      </c>
      <c r="F113" cm="1">
        <f t="array" ref="F113">_xlfn.IFS(Table11[[#This Row],[Vehicle_Type]]="SUV",250,Table11[[#This Row],[Vehicle_Type]]="Sedan",200,Table11[[#This Row],[Vehicle_Type]]="Hatchback",185,Table11[[#This Row],[Vehicle_Type]]="Electric",190,Table11[[#This Row],[Vehicle_Type]]="Truck",150)</f>
        <v>190</v>
      </c>
      <c r="G113">
        <f t="shared" ca="1" si="1"/>
        <v>22</v>
      </c>
      <c r="H113" s="82">
        <f>Table11[[#This Row],[Daily_Production]]-Table11[[#This Row],[Forecasted_Units]]</f>
        <v>90.79324123696496</v>
      </c>
      <c r="I113" cm="1">
        <f t="array" ref="I113">_xlfn.IFS(Table11[[#This Row],[Vehicle_Type]]="SUV",5,Table11[[#This Row],[Vehicle_Type]]="Sedan",7,Table11[[#This Row],[Vehicle_Type]]="Hatchback",10,Table11[[#This Row],[Vehicle_Type]]="Electric",11,Table11[[#This Row],[Vehicle_Type]]="Truck",13)</f>
        <v>11</v>
      </c>
      <c r="J113">
        <f ca="1">Table11[[#This Row],[Daily_Production]]*Table11[[#This Row],[Working_Days]]</f>
        <v>4180</v>
      </c>
      <c r="K113" s="81">
        <f>Table11[[#This Row],[Forecasted_Units]]*0.1</f>
        <v>9.9206758763035054</v>
      </c>
      <c r="L113" s="82">
        <f>Table11[[#This Row],[Adjusted_Forecast]]+Table11[[#This Row],[Safety_Stock]]-Table11[[#This Row],[Inventory_On_Hand]]</f>
        <v>18.334193402373586</v>
      </c>
      <c r="M113" s="82">
        <f ca="1">MIN(Table11[[#This Row],[Production_Needed]],Table11[[#This Row],[Production_Capacity]])</f>
        <v>18.334193402373586</v>
      </c>
      <c r="N113" s="82">
        <f ca="1">MAX(Table11[[#This Row],[Production_Needed]]-Table11[[#This Row],[Planned_Production]],0)</f>
        <v>0</v>
      </c>
      <c r="O113" s="82">
        <f ca="1">Table11[[#This Row],[Inventory_On_Hand]]+Table11[[#This Row],[Planned_Production]]-Table11[[#This Row],[Forecasted_Units]]</f>
        <v>9.9206758763035054</v>
      </c>
      <c r="P113" cm="1">
        <f t="array" ref="P113">_xlfn.XLOOKUP(Table11[[#This Row],[Date]] &amp; Table11[[#This Row],[Vehicle_Type]], Table12[Date] &amp; Table12[Vehicle_Type],Table12[Feedback_Adjustment], 0)</f>
        <v>0</v>
      </c>
      <c r="Q113" s="82">
        <f>Table11[[#This Row],[Forecasted_Units]]*(1+Table11[[#This Row],[Adjustment_Percentage]])</f>
        <v>99.20675876303504</v>
      </c>
      <c r="R113" s="82"/>
    </row>
    <row r="114" spans="1:18">
      <c r="A114" s="53">
        <v>45365</v>
      </c>
      <c r="B114" s="14" t="s">
        <v>14</v>
      </c>
      <c r="C114" s="15" t="str">
        <f>TEXT(Table11[[#This Row],[Date]],"mmmm")</f>
        <v>March</v>
      </c>
      <c r="D114" s="14">
        <v>96</v>
      </c>
      <c r="E114" s="82">
        <f>_xlfn.FORECAST.LINEAR(Table11[[#This Row],[Date]],Table11[Units_Sold],Table11[Date])</f>
        <v>99.207922959691828</v>
      </c>
      <c r="F114" cm="1">
        <f t="array" ref="F114">_xlfn.IFS(Table11[[#This Row],[Vehicle_Type]]="SUV",250,Table11[[#This Row],[Vehicle_Type]]="Sedan",200,Table11[[#This Row],[Vehicle_Type]]="Hatchback",185,Table11[[#This Row],[Vehicle_Type]]="Electric",190,Table11[[#This Row],[Vehicle_Type]]="Truck",150)</f>
        <v>150</v>
      </c>
      <c r="G114">
        <f t="shared" ca="1" si="1"/>
        <v>21</v>
      </c>
      <c r="H114" s="82">
        <f>Table11[[#This Row],[Daily_Production]]-Table11[[#This Row],[Forecasted_Units]]</f>
        <v>50.792077040308172</v>
      </c>
      <c r="I114" cm="1">
        <f t="array" ref="I114">_xlfn.IFS(Table11[[#This Row],[Vehicle_Type]]="SUV",5,Table11[[#This Row],[Vehicle_Type]]="Sedan",7,Table11[[#This Row],[Vehicle_Type]]="Hatchback",10,Table11[[#This Row],[Vehicle_Type]]="Electric",11,Table11[[#This Row],[Vehicle_Type]]="Truck",13)</f>
        <v>13</v>
      </c>
      <c r="J114">
        <f ca="1">Table11[[#This Row],[Daily_Production]]*Table11[[#This Row],[Working_Days]]</f>
        <v>3150</v>
      </c>
      <c r="K114" s="81">
        <f>Table11[[#This Row],[Forecasted_Units]]*0.1</f>
        <v>9.9207922959691839</v>
      </c>
      <c r="L114" s="82">
        <f>Table11[[#This Row],[Adjusted_Forecast]]+Table11[[#This Row],[Safety_Stock]]-Table11[[#This Row],[Inventory_On_Hand]]</f>
        <v>58.336638215352835</v>
      </c>
      <c r="M114" s="82">
        <f ca="1">MIN(Table11[[#This Row],[Production_Needed]],Table11[[#This Row],[Production_Capacity]])</f>
        <v>58.336638215352835</v>
      </c>
      <c r="N114" s="82">
        <f ca="1">MAX(Table11[[#This Row],[Production_Needed]]-Table11[[#This Row],[Planned_Production]],0)</f>
        <v>0</v>
      </c>
      <c r="O114" s="82">
        <f ca="1">Table11[[#This Row],[Inventory_On_Hand]]+Table11[[#This Row],[Planned_Production]]-Table11[[#This Row],[Forecasted_Units]]</f>
        <v>9.9207922959691786</v>
      </c>
      <c r="P114" cm="1">
        <f t="array" ref="P114">_xlfn.XLOOKUP(Table11[[#This Row],[Date]] &amp; Table11[[#This Row],[Vehicle_Type]], Table12[Date] &amp; Table12[Vehicle_Type],Table12[Feedback_Adjustment], 0)</f>
        <v>0</v>
      </c>
      <c r="Q114" s="82">
        <f>Table11[[#This Row],[Forecasted_Units]]*(1+Table11[[#This Row],[Adjustment_Percentage]])</f>
        <v>99.207922959691828</v>
      </c>
      <c r="R114" s="82"/>
    </row>
    <row r="115" spans="1:18">
      <c r="A115" s="54">
        <v>45395</v>
      </c>
      <c r="B115" s="15" t="s">
        <v>10</v>
      </c>
      <c r="C115" s="15" t="str">
        <f>TEXT(Table11[[#This Row],[Date]],"mmmm")</f>
        <v>April</v>
      </c>
      <c r="D115" s="15">
        <v>110</v>
      </c>
      <c r="E115" s="82">
        <f>_xlfn.FORECAST.LINEAR(Table11[[#This Row],[Date]],Table11[Units_Sold],Table11[Date])</f>
        <v>99.209087156348616</v>
      </c>
      <c r="F115" cm="1">
        <f t="array" ref="F115">_xlfn.IFS(Table11[[#This Row],[Vehicle_Type]]="SUV",250,Table11[[#This Row],[Vehicle_Type]]="Sedan",200,Table11[[#This Row],[Vehicle_Type]]="Hatchback",185,Table11[[#This Row],[Vehicle_Type]]="Electric",190,Table11[[#This Row],[Vehicle_Type]]="Truck",150)</f>
        <v>200</v>
      </c>
      <c r="G115">
        <f t="shared" ca="1" si="1"/>
        <v>24</v>
      </c>
      <c r="H115" s="82">
        <f>Table11[[#This Row],[Daily_Production]]-Table11[[#This Row],[Forecasted_Units]]</f>
        <v>100.79091284365138</v>
      </c>
      <c r="I115" cm="1">
        <f t="array" ref="I115">_xlfn.IFS(Table11[[#This Row],[Vehicle_Type]]="SUV",5,Table11[[#This Row],[Vehicle_Type]]="Sedan",7,Table11[[#This Row],[Vehicle_Type]]="Hatchback",10,Table11[[#This Row],[Vehicle_Type]]="Electric",11,Table11[[#This Row],[Vehicle_Type]]="Truck",13)</f>
        <v>7</v>
      </c>
      <c r="J115">
        <f ca="1">Table11[[#This Row],[Daily_Production]]*Table11[[#This Row],[Working_Days]]</f>
        <v>4800</v>
      </c>
      <c r="K115" s="81">
        <f>Table11[[#This Row],[Forecasted_Units]]*0.1</f>
        <v>9.9209087156348623</v>
      </c>
      <c r="L115" s="82">
        <f>Table11[[#This Row],[Adjusted_Forecast]]+Table11[[#This Row],[Safety_Stock]]-Table11[[#This Row],[Inventory_On_Hand]]</f>
        <v>8.339083028332098</v>
      </c>
      <c r="M115" s="82">
        <f ca="1">MIN(Table11[[#This Row],[Production_Needed]],Table11[[#This Row],[Production_Capacity]])</f>
        <v>8.339083028332098</v>
      </c>
      <c r="N115" s="82">
        <f ca="1">MAX(Table11[[#This Row],[Production_Needed]]-Table11[[#This Row],[Planned_Production]],0)</f>
        <v>0</v>
      </c>
      <c r="O115" s="82">
        <f ca="1">Table11[[#This Row],[Inventory_On_Hand]]+Table11[[#This Row],[Planned_Production]]-Table11[[#This Row],[Forecasted_Units]]</f>
        <v>9.9209087156348659</v>
      </c>
      <c r="P115" cm="1">
        <f t="array" ref="P115">_xlfn.XLOOKUP(Table11[[#This Row],[Date]] &amp; Table11[[#This Row],[Vehicle_Type]], Table12[Date] &amp; Table12[Vehicle_Type],Table12[Feedback_Adjustment], 0)</f>
        <v>0</v>
      </c>
      <c r="Q115" s="82">
        <f>Table11[[#This Row],[Forecasted_Units]]*(1+Table11[[#This Row],[Adjustment_Percentage]])</f>
        <v>99.209087156348616</v>
      </c>
      <c r="R115" s="82"/>
    </row>
    <row r="116" spans="1:18">
      <c r="A116" s="53">
        <v>45425</v>
      </c>
      <c r="B116" s="14" t="s">
        <v>10</v>
      </c>
      <c r="C116" s="15" t="str">
        <f>TEXT(Table11[[#This Row],[Date]],"mmmm")</f>
        <v>May</v>
      </c>
      <c r="D116" s="14">
        <v>100</v>
      </c>
      <c r="E116" s="82">
        <f>_xlfn.FORECAST.LINEAR(Table11[[#This Row],[Date]],Table11[Units_Sold],Table11[Date])</f>
        <v>99.210251353005404</v>
      </c>
      <c r="F116" cm="1">
        <f t="array" ref="F116">_xlfn.IFS(Table11[[#This Row],[Vehicle_Type]]="SUV",250,Table11[[#This Row],[Vehicle_Type]]="Sedan",200,Table11[[#This Row],[Vehicle_Type]]="Hatchback",185,Table11[[#This Row],[Vehicle_Type]]="Electric",190,Table11[[#This Row],[Vehicle_Type]]="Truck",150)</f>
        <v>200</v>
      </c>
      <c r="G116">
        <f t="shared" ca="1" si="1"/>
        <v>25</v>
      </c>
      <c r="H116" s="82">
        <f>Table11[[#This Row],[Daily_Production]]-Table11[[#This Row],[Forecasted_Units]]</f>
        <v>100.7897486469946</v>
      </c>
      <c r="I116" cm="1">
        <f t="array" ref="I116">_xlfn.IFS(Table11[[#This Row],[Vehicle_Type]]="SUV",5,Table11[[#This Row],[Vehicle_Type]]="Sedan",7,Table11[[#This Row],[Vehicle_Type]]="Hatchback",10,Table11[[#This Row],[Vehicle_Type]]="Electric",11,Table11[[#This Row],[Vehicle_Type]]="Truck",13)</f>
        <v>7</v>
      </c>
      <c r="J116">
        <f ca="1">Table11[[#This Row],[Daily_Production]]*Table11[[#This Row],[Working_Days]]</f>
        <v>5000</v>
      </c>
      <c r="K116" s="81">
        <f>Table11[[#This Row],[Forecasted_Units]]*0.1</f>
        <v>9.9210251353005408</v>
      </c>
      <c r="L116" s="82">
        <f>Table11[[#This Row],[Adjusted_Forecast]]+Table11[[#This Row],[Safety_Stock]]-Table11[[#This Row],[Inventory_On_Hand]]</f>
        <v>8.3415278413113469</v>
      </c>
      <c r="M116" s="82">
        <f ca="1">MIN(Table11[[#This Row],[Production_Needed]],Table11[[#This Row],[Production_Capacity]])</f>
        <v>8.3415278413113469</v>
      </c>
      <c r="N116" s="82">
        <f ca="1">MAX(Table11[[#This Row],[Production_Needed]]-Table11[[#This Row],[Planned_Production]],0)</f>
        <v>0</v>
      </c>
      <c r="O116" s="82">
        <f ca="1">Table11[[#This Row],[Inventory_On_Hand]]+Table11[[#This Row],[Planned_Production]]-Table11[[#This Row],[Forecasted_Units]]</f>
        <v>9.921025135300539</v>
      </c>
      <c r="P116" cm="1">
        <f t="array" ref="P116">_xlfn.XLOOKUP(Table11[[#This Row],[Date]] &amp; Table11[[#This Row],[Vehicle_Type]], Table12[Date] &amp; Table12[Vehicle_Type],Table12[Feedback_Adjustment], 0)</f>
        <v>0</v>
      </c>
      <c r="Q116" s="82">
        <f>Table11[[#This Row],[Forecasted_Units]]*(1+Table11[[#This Row],[Adjustment_Percentage]])</f>
        <v>99.210251353005404</v>
      </c>
      <c r="R116" s="82"/>
    </row>
    <row r="117" spans="1:18">
      <c r="A117" s="54">
        <v>45455</v>
      </c>
      <c r="B117" s="15" t="s">
        <v>10</v>
      </c>
      <c r="C117" s="15" t="str">
        <f>TEXT(Table11[[#This Row],[Date]],"mmmm")</f>
        <v>June</v>
      </c>
      <c r="D117" s="15">
        <f>IF(ISBLANK(D70), P71, D70)</f>
        <v>84</v>
      </c>
      <c r="E117" s="82">
        <f>_xlfn.FORECAST.LINEAR(Table11[[#This Row],[Date]],Table11[Units_Sold],Table11[Date])</f>
        <v>99.211415549662192</v>
      </c>
      <c r="F117" cm="1">
        <f t="array" ref="F117">_xlfn.IFS(Table11[[#This Row],[Vehicle_Type]]="SUV",250,Table11[[#This Row],[Vehicle_Type]]="Sedan",200,Table11[[#This Row],[Vehicle_Type]]="Hatchback",185,Table11[[#This Row],[Vehicle_Type]]="Electric",190,Table11[[#This Row],[Vehicle_Type]]="Truck",150)</f>
        <v>200</v>
      </c>
      <c r="G117">
        <f t="shared" ca="1" si="1"/>
        <v>23</v>
      </c>
      <c r="H117" s="82">
        <f>Table11[[#This Row],[Daily_Production]]-Table11[[#This Row],[Forecasted_Units]]</f>
        <v>100.78858445033781</v>
      </c>
      <c r="I117" cm="1">
        <f t="array" ref="I117">_xlfn.IFS(Table11[[#This Row],[Vehicle_Type]]="SUV",5,Table11[[#This Row],[Vehicle_Type]]="Sedan",7,Table11[[#This Row],[Vehicle_Type]]="Hatchback",10,Table11[[#This Row],[Vehicle_Type]]="Electric",11,Table11[[#This Row],[Vehicle_Type]]="Truck",13)</f>
        <v>7</v>
      </c>
      <c r="J117">
        <f ca="1">Table11[[#This Row],[Daily_Production]]*Table11[[#This Row],[Working_Days]]</f>
        <v>4600</v>
      </c>
      <c r="K117" s="81">
        <f>Table11[[#This Row],[Forecasted_Units]]*0.1</f>
        <v>9.9211415549662192</v>
      </c>
      <c r="L117" s="82">
        <f>Table11[[#This Row],[Adjusted_Forecast]]+Table11[[#This Row],[Safety_Stock]]-Table11[[#This Row],[Inventory_On_Hand]]</f>
        <v>8.3439726542905959</v>
      </c>
      <c r="M117" s="82">
        <f ca="1">MIN(Table11[[#This Row],[Production_Needed]],Table11[[#This Row],[Production_Capacity]])</f>
        <v>8.3439726542905959</v>
      </c>
      <c r="N117" s="82">
        <f ca="1">MAX(Table11[[#This Row],[Production_Needed]]-Table11[[#This Row],[Planned_Production]],0)</f>
        <v>0</v>
      </c>
      <c r="O117" s="82">
        <f ca="1">Table11[[#This Row],[Inventory_On_Hand]]+Table11[[#This Row],[Planned_Production]]-Table11[[#This Row],[Forecasted_Units]]</f>
        <v>9.9211415549662121</v>
      </c>
      <c r="P117" cm="1">
        <f t="array" ref="P117">_xlfn.XLOOKUP(Table11[[#This Row],[Date]] &amp; Table11[[#This Row],[Vehicle_Type]], Table12[Date] &amp; Table12[Vehicle_Type],Table12[Feedback_Adjustment], 0)</f>
        <v>0</v>
      </c>
      <c r="Q117" s="82">
        <f>Table11[[#This Row],[Forecasted_Units]]*(1+Table11[[#This Row],[Adjustment_Percentage]])</f>
        <v>99.211415549662192</v>
      </c>
      <c r="R117" s="82"/>
    </row>
    <row r="118" spans="1:18">
      <c r="A118" s="53">
        <v>45485</v>
      </c>
      <c r="B118" s="14" t="s">
        <v>12</v>
      </c>
      <c r="C118" s="15" t="str">
        <f>TEXT(Table11[[#This Row],[Date]],"mmmm")</f>
        <v>July</v>
      </c>
      <c r="D118" s="14">
        <v>106</v>
      </c>
      <c r="E118" s="82">
        <f>_xlfn.FORECAST.LINEAR(Table11[[#This Row],[Date]],Table11[Units_Sold],Table11[Date])</f>
        <v>99.21257974631898</v>
      </c>
      <c r="F118" cm="1">
        <f t="array" ref="F118">_xlfn.IFS(Table11[[#This Row],[Vehicle_Type]]="SUV",250,Table11[[#This Row],[Vehicle_Type]]="Sedan",200,Table11[[#This Row],[Vehicle_Type]]="Hatchback",185,Table11[[#This Row],[Vehicle_Type]]="Electric",190,Table11[[#This Row],[Vehicle_Type]]="Truck",150)</f>
        <v>250</v>
      </c>
      <c r="G118">
        <f t="shared" ca="1" si="1"/>
        <v>25</v>
      </c>
      <c r="H118" s="82">
        <f>Table11[[#This Row],[Daily_Production]]-Table11[[#This Row],[Forecasted_Units]]</f>
        <v>150.78742025368103</v>
      </c>
      <c r="I118" cm="1">
        <f t="array" ref="I118">_xlfn.IFS(Table11[[#This Row],[Vehicle_Type]]="SUV",5,Table11[[#This Row],[Vehicle_Type]]="Sedan",7,Table11[[#This Row],[Vehicle_Type]]="Hatchback",10,Table11[[#This Row],[Vehicle_Type]]="Electric",11,Table11[[#This Row],[Vehicle_Type]]="Truck",13)</f>
        <v>5</v>
      </c>
      <c r="J118">
        <f ca="1">Table11[[#This Row],[Daily_Production]]*Table11[[#This Row],[Working_Days]]</f>
        <v>6250</v>
      </c>
      <c r="K118" s="81">
        <f>Table11[[#This Row],[Forecasted_Units]]*0.1</f>
        <v>9.9212579746318994</v>
      </c>
      <c r="L118" s="82">
        <f>Table11[[#This Row],[Adjusted_Forecast]]+Table11[[#This Row],[Safety_Stock]]-Table11[[#This Row],[Inventory_On_Hand]]</f>
        <v>-41.653582532730155</v>
      </c>
      <c r="M118" s="82">
        <f ca="1">MIN(Table11[[#This Row],[Production_Needed]],Table11[[#This Row],[Production_Capacity]])</f>
        <v>-41.653582532730155</v>
      </c>
      <c r="N118" s="82">
        <f ca="1">MAX(Table11[[#This Row],[Production_Needed]]-Table11[[#This Row],[Planned_Production]],0)</f>
        <v>0</v>
      </c>
      <c r="O118" s="82">
        <f ca="1">Table11[[#This Row],[Inventory_On_Hand]]+Table11[[#This Row],[Planned_Production]]-Table11[[#This Row],[Forecasted_Units]]</f>
        <v>9.9212579746318994</v>
      </c>
      <c r="P118" cm="1">
        <f t="array" ref="P118">_xlfn.XLOOKUP(Table11[[#This Row],[Date]] &amp; Table11[[#This Row],[Vehicle_Type]], Table12[Date] &amp; Table12[Vehicle_Type],Table12[Feedback_Adjustment], 0)</f>
        <v>0</v>
      </c>
      <c r="Q118" s="82">
        <f>Table11[[#This Row],[Forecasted_Units]]*(1+Table11[[#This Row],[Adjustment_Percentage]])</f>
        <v>99.21257974631898</v>
      </c>
      <c r="R118" s="82"/>
    </row>
    <row r="119" spans="1:18">
      <c r="A119" s="54">
        <v>45515</v>
      </c>
      <c r="B119" s="15" t="s">
        <v>12</v>
      </c>
      <c r="C119" s="15" t="str">
        <f>TEXT(Table11[[#This Row],[Date]],"mmmm")</f>
        <v>August</v>
      </c>
      <c r="D119" s="15">
        <v>114</v>
      </c>
      <c r="E119" s="82">
        <f>_xlfn.FORECAST.LINEAR(Table11[[#This Row],[Date]],Table11[Units_Sold],Table11[Date])</f>
        <v>99.213743942975768</v>
      </c>
      <c r="F119" cm="1">
        <f t="array" ref="F119">_xlfn.IFS(Table11[[#This Row],[Vehicle_Type]]="SUV",250,Table11[[#This Row],[Vehicle_Type]]="Sedan",200,Table11[[#This Row],[Vehicle_Type]]="Hatchback",185,Table11[[#This Row],[Vehicle_Type]]="Electric",190,Table11[[#This Row],[Vehicle_Type]]="Truck",150)</f>
        <v>250</v>
      </c>
      <c r="G119">
        <f t="shared" ca="1" si="1"/>
        <v>23</v>
      </c>
      <c r="H119" s="82">
        <f>Table11[[#This Row],[Daily_Production]]-Table11[[#This Row],[Forecasted_Units]]</f>
        <v>150.78625605702422</v>
      </c>
      <c r="I119" cm="1">
        <f t="array" ref="I119">_xlfn.IFS(Table11[[#This Row],[Vehicle_Type]]="SUV",5,Table11[[#This Row],[Vehicle_Type]]="Sedan",7,Table11[[#This Row],[Vehicle_Type]]="Hatchback",10,Table11[[#This Row],[Vehicle_Type]]="Electric",11,Table11[[#This Row],[Vehicle_Type]]="Truck",13)</f>
        <v>5</v>
      </c>
      <c r="J119">
        <f ca="1">Table11[[#This Row],[Daily_Production]]*Table11[[#This Row],[Working_Days]]</f>
        <v>5750</v>
      </c>
      <c r="K119" s="81">
        <f>Table11[[#This Row],[Forecasted_Units]]*0.1</f>
        <v>9.9213743942975778</v>
      </c>
      <c r="L119" s="82">
        <f>Table11[[#This Row],[Adjusted_Forecast]]+Table11[[#This Row],[Safety_Stock]]-Table11[[#This Row],[Inventory_On_Hand]]</f>
        <v>-41.651137719750878</v>
      </c>
      <c r="M119" s="82">
        <f ca="1">MIN(Table11[[#This Row],[Production_Needed]],Table11[[#This Row],[Production_Capacity]])</f>
        <v>-41.651137719750878</v>
      </c>
      <c r="N119" s="82">
        <f ca="1">MAX(Table11[[#This Row],[Production_Needed]]-Table11[[#This Row],[Planned_Production]],0)</f>
        <v>0</v>
      </c>
      <c r="O119" s="82">
        <f ca="1">Table11[[#This Row],[Inventory_On_Hand]]+Table11[[#This Row],[Planned_Production]]-Table11[[#This Row],[Forecasted_Units]]</f>
        <v>9.9213743942975725</v>
      </c>
      <c r="P119" cm="1">
        <f t="array" ref="P119">_xlfn.XLOOKUP(Table11[[#This Row],[Date]] &amp; Table11[[#This Row],[Vehicle_Type]], Table12[Date] &amp; Table12[Vehicle_Type],Table12[Feedback_Adjustment], 0)</f>
        <v>0</v>
      </c>
      <c r="Q119" s="82">
        <f>Table11[[#This Row],[Forecasted_Units]]*(1+Table11[[#This Row],[Adjustment_Percentage]])</f>
        <v>99.213743942975768</v>
      </c>
      <c r="R119" s="82"/>
    </row>
    <row r="120" spans="1:18">
      <c r="A120" s="53">
        <v>45545</v>
      </c>
      <c r="B120" s="14" t="s">
        <v>14</v>
      </c>
      <c r="C120" s="15" t="str">
        <f>TEXT(Table11[[#This Row],[Date]],"mmmm")</f>
        <v>September</v>
      </c>
      <c r="D120" s="14">
        <v>96</v>
      </c>
      <c r="E120" s="82">
        <f>_xlfn.FORECAST.LINEAR(Table11[[#This Row],[Date]],Table11[Units_Sold],Table11[Date])</f>
        <v>99.214908139632556</v>
      </c>
      <c r="F120" cm="1">
        <f t="array" ref="F120">_xlfn.IFS(Table11[[#This Row],[Vehicle_Type]]="SUV",250,Table11[[#This Row],[Vehicle_Type]]="Sedan",200,Table11[[#This Row],[Vehicle_Type]]="Hatchback",185,Table11[[#This Row],[Vehicle_Type]]="Electric",190,Table11[[#This Row],[Vehicle_Type]]="Truck",150)</f>
        <v>150</v>
      </c>
      <c r="G120">
        <f t="shared" ca="1" si="1"/>
        <v>20</v>
      </c>
      <c r="H120" s="82">
        <f>Table11[[#This Row],[Daily_Production]]-Table11[[#This Row],[Forecasted_Units]]</f>
        <v>50.785091860367444</v>
      </c>
      <c r="I120" cm="1">
        <f t="array" ref="I120">_xlfn.IFS(Table11[[#This Row],[Vehicle_Type]]="SUV",5,Table11[[#This Row],[Vehicle_Type]]="Sedan",7,Table11[[#This Row],[Vehicle_Type]]="Hatchback",10,Table11[[#This Row],[Vehicle_Type]]="Electric",11,Table11[[#This Row],[Vehicle_Type]]="Truck",13)</f>
        <v>13</v>
      </c>
      <c r="J120">
        <f ca="1">Table11[[#This Row],[Daily_Production]]*Table11[[#This Row],[Working_Days]]</f>
        <v>3000</v>
      </c>
      <c r="K120" s="81">
        <f>Table11[[#This Row],[Forecasted_Units]]*0.1</f>
        <v>9.9214908139632563</v>
      </c>
      <c r="L120" s="82">
        <f>Table11[[#This Row],[Adjusted_Forecast]]+Table11[[#This Row],[Safety_Stock]]-Table11[[#This Row],[Inventory_On_Hand]]</f>
        <v>58.351307093228371</v>
      </c>
      <c r="M120" s="82">
        <f ca="1">MIN(Table11[[#This Row],[Production_Needed]],Table11[[#This Row],[Production_Capacity]])</f>
        <v>58.351307093228371</v>
      </c>
      <c r="N120" s="82">
        <f ca="1">MAX(Table11[[#This Row],[Production_Needed]]-Table11[[#This Row],[Planned_Production]],0)</f>
        <v>0</v>
      </c>
      <c r="O120" s="82">
        <f ca="1">Table11[[#This Row],[Inventory_On_Hand]]+Table11[[#This Row],[Planned_Production]]-Table11[[#This Row],[Forecasted_Units]]</f>
        <v>9.9214908139632598</v>
      </c>
      <c r="P120" cm="1">
        <f t="array" ref="P120">_xlfn.XLOOKUP(Table11[[#This Row],[Date]] &amp; Table11[[#This Row],[Vehicle_Type]], Table12[Date] &amp; Table12[Vehicle_Type],Table12[Feedback_Adjustment], 0)</f>
        <v>0</v>
      </c>
      <c r="Q120" s="82">
        <f>Table11[[#This Row],[Forecasted_Units]]*(1+Table11[[#This Row],[Adjustment_Percentage]])</f>
        <v>99.214908139632556</v>
      </c>
      <c r="R120" s="82"/>
    </row>
    <row r="121" spans="1:18">
      <c r="A121" s="54">
        <v>45575</v>
      </c>
      <c r="B121" s="15" t="s">
        <v>13</v>
      </c>
      <c r="C121" s="15" t="str">
        <f>TEXT(Table11[[#This Row],[Date]],"mmmm")</f>
        <v>October</v>
      </c>
      <c r="D121" s="15">
        <v>102</v>
      </c>
      <c r="E121" s="82">
        <f>_xlfn.FORECAST.LINEAR(Table11[[#This Row],[Date]],Table11[Units_Sold],Table11[Date])</f>
        <v>99.216072336289344</v>
      </c>
      <c r="F121" cm="1">
        <f t="array" ref="F121">_xlfn.IFS(Table11[[#This Row],[Vehicle_Type]]="SUV",250,Table11[[#This Row],[Vehicle_Type]]="Sedan",200,Table11[[#This Row],[Vehicle_Type]]="Hatchback",185,Table11[[#This Row],[Vehicle_Type]]="Electric",190,Table11[[#This Row],[Vehicle_Type]]="Truck",150)</f>
        <v>190</v>
      </c>
      <c r="G121">
        <f t="shared" ca="1" si="1"/>
        <v>24</v>
      </c>
      <c r="H121" s="82">
        <f>Table11[[#This Row],[Daily_Production]]-Table11[[#This Row],[Forecasted_Units]]</f>
        <v>90.783927663710656</v>
      </c>
      <c r="I121" cm="1">
        <f t="array" ref="I121">_xlfn.IFS(Table11[[#This Row],[Vehicle_Type]]="SUV",5,Table11[[#This Row],[Vehicle_Type]]="Sedan",7,Table11[[#This Row],[Vehicle_Type]]="Hatchback",10,Table11[[#This Row],[Vehicle_Type]]="Electric",11,Table11[[#This Row],[Vehicle_Type]]="Truck",13)</f>
        <v>11</v>
      </c>
      <c r="J121">
        <f ca="1">Table11[[#This Row],[Daily_Production]]*Table11[[#This Row],[Working_Days]]</f>
        <v>4560</v>
      </c>
      <c r="K121" s="81">
        <f>Table11[[#This Row],[Forecasted_Units]]*0.1</f>
        <v>9.9216072336289347</v>
      </c>
      <c r="L121" s="82">
        <f>Table11[[#This Row],[Adjusted_Forecast]]+Table11[[#This Row],[Safety_Stock]]-Table11[[#This Row],[Inventory_On_Hand]]</f>
        <v>18.35375190620762</v>
      </c>
      <c r="M121" s="82">
        <f ca="1">MIN(Table11[[#This Row],[Production_Needed]],Table11[[#This Row],[Production_Capacity]])</f>
        <v>18.35375190620762</v>
      </c>
      <c r="N121" s="82">
        <f ca="1">MAX(Table11[[#This Row],[Production_Needed]]-Table11[[#This Row],[Planned_Production]],0)</f>
        <v>0</v>
      </c>
      <c r="O121" s="82">
        <f ca="1">Table11[[#This Row],[Inventory_On_Hand]]+Table11[[#This Row],[Planned_Production]]-Table11[[#This Row],[Forecasted_Units]]</f>
        <v>9.9216072336289329</v>
      </c>
      <c r="P121" cm="1">
        <f t="array" ref="P121">_xlfn.XLOOKUP(Table11[[#This Row],[Date]] &amp; Table11[[#This Row],[Vehicle_Type]], Table12[Date] &amp; Table12[Vehicle_Type],Table12[Feedback_Adjustment], 0)</f>
        <v>0</v>
      </c>
      <c r="Q121" s="82">
        <f>Table11[[#This Row],[Forecasted_Units]]*(1+Table11[[#This Row],[Adjustment_Percentage]])</f>
        <v>99.216072336289344</v>
      </c>
      <c r="R121" s="82"/>
    </row>
    <row r="122" spans="1:18">
      <c r="A122" s="53">
        <v>45605</v>
      </c>
      <c r="B122" s="14" t="s">
        <v>10</v>
      </c>
      <c r="C122" s="15" t="str">
        <f>TEXT(Table11[[#This Row],[Date]],"mmmm")</f>
        <v>November</v>
      </c>
      <c r="D122" s="14">
        <f>IF(ISBLANK(D75), P76, D75)</f>
        <v>106</v>
      </c>
      <c r="E122" s="82">
        <f>_xlfn.FORECAST.LINEAR(Table11[[#This Row],[Date]],Table11[Units_Sold],Table11[Date])</f>
        <v>99.217236532946131</v>
      </c>
      <c r="F122" cm="1">
        <f t="array" ref="F122">_xlfn.IFS(Table11[[#This Row],[Vehicle_Type]]="SUV",250,Table11[[#This Row],[Vehicle_Type]]="Sedan",200,Table11[[#This Row],[Vehicle_Type]]="Hatchback",185,Table11[[#This Row],[Vehicle_Type]]="Electric",190,Table11[[#This Row],[Vehicle_Type]]="Truck",150)</f>
        <v>200</v>
      </c>
      <c r="G122">
        <f t="shared" ca="1" si="1"/>
        <v>22</v>
      </c>
      <c r="H122" s="82">
        <f>Table11[[#This Row],[Daily_Production]]-Table11[[#This Row],[Forecasted_Units]]</f>
        <v>100.78276346705387</v>
      </c>
      <c r="I122" cm="1">
        <f t="array" ref="I122">_xlfn.IFS(Table11[[#This Row],[Vehicle_Type]]="SUV",5,Table11[[#This Row],[Vehicle_Type]]="Sedan",7,Table11[[#This Row],[Vehicle_Type]]="Hatchback",10,Table11[[#This Row],[Vehicle_Type]]="Electric",11,Table11[[#This Row],[Vehicle_Type]]="Truck",13)</f>
        <v>7</v>
      </c>
      <c r="J122">
        <f ca="1">Table11[[#This Row],[Daily_Production]]*Table11[[#This Row],[Working_Days]]</f>
        <v>4400</v>
      </c>
      <c r="K122" s="81">
        <f>Table11[[#This Row],[Forecasted_Units]]*0.1</f>
        <v>9.9217236532946131</v>
      </c>
      <c r="L122" s="82">
        <f>Table11[[#This Row],[Adjusted_Forecast]]+Table11[[#This Row],[Safety_Stock]]-Table11[[#This Row],[Inventory_On_Hand]]</f>
        <v>8.3561967191868831</v>
      </c>
      <c r="M122" s="82">
        <f ca="1">MIN(Table11[[#This Row],[Production_Needed]],Table11[[#This Row],[Production_Capacity]])</f>
        <v>8.3561967191868831</v>
      </c>
      <c r="N122" s="82">
        <f ca="1">MAX(Table11[[#This Row],[Production_Needed]]-Table11[[#This Row],[Planned_Production]],0)</f>
        <v>0</v>
      </c>
      <c r="O122" s="82">
        <f ca="1">Table11[[#This Row],[Inventory_On_Hand]]+Table11[[#This Row],[Planned_Production]]-Table11[[#This Row],[Forecasted_Units]]</f>
        <v>9.9217236532946202</v>
      </c>
      <c r="P122" cm="1">
        <f t="array" ref="P122">_xlfn.XLOOKUP(Table11[[#This Row],[Date]] &amp; Table11[[#This Row],[Vehicle_Type]], Table12[Date] &amp; Table12[Vehicle_Type],Table12[Feedback_Adjustment], 0)</f>
        <v>0</v>
      </c>
      <c r="Q122" s="82">
        <f>Table11[[#This Row],[Forecasted_Units]]*(1+Table11[[#This Row],[Adjustment_Percentage]])</f>
        <v>99.217236532946131</v>
      </c>
      <c r="R122" s="82"/>
    </row>
    <row r="123" spans="1:18">
      <c r="A123" s="54">
        <v>45635</v>
      </c>
      <c r="B123" s="15" t="s">
        <v>14</v>
      </c>
      <c r="C123" s="15" t="str">
        <f>TEXT(Table11[[#This Row],[Date]],"mmmm")</f>
        <v>December</v>
      </c>
      <c r="D123" s="15">
        <v>93</v>
      </c>
      <c r="E123" s="82">
        <f>_xlfn.FORECAST.LINEAR(Table11[[#This Row],[Date]],Table11[Units_Sold],Table11[Date])</f>
        <v>99.218400729602905</v>
      </c>
      <c r="F123" cm="1">
        <f t="array" ref="F123">_xlfn.IFS(Table11[[#This Row],[Vehicle_Type]]="SUV",250,Table11[[#This Row],[Vehicle_Type]]="Sedan",200,Table11[[#This Row],[Vehicle_Type]]="Hatchback",185,Table11[[#This Row],[Vehicle_Type]]="Electric",190,Table11[[#This Row],[Vehicle_Type]]="Truck",150)</f>
        <v>150</v>
      </c>
      <c r="G123">
        <f t="shared" ca="1" si="1"/>
        <v>20</v>
      </c>
      <c r="H123" s="82">
        <f>Table11[[#This Row],[Daily_Production]]-Table11[[#This Row],[Forecasted_Units]]</f>
        <v>50.781599270397095</v>
      </c>
      <c r="I123" cm="1">
        <f t="array" ref="I123">_xlfn.IFS(Table11[[#This Row],[Vehicle_Type]]="SUV",5,Table11[[#This Row],[Vehicle_Type]]="Sedan",7,Table11[[#This Row],[Vehicle_Type]]="Hatchback",10,Table11[[#This Row],[Vehicle_Type]]="Electric",11,Table11[[#This Row],[Vehicle_Type]]="Truck",13)</f>
        <v>13</v>
      </c>
      <c r="J123">
        <f ca="1">Table11[[#This Row],[Daily_Production]]*Table11[[#This Row],[Working_Days]]</f>
        <v>3000</v>
      </c>
      <c r="K123" s="81">
        <f>Table11[[#This Row],[Forecasted_Units]]*0.1</f>
        <v>9.9218400729602916</v>
      </c>
      <c r="L123" s="82">
        <f>Table11[[#This Row],[Adjusted_Forecast]]+Table11[[#This Row],[Safety_Stock]]-Table11[[#This Row],[Inventory_On_Hand]]</f>
        <v>58.358641532166104</v>
      </c>
      <c r="M123" s="82">
        <f ca="1">MIN(Table11[[#This Row],[Production_Needed]],Table11[[#This Row],[Production_Capacity]])</f>
        <v>58.358641532166104</v>
      </c>
      <c r="N123" s="82">
        <f ca="1">MAX(Table11[[#This Row],[Production_Needed]]-Table11[[#This Row],[Planned_Production]],0)</f>
        <v>0</v>
      </c>
      <c r="O123" s="82">
        <f ca="1">Table11[[#This Row],[Inventory_On_Hand]]+Table11[[#This Row],[Planned_Production]]-Table11[[#This Row],[Forecasted_Units]]</f>
        <v>9.9218400729602934</v>
      </c>
      <c r="P123" cm="1">
        <f t="array" ref="P123">_xlfn.XLOOKUP(Table11[[#This Row],[Date]] &amp; Table11[[#This Row],[Vehicle_Type]], Table12[Date] &amp; Table12[Vehicle_Type],Table12[Feedback_Adjustment], 0)</f>
        <v>0</v>
      </c>
      <c r="Q123" s="82">
        <f>Table11[[#This Row],[Forecasted_Units]]*(1+Table11[[#This Row],[Adjustment_Percentage]])</f>
        <v>99.218400729602905</v>
      </c>
      <c r="R123" s="82"/>
    </row>
    <row r="124" spans="1:18">
      <c r="A124" s="53">
        <v>45665</v>
      </c>
      <c r="B124" s="14" t="s">
        <v>14</v>
      </c>
      <c r="C124" s="15" t="str">
        <f>TEXT(Table11[[#This Row],[Date]],"mmmm")</f>
        <v>January</v>
      </c>
      <c r="D124" s="14">
        <v>100</v>
      </c>
      <c r="E124" s="82">
        <f>_xlfn.FORECAST.LINEAR(Table11[[#This Row],[Date]],Table11[Units_Sold],Table11[Date])</f>
        <v>99.219564926259693</v>
      </c>
      <c r="F124" cm="1">
        <f t="array" ref="F124">_xlfn.IFS(Table11[[#This Row],[Vehicle_Type]]="SUV",250,Table11[[#This Row],[Vehicle_Type]]="Sedan",200,Table11[[#This Row],[Vehicle_Type]]="Hatchback",185,Table11[[#This Row],[Vehicle_Type]]="Electric",190,Table11[[#This Row],[Vehicle_Type]]="Truck",150)</f>
        <v>150</v>
      </c>
      <c r="G124">
        <f t="shared" ca="1" si="1"/>
        <v>20</v>
      </c>
      <c r="H124" s="82">
        <f>Table11[[#This Row],[Daily_Production]]-Table11[[#This Row],[Forecasted_Units]]</f>
        <v>50.780435073740307</v>
      </c>
      <c r="I124" cm="1">
        <f t="array" ref="I124">_xlfn.IFS(Table11[[#This Row],[Vehicle_Type]]="SUV",5,Table11[[#This Row],[Vehicle_Type]]="Sedan",7,Table11[[#This Row],[Vehicle_Type]]="Hatchback",10,Table11[[#This Row],[Vehicle_Type]]="Electric",11,Table11[[#This Row],[Vehicle_Type]]="Truck",13)</f>
        <v>13</v>
      </c>
      <c r="J124">
        <f ca="1">Table11[[#This Row],[Daily_Production]]*Table11[[#This Row],[Working_Days]]</f>
        <v>3000</v>
      </c>
      <c r="K124" s="81">
        <f>Table11[[#This Row],[Forecasted_Units]]*0.1</f>
        <v>9.92195649262597</v>
      </c>
      <c r="L124" s="82">
        <f>Table11[[#This Row],[Adjusted_Forecast]]+Table11[[#This Row],[Safety_Stock]]-Table11[[#This Row],[Inventory_On_Hand]]</f>
        <v>58.361086345145353</v>
      </c>
      <c r="M124" s="82">
        <f ca="1">MIN(Table11[[#This Row],[Production_Needed]],Table11[[#This Row],[Production_Capacity]])</f>
        <v>58.361086345145353</v>
      </c>
      <c r="N124" s="82">
        <f ca="1">MAX(Table11[[#This Row],[Production_Needed]]-Table11[[#This Row],[Planned_Production]],0)</f>
        <v>0</v>
      </c>
      <c r="O124" s="82">
        <f ca="1">Table11[[#This Row],[Inventory_On_Hand]]+Table11[[#This Row],[Planned_Production]]-Table11[[#This Row],[Forecasted_Units]]</f>
        <v>9.9219564926259665</v>
      </c>
      <c r="P124" cm="1">
        <f t="array" ref="P124">_xlfn.XLOOKUP(Table11[[#This Row],[Date]] &amp; Table11[[#This Row],[Vehicle_Type]], Table12[Date] &amp; Table12[Vehicle_Type],Table12[Feedback_Adjustment], 0)</f>
        <v>0</v>
      </c>
      <c r="Q124" s="82">
        <f>Table11[[#This Row],[Forecasted_Units]]*(1+Table11[[#This Row],[Adjustment_Percentage]])</f>
        <v>99.219564926259693</v>
      </c>
      <c r="R124" s="82"/>
    </row>
    <row r="125" spans="1:18">
      <c r="A125" s="54">
        <v>45695</v>
      </c>
      <c r="B125" s="15" t="s">
        <v>13</v>
      </c>
      <c r="C125" s="15" t="str">
        <f>TEXT(Table11[[#This Row],[Date]],"mmmm")</f>
        <v>February</v>
      </c>
      <c r="D125" s="15">
        <v>111</v>
      </c>
      <c r="E125" s="82">
        <f>_xlfn.FORECAST.LINEAR(Table11[[#This Row],[Date]],Table11[Units_Sold],Table11[Date])</f>
        <v>99.220729122916481</v>
      </c>
      <c r="F125" cm="1">
        <f t="array" ref="F125">_xlfn.IFS(Table11[[#This Row],[Vehicle_Type]]="SUV",250,Table11[[#This Row],[Vehicle_Type]]="Sedan",200,Table11[[#This Row],[Vehicle_Type]]="Hatchback",185,Table11[[#This Row],[Vehicle_Type]]="Electric",190,Table11[[#This Row],[Vehicle_Type]]="Truck",150)</f>
        <v>190</v>
      </c>
      <c r="G125">
        <f t="shared" ca="1" si="1"/>
        <v>21</v>
      </c>
      <c r="H125" s="82">
        <f>Table11[[#This Row],[Daily_Production]]-Table11[[#This Row],[Forecasted_Units]]</f>
        <v>90.779270877083519</v>
      </c>
      <c r="I125" cm="1">
        <f t="array" ref="I125">_xlfn.IFS(Table11[[#This Row],[Vehicle_Type]]="SUV",5,Table11[[#This Row],[Vehicle_Type]]="Sedan",7,Table11[[#This Row],[Vehicle_Type]]="Hatchback",10,Table11[[#This Row],[Vehicle_Type]]="Electric",11,Table11[[#This Row],[Vehicle_Type]]="Truck",13)</f>
        <v>11</v>
      </c>
      <c r="J125">
        <f ca="1">Table11[[#This Row],[Daily_Production]]*Table11[[#This Row],[Working_Days]]</f>
        <v>3990</v>
      </c>
      <c r="K125" s="81">
        <f>Table11[[#This Row],[Forecasted_Units]]*0.1</f>
        <v>9.9220729122916484</v>
      </c>
      <c r="L125" s="82">
        <f>Table11[[#This Row],[Adjusted_Forecast]]+Table11[[#This Row],[Safety_Stock]]-Table11[[#This Row],[Inventory_On_Hand]]</f>
        <v>18.363531158124616</v>
      </c>
      <c r="M125" s="82">
        <f ca="1">MIN(Table11[[#This Row],[Production_Needed]],Table11[[#This Row],[Production_Capacity]])</f>
        <v>18.363531158124616</v>
      </c>
      <c r="N125" s="82">
        <f ca="1">MAX(Table11[[#This Row],[Production_Needed]]-Table11[[#This Row],[Planned_Production]],0)</f>
        <v>0</v>
      </c>
      <c r="O125" s="82">
        <f ca="1">Table11[[#This Row],[Inventory_On_Hand]]+Table11[[#This Row],[Planned_Production]]-Table11[[#This Row],[Forecasted_Units]]</f>
        <v>9.9220729122916538</v>
      </c>
      <c r="P125" cm="1">
        <f t="array" ref="P125">_xlfn.XLOOKUP(Table11[[#This Row],[Date]] &amp; Table11[[#This Row],[Vehicle_Type]], Table12[Date] &amp; Table12[Vehicle_Type],Table12[Feedback_Adjustment], 0)</f>
        <v>0</v>
      </c>
      <c r="Q125" s="82">
        <f>Table11[[#This Row],[Forecasted_Units]]*(1+Table11[[#This Row],[Adjustment_Percentage]])</f>
        <v>99.220729122916481</v>
      </c>
      <c r="R125" s="82"/>
    </row>
    <row r="126" spans="1:18">
      <c r="A126" s="53">
        <v>45725</v>
      </c>
      <c r="B126" s="14" t="s">
        <v>14</v>
      </c>
      <c r="C126" s="15" t="str">
        <f>TEXT(Table11[[#This Row],[Date]],"mmmm")</f>
        <v>March</v>
      </c>
      <c r="D126" s="14">
        <v>87</v>
      </c>
      <c r="E126" s="82">
        <f>_xlfn.FORECAST.LINEAR(Table11[[#This Row],[Date]],Table11[Units_Sold],Table11[Date])</f>
        <v>99.221893319573269</v>
      </c>
      <c r="F126" cm="1">
        <f t="array" ref="F126">_xlfn.IFS(Table11[[#This Row],[Vehicle_Type]]="SUV",250,Table11[[#This Row],[Vehicle_Type]]="Sedan",200,Table11[[#This Row],[Vehicle_Type]]="Hatchback",185,Table11[[#This Row],[Vehicle_Type]]="Electric",190,Table11[[#This Row],[Vehicle_Type]]="Truck",150)</f>
        <v>150</v>
      </c>
      <c r="G126">
        <f t="shared" ca="1" si="1"/>
        <v>20</v>
      </c>
      <c r="H126" s="82">
        <f>Table11[[#This Row],[Daily_Production]]-Table11[[#This Row],[Forecasted_Units]]</f>
        <v>50.778106680426731</v>
      </c>
      <c r="I126" cm="1">
        <f t="array" ref="I126">_xlfn.IFS(Table11[[#This Row],[Vehicle_Type]]="SUV",5,Table11[[#This Row],[Vehicle_Type]]="Sedan",7,Table11[[#This Row],[Vehicle_Type]]="Hatchback",10,Table11[[#This Row],[Vehicle_Type]]="Electric",11,Table11[[#This Row],[Vehicle_Type]]="Truck",13)</f>
        <v>13</v>
      </c>
      <c r="J126">
        <f ca="1">Table11[[#This Row],[Daily_Production]]*Table11[[#This Row],[Working_Days]]</f>
        <v>3000</v>
      </c>
      <c r="K126" s="81">
        <f>Table11[[#This Row],[Forecasted_Units]]*0.1</f>
        <v>9.9221893319573269</v>
      </c>
      <c r="L126" s="82">
        <f>Table11[[#This Row],[Adjusted_Forecast]]+Table11[[#This Row],[Safety_Stock]]-Table11[[#This Row],[Inventory_On_Hand]]</f>
        <v>58.365975971103865</v>
      </c>
      <c r="M126" s="82">
        <f ca="1">MIN(Table11[[#This Row],[Production_Needed]],Table11[[#This Row],[Production_Capacity]])</f>
        <v>58.365975971103865</v>
      </c>
      <c r="N126" s="82">
        <f ca="1">MAX(Table11[[#This Row],[Production_Needed]]-Table11[[#This Row],[Planned_Production]],0)</f>
        <v>0</v>
      </c>
      <c r="O126" s="82">
        <f ca="1">Table11[[#This Row],[Inventory_On_Hand]]+Table11[[#This Row],[Planned_Production]]-Table11[[#This Row],[Forecasted_Units]]</f>
        <v>9.9221893319573269</v>
      </c>
      <c r="P126" cm="1">
        <f t="array" ref="P126">_xlfn.XLOOKUP(Table11[[#This Row],[Date]] &amp; Table11[[#This Row],[Vehicle_Type]], Table12[Date] &amp; Table12[Vehicle_Type],Table12[Feedback_Adjustment], 0)</f>
        <v>0</v>
      </c>
      <c r="Q126" s="82">
        <f>Table11[[#This Row],[Forecasted_Units]]*(1+Table11[[#This Row],[Adjustment_Percentage]])</f>
        <v>99.221893319573269</v>
      </c>
      <c r="R126" s="82"/>
    </row>
    <row r="127" spans="1:18">
      <c r="A127" s="54">
        <v>45755</v>
      </c>
      <c r="B127" s="15" t="s">
        <v>13</v>
      </c>
      <c r="C127" s="15" t="str">
        <f>TEXT(Table11[[#This Row],[Date]],"mmmm")</f>
        <v>April</v>
      </c>
      <c r="D127" s="15">
        <v>100</v>
      </c>
      <c r="E127" s="82">
        <f>_xlfn.FORECAST.LINEAR(Table11[[#This Row],[Date]],Table11[Units_Sold],Table11[Date])</f>
        <v>99.223057516230057</v>
      </c>
      <c r="F127" cm="1">
        <f t="array" ref="F127">_xlfn.IFS(Table11[[#This Row],[Vehicle_Type]]="SUV",250,Table11[[#This Row],[Vehicle_Type]]="Sedan",200,Table11[[#This Row],[Vehicle_Type]]="Hatchback",185,Table11[[#This Row],[Vehicle_Type]]="Electric",190,Table11[[#This Row],[Vehicle_Type]]="Truck",150)</f>
        <v>190</v>
      </c>
      <c r="G127">
        <f t="shared" ca="1" si="1"/>
        <v>25</v>
      </c>
      <c r="H127" s="82">
        <f>Table11[[#This Row],[Daily_Production]]-Table11[[#This Row],[Forecasted_Units]]</f>
        <v>90.776942483769943</v>
      </c>
      <c r="I127" cm="1">
        <f t="array" ref="I127">_xlfn.IFS(Table11[[#This Row],[Vehicle_Type]]="SUV",5,Table11[[#This Row],[Vehicle_Type]]="Sedan",7,Table11[[#This Row],[Vehicle_Type]]="Hatchback",10,Table11[[#This Row],[Vehicle_Type]]="Electric",11,Table11[[#This Row],[Vehicle_Type]]="Truck",13)</f>
        <v>11</v>
      </c>
      <c r="J127">
        <f ca="1">Table11[[#This Row],[Daily_Production]]*Table11[[#This Row],[Working_Days]]</f>
        <v>4750</v>
      </c>
      <c r="K127" s="81">
        <f>Table11[[#This Row],[Forecasted_Units]]*0.1</f>
        <v>9.9223057516230071</v>
      </c>
      <c r="L127" s="82">
        <f>Table11[[#This Row],[Adjusted_Forecast]]+Table11[[#This Row],[Safety_Stock]]-Table11[[#This Row],[Inventory_On_Hand]]</f>
        <v>18.368420784083128</v>
      </c>
      <c r="M127" s="82">
        <f ca="1">MIN(Table11[[#This Row],[Production_Needed]],Table11[[#This Row],[Production_Capacity]])</f>
        <v>18.368420784083128</v>
      </c>
      <c r="N127" s="82">
        <f ca="1">MAX(Table11[[#This Row],[Production_Needed]]-Table11[[#This Row],[Planned_Production]],0)</f>
        <v>0</v>
      </c>
      <c r="O127" s="82">
        <f ca="1">Table11[[#This Row],[Inventory_On_Hand]]+Table11[[#This Row],[Planned_Production]]-Table11[[#This Row],[Forecasted_Units]]</f>
        <v>9.9223057516230142</v>
      </c>
      <c r="P127" cm="1">
        <f t="array" ref="P127">_xlfn.XLOOKUP(Table11[[#This Row],[Date]] &amp; Table11[[#This Row],[Vehicle_Type]], Table12[Date] &amp; Table12[Vehicle_Type],Table12[Feedback_Adjustment], 0)</f>
        <v>0</v>
      </c>
      <c r="Q127" s="82">
        <f>Table11[[#This Row],[Forecasted_Units]]*(1+Table11[[#This Row],[Adjustment_Percentage]])</f>
        <v>99.223057516230057</v>
      </c>
      <c r="R127" s="82"/>
    </row>
    <row r="128" spans="1:18">
      <c r="A128" s="53">
        <v>45785</v>
      </c>
      <c r="B128" s="14" t="s">
        <v>11</v>
      </c>
      <c r="C128" s="15" t="str">
        <f>TEXT(Table11[[#This Row],[Date]],"mmmm")</f>
        <v>May</v>
      </c>
      <c r="D128" s="14">
        <v>104</v>
      </c>
      <c r="E128" s="82">
        <f>_xlfn.FORECAST.LINEAR(Table11[[#This Row],[Date]],Table11[Units_Sold],Table11[Date])</f>
        <v>99.224221712886845</v>
      </c>
      <c r="F128" cm="1">
        <f t="array" ref="F128">_xlfn.IFS(Table11[[#This Row],[Vehicle_Type]]="SUV",250,Table11[[#This Row],[Vehicle_Type]]="Sedan",200,Table11[[#This Row],[Vehicle_Type]]="Hatchback",185,Table11[[#This Row],[Vehicle_Type]]="Electric",190,Table11[[#This Row],[Vehicle_Type]]="Truck",150)</f>
        <v>185</v>
      </c>
      <c r="G128">
        <f t="shared" ca="1" si="1"/>
        <v>22</v>
      </c>
      <c r="H128" s="82">
        <f>Table11[[#This Row],[Daily_Production]]-Table11[[#This Row],[Forecasted_Units]]</f>
        <v>85.775778287113155</v>
      </c>
      <c r="I128" cm="1">
        <f t="array" ref="I128">_xlfn.IFS(Table11[[#This Row],[Vehicle_Type]]="SUV",5,Table11[[#This Row],[Vehicle_Type]]="Sedan",7,Table11[[#This Row],[Vehicle_Type]]="Hatchback",10,Table11[[#This Row],[Vehicle_Type]]="Electric",11,Table11[[#This Row],[Vehicle_Type]]="Truck",13)</f>
        <v>10</v>
      </c>
      <c r="J128">
        <f ca="1">Table11[[#This Row],[Daily_Production]]*Table11[[#This Row],[Working_Days]]</f>
        <v>4070</v>
      </c>
      <c r="K128" s="81">
        <f>Table11[[#This Row],[Forecasted_Units]]*0.1</f>
        <v>9.9224221712886855</v>
      </c>
      <c r="L128" s="82">
        <f>Table11[[#This Row],[Adjusted_Forecast]]+Table11[[#This Row],[Safety_Stock]]-Table11[[#This Row],[Inventory_On_Hand]]</f>
        <v>23.370865597062377</v>
      </c>
      <c r="M128" s="82">
        <f ca="1">MIN(Table11[[#This Row],[Production_Needed]],Table11[[#This Row],[Production_Capacity]])</f>
        <v>23.370865597062377</v>
      </c>
      <c r="N128" s="82">
        <f ca="1">MAX(Table11[[#This Row],[Production_Needed]]-Table11[[#This Row],[Planned_Production]],0)</f>
        <v>0</v>
      </c>
      <c r="O128" s="82">
        <f ca="1">Table11[[#This Row],[Inventory_On_Hand]]+Table11[[#This Row],[Planned_Production]]-Table11[[#This Row],[Forecasted_Units]]</f>
        <v>9.9224221712886873</v>
      </c>
      <c r="P128" cm="1">
        <f t="array" ref="P128">_xlfn.XLOOKUP(Table11[[#This Row],[Date]] &amp; Table11[[#This Row],[Vehicle_Type]], Table12[Date] &amp; Table12[Vehicle_Type],Table12[Feedback_Adjustment], 0)</f>
        <v>0</v>
      </c>
      <c r="Q128" s="82">
        <f>Table11[[#This Row],[Forecasted_Units]]*(1+Table11[[#This Row],[Adjustment_Percentage]])</f>
        <v>99.224221712886845</v>
      </c>
      <c r="R128" s="82"/>
    </row>
    <row r="129" spans="1:18">
      <c r="A129" s="54">
        <v>45815</v>
      </c>
      <c r="B129" s="15" t="s">
        <v>13</v>
      </c>
      <c r="C129" s="15" t="str">
        <f>TEXT(Table11[[#This Row],[Date]],"mmmm")</f>
        <v>June</v>
      </c>
      <c r="D129" s="15">
        <v>78</v>
      </c>
      <c r="E129" s="82">
        <f>_xlfn.FORECAST.LINEAR(Table11[[#This Row],[Date]],Table11[Units_Sold],Table11[Date])</f>
        <v>99.225385909543633</v>
      </c>
      <c r="F129" cm="1">
        <f t="array" ref="F129">_xlfn.IFS(Table11[[#This Row],[Vehicle_Type]]="SUV",250,Table11[[#This Row],[Vehicle_Type]]="Sedan",200,Table11[[#This Row],[Vehicle_Type]]="Hatchback",185,Table11[[#This Row],[Vehicle_Type]]="Electric",190,Table11[[#This Row],[Vehicle_Type]]="Truck",150)</f>
        <v>190</v>
      </c>
      <c r="G129">
        <f t="shared" ca="1" si="1"/>
        <v>23</v>
      </c>
      <c r="H129" s="82">
        <f>Table11[[#This Row],[Daily_Production]]-Table11[[#This Row],[Forecasted_Units]]</f>
        <v>90.774614090456367</v>
      </c>
      <c r="I129" cm="1">
        <f t="array" ref="I129">_xlfn.IFS(Table11[[#This Row],[Vehicle_Type]]="SUV",5,Table11[[#This Row],[Vehicle_Type]]="Sedan",7,Table11[[#This Row],[Vehicle_Type]]="Hatchback",10,Table11[[#This Row],[Vehicle_Type]]="Electric",11,Table11[[#This Row],[Vehicle_Type]]="Truck",13)</f>
        <v>11</v>
      </c>
      <c r="J129">
        <f ca="1">Table11[[#This Row],[Daily_Production]]*Table11[[#This Row],[Working_Days]]</f>
        <v>4370</v>
      </c>
      <c r="K129" s="81">
        <f>Table11[[#This Row],[Forecasted_Units]]*0.1</f>
        <v>9.922538590954364</v>
      </c>
      <c r="L129" s="82">
        <f>Table11[[#This Row],[Adjusted_Forecast]]+Table11[[#This Row],[Safety_Stock]]-Table11[[#This Row],[Inventory_On_Hand]]</f>
        <v>18.373310410041626</v>
      </c>
      <c r="M129" s="82">
        <f ca="1">MIN(Table11[[#This Row],[Production_Needed]],Table11[[#This Row],[Production_Capacity]])</f>
        <v>18.373310410041626</v>
      </c>
      <c r="N129" s="82">
        <f ca="1">MAX(Table11[[#This Row],[Production_Needed]]-Table11[[#This Row],[Planned_Production]],0)</f>
        <v>0</v>
      </c>
      <c r="O129" s="82">
        <f ca="1">Table11[[#This Row],[Inventory_On_Hand]]+Table11[[#This Row],[Planned_Production]]-Table11[[#This Row],[Forecasted_Units]]</f>
        <v>9.9225385909543604</v>
      </c>
      <c r="P129" cm="1">
        <f t="array" ref="P129">_xlfn.XLOOKUP(Table11[[#This Row],[Date]] &amp; Table11[[#This Row],[Vehicle_Type]], Table12[Date] &amp; Table12[Vehicle_Type],Table12[Feedback_Adjustment], 0)</f>
        <v>0</v>
      </c>
      <c r="Q129" s="82">
        <f>Table11[[#This Row],[Forecasted_Units]]*(1+Table11[[#This Row],[Adjustment_Percentage]])</f>
        <v>99.225385909543633</v>
      </c>
      <c r="R129" s="82"/>
    </row>
    <row r="130" spans="1:18">
      <c r="A130" s="53">
        <v>45845</v>
      </c>
      <c r="B130" s="14" t="s">
        <v>10</v>
      </c>
      <c r="C130" s="15" t="str">
        <f>TEXT(Table11[[#This Row],[Date]],"mmmm")</f>
        <v>July</v>
      </c>
      <c r="D130" s="14">
        <v>101</v>
      </c>
      <c r="E130" s="82">
        <f>_xlfn.FORECAST.LINEAR(Table11[[#This Row],[Date]],Table11[Units_Sold],Table11[Date])</f>
        <v>99.22655010620042</v>
      </c>
      <c r="F130" cm="1">
        <f t="array" ref="F130">_xlfn.IFS(Table11[[#This Row],[Vehicle_Type]]="SUV",250,Table11[[#This Row],[Vehicle_Type]]="Sedan",200,Table11[[#This Row],[Vehicle_Type]]="Hatchback",185,Table11[[#This Row],[Vehicle_Type]]="Electric",190,Table11[[#This Row],[Vehicle_Type]]="Truck",150)</f>
        <v>200</v>
      </c>
      <c r="G130">
        <f t="shared" ref="G130:G193" ca="1" si="2">RANDBETWEEN(20,25)</f>
        <v>22</v>
      </c>
      <c r="H130" s="82">
        <f>Table11[[#This Row],[Daily_Production]]-Table11[[#This Row],[Forecasted_Units]]</f>
        <v>100.77344989379958</v>
      </c>
      <c r="I130" cm="1">
        <f t="array" ref="I130">_xlfn.IFS(Table11[[#This Row],[Vehicle_Type]]="SUV",5,Table11[[#This Row],[Vehicle_Type]]="Sedan",7,Table11[[#This Row],[Vehicle_Type]]="Hatchback",10,Table11[[#This Row],[Vehicle_Type]]="Electric",11,Table11[[#This Row],[Vehicle_Type]]="Truck",13)</f>
        <v>7</v>
      </c>
      <c r="J130">
        <f ca="1">Table11[[#This Row],[Daily_Production]]*Table11[[#This Row],[Working_Days]]</f>
        <v>4400</v>
      </c>
      <c r="K130" s="81">
        <f>Table11[[#This Row],[Forecasted_Units]]*0.1</f>
        <v>9.9226550106200424</v>
      </c>
      <c r="L130" s="82">
        <f>Table11[[#This Row],[Adjusted_Forecast]]+Table11[[#This Row],[Safety_Stock]]-Table11[[#This Row],[Inventory_On_Hand]]</f>
        <v>8.3757552230208887</v>
      </c>
      <c r="M130" s="82">
        <f ca="1">MIN(Table11[[#This Row],[Production_Needed]],Table11[[#This Row],[Production_Capacity]])</f>
        <v>8.3757552230208887</v>
      </c>
      <c r="N130" s="82">
        <f ca="1">MAX(Table11[[#This Row],[Production_Needed]]-Table11[[#This Row],[Planned_Production]],0)</f>
        <v>0</v>
      </c>
      <c r="O130" s="82">
        <f ca="1">Table11[[#This Row],[Inventory_On_Hand]]+Table11[[#This Row],[Planned_Production]]-Table11[[#This Row],[Forecasted_Units]]</f>
        <v>9.9226550106200477</v>
      </c>
      <c r="P130" cm="1">
        <f t="array" ref="P130">_xlfn.XLOOKUP(Table11[[#This Row],[Date]] &amp; Table11[[#This Row],[Vehicle_Type]], Table12[Date] &amp; Table12[Vehicle_Type],Table12[Feedback_Adjustment], 0)</f>
        <v>0</v>
      </c>
      <c r="Q130" s="82">
        <f>Table11[[#This Row],[Forecasted_Units]]*(1+Table11[[#This Row],[Adjustment_Percentage]])</f>
        <v>99.22655010620042</v>
      </c>
      <c r="R130" s="82"/>
    </row>
    <row r="131" spans="1:18">
      <c r="A131" s="54">
        <v>45875</v>
      </c>
      <c r="B131" s="15" t="s">
        <v>10</v>
      </c>
      <c r="C131" s="15" t="str">
        <f>TEXT(Table11[[#This Row],[Date]],"mmmm")</f>
        <v>August</v>
      </c>
      <c r="D131" s="15">
        <v>100</v>
      </c>
      <c r="E131" s="82">
        <f>_xlfn.FORECAST.LINEAR(Table11[[#This Row],[Date]],Table11[Units_Sold],Table11[Date])</f>
        <v>99.227714302857208</v>
      </c>
      <c r="F131" cm="1">
        <f t="array" ref="F131">_xlfn.IFS(Table11[[#This Row],[Vehicle_Type]]="SUV",250,Table11[[#This Row],[Vehicle_Type]]="Sedan",200,Table11[[#This Row],[Vehicle_Type]]="Hatchback",185,Table11[[#This Row],[Vehicle_Type]]="Electric",190,Table11[[#This Row],[Vehicle_Type]]="Truck",150)</f>
        <v>200</v>
      </c>
      <c r="G131">
        <f t="shared" ca="1" si="2"/>
        <v>23</v>
      </c>
      <c r="H131" s="82">
        <f>Table11[[#This Row],[Daily_Production]]-Table11[[#This Row],[Forecasted_Units]]</f>
        <v>100.77228569714279</v>
      </c>
      <c r="I131" cm="1">
        <f t="array" ref="I131">_xlfn.IFS(Table11[[#This Row],[Vehicle_Type]]="SUV",5,Table11[[#This Row],[Vehicle_Type]]="Sedan",7,Table11[[#This Row],[Vehicle_Type]]="Hatchback",10,Table11[[#This Row],[Vehicle_Type]]="Electric",11,Table11[[#This Row],[Vehicle_Type]]="Truck",13)</f>
        <v>7</v>
      </c>
      <c r="J131">
        <f ca="1">Table11[[#This Row],[Daily_Production]]*Table11[[#This Row],[Working_Days]]</f>
        <v>4600</v>
      </c>
      <c r="K131" s="81">
        <f>Table11[[#This Row],[Forecasted_Units]]*0.1</f>
        <v>9.9227714302857208</v>
      </c>
      <c r="L131" s="82">
        <f>Table11[[#This Row],[Adjusted_Forecast]]+Table11[[#This Row],[Safety_Stock]]-Table11[[#This Row],[Inventory_On_Hand]]</f>
        <v>8.3782000360001376</v>
      </c>
      <c r="M131" s="82">
        <f ca="1">MIN(Table11[[#This Row],[Production_Needed]],Table11[[#This Row],[Production_Capacity]])</f>
        <v>8.3782000360001376</v>
      </c>
      <c r="N131" s="82">
        <f ca="1">MAX(Table11[[#This Row],[Production_Needed]]-Table11[[#This Row],[Planned_Production]],0)</f>
        <v>0</v>
      </c>
      <c r="O131" s="82">
        <f ca="1">Table11[[#This Row],[Inventory_On_Hand]]+Table11[[#This Row],[Planned_Production]]-Table11[[#This Row],[Forecasted_Units]]</f>
        <v>9.9227714302857208</v>
      </c>
      <c r="P131" cm="1">
        <f t="array" ref="P131">_xlfn.XLOOKUP(Table11[[#This Row],[Date]] &amp; Table11[[#This Row],[Vehicle_Type]], Table12[Date] &amp; Table12[Vehicle_Type],Table12[Feedback_Adjustment], 0)</f>
        <v>0</v>
      </c>
      <c r="Q131" s="82">
        <f>Table11[[#This Row],[Forecasted_Units]]*(1+Table11[[#This Row],[Adjustment_Percentage]])</f>
        <v>99.227714302857208</v>
      </c>
      <c r="R131" s="82"/>
    </row>
    <row r="132" spans="1:18">
      <c r="A132" s="53">
        <v>45905</v>
      </c>
      <c r="B132" s="14" t="s">
        <v>13</v>
      </c>
      <c r="C132" s="15" t="str">
        <f>TEXT(Table11[[#This Row],[Date]],"mmmm")</f>
        <v>September</v>
      </c>
      <c r="D132" s="14">
        <v>109</v>
      </c>
      <c r="E132" s="82">
        <f>_xlfn.FORECAST.LINEAR(Table11[[#This Row],[Date]],Table11[Units_Sold],Table11[Date])</f>
        <v>99.228878499513996</v>
      </c>
      <c r="F132" cm="1">
        <f t="array" ref="F132">_xlfn.IFS(Table11[[#This Row],[Vehicle_Type]]="SUV",250,Table11[[#This Row],[Vehicle_Type]]="Sedan",200,Table11[[#This Row],[Vehicle_Type]]="Hatchback",185,Table11[[#This Row],[Vehicle_Type]]="Electric",190,Table11[[#This Row],[Vehicle_Type]]="Truck",150)</f>
        <v>190</v>
      </c>
      <c r="G132">
        <f t="shared" ca="1" si="2"/>
        <v>23</v>
      </c>
      <c r="H132" s="82">
        <f>Table11[[#This Row],[Daily_Production]]-Table11[[#This Row],[Forecasted_Units]]</f>
        <v>90.771121500486004</v>
      </c>
      <c r="I132" cm="1">
        <f t="array" ref="I132">_xlfn.IFS(Table11[[#This Row],[Vehicle_Type]]="SUV",5,Table11[[#This Row],[Vehicle_Type]]="Sedan",7,Table11[[#This Row],[Vehicle_Type]]="Hatchback",10,Table11[[#This Row],[Vehicle_Type]]="Electric",11,Table11[[#This Row],[Vehicle_Type]]="Truck",13)</f>
        <v>11</v>
      </c>
      <c r="J132">
        <f ca="1">Table11[[#This Row],[Daily_Production]]*Table11[[#This Row],[Working_Days]]</f>
        <v>4370</v>
      </c>
      <c r="K132" s="81">
        <f>Table11[[#This Row],[Forecasted_Units]]*0.1</f>
        <v>9.9228878499514011</v>
      </c>
      <c r="L132" s="82">
        <f>Table11[[#This Row],[Adjusted_Forecast]]+Table11[[#This Row],[Safety_Stock]]-Table11[[#This Row],[Inventory_On_Hand]]</f>
        <v>18.380644848979387</v>
      </c>
      <c r="M132" s="82">
        <f ca="1">MIN(Table11[[#This Row],[Production_Needed]],Table11[[#This Row],[Production_Capacity]])</f>
        <v>18.380644848979387</v>
      </c>
      <c r="N132" s="82">
        <f ca="1">MAX(Table11[[#This Row],[Production_Needed]]-Table11[[#This Row],[Planned_Production]],0)</f>
        <v>0</v>
      </c>
      <c r="O132" s="82">
        <f ca="1">Table11[[#This Row],[Inventory_On_Hand]]+Table11[[#This Row],[Planned_Production]]-Table11[[#This Row],[Forecasted_Units]]</f>
        <v>9.9228878499513939</v>
      </c>
      <c r="P132" cm="1">
        <f t="array" ref="P132">_xlfn.XLOOKUP(Table11[[#This Row],[Date]] &amp; Table11[[#This Row],[Vehicle_Type]], Table12[Date] &amp; Table12[Vehicle_Type],Table12[Feedback_Adjustment], 0)</f>
        <v>0</v>
      </c>
      <c r="Q132" s="82">
        <f>Table11[[#This Row],[Forecasted_Units]]*(1+Table11[[#This Row],[Adjustment_Percentage]])</f>
        <v>99.228878499513996</v>
      </c>
      <c r="R132" s="82"/>
    </row>
    <row r="133" spans="1:18">
      <c r="A133" s="54">
        <v>45935</v>
      </c>
      <c r="B133" s="15" t="s">
        <v>11</v>
      </c>
      <c r="C133" s="15" t="str">
        <f>TEXT(Table11[[#This Row],[Date]],"mmmm")</f>
        <v>October</v>
      </c>
      <c r="D133" s="15">
        <v>98</v>
      </c>
      <c r="E133" s="82">
        <f>_xlfn.FORECAST.LINEAR(Table11[[#This Row],[Date]],Table11[Units_Sold],Table11[Date])</f>
        <v>99.230042696170784</v>
      </c>
      <c r="F133" cm="1">
        <f t="array" ref="F133">_xlfn.IFS(Table11[[#This Row],[Vehicle_Type]]="SUV",250,Table11[[#This Row],[Vehicle_Type]]="Sedan",200,Table11[[#This Row],[Vehicle_Type]]="Hatchback",185,Table11[[#This Row],[Vehicle_Type]]="Electric",190,Table11[[#This Row],[Vehicle_Type]]="Truck",150)</f>
        <v>185</v>
      </c>
      <c r="G133">
        <f t="shared" ca="1" si="2"/>
        <v>22</v>
      </c>
      <c r="H133" s="82">
        <f>Table11[[#This Row],[Daily_Production]]-Table11[[#This Row],[Forecasted_Units]]</f>
        <v>85.769957303829216</v>
      </c>
      <c r="I133" cm="1">
        <f t="array" ref="I133">_xlfn.IFS(Table11[[#This Row],[Vehicle_Type]]="SUV",5,Table11[[#This Row],[Vehicle_Type]]="Sedan",7,Table11[[#This Row],[Vehicle_Type]]="Hatchback",10,Table11[[#This Row],[Vehicle_Type]]="Electric",11,Table11[[#This Row],[Vehicle_Type]]="Truck",13)</f>
        <v>10</v>
      </c>
      <c r="J133">
        <f ca="1">Table11[[#This Row],[Daily_Production]]*Table11[[#This Row],[Working_Days]]</f>
        <v>4070</v>
      </c>
      <c r="K133" s="81">
        <f>Table11[[#This Row],[Forecasted_Units]]*0.1</f>
        <v>9.9230042696170795</v>
      </c>
      <c r="L133" s="82">
        <f>Table11[[#This Row],[Adjusted_Forecast]]+Table11[[#This Row],[Safety_Stock]]-Table11[[#This Row],[Inventory_On_Hand]]</f>
        <v>23.38308966195865</v>
      </c>
      <c r="M133" s="82">
        <f ca="1">MIN(Table11[[#This Row],[Production_Needed]],Table11[[#This Row],[Production_Capacity]])</f>
        <v>23.38308966195865</v>
      </c>
      <c r="N133" s="82">
        <f ca="1">MAX(Table11[[#This Row],[Production_Needed]]-Table11[[#This Row],[Planned_Production]],0)</f>
        <v>0</v>
      </c>
      <c r="O133" s="82">
        <f ca="1">Table11[[#This Row],[Inventory_On_Hand]]+Table11[[#This Row],[Planned_Production]]-Table11[[#This Row],[Forecasted_Units]]</f>
        <v>9.9230042696170813</v>
      </c>
      <c r="P133" cm="1">
        <f t="array" ref="P133">_xlfn.XLOOKUP(Table11[[#This Row],[Date]] &amp; Table11[[#This Row],[Vehicle_Type]], Table12[Date] &amp; Table12[Vehicle_Type],Table12[Feedback_Adjustment], 0)</f>
        <v>0</v>
      </c>
      <c r="Q133" s="82">
        <f>Table11[[#This Row],[Forecasted_Units]]*(1+Table11[[#This Row],[Adjustment_Percentage]])</f>
        <v>99.230042696170784</v>
      </c>
      <c r="R133" s="82"/>
    </row>
    <row r="134" spans="1:18">
      <c r="A134" s="53">
        <v>45965</v>
      </c>
      <c r="B134" s="14" t="s">
        <v>11</v>
      </c>
      <c r="C134" s="15" t="str">
        <f>TEXT(Table11[[#This Row],[Date]],"mmmm")</f>
        <v>November</v>
      </c>
      <c r="D134" s="14">
        <v>111</v>
      </c>
      <c r="E134" s="82">
        <f>_xlfn.FORECAST.LINEAR(Table11[[#This Row],[Date]],Table11[Units_Sold],Table11[Date])</f>
        <v>99.231206892827558</v>
      </c>
      <c r="F134" cm="1">
        <f t="array" ref="F134">_xlfn.IFS(Table11[[#This Row],[Vehicle_Type]]="SUV",250,Table11[[#This Row],[Vehicle_Type]]="Sedan",200,Table11[[#This Row],[Vehicle_Type]]="Hatchback",185,Table11[[#This Row],[Vehicle_Type]]="Electric",190,Table11[[#This Row],[Vehicle_Type]]="Truck",150)</f>
        <v>185</v>
      </c>
      <c r="G134">
        <f t="shared" ca="1" si="2"/>
        <v>20</v>
      </c>
      <c r="H134" s="82">
        <f>Table11[[#This Row],[Daily_Production]]-Table11[[#This Row],[Forecasted_Units]]</f>
        <v>85.768793107172442</v>
      </c>
      <c r="I134" cm="1">
        <f t="array" ref="I134">_xlfn.IFS(Table11[[#This Row],[Vehicle_Type]]="SUV",5,Table11[[#This Row],[Vehicle_Type]]="Sedan",7,Table11[[#This Row],[Vehicle_Type]]="Hatchback",10,Table11[[#This Row],[Vehicle_Type]]="Electric",11,Table11[[#This Row],[Vehicle_Type]]="Truck",13)</f>
        <v>10</v>
      </c>
      <c r="J134">
        <f ca="1">Table11[[#This Row],[Daily_Production]]*Table11[[#This Row],[Working_Days]]</f>
        <v>3700</v>
      </c>
      <c r="K134" s="81">
        <f>Table11[[#This Row],[Forecasted_Units]]*0.1</f>
        <v>9.9231206892827561</v>
      </c>
      <c r="L134" s="82">
        <f>Table11[[#This Row],[Adjusted_Forecast]]+Table11[[#This Row],[Safety_Stock]]-Table11[[#This Row],[Inventory_On_Hand]]</f>
        <v>23.38553447493787</v>
      </c>
      <c r="M134" s="82">
        <f ca="1">MIN(Table11[[#This Row],[Production_Needed]],Table11[[#This Row],[Production_Capacity]])</f>
        <v>23.38553447493787</v>
      </c>
      <c r="N134" s="82">
        <f ca="1">MAX(Table11[[#This Row],[Production_Needed]]-Table11[[#This Row],[Planned_Production]],0)</f>
        <v>0</v>
      </c>
      <c r="O134" s="82">
        <f ca="1">Table11[[#This Row],[Inventory_On_Hand]]+Table11[[#This Row],[Planned_Production]]-Table11[[#This Row],[Forecasted_Units]]</f>
        <v>9.9231206892827544</v>
      </c>
      <c r="P134" cm="1">
        <f t="array" ref="P134">_xlfn.XLOOKUP(Table11[[#This Row],[Date]] &amp; Table11[[#This Row],[Vehicle_Type]], Table12[Date] &amp; Table12[Vehicle_Type],Table12[Feedback_Adjustment], 0)</f>
        <v>0</v>
      </c>
      <c r="Q134" s="82">
        <f>Table11[[#This Row],[Forecasted_Units]]*(1+Table11[[#This Row],[Adjustment_Percentage]])</f>
        <v>99.231206892827558</v>
      </c>
      <c r="R134" s="82"/>
    </row>
    <row r="135" spans="1:18">
      <c r="A135" s="54">
        <v>45995</v>
      </c>
      <c r="B135" s="15" t="s">
        <v>10</v>
      </c>
      <c r="C135" s="15" t="str">
        <f>TEXT(Table11[[#This Row],[Date]],"mmmm")</f>
        <v>December</v>
      </c>
      <c r="D135" s="15">
        <v>97</v>
      </c>
      <c r="E135" s="82">
        <f>_xlfn.FORECAST.LINEAR(Table11[[#This Row],[Date]],Table11[Units_Sold],Table11[Date])</f>
        <v>99.232371089484346</v>
      </c>
      <c r="F135" cm="1">
        <f t="array" ref="F135">_xlfn.IFS(Table11[[#This Row],[Vehicle_Type]]="SUV",250,Table11[[#This Row],[Vehicle_Type]]="Sedan",200,Table11[[#This Row],[Vehicle_Type]]="Hatchback",185,Table11[[#This Row],[Vehicle_Type]]="Electric",190,Table11[[#This Row],[Vehicle_Type]]="Truck",150)</f>
        <v>200</v>
      </c>
      <c r="G135">
        <f t="shared" ca="1" si="2"/>
        <v>24</v>
      </c>
      <c r="H135" s="82">
        <f>Table11[[#This Row],[Daily_Production]]-Table11[[#This Row],[Forecasted_Units]]</f>
        <v>100.76762891051565</v>
      </c>
      <c r="I135" cm="1">
        <f t="array" ref="I135">_xlfn.IFS(Table11[[#This Row],[Vehicle_Type]]="SUV",5,Table11[[#This Row],[Vehicle_Type]]="Sedan",7,Table11[[#This Row],[Vehicle_Type]]="Hatchback",10,Table11[[#This Row],[Vehicle_Type]]="Electric",11,Table11[[#This Row],[Vehicle_Type]]="Truck",13)</f>
        <v>7</v>
      </c>
      <c r="J135">
        <f ca="1">Table11[[#This Row],[Daily_Production]]*Table11[[#This Row],[Working_Days]]</f>
        <v>4800</v>
      </c>
      <c r="K135" s="81">
        <f>Table11[[#This Row],[Forecasted_Units]]*0.1</f>
        <v>9.9232371089484346</v>
      </c>
      <c r="L135" s="82">
        <f>Table11[[#This Row],[Adjusted_Forecast]]+Table11[[#This Row],[Safety_Stock]]-Table11[[#This Row],[Inventory_On_Hand]]</f>
        <v>8.3879792879171333</v>
      </c>
      <c r="M135" s="82">
        <f ca="1">MIN(Table11[[#This Row],[Production_Needed]],Table11[[#This Row],[Production_Capacity]])</f>
        <v>8.3879792879171333</v>
      </c>
      <c r="N135" s="82">
        <f ca="1">MAX(Table11[[#This Row],[Production_Needed]]-Table11[[#This Row],[Planned_Production]],0)</f>
        <v>0</v>
      </c>
      <c r="O135" s="82">
        <f ca="1">Table11[[#This Row],[Inventory_On_Hand]]+Table11[[#This Row],[Planned_Production]]-Table11[[#This Row],[Forecasted_Units]]</f>
        <v>9.9232371089484417</v>
      </c>
      <c r="P135" cm="1">
        <f t="array" ref="P135">_xlfn.XLOOKUP(Table11[[#This Row],[Date]] &amp; Table11[[#This Row],[Vehicle_Type]], Table12[Date] &amp; Table12[Vehicle_Type],Table12[Feedback_Adjustment], 0)</f>
        <v>0</v>
      </c>
      <c r="Q135" s="82">
        <f>Table11[[#This Row],[Forecasted_Units]]*(1+Table11[[#This Row],[Adjustment_Percentage]])</f>
        <v>99.232371089484346</v>
      </c>
      <c r="R135" s="82"/>
    </row>
    <row r="136" spans="1:18">
      <c r="A136" s="53">
        <v>46025</v>
      </c>
      <c r="B136" s="14" t="s">
        <v>11</v>
      </c>
      <c r="C136" s="15" t="str">
        <f>TEXT(Table11[[#This Row],[Date]],"mmmm")</f>
        <v>January</v>
      </c>
      <c r="D136" s="14">
        <v>88</v>
      </c>
      <c r="E136" s="82">
        <f>_xlfn.FORECAST.LINEAR(Table11[[#This Row],[Date]],Table11[Units_Sold],Table11[Date])</f>
        <v>99.233535286141134</v>
      </c>
      <c r="F136" cm="1">
        <f t="array" ref="F136">_xlfn.IFS(Table11[[#This Row],[Vehicle_Type]]="SUV",250,Table11[[#This Row],[Vehicle_Type]]="Sedan",200,Table11[[#This Row],[Vehicle_Type]]="Hatchback",185,Table11[[#This Row],[Vehicle_Type]]="Electric",190,Table11[[#This Row],[Vehicle_Type]]="Truck",150)</f>
        <v>185</v>
      </c>
      <c r="G136">
        <f t="shared" ca="1" si="2"/>
        <v>25</v>
      </c>
      <c r="H136" s="82">
        <f>Table11[[#This Row],[Daily_Production]]-Table11[[#This Row],[Forecasted_Units]]</f>
        <v>85.766464713858866</v>
      </c>
      <c r="I136" cm="1">
        <f t="array" ref="I136">_xlfn.IFS(Table11[[#This Row],[Vehicle_Type]]="SUV",5,Table11[[#This Row],[Vehicle_Type]]="Sedan",7,Table11[[#This Row],[Vehicle_Type]]="Hatchback",10,Table11[[#This Row],[Vehicle_Type]]="Electric",11,Table11[[#This Row],[Vehicle_Type]]="Truck",13)</f>
        <v>10</v>
      </c>
      <c r="J136">
        <f ca="1">Table11[[#This Row],[Daily_Production]]*Table11[[#This Row],[Working_Days]]</f>
        <v>4625</v>
      </c>
      <c r="K136" s="81">
        <f>Table11[[#This Row],[Forecasted_Units]]*0.1</f>
        <v>9.9233535286141148</v>
      </c>
      <c r="L136" s="82">
        <f>Table11[[#This Row],[Adjusted_Forecast]]+Table11[[#This Row],[Safety_Stock]]-Table11[[#This Row],[Inventory_On_Hand]]</f>
        <v>23.390424100896382</v>
      </c>
      <c r="M136" s="82">
        <f ca="1">MIN(Table11[[#This Row],[Production_Needed]],Table11[[#This Row],[Production_Capacity]])</f>
        <v>23.390424100896382</v>
      </c>
      <c r="N136" s="82">
        <f ca="1">MAX(Table11[[#This Row],[Production_Needed]]-Table11[[#This Row],[Planned_Production]],0)</f>
        <v>0</v>
      </c>
      <c r="O136" s="82">
        <f ca="1">Table11[[#This Row],[Inventory_On_Hand]]+Table11[[#This Row],[Planned_Production]]-Table11[[#This Row],[Forecasted_Units]]</f>
        <v>9.9233535286141148</v>
      </c>
      <c r="P136" cm="1">
        <f t="array" ref="P136">_xlfn.XLOOKUP(Table11[[#This Row],[Date]] &amp; Table11[[#This Row],[Vehicle_Type]], Table12[Date] &amp; Table12[Vehicle_Type],Table12[Feedback_Adjustment], 0)</f>
        <v>0</v>
      </c>
      <c r="Q136" s="82">
        <f>Table11[[#This Row],[Forecasted_Units]]*(1+Table11[[#This Row],[Adjustment_Percentage]])</f>
        <v>99.233535286141134</v>
      </c>
      <c r="R136" s="82"/>
    </row>
    <row r="137" spans="1:18">
      <c r="A137" s="54">
        <v>46055</v>
      </c>
      <c r="B137" s="15" t="s">
        <v>14</v>
      </c>
      <c r="C137" s="15" t="str">
        <f>TEXT(Table11[[#This Row],[Date]],"mmmm")</f>
        <v>February</v>
      </c>
      <c r="D137" s="15">
        <v>101</v>
      </c>
      <c r="E137" s="82">
        <f>_xlfn.FORECAST.LINEAR(Table11[[#This Row],[Date]],Table11[Units_Sold],Table11[Date])</f>
        <v>99.234699482797922</v>
      </c>
      <c r="F137" cm="1">
        <f t="array" ref="F137">_xlfn.IFS(Table11[[#This Row],[Vehicle_Type]]="SUV",250,Table11[[#This Row],[Vehicle_Type]]="Sedan",200,Table11[[#This Row],[Vehicle_Type]]="Hatchback",185,Table11[[#This Row],[Vehicle_Type]]="Electric",190,Table11[[#This Row],[Vehicle_Type]]="Truck",150)</f>
        <v>150</v>
      </c>
      <c r="G137">
        <f t="shared" ca="1" si="2"/>
        <v>23</v>
      </c>
      <c r="H137" s="82">
        <f>Table11[[#This Row],[Daily_Production]]-Table11[[#This Row],[Forecasted_Units]]</f>
        <v>50.765300517202078</v>
      </c>
      <c r="I137" cm="1">
        <f t="array" ref="I137">_xlfn.IFS(Table11[[#This Row],[Vehicle_Type]]="SUV",5,Table11[[#This Row],[Vehicle_Type]]="Sedan",7,Table11[[#This Row],[Vehicle_Type]]="Hatchback",10,Table11[[#This Row],[Vehicle_Type]]="Electric",11,Table11[[#This Row],[Vehicle_Type]]="Truck",13)</f>
        <v>13</v>
      </c>
      <c r="J137">
        <f ca="1">Table11[[#This Row],[Daily_Production]]*Table11[[#This Row],[Working_Days]]</f>
        <v>3450</v>
      </c>
      <c r="K137" s="81">
        <f>Table11[[#This Row],[Forecasted_Units]]*0.1</f>
        <v>9.9234699482797932</v>
      </c>
      <c r="L137" s="82">
        <f>Table11[[#This Row],[Adjusted_Forecast]]+Table11[[#This Row],[Safety_Stock]]-Table11[[#This Row],[Inventory_On_Hand]]</f>
        <v>58.392868913875631</v>
      </c>
      <c r="M137" s="82">
        <f ca="1">MIN(Table11[[#This Row],[Production_Needed]],Table11[[#This Row],[Production_Capacity]])</f>
        <v>58.392868913875631</v>
      </c>
      <c r="N137" s="82">
        <f ca="1">MAX(Table11[[#This Row],[Production_Needed]]-Table11[[#This Row],[Planned_Production]],0)</f>
        <v>0</v>
      </c>
      <c r="O137" s="82">
        <f ca="1">Table11[[#This Row],[Inventory_On_Hand]]+Table11[[#This Row],[Planned_Production]]-Table11[[#This Row],[Forecasted_Units]]</f>
        <v>9.9234699482797879</v>
      </c>
      <c r="P137" cm="1">
        <f t="array" ref="P137">_xlfn.XLOOKUP(Table11[[#This Row],[Date]] &amp; Table11[[#This Row],[Vehicle_Type]], Table12[Date] &amp; Table12[Vehicle_Type],Table12[Feedback_Adjustment], 0)</f>
        <v>0</v>
      </c>
      <c r="Q137" s="82">
        <f>Table11[[#This Row],[Forecasted_Units]]*(1+Table11[[#This Row],[Adjustment_Percentage]])</f>
        <v>99.234699482797922</v>
      </c>
      <c r="R137" s="82"/>
    </row>
    <row r="138" spans="1:18">
      <c r="A138" s="53">
        <v>46085</v>
      </c>
      <c r="B138" s="14" t="s">
        <v>12</v>
      </c>
      <c r="C138" s="15" t="str">
        <f>TEXT(Table11[[#This Row],[Date]],"mmmm")</f>
        <v>March</v>
      </c>
      <c r="D138" s="14">
        <v>105</v>
      </c>
      <c r="E138" s="82">
        <f>_xlfn.FORECAST.LINEAR(Table11[[#This Row],[Date]],Table11[Units_Sold],Table11[Date])</f>
        <v>99.23586367945471</v>
      </c>
      <c r="F138" cm="1">
        <f t="array" ref="F138">_xlfn.IFS(Table11[[#This Row],[Vehicle_Type]]="SUV",250,Table11[[#This Row],[Vehicle_Type]]="Sedan",200,Table11[[#This Row],[Vehicle_Type]]="Hatchback",185,Table11[[#This Row],[Vehicle_Type]]="Electric",190,Table11[[#This Row],[Vehicle_Type]]="Truck",150)</f>
        <v>250</v>
      </c>
      <c r="G138">
        <f t="shared" ca="1" si="2"/>
        <v>23</v>
      </c>
      <c r="H138" s="82">
        <f>Table11[[#This Row],[Daily_Production]]-Table11[[#This Row],[Forecasted_Units]]</f>
        <v>150.76413632054528</v>
      </c>
      <c r="I138" cm="1">
        <f t="array" ref="I138">_xlfn.IFS(Table11[[#This Row],[Vehicle_Type]]="SUV",5,Table11[[#This Row],[Vehicle_Type]]="Sedan",7,Table11[[#This Row],[Vehicle_Type]]="Hatchback",10,Table11[[#This Row],[Vehicle_Type]]="Electric",11,Table11[[#This Row],[Vehicle_Type]]="Truck",13)</f>
        <v>5</v>
      </c>
      <c r="J138">
        <f ca="1">Table11[[#This Row],[Daily_Production]]*Table11[[#This Row],[Working_Days]]</f>
        <v>5750</v>
      </c>
      <c r="K138" s="81">
        <f>Table11[[#This Row],[Forecasted_Units]]*0.1</f>
        <v>9.9235863679454717</v>
      </c>
      <c r="L138" s="82">
        <f>Table11[[#This Row],[Adjusted_Forecast]]+Table11[[#This Row],[Safety_Stock]]-Table11[[#This Row],[Inventory_On_Hand]]</f>
        <v>-41.604686273145091</v>
      </c>
      <c r="M138" s="82">
        <f ca="1">MIN(Table11[[#This Row],[Production_Needed]],Table11[[#This Row],[Production_Capacity]])</f>
        <v>-41.604686273145091</v>
      </c>
      <c r="N138" s="82">
        <f ca="1">MAX(Table11[[#This Row],[Production_Needed]]-Table11[[#This Row],[Planned_Production]],0)</f>
        <v>0</v>
      </c>
      <c r="O138" s="82">
        <f ca="1">Table11[[#This Row],[Inventory_On_Hand]]+Table11[[#This Row],[Planned_Production]]-Table11[[#This Row],[Forecasted_Units]]</f>
        <v>9.9235863679454752</v>
      </c>
      <c r="P138" cm="1">
        <f t="array" ref="P138">_xlfn.XLOOKUP(Table11[[#This Row],[Date]] &amp; Table11[[#This Row],[Vehicle_Type]], Table12[Date] &amp; Table12[Vehicle_Type],Table12[Feedback_Adjustment], 0)</f>
        <v>0</v>
      </c>
      <c r="Q138" s="82">
        <f>Table11[[#This Row],[Forecasted_Units]]*(1+Table11[[#This Row],[Adjustment_Percentage]])</f>
        <v>99.23586367945471</v>
      </c>
      <c r="R138" s="82"/>
    </row>
    <row r="139" spans="1:18">
      <c r="A139" s="54">
        <v>46115</v>
      </c>
      <c r="B139" s="15" t="s">
        <v>14</v>
      </c>
      <c r="C139" s="15" t="str">
        <f>TEXT(Table11[[#This Row],[Date]],"mmmm")</f>
        <v>April</v>
      </c>
      <c r="D139" s="15">
        <v>102</v>
      </c>
      <c r="E139" s="82">
        <f>_xlfn.FORECAST.LINEAR(Table11[[#This Row],[Date]],Table11[Units_Sold],Table11[Date])</f>
        <v>99.237027876111497</v>
      </c>
      <c r="F139" cm="1">
        <f t="array" ref="F139">_xlfn.IFS(Table11[[#This Row],[Vehicle_Type]]="SUV",250,Table11[[#This Row],[Vehicle_Type]]="Sedan",200,Table11[[#This Row],[Vehicle_Type]]="Hatchback",185,Table11[[#This Row],[Vehicle_Type]]="Electric",190,Table11[[#This Row],[Vehicle_Type]]="Truck",150)</f>
        <v>150</v>
      </c>
      <c r="G139">
        <f t="shared" ca="1" si="2"/>
        <v>20</v>
      </c>
      <c r="H139" s="82">
        <f>Table11[[#This Row],[Daily_Production]]-Table11[[#This Row],[Forecasted_Units]]</f>
        <v>50.762972123888503</v>
      </c>
      <c r="I139" cm="1">
        <f t="array" ref="I139">_xlfn.IFS(Table11[[#This Row],[Vehicle_Type]]="SUV",5,Table11[[#This Row],[Vehicle_Type]]="Sedan",7,Table11[[#This Row],[Vehicle_Type]]="Hatchback",10,Table11[[#This Row],[Vehicle_Type]]="Electric",11,Table11[[#This Row],[Vehicle_Type]]="Truck",13)</f>
        <v>13</v>
      </c>
      <c r="J139">
        <f ca="1">Table11[[#This Row],[Daily_Production]]*Table11[[#This Row],[Working_Days]]</f>
        <v>3000</v>
      </c>
      <c r="K139" s="81">
        <f>Table11[[#This Row],[Forecasted_Units]]*0.1</f>
        <v>9.9237027876111501</v>
      </c>
      <c r="L139" s="82">
        <f>Table11[[#This Row],[Adjusted_Forecast]]+Table11[[#This Row],[Safety_Stock]]-Table11[[#This Row],[Inventory_On_Hand]]</f>
        <v>58.397758539834143</v>
      </c>
      <c r="M139" s="82">
        <f ca="1">MIN(Table11[[#This Row],[Production_Needed]],Table11[[#This Row],[Production_Capacity]])</f>
        <v>58.397758539834143</v>
      </c>
      <c r="N139" s="82">
        <f ca="1">MAX(Table11[[#This Row],[Production_Needed]]-Table11[[#This Row],[Planned_Production]],0)</f>
        <v>0</v>
      </c>
      <c r="O139" s="82">
        <f ca="1">Table11[[#This Row],[Inventory_On_Hand]]+Table11[[#This Row],[Planned_Production]]-Table11[[#This Row],[Forecasted_Units]]</f>
        <v>9.9237027876111483</v>
      </c>
      <c r="P139" cm="1">
        <f t="array" ref="P139">_xlfn.XLOOKUP(Table11[[#This Row],[Date]] &amp; Table11[[#This Row],[Vehicle_Type]], Table12[Date] &amp; Table12[Vehicle_Type],Table12[Feedback_Adjustment], 0)</f>
        <v>0</v>
      </c>
      <c r="Q139" s="82">
        <f>Table11[[#This Row],[Forecasted_Units]]*(1+Table11[[#This Row],[Adjustment_Percentage]])</f>
        <v>99.237027876111497</v>
      </c>
      <c r="R139" s="82"/>
    </row>
    <row r="140" spans="1:18">
      <c r="A140" s="53">
        <v>46145</v>
      </c>
      <c r="B140" s="14" t="s">
        <v>10</v>
      </c>
      <c r="C140" s="15" t="str">
        <f>TEXT(Table11[[#This Row],[Date]],"mmmm")</f>
        <v>May</v>
      </c>
      <c r="D140" s="14">
        <v>98</v>
      </c>
      <c r="E140" s="82">
        <f>_xlfn.FORECAST.LINEAR(Table11[[#This Row],[Date]],Table11[Units_Sold],Table11[Date])</f>
        <v>99.238192072768285</v>
      </c>
      <c r="F140" cm="1">
        <f t="array" ref="F140">_xlfn.IFS(Table11[[#This Row],[Vehicle_Type]]="SUV",250,Table11[[#This Row],[Vehicle_Type]]="Sedan",200,Table11[[#This Row],[Vehicle_Type]]="Hatchback",185,Table11[[#This Row],[Vehicle_Type]]="Electric",190,Table11[[#This Row],[Vehicle_Type]]="Truck",150)</f>
        <v>200</v>
      </c>
      <c r="G140">
        <f t="shared" ca="1" si="2"/>
        <v>25</v>
      </c>
      <c r="H140" s="82">
        <f>Table11[[#This Row],[Daily_Production]]-Table11[[#This Row],[Forecasted_Units]]</f>
        <v>100.76180792723171</v>
      </c>
      <c r="I140" cm="1">
        <f t="array" ref="I140">_xlfn.IFS(Table11[[#This Row],[Vehicle_Type]]="SUV",5,Table11[[#This Row],[Vehicle_Type]]="Sedan",7,Table11[[#This Row],[Vehicle_Type]]="Hatchback",10,Table11[[#This Row],[Vehicle_Type]]="Electric",11,Table11[[#This Row],[Vehicle_Type]]="Truck",13)</f>
        <v>7</v>
      </c>
      <c r="J140">
        <f ca="1">Table11[[#This Row],[Daily_Production]]*Table11[[#This Row],[Working_Days]]</f>
        <v>5000</v>
      </c>
      <c r="K140" s="81">
        <f>Table11[[#This Row],[Forecasted_Units]]*0.1</f>
        <v>9.9238192072768285</v>
      </c>
      <c r="L140" s="82">
        <f>Table11[[#This Row],[Adjusted_Forecast]]+Table11[[#This Row],[Safety_Stock]]-Table11[[#This Row],[Inventory_On_Hand]]</f>
        <v>8.4002033528133921</v>
      </c>
      <c r="M140" s="82">
        <f ca="1">MIN(Table11[[#This Row],[Production_Needed]],Table11[[#This Row],[Production_Capacity]])</f>
        <v>8.4002033528133921</v>
      </c>
      <c r="N140" s="82">
        <f ca="1">MAX(Table11[[#This Row],[Production_Needed]]-Table11[[#This Row],[Planned_Production]],0)</f>
        <v>0</v>
      </c>
      <c r="O140" s="82">
        <f ca="1">Table11[[#This Row],[Inventory_On_Hand]]+Table11[[#This Row],[Planned_Production]]-Table11[[#This Row],[Forecasted_Units]]</f>
        <v>9.9238192072768214</v>
      </c>
      <c r="P140" cm="1">
        <f t="array" ref="P140">_xlfn.XLOOKUP(Table11[[#This Row],[Date]] &amp; Table11[[#This Row],[Vehicle_Type]], Table12[Date] &amp; Table12[Vehicle_Type],Table12[Feedback_Adjustment], 0)</f>
        <v>0</v>
      </c>
      <c r="Q140" s="82">
        <f>Table11[[#This Row],[Forecasted_Units]]*(1+Table11[[#This Row],[Adjustment_Percentage]])</f>
        <v>99.238192072768285</v>
      </c>
      <c r="R140" s="82"/>
    </row>
    <row r="141" spans="1:18">
      <c r="A141" s="54">
        <v>46175</v>
      </c>
      <c r="B141" s="15" t="s">
        <v>11</v>
      </c>
      <c r="C141" s="15" t="str">
        <f>TEXT(Table11[[#This Row],[Date]],"mmmm")</f>
        <v>June</v>
      </c>
      <c r="D141" s="15">
        <v>96</v>
      </c>
      <c r="E141" s="82">
        <f>_xlfn.FORECAST.LINEAR(Table11[[#This Row],[Date]],Table11[Units_Sold],Table11[Date])</f>
        <v>99.239356269425073</v>
      </c>
      <c r="F141" cm="1">
        <f t="array" ref="F141">_xlfn.IFS(Table11[[#This Row],[Vehicle_Type]]="SUV",250,Table11[[#This Row],[Vehicle_Type]]="Sedan",200,Table11[[#This Row],[Vehicle_Type]]="Hatchback",185,Table11[[#This Row],[Vehicle_Type]]="Electric",190,Table11[[#This Row],[Vehicle_Type]]="Truck",150)</f>
        <v>185</v>
      </c>
      <c r="G141">
        <f t="shared" ca="1" si="2"/>
        <v>25</v>
      </c>
      <c r="H141" s="82">
        <f>Table11[[#This Row],[Daily_Production]]-Table11[[#This Row],[Forecasted_Units]]</f>
        <v>85.760643730574927</v>
      </c>
      <c r="I141" cm="1">
        <f t="array" ref="I141">_xlfn.IFS(Table11[[#This Row],[Vehicle_Type]]="SUV",5,Table11[[#This Row],[Vehicle_Type]]="Sedan",7,Table11[[#This Row],[Vehicle_Type]]="Hatchback",10,Table11[[#This Row],[Vehicle_Type]]="Electric",11,Table11[[#This Row],[Vehicle_Type]]="Truck",13)</f>
        <v>10</v>
      </c>
      <c r="J141">
        <f ca="1">Table11[[#This Row],[Daily_Production]]*Table11[[#This Row],[Working_Days]]</f>
        <v>4625</v>
      </c>
      <c r="K141" s="81">
        <f>Table11[[#This Row],[Forecasted_Units]]*0.1</f>
        <v>9.9239356269425087</v>
      </c>
      <c r="L141" s="82">
        <f>Table11[[#This Row],[Adjusted_Forecast]]+Table11[[#This Row],[Safety_Stock]]-Table11[[#This Row],[Inventory_On_Hand]]</f>
        <v>23.402648165792655</v>
      </c>
      <c r="M141" s="82">
        <f ca="1">MIN(Table11[[#This Row],[Production_Needed]],Table11[[#This Row],[Production_Capacity]])</f>
        <v>23.402648165792655</v>
      </c>
      <c r="N141" s="82">
        <f ca="1">MAX(Table11[[#This Row],[Production_Needed]]-Table11[[#This Row],[Planned_Production]],0)</f>
        <v>0</v>
      </c>
      <c r="O141" s="82">
        <f ca="1">Table11[[#This Row],[Inventory_On_Hand]]+Table11[[#This Row],[Planned_Production]]-Table11[[#This Row],[Forecasted_Units]]</f>
        <v>9.9239356269425087</v>
      </c>
      <c r="P141" cm="1">
        <f t="array" ref="P141">_xlfn.XLOOKUP(Table11[[#This Row],[Date]] &amp; Table11[[#This Row],[Vehicle_Type]], Table12[Date] &amp; Table12[Vehicle_Type],Table12[Feedback_Adjustment], 0)</f>
        <v>0</v>
      </c>
      <c r="Q141" s="82">
        <f>Table11[[#This Row],[Forecasted_Units]]*(1+Table11[[#This Row],[Adjustment_Percentage]])</f>
        <v>99.239356269425073</v>
      </c>
      <c r="R141" s="82"/>
    </row>
    <row r="142" spans="1:18">
      <c r="A142" s="53">
        <v>46205</v>
      </c>
      <c r="B142" s="14" t="s">
        <v>13</v>
      </c>
      <c r="C142" s="15" t="str">
        <f>TEXT(Table11[[#This Row],[Date]],"mmmm")</f>
        <v>July</v>
      </c>
      <c r="D142" s="14">
        <v>76</v>
      </c>
      <c r="E142" s="82">
        <f>_xlfn.FORECAST.LINEAR(Table11[[#This Row],[Date]],Table11[Units_Sold],Table11[Date])</f>
        <v>99.240520466081861</v>
      </c>
      <c r="F142" cm="1">
        <f t="array" ref="F142">_xlfn.IFS(Table11[[#This Row],[Vehicle_Type]]="SUV",250,Table11[[#This Row],[Vehicle_Type]]="Sedan",200,Table11[[#This Row],[Vehicle_Type]]="Hatchback",185,Table11[[#This Row],[Vehicle_Type]]="Electric",190,Table11[[#This Row],[Vehicle_Type]]="Truck",150)</f>
        <v>190</v>
      </c>
      <c r="G142">
        <f t="shared" ca="1" si="2"/>
        <v>20</v>
      </c>
      <c r="H142" s="82">
        <f>Table11[[#This Row],[Daily_Production]]-Table11[[#This Row],[Forecasted_Units]]</f>
        <v>90.759479533918139</v>
      </c>
      <c r="I142" cm="1">
        <f t="array" ref="I142">_xlfn.IFS(Table11[[#This Row],[Vehicle_Type]]="SUV",5,Table11[[#This Row],[Vehicle_Type]]="Sedan",7,Table11[[#This Row],[Vehicle_Type]]="Hatchback",10,Table11[[#This Row],[Vehicle_Type]]="Electric",11,Table11[[#This Row],[Vehicle_Type]]="Truck",13)</f>
        <v>11</v>
      </c>
      <c r="J142">
        <f ca="1">Table11[[#This Row],[Daily_Production]]*Table11[[#This Row],[Working_Days]]</f>
        <v>3800</v>
      </c>
      <c r="K142" s="81">
        <f>Table11[[#This Row],[Forecasted_Units]]*0.1</f>
        <v>9.9240520466081872</v>
      </c>
      <c r="L142" s="82">
        <f>Table11[[#This Row],[Adjusted_Forecast]]+Table11[[#This Row],[Safety_Stock]]-Table11[[#This Row],[Inventory_On_Hand]]</f>
        <v>18.405092978771904</v>
      </c>
      <c r="M142" s="82">
        <f ca="1">MIN(Table11[[#This Row],[Production_Needed]],Table11[[#This Row],[Production_Capacity]])</f>
        <v>18.405092978771904</v>
      </c>
      <c r="N142" s="82">
        <f ca="1">MAX(Table11[[#This Row],[Production_Needed]]-Table11[[#This Row],[Planned_Production]],0)</f>
        <v>0</v>
      </c>
      <c r="O142" s="82">
        <f ca="1">Table11[[#This Row],[Inventory_On_Hand]]+Table11[[#This Row],[Planned_Production]]-Table11[[#This Row],[Forecasted_Units]]</f>
        <v>9.9240520466081819</v>
      </c>
      <c r="P142" cm="1">
        <f t="array" ref="P142">_xlfn.XLOOKUP(Table11[[#This Row],[Date]] &amp; Table11[[#This Row],[Vehicle_Type]], Table12[Date] &amp; Table12[Vehicle_Type],Table12[Feedback_Adjustment], 0)</f>
        <v>0</v>
      </c>
      <c r="Q142" s="82">
        <f>Table11[[#This Row],[Forecasted_Units]]*(1+Table11[[#This Row],[Adjustment_Percentage]])</f>
        <v>99.240520466081861</v>
      </c>
      <c r="R142" s="82"/>
    </row>
    <row r="143" spans="1:18">
      <c r="A143" s="54">
        <v>46235</v>
      </c>
      <c r="B143" s="15" t="s">
        <v>12</v>
      </c>
      <c r="C143" s="15" t="str">
        <f>TEXT(Table11[[#This Row],[Date]],"mmmm")</f>
        <v>August</v>
      </c>
      <c r="D143" s="15">
        <v>112</v>
      </c>
      <c r="E143" s="82">
        <f>_xlfn.FORECAST.LINEAR(Table11[[#This Row],[Date]],Table11[Units_Sold],Table11[Date])</f>
        <v>99.241684662738649</v>
      </c>
      <c r="F143" cm="1">
        <f t="array" ref="F143">_xlfn.IFS(Table11[[#This Row],[Vehicle_Type]]="SUV",250,Table11[[#This Row],[Vehicle_Type]]="Sedan",200,Table11[[#This Row],[Vehicle_Type]]="Hatchback",185,Table11[[#This Row],[Vehicle_Type]]="Electric",190,Table11[[#This Row],[Vehicle_Type]]="Truck",150)</f>
        <v>250</v>
      </c>
      <c r="G143">
        <f t="shared" ca="1" si="2"/>
        <v>25</v>
      </c>
      <c r="H143" s="82">
        <f>Table11[[#This Row],[Daily_Production]]-Table11[[#This Row],[Forecasted_Units]]</f>
        <v>150.75831533726137</v>
      </c>
      <c r="I143" cm="1">
        <f t="array" ref="I143">_xlfn.IFS(Table11[[#This Row],[Vehicle_Type]]="SUV",5,Table11[[#This Row],[Vehicle_Type]]="Sedan",7,Table11[[#This Row],[Vehicle_Type]]="Hatchback",10,Table11[[#This Row],[Vehicle_Type]]="Electric",11,Table11[[#This Row],[Vehicle_Type]]="Truck",13)</f>
        <v>5</v>
      </c>
      <c r="J143">
        <f ca="1">Table11[[#This Row],[Daily_Production]]*Table11[[#This Row],[Working_Days]]</f>
        <v>6250</v>
      </c>
      <c r="K143" s="81">
        <f>Table11[[#This Row],[Forecasted_Units]]*0.1</f>
        <v>9.9241684662738656</v>
      </c>
      <c r="L143" s="82">
        <f>Table11[[#This Row],[Adjusted_Forecast]]+Table11[[#This Row],[Safety_Stock]]-Table11[[#This Row],[Inventory_On_Hand]]</f>
        <v>-41.592462208248847</v>
      </c>
      <c r="M143" s="82">
        <f ca="1">MIN(Table11[[#This Row],[Production_Needed]],Table11[[#This Row],[Production_Capacity]])</f>
        <v>-41.592462208248847</v>
      </c>
      <c r="N143" s="82">
        <f ca="1">MAX(Table11[[#This Row],[Production_Needed]]-Table11[[#This Row],[Planned_Production]],0)</f>
        <v>0</v>
      </c>
      <c r="O143" s="82">
        <f ca="1">Table11[[#This Row],[Inventory_On_Hand]]+Table11[[#This Row],[Planned_Production]]-Table11[[#This Row],[Forecasted_Units]]</f>
        <v>9.9241684662738692</v>
      </c>
      <c r="P143" cm="1">
        <f t="array" ref="P143">_xlfn.XLOOKUP(Table11[[#This Row],[Date]] &amp; Table11[[#This Row],[Vehicle_Type]], Table12[Date] &amp; Table12[Vehicle_Type],Table12[Feedback_Adjustment], 0)</f>
        <v>0</v>
      </c>
      <c r="Q143" s="82">
        <f>Table11[[#This Row],[Forecasted_Units]]*(1+Table11[[#This Row],[Adjustment_Percentage]])</f>
        <v>99.241684662738649</v>
      </c>
      <c r="R143" s="82"/>
    </row>
    <row r="144" spans="1:18">
      <c r="A144" s="53">
        <v>46265</v>
      </c>
      <c r="B144" s="14" t="s">
        <v>13</v>
      </c>
      <c r="C144" s="15" t="str">
        <f>TEXT(Table11[[#This Row],[Date]],"mmmm")</f>
        <v>August</v>
      </c>
      <c r="D144" s="14">
        <v>99</v>
      </c>
      <c r="E144" s="82">
        <f>_xlfn.FORECAST.LINEAR(Table11[[#This Row],[Date]],Table11[Units_Sold],Table11[Date])</f>
        <v>99.242848859395437</v>
      </c>
      <c r="F144" cm="1">
        <f t="array" ref="F144">_xlfn.IFS(Table11[[#This Row],[Vehicle_Type]]="SUV",250,Table11[[#This Row],[Vehicle_Type]]="Sedan",200,Table11[[#This Row],[Vehicle_Type]]="Hatchback",185,Table11[[#This Row],[Vehicle_Type]]="Electric",190,Table11[[#This Row],[Vehicle_Type]]="Truck",150)</f>
        <v>190</v>
      </c>
      <c r="G144">
        <f t="shared" ca="1" si="2"/>
        <v>20</v>
      </c>
      <c r="H144" s="82">
        <f>Table11[[#This Row],[Daily_Production]]-Table11[[#This Row],[Forecasted_Units]]</f>
        <v>90.757151140604563</v>
      </c>
      <c r="I144" cm="1">
        <f t="array" ref="I144">_xlfn.IFS(Table11[[#This Row],[Vehicle_Type]]="SUV",5,Table11[[#This Row],[Vehicle_Type]]="Sedan",7,Table11[[#This Row],[Vehicle_Type]]="Hatchback",10,Table11[[#This Row],[Vehicle_Type]]="Electric",11,Table11[[#This Row],[Vehicle_Type]]="Truck",13)</f>
        <v>11</v>
      </c>
      <c r="J144">
        <f ca="1">Table11[[#This Row],[Daily_Production]]*Table11[[#This Row],[Working_Days]]</f>
        <v>3800</v>
      </c>
      <c r="K144" s="81">
        <f>Table11[[#This Row],[Forecasted_Units]]*0.1</f>
        <v>9.9242848859395441</v>
      </c>
      <c r="L144" s="82">
        <f>Table11[[#This Row],[Adjusted_Forecast]]+Table11[[#This Row],[Safety_Stock]]-Table11[[#This Row],[Inventory_On_Hand]]</f>
        <v>18.409982604730416</v>
      </c>
      <c r="M144" s="82">
        <f ca="1">MIN(Table11[[#This Row],[Production_Needed]],Table11[[#This Row],[Production_Capacity]])</f>
        <v>18.409982604730416</v>
      </c>
      <c r="N144" s="82">
        <f ca="1">MAX(Table11[[#This Row],[Production_Needed]]-Table11[[#This Row],[Planned_Production]],0)</f>
        <v>0</v>
      </c>
      <c r="O144" s="82">
        <f ca="1">Table11[[#This Row],[Inventory_On_Hand]]+Table11[[#This Row],[Planned_Production]]-Table11[[#This Row],[Forecasted_Units]]</f>
        <v>9.9242848859395423</v>
      </c>
      <c r="P144" cm="1">
        <f t="array" ref="P144">_xlfn.XLOOKUP(Table11[[#This Row],[Date]] &amp; Table11[[#This Row],[Vehicle_Type]], Table12[Date] &amp; Table12[Vehicle_Type],Table12[Feedback_Adjustment], 0)</f>
        <v>0</v>
      </c>
      <c r="Q144" s="82">
        <f>Table11[[#This Row],[Forecasted_Units]]*(1+Table11[[#This Row],[Adjustment_Percentage]])</f>
        <v>99.242848859395437</v>
      </c>
      <c r="R144" s="82"/>
    </row>
    <row r="145" spans="1:18">
      <c r="A145" s="54">
        <v>46295</v>
      </c>
      <c r="B145" s="15" t="s">
        <v>10</v>
      </c>
      <c r="C145" s="15" t="str">
        <f>TEXT(Table11[[#This Row],[Date]],"mmmm")</f>
        <v>September</v>
      </c>
      <c r="D145" s="15">
        <v>100</v>
      </c>
      <c r="E145" s="82">
        <f>_xlfn.FORECAST.LINEAR(Table11[[#This Row],[Date]],Table11[Units_Sold],Table11[Date])</f>
        <v>99.244013056052211</v>
      </c>
      <c r="F145" cm="1">
        <f t="array" ref="F145">_xlfn.IFS(Table11[[#This Row],[Vehicle_Type]]="SUV",250,Table11[[#This Row],[Vehicle_Type]]="Sedan",200,Table11[[#This Row],[Vehicle_Type]]="Hatchback",185,Table11[[#This Row],[Vehicle_Type]]="Electric",190,Table11[[#This Row],[Vehicle_Type]]="Truck",150)</f>
        <v>200</v>
      </c>
      <c r="G145">
        <f t="shared" ca="1" si="2"/>
        <v>24</v>
      </c>
      <c r="H145" s="82">
        <f>Table11[[#This Row],[Daily_Production]]-Table11[[#This Row],[Forecasted_Units]]</f>
        <v>100.75598694394779</v>
      </c>
      <c r="I145" cm="1">
        <f t="array" ref="I145">_xlfn.IFS(Table11[[#This Row],[Vehicle_Type]]="SUV",5,Table11[[#This Row],[Vehicle_Type]]="Sedan",7,Table11[[#This Row],[Vehicle_Type]]="Hatchback",10,Table11[[#This Row],[Vehicle_Type]]="Electric",11,Table11[[#This Row],[Vehicle_Type]]="Truck",13)</f>
        <v>7</v>
      </c>
      <c r="J145">
        <f ca="1">Table11[[#This Row],[Daily_Production]]*Table11[[#This Row],[Working_Days]]</f>
        <v>4800</v>
      </c>
      <c r="K145" s="81">
        <f>Table11[[#This Row],[Forecasted_Units]]*0.1</f>
        <v>9.9244013056052225</v>
      </c>
      <c r="L145" s="82">
        <f>Table11[[#This Row],[Adjusted_Forecast]]+Table11[[#This Row],[Safety_Stock]]-Table11[[#This Row],[Inventory_On_Hand]]</f>
        <v>8.4124274177096368</v>
      </c>
      <c r="M145" s="82">
        <f ca="1">MIN(Table11[[#This Row],[Production_Needed]],Table11[[#This Row],[Production_Capacity]])</f>
        <v>8.4124274177096368</v>
      </c>
      <c r="N145" s="82">
        <f ca="1">MAX(Table11[[#This Row],[Production_Needed]]-Table11[[#This Row],[Planned_Production]],0)</f>
        <v>0</v>
      </c>
      <c r="O145" s="82">
        <f ca="1">Table11[[#This Row],[Inventory_On_Hand]]+Table11[[#This Row],[Planned_Production]]-Table11[[#This Row],[Forecasted_Units]]</f>
        <v>9.9244013056052154</v>
      </c>
      <c r="P145" cm="1">
        <f t="array" ref="P145">_xlfn.XLOOKUP(Table11[[#This Row],[Date]] &amp; Table11[[#This Row],[Vehicle_Type]], Table12[Date] &amp; Table12[Vehicle_Type],Table12[Feedback_Adjustment], 0)</f>
        <v>0</v>
      </c>
      <c r="Q145" s="82">
        <f>Table11[[#This Row],[Forecasted_Units]]*(1+Table11[[#This Row],[Adjustment_Percentage]])</f>
        <v>99.244013056052211</v>
      </c>
      <c r="R145" s="82"/>
    </row>
    <row r="146" spans="1:18">
      <c r="A146" s="53">
        <v>46325</v>
      </c>
      <c r="B146" s="14" t="s">
        <v>11</v>
      </c>
      <c r="C146" s="15" t="str">
        <f>TEXT(Table11[[#This Row],[Date]],"mmmm")</f>
        <v>October</v>
      </c>
      <c r="D146" s="14">
        <v>89</v>
      </c>
      <c r="E146" s="82">
        <f>_xlfn.FORECAST.LINEAR(Table11[[#This Row],[Date]],Table11[Units_Sold],Table11[Date])</f>
        <v>99.245177252708999</v>
      </c>
      <c r="F146" cm="1">
        <f t="array" ref="F146">_xlfn.IFS(Table11[[#This Row],[Vehicle_Type]]="SUV",250,Table11[[#This Row],[Vehicle_Type]]="Sedan",200,Table11[[#This Row],[Vehicle_Type]]="Hatchback",185,Table11[[#This Row],[Vehicle_Type]]="Electric",190,Table11[[#This Row],[Vehicle_Type]]="Truck",150)</f>
        <v>185</v>
      </c>
      <c r="G146">
        <f t="shared" ca="1" si="2"/>
        <v>20</v>
      </c>
      <c r="H146" s="82">
        <f>Table11[[#This Row],[Daily_Production]]-Table11[[#This Row],[Forecasted_Units]]</f>
        <v>85.754822747291001</v>
      </c>
      <c r="I146" cm="1">
        <f t="array" ref="I146">_xlfn.IFS(Table11[[#This Row],[Vehicle_Type]]="SUV",5,Table11[[#This Row],[Vehicle_Type]]="Sedan",7,Table11[[#This Row],[Vehicle_Type]]="Hatchback",10,Table11[[#This Row],[Vehicle_Type]]="Electric",11,Table11[[#This Row],[Vehicle_Type]]="Truck",13)</f>
        <v>10</v>
      </c>
      <c r="J146">
        <f ca="1">Table11[[#This Row],[Daily_Production]]*Table11[[#This Row],[Working_Days]]</f>
        <v>3700</v>
      </c>
      <c r="K146" s="81">
        <f>Table11[[#This Row],[Forecasted_Units]]*0.1</f>
        <v>9.9245177252709009</v>
      </c>
      <c r="L146" s="82">
        <f>Table11[[#This Row],[Adjusted_Forecast]]+Table11[[#This Row],[Safety_Stock]]-Table11[[#This Row],[Inventory_On_Hand]]</f>
        <v>23.4148722306889</v>
      </c>
      <c r="M146" s="82">
        <f ca="1">MIN(Table11[[#This Row],[Production_Needed]],Table11[[#This Row],[Production_Capacity]])</f>
        <v>23.4148722306889</v>
      </c>
      <c r="N146" s="82">
        <f ca="1">MAX(Table11[[#This Row],[Production_Needed]]-Table11[[#This Row],[Planned_Production]],0)</f>
        <v>0</v>
      </c>
      <c r="O146" s="82">
        <f ca="1">Table11[[#This Row],[Inventory_On_Hand]]+Table11[[#This Row],[Planned_Production]]-Table11[[#This Row],[Forecasted_Units]]</f>
        <v>9.9245177252709027</v>
      </c>
      <c r="P146" cm="1">
        <f t="array" ref="P146">_xlfn.XLOOKUP(Table11[[#This Row],[Date]] &amp; Table11[[#This Row],[Vehicle_Type]], Table12[Date] &amp; Table12[Vehicle_Type],Table12[Feedback_Adjustment], 0)</f>
        <v>0</v>
      </c>
      <c r="Q146" s="82">
        <f>Table11[[#This Row],[Forecasted_Units]]*(1+Table11[[#This Row],[Adjustment_Percentage]])</f>
        <v>99.245177252708999</v>
      </c>
      <c r="R146" s="82"/>
    </row>
    <row r="147" spans="1:18">
      <c r="A147" s="54">
        <v>46355</v>
      </c>
      <c r="B147" s="15" t="s">
        <v>13</v>
      </c>
      <c r="C147" s="15" t="str">
        <f>TEXT(Table11[[#This Row],[Date]],"mmmm")</f>
        <v>November</v>
      </c>
      <c r="D147" s="15">
        <f>IF(ISBLANK(D100), P101, D100)</f>
        <v>102</v>
      </c>
      <c r="E147" s="82">
        <f>_xlfn.FORECAST.LINEAR(Table11[[#This Row],[Date]],Table11[Units_Sold],Table11[Date])</f>
        <v>99.246341449365787</v>
      </c>
      <c r="F147" cm="1">
        <f t="array" ref="F147">_xlfn.IFS(Table11[[#This Row],[Vehicle_Type]]="SUV",250,Table11[[#This Row],[Vehicle_Type]]="Sedan",200,Table11[[#This Row],[Vehicle_Type]]="Hatchback",185,Table11[[#This Row],[Vehicle_Type]]="Electric",190,Table11[[#This Row],[Vehicle_Type]]="Truck",150)</f>
        <v>190</v>
      </c>
      <c r="G147">
        <f t="shared" ca="1" si="2"/>
        <v>23</v>
      </c>
      <c r="H147" s="82">
        <f>Table11[[#This Row],[Daily_Production]]-Table11[[#This Row],[Forecasted_Units]]</f>
        <v>90.753658550634213</v>
      </c>
      <c r="I147" cm="1">
        <f t="array" ref="I147">_xlfn.IFS(Table11[[#This Row],[Vehicle_Type]]="SUV",5,Table11[[#This Row],[Vehicle_Type]]="Sedan",7,Table11[[#This Row],[Vehicle_Type]]="Hatchback",10,Table11[[#This Row],[Vehicle_Type]]="Electric",11,Table11[[#This Row],[Vehicle_Type]]="Truck",13)</f>
        <v>11</v>
      </c>
      <c r="J147">
        <f ca="1">Table11[[#This Row],[Daily_Production]]*Table11[[#This Row],[Working_Days]]</f>
        <v>4370</v>
      </c>
      <c r="K147" s="81">
        <f>Table11[[#This Row],[Forecasted_Units]]*0.1</f>
        <v>9.9246341449365794</v>
      </c>
      <c r="L147" s="82">
        <f>Table11[[#This Row],[Adjusted_Forecast]]+Table11[[#This Row],[Safety_Stock]]-Table11[[#This Row],[Inventory_On_Hand]]</f>
        <v>18.417317043668149</v>
      </c>
      <c r="M147" s="82">
        <f ca="1">MIN(Table11[[#This Row],[Production_Needed]],Table11[[#This Row],[Production_Capacity]])</f>
        <v>18.417317043668149</v>
      </c>
      <c r="N147" s="82">
        <f ca="1">MAX(Table11[[#This Row],[Production_Needed]]-Table11[[#This Row],[Planned_Production]],0)</f>
        <v>0</v>
      </c>
      <c r="O147" s="82">
        <f ca="1">Table11[[#This Row],[Inventory_On_Hand]]+Table11[[#This Row],[Planned_Production]]-Table11[[#This Row],[Forecasted_Units]]</f>
        <v>9.9246341449365758</v>
      </c>
      <c r="P147" cm="1">
        <f t="array" ref="P147">_xlfn.XLOOKUP(Table11[[#This Row],[Date]] &amp; Table11[[#This Row],[Vehicle_Type]], Table12[Date] &amp; Table12[Vehicle_Type],Table12[Feedback_Adjustment], 0)</f>
        <v>0</v>
      </c>
      <c r="Q147" s="82">
        <f>Table11[[#This Row],[Forecasted_Units]]*(1+Table11[[#This Row],[Adjustment_Percentage]])</f>
        <v>99.246341449365787</v>
      </c>
      <c r="R147" s="82"/>
    </row>
    <row r="148" spans="1:18">
      <c r="A148" s="53">
        <v>46385</v>
      </c>
      <c r="B148" s="14" t="s">
        <v>13</v>
      </c>
      <c r="C148" s="15" t="str">
        <f>TEXT(Table11[[#This Row],[Date]],"mmmm")</f>
        <v>December</v>
      </c>
      <c r="D148" s="14">
        <v>104</v>
      </c>
      <c r="E148" s="82">
        <f>_xlfn.FORECAST.LINEAR(Table11[[#This Row],[Date]],Table11[Units_Sold],Table11[Date])</f>
        <v>99.247505646022574</v>
      </c>
      <c r="F148" cm="1">
        <f t="array" ref="F148">_xlfn.IFS(Table11[[#This Row],[Vehicle_Type]]="SUV",250,Table11[[#This Row],[Vehicle_Type]]="Sedan",200,Table11[[#This Row],[Vehicle_Type]]="Hatchback",185,Table11[[#This Row],[Vehicle_Type]]="Electric",190,Table11[[#This Row],[Vehicle_Type]]="Truck",150)</f>
        <v>190</v>
      </c>
      <c r="G148">
        <f t="shared" ca="1" si="2"/>
        <v>20</v>
      </c>
      <c r="H148" s="82">
        <f>Table11[[#This Row],[Daily_Production]]-Table11[[#This Row],[Forecasted_Units]]</f>
        <v>90.752494353977426</v>
      </c>
      <c r="I148" cm="1">
        <f t="array" ref="I148">_xlfn.IFS(Table11[[#This Row],[Vehicle_Type]]="SUV",5,Table11[[#This Row],[Vehicle_Type]]="Sedan",7,Table11[[#This Row],[Vehicle_Type]]="Hatchback",10,Table11[[#This Row],[Vehicle_Type]]="Electric",11,Table11[[#This Row],[Vehicle_Type]]="Truck",13)</f>
        <v>11</v>
      </c>
      <c r="J148">
        <f ca="1">Table11[[#This Row],[Daily_Production]]*Table11[[#This Row],[Working_Days]]</f>
        <v>3800</v>
      </c>
      <c r="K148" s="81">
        <f>Table11[[#This Row],[Forecasted_Units]]*0.1</f>
        <v>9.9247505646022578</v>
      </c>
      <c r="L148" s="82">
        <f>Table11[[#This Row],[Adjusted_Forecast]]+Table11[[#This Row],[Safety_Stock]]-Table11[[#This Row],[Inventory_On_Hand]]</f>
        <v>18.419761856647412</v>
      </c>
      <c r="M148" s="82">
        <f ca="1">MIN(Table11[[#This Row],[Production_Needed]],Table11[[#This Row],[Production_Capacity]])</f>
        <v>18.419761856647412</v>
      </c>
      <c r="N148" s="82">
        <f ca="1">MAX(Table11[[#This Row],[Production_Needed]]-Table11[[#This Row],[Planned_Production]],0)</f>
        <v>0</v>
      </c>
      <c r="O148" s="82">
        <f ca="1">Table11[[#This Row],[Inventory_On_Hand]]+Table11[[#This Row],[Planned_Production]]-Table11[[#This Row],[Forecasted_Units]]</f>
        <v>9.9247505646022631</v>
      </c>
      <c r="P148" cm="1">
        <f t="array" ref="P148">_xlfn.XLOOKUP(Table11[[#This Row],[Date]] &amp; Table11[[#This Row],[Vehicle_Type]], Table12[Date] &amp; Table12[Vehicle_Type],Table12[Feedback_Adjustment], 0)</f>
        <v>0</v>
      </c>
      <c r="Q148" s="82">
        <f>Table11[[#This Row],[Forecasted_Units]]*(1+Table11[[#This Row],[Adjustment_Percentage]])</f>
        <v>99.247505646022574</v>
      </c>
      <c r="R148" s="82"/>
    </row>
    <row r="149" spans="1:18">
      <c r="A149" s="54">
        <v>46415</v>
      </c>
      <c r="B149" s="15" t="s">
        <v>12</v>
      </c>
      <c r="C149" s="15" t="str">
        <f>TEXT(Table11[[#This Row],[Date]],"mmmm")</f>
        <v>January</v>
      </c>
      <c r="D149" s="15">
        <v>96</v>
      </c>
      <c r="E149" s="82">
        <f>_xlfn.FORECAST.LINEAR(Table11[[#This Row],[Date]],Table11[Units_Sold],Table11[Date])</f>
        <v>99.248669842679362</v>
      </c>
      <c r="F149" cm="1">
        <f t="array" ref="F149">_xlfn.IFS(Table11[[#This Row],[Vehicle_Type]]="SUV",250,Table11[[#This Row],[Vehicle_Type]]="Sedan",200,Table11[[#This Row],[Vehicle_Type]]="Hatchback",185,Table11[[#This Row],[Vehicle_Type]]="Electric",190,Table11[[#This Row],[Vehicle_Type]]="Truck",150)</f>
        <v>250</v>
      </c>
      <c r="G149">
        <f t="shared" ca="1" si="2"/>
        <v>25</v>
      </c>
      <c r="H149" s="82">
        <f>Table11[[#This Row],[Daily_Production]]-Table11[[#This Row],[Forecasted_Units]]</f>
        <v>150.75133015732064</v>
      </c>
      <c r="I149" cm="1">
        <f t="array" ref="I149">_xlfn.IFS(Table11[[#This Row],[Vehicle_Type]]="SUV",5,Table11[[#This Row],[Vehicle_Type]]="Sedan",7,Table11[[#This Row],[Vehicle_Type]]="Hatchback",10,Table11[[#This Row],[Vehicle_Type]]="Electric",11,Table11[[#This Row],[Vehicle_Type]]="Truck",13)</f>
        <v>5</v>
      </c>
      <c r="J149">
        <f ca="1">Table11[[#This Row],[Daily_Production]]*Table11[[#This Row],[Working_Days]]</f>
        <v>6250</v>
      </c>
      <c r="K149" s="81">
        <f>Table11[[#This Row],[Forecasted_Units]]*0.1</f>
        <v>9.9248669842679362</v>
      </c>
      <c r="L149" s="82">
        <f>Table11[[#This Row],[Adjusted_Forecast]]+Table11[[#This Row],[Safety_Stock]]-Table11[[#This Row],[Inventory_On_Hand]]</f>
        <v>-41.577793330373339</v>
      </c>
      <c r="M149" s="82">
        <f ca="1">MIN(Table11[[#This Row],[Production_Needed]],Table11[[#This Row],[Production_Capacity]])</f>
        <v>-41.577793330373339</v>
      </c>
      <c r="N149" s="82">
        <f ca="1">MAX(Table11[[#This Row],[Production_Needed]]-Table11[[#This Row],[Planned_Production]],0)</f>
        <v>0</v>
      </c>
      <c r="O149" s="82">
        <f ca="1">Table11[[#This Row],[Inventory_On_Hand]]+Table11[[#This Row],[Planned_Production]]-Table11[[#This Row],[Forecasted_Units]]</f>
        <v>9.9248669842679362</v>
      </c>
      <c r="P149" cm="1">
        <f t="array" ref="P149">_xlfn.XLOOKUP(Table11[[#This Row],[Date]] &amp; Table11[[#This Row],[Vehicle_Type]], Table12[Date] &amp; Table12[Vehicle_Type],Table12[Feedback_Adjustment], 0)</f>
        <v>0</v>
      </c>
      <c r="Q149" s="82">
        <f>Table11[[#This Row],[Forecasted_Units]]*(1+Table11[[#This Row],[Adjustment_Percentage]])</f>
        <v>99.248669842679362</v>
      </c>
      <c r="R149" s="82"/>
    </row>
    <row r="150" spans="1:18">
      <c r="A150" s="53">
        <v>46445</v>
      </c>
      <c r="B150" s="14" t="s">
        <v>12</v>
      </c>
      <c r="C150" s="15" t="str">
        <f>TEXT(Table11[[#This Row],[Date]],"mmmm")</f>
        <v>February</v>
      </c>
      <c r="D150" s="14">
        <v>100</v>
      </c>
      <c r="E150" s="82">
        <f>_xlfn.FORECAST.LINEAR(Table11[[#This Row],[Date]],Table11[Units_Sold],Table11[Date])</f>
        <v>99.24983403933615</v>
      </c>
      <c r="F150" cm="1">
        <f t="array" ref="F150">_xlfn.IFS(Table11[[#This Row],[Vehicle_Type]]="SUV",250,Table11[[#This Row],[Vehicle_Type]]="Sedan",200,Table11[[#This Row],[Vehicle_Type]]="Hatchback",185,Table11[[#This Row],[Vehicle_Type]]="Electric",190,Table11[[#This Row],[Vehicle_Type]]="Truck",150)</f>
        <v>250</v>
      </c>
      <c r="G150">
        <f t="shared" ca="1" si="2"/>
        <v>24</v>
      </c>
      <c r="H150" s="82">
        <f>Table11[[#This Row],[Daily_Production]]-Table11[[#This Row],[Forecasted_Units]]</f>
        <v>150.75016596066385</v>
      </c>
      <c r="I150" cm="1">
        <f t="array" ref="I150">_xlfn.IFS(Table11[[#This Row],[Vehicle_Type]]="SUV",5,Table11[[#This Row],[Vehicle_Type]]="Sedan",7,Table11[[#This Row],[Vehicle_Type]]="Hatchback",10,Table11[[#This Row],[Vehicle_Type]]="Electric",11,Table11[[#This Row],[Vehicle_Type]]="Truck",13)</f>
        <v>5</v>
      </c>
      <c r="J150">
        <f ca="1">Table11[[#This Row],[Daily_Production]]*Table11[[#This Row],[Working_Days]]</f>
        <v>6000</v>
      </c>
      <c r="K150" s="81">
        <f>Table11[[#This Row],[Forecasted_Units]]*0.1</f>
        <v>9.9249834039336164</v>
      </c>
      <c r="L150" s="82">
        <f>Table11[[#This Row],[Adjusted_Forecast]]+Table11[[#This Row],[Safety_Stock]]-Table11[[#This Row],[Inventory_On_Hand]]</f>
        <v>-41.575348517394076</v>
      </c>
      <c r="M150" s="82">
        <f ca="1">MIN(Table11[[#This Row],[Production_Needed]],Table11[[#This Row],[Production_Capacity]])</f>
        <v>-41.575348517394076</v>
      </c>
      <c r="N150" s="82">
        <f ca="1">MAX(Table11[[#This Row],[Production_Needed]]-Table11[[#This Row],[Planned_Production]],0)</f>
        <v>0</v>
      </c>
      <c r="O150" s="82">
        <f ca="1">Table11[[#This Row],[Inventory_On_Hand]]+Table11[[#This Row],[Planned_Production]]-Table11[[#This Row],[Forecasted_Units]]</f>
        <v>9.9249834039336235</v>
      </c>
      <c r="P150" cm="1">
        <f t="array" ref="P150">_xlfn.XLOOKUP(Table11[[#This Row],[Date]] &amp; Table11[[#This Row],[Vehicle_Type]], Table12[Date] &amp; Table12[Vehicle_Type],Table12[Feedback_Adjustment], 0)</f>
        <v>0</v>
      </c>
      <c r="Q150" s="82">
        <f>Table11[[#This Row],[Forecasted_Units]]*(1+Table11[[#This Row],[Adjustment_Percentage]])</f>
        <v>99.24983403933615</v>
      </c>
      <c r="R150" s="82"/>
    </row>
    <row r="151" spans="1:18">
      <c r="A151" s="54">
        <v>46475</v>
      </c>
      <c r="B151" s="15" t="s">
        <v>11</v>
      </c>
      <c r="C151" s="15" t="str">
        <f>TEXT(Table11[[#This Row],[Date]],"mmmm")</f>
        <v>March</v>
      </c>
      <c r="D151" s="15">
        <v>105</v>
      </c>
      <c r="E151" s="82">
        <f>_xlfn.FORECAST.LINEAR(Table11[[#This Row],[Date]],Table11[Units_Sold],Table11[Date])</f>
        <v>99.250998235992938</v>
      </c>
      <c r="F151" cm="1">
        <f t="array" ref="F151">_xlfn.IFS(Table11[[#This Row],[Vehicle_Type]]="SUV",250,Table11[[#This Row],[Vehicle_Type]]="Sedan",200,Table11[[#This Row],[Vehicle_Type]]="Hatchback",185,Table11[[#This Row],[Vehicle_Type]]="Electric",190,Table11[[#This Row],[Vehicle_Type]]="Truck",150)</f>
        <v>185</v>
      </c>
      <c r="G151">
        <f t="shared" ca="1" si="2"/>
        <v>25</v>
      </c>
      <c r="H151" s="82">
        <f>Table11[[#This Row],[Daily_Production]]-Table11[[#This Row],[Forecasted_Units]]</f>
        <v>85.749001764007062</v>
      </c>
      <c r="I151" cm="1">
        <f t="array" ref="I151">_xlfn.IFS(Table11[[#This Row],[Vehicle_Type]]="SUV",5,Table11[[#This Row],[Vehicle_Type]]="Sedan",7,Table11[[#This Row],[Vehicle_Type]]="Hatchback",10,Table11[[#This Row],[Vehicle_Type]]="Electric",11,Table11[[#This Row],[Vehicle_Type]]="Truck",13)</f>
        <v>10</v>
      </c>
      <c r="J151">
        <f ca="1">Table11[[#This Row],[Daily_Production]]*Table11[[#This Row],[Working_Days]]</f>
        <v>4625</v>
      </c>
      <c r="K151" s="81">
        <f>Table11[[#This Row],[Forecasted_Units]]*0.1</f>
        <v>9.9250998235992949</v>
      </c>
      <c r="L151" s="82">
        <f>Table11[[#This Row],[Adjusted_Forecast]]+Table11[[#This Row],[Safety_Stock]]-Table11[[#This Row],[Inventory_On_Hand]]</f>
        <v>23.427096295585173</v>
      </c>
      <c r="M151" s="82">
        <f ca="1">MIN(Table11[[#This Row],[Production_Needed]],Table11[[#This Row],[Production_Capacity]])</f>
        <v>23.427096295585173</v>
      </c>
      <c r="N151" s="82">
        <f ca="1">MAX(Table11[[#This Row],[Production_Needed]]-Table11[[#This Row],[Planned_Production]],0)</f>
        <v>0</v>
      </c>
      <c r="O151" s="82">
        <f ca="1">Table11[[#This Row],[Inventory_On_Hand]]+Table11[[#This Row],[Planned_Production]]-Table11[[#This Row],[Forecasted_Units]]</f>
        <v>9.9250998235992967</v>
      </c>
      <c r="P151" cm="1">
        <f t="array" ref="P151">_xlfn.XLOOKUP(Table11[[#This Row],[Date]] &amp; Table11[[#This Row],[Vehicle_Type]], Table12[Date] &amp; Table12[Vehicle_Type],Table12[Feedback_Adjustment], 0)</f>
        <v>0</v>
      </c>
      <c r="Q151" s="82">
        <f>Table11[[#This Row],[Forecasted_Units]]*(1+Table11[[#This Row],[Adjustment_Percentage]])</f>
        <v>99.250998235992938</v>
      </c>
      <c r="R151" s="82"/>
    </row>
    <row r="152" spans="1:18">
      <c r="A152" s="53">
        <v>46505</v>
      </c>
      <c r="B152" s="14" t="s">
        <v>12</v>
      </c>
      <c r="C152" s="15" t="str">
        <f>TEXT(Table11[[#This Row],[Date]],"mmmm")</f>
        <v>April</v>
      </c>
      <c r="D152" s="14">
        <v>81</v>
      </c>
      <c r="E152" s="82">
        <f>_xlfn.FORECAST.LINEAR(Table11[[#This Row],[Date]],Table11[Units_Sold],Table11[Date])</f>
        <v>99.252162432649726</v>
      </c>
      <c r="F152" cm="1">
        <f t="array" ref="F152">_xlfn.IFS(Table11[[#This Row],[Vehicle_Type]]="SUV",250,Table11[[#This Row],[Vehicle_Type]]="Sedan",200,Table11[[#This Row],[Vehicle_Type]]="Hatchback",185,Table11[[#This Row],[Vehicle_Type]]="Electric",190,Table11[[#This Row],[Vehicle_Type]]="Truck",150)</f>
        <v>250</v>
      </c>
      <c r="G152">
        <f t="shared" ca="1" si="2"/>
        <v>20</v>
      </c>
      <c r="H152" s="82">
        <f>Table11[[#This Row],[Daily_Production]]-Table11[[#This Row],[Forecasted_Units]]</f>
        <v>150.74783756735027</v>
      </c>
      <c r="I152" cm="1">
        <f t="array" ref="I152">_xlfn.IFS(Table11[[#This Row],[Vehicle_Type]]="SUV",5,Table11[[#This Row],[Vehicle_Type]]="Sedan",7,Table11[[#This Row],[Vehicle_Type]]="Hatchback",10,Table11[[#This Row],[Vehicle_Type]]="Electric",11,Table11[[#This Row],[Vehicle_Type]]="Truck",13)</f>
        <v>5</v>
      </c>
      <c r="J152">
        <f ca="1">Table11[[#This Row],[Daily_Production]]*Table11[[#This Row],[Working_Days]]</f>
        <v>5000</v>
      </c>
      <c r="K152" s="81">
        <f>Table11[[#This Row],[Forecasted_Units]]*0.1</f>
        <v>9.9252162432649733</v>
      </c>
      <c r="L152" s="82">
        <f>Table11[[#This Row],[Adjusted_Forecast]]+Table11[[#This Row],[Safety_Stock]]-Table11[[#This Row],[Inventory_On_Hand]]</f>
        <v>-41.570458891435578</v>
      </c>
      <c r="M152" s="82">
        <f ca="1">MIN(Table11[[#This Row],[Production_Needed]],Table11[[#This Row],[Production_Capacity]])</f>
        <v>-41.570458891435578</v>
      </c>
      <c r="N152" s="82">
        <f ca="1">MAX(Table11[[#This Row],[Production_Needed]]-Table11[[#This Row],[Planned_Production]],0)</f>
        <v>0</v>
      </c>
      <c r="O152" s="82">
        <f ca="1">Table11[[#This Row],[Inventory_On_Hand]]+Table11[[#This Row],[Planned_Production]]-Table11[[#This Row],[Forecasted_Units]]</f>
        <v>9.9252162432649698</v>
      </c>
      <c r="P152" cm="1">
        <f t="array" ref="P152">_xlfn.XLOOKUP(Table11[[#This Row],[Date]] &amp; Table11[[#This Row],[Vehicle_Type]], Table12[Date] &amp; Table12[Vehicle_Type],Table12[Feedback_Adjustment], 0)</f>
        <v>0</v>
      </c>
      <c r="Q152" s="82">
        <f>Table11[[#This Row],[Forecasted_Units]]*(1+Table11[[#This Row],[Adjustment_Percentage]])</f>
        <v>99.252162432649726</v>
      </c>
      <c r="R152" s="82"/>
    </row>
    <row r="153" spans="1:18">
      <c r="A153" s="54">
        <v>46535</v>
      </c>
      <c r="B153" s="15" t="s">
        <v>13</v>
      </c>
      <c r="C153" s="15" t="str">
        <f>TEXT(Table11[[#This Row],[Date]],"mmmm")</f>
        <v>May</v>
      </c>
      <c r="D153" s="15">
        <v>120</v>
      </c>
      <c r="E153" s="82">
        <f>_xlfn.FORECAST.LINEAR(Table11[[#This Row],[Date]],Table11[Units_Sold],Table11[Date])</f>
        <v>99.253326629306514</v>
      </c>
      <c r="F153" cm="1">
        <f t="array" ref="F153">_xlfn.IFS(Table11[[#This Row],[Vehicle_Type]]="SUV",250,Table11[[#This Row],[Vehicle_Type]]="Sedan",200,Table11[[#This Row],[Vehicle_Type]]="Hatchback",185,Table11[[#This Row],[Vehicle_Type]]="Electric",190,Table11[[#This Row],[Vehicle_Type]]="Truck",150)</f>
        <v>190</v>
      </c>
      <c r="G153">
        <f t="shared" ca="1" si="2"/>
        <v>20</v>
      </c>
      <c r="H153" s="82">
        <f>Table11[[#This Row],[Daily_Production]]-Table11[[#This Row],[Forecasted_Units]]</f>
        <v>90.746673370693486</v>
      </c>
      <c r="I153" cm="1">
        <f t="array" ref="I153">_xlfn.IFS(Table11[[#This Row],[Vehicle_Type]]="SUV",5,Table11[[#This Row],[Vehicle_Type]]="Sedan",7,Table11[[#This Row],[Vehicle_Type]]="Hatchback",10,Table11[[#This Row],[Vehicle_Type]]="Electric",11,Table11[[#This Row],[Vehicle_Type]]="Truck",13)</f>
        <v>11</v>
      </c>
      <c r="J153">
        <f ca="1">Table11[[#This Row],[Daily_Production]]*Table11[[#This Row],[Working_Days]]</f>
        <v>3800</v>
      </c>
      <c r="K153" s="81">
        <f>Table11[[#This Row],[Forecasted_Units]]*0.1</f>
        <v>9.9253326629306518</v>
      </c>
      <c r="L153" s="82">
        <f>Table11[[#This Row],[Adjusted_Forecast]]+Table11[[#This Row],[Safety_Stock]]-Table11[[#This Row],[Inventory_On_Hand]]</f>
        <v>18.431985921543685</v>
      </c>
      <c r="M153" s="82">
        <f ca="1">MIN(Table11[[#This Row],[Production_Needed]],Table11[[#This Row],[Production_Capacity]])</f>
        <v>18.431985921543685</v>
      </c>
      <c r="N153" s="82">
        <f ca="1">MAX(Table11[[#This Row],[Production_Needed]]-Table11[[#This Row],[Planned_Production]],0)</f>
        <v>0</v>
      </c>
      <c r="O153" s="82">
        <f ca="1">Table11[[#This Row],[Inventory_On_Hand]]+Table11[[#This Row],[Planned_Production]]-Table11[[#This Row],[Forecasted_Units]]</f>
        <v>9.9253326629306571</v>
      </c>
      <c r="P153" cm="1">
        <f t="array" ref="P153">_xlfn.XLOOKUP(Table11[[#This Row],[Date]] &amp; Table11[[#This Row],[Vehicle_Type]], Table12[Date] &amp; Table12[Vehicle_Type],Table12[Feedback_Adjustment], 0)</f>
        <v>0</v>
      </c>
      <c r="Q153" s="82">
        <f>Table11[[#This Row],[Forecasted_Units]]*(1+Table11[[#This Row],[Adjustment_Percentage]])</f>
        <v>99.253326629306514</v>
      </c>
      <c r="R153" s="82"/>
    </row>
    <row r="154" spans="1:18">
      <c r="A154" s="53">
        <v>46565</v>
      </c>
      <c r="B154" s="14" t="s">
        <v>13</v>
      </c>
      <c r="C154" s="15" t="str">
        <f>TEXT(Table11[[#This Row],[Date]],"mmmm")</f>
        <v>June</v>
      </c>
      <c r="D154" s="14">
        <v>97</v>
      </c>
      <c r="E154" s="82">
        <f>_xlfn.FORECAST.LINEAR(Table11[[#This Row],[Date]],Table11[Units_Sold],Table11[Date])</f>
        <v>99.254490825963302</v>
      </c>
      <c r="F154" cm="1">
        <f t="array" ref="F154">_xlfn.IFS(Table11[[#This Row],[Vehicle_Type]]="SUV",250,Table11[[#This Row],[Vehicle_Type]]="Sedan",200,Table11[[#This Row],[Vehicle_Type]]="Hatchback",185,Table11[[#This Row],[Vehicle_Type]]="Electric",190,Table11[[#This Row],[Vehicle_Type]]="Truck",150)</f>
        <v>190</v>
      </c>
      <c r="G154">
        <f t="shared" ca="1" si="2"/>
        <v>21</v>
      </c>
      <c r="H154" s="82">
        <f>Table11[[#This Row],[Daily_Production]]-Table11[[#This Row],[Forecasted_Units]]</f>
        <v>90.745509174036698</v>
      </c>
      <c r="I154" cm="1">
        <f t="array" ref="I154">_xlfn.IFS(Table11[[#This Row],[Vehicle_Type]]="SUV",5,Table11[[#This Row],[Vehicle_Type]]="Sedan",7,Table11[[#This Row],[Vehicle_Type]]="Hatchback",10,Table11[[#This Row],[Vehicle_Type]]="Electric",11,Table11[[#This Row],[Vehicle_Type]]="Truck",13)</f>
        <v>11</v>
      </c>
      <c r="J154">
        <f ca="1">Table11[[#This Row],[Daily_Production]]*Table11[[#This Row],[Working_Days]]</f>
        <v>3990</v>
      </c>
      <c r="K154" s="81">
        <f>Table11[[#This Row],[Forecasted_Units]]*0.1</f>
        <v>9.9254490825963302</v>
      </c>
      <c r="L154" s="82">
        <f>Table11[[#This Row],[Adjusted_Forecast]]+Table11[[#This Row],[Safety_Stock]]-Table11[[#This Row],[Inventory_On_Hand]]</f>
        <v>18.434430734522934</v>
      </c>
      <c r="M154" s="82">
        <f ca="1">MIN(Table11[[#This Row],[Production_Needed]],Table11[[#This Row],[Production_Capacity]])</f>
        <v>18.434430734522934</v>
      </c>
      <c r="N154" s="82">
        <f ca="1">MAX(Table11[[#This Row],[Production_Needed]]-Table11[[#This Row],[Planned_Production]],0)</f>
        <v>0</v>
      </c>
      <c r="O154" s="82">
        <f ca="1">Table11[[#This Row],[Inventory_On_Hand]]+Table11[[#This Row],[Planned_Production]]-Table11[[#This Row],[Forecasted_Units]]</f>
        <v>9.9254490825963302</v>
      </c>
      <c r="P154" cm="1">
        <f t="array" ref="P154">_xlfn.XLOOKUP(Table11[[#This Row],[Date]] &amp; Table11[[#This Row],[Vehicle_Type]], Table12[Date] &amp; Table12[Vehicle_Type],Table12[Feedback_Adjustment], 0)</f>
        <v>0</v>
      </c>
      <c r="Q154" s="82">
        <f>Table11[[#This Row],[Forecasted_Units]]*(1+Table11[[#This Row],[Adjustment_Percentage]])</f>
        <v>99.254490825963302</v>
      </c>
      <c r="R154" s="82"/>
    </row>
    <row r="155" spans="1:18">
      <c r="A155" s="54">
        <v>46595</v>
      </c>
      <c r="B155" s="15" t="s">
        <v>10</v>
      </c>
      <c r="C155" s="15" t="str">
        <f>TEXT(Table11[[#This Row],[Date]],"mmmm")</f>
        <v>July</v>
      </c>
      <c r="D155" s="15">
        <v>99</v>
      </c>
      <c r="E155" s="82">
        <f>_xlfn.FORECAST.LINEAR(Table11[[#This Row],[Date]],Table11[Units_Sold],Table11[Date])</f>
        <v>99.25565502262009</v>
      </c>
      <c r="F155" cm="1">
        <f t="array" ref="F155">_xlfn.IFS(Table11[[#This Row],[Vehicle_Type]]="SUV",250,Table11[[#This Row],[Vehicle_Type]]="Sedan",200,Table11[[#This Row],[Vehicle_Type]]="Hatchback",185,Table11[[#This Row],[Vehicle_Type]]="Electric",190,Table11[[#This Row],[Vehicle_Type]]="Truck",150)</f>
        <v>200</v>
      </c>
      <c r="G155">
        <f t="shared" ca="1" si="2"/>
        <v>25</v>
      </c>
      <c r="H155" s="82">
        <f>Table11[[#This Row],[Daily_Production]]-Table11[[#This Row],[Forecasted_Units]]</f>
        <v>100.74434497737991</v>
      </c>
      <c r="I155" cm="1">
        <f t="array" ref="I155">_xlfn.IFS(Table11[[#This Row],[Vehicle_Type]]="SUV",5,Table11[[#This Row],[Vehicle_Type]]="Sedan",7,Table11[[#This Row],[Vehicle_Type]]="Hatchback",10,Table11[[#This Row],[Vehicle_Type]]="Electric",11,Table11[[#This Row],[Vehicle_Type]]="Truck",13)</f>
        <v>7</v>
      </c>
      <c r="J155">
        <f ca="1">Table11[[#This Row],[Daily_Production]]*Table11[[#This Row],[Working_Days]]</f>
        <v>5000</v>
      </c>
      <c r="K155" s="81">
        <f>Table11[[#This Row],[Forecasted_Units]]*0.1</f>
        <v>9.9255655022620104</v>
      </c>
      <c r="L155" s="82">
        <f>Table11[[#This Row],[Adjusted_Forecast]]+Table11[[#This Row],[Safety_Stock]]-Table11[[#This Row],[Inventory_On_Hand]]</f>
        <v>8.4368755475021828</v>
      </c>
      <c r="M155" s="82">
        <f ca="1">MIN(Table11[[#This Row],[Production_Needed]],Table11[[#This Row],[Production_Capacity]])</f>
        <v>8.4368755475021828</v>
      </c>
      <c r="N155" s="82">
        <f ca="1">MAX(Table11[[#This Row],[Production_Needed]]-Table11[[#This Row],[Planned_Production]],0)</f>
        <v>0</v>
      </c>
      <c r="O155" s="82">
        <f ca="1">Table11[[#This Row],[Inventory_On_Hand]]+Table11[[#This Row],[Planned_Production]]-Table11[[#This Row],[Forecasted_Units]]</f>
        <v>9.9255655022620033</v>
      </c>
      <c r="P155" cm="1">
        <f t="array" ref="P155">_xlfn.XLOOKUP(Table11[[#This Row],[Date]] &amp; Table11[[#This Row],[Vehicle_Type]], Table12[Date] &amp; Table12[Vehicle_Type],Table12[Feedback_Adjustment], 0)</f>
        <v>0</v>
      </c>
      <c r="Q155" s="82">
        <f>Table11[[#This Row],[Forecasted_Units]]*(1+Table11[[#This Row],[Adjustment_Percentage]])</f>
        <v>99.25565502262009</v>
      </c>
      <c r="R155" s="82"/>
    </row>
    <row r="156" spans="1:18">
      <c r="A156" s="53">
        <v>46625</v>
      </c>
      <c r="B156" s="14" t="s">
        <v>13</v>
      </c>
      <c r="C156" s="15" t="str">
        <f>TEXT(Table11[[#This Row],[Date]],"mmmm")</f>
        <v>August</v>
      </c>
      <c r="D156" s="14">
        <v>120</v>
      </c>
      <c r="E156" s="82">
        <f>_xlfn.FORECAST.LINEAR(Table11[[#This Row],[Date]],Table11[Units_Sold],Table11[Date])</f>
        <v>99.256819219276878</v>
      </c>
      <c r="F156" cm="1">
        <f t="array" ref="F156">_xlfn.IFS(Table11[[#This Row],[Vehicle_Type]]="SUV",250,Table11[[#This Row],[Vehicle_Type]]="Sedan",200,Table11[[#This Row],[Vehicle_Type]]="Hatchback",185,Table11[[#This Row],[Vehicle_Type]]="Electric",190,Table11[[#This Row],[Vehicle_Type]]="Truck",150)</f>
        <v>190</v>
      </c>
      <c r="G156">
        <f t="shared" ca="1" si="2"/>
        <v>22</v>
      </c>
      <c r="H156" s="82">
        <f>Table11[[#This Row],[Daily_Production]]-Table11[[#This Row],[Forecasted_Units]]</f>
        <v>90.743180780723122</v>
      </c>
      <c r="I156" cm="1">
        <f t="array" ref="I156">_xlfn.IFS(Table11[[#This Row],[Vehicle_Type]]="SUV",5,Table11[[#This Row],[Vehicle_Type]]="Sedan",7,Table11[[#This Row],[Vehicle_Type]]="Hatchback",10,Table11[[#This Row],[Vehicle_Type]]="Electric",11,Table11[[#This Row],[Vehicle_Type]]="Truck",13)</f>
        <v>11</v>
      </c>
      <c r="J156">
        <f ca="1">Table11[[#This Row],[Daily_Production]]*Table11[[#This Row],[Working_Days]]</f>
        <v>4180</v>
      </c>
      <c r="K156" s="81">
        <f>Table11[[#This Row],[Forecasted_Units]]*0.1</f>
        <v>9.9256819219276888</v>
      </c>
      <c r="L156" s="82">
        <f>Table11[[#This Row],[Adjusted_Forecast]]+Table11[[#This Row],[Safety_Stock]]-Table11[[#This Row],[Inventory_On_Hand]]</f>
        <v>18.439320360481446</v>
      </c>
      <c r="M156" s="82">
        <f ca="1">MIN(Table11[[#This Row],[Production_Needed]],Table11[[#This Row],[Production_Capacity]])</f>
        <v>18.439320360481446</v>
      </c>
      <c r="N156" s="82">
        <f ca="1">MAX(Table11[[#This Row],[Production_Needed]]-Table11[[#This Row],[Planned_Production]],0)</f>
        <v>0</v>
      </c>
      <c r="O156" s="82">
        <f ca="1">Table11[[#This Row],[Inventory_On_Hand]]+Table11[[#This Row],[Planned_Production]]-Table11[[#This Row],[Forecasted_Units]]</f>
        <v>9.9256819219276906</v>
      </c>
      <c r="P156" cm="1">
        <f t="array" ref="P156">_xlfn.XLOOKUP(Table11[[#This Row],[Date]] &amp; Table11[[#This Row],[Vehicle_Type]], Table12[Date] &amp; Table12[Vehicle_Type],Table12[Feedback_Adjustment], 0)</f>
        <v>0</v>
      </c>
      <c r="Q156" s="82">
        <f>Table11[[#This Row],[Forecasted_Units]]*(1+Table11[[#This Row],[Adjustment_Percentage]])</f>
        <v>99.256819219276878</v>
      </c>
      <c r="R156" s="82"/>
    </row>
    <row r="157" spans="1:18">
      <c r="A157" s="54">
        <v>46655</v>
      </c>
      <c r="B157" s="15" t="s">
        <v>11</v>
      </c>
      <c r="C157" s="15" t="str">
        <f>TEXT(Table11[[#This Row],[Date]],"mmmm")</f>
        <v>September</v>
      </c>
      <c r="D157" s="15">
        <v>90</v>
      </c>
      <c r="E157" s="82">
        <f>_xlfn.FORECAST.LINEAR(Table11[[#This Row],[Date]],Table11[Units_Sold],Table11[Date])</f>
        <v>99.257983415933651</v>
      </c>
      <c r="F157" cm="1">
        <f t="array" ref="F157">_xlfn.IFS(Table11[[#This Row],[Vehicle_Type]]="SUV",250,Table11[[#This Row],[Vehicle_Type]]="Sedan",200,Table11[[#This Row],[Vehicle_Type]]="Hatchback",185,Table11[[#This Row],[Vehicle_Type]]="Electric",190,Table11[[#This Row],[Vehicle_Type]]="Truck",150)</f>
        <v>185</v>
      </c>
      <c r="G157">
        <f t="shared" ca="1" si="2"/>
        <v>21</v>
      </c>
      <c r="H157" s="82">
        <f>Table11[[#This Row],[Daily_Production]]-Table11[[#This Row],[Forecasted_Units]]</f>
        <v>85.742016584066349</v>
      </c>
      <c r="I157" cm="1">
        <f t="array" ref="I157">_xlfn.IFS(Table11[[#This Row],[Vehicle_Type]]="SUV",5,Table11[[#This Row],[Vehicle_Type]]="Sedan",7,Table11[[#This Row],[Vehicle_Type]]="Hatchback",10,Table11[[#This Row],[Vehicle_Type]]="Electric",11,Table11[[#This Row],[Vehicle_Type]]="Truck",13)</f>
        <v>10</v>
      </c>
      <c r="J157">
        <f ca="1">Table11[[#This Row],[Daily_Production]]*Table11[[#This Row],[Working_Days]]</f>
        <v>3885</v>
      </c>
      <c r="K157" s="81">
        <f>Table11[[#This Row],[Forecasted_Units]]*0.1</f>
        <v>9.9257983415933655</v>
      </c>
      <c r="L157" s="82">
        <f>Table11[[#This Row],[Adjusted_Forecast]]+Table11[[#This Row],[Safety_Stock]]-Table11[[#This Row],[Inventory_On_Hand]]</f>
        <v>23.441765173460666</v>
      </c>
      <c r="M157" s="82">
        <f ca="1">MIN(Table11[[#This Row],[Production_Needed]],Table11[[#This Row],[Production_Capacity]])</f>
        <v>23.441765173460666</v>
      </c>
      <c r="N157" s="82">
        <f ca="1">MAX(Table11[[#This Row],[Production_Needed]]-Table11[[#This Row],[Planned_Production]],0)</f>
        <v>0</v>
      </c>
      <c r="O157" s="82">
        <f ca="1">Table11[[#This Row],[Inventory_On_Hand]]+Table11[[#This Row],[Planned_Production]]-Table11[[#This Row],[Forecasted_Units]]</f>
        <v>9.9257983415933637</v>
      </c>
      <c r="P157" cm="1">
        <f t="array" ref="P157">_xlfn.XLOOKUP(Table11[[#This Row],[Date]] &amp; Table11[[#This Row],[Vehicle_Type]], Table12[Date] &amp; Table12[Vehicle_Type],Table12[Feedback_Adjustment], 0)</f>
        <v>0</v>
      </c>
      <c r="Q157" s="82">
        <f>Table11[[#This Row],[Forecasted_Units]]*(1+Table11[[#This Row],[Adjustment_Percentage]])</f>
        <v>99.257983415933651</v>
      </c>
      <c r="R157" s="82"/>
    </row>
    <row r="158" spans="1:18">
      <c r="A158" s="53">
        <v>46685</v>
      </c>
      <c r="B158" s="14" t="s">
        <v>14</v>
      </c>
      <c r="C158" s="15" t="str">
        <f>TEXT(Table11[[#This Row],[Date]],"mmmm")</f>
        <v>October</v>
      </c>
      <c r="D158" s="14">
        <v>85</v>
      </c>
      <c r="E158" s="82">
        <f>_xlfn.FORECAST.LINEAR(Table11[[#This Row],[Date]],Table11[Units_Sold],Table11[Date])</f>
        <v>99.259147612590439</v>
      </c>
      <c r="F158" cm="1">
        <f t="array" ref="F158">_xlfn.IFS(Table11[[#This Row],[Vehicle_Type]]="SUV",250,Table11[[#This Row],[Vehicle_Type]]="Sedan",200,Table11[[#This Row],[Vehicle_Type]]="Hatchback",185,Table11[[#This Row],[Vehicle_Type]]="Electric",190,Table11[[#This Row],[Vehicle_Type]]="Truck",150)</f>
        <v>150</v>
      </c>
      <c r="G158">
        <f t="shared" ca="1" si="2"/>
        <v>20</v>
      </c>
      <c r="H158" s="82">
        <f>Table11[[#This Row],[Daily_Production]]-Table11[[#This Row],[Forecasted_Units]]</f>
        <v>50.740852387409561</v>
      </c>
      <c r="I158" cm="1">
        <f t="array" ref="I158">_xlfn.IFS(Table11[[#This Row],[Vehicle_Type]]="SUV",5,Table11[[#This Row],[Vehicle_Type]]="Sedan",7,Table11[[#This Row],[Vehicle_Type]]="Hatchback",10,Table11[[#This Row],[Vehicle_Type]]="Electric",11,Table11[[#This Row],[Vehicle_Type]]="Truck",13)</f>
        <v>13</v>
      </c>
      <c r="J158">
        <f ca="1">Table11[[#This Row],[Daily_Production]]*Table11[[#This Row],[Working_Days]]</f>
        <v>3000</v>
      </c>
      <c r="K158" s="81">
        <f>Table11[[#This Row],[Forecasted_Units]]*0.1</f>
        <v>9.9259147612590439</v>
      </c>
      <c r="L158" s="82">
        <f>Table11[[#This Row],[Adjusted_Forecast]]+Table11[[#This Row],[Safety_Stock]]-Table11[[#This Row],[Inventory_On_Hand]]</f>
        <v>58.44420998643993</v>
      </c>
      <c r="M158" s="82">
        <f ca="1">MIN(Table11[[#This Row],[Production_Needed]],Table11[[#This Row],[Production_Capacity]])</f>
        <v>58.44420998643993</v>
      </c>
      <c r="N158" s="82">
        <f ca="1">MAX(Table11[[#This Row],[Production_Needed]]-Table11[[#This Row],[Planned_Production]],0)</f>
        <v>0</v>
      </c>
      <c r="O158" s="82">
        <f ca="1">Table11[[#This Row],[Inventory_On_Hand]]+Table11[[#This Row],[Planned_Production]]-Table11[[#This Row],[Forecasted_Units]]</f>
        <v>9.925914761259051</v>
      </c>
      <c r="P158" cm="1">
        <f t="array" ref="P158">_xlfn.XLOOKUP(Table11[[#This Row],[Date]] &amp; Table11[[#This Row],[Vehicle_Type]], Table12[Date] &amp; Table12[Vehicle_Type],Table12[Feedback_Adjustment], 0)</f>
        <v>0</v>
      </c>
      <c r="Q158" s="82">
        <f>Table11[[#This Row],[Forecasted_Units]]*(1+Table11[[#This Row],[Adjustment_Percentage]])</f>
        <v>99.259147612590439</v>
      </c>
      <c r="R158" s="82"/>
    </row>
    <row r="159" spans="1:18">
      <c r="A159" s="54">
        <v>46715</v>
      </c>
      <c r="B159" s="15" t="s">
        <v>10</v>
      </c>
      <c r="C159" s="15" t="str">
        <f>TEXT(Table11[[#This Row],[Date]],"mmmm")</f>
        <v>November</v>
      </c>
      <c r="D159" s="15">
        <v>84</v>
      </c>
      <c r="E159" s="82">
        <f>_xlfn.FORECAST.LINEAR(Table11[[#This Row],[Date]],Table11[Units_Sold],Table11[Date])</f>
        <v>99.260311809247227</v>
      </c>
      <c r="F159" cm="1">
        <f t="array" ref="F159">_xlfn.IFS(Table11[[#This Row],[Vehicle_Type]]="SUV",250,Table11[[#This Row],[Vehicle_Type]]="Sedan",200,Table11[[#This Row],[Vehicle_Type]]="Hatchback",185,Table11[[#This Row],[Vehicle_Type]]="Electric",190,Table11[[#This Row],[Vehicle_Type]]="Truck",150)</f>
        <v>200</v>
      </c>
      <c r="G159">
        <f t="shared" ca="1" si="2"/>
        <v>22</v>
      </c>
      <c r="H159" s="82">
        <f>Table11[[#This Row],[Daily_Production]]-Table11[[#This Row],[Forecasted_Units]]</f>
        <v>100.73968819075277</v>
      </c>
      <c r="I159" cm="1">
        <f t="array" ref="I159">_xlfn.IFS(Table11[[#This Row],[Vehicle_Type]]="SUV",5,Table11[[#This Row],[Vehicle_Type]]="Sedan",7,Table11[[#This Row],[Vehicle_Type]]="Hatchback",10,Table11[[#This Row],[Vehicle_Type]]="Electric",11,Table11[[#This Row],[Vehicle_Type]]="Truck",13)</f>
        <v>7</v>
      </c>
      <c r="J159">
        <f ca="1">Table11[[#This Row],[Daily_Production]]*Table11[[#This Row],[Working_Days]]</f>
        <v>4400</v>
      </c>
      <c r="K159" s="81">
        <f>Table11[[#This Row],[Forecasted_Units]]*0.1</f>
        <v>9.9260311809247241</v>
      </c>
      <c r="L159" s="82">
        <f>Table11[[#This Row],[Adjusted_Forecast]]+Table11[[#This Row],[Safety_Stock]]-Table11[[#This Row],[Inventory_On_Hand]]</f>
        <v>8.4466547994191785</v>
      </c>
      <c r="M159" s="82">
        <f ca="1">MIN(Table11[[#This Row],[Production_Needed]],Table11[[#This Row],[Production_Capacity]])</f>
        <v>8.4466547994191785</v>
      </c>
      <c r="N159" s="82">
        <f ca="1">MAX(Table11[[#This Row],[Production_Needed]]-Table11[[#This Row],[Planned_Production]],0)</f>
        <v>0</v>
      </c>
      <c r="O159" s="82">
        <f ca="1">Table11[[#This Row],[Inventory_On_Hand]]+Table11[[#This Row],[Planned_Production]]-Table11[[#This Row],[Forecasted_Units]]</f>
        <v>9.9260311809247241</v>
      </c>
      <c r="P159" cm="1">
        <f t="array" ref="P159">_xlfn.XLOOKUP(Table11[[#This Row],[Date]] &amp; Table11[[#This Row],[Vehicle_Type]], Table12[Date] &amp; Table12[Vehicle_Type],Table12[Feedback_Adjustment], 0)</f>
        <v>0</v>
      </c>
      <c r="Q159" s="82">
        <f>Table11[[#This Row],[Forecasted_Units]]*(1+Table11[[#This Row],[Adjustment_Percentage]])</f>
        <v>99.260311809247227</v>
      </c>
      <c r="R159" s="82"/>
    </row>
    <row r="160" spans="1:18">
      <c r="A160" s="53">
        <v>46745</v>
      </c>
      <c r="B160" s="14" t="s">
        <v>10</v>
      </c>
      <c r="C160" s="15" t="str">
        <f>TEXT(Table11[[#This Row],[Date]],"mmmm")</f>
        <v>December</v>
      </c>
      <c r="D160" s="14">
        <f>IF(ISBLANK(D113), P114, D113)</f>
        <v>106</v>
      </c>
      <c r="E160" s="82">
        <f>_xlfn.FORECAST.LINEAR(Table11[[#This Row],[Date]],Table11[Units_Sold],Table11[Date])</f>
        <v>99.261476005904015</v>
      </c>
      <c r="F160" cm="1">
        <f t="array" ref="F160">_xlfn.IFS(Table11[[#This Row],[Vehicle_Type]]="SUV",250,Table11[[#This Row],[Vehicle_Type]]="Sedan",200,Table11[[#This Row],[Vehicle_Type]]="Hatchback",185,Table11[[#This Row],[Vehicle_Type]]="Electric",190,Table11[[#This Row],[Vehicle_Type]]="Truck",150)</f>
        <v>200</v>
      </c>
      <c r="G160">
        <f t="shared" ca="1" si="2"/>
        <v>21</v>
      </c>
      <c r="H160" s="82">
        <f>Table11[[#This Row],[Daily_Production]]-Table11[[#This Row],[Forecasted_Units]]</f>
        <v>100.73852399409598</v>
      </c>
      <c r="I160" cm="1">
        <f t="array" ref="I160">_xlfn.IFS(Table11[[#This Row],[Vehicle_Type]]="SUV",5,Table11[[#This Row],[Vehicle_Type]]="Sedan",7,Table11[[#This Row],[Vehicle_Type]]="Hatchback",10,Table11[[#This Row],[Vehicle_Type]]="Electric",11,Table11[[#This Row],[Vehicle_Type]]="Truck",13)</f>
        <v>7</v>
      </c>
      <c r="J160">
        <f ca="1">Table11[[#This Row],[Daily_Production]]*Table11[[#This Row],[Working_Days]]</f>
        <v>4200</v>
      </c>
      <c r="K160" s="81">
        <f>Table11[[#This Row],[Forecasted_Units]]*0.1</f>
        <v>9.9261476005904026</v>
      </c>
      <c r="L160" s="82">
        <f>Table11[[#This Row],[Adjusted_Forecast]]+Table11[[#This Row],[Safety_Stock]]-Table11[[#This Row],[Inventory_On_Hand]]</f>
        <v>8.4490996123984274</v>
      </c>
      <c r="M160" s="82">
        <f ca="1">MIN(Table11[[#This Row],[Production_Needed]],Table11[[#This Row],[Production_Capacity]])</f>
        <v>8.4490996123984274</v>
      </c>
      <c r="N160" s="82">
        <f ca="1">MAX(Table11[[#This Row],[Production_Needed]]-Table11[[#This Row],[Planned_Production]],0)</f>
        <v>0</v>
      </c>
      <c r="O160" s="82">
        <f ca="1">Table11[[#This Row],[Inventory_On_Hand]]+Table11[[#This Row],[Planned_Production]]-Table11[[#This Row],[Forecasted_Units]]</f>
        <v>9.9261476005903972</v>
      </c>
      <c r="P160" cm="1">
        <f t="array" ref="P160">_xlfn.XLOOKUP(Table11[[#This Row],[Date]] &amp; Table11[[#This Row],[Vehicle_Type]], Table12[Date] &amp; Table12[Vehicle_Type],Table12[Feedback_Adjustment], 0)</f>
        <v>0</v>
      </c>
      <c r="Q160" s="82">
        <f>Table11[[#This Row],[Forecasted_Units]]*(1+Table11[[#This Row],[Adjustment_Percentage]])</f>
        <v>99.261476005904015</v>
      </c>
      <c r="R160" s="82"/>
    </row>
    <row r="161" spans="1:18">
      <c r="A161" s="54">
        <v>46775</v>
      </c>
      <c r="B161" s="15" t="s">
        <v>11</v>
      </c>
      <c r="C161" s="15" t="str">
        <f>TEXT(Table11[[#This Row],[Date]],"mmmm")</f>
        <v>January</v>
      </c>
      <c r="D161" s="15">
        <v>112</v>
      </c>
      <c r="E161" s="82">
        <f>_xlfn.FORECAST.LINEAR(Table11[[#This Row],[Date]],Table11[Units_Sold],Table11[Date])</f>
        <v>99.262640202560803</v>
      </c>
      <c r="F161" cm="1">
        <f t="array" ref="F161">_xlfn.IFS(Table11[[#This Row],[Vehicle_Type]]="SUV",250,Table11[[#This Row],[Vehicle_Type]]="Sedan",200,Table11[[#This Row],[Vehicle_Type]]="Hatchback",185,Table11[[#This Row],[Vehicle_Type]]="Electric",190,Table11[[#This Row],[Vehicle_Type]]="Truck",150)</f>
        <v>185</v>
      </c>
      <c r="G161">
        <f t="shared" ca="1" si="2"/>
        <v>23</v>
      </c>
      <c r="H161" s="82">
        <f>Table11[[#This Row],[Daily_Production]]-Table11[[#This Row],[Forecasted_Units]]</f>
        <v>85.737359797439197</v>
      </c>
      <c r="I161" cm="1">
        <f t="array" ref="I161">_xlfn.IFS(Table11[[#This Row],[Vehicle_Type]]="SUV",5,Table11[[#This Row],[Vehicle_Type]]="Sedan",7,Table11[[#This Row],[Vehicle_Type]]="Hatchback",10,Table11[[#This Row],[Vehicle_Type]]="Electric",11,Table11[[#This Row],[Vehicle_Type]]="Truck",13)</f>
        <v>10</v>
      </c>
      <c r="J161">
        <f ca="1">Table11[[#This Row],[Daily_Production]]*Table11[[#This Row],[Working_Days]]</f>
        <v>4255</v>
      </c>
      <c r="K161" s="81">
        <f>Table11[[#This Row],[Forecasted_Units]]*0.1</f>
        <v>9.926264020256081</v>
      </c>
      <c r="L161" s="82">
        <f>Table11[[#This Row],[Adjusted_Forecast]]+Table11[[#This Row],[Safety_Stock]]-Table11[[#This Row],[Inventory_On_Hand]]</f>
        <v>23.451544425377691</v>
      </c>
      <c r="M161" s="82">
        <f ca="1">MIN(Table11[[#This Row],[Production_Needed]],Table11[[#This Row],[Production_Capacity]])</f>
        <v>23.451544425377691</v>
      </c>
      <c r="N161" s="82">
        <f ca="1">MAX(Table11[[#This Row],[Production_Needed]]-Table11[[#This Row],[Planned_Production]],0)</f>
        <v>0</v>
      </c>
      <c r="O161" s="82">
        <f ca="1">Table11[[#This Row],[Inventory_On_Hand]]+Table11[[#This Row],[Planned_Production]]-Table11[[#This Row],[Forecasted_Units]]</f>
        <v>9.9262640202560846</v>
      </c>
      <c r="P161" cm="1">
        <f t="array" ref="P161">_xlfn.XLOOKUP(Table11[[#This Row],[Date]] &amp; Table11[[#This Row],[Vehicle_Type]], Table12[Date] &amp; Table12[Vehicle_Type],Table12[Feedback_Adjustment], 0)</f>
        <v>0</v>
      </c>
      <c r="Q161" s="82">
        <f>Table11[[#This Row],[Forecasted_Units]]*(1+Table11[[#This Row],[Adjustment_Percentage]])</f>
        <v>99.262640202560803</v>
      </c>
      <c r="R161" s="82"/>
    </row>
    <row r="162" spans="1:18">
      <c r="A162" s="53">
        <v>46805</v>
      </c>
      <c r="B162" s="14" t="s">
        <v>11</v>
      </c>
      <c r="C162" s="15" t="str">
        <f>TEXT(Table11[[#This Row],[Date]],"mmmm")</f>
        <v>February</v>
      </c>
      <c r="D162" s="14">
        <v>110</v>
      </c>
      <c r="E162" s="82">
        <f>_xlfn.FORECAST.LINEAR(Table11[[#This Row],[Date]],Table11[Units_Sold],Table11[Date])</f>
        <v>99.263804399217591</v>
      </c>
      <c r="F162" cm="1">
        <f t="array" ref="F162">_xlfn.IFS(Table11[[#This Row],[Vehicle_Type]]="SUV",250,Table11[[#This Row],[Vehicle_Type]]="Sedan",200,Table11[[#This Row],[Vehicle_Type]]="Hatchback",185,Table11[[#This Row],[Vehicle_Type]]="Electric",190,Table11[[#This Row],[Vehicle_Type]]="Truck",150)</f>
        <v>185</v>
      </c>
      <c r="G162">
        <f t="shared" ca="1" si="2"/>
        <v>25</v>
      </c>
      <c r="H162" s="82">
        <f>Table11[[#This Row],[Daily_Production]]-Table11[[#This Row],[Forecasted_Units]]</f>
        <v>85.736195600782409</v>
      </c>
      <c r="I162" cm="1">
        <f t="array" ref="I162">_xlfn.IFS(Table11[[#This Row],[Vehicle_Type]]="SUV",5,Table11[[#This Row],[Vehicle_Type]]="Sedan",7,Table11[[#This Row],[Vehicle_Type]]="Hatchback",10,Table11[[#This Row],[Vehicle_Type]]="Electric",11,Table11[[#This Row],[Vehicle_Type]]="Truck",13)</f>
        <v>10</v>
      </c>
      <c r="J162">
        <f ca="1">Table11[[#This Row],[Daily_Production]]*Table11[[#This Row],[Working_Days]]</f>
        <v>4625</v>
      </c>
      <c r="K162" s="81">
        <f>Table11[[#This Row],[Forecasted_Units]]*0.1</f>
        <v>9.9263804399217594</v>
      </c>
      <c r="L162" s="82">
        <f>Table11[[#This Row],[Adjusted_Forecast]]+Table11[[#This Row],[Safety_Stock]]-Table11[[#This Row],[Inventory_On_Hand]]</f>
        <v>23.453989238356939</v>
      </c>
      <c r="M162" s="82">
        <f ca="1">MIN(Table11[[#This Row],[Production_Needed]],Table11[[#This Row],[Production_Capacity]])</f>
        <v>23.453989238356939</v>
      </c>
      <c r="N162" s="82">
        <f ca="1">MAX(Table11[[#This Row],[Production_Needed]]-Table11[[#This Row],[Planned_Production]],0)</f>
        <v>0</v>
      </c>
      <c r="O162" s="82">
        <f ca="1">Table11[[#This Row],[Inventory_On_Hand]]+Table11[[#This Row],[Planned_Production]]-Table11[[#This Row],[Forecasted_Units]]</f>
        <v>9.9263804399217577</v>
      </c>
      <c r="P162" cm="1">
        <f t="array" ref="P162">_xlfn.XLOOKUP(Table11[[#This Row],[Date]] &amp; Table11[[#This Row],[Vehicle_Type]], Table12[Date] &amp; Table12[Vehicle_Type],Table12[Feedback_Adjustment], 0)</f>
        <v>0</v>
      </c>
      <c r="Q162" s="82">
        <f>Table11[[#This Row],[Forecasted_Units]]*(1+Table11[[#This Row],[Adjustment_Percentage]])</f>
        <v>99.263804399217591</v>
      </c>
      <c r="R162" s="82"/>
    </row>
    <row r="163" spans="1:18">
      <c r="A163" s="54">
        <v>46835</v>
      </c>
      <c r="B163" s="15" t="s">
        <v>12</v>
      </c>
      <c r="C163" s="15" t="str">
        <f>TEXT(Table11[[#This Row],[Date]],"mmmm")</f>
        <v>March</v>
      </c>
      <c r="D163" s="15">
        <v>86</v>
      </c>
      <c r="E163" s="82">
        <f>_xlfn.FORECAST.LINEAR(Table11[[#This Row],[Date]],Table11[Units_Sold],Table11[Date])</f>
        <v>99.264968595874379</v>
      </c>
      <c r="F163" cm="1">
        <f t="array" ref="F163">_xlfn.IFS(Table11[[#This Row],[Vehicle_Type]]="SUV",250,Table11[[#This Row],[Vehicle_Type]]="Sedan",200,Table11[[#This Row],[Vehicle_Type]]="Hatchback",185,Table11[[#This Row],[Vehicle_Type]]="Electric",190,Table11[[#This Row],[Vehicle_Type]]="Truck",150)</f>
        <v>250</v>
      </c>
      <c r="G163">
        <f t="shared" ca="1" si="2"/>
        <v>24</v>
      </c>
      <c r="H163" s="82">
        <f>Table11[[#This Row],[Daily_Production]]-Table11[[#This Row],[Forecasted_Units]]</f>
        <v>150.73503140412561</v>
      </c>
      <c r="I163" cm="1">
        <f t="array" ref="I163">_xlfn.IFS(Table11[[#This Row],[Vehicle_Type]]="SUV",5,Table11[[#This Row],[Vehicle_Type]]="Sedan",7,Table11[[#This Row],[Vehicle_Type]]="Hatchback",10,Table11[[#This Row],[Vehicle_Type]]="Electric",11,Table11[[#This Row],[Vehicle_Type]]="Truck",13)</f>
        <v>5</v>
      </c>
      <c r="J163">
        <f ca="1">Table11[[#This Row],[Daily_Production]]*Table11[[#This Row],[Working_Days]]</f>
        <v>6000</v>
      </c>
      <c r="K163" s="81">
        <f>Table11[[#This Row],[Forecasted_Units]]*0.1</f>
        <v>9.9264968595874379</v>
      </c>
      <c r="L163" s="82">
        <f>Table11[[#This Row],[Adjusted_Forecast]]+Table11[[#This Row],[Safety_Stock]]-Table11[[#This Row],[Inventory_On_Hand]]</f>
        <v>-41.543565948663797</v>
      </c>
      <c r="M163" s="82">
        <f ca="1">MIN(Table11[[#This Row],[Production_Needed]],Table11[[#This Row],[Production_Capacity]])</f>
        <v>-41.543565948663797</v>
      </c>
      <c r="N163" s="82">
        <f ca="1">MAX(Table11[[#This Row],[Production_Needed]]-Table11[[#This Row],[Planned_Production]],0)</f>
        <v>0</v>
      </c>
      <c r="O163" s="82">
        <f ca="1">Table11[[#This Row],[Inventory_On_Hand]]+Table11[[#This Row],[Planned_Production]]-Table11[[#This Row],[Forecasted_Units]]</f>
        <v>9.9264968595874308</v>
      </c>
      <c r="P163" cm="1">
        <f t="array" ref="P163">_xlfn.XLOOKUP(Table11[[#This Row],[Date]] &amp; Table11[[#This Row],[Vehicle_Type]], Table12[Date] &amp; Table12[Vehicle_Type],Table12[Feedback_Adjustment], 0)</f>
        <v>0</v>
      </c>
      <c r="Q163" s="82">
        <f>Table11[[#This Row],[Forecasted_Units]]*(1+Table11[[#This Row],[Adjustment_Percentage]])</f>
        <v>99.264968595874379</v>
      </c>
      <c r="R163" s="82"/>
    </row>
    <row r="164" spans="1:18">
      <c r="A164" s="53">
        <v>46865</v>
      </c>
      <c r="B164" s="14" t="s">
        <v>10</v>
      </c>
      <c r="C164" s="15" t="str">
        <f>TEXT(Table11[[#This Row],[Date]],"mmmm")</f>
        <v>April</v>
      </c>
      <c r="D164" s="14">
        <v>104</v>
      </c>
      <c r="E164" s="82">
        <f>_xlfn.FORECAST.LINEAR(Table11[[#This Row],[Date]],Table11[Units_Sold],Table11[Date])</f>
        <v>99.266132792531167</v>
      </c>
      <c r="F164" cm="1">
        <f t="array" ref="F164">_xlfn.IFS(Table11[[#This Row],[Vehicle_Type]]="SUV",250,Table11[[#This Row],[Vehicle_Type]]="Sedan",200,Table11[[#This Row],[Vehicle_Type]]="Hatchback",185,Table11[[#This Row],[Vehicle_Type]]="Electric",190,Table11[[#This Row],[Vehicle_Type]]="Truck",150)</f>
        <v>200</v>
      </c>
      <c r="G164">
        <f t="shared" ca="1" si="2"/>
        <v>25</v>
      </c>
      <c r="H164" s="82">
        <f>Table11[[#This Row],[Daily_Production]]-Table11[[#This Row],[Forecasted_Units]]</f>
        <v>100.73386720746883</v>
      </c>
      <c r="I164" cm="1">
        <f t="array" ref="I164">_xlfn.IFS(Table11[[#This Row],[Vehicle_Type]]="SUV",5,Table11[[#This Row],[Vehicle_Type]]="Sedan",7,Table11[[#This Row],[Vehicle_Type]]="Hatchback",10,Table11[[#This Row],[Vehicle_Type]]="Electric",11,Table11[[#This Row],[Vehicle_Type]]="Truck",13)</f>
        <v>7</v>
      </c>
      <c r="J164">
        <f ca="1">Table11[[#This Row],[Daily_Production]]*Table11[[#This Row],[Working_Days]]</f>
        <v>5000</v>
      </c>
      <c r="K164" s="81">
        <f>Table11[[#This Row],[Forecasted_Units]]*0.1</f>
        <v>9.9266132792531181</v>
      </c>
      <c r="L164" s="82">
        <f>Table11[[#This Row],[Adjusted_Forecast]]+Table11[[#This Row],[Safety_Stock]]-Table11[[#This Row],[Inventory_On_Hand]]</f>
        <v>8.4588788643154516</v>
      </c>
      <c r="M164" s="82">
        <f ca="1">MIN(Table11[[#This Row],[Production_Needed]],Table11[[#This Row],[Production_Capacity]])</f>
        <v>8.4588788643154516</v>
      </c>
      <c r="N164" s="82">
        <f ca="1">MAX(Table11[[#This Row],[Production_Needed]]-Table11[[#This Row],[Planned_Production]],0)</f>
        <v>0</v>
      </c>
      <c r="O164" s="82">
        <f ca="1">Table11[[#This Row],[Inventory_On_Hand]]+Table11[[#This Row],[Planned_Production]]-Table11[[#This Row],[Forecasted_Units]]</f>
        <v>9.9266132792531181</v>
      </c>
      <c r="P164" cm="1">
        <f t="array" ref="P164">_xlfn.XLOOKUP(Table11[[#This Row],[Date]] &amp; Table11[[#This Row],[Vehicle_Type]], Table12[Date] &amp; Table12[Vehicle_Type],Table12[Feedback_Adjustment], 0)</f>
        <v>0</v>
      </c>
      <c r="Q164" s="82">
        <f>Table11[[#This Row],[Forecasted_Units]]*(1+Table11[[#This Row],[Adjustment_Percentage]])</f>
        <v>99.266132792531167</v>
      </c>
      <c r="R164" s="82"/>
    </row>
    <row r="165" spans="1:18">
      <c r="A165" s="54">
        <v>46895</v>
      </c>
      <c r="B165" s="15" t="s">
        <v>12</v>
      </c>
      <c r="C165" s="15" t="str">
        <f>TEXT(Table11[[#This Row],[Date]],"mmmm")</f>
        <v>May</v>
      </c>
      <c r="D165" s="15">
        <v>107</v>
      </c>
      <c r="E165" s="82">
        <f>_xlfn.FORECAST.LINEAR(Table11[[#This Row],[Date]],Table11[Units_Sold],Table11[Date])</f>
        <v>99.267296989187955</v>
      </c>
      <c r="F165" cm="1">
        <f t="array" ref="F165">_xlfn.IFS(Table11[[#This Row],[Vehicle_Type]]="SUV",250,Table11[[#This Row],[Vehicle_Type]]="Sedan",200,Table11[[#This Row],[Vehicle_Type]]="Hatchback",185,Table11[[#This Row],[Vehicle_Type]]="Electric",190,Table11[[#This Row],[Vehicle_Type]]="Truck",150)</f>
        <v>250</v>
      </c>
      <c r="G165">
        <f t="shared" ca="1" si="2"/>
        <v>22</v>
      </c>
      <c r="H165" s="82">
        <f>Table11[[#This Row],[Daily_Production]]-Table11[[#This Row],[Forecasted_Units]]</f>
        <v>150.73270301081203</v>
      </c>
      <c r="I165" cm="1">
        <f t="array" ref="I165">_xlfn.IFS(Table11[[#This Row],[Vehicle_Type]]="SUV",5,Table11[[#This Row],[Vehicle_Type]]="Sedan",7,Table11[[#This Row],[Vehicle_Type]]="Hatchback",10,Table11[[#This Row],[Vehicle_Type]]="Electric",11,Table11[[#This Row],[Vehicle_Type]]="Truck",13)</f>
        <v>5</v>
      </c>
      <c r="J165">
        <f ca="1">Table11[[#This Row],[Daily_Production]]*Table11[[#This Row],[Working_Days]]</f>
        <v>5500</v>
      </c>
      <c r="K165" s="81">
        <f>Table11[[#This Row],[Forecasted_Units]]*0.1</f>
        <v>9.9267296989187965</v>
      </c>
      <c r="L165" s="82">
        <f>Table11[[#This Row],[Adjusted_Forecast]]+Table11[[#This Row],[Safety_Stock]]-Table11[[#This Row],[Inventory_On_Hand]]</f>
        <v>-41.538676322705285</v>
      </c>
      <c r="M165" s="82">
        <f ca="1">MIN(Table11[[#This Row],[Production_Needed]],Table11[[#This Row],[Production_Capacity]])</f>
        <v>-41.538676322705285</v>
      </c>
      <c r="N165" s="82">
        <f ca="1">MAX(Table11[[#This Row],[Production_Needed]]-Table11[[#This Row],[Planned_Production]],0)</f>
        <v>0</v>
      </c>
      <c r="O165" s="82">
        <f ca="1">Table11[[#This Row],[Inventory_On_Hand]]+Table11[[#This Row],[Planned_Production]]-Table11[[#This Row],[Forecasted_Units]]</f>
        <v>9.9267296989187912</v>
      </c>
      <c r="P165" cm="1">
        <f t="array" ref="P165">_xlfn.XLOOKUP(Table11[[#This Row],[Date]] &amp; Table11[[#This Row],[Vehicle_Type]], Table12[Date] &amp; Table12[Vehicle_Type],Table12[Feedback_Adjustment], 0)</f>
        <v>0</v>
      </c>
      <c r="Q165" s="82">
        <f>Table11[[#This Row],[Forecasted_Units]]*(1+Table11[[#This Row],[Adjustment_Percentage]])</f>
        <v>99.267296989187955</v>
      </c>
      <c r="R165" s="82"/>
    </row>
    <row r="166" spans="1:18">
      <c r="A166" s="53">
        <v>46925</v>
      </c>
      <c r="B166" s="14" t="s">
        <v>13</v>
      </c>
      <c r="C166" s="15" t="str">
        <f>TEXT(Table11[[#This Row],[Date]],"mmmm")</f>
        <v>June</v>
      </c>
      <c r="D166" s="14">
        <v>93</v>
      </c>
      <c r="E166" s="82">
        <f>_xlfn.FORECAST.LINEAR(Table11[[#This Row],[Date]],Table11[Units_Sold],Table11[Date])</f>
        <v>99.268461185844743</v>
      </c>
      <c r="F166" cm="1">
        <f t="array" ref="F166">_xlfn.IFS(Table11[[#This Row],[Vehicle_Type]]="SUV",250,Table11[[#This Row],[Vehicle_Type]]="Sedan",200,Table11[[#This Row],[Vehicle_Type]]="Hatchback",185,Table11[[#This Row],[Vehicle_Type]]="Electric",190,Table11[[#This Row],[Vehicle_Type]]="Truck",150)</f>
        <v>190</v>
      </c>
      <c r="G166">
        <f t="shared" ca="1" si="2"/>
        <v>25</v>
      </c>
      <c r="H166" s="82">
        <f>Table11[[#This Row],[Daily_Production]]-Table11[[#This Row],[Forecasted_Units]]</f>
        <v>90.731538814155257</v>
      </c>
      <c r="I166" cm="1">
        <f t="array" ref="I166">_xlfn.IFS(Table11[[#This Row],[Vehicle_Type]]="SUV",5,Table11[[#This Row],[Vehicle_Type]]="Sedan",7,Table11[[#This Row],[Vehicle_Type]]="Hatchback",10,Table11[[#This Row],[Vehicle_Type]]="Electric",11,Table11[[#This Row],[Vehicle_Type]]="Truck",13)</f>
        <v>11</v>
      </c>
      <c r="J166">
        <f ca="1">Table11[[#This Row],[Daily_Production]]*Table11[[#This Row],[Working_Days]]</f>
        <v>4750</v>
      </c>
      <c r="K166" s="81">
        <f>Table11[[#This Row],[Forecasted_Units]]*0.1</f>
        <v>9.926846118584475</v>
      </c>
      <c r="L166" s="82">
        <f>Table11[[#This Row],[Adjusted_Forecast]]+Table11[[#This Row],[Safety_Stock]]-Table11[[#This Row],[Inventory_On_Hand]]</f>
        <v>18.463768490273964</v>
      </c>
      <c r="M166" s="82">
        <f ca="1">MIN(Table11[[#This Row],[Production_Needed]],Table11[[#This Row],[Production_Capacity]])</f>
        <v>18.463768490273964</v>
      </c>
      <c r="N166" s="82">
        <f ca="1">MAX(Table11[[#This Row],[Production_Needed]]-Table11[[#This Row],[Planned_Production]],0)</f>
        <v>0</v>
      </c>
      <c r="O166" s="82">
        <f ca="1">Table11[[#This Row],[Inventory_On_Hand]]+Table11[[#This Row],[Planned_Production]]-Table11[[#This Row],[Forecasted_Units]]</f>
        <v>9.9268461185844785</v>
      </c>
      <c r="P166" cm="1">
        <f t="array" ref="P166">_xlfn.XLOOKUP(Table11[[#This Row],[Date]] &amp; Table11[[#This Row],[Vehicle_Type]], Table12[Date] &amp; Table12[Vehicle_Type],Table12[Feedback_Adjustment], 0)</f>
        <v>0</v>
      </c>
      <c r="Q166" s="82">
        <f>Table11[[#This Row],[Forecasted_Units]]*(1+Table11[[#This Row],[Adjustment_Percentage]])</f>
        <v>99.268461185844743</v>
      </c>
      <c r="R166" s="82"/>
    </row>
    <row r="167" spans="1:18">
      <c r="A167" s="54">
        <v>46955</v>
      </c>
      <c r="B167" s="15" t="s">
        <v>10</v>
      </c>
      <c r="C167" s="15" t="str">
        <f>TEXT(Table11[[#This Row],[Date]],"mmmm")</f>
        <v>July</v>
      </c>
      <c r="D167" s="15">
        <v>108</v>
      </c>
      <c r="E167" s="82">
        <f>_xlfn.FORECAST.LINEAR(Table11[[#This Row],[Date]],Table11[Units_Sold],Table11[Date])</f>
        <v>99.26962538250153</v>
      </c>
      <c r="F167" cm="1">
        <f t="array" ref="F167">_xlfn.IFS(Table11[[#This Row],[Vehicle_Type]]="SUV",250,Table11[[#This Row],[Vehicle_Type]]="Sedan",200,Table11[[#This Row],[Vehicle_Type]]="Hatchback",185,Table11[[#This Row],[Vehicle_Type]]="Electric",190,Table11[[#This Row],[Vehicle_Type]]="Truck",150)</f>
        <v>200</v>
      </c>
      <c r="G167">
        <f t="shared" ca="1" si="2"/>
        <v>20</v>
      </c>
      <c r="H167" s="82">
        <f>Table11[[#This Row],[Daily_Production]]-Table11[[#This Row],[Forecasted_Units]]</f>
        <v>100.73037461749847</v>
      </c>
      <c r="I167" cm="1">
        <f t="array" ref="I167">_xlfn.IFS(Table11[[#This Row],[Vehicle_Type]]="SUV",5,Table11[[#This Row],[Vehicle_Type]]="Sedan",7,Table11[[#This Row],[Vehicle_Type]]="Hatchback",10,Table11[[#This Row],[Vehicle_Type]]="Electric",11,Table11[[#This Row],[Vehicle_Type]]="Truck",13)</f>
        <v>7</v>
      </c>
      <c r="J167">
        <f ca="1">Table11[[#This Row],[Daily_Production]]*Table11[[#This Row],[Working_Days]]</f>
        <v>4000</v>
      </c>
      <c r="K167" s="81">
        <f>Table11[[#This Row],[Forecasted_Units]]*0.1</f>
        <v>9.9269625382501534</v>
      </c>
      <c r="L167" s="82">
        <f>Table11[[#This Row],[Adjusted_Forecast]]+Table11[[#This Row],[Safety_Stock]]-Table11[[#This Row],[Inventory_On_Hand]]</f>
        <v>8.4662133032532125</v>
      </c>
      <c r="M167" s="82">
        <f ca="1">MIN(Table11[[#This Row],[Production_Needed]],Table11[[#This Row],[Production_Capacity]])</f>
        <v>8.4662133032532125</v>
      </c>
      <c r="N167" s="82">
        <f ca="1">MAX(Table11[[#This Row],[Production_Needed]]-Table11[[#This Row],[Planned_Production]],0)</f>
        <v>0</v>
      </c>
      <c r="O167" s="82">
        <f ca="1">Table11[[#This Row],[Inventory_On_Hand]]+Table11[[#This Row],[Planned_Production]]-Table11[[#This Row],[Forecasted_Units]]</f>
        <v>9.9269625382501516</v>
      </c>
      <c r="P167" cm="1">
        <f t="array" ref="P167">_xlfn.XLOOKUP(Table11[[#This Row],[Date]] &amp; Table11[[#This Row],[Vehicle_Type]], Table12[Date] &amp; Table12[Vehicle_Type],Table12[Feedback_Adjustment], 0)</f>
        <v>0</v>
      </c>
      <c r="Q167" s="82">
        <f>Table11[[#This Row],[Forecasted_Units]]*(1+Table11[[#This Row],[Adjustment_Percentage]])</f>
        <v>99.26962538250153</v>
      </c>
      <c r="R167" s="82"/>
    </row>
    <row r="168" spans="1:18">
      <c r="A168" s="53">
        <v>46985</v>
      </c>
      <c r="B168" s="14" t="s">
        <v>10</v>
      </c>
      <c r="C168" s="15" t="str">
        <f>TEXT(Table11[[#This Row],[Date]],"mmmm")</f>
        <v>August</v>
      </c>
      <c r="D168" s="14">
        <v>96</v>
      </c>
      <c r="E168" s="82">
        <f>_xlfn.FORECAST.LINEAR(Table11[[#This Row],[Date]],Table11[Units_Sold],Table11[Date])</f>
        <v>99.270789579158304</v>
      </c>
      <c r="F168" cm="1">
        <f t="array" ref="F168">_xlfn.IFS(Table11[[#This Row],[Vehicle_Type]]="SUV",250,Table11[[#This Row],[Vehicle_Type]]="Sedan",200,Table11[[#This Row],[Vehicle_Type]]="Hatchback",185,Table11[[#This Row],[Vehicle_Type]]="Electric",190,Table11[[#This Row],[Vehicle_Type]]="Truck",150)</f>
        <v>200</v>
      </c>
      <c r="G168">
        <f t="shared" ca="1" si="2"/>
        <v>20</v>
      </c>
      <c r="H168" s="82">
        <f>Table11[[#This Row],[Daily_Production]]-Table11[[#This Row],[Forecasted_Units]]</f>
        <v>100.7292104208417</v>
      </c>
      <c r="I168" cm="1">
        <f t="array" ref="I168">_xlfn.IFS(Table11[[#This Row],[Vehicle_Type]]="SUV",5,Table11[[#This Row],[Vehicle_Type]]="Sedan",7,Table11[[#This Row],[Vehicle_Type]]="Hatchback",10,Table11[[#This Row],[Vehicle_Type]]="Electric",11,Table11[[#This Row],[Vehicle_Type]]="Truck",13)</f>
        <v>7</v>
      </c>
      <c r="J168">
        <f ca="1">Table11[[#This Row],[Daily_Production]]*Table11[[#This Row],[Working_Days]]</f>
        <v>4000</v>
      </c>
      <c r="K168" s="81">
        <f>Table11[[#This Row],[Forecasted_Units]]*0.1</f>
        <v>9.9270789579158318</v>
      </c>
      <c r="L168" s="82">
        <f>Table11[[#This Row],[Adjusted_Forecast]]+Table11[[#This Row],[Safety_Stock]]-Table11[[#This Row],[Inventory_On_Hand]]</f>
        <v>8.468658116232433</v>
      </c>
      <c r="M168" s="82">
        <f ca="1">MIN(Table11[[#This Row],[Production_Needed]],Table11[[#This Row],[Production_Capacity]])</f>
        <v>8.468658116232433</v>
      </c>
      <c r="N168" s="82">
        <f ca="1">MAX(Table11[[#This Row],[Production_Needed]]-Table11[[#This Row],[Planned_Production]],0)</f>
        <v>0</v>
      </c>
      <c r="O168" s="82">
        <f ca="1">Table11[[#This Row],[Inventory_On_Hand]]+Table11[[#This Row],[Planned_Production]]-Table11[[#This Row],[Forecasted_Units]]</f>
        <v>9.9270789579158247</v>
      </c>
      <c r="P168" cm="1">
        <f t="array" ref="P168">_xlfn.XLOOKUP(Table11[[#This Row],[Date]] &amp; Table11[[#This Row],[Vehicle_Type]], Table12[Date] &amp; Table12[Vehicle_Type],Table12[Feedback_Adjustment], 0)</f>
        <v>0</v>
      </c>
      <c r="Q168" s="82">
        <f>Table11[[#This Row],[Forecasted_Units]]*(1+Table11[[#This Row],[Adjustment_Percentage]])</f>
        <v>99.270789579158304</v>
      </c>
      <c r="R168" s="82"/>
    </row>
    <row r="169" spans="1:18">
      <c r="A169" s="54">
        <v>47015</v>
      </c>
      <c r="B169" s="15" t="s">
        <v>14</v>
      </c>
      <c r="C169" s="15" t="str">
        <f>TEXT(Table11[[#This Row],[Date]],"mmmm")</f>
        <v>September</v>
      </c>
      <c r="D169" s="15">
        <v>95</v>
      </c>
      <c r="E169" s="82">
        <f>_xlfn.FORECAST.LINEAR(Table11[[#This Row],[Date]],Table11[Units_Sold],Table11[Date])</f>
        <v>99.271953775815092</v>
      </c>
      <c r="F169" cm="1">
        <f t="array" ref="F169">_xlfn.IFS(Table11[[#This Row],[Vehicle_Type]]="SUV",250,Table11[[#This Row],[Vehicle_Type]]="Sedan",200,Table11[[#This Row],[Vehicle_Type]]="Hatchback",185,Table11[[#This Row],[Vehicle_Type]]="Electric",190,Table11[[#This Row],[Vehicle_Type]]="Truck",150)</f>
        <v>150</v>
      </c>
      <c r="G169">
        <f t="shared" ca="1" si="2"/>
        <v>20</v>
      </c>
      <c r="H169" s="82">
        <f>Table11[[#This Row],[Daily_Production]]-Table11[[#This Row],[Forecasted_Units]]</f>
        <v>50.728046224184908</v>
      </c>
      <c r="I169" cm="1">
        <f t="array" ref="I169">_xlfn.IFS(Table11[[#This Row],[Vehicle_Type]]="SUV",5,Table11[[#This Row],[Vehicle_Type]]="Sedan",7,Table11[[#This Row],[Vehicle_Type]]="Hatchback",10,Table11[[#This Row],[Vehicle_Type]]="Electric",11,Table11[[#This Row],[Vehicle_Type]]="Truck",13)</f>
        <v>13</v>
      </c>
      <c r="J169">
        <f ca="1">Table11[[#This Row],[Daily_Production]]*Table11[[#This Row],[Working_Days]]</f>
        <v>3000</v>
      </c>
      <c r="K169" s="81">
        <f>Table11[[#This Row],[Forecasted_Units]]*0.1</f>
        <v>9.9271953775815103</v>
      </c>
      <c r="L169" s="82">
        <f>Table11[[#This Row],[Adjusted_Forecast]]+Table11[[#This Row],[Safety_Stock]]-Table11[[#This Row],[Inventory_On_Hand]]</f>
        <v>58.471102929211696</v>
      </c>
      <c r="M169" s="82">
        <f ca="1">MIN(Table11[[#This Row],[Production_Needed]],Table11[[#This Row],[Production_Capacity]])</f>
        <v>58.471102929211696</v>
      </c>
      <c r="N169" s="82">
        <f ca="1">MAX(Table11[[#This Row],[Production_Needed]]-Table11[[#This Row],[Planned_Production]],0)</f>
        <v>0</v>
      </c>
      <c r="O169" s="82">
        <f ca="1">Table11[[#This Row],[Inventory_On_Hand]]+Table11[[#This Row],[Planned_Production]]-Table11[[#This Row],[Forecasted_Units]]</f>
        <v>9.927195377581512</v>
      </c>
      <c r="P169" cm="1">
        <f t="array" ref="P169">_xlfn.XLOOKUP(Table11[[#This Row],[Date]] &amp; Table11[[#This Row],[Vehicle_Type]], Table12[Date] &amp; Table12[Vehicle_Type],Table12[Feedback_Adjustment], 0)</f>
        <v>0</v>
      </c>
      <c r="Q169" s="82">
        <f>Table11[[#This Row],[Forecasted_Units]]*(1+Table11[[#This Row],[Adjustment_Percentage]])</f>
        <v>99.271953775815092</v>
      </c>
      <c r="R169" s="82"/>
    </row>
    <row r="170" spans="1:18">
      <c r="A170" s="53">
        <v>47045</v>
      </c>
      <c r="B170" s="14" t="s">
        <v>10</v>
      </c>
      <c r="C170" s="15" t="str">
        <f>TEXT(Table11[[#This Row],[Date]],"mmmm")</f>
        <v>October</v>
      </c>
      <c r="D170" s="14">
        <v>112</v>
      </c>
      <c r="E170" s="82">
        <f>_xlfn.FORECAST.LINEAR(Table11[[#This Row],[Date]],Table11[Units_Sold],Table11[Date])</f>
        <v>99.27311797247188</v>
      </c>
      <c r="F170" cm="1">
        <f t="array" ref="F170">_xlfn.IFS(Table11[[#This Row],[Vehicle_Type]]="SUV",250,Table11[[#This Row],[Vehicle_Type]]="Sedan",200,Table11[[#This Row],[Vehicle_Type]]="Hatchback",185,Table11[[#This Row],[Vehicle_Type]]="Electric",190,Table11[[#This Row],[Vehicle_Type]]="Truck",150)</f>
        <v>200</v>
      </c>
      <c r="G170">
        <f t="shared" ca="1" si="2"/>
        <v>24</v>
      </c>
      <c r="H170" s="82">
        <f>Table11[[#This Row],[Daily_Production]]-Table11[[#This Row],[Forecasted_Units]]</f>
        <v>100.72688202752812</v>
      </c>
      <c r="I170" cm="1">
        <f t="array" ref="I170">_xlfn.IFS(Table11[[#This Row],[Vehicle_Type]]="SUV",5,Table11[[#This Row],[Vehicle_Type]]="Sedan",7,Table11[[#This Row],[Vehicle_Type]]="Hatchback",10,Table11[[#This Row],[Vehicle_Type]]="Electric",11,Table11[[#This Row],[Vehicle_Type]]="Truck",13)</f>
        <v>7</v>
      </c>
      <c r="J170">
        <f ca="1">Table11[[#This Row],[Daily_Production]]*Table11[[#This Row],[Working_Days]]</f>
        <v>4800</v>
      </c>
      <c r="K170" s="81">
        <f>Table11[[#This Row],[Forecasted_Units]]*0.1</f>
        <v>9.9273117972471887</v>
      </c>
      <c r="L170" s="82">
        <f>Table11[[#This Row],[Adjusted_Forecast]]+Table11[[#This Row],[Safety_Stock]]-Table11[[#This Row],[Inventory_On_Hand]]</f>
        <v>8.4735477421909451</v>
      </c>
      <c r="M170" s="82">
        <f ca="1">MIN(Table11[[#This Row],[Production_Needed]],Table11[[#This Row],[Production_Capacity]])</f>
        <v>8.4735477421909451</v>
      </c>
      <c r="N170" s="82">
        <f ca="1">MAX(Table11[[#This Row],[Production_Needed]]-Table11[[#This Row],[Planned_Production]],0)</f>
        <v>0</v>
      </c>
      <c r="O170" s="82">
        <f ca="1">Table11[[#This Row],[Inventory_On_Hand]]+Table11[[#This Row],[Planned_Production]]-Table11[[#This Row],[Forecasted_Units]]</f>
        <v>9.9273117972471852</v>
      </c>
      <c r="P170" cm="1">
        <f t="array" ref="P170">_xlfn.XLOOKUP(Table11[[#This Row],[Date]] &amp; Table11[[#This Row],[Vehicle_Type]], Table12[Date] &amp; Table12[Vehicle_Type],Table12[Feedback_Adjustment], 0)</f>
        <v>0</v>
      </c>
      <c r="Q170" s="82">
        <f>Table11[[#This Row],[Forecasted_Units]]*(1+Table11[[#This Row],[Adjustment_Percentage]])</f>
        <v>99.27311797247188</v>
      </c>
      <c r="R170" s="82"/>
    </row>
    <row r="171" spans="1:18">
      <c r="A171" s="54">
        <v>47075</v>
      </c>
      <c r="B171" s="15" t="s">
        <v>13</v>
      </c>
      <c r="C171" s="15" t="str">
        <f>TEXT(Table11[[#This Row],[Date]],"mmmm")</f>
        <v>November</v>
      </c>
      <c r="D171" s="15">
        <v>108</v>
      </c>
      <c r="E171" s="82">
        <f>_xlfn.FORECAST.LINEAR(Table11[[#This Row],[Date]],Table11[Units_Sold],Table11[Date])</f>
        <v>99.274282169128668</v>
      </c>
      <c r="F171" cm="1">
        <f t="array" ref="F171">_xlfn.IFS(Table11[[#This Row],[Vehicle_Type]]="SUV",250,Table11[[#This Row],[Vehicle_Type]]="Sedan",200,Table11[[#This Row],[Vehicle_Type]]="Hatchback",185,Table11[[#This Row],[Vehicle_Type]]="Electric",190,Table11[[#This Row],[Vehicle_Type]]="Truck",150)</f>
        <v>190</v>
      </c>
      <c r="G171">
        <f t="shared" ca="1" si="2"/>
        <v>20</v>
      </c>
      <c r="H171" s="82">
        <f>Table11[[#This Row],[Daily_Production]]-Table11[[#This Row],[Forecasted_Units]]</f>
        <v>90.725717830871332</v>
      </c>
      <c r="I171" cm="1">
        <f t="array" ref="I171">_xlfn.IFS(Table11[[#This Row],[Vehicle_Type]]="SUV",5,Table11[[#This Row],[Vehicle_Type]]="Sedan",7,Table11[[#This Row],[Vehicle_Type]]="Hatchback",10,Table11[[#This Row],[Vehicle_Type]]="Electric",11,Table11[[#This Row],[Vehicle_Type]]="Truck",13)</f>
        <v>11</v>
      </c>
      <c r="J171">
        <f ca="1">Table11[[#This Row],[Daily_Production]]*Table11[[#This Row],[Working_Days]]</f>
        <v>3800</v>
      </c>
      <c r="K171" s="81">
        <f>Table11[[#This Row],[Forecasted_Units]]*0.1</f>
        <v>9.9274282169128671</v>
      </c>
      <c r="L171" s="82">
        <f>Table11[[#This Row],[Adjusted_Forecast]]+Table11[[#This Row],[Safety_Stock]]-Table11[[#This Row],[Inventory_On_Hand]]</f>
        <v>18.475992555170208</v>
      </c>
      <c r="M171" s="82">
        <f ca="1">MIN(Table11[[#This Row],[Production_Needed]],Table11[[#This Row],[Production_Capacity]])</f>
        <v>18.475992555170208</v>
      </c>
      <c r="N171" s="82">
        <f ca="1">MAX(Table11[[#This Row],[Production_Needed]]-Table11[[#This Row],[Planned_Production]],0)</f>
        <v>0</v>
      </c>
      <c r="O171" s="82">
        <f ca="1">Table11[[#This Row],[Inventory_On_Hand]]+Table11[[#This Row],[Planned_Production]]-Table11[[#This Row],[Forecasted_Units]]</f>
        <v>9.9274282169128725</v>
      </c>
      <c r="P171" cm="1">
        <f t="array" ref="P171">_xlfn.XLOOKUP(Table11[[#This Row],[Date]] &amp; Table11[[#This Row],[Vehicle_Type]], Table12[Date] &amp; Table12[Vehicle_Type],Table12[Feedback_Adjustment], 0)</f>
        <v>0</v>
      </c>
      <c r="Q171" s="82">
        <f>Table11[[#This Row],[Forecasted_Units]]*(1+Table11[[#This Row],[Adjustment_Percentage]])</f>
        <v>99.274282169128668</v>
      </c>
      <c r="R171" s="82"/>
    </row>
    <row r="172" spans="1:18">
      <c r="A172" s="53">
        <v>47105</v>
      </c>
      <c r="B172" s="14" t="s">
        <v>12</v>
      </c>
      <c r="C172" s="15" t="str">
        <f>TEXT(Table11[[#This Row],[Date]],"mmmm")</f>
        <v>December</v>
      </c>
      <c r="D172" s="14">
        <v>85</v>
      </c>
      <c r="E172" s="82">
        <f>_xlfn.FORECAST.LINEAR(Table11[[#This Row],[Date]],Table11[Units_Sold],Table11[Date])</f>
        <v>99.275446365785456</v>
      </c>
      <c r="F172" cm="1">
        <f t="array" ref="F172">_xlfn.IFS(Table11[[#This Row],[Vehicle_Type]]="SUV",250,Table11[[#This Row],[Vehicle_Type]]="Sedan",200,Table11[[#This Row],[Vehicle_Type]]="Hatchback",185,Table11[[#This Row],[Vehicle_Type]]="Electric",190,Table11[[#This Row],[Vehicle_Type]]="Truck",150)</f>
        <v>250</v>
      </c>
      <c r="G172">
        <f t="shared" ca="1" si="2"/>
        <v>21</v>
      </c>
      <c r="H172" s="82">
        <f>Table11[[#This Row],[Daily_Production]]-Table11[[#This Row],[Forecasted_Units]]</f>
        <v>150.72455363421454</v>
      </c>
      <c r="I172" cm="1">
        <f t="array" ref="I172">_xlfn.IFS(Table11[[#This Row],[Vehicle_Type]]="SUV",5,Table11[[#This Row],[Vehicle_Type]]="Sedan",7,Table11[[#This Row],[Vehicle_Type]]="Hatchback",10,Table11[[#This Row],[Vehicle_Type]]="Electric",11,Table11[[#This Row],[Vehicle_Type]]="Truck",13)</f>
        <v>5</v>
      </c>
      <c r="J172">
        <f ca="1">Table11[[#This Row],[Daily_Production]]*Table11[[#This Row],[Working_Days]]</f>
        <v>5250</v>
      </c>
      <c r="K172" s="81">
        <f>Table11[[#This Row],[Forecasted_Units]]*0.1</f>
        <v>9.9275446365785456</v>
      </c>
      <c r="L172" s="82">
        <f>Table11[[#This Row],[Adjusted_Forecast]]+Table11[[#This Row],[Safety_Stock]]-Table11[[#This Row],[Inventory_On_Hand]]</f>
        <v>-41.521562631850543</v>
      </c>
      <c r="M172" s="82">
        <f ca="1">MIN(Table11[[#This Row],[Production_Needed]],Table11[[#This Row],[Production_Capacity]])</f>
        <v>-41.521562631850543</v>
      </c>
      <c r="N172" s="82">
        <f ca="1">MAX(Table11[[#This Row],[Production_Needed]]-Table11[[#This Row],[Planned_Production]],0)</f>
        <v>0</v>
      </c>
      <c r="O172" s="82">
        <f ca="1">Table11[[#This Row],[Inventory_On_Hand]]+Table11[[#This Row],[Planned_Production]]-Table11[[#This Row],[Forecasted_Units]]</f>
        <v>9.9275446365785456</v>
      </c>
      <c r="P172" cm="1">
        <f t="array" ref="P172">_xlfn.XLOOKUP(Table11[[#This Row],[Date]] &amp; Table11[[#This Row],[Vehicle_Type]], Table12[Date] &amp; Table12[Vehicle_Type],Table12[Feedback_Adjustment], 0)</f>
        <v>0</v>
      </c>
      <c r="Q172" s="82">
        <f>Table11[[#This Row],[Forecasted_Units]]*(1+Table11[[#This Row],[Adjustment_Percentage]])</f>
        <v>99.275446365785456</v>
      </c>
      <c r="R172" s="82"/>
    </row>
    <row r="173" spans="1:18">
      <c r="A173" s="54">
        <v>47135</v>
      </c>
      <c r="B173" s="15" t="s">
        <v>12</v>
      </c>
      <c r="C173" s="15" t="str">
        <f>TEXT(Table11[[#This Row],[Date]],"mmmm")</f>
        <v>January</v>
      </c>
      <c r="D173" s="15">
        <f>IF(ISBLANK(D126), P127, D126)</f>
        <v>87</v>
      </c>
      <c r="E173" s="82">
        <f>_xlfn.FORECAST.LINEAR(Table11[[#This Row],[Date]],Table11[Units_Sold],Table11[Date])</f>
        <v>99.276610562442244</v>
      </c>
      <c r="F173" cm="1">
        <f t="array" ref="F173">_xlfn.IFS(Table11[[#This Row],[Vehicle_Type]]="SUV",250,Table11[[#This Row],[Vehicle_Type]]="Sedan",200,Table11[[#This Row],[Vehicle_Type]]="Hatchback",185,Table11[[#This Row],[Vehicle_Type]]="Electric",190,Table11[[#This Row],[Vehicle_Type]]="Truck",150)</f>
        <v>250</v>
      </c>
      <c r="G173">
        <f t="shared" ca="1" si="2"/>
        <v>25</v>
      </c>
      <c r="H173" s="82">
        <f>Table11[[#This Row],[Daily_Production]]-Table11[[#This Row],[Forecasted_Units]]</f>
        <v>150.72338943755776</v>
      </c>
      <c r="I173" cm="1">
        <f t="array" ref="I173">_xlfn.IFS(Table11[[#This Row],[Vehicle_Type]]="SUV",5,Table11[[#This Row],[Vehicle_Type]]="Sedan",7,Table11[[#This Row],[Vehicle_Type]]="Hatchback",10,Table11[[#This Row],[Vehicle_Type]]="Electric",11,Table11[[#This Row],[Vehicle_Type]]="Truck",13)</f>
        <v>5</v>
      </c>
      <c r="J173">
        <f ca="1">Table11[[#This Row],[Daily_Production]]*Table11[[#This Row],[Working_Days]]</f>
        <v>6250</v>
      </c>
      <c r="K173" s="81">
        <f>Table11[[#This Row],[Forecasted_Units]]*0.1</f>
        <v>9.9276610562442258</v>
      </c>
      <c r="L173" s="82">
        <f>Table11[[#This Row],[Adjusted_Forecast]]+Table11[[#This Row],[Safety_Stock]]-Table11[[#This Row],[Inventory_On_Hand]]</f>
        <v>-41.51911781887128</v>
      </c>
      <c r="M173" s="82">
        <f ca="1">MIN(Table11[[#This Row],[Production_Needed]],Table11[[#This Row],[Production_Capacity]])</f>
        <v>-41.51911781887128</v>
      </c>
      <c r="N173" s="82">
        <f ca="1">MAX(Table11[[#This Row],[Production_Needed]]-Table11[[#This Row],[Planned_Production]],0)</f>
        <v>0</v>
      </c>
      <c r="O173" s="82">
        <f ca="1">Table11[[#This Row],[Inventory_On_Hand]]+Table11[[#This Row],[Planned_Production]]-Table11[[#This Row],[Forecasted_Units]]</f>
        <v>9.9276610562442329</v>
      </c>
      <c r="P173" cm="1">
        <f t="array" ref="P173">_xlfn.XLOOKUP(Table11[[#This Row],[Date]] &amp; Table11[[#This Row],[Vehicle_Type]], Table12[Date] &amp; Table12[Vehicle_Type],Table12[Feedback_Adjustment], 0)</f>
        <v>0</v>
      </c>
      <c r="Q173" s="82">
        <f>Table11[[#This Row],[Forecasted_Units]]*(1+Table11[[#This Row],[Adjustment_Percentage]])</f>
        <v>99.276610562442244</v>
      </c>
      <c r="R173" s="82"/>
    </row>
    <row r="174" spans="1:18">
      <c r="A174" s="53">
        <v>47165</v>
      </c>
      <c r="B174" s="14" t="s">
        <v>14</v>
      </c>
      <c r="C174" s="15" t="str">
        <f>TEXT(Table11[[#This Row],[Date]],"mmmm")</f>
        <v>February</v>
      </c>
      <c r="D174" s="14">
        <v>95</v>
      </c>
      <c r="E174" s="82">
        <f>_xlfn.FORECAST.LINEAR(Table11[[#This Row],[Date]],Table11[Units_Sold],Table11[Date])</f>
        <v>99.277774759099032</v>
      </c>
      <c r="F174" cm="1">
        <f t="array" ref="F174">_xlfn.IFS(Table11[[#This Row],[Vehicle_Type]]="SUV",250,Table11[[#This Row],[Vehicle_Type]]="Sedan",200,Table11[[#This Row],[Vehicle_Type]]="Hatchback",185,Table11[[#This Row],[Vehicle_Type]]="Electric",190,Table11[[#This Row],[Vehicle_Type]]="Truck",150)</f>
        <v>150</v>
      </c>
      <c r="G174">
        <f t="shared" ca="1" si="2"/>
        <v>20</v>
      </c>
      <c r="H174" s="82">
        <f>Table11[[#This Row],[Daily_Production]]-Table11[[#This Row],[Forecasted_Units]]</f>
        <v>50.722225240900968</v>
      </c>
      <c r="I174" cm="1">
        <f t="array" ref="I174">_xlfn.IFS(Table11[[#This Row],[Vehicle_Type]]="SUV",5,Table11[[#This Row],[Vehicle_Type]]="Sedan",7,Table11[[#This Row],[Vehicle_Type]]="Hatchback",10,Table11[[#This Row],[Vehicle_Type]]="Electric",11,Table11[[#This Row],[Vehicle_Type]]="Truck",13)</f>
        <v>13</v>
      </c>
      <c r="J174">
        <f ca="1">Table11[[#This Row],[Daily_Production]]*Table11[[#This Row],[Working_Days]]</f>
        <v>3000</v>
      </c>
      <c r="K174" s="81">
        <f>Table11[[#This Row],[Forecasted_Units]]*0.1</f>
        <v>9.9277774759099042</v>
      </c>
      <c r="L174" s="82">
        <f>Table11[[#This Row],[Adjusted_Forecast]]+Table11[[#This Row],[Safety_Stock]]-Table11[[#This Row],[Inventory_On_Hand]]</f>
        <v>58.483326994107969</v>
      </c>
      <c r="M174" s="82">
        <f ca="1">MIN(Table11[[#This Row],[Production_Needed]],Table11[[#This Row],[Production_Capacity]])</f>
        <v>58.483326994107969</v>
      </c>
      <c r="N174" s="82">
        <f ca="1">MAX(Table11[[#This Row],[Production_Needed]]-Table11[[#This Row],[Planned_Production]],0)</f>
        <v>0</v>
      </c>
      <c r="O174" s="82">
        <f ca="1">Table11[[#This Row],[Inventory_On_Hand]]+Table11[[#This Row],[Planned_Production]]-Table11[[#This Row],[Forecasted_Units]]</f>
        <v>9.927777475909906</v>
      </c>
      <c r="P174" cm="1">
        <f t="array" ref="P174">_xlfn.XLOOKUP(Table11[[#This Row],[Date]] &amp; Table11[[#This Row],[Vehicle_Type]], Table12[Date] &amp; Table12[Vehicle_Type],Table12[Feedback_Adjustment], 0)</f>
        <v>0</v>
      </c>
      <c r="Q174" s="82">
        <f>Table11[[#This Row],[Forecasted_Units]]*(1+Table11[[#This Row],[Adjustment_Percentage]])</f>
        <v>99.277774759099032</v>
      </c>
      <c r="R174" s="82"/>
    </row>
    <row r="175" spans="1:18">
      <c r="A175" s="54">
        <v>47195</v>
      </c>
      <c r="B175" s="15" t="s">
        <v>13</v>
      </c>
      <c r="C175" s="15" t="str">
        <f>TEXT(Table11[[#This Row],[Date]],"mmmm")</f>
        <v>March</v>
      </c>
      <c r="D175" s="15">
        <v>97</v>
      </c>
      <c r="E175" s="82">
        <f>_xlfn.FORECAST.LINEAR(Table11[[#This Row],[Date]],Table11[Units_Sold],Table11[Date])</f>
        <v>99.27893895575582</v>
      </c>
      <c r="F175" cm="1">
        <f t="array" ref="F175">_xlfn.IFS(Table11[[#This Row],[Vehicle_Type]]="SUV",250,Table11[[#This Row],[Vehicle_Type]]="Sedan",200,Table11[[#This Row],[Vehicle_Type]]="Hatchback",185,Table11[[#This Row],[Vehicle_Type]]="Electric",190,Table11[[#This Row],[Vehicle_Type]]="Truck",150)</f>
        <v>190</v>
      </c>
      <c r="G175">
        <f t="shared" ca="1" si="2"/>
        <v>20</v>
      </c>
      <c r="H175" s="82">
        <f>Table11[[#This Row],[Daily_Production]]-Table11[[#This Row],[Forecasted_Units]]</f>
        <v>90.72106104424418</v>
      </c>
      <c r="I175" cm="1">
        <f t="array" ref="I175">_xlfn.IFS(Table11[[#This Row],[Vehicle_Type]]="SUV",5,Table11[[#This Row],[Vehicle_Type]]="Sedan",7,Table11[[#This Row],[Vehicle_Type]]="Hatchback",10,Table11[[#This Row],[Vehicle_Type]]="Electric",11,Table11[[#This Row],[Vehicle_Type]]="Truck",13)</f>
        <v>11</v>
      </c>
      <c r="J175">
        <f ca="1">Table11[[#This Row],[Daily_Production]]*Table11[[#This Row],[Working_Days]]</f>
        <v>3800</v>
      </c>
      <c r="K175" s="81">
        <f>Table11[[#This Row],[Forecasted_Units]]*0.1</f>
        <v>9.9278938955755827</v>
      </c>
      <c r="L175" s="82">
        <f>Table11[[#This Row],[Adjusted_Forecast]]+Table11[[#This Row],[Safety_Stock]]-Table11[[#This Row],[Inventory_On_Hand]]</f>
        <v>18.485771807087218</v>
      </c>
      <c r="M175" s="82">
        <f ca="1">MIN(Table11[[#This Row],[Production_Needed]],Table11[[#This Row],[Production_Capacity]])</f>
        <v>18.485771807087218</v>
      </c>
      <c r="N175" s="82">
        <f ca="1">MAX(Table11[[#This Row],[Production_Needed]]-Table11[[#This Row],[Planned_Production]],0)</f>
        <v>0</v>
      </c>
      <c r="O175" s="82">
        <f ca="1">Table11[[#This Row],[Inventory_On_Hand]]+Table11[[#This Row],[Planned_Production]]-Table11[[#This Row],[Forecasted_Units]]</f>
        <v>9.9278938955755791</v>
      </c>
      <c r="P175" cm="1">
        <f t="array" ref="P175">_xlfn.XLOOKUP(Table11[[#This Row],[Date]] &amp; Table11[[#This Row],[Vehicle_Type]], Table12[Date] &amp; Table12[Vehicle_Type],Table12[Feedback_Adjustment], 0)</f>
        <v>0</v>
      </c>
      <c r="Q175" s="82">
        <f>Table11[[#This Row],[Forecasted_Units]]*(1+Table11[[#This Row],[Adjustment_Percentage]])</f>
        <v>99.27893895575582</v>
      </c>
      <c r="R175" s="82"/>
    </row>
    <row r="176" spans="1:18">
      <c r="A176" s="53">
        <v>47225</v>
      </c>
      <c r="B176" s="14" t="s">
        <v>12</v>
      </c>
      <c r="C176" s="15" t="str">
        <f>TEXT(Table11[[#This Row],[Date]],"mmmm")</f>
        <v>April</v>
      </c>
      <c r="D176" s="14">
        <v>116</v>
      </c>
      <c r="E176" s="82">
        <f>_xlfn.FORECAST.LINEAR(Table11[[#This Row],[Date]],Table11[Units_Sold],Table11[Date])</f>
        <v>99.280103152412607</v>
      </c>
      <c r="F176" cm="1">
        <f t="array" ref="F176">_xlfn.IFS(Table11[[#This Row],[Vehicle_Type]]="SUV",250,Table11[[#This Row],[Vehicle_Type]]="Sedan",200,Table11[[#This Row],[Vehicle_Type]]="Hatchback",185,Table11[[#This Row],[Vehicle_Type]]="Electric",190,Table11[[#This Row],[Vehicle_Type]]="Truck",150)</f>
        <v>250</v>
      </c>
      <c r="G176">
        <f t="shared" ca="1" si="2"/>
        <v>23</v>
      </c>
      <c r="H176" s="82">
        <f>Table11[[#This Row],[Daily_Production]]-Table11[[#This Row],[Forecasted_Units]]</f>
        <v>150.71989684758739</v>
      </c>
      <c r="I176" cm="1">
        <f t="array" ref="I176">_xlfn.IFS(Table11[[#This Row],[Vehicle_Type]]="SUV",5,Table11[[#This Row],[Vehicle_Type]]="Sedan",7,Table11[[#This Row],[Vehicle_Type]]="Hatchback",10,Table11[[#This Row],[Vehicle_Type]]="Electric",11,Table11[[#This Row],[Vehicle_Type]]="Truck",13)</f>
        <v>5</v>
      </c>
      <c r="J176">
        <f ca="1">Table11[[#This Row],[Daily_Production]]*Table11[[#This Row],[Working_Days]]</f>
        <v>5750</v>
      </c>
      <c r="K176" s="81">
        <f>Table11[[#This Row],[Forecasted_Units]]*0.1</f>
        <v>9.9280103152412611</v>
      </c>
      <c r="L176" s="82">
        <f>Table11[[#This Row],[Adjusted_Forecast]]+Table11[[#This Row],[Safety_Stock]]-Table11[[#This Row],[Inventory_On_Hand]]</f>
        <v>-41.511783379933519</v>
      </c>
      <c r="M176" s="82">
        <f ca="1">MIN(Table11[[#This Row],[Production_Needed]],Table11[[#This Row],[Production_Capacity]])</f>
        <v>-41.511783379933519</v>
      </c>
      <c r="N176" s="82">
        <f ca="1">MAX(Table11[[#This Row],[Production_Needed]]-Table11[[#This Row],[Planned_Production]],0)</f>
        <v>0</v>
      </c>
      <c r="O176" s="82">
        <f ca="1">Table11[[#This Row],[Inventory_On_Hand]]+Table11[[#This Row],[Planned_Production]]-Table11[[#This Row],[Forecasted_Units]]</f>
        <v>9.9280103152412664</v>
      </c>
      <c r="P176" cm="1">
        <f t="array" ref="P176">_xlfn.XLOOKUP(Table11[[#This Row],[Date]] &amp; Table11[[#This Row],[Vehicle_Type]], Table12[Date] &amp; Table12[Vehicle_Type],Table12[Feedback_Adjustment], 0)</f>
        <v>0</v>
      </c>
      <c r="Q176" s="82">
        <f>Table11[[#This Row],[Forecasted_Units]]*(1+Table11[[#This Row],[Adjustment_Percentage]])</f>
        <v>99.280103152412607</v>
      </c>
      <c r="R176" s="82"/>
    </row>
    <row r="177" spans="1:18">
      <c r="A177" s="54">
        <v>47255</v>
      </c>
      <c r="B177" s="15" t="s">
        <v>11</v>
      </c>
      <c r="C177" s="15" t="str">
        <f>TEXT(Table11[[#This Row],[Date]],"mmmm")</f>
        <v>May</v>
      </c>
      <c r="D177" s="15">
        <v>95</v>
      </c>
      <c r="E177" s="82">
        <f>_xlfn.FORECAST.LINEAR(Table11[[#This Row],[Date]],Table11[Units_Sold],Table11[Date])</f>
        <v>99.281267349069395</v>
      </c>
      <c r="F177" cm="1">
        <f t="array" ref="F177">_xlfn.IFS(Table11[[#This Row],[Vehicle_Type]]="SUV",250,Table11[[#This Row],[Vehicle_Type]]="Sedan",200,Table11[[#This Row],[Vehicle_Type]]="Hatchback",185,Table11[[#This Row],[Vehicle_Type]]="Electric",190,Table11[[#This Row],[Vehicle_Type]]="Truck",150)</f>
        <v>185</v>
      </c>
      <c r="G177">
        <f t="shared" ca="1" si="2"/>
        <v>24</v>
      </c>
      <c r="H177" s="82">
        <f>Table11[[#This Row],[Daily_Production]]-Table11[[#This Row],[Forecasted_Units]]</f>
        <v>85.718732650930605</v>
      </c>
      <c r="I177" cm="1">
        <f t="array" ref="I177">_xlfn.IFS(Table11[[#This Row],[Vehicle_Type]]="SUV",5,Table11[[#This Row],[Vehicle_Type]]="Sedan",7,Table11[[#This Row],[Vehicle_Type]]="Hatchback",10,Table11[[#This Row],[Vehicle_Type]]="Electric",11,Table11[[#This Row],[Vehicle_Type]]="Truck",13)</f>
        <v>10</v>
      </c>
      <c r="J177">
        <f ca="1">Table11[[#This Row],[Daily_Production]]*Table11[[#This Row],[Working_Days]]</f>
        <v>4440</v>
      </c>
      <c r="K177" s="81">
        <f>Table11[[#This Row],[Forecasted_Units]]*0.1</f>
        <v>9.9281267349069395</v>
      </c>
      <c r="L177" s="82">
        <f>Table11[[#This Row],[Adjusted_Forecast]]+Table11[[#This Row],[Safety_Stock]]-Table11[[#This Row],[Inventory_On_Hand]]</f>
        <v>23.49066143304573</v>
      </c>
      <c r="M177" s="82">
        <f ca="1">MIN(Table11[[#This Row],[Production_Needed]],Table11[[#This Row],[Production_Capacity]])</f>
        <v>23.49066143304573</v>
      </c>
      <c r="N177" s="82">
        <f ca="1">MAX(Table11[[#This Row],[Production_Needed]]-Table11[[#This Row],[Planned_Production]],0)</f>
        <v>0</v>
      </c>
      <c r="O177" s="82">
        <f ca="1">Table11[[#This Row],[Inventory_On_Hand]]+Table11[[#This Row],[Planned_Production]]-Table11[[#This Row],[Forecasted_Units]]</f>
        <v>9.9281267349069395</v>
      </c>
      <c r="P177" cm="1">
        <f t="array" ref="P177">_xlfn.XLOOKUP(Table11[[#This Row],[Date]] &amp; Table11[[#This Row],[Vehicle_Type]], Table12[Date] &amp; Table12[Vehicle_Type],Table12[Feedback_Adjustment], 0)</f>
        <v>0</v>
      </c>
      <c r="Q177" s="82">
        <f>Table11[[#This Row],[Forecasted_Units]]*(1+Table11[[#This Row],[Adjustment_Percentage]])</f>
        <v>99.281267349069395</v>
      </c>
      <c r="R177" s="82"/>
    </row>
    <row r="178" spans="1:18">
      <c r="A178" s="53">
        <v>47285</v>
      </c>
      <c r="B178" s="14" t="s">
        <v>13</v>
      </c>
      <c r="C178" s="15" t="str">
        <f>TEXT(Table11[[#This Row],[Date]],"mmmm")</f>
        <v>June</v>
      </c>
      <c r="D178" s="14">
        <v>123</v>
      </c>
      <c r="E178" s="82">
        <f>_xlfn.FORECAST.LINEAR(Table11[[#This Row],[Date]],Table11[Units_Sold],Table11[Date])</f>
        <v>99.282431545726183</v>
      </c>
      <c r="F178" cm="1">
        <f t="array" ref="F178">_xlfn.IFS(Table11[[#This Row],[Vehicle_Type]]="SUV",250,Table11[[#This Row],[Vehicle_Type]]="Sedan",200,Table11[[#This Row],[Vehicle_Type]]="Hatchback",185,Table11[[#This Row],[Vehicle_Type]]="Electric",190,Table11[[#This Row],[Vehicle_Type]]="Truck",150)</f>
        <v>190</v>
      </c>
      <c r="G178">
        <f t="shared" ca="1" si="2"/>
        <v>21</v>
      </c>
      <c r="H178" s="82">
        <f>Table11[[#This Row],[Daily_Production]]-Table11[[#This Row],[Forecasted_Units]]</f>
        <v>90.717568454273817</v>
      </c>
      <c r="I178" cm="1">
        <f t="array" ref="I178">_xlfn.IFS(Table11[[#This Row],[Vehicle_Type]]="SUV",5,Table11[[#This Row],[Vehicle_Type]]="Sedan",7,Table11[[#This Row],[Vehicle_Type]]="Hatchback",10,Table11[[#This Row],[Vehicle_Type]]="Electric",11,Table11[[#This Row],[Vehicle_Type]]="Truck",13)</f>
        <v>11</v>
      </c>
      <c r="J178">
        <f ca="1">Table11[[#This Row],[Daily_Production]]*Table11[[#This Row],[Working_Days]]</f>
        <v>3990</v>
      </c>
      <c r="K178" s="81">
        <f>Table11[[#This Row],[Forecasted_Units]]*0.1</f>
        <v>9.9282431545726197</v>
      </c>
      <c r="L178" s="82">
        <f>Table11[[#This Row],[Adjusted_Forecast]]+Table11[[#This Row],[Safety_Stock]]-Table11[[#This Row],[Inventory_On_Hand]]</f>
        <v>18.493106246024979</v>
      </c>
      <c r="M178" s="82">
        <f ca="1">MIN(Table11[[#This Row],[Production_Needed]],Table11[[#This Row],[Production_Capacity]])</f>
        <v>18.493106246024979</v>
      </c>
      <c r="N178" s="82">
        <f ca="1">MAX(Table11[[#This Row],[Production_Needed]]-Table11[[#This Row],[Planned_Production]],0)</f>
        <v>0</v>
      </c>
      <c r="O178" s="82">
        <f ca="1">Table11[[#This Row],[Inventory_On_Hand]]+Table11[[#This Row],[Planned_Production]]-Table11[[#This Row],[Forecasted_Units]]</f>
        <v>9.9282431545726126</v>
      </c>
      <c r="P178" cm="1">
        <f t="array" ref="P178">_xlfn.XLOOKUP(Table11[[#This Row],[Date]] &amp; Table11[[#This Row],[Vehicle_Type]], Table12[Date] &amp; Table12[Vehicle_Type],Table12[Feedback_Adjustment], 0)</f>
        <v>0</v>
      </c>
      <c r="Q178" s="82">
        <f>Table11[[#This Row],[Forecasted_Units]]*(1+Table11[[#This Row],[Adjustment_Percentage]])</f>
        <v>99.282431545726183</v>
      </c>
      <c r="R178" s="82"/>
    </row>
    <row r="179" spans="1:18">
      <c r="A179" s="54">
        <v>47315</v>
      </c>
      <c r="B179" s="15" t="s">
        <v>13</v>
      </c>
      <c r="C179" s="15" t="str">
        <f>TEXT(Table11[[#This Row],[Date]],"mmmm")</f>
        <v>July</v>
      </c>
      <c r="D179" s="15">
        <v>104</v>
      </c>
      <c r="E179" s="82">
        <f>_xlfn.FORECAST.LINEAR(Table11[[#This Row],[Date]],Table11[Units_Sold],Table11[Date])</f>
        <v>99.283595742382957</v>
      </c>
      <c r="F179" cm="1">
        <f t="array" ref="F179">_xlfn.IFS(Table11[[#This Row],[Vehicle_Type]]="SUV",250,Table11[[#This Row],[Vehicle_Type]]="Sedan",200,Table11[[#This Row],[Vehicle_Type]]="Hatchback",185,Table11[[#This Row],[Vehicle_Type]]="Electric",190,Table11[[#This Row],[Vehicle_Type]]="Truck",150)</f>
        <v>190</v>
      </c>
      <c r="G179">
        <f t="shared" ca="1" si="2"/>
        <v>21</v>
      </c>
      <c r="H179" s="82">
        <f>Table11[[#This Row],[Daily_Production]]-Table11[[#This Row],[Forecasted_Units]]</f>
        <v>90.716404257617043</v>
      </c>
      <c r="I179" cm="1">
        <f t="array" ref="I179">_xlfn.IFS(Table11[[#This Row],[Vehicle_Type]]="SUV",5,Table11[[#This Row],[Vehicle_Type]]="Sedan",7,Table11[[#This Row],[Vehicle_Type]]="Hatchback",10,Table11[[#This Row],[Vehicle_Type]]="Electric",11,Table11[[#This Row],[Vehicle_Type]]="Truck",13)</f>
        <v>11</v>
      </c>
      <c r="J179">
        <f ca="1">Table11[[#This Row],[Daily_Production]]*Table11[[#This Row],[Working_Days]]</f>
        <v>3990</v>
      </c>
      <c r="K179" s="81">
        <f>Table11[[#This Row],[Forecasted_Units]]*0.1</f>
        <v>9.9283595742382964</v>
      </c>
      <c r="L179" s="82">
        <f>Table11[[#This Row],[Adjusted_Forecast]]+Table11[[#This Row],[Safety_Stock]]-Table11[[#This Row],[Inventory_On_Hand]]</f>
        <v>18.495551059004214</v>
      </c>
      <c r="M179" s="82">
        <f ca="1">MIN(Table11[[#This Row],[Production_Needed]],Table11[[#This Row],[Production_Capacity]])</f>
        <v>18.495551059004214</v>
      </c>
      <c r="N179" s="82">
        <f ca="1">MAX(Table11[[#This Row],[Production_Needed]]-Table11[[#This Row],[Planned_Production]],0)</f>
        <v>0</v>
      </c>
      <c r="O179" s="82">
        <f ca="1">Table11[[#This Row],[Inventory_On_Hand]]+Table11[[#This Row],[Planned_Production]]-Table11[[#This Row],[Forecasted_Units]]</f>
        <v>9.9283595742383</v>
      </c>
      <c r="P179" cm="1">
        <f t="array" ref="P179">_xlfn.XLOOKUP(Table11[[#This Row],[Date]] &amp; Table11[[#This Row],[Vehicle_Type]], Table12[Date] &amp; Table12[Vehicle_Type],Table12[Feedback_Adjustment], 0)</f>
        <v>0</v>
      </c>
      <c r="Q179" s="82">
        <f>Table11[[#This Row],[Forecasted_Units]]*(1+Table11[[#This Row],[Adjustment_Percentage]])</f>
        <v>99.283595742382957</v>
      </c>
      <c r="R179" s="82"/>
    </row>
    <row r="180" spans="1:18">
      <c r="A180" s="53">
        <v>47345</v>
      </c>
      <c r="B180" s="14" t="s">
        <v>14</v>
      </c>
      <c r="C180" s="15" t="str">
        <f>TEXT(Table11[[#This Row],[Date]],"mmmm")</f>
        <v>August</v>
      </c>
      <c r="D180" s="14">
        <v>94</v>
      </c>
      <c r="E180" s="82">
        <f>_xlfn.FORECAST.LINEAR(Table11[[#This Row],[Date]],Table11[Units_Sold],Table11[Date])</f>
        <v>99.284759939039745</v>
      </c>
      <c r="F180" cm="1">
        <f t="array" ref="F180">_xlfn.IFS(Table11[[#This Row],[Vehicle_Type]]="SUV",250,Table11[[#This Row],[Vehicle_Type]]="Sedan",200,Table11[[#This Row],[Vehicle_Type]]="Hatchback",185,Table11[[#This Row],[Vehicle_Type]]="Electric",190,Table11[[#This Row],[Vehicle_Type]]="Truck",150)</f>
        <v>150</v>
      </c>
      <c r="G180">
        <f t="shared" ca="1" si="2"/>
        <v>20</v>
      </c>
      <c r="H180" s="82">
        <f>Table11[[#This Row],[Daily_Production]]-Table11[[#This Row],[Forecasted_Units]]</f>
        <v>50.715240060960255</v>
      </c>
      <c r="I180" cm="1">
        <f t="array" ref="I180">_xlfn.IFS(Table11[[#This Row],[Vehicle_Type]]="SUV",5,Table11[[#This Row],[Vehicle_Type]]="Sedan",7,Table11[[#This Row],[Vehicle_Type]]="Hatchback",10,Table11[[#This Row],[Vehicle_Type]]="Electric",11,Table11[[#This Row],[Vehicle_Type]]="Truck",13)</f>
        <v>13</v>
      </c>
      <c r="J180">
        <f ca="1">Table11[[#This Row],[Daily_Production]]*Table11[[#This Row],[Working_Days]]</f>
        <v>3000</v>
      </c>
      <c r="K180" s="81">
        <f>Table11[[#This Row],[Forecasted_Units]]*0.1</f>
        <v>9.9284759939039748</v>
      </c>
      <c r="L180" s="82">
        <f>Table11[[#This Row],[Adjusted_Forecast]]+Table11[[#This Row],[Safety_Stock]]-Table11[[#This Row],[Inventory_On_Hand]]</f>
        <v>58.497995871983463</v>
      </c>
      <c r="M180" s="82">
        <f ca="1">MIN(Table11[[#This Row],[Production_Needed]],Table11[[#This Row],[Production_Capacity]])</f>
        <v>58.497995871983463</v>
      </c>
      <c r="N180" s="82">
        <f ca="1">MAX(Table11[[#This Row],[Production_Needed]]-Table11[[#This Row],[Planned_Production]],0)</f>
        <v>0</v>
      </c>
      <c r="O180" s="82">
        <f ca="1">Table11[[#This Row],[Inventory_On_Hand]]+Table11[[#This Row],[Planned_Production]]-Table11[[#This Row],[Forecasted_Units]]</f>
        <v>9.9284759939039731</v>
      </c>
      <c r="P180" cm="1">
        <f t="array" ref="P180">_xlfn.XLOOKUP(Table11[[#This Row],[Date]] &amp; Table11[[#This Row],[Vehicle_Type]], Table12[Date] &amp; Table12[Vehicle_Type],Table12[Feedback_Adjustment], 0)</f>
        <v>0</v>
      </c>
      <c r="Q180" s="82">
        <f>Table11[[#This Row],[Forecasted_Units]]*(1+Table11[[#This Row],[Adjustment_Percentage]])</f>
        <v>99.284759939039745</v>
      </c>
      <c r="R180" s="82"/>
    </row>
    <row r="181" spans="1:18">
      <c r="A181" s="54">
        <v>47375</v>
      </c>
      <c r="B181" s="15" t="s">
        <v>12</v>
      </c>
      <c r="C181" s="15" t="str">
        <f>TEXT(Table11[[#This Row],[Date]],"mmmm")</f>
        <v>September</v>
      </c>
      <c r="D181" s="15">
        <v>105</v>
      </c>
      <c r="E181" s="82">
        <f>_xlfn.FORECAST.LINEAR(Table11[[#This Row],[Date]],Table11[Units_Sold],Table11[Date])</f>
        <v>99.285924135696533</v>
      </c>
      <c r="F181" cm="1">
        <f t="array" ref="F181">_xlfn.IFS(Table11[[#This Row],[Vehicle_Type]]="SUV",250,Table11[[#This Row],[Vehicle_Type]]="Sedan",200,Table11[[#This Row],[Vehicle_Type]]="Hatchback",185,Table11[[#This Row],[Vehicle_Type]]="Electric",190,Table11[[#This Row],[Vehicle_Type]]="Truck",150)</f>
        <v>250</v>
      </c>
      <c r="G181">
        <f t="shared" ca="1" si="2"/>
        <v>24</v>
      </c>
      <c r="H181" s="82">
        <f>Table11[[#This Row],[Daily_Production]]-Table11[[#This Row],[Forecasted_Units]]</f>
        <v>150.71407586430348</v>
      </c>
      <c r="I181" cm="1">
        <f t="array" ref="I181">_xlfn.IFS(Table11[[#This Row],[Vehicle_Type]]="SUV",5,Table11[[#This Row],[Vehicle_Type]]="Sedan",7,Table11[[#This Row],[Vehicle_Type]]="Hatchback",10,Table11[[#This Row],[Vehicle_Type]]="Electric",11,Table11[[#This Row],[Vehicle_Type]]="Truck",13)</f>
        <v>5</v>
      </c>
      <c r="J181">
        <f ca="1">Table11[[#This Row],[Daily_Production]]*Table11[[#This Row],[Working_Days]]</f>
        <v>6000</v>
      </c>
      <c r="K181" s="81">
        <f>Table11[[#This Row],[Forecasted_Units]]*0.1</f>
        <v>9.9285924135696533</v>
      </c>
      <c r="L181" s="82">
        <f>Table11[[#This Row],[Adjusted_Forecast]]+Table11[[#This Row],[Safety_Stock]]-Table11[[#This Row],[Inventory_On_Hand]]</f>
        <v>-41.499559315037288</v>
      </c>
      <c r="M181" s="82">
        <f ca="1">MIN(Table11[[#This Row],[Production_Needed]],Table11[[#This Row],[Production_Capacity]])</f>
        <v>-41.499559315037288</v>
      </c>
      <c r="N181" s="82">
        <f ca="1">MAX(Table11[[#This Row],[Production_Needed]]-Table11[[#This Row],[Planned_Production]],0)</f>
        <v>0</v>
      </c>
      <c r="O181" s="82">
        <f ca="1">Table11[[#This Row],[Inventory_On_Hand]]+Table11[[#This Row],[Planned_Production]]-Table11[[#This Row],[Forecasted_Units]]</f>
        <v>9.9285924135696604</v>
      </c>
      <c r="P181" cm="1">
        <f t="array" ref="P181">_xlfn.XLOOKUP(Table11[[#This Row],[Date]] &amp; Table11[[#This Row],[Vehicle_Type]], Table12[Date] &amp; Table12[Vehicle_Type],Table12[Feedback_Adjustment], 0)</f>
        <v>0</v>
      </c>
      <c r="Q181" s="82">
        <f>Table11[[#This Row],[Forecasted_Units]]*(1+Table11[[#This Row],[Adjustment_Percentage]])</f>
        <v>99.285924135696533</v>
      </c>
      <c r="R181" s="82"/>
    </row>
    <row r="182" spans="1:18">
      <c r="A182" s="53">
        <v>47405</v>
      </c>
      <c r="B182" s="14" t="s">
        <v>13</v>
      </c>
      <c r="C182" s="15" t="str">
        <f>TEXT(Table11[[#This Row],[Date]],"mmmm")</f>
        <v>October</v>
      </c>
      <c r="D182" s="14">
        <v>109</v>
      </c>
      <c r="E182" s="82">
        <f>_xlfn.FORECAST.LINEAR(Table11[[#This Row],[Date]],Table11[Units_Sold],Table11[Date])</f>
        <v>99.287088332353321</v>
      </c>
      <c r="F182" cm="1">
        <f t="array" ref="F182">_xlfn.IFS(Table11[[#This Row],[Vehicle_Type]]="SUV",250,Table11[[#This Row],[Vehicle_Type]]="Sedan",200,Table11[[#This Row],[Vehicle_Type]]="Hatchback",185,Table11[[#This Row],[Vehicle_Type]]="Electric",190,Table11[[#This Row],[Vehicle_Type]]="Truck",150)</f>
        <v>190</v>
      </c>
      <c r="G182">
        <f t="shared" ca="1" si="2"/>
        <v>25</v>
      </c>
      <c r="H182" s="82">
        <f>Table11[[#This Row],[Daily_Production]]-Table11[[#This Row],[Forecasted_Units]]</f>
        <v>90.712911667646679</v>
      </c>
      <c r="I182" cm="1">
        <f t="array" ref="I182">_xlfn.IFS(Table11[[#This Row],[Vehicle_Type]]="SUV",5,Table11[[#This Row],[Vehicle_Type]]="Sedan",7,Table11[[#This Row],[Vehicle_Type]]="Hatchback",10,Table11[[#This Row],[Vehicle_Type]]="Electric",11,Table11[[#This Row],[Vehicle_Type]]="Truck",13)</f>
        <v>11</v>
      </c>
      <c r="J182">
        <f ca="1">Table11[[#This Row],[Daily_Production]]*Table11[[#This Row],[Working_Days]]</f>
        <v>4750</v>
      </c>
      <c r="K182" s="81">
        <f>Table11[[#This Row],[Forecasted_Units]]*0.1</f>
        <v>9.9287088332353335</v>
      </c>
      <c r="L182" s="82">
        <f>Table11[[#This Row],[Adjusted_Forecast]]+Table11[[#This Row],[Safety_Stock]]-Table11[[#This Row],[Inventory_On_Hand]]</f>
        <v>18.502885497941975</v>
      </c>
      <c r="M182" s="82">
        <f ca="1">MIN(Table11[[#This Row],[Production_Needed]],Table11[[#This Row],[Production_Capacity]])</f>
        <v>18.502885497941975</v>
      </c>
      <c r="N182" s="82">
        <f ca="1">MAX(Table11[[#This Row],[Production_Needed]]-Table11[[#This Row],[Planned_Production]],0)</f>
        <v>0</v>
      </c>
      <c r="O182" s="82">
        <f ca="1">Table11[[#This Row],[Inventory_On_Hand]]+Table11[[#This Row],[Planned_Production]]-Table11[[#This Row],[Forecasted_Units]]</f>
        <v>9.9287088332353335</v>
      </c>
      <c r="P182" cm="1">
        <f t="array" ref="P182">_xlfn.XLOOKUP(Table11[[#This Row],[Date]] &amp; Table11[[#This Row],[Vehicle_Type]], Table12[Date] &amp; Table12[Vehicle_Type],Table12[Feedback_Adjustment], 0)</f>
        <v>0</v>
      </c>
      <c r="Q182" s="82">
        <f>Table11[[#This Row],[Forecasted_Units]]*(1+Table11[[#This Row],[Adjustment_Percentage]])</f>
        <v>99.287088332353321</v>
      </c>
      <c r="R182" s="82"/>
    </row>
    <row r="183" spans="1:18">
      <c r="A183" s="54">
        <v>47435</v>
      </c>
      <c r="B183" s="15" t="s">
        <v>12</v>
      </c>
      <c r="C183" s="15" t="str">
        <f>TEXT(Table11[[#This Row],[Date]],"mmmm")</f>
        <v>November</v>
      </c>
      <c r="D183" s="15">
        <v>84</v>
      </c>
      <c r="E183" s="82">
        <f>_xlfn.FORECAST.LINEAR(Table11[[#This Row],[Date]],Table11[Units_Sold],Table11[Date])</f>
        <v>99.288252529010109</v>
      </c>
      <c r="F183" cm="1">
        <f t="array" ref="F183">_xlfn.IFS(Table11[[#This Row],[Vehicle_Type]]="SUV",250,Table11[[#This Row],[Vehicle_Type]]="Sedan",200,Table11[[#This Row],[Vehicle_Type]]="Hatchback",185,Table11[[#This Row],[Vehicle_Type]]="Electric",190,Table11[[#This Row],[Vehicle_Type]]="Truck",150)</f>
        <v>250</v>
      </c>
      <c r="G183">
        <f t="shared" ca="1" si="2"/>
        <v>25</v>
      </c>
      <c r="H183" s="82">
        <f>Table11[[#This Row],[Daily_Production]]-Table11[[#This Row],[Forecasted_Units]]</f>
        <v>150.71174747098991</v>
      </c>
      <c r="I183" cm="1">
        <f t="array" ref="I183">_xlfn.IFS(Table11[[#This Row],[Vehicle_Type]]="SUV",5,Table11[[#This Row],[Vehicle_Type]]="Sedan",7,Table11[[#This Row],[Vehicle_Type]]="Hatchback",10,Table11[[#This Row],[Vehicle_Type]]="Electric",11,Table11[[#This Row],[Vehicle_Type]]="Truck",13)</f>
        <v>5</v>
      </c>
      <c r="J183">
        <f ca="1">Table11[[#This Row],[Daily_Production]]*Table11[[#This Row],[Working_Days]]</f>
        <v>6250</v>
      </c>
      <c r="K183" s="81">
        <f>Table11[[#This Row],[Forecasted_Units]]*0.1</f>
        <v>9.9288252529010119</v>
      </c>
      <c r="L183" s="82">
        <f>Table11[[#This Row],[Adjusted_Forecast]]+Table11[[#This Row],[Safety_Stock]]-Table11[[#This Row],[Inventory_On_Hand]]</f>
        <v>-41.49466968907879</v>
      </c>
      <c r="M183" s="82">
        <f ca="1">MIN(Table11[[#This Row],[Production_Needed]],Table11[[#This Row],[Production_Capacity]])</f>
        <v>-41.49466968907879</v>
      </c>
      <c r="N183" s="82">
        <f ca="1">MAX(Table11[[#This Row],[Production_Needed]]-Table11[[#This Row],[Planned_Production]],0)</f>
        <v>0</v>
      </c>
      <c r="O183" s="82">
        <f ca="1">Table11[[#This Row],[Inventory_On_Hand]]+Table11[[#This Row],[Planned_Production]]-Table11[[#This Row],[Forecasted_Units]]</f>
        <v>9.9288252529010066</v>
      </c>
      <c r="P183" cm="1">
        <f t="array" ref="P183">_xlfn.XLOOKUP(Table11[[#This Row],[Date]] &amp; Table11[[#This Row],[Vehicle_Type]], Table12[Date] &amp; Table12[Vehicle_Type],Table12[Feedback_Adjustment], 0)</f>
        <v>0</v>
      </c>
      <c r="Q183" s="82">
        <f>Table11[[#This Row],[Forecasted_Units]]*(1+Table11[[#This Row],[Adjustment_Percentage]])</f>
        <v>99.288252529010109</v>
      </c>
      <c r="R183" s="82"/>
    </row>
    <row r="184" spans="1:18">
      <c r="A184" s="53">
        <v>47465</v>
      </c>
      <c r="B184" s="14" t="s">
        <v>11</v>
      </c>
      <c r="C184" s="15" t="str">
        <f>TEXT(Table11[[#This Row],[Date]],"mmmm")</f>
        <v>December</v>
      </c>
      <c r="D184" s="14">
        <v>79</v>
      </c>
      <c r="E184" s="82">
        <f>_xlfn.FORECAST.LINEAR(Table11[[#This Row],[Date]],Table11[Units_Sold],Table11[Date])</f>
        <v>99.289416725666896</v>
      </c>
      <c r="F184" cm="1">
        <f t="array" ref="F184">_xlfn.IFS(Table11[[#This Row],[Vehicle_Type]]="SUV",250,Table11[[#This Row],[Vehicle_Type]]="Sedan",200,Table11[[#This Row],[Vehicle_Type]]="Hatchback",185,Table11[[#This Row],[Vehicle_Type]]="Electric",190,Table11[[#This Row],[Vehicle_Type]]="Truck",150)</f>
        <v>185</v>
      </c>
      <c r="G184">
        <f t="shared" ca="1" si="2"/>
        <v>23</v>
      </c>
      <c r="H184" s="82">
        <f>Table11[[#This Row],[Daily_Production]]-Table11[[#This Row],[Forecasted_Units]]</f>
        <v>85.710583274333104</v>
      </c>
      <c r="I184" cm="1">
        <f t="array" ref="I184">_xlfn.IFS(Table11[[#This Row],[Vehicle_Type]]="SUV",5,Table11[[#This Row],[Vehicle_Type]]="Sedan",7,Table11[[#This Row],[Vehicle_Type]]="Hatchback",10,Table11[[#This Row],[Vehicle_Type]]="Electric",11,Table11[[#This Row],[Vehicle_Type]]="Truck",13)</f>
        <v>10</v>
      </c>
      <c r="J184">
        <f ca="1">Table11[[#This Row],[Daily_Production]]*Table11[[#This Row],[Working_Days]]</f>
        <v>4255</v>
      </c>
      <c r="K184" s="81">
        <f>Table11[[#This Row],[Forecasted_Units]]*0.1</f>
        <v>9.9289416725666904</v>
      </c>
      <c r="L184" s="82">
        <f>Table11[[#This Row],[Adjusted_Forecast]]+Table11[[#This Row],[Safety_Stock]]-Table11[[#This Row],[Inventory_On_Hand]]</f>
        <v>23.507775123900487</v>
      </c>
      <c r="M184" s="82">
        <f ca="1">MIN(Table11[[#This Row],[Production_Needed]],Table11[[#This Row],[Production_Capacity]])</f>
        <v>23.507775123900487</v>
      </c>
      <c r="N184" s="82">
        <f ca="1">MAX(Table11[[#This Row],[Production_Needed]]-Table11[[#This Row],[Planned_Production]],0)</f>
        <v>0</v>
      </c>
      <c r="O184" s="82">
        <f ca="1">Table11[[#This Row],[Inventory_On_Hand]]+Table11[[#This Row],[Planned_Production]]-Table11[[#This Row],[Forecasted_Units]]</f>
        <v>9.9289416725666939</v>
      </c>
      <c r="P184" cm="1">
        <f t="array" ref="P184">_xlfn.XLOOKUP(Table11[[#This Row],[Date]] &amp; Table11[[#This Row],[Vehicle_Type]], Table12[Date] &amp; Table12[Vehicle_Type],Table12[Feedback_Adjustment], 0)</f>
        <v>0</v>
      </c>
      <c r="Q184" s="82">
        <f>Table11[[#This Row],[Forecasted_Units]]*(1+Table11[[#This Row],[Adjustment_Percentage]])</f>
        <v>99.289416725666896</v>
      </c>
      <c r="R184" s="82"/>
    </row>
    <row r="185" spans="1:18">
      <c r="A185" s="54">
        <v>47495</v>
      </c>
      <c r="B185" s="15" t="s">
        <v>14</v>
      </c>
      <c r="C185" s="15" t="str">
        <f>TEXT(Table11[[#This Row],[Date]],"mmmm")</f>
        <v>January</v>
      </c>
      <c r="D185" s="15">
        <v>98</v>
      </c>
      <c r="E185" s="82">
        <f>_xlfn.FORECAST.LINEAR(Table11[[#This Row],[Date]],Table11[Units_Sold],Table11[Date])</f>
        <v>99.290580922323684</v>
      </c>
      <c r="F185" cm="1">
        <f t="array" ref="F185">_xlfn.IFS(Table11[[#This Row],[Vehicle_Type]]="SUV",250,Table11[[#This Row],[Vehicle_Type]]="Sedan",200,Table11[[#This Row],[Vehicle_Type]]="Hatchback",185,Table11[[#This Row],[Vehicle_Type]]="Electric",190,Table11[[#This Row],[Vehicle_Type]]="Truck",150)</f>
        <v>150</v>
      </c>
      <c r="G185">
        <f t="shared" ca="1" si="2"/>
        <v>20</v>
      </c>
      <c r="H185" s="82">
        <f>Table11[[#This Row],[Daily_Production]]-Table11[[#This Row],[Forecasted_Units]]</f>
        <v>50.709419077676316</v>
      </c>
      <c r="I185" cm="1">
        <f t="array" ref="I185">_xlfn.IFS(Table11[[#This Row],[Vehicle_Type]]="SUV",5,Table11[[#This Row],[Vehicle_Type]]="Sedan",7,Table11[[#This Row],[Vehicle_Type]]="Hatchback",10,Table11[[#This Row],[Vehicle_Type]]="Electric",11,Table11[[#This Row],[Vehicle_Type]]="Truck",13)</f>
        <v>13</v>
      </c>
      <c r="J185">
        <f ca="1">Table11[[#This Row],[Daily_Production]]*Table11[[#This Row],[Working_Days]]</f>
        <v>3000</v>
      </c>
      <c r="K185" s="81">
        <f>Table11[[#This Row],[Forecasted_Units]]*0.1</f>
        <v>9.9290580922323688</v>
      </c>
      <c r="L185" s="82">
        <f>Table11[[#This Row],[Adjusted_Forecast]]+Table11[[#This Row],[Safety_Stock]]-Table11[[#This Row],[Inventory_On_Hand]]</f>
        <v>58.510219936879736</v>
      </c>
      <c r="M185" s="82">
        <f ca="1">MIN(Table11[[#This Row],[Production_Needed]],Table11[[#This Row],[Production_Capacity]])</f>
        <v>58.510219936879736</v>
      </c>
      <c r="N185" s="82">
        <f ca="1">MAX(Table11[[#This Row],[Production_Needed]]-Table11[[#This Row],[Planned_Production]],0)</f>
        <v>0</v>
      </c>
      <c r="O185" s="82">
        <f ca="1">Table11[[#This Row],[Inventory_On_Hand]]+Table11[[#This Row],[Planned_Production]]-Table11[[#This Row],[Forecasted_Units]]</f>
        <v>9.929058092232367</v>
      </c>
      <c r="P185" cm="1">
        <f t="array" ref="P185">_xlfn.XLOOKUP(Table11[[#This Row],[Date]] &amp; Table11[[#This Row],[Vehicle_Type]], Table12[Date] &amp; Table12[Vehicle_Type],Table12[Feedback_Adjustment], 0)</f>
        <v>0</v>
      </c>
      <c r="Q185" s="82">
        <f>Table11[[#This Row],[Forecasted_Units]]*(1+Table11[[#This Row],[Adjustment_Percentage]])</f>
        <v>99.290580922323684</v>
      </c>
      <c r="R185" s="82"/>
    </row>
    <row r="186" spans="1:18">
      <c r="A186" s="53">
        <v>47525</v>
      </c>
      <c r="B186" s="14" t="s">
        <v>11</v>
      </c>
      <c r="C186" s="15" t="str">
        <f>TEXT(Table11[[#This Row],[Date]],"mmmm")</f>
        <v>February</v>
      </c>
      <c r="D186" s="14">
        <v>96</v>
      </c>
      <c r="E186" s="82">
        <f>_xlfn.FORECAST.LINEAR(Table11[[#This Row],[Date]],Table11[Units_Sold],Table11[Date])</f>
        <v>99.291745118980472</v>
      </c>
      <c r="F186" cm="1">
        <f t="array" ref="F186">_xlfn.IFS(Table11[[#This Row],[Vehicle_Type]]="SUV",250,Table11[[#This Row],[Vehicle_Type]]="Sedan",200,Table11[[#This Row],[Vehicle_Type]]="Hatchback",185,Table11[[#This Row],[Vehicle_Type]]="Electric",190,Table11[[#This Row],[Vehicle_Type]]="Truck",150)</f>
        <v>185</v>
      </c>
      <c r="G186">
        <f t="shared" ca="1" si="2"/>
        <v>25</v>
      </c>
      <c r="H186" s="82">
        <f>Table11[[#This Row],[Daily_Production]]-Table11[[#This Row],[Forecasted_Units]]</f>
        <v>85.708254881019528</v>
      </c>
      <c r="I186" cm="1">
        <f t="array" ref="I186">_xlfn.IFS(Table11[[#This Row],[Vehicle_Type]]="SUV",5,Table11[[#This Row],[Vehicle_Type]]="Sedan",7,Table11[[#This Row],[Vehicle_Type]]="Hatchback",10,Table11[[#This Row],[Vehicle_Type]]="Electric",11,Table11[[#This Row],[Vehicle_Type]]="Truck",13)</f>
        <v>10</v>
      </c>
      <c r="J186">
        <f ca="1">Table11[[#This Row],[Daily_Production]]*Table11[[#This Row],[Working_Days]]</f>
        <v>4625</v>
      </c>
      <c r="K186" s="81">
        <f>Table11[[#This Row],[Forecasted_Units]]*0.1</f>
        <v>9.9291745118980472</v>
      </c>
      <c r="L186" s="82">
        <f>Table11[[#This Row],[Adjusted_Forecast]]+Table11[[#This Row],[Safety_Stock]]-Table11[[#This Row],[Inventory_On_Hand]]</f>
        <v>23.512664749858985</v>
      </c>
      <c r="M186" s="82">
        <f ca="1">MIN(Table11[[#This Row],[Production_Needed]],Table11[[#This Row],[Production_Capacity]])</f>
        <v>23.512664749858985</v>
      </c>
      <c r="N186" s="82">
        <f ca="1">MAX(Table11[[#This Row],[Production_Needed]]-Table11[[#This Row],[Planned_Production]],0)</f>
        <v>0</v>
      </c>
      <c r="O186" s="82">
        <f ca="1">Table11[[#This Row],[Inventory_On_Hand]]+Table11[[#This Row],[Planned_Production]]-Table11[[#This Row],[Forecasted_Units]]</f>
        <v>9.9291745118980401</v>
      </c>
      <c r="P186" cm="1">
        <f t="array" ref="P186">_xlfn.XLOOKUP(Table11[[#This Row],[Date]] &amp; Table11[[#This Row],[Vehicle_Type]], Table12[Date] &amp; Table12[Vehicle_Type],Table12[Feedback_Adjustment], 0)</f>
        <v>0</v>
      </c>
      <c r="Q186" s="82">
        <f>Table11[[#This Row],[Forecasted_Units]]*(1+Table11[[#This Row],[Adjustment_Percentage]])</f>
        <v>99.291745118980472</v>
      </c>
      <c r="R186" s="82"/>
    </row>
    <row r="187" spans="1:18">
      <c r="A187" s="54">
        <v>47555</v>
      </c>
      <c r="B187" s="15" t="s">
        <v>14</v>
      </c>
      <c r="C187" s="15" t="str">
        <f>TEXT(Table11[[#This Row],[Date]],"mmmm")</f>
        <v>March</v>
      </c>
      <c r="D187" s="15">
        <v>88</v>
      </c>
      <c r="E187" s="82">
        <f>_xlfn.FORECAST.LINEAR(Table11[[#This Row],[Date]],Table11[Units_Sold],Table11[Date])</f>
        <v>99.29290931563726</v>
      </c>
      <c r="F187" cm="1">
        <f t="array" ref="F187">_xlfn.IFS(Table11[[#This Row],[Vehicle_Type]]="SUV",250,Table11[[#This Row],[Vehicle_Type]]="Sedan",200,Table11[[#This Row],[Vehicle_Type]]="Hatchback",185,Table11[[#This Row],[Vehicle_Type]]="Electric",190,Table11[[#This Row],[Vehicle_Type]]="Truck",150)</f>
        <v>150</v>
      </c>
      <c r="G187">
        <f t="shared" ca="1" si="2"/>
        <v>24</v>
      </c>
      <c r="H187" s="82">
        <f>Table11[[#This Row],[Daily_Production]]-Table11[[#This Row],[Forecasted_Units]]</f>
        <v>50.70709068436274</v>
      </c>
      <c r="I187" cm="1">
        <f t="array" ref="I187">_xlfn.IFS(Table11[[#This Row],[Vehicle_Type]]="SUV",5,Table11[[#This Row],[Vehicle_Type]]="Sedan",7,Table11[[#This Row],[Vehicle_Type]]="Hatchback",10,Table11[[#This Row],[Vehicle_Type]]="Electric",11,Table11[[#This Row],[Vehicle_Type]]="Truck",13)</f>
        <v>13</v>
      </c>
      <c r="J187">
        <f ca="1">Table11[[#This Row],[Daily_Production]]*Table11[[#This Row],[Working_Days]]</f>
        <v>3600</v>
      </c>
      <c r="K187" s="81">
        <f>Table11[[#This Row],[Forecasted_Units]]*0.1</f>
        <v>9.9292909315637274</v>
      </c>
      <c r="L187" s="82">
        <f>Table11[[#This Row],[Adjusted_Forecast]]+Table11[[#This Row],[Safety_Stock]]-Table11[[#This Row],[Inventory_On_Hand]]</f>
        <v>58.515109562838248</v>
      </c>
      <c r="M187" s="82">
        <f ca="1">MIN(Table11[[#This Row],[Production_Needed]],Table11[[#This Row],[Production_Capacity]])</f>
        <v>58.515109562838248</v>
      </c>
      <c r="N187" s="82">
        <f ca="1">MAX(Table11[[#This Row],[Production_Needed]]-Table11[[#This Row],[Planned_Production]],0)</f>
        <v>0</v>
      </c>
      <c r="O187" s="82">
        <f ca="1">Table11[[#This Row],[Inventory_On_Hand]]+Table11[[#This Row],[Planned_Production]]-Table11[[#This Row],[Forecasted_Units]]</f>
        <v>9.9292909315637274</v>
      </c>
      <c r="P187" cm="1">
        <f t="array" ref="P187">_xlfn.XLOOKUP(Table11[[#This Row],[Date]] &amp; Table11[[#This Row],[Vehicle_Type]], Table12[Date] &amp; Table12[Vehicle_Type],Table12[Feedback_Adjustment], 0)</f>
        <v>0</v>
      </c>
      <c r="Q187" s="82">
        <f>Table11[[#This Row],[Forecasted_Units]]*(1+Table11[[#This Row],[Adjustment_Percentage]])</f>
        <v>99.29290931563726</v>
      </c>
      <c r="R187" s="82"/>
    </row>
    <row r="188" spans="1:18">
      <c r="A188" s="53">
        <v>47585</v>
      </c>
      <c r="B188" s="14" t="s">
        <v>13</v>
      </c>
      <c r="C188" s="15" t="str">
        <f>TEXT(Table11[[#This Row],[Date]],"mmmm")</f>
        <v>April</v>
      </c>
      <c r="D188" s="14">
        <v>103</v>
      </c>
      <c r="E188" s="82">
        <f>_xlfn.FORECAST.LINEAR(Table11[[#This Row],[Date]],Table11[Units_Sold],Table11[Date])</f>
        <v>99.294073512294048</v>
      </c>
      <c r="F188" cm="1">
        <f t="array" ref="F188">_xlfn.IFS(Table11[[#This Row],[Vehicle_Type]]="SUV",250,Table11[[#This Row],[Vehicle_Type]]="Sedan",200,Table11[[#This Row],[Vehicle_Type]]="Hatchback",185,Table11[[#This Row],[Vehicle_Type]]="Electric",190,Table11[[#This Row],[Vehicle_Type]]="Truck",150)</f>
        <v>190</v>
      </c>
      <c r="G188">
        <f t="shared" ca="1" si="2"/>
        <v>22</v>
      </c>
      <c r="H188" s="82">
        <f>Table11[[#This Row],[Daily_Production]]-Table11[[#This Row],[Forecasted_Units]]</f>
        <v>90.705926487705952</v>
      </c>
      <c r="I188" cm="1">
        <f t="array" ref="I188">_xlfn.IFS(Table11[[#This Row],[Vehicle_Type]]="SUV",5,Table11[[#This Row],[Vehicle_Type]]="Sedan",7,Table11[[#This Row],[Vehicle_Type]]="Hatchback",10,Table11[[#This Row],[Vehicle_Type]]="Electric",11,Table11[[#This Row],[Vehicle_Type]]="Truck",13)</f>
        <v>11</v>
      </c>
      <c r="J188">
        <f ca="1">Table11[[#This Row],[Daily_Production]]*Table11[[#This Row],[Working_Days]]</f>
        <v>4180</v>
      </c>
      <c r="K188" s="81">
        <f>Table11[[#This Row],[Forecasted_Units]]*0.1</f>
        <v>9.9294073512294059</v>
      </c>
      <c r="L188" s="82">
        <f>Table11[[#This Row],[Adjusted_Forecast]]+Table11[[#This Row],[Safety_Stock]]-Table11[[#This Row],[Inventory_On_Hand]]</f>
        <v>18.517554375817497</v>
      </c>
      <c r="M188" s="82">
        <f ca="1">MIN(Table11[[#This Row],[Production_Needed]],Table11[[#This Row],[Production_Capacity]])</f>
        <v>18.517554375817497</v>
      </c>
      <c r="N188" s="82">
        <f ca="1">MAX(Table11[[#This Row],[Production_Needed]]-Table11[[#This Row],[Planned_Production]],0)</f>
        <v>0</v>
      </c>
      <c r="O188" s="82">
        <f ca="1">Table11[[#This Row],[Inventory_On_Hand]]+Table11[[#This Row],[Planned_Production]]-Table11[[#This Row],[Forecasted_Units]]</f>
        <v>9.9294073512294005</v>
      </c>
      <c r="P188" cm="1">
        <f t="array" ref="P188">_xlfn.XLOOKUP(Table11[[#This Row],[Date]] &amp; Table11[[#This Row],[Vehicle_Type]], Table12[Date] &amp; Table12[Vehicle_Type],Table12[Feedback_Adjustment], 0)</f>
        <v>0</v>
      </c>
      <c r="Q188" s="82">
        <f>Table11[[#This Row],[Forecasted_Units]]*(1+Table11[[#This Row],[Adjustment_Percentage]])</f>
        <v>99.294073512294048</v>
      </c>
      <c r="R188" s="82"/>
    </row>
    <row r="189" spans="1:18">
      <c r="A189" s="54">
        <v>47615</v>
      </c>
      <c r="B189" s="15" t="s">
        <v>14</v>
      </c>
      <c r="C189" s="15" t="str">
        <f>TEXT(Table11[[#This Row],[Date]],"mmmm")</f>
        <v>May</v>
      </c>
      <c r="D189" s="15">
        <v>83</v>
      </c>
      <c r="E189" s="82">
        <f>_xlfn.FORECAST.LINEAR(Table11[[#This Row],[Date]],Table11[Units_Sold],Table11[Date])</f>
        <v>99.295237708950836</v>
      </c>
      <c r="F189" cm="1">
        <f t="array" ref="F189">_xlfn.IFS(Table11[[#This Row],[Vehicle_Type]]="SUV",250,Table11[[#This Row],[Vehicle_Type]]="Sedan",200,Table11[[#This Row],[Vehicle_Type]]="Hatchback",185,Table11[[#This Row],[Vehicle_Type]]="Electric",190,Table11[[#This Row],[Vehicle_Type]]="Truck",150)</f>
        <v>150</v>
      </c>
      <c r="G189">
        <f t="shared" ca="1" si="2"/>
        <v>24</v>
      </c>
      <c r="H189" s="82">
        <f>Table11[[#This Row],[Daily_Production]]-Table11[[#This Row],[Forecasted_Units]]</f>
        <v>50.704762291049164</v>
      </c>
      <c r="I189" cm="1">
        <f t="array" ref="I189">_xlfn.IFS(Table11[[#This Row],[Vehicle_Type]]="SUV",5,Table11[[#This Row],[Vehicle_Type]]="Sedan",7,Table11[[#This Row],[Vehicle_Type]]="Hatchback",10,Table11[[#This Row],[Vehicle_Type]]="Electric",11,Table11[[#This Row],[Vehicle_Type]]="Truck",13)</f>
        <v>13</v>
      </c>
      <c r="J189">
        <f ca="1">Table11[[#This Row],[Daily_Production]]*Table11[[#This Row],[Working_Days]]</f>
        <v>3600</v>
      </c>
      <c r="K189" s="81">
        <f>Table11[[#This Row],[Forecasted_Units]]*0.1</f>
        <v>9.9295237708950843</v>
      </c>
      <c r="L189" s="82">
        <f>Table11[[#This Row],[Adjusted_Forecast]]+Table11[[#This Row],[Safety_Stock]]-Table11[[#This Row],[Inventory_On_Hand]]</f>
        <v>58.51999918879676</v>
      </c>
      <c r="M189" s="82">
        <f ca="1">MIN(Table11[[#This Row],[Production_Needed]],Table11[[#This Row],[Production_Capacity]])</f>
        <v>58.51999918879676</v>
      </c>
      <c r="N189" s="82">
        <f ca="1">MAX(Table11[[#This Row],[Production_Needed]]-Table11[[#This Row],[Planned_Production]],0)</f>
        <v>0</v>
      </c>
      <c r="O189" s="82">
        <f ca="1">Table11[[#This Row],[Inventory_On_Hand]]+Table11[[#This Row],[Planned_Production]]-Table11[[#This Row],[Forecasted_Units]]</f>
        <v>9.9295237708950879</v>
      </c>
      <c r="P189" cm="1">
        <f t="array" ref="P189">_xlfn.XLOOKUP(Table11[[#This Row],[Date]] &amp; Table11[[#This Row],[Vehicle_Type]], Table12[Date] &amp; Table12[Vehicle_Type],Table12[Feedback_Adjustment], 0)</f>
        <v>0</v>
      </c>
      <c r="Q189" s="82">
        <f>Table11[[#This Row],[Forecasted_Units]]*(1+Table11[[#This Row],[Adjustment_Percentage]])</f>
        <v>99.295237708950836</v>
      </c>
      <c r="R189" s="82"/>
    </row>
    <row r="190" spans="1:18">
      <c r="A190" s="53">
        <v>47645</v>
      </c>
      <c r="B190" s="14" t="s">
        <v>10</v>
      </c>
      <c r="C190" s="15" t="str">
        <f>TEXT(Table11[[#This Row],[Date]],"mmmm")</f>
        <v>June</v>
      </c>
      <c r="D190" s="14">
        <v>82</v>
      </c>
      <c r="E190" s="82">
        <f>_xlfn.FORECAST.LINEAR(Table11[[#This Row],[Date]],Table11[Units_Sold],Table11[Date])</f>
        <v>99.29640190560761</v>
      </c>
      <c r="F190" cm="1">
        <f t="array" ref="F190">_xlfn.IFS(Table11[[#This Row],[Vehicle_Type]]="SUV",250,Table11[[#This Row],[Vehicle_Type]]="Sedan",200,Table11[[#This Row],[Vehicle_Type]]="Hatchback",185,Table11[[#This Row],[Vehicle_Type]]="Electric",190,Table11[[#This Row],[Vehicle_Type]]="Truck",150)</f>
        <v>200</v>
      </c>
      <c r="G190">
        <f t="shared" ca="1" si="2"/>
        <v>25</v>
      </c>
      <c r="H190" s="82">
        <f>Table11[[#This Row],[Daily_Production]]-Table11[[#This Row],[Forecasted_Units]]</f>
        <v>100.70359809439239</v>
      </c>
      <c r="I190" cm="1">
        <f t="array" ref="I190">_xlfn.IFS(Table11[[#This Row],[Vehicle_Type]]="SUV",5,Table11[[#This Row],[Vehicle_Type]]="Sedan",7,Table11[[#This Row],[Vehicle_Type]]="Hatchback",10,Table11[[#This Row],[Vehicle_Type]]="Electric",11,Table11[[#This Row],[Vehicle_Type]]="Truck",13)</f>
        <v>7</v>
      </c>
      <c r="J190">
        <f ca="1">Table11[[#This Row],[Daily_Production]]*Table11[[#This Row],[Working_Days]]</f>
        <v>5000</v>
      </c>
      <c r="K190" s="81">
        <f>Table11[[#This Row],[Forecasted_Units]]*0.1</f>
        <v>9.929640190560761</v>
      </c>
      <c r="L190" s="82">
        <f>Table11[[#This Row],[Adjusted_Forecast]]+Table11[[#This Row],[Safety_Stock]]-Table11[[#This Row],[Inventory_On_Hand]]</f>
        <v>8.5224440017759804</v>
      </c>
      <c r="M190" s="82">
        <f ca="1">MIN(Table11[[#This Row],[Production_Needed]],Table11[[#This Row],[Production_Capacity]])</f>
        <v>8.5224440017759804</v>
      </c>
      <c r="N190" s="82">
        <f ca="1">MAX(Table11[[#This Row],[Production_Needed]]-Table11[[#This Row],[Planned_Production]],0)</f>
        <v>0</v>
      </c>
      <c r="O190" s="82">
        <f ca="1">Table11[[#This Row],[Inventory_On_Hand]]+Table11[[#This Row],[Planned_Production]]-Table11[[#This Row],[Forecasted_Units]]</f>
        <v>9.929640190560761</v>
      </c>
      <c r="P190" cm="1">
        <f t="array" ref="P190">_xlfn.XLOOKUP(Table11[[#This Row],[Date]] &amp; Table11[[#This Row],[Vehicle_Type]], Table12[Date] &amp; Table12[Vehicle_Type],Table12[Feedback_Adjustment], 0)</f>
        <v>0</v>
      </c>
      <c r="Q190" s="82">
        <f>Table11[[#This Row],[Forecasted_Units]]*(1+Table11[[#This Row],[Adjustment_Percentage]])</f>
        <v>99.29640190560761</v>
      </c>
      <c r="R190" s="82"/>
    </row>
    <row r="191" spans="1:18">
      <c r="A191" s="54">
        <v>47675</v>
      </c>
      <c r="B191" s="15" t="s">
        <v>12</v>
      </c>
      <c r="C191" s="15" t="str">
        <f>TEXT(Table11[[#This Row],[Date]],"mmmm")</f>
        <v>July</v>
      </c>
      <c r="D191" s="15">
        <v>106</v>
      </c>
      <c r="E191" s="82">
        <f>_xlfn.FORECAST.LINEAR(Table11[[#This Row],[Date]],Table11[Units_Sold],Table11[Date])</f>
        <v>99.297566102264398</v>
      </c>
      <c r="F191" cm="1">
        <f t="array" ref="F191">_xlfn.IFS(Table11[[#This Row],[Vehicle_Type]]="SUV",250,Table11[[#This Row],[Vehicle_Type]]="Sedan",200,Table11[[#This Row],[Vehicle_Type]]="Hatchback",185,Table11[[#This Row],[Vehicle_Type]]="Electric",190,Table11[[#This Row],[Vehicle_Type]]="Truck",150)</f>
        <v>250</v>
      </c>
      <c r="G191">
        <f t="shared" ca="1" si="2"/>
        <v>20</v>
      </c>
      <c r="H191" s="82">
        <f>Table11[[#This Row],[Daily_Production]]-Table11[[#This Row],[Forecasted_Units]]</f>
        <v>150.7024338977356</v>
      </c>
      <c r="I191" cm="1">
        <f t="array" ref="I191">_xlfn.IFS(Table11[[#This Row],[Vehicle_Type]]="SUV",5,Table11[[#This Row],[Vehicle_Type]]="Sedan",7,Table11[[#This Row],[Vehicle_Type]]="Hatchback",10,Table11[[#This Row],[Vehicle_Type]]="Electric",11,Table11[[#This Row],[Vehicle_Type]]="Truck",13)</f>
        <v>5</v>
      </c>
      <c r="J191">
        <f ca="1">Table11[[#This Row],[Daily_Production]]*Table11[[#This Row],[Working_Days]]</f>
        <v>5000</v>
      </c>
      <c r="K191" s="81">
        <f>Table11[[#This Row],[Forecasted_Units]]*0.1</f>
        <v>9.9297566102264412</v>
      </c>
      <c r="L191" s="82">
        <f>Table11[[#This Row],[Adjusted_Forecast]]+Table11[[#This Row],[Safety_Stock]]-Table11[[#This Row],[Inventory_On_Hand]]</f>
        <v>-41.475111185244771</v>
      </c>
      <c r="M191" s="82">
        <f ca="1">MIN(Table11[[#This Row],[Production_Needed]],Table11[[#This Row],[Production_Capacity]])</f>
        <v>-41.475111185244771</v>
      </c>
      <c r="N191" s="82">
        <f ca="1">MAX(Table11[[#This Row],[Production_Needed]]-Table11[[#This Row],[Planned_Production]],0)</f>
        <v>0</v>
      </c>
      <c r="O191" s="82">
        <f ca="1">Table11[[#This Row],[Inventory_On_Hand]]+Table11[[#This Row],[Planned_Production]]-Table11[[#This Row],[Forecasted_Units]]</f>
        <v>9.9297566102264341</v>
      </c>
      <c r="P191" cm="1">
        <f t="array" ref="P191">_xlfn.XLOOKUP(Table11[[#This Row],[Date]] &amp; Table11[[#This Row],[Vehicle_Type]], Table12[Date] &amp; Table12[Vehicle_Type],Table12[Feedback_Adjustment], 0)</f>
        <v>0</v>
      </c>
      <c r="Q191" s="82">
        <f>Table11[[#This Row],[Forecasted_Units]]*(1+Table11[[#This Row],[Adjustment_Percentage]])</f>
        <v>99.297566102264398</v>
      </c>
      <c r="R191" s="82"/>
    </row>
    <row r="192" spans="1:18">
      <c r="A192" s="53">
        <v>47705</v>
      </c>
      <c r="B192" s="14" t="s">
        <v>12</v>
      </c>
      <c r="C192" s="15" t="str">
        <f>TEXT(Table11[[#This Row],[Date]],"mmmm")</f>
        <v>August</v>
      </c>
      <c r="D192" s="14">
        <v>96</v>
      </c>
      <c r="E192" s="82">
        <f>_xlfn.FORECAST.LINEAR(Table11[[#This Row],[Date]],Table11[Units_Sold],Table11[Date])</f>
        <v>99.298730298921186</v>
      </c>
      <c r="F192" cm="1">
        <f t="array" ref="F192">_xlfn.IFS(Table11[[#This Row],[Vehicle_Type]]="SUV",250,Table11[[#This Row],[Vehicle_Type]]="Sedan",200,Table11[[#This Row],[Vehicle_Type]]="Hatchback",185,Table11[[#This Row],[Vehicle_Type]]="Electric",190,Table11[[#This Row],[Vehicle_Type]]="Truck",150)</f>
        <v>250</v>
      </c>
      <c r="G192">
        <f t="shared" ca="1" si="2"/>
        <v>25</v>
      </c>
      <c r="H192" s="82">
        <f>Table11[[#This Row],[Daily_Production]]-Table11[[#This Row],[Forecasted_Units]]</f>
        <v>150.70126970107881</v>
      </c>
      <c r="I192" cm="1">
        <f t="array" ref="I192">_xlfn.IFS(Table11[[#This Row],[Vehicle_Type]]="SUV",5,Table11[[#This Row],[Vehicle_Type]]="Sedan",7,Table11[[#This Row],[Vehicle_Type]]="Hatchback",10,Table11[[#This Row],[Vehicle_Type]]="Electric",11,Table11[[#This Row],[Vehicle_Type]]="Truck",13)</f>
        <v>5</v>
      </c>
      <c r="J192">
        <f ca="1">Table11[[#This Row],[Daily_Production]]*Table11[[#This Row],[Working_Days]]</f>
        <v>6250</v>
      </c>
      <c r="K192" s="81">
        <f>Table11[[#This Row],[Forecasted_Units]]*0.1</f>
        <v>9.9298730298921196</v>
      </c>
      <c r="L192" s="82">
        <f>Table11[[#This Row],[Adjusted_Forecast]]+Table11[[#This Row],[Safety_Stock]]-Table11[[#This Row],[Inventory_On_Hand]]</f>
        <v>-41.472666372265508</v>
      </c>
      <c r="M192" s="82">
        <f ca="1">MIN(Table11[[#This Row],[Production_Needed]],Table11[[#This Row],[Production_Capacity]])</f>
        <v>-41.472666372265508</v>
      </c>
      <c r="N192" s="82">
        <f ca="1">MAX(Table11[[#This Row],[Production_Needed]]-Table11[[#This Row],[Planned_Production]],0)</f>
        <v>0</v>
      </c>
      <c r="O192" s="82">
        <f ca="1">Table11[[#This Row],[Inventory_On_Hand]]+Table11[[#This Row],[Planned_Production]]-Table11[[#This Row],[Forecasted_Units]]</f>
        <v>9.9298730298921214</v>
      </c>
      <c r="P192" cm="1">
        <f t="array" ref="P192">_xlfn.XLOOKUP(Table11[[#This Row],[Date]] &amp; Table11[[#This Row],[Vehicle_Type]], Table12[Date] &amp; Table12[Vehicle_Type],Table12[Feedback_Adjustment], 0)</f>
        <v>0</v>
      </c>
      <c r="Q192" s="82">
        <f>Table11[[#This Row],[Forecasted_Units]]*(1+Table11[[#This Row],[Adjustment_Percentage]])</f>
        <v>99.298730298921186</v>
      </c>
      <c r="R192" s="82"/>
    </row>
    <row r="193" spans="1:18">
      <c r="A193" s="54">
        <v>47735</v>
      </c>
      <c r="B193" s="15" t="s">
        <v>10</v>
      </c>
      <c r="C193" s="15" t="str">
        <f>TEXT(Table11[[#This Row],[Date]],"mmmm")</f>
        <v>September</v>
      </c>
      <c r="D193" s="15">
        <v>96</v>
      </c>
      <c r="E193" s="82">
        <f>_xlfn.FORECAST.LINEAR(Table11[[#This Row],[Date]],Table11[Units_Sold],Table11[Date])</f>
        <v>99.299894495577973</v>
      </c>
      <c r="F193" cm="1">
        <f t="array" ref="F193">_xlfn.IFS(Table11[[#This Row],[Vehicle_Type]]="SUV",250,Table11[[#This Row],[Vehicle_Type]]="Sedan",200,Table11[[#This Row],[Vehicle_Type]]="Hatchback",185,Table11[[#This Row],[Vehicle_Type]]="Electric",190,Table11[[#This Row],[Vehicle_Type]]="Truck",150)</f>
        <v>200</v>
      </c>
      <c r="G193">
        <f t="shared" ca="1" si="2"/>
        <v>22</v>
      </c>
      <c r="H193" s="82">
        <f>Table11[[#This Row],[Daily_Production]]-Table11[[#This Row],[Forecasted_Units]]</f>
        <v>100.70010550442203</v>
      </c>
      <c r="I193" cm="1">
        <f t="array" ref="I193">_xlfn.IFS(Table11[[#This Row],[Vehicle_Type]]="SUV",5,Table11[[#This Row],[Vehicle_Type]]="Sedan",7,Table11[[#This Row],[Vehicle_Type]]="Hatchback",10,Table11[[#This Row],[Vehicle_Type]]="Electric",11,Table11[[#This Row],[Vehicle_Type]]="Truck",13)</f>
        <v>7</v>
      </c>
      <c r="J193">
        <f ca="1">Table11[[#This Row],[Daily_Production]]*Table11[[#This Row],[Working_Days]]</f>
        <v>4400</v>
      </c>
      <c r="K193" s="81">
        <f>Table11[[#This Row],[Forecasted_Units]]*0.1</f>
        <v>9.9299894495577981</v>
      </c>
      <c r="L193" s="82">
        <f>Table11[[#This Row],[Adjusted_Forecast]]+Table11[[#This Row],[Safety_Stock]]-Table11[[#This Row],[Inventory_On_Hand]]</f>
        <v>8.5297784407137414</v>
      </c>
      <c r="M193" s="82">
        <f ca="1">MIN(Table11[[#This Row],[Production_Needed]],Table11[[#This Row],[Production_Capacity]])</f>
        <v>8.5297784407137414</v>
      </c>
      <c r="N193" s="82">
        <f ca="1">MAX(Table11[[#This Row],[Production_Needed]]-Table11[[#This Row],[Planned_Production]],0)</f>
        <v>0</v>
      </c>
      <c r="O193" s="82">
        <f ca="1">Table11[[#This Row],[Inventory_On_Hand]]+Table11[[#This Row],[Planned_Production]]-Table11[[#This Row],[Forecasted_Units]]</f>
        <v>9.9299894495577945</v>
      </c>
      <c r="P193" cm="1">
        <f t="array" ref="P193">_xlfn.XLOOKUP(Table11[[#This Row],[Date]] &amp; Table11[[#This Row],[Vehicle_Type]], Table12[Date] &amp; Table12[Vehicle_Type],Table12[Feedback_Adjustment], 0)</f>
        <v>0</v>
      </c>
      <c r="Q193" s="82">
        <f>Table11[[#This Row],[Forecasted_Units]]*(1+Table11[[#This Row],[Adjustment_Percentage]])</f>
        <v>99.299894495577973</v>
      </c>
      <c r="R193" s="82"/>
    </row>
    <row r="194" spans="1:18">
      <c r="A194" s="53">
        <v>47765</v>
      </c>
      <c r="B194" s="14" t="s">
        <v>11</v>
      </c>
      <c r="C194" s="15" t="str">
        <f>TEXT(Table11[[#This Row],[Date]],"mmmm")</f>
        <v>October</v>
      </c>
      <c r="D194" s="14">
        <v>109</v>
      </c>
      <c r="E194" s="82">
        <f>_xlfn.FORECAST.LINEAR(Table11[[#This Row],[Date]],Table11[Units_Sold],Table11[Date])</f>
        <v>99.301058692234761</v>
      </c>
      <c r="F194" cm="1">
        <f t="array" ref="F194">_xlfn.IFS(Table11[[#This Row],[Vehicle_Type]]="SUV",250,Table11[[#This Row],[Vehicle_Type]]="Sedan",200,Table11[[#This Row],[Vehicle_Type]]="Hatchback",185,Table11[[#This Row],[Vehicle_Type]]="Electric",190,Table11[[#This Row],[Vehicle_Type]]="Truck",150)</f>
        <v>185</v>
      </c>
      <c r="G194">
        <f t="shared" ref="G194:G257" ca="1" si="3">RANDBETWEEN(20,25)</f>
        <v>23</v>
      </c>
      <c r="H194" s="82">
        <f>Table11[[#This Row],[Daily_Production]]-Table11[[#This Row],[Forecasted_Units]]</f>
        <v>85.698941307765239</v>
      </c>
      <c r="I194" cm="1">
        <f t="array" ref="I194">_xlfn.IFS(Table11[[#This Row],[Vehicle_Type]]="SUV",5,Table11[[#This Row],[Vehicle_Type]]="Sedan",7,Table11[[#This Row],[Vehicle_Type]]="Hatchback",10,Table11[[#This Row],[Vehicle_Type]]="Electric",11,Table11[[#This Row],[Vehicle_Type]]="Truck",13)</f>
        <v>10</v>
      </c>
      <c r="J194">
        <f ca="1">Table11[[#This Row],[Daily_Production]]*Table11[[#This Row],[Working_Days]]</f>
        <v>4255</v>
      </c>
      <c r="K194" s="81">
        <f>Table11[[#This Row],[Forecasted_Units]]*0.1</f>
        <v>9.9301058692234765</v>
      </c>
      <c r="L194" s="82">
        <f>Table11[[#This Row],[Adjusted_Forecast]]+Table11[[#This Row],[Safety_Stock]]-Table11[[#This Row],[Inventory_On_Hand]]</f>
        <v>23.532223253693004</v>
      </c>
      <c r="M194" s="82">
        <f ca="1">MIN(Table11[[#This Row],[Production_Needed]],Table11[[#This Row],[Production_Capacity]])</f>
        <v>23.532223253693004</v>
      </c>
      <c r="N194" s="82">
        <f ca="1">MAX(Table11[[#This Row],[Production_Needed]]-Table11[[#This Row],[Planned_Production]],0)</f>
        <v>0</v>
      </c>
      <c r="O194" s="82">
        <f ca="1">Table11[[#This Row],[Inventory_On_Hand]]+Table11[[#This Row],[Planned_Production]]-Table11[[#This Row],[Forecasted_Units]]</f>
        <v>9.9301058692234818</v>
      </c>
      <c r="P194" cm="1">
        <f t="array" ref="P194">_xlfn.XLOOKUP(Table11[[#This Row],[Date]] &amp; Table11[[#This Row],[Vehicle_Type]], Table12[Date] &amp; Table12[Vehicle_Type],Table12[Feedback_Adjustment], 0)</f>
        <v>0</v>
      </c>
      <c r="Q194" s="82">
        <f>Table11[[#This Row],[Forecasted_Units]]*(1+Table11[[#This Row],[Adjustment_Percentage]])</f>
        <v>99.301058692234761</v>
      </c>
      <c r="R194" s="82"/>
    </row>
    <row r="195" spans="1:18">
      <c r="A195" s="54">
        <v>47795</v>
      </c>
      <c r="B195" s="15" t="s">
        <v>10</v>
      </c>
      <c r="C195" s="15" t="str">
        <f>TEXT(Table11[[#This Row],[Date]],"mmmm")</f>
        <v>November</v>
      </c>
      <c r="D195" s="15">
        <v>98</v>
      </c>
      <c r="E195" s="82">
        <f>_xlfn.FORECAST.LINEAR(Table11[[#This Row],[Date]],Table11[Units_Sold],Table11[Date])</f>
        <v>99.302222888891549</v>
      </c>
      <c r="F195" cm="1">
        <f t="array" ref="F195">_xlfn.IFS(Table11[[#This Row],[Vehicle_Type]]="SUV",250,Table11[[#This Row],[Vehicle_Type]]="Sedan",200,Table11[[#This Row],[Vehicle_Type]]="Hatchback",185,Table11[[#This Row],[Vehicle_Type]]="Electric",190,Table11[[#This Row],[Vehicle_Type]]="Truck",150)</f>
        <v>200</v>
      </c>
      <c r="G195">
        <f t="shared" ca="1" si="3"/>
        <v>23</v>
      </c>
      <c r="H195" s="82">
        <f>Table11[[#This Row],[Daily_Production]]-Table11[[#This Row],[Forecasted_Units]]</f>
        <v>100.69777711110845</v>
      </c>
      <c r="I195" cm="1">
        <f t="array" ref="I195">_xlfn.IFS(Table11[[#This Row],[Vehicle_Type]]="SUV",5,Table11[[#This Row],[Vehicle_Type]]="Sedan",7,Table11[[#This Row],[Vehicle_Type]]="Hatchback",10,Table11[[#This Row],[Vehicle_Type]]="Electric",11,Table11[[#This Row],[Vehicle_Type]]="Truck",13)</f>
        <v>7</v>
      </c>
      <c r="J195">
        <f ca="1">Table11[[#This Row],[Daily_Production]]*Table11[[#This Row],[Working_Days]]</f>
        <v>4600</v>
      </c>
      <c r="K195" s="81">
        <f>Table11[[#This Row],[Forecasted_Units]]*0.1</f>
        <v>9.9302222888891549</v>
      </c>
      <c r="L195" s="82">
        <f>Table11[[#This Row],[Adjusted_Forecast]]+Table11[[#This Row],[Safety_Stock]]-Table11[[#This Row],[Inventory_On_Hand]]</f>
        <v>8.5346680666722534</v>
      </c>
      <c r="M195" s="82">
        <f ca="1">MIN(Table11[[#This Row],[Production_Needed]],Table11[[#This Row],[Production_Capacity]])</f>
        <v>8.5346680666722534</v>
      </c>
      <c r="N195" s="82">
        <f ca="1">MAX(Table11[[#This Row],[Production_Needed]]-Table11[[#This Row],[Planned_Production]],0)</f>
        <v>0</v>
      </c>
      <c r="O195" s="82">
        <f ca="1">Table11[[#This Row],[Inventory_On_Hand]]+Table11[[#This Row],[Planned_Production]]-Table11[[#This Row],[Forecasted_Units]]</f>
        <v>9.9302222888891549</v>
      </c>
      <c r="P195" cm="1">
        <f t="array" ref="P195">_xlfn.XLOOKUP(Table11[[#This Row],[Date]] &amp; Table11[[#This Row],[Vehicle_Type]], Table12[Date] &amp; Table12[Vehicle_Type],Table12[Feedback_Adjustment], 0)</f>
        <v>0</v>
      </c>
      <c r="Q195" s="82">
        <f>Table11[[#This Row],[Forecasted_Units]]*(1+Table11[[#This Row],[Adjustment_Percentage]])</f>
        <v>99.302222888891549</v>
      </c>
      <c r="R195" s="82"/>
    </row>
    <row r="196" spans="1:18">
      <c r="A196" s="53">
        <v>47825</v>
      </c>
      <c r="B196" s="14" t="s">
        <v>13</v>
      </c>
      <c r="C196" s="15" t="str">
        <f>TEXT(Table11[[#This Row],[Date]],"mmmm")</f>
        <v>December</v>
      </c>
      <c r="D196" s="14">
        <v>86</v>
      </c>
      <c r="E196" s="82">
        <f>_xlfn.FORECAST.LINEAR(Table11[[#This Row],[Date]],Table11[Units_Sold],Table11[Date])</f>
        <v>99.303387085548337</v>
      </c>
      <c r="F196" cm="1">
        <f t="array" ref="F196">_xlfn.IFS(Table11[[#This Row],[Vehicle_Type]]="SUV",250,Table11[[#This Row],[Vehicle_Type]]="Sedan",200,Table11[[#This Row],[Vehicle_Type]]="Hatchback",185,Table11[[#This Row],[Vehicle_Type]]="Electric",190,Table11[[#This Row],[Vehicle_Type]]="Truck",150)</f>
        <v>190</v>
      </c>
      <c r="G196">
        <f t="shared" ca="1" si="3"/>
        <v>24</v>
      </c>
      <c r="H196" s="82">
        <f>Table11[[#This Row],[Daily_Production]]-Table11[[#This Row],[Forecasted_Units]]</f>
        <v>90.696612914451663</v>
      </c>
      <c r="I196" cm="1">
        <f t="array" ref="I196">_xlfn.IFS(Table11[[#This Row],[Vehicle_Type]]="SUV",5,Table11[[#This Row],[Vehicle_Type]]="Sedan",7,Table11[[#This Row],[Vehicle_Type]]="Hatchback",10,Table11[[#This Row],[Vehicle_Type]]="Electric",11,Table11[[#This Row],[Vehicle_Type]]="Truck",13)</f>
        <v>11</v>
      </c>
      <c r="J196">
        <f ca="1">Table11[[#This Row],[Daily_Production]]*Table11[[#This Row],[Working_Days]]</f>
        <v>4560</v>
      </c>
      <c r="K196" s="81">
        <f>Table11[[#This Row],[Forecasted_Units]]*0.1</f>
        <v>9.9303387085548351</v>
      </c>
      <c r="L196" s="82">
        <f>Table11[[#This Row],[Adjusted_Forecast]]+Table11[[#This Row],[Safety_Stock]]-Table11[[#This Row],[Inventory_On_Hand]]</f>
        <v>18.537112879651517</v>
      </c>
      <c r="M196" s="82">
        <f ca="1">MIN(Table11[[#This Row],[Production_Needed]],Table11[[#This Row],[Production_Capacity]])</f>
        <v>18.537112879651517</v>
      </c>
      <c r="N196" s="82">
        <f ca="1">MAX(Table11[[#This Row],[Production_Needed]]-Table11[[#This Row],[Planned_Production]],0)</f>
        <v>0</v>
      </c>
      <c r="O196" s="82">
        <f ca="1">Table11[[#This Row],[Inventory_On_Hand]]+Table11[[#This Row],[Planned_Production]]-Table11[[#This Row],[Forecasted_Units]]</f>
        <v>9.9303387085548422</v>
      </c>
      <c r="P196" cm="1">
        <f t="array" ref="P196">_xlfn.XLOOKUP(Table11[[#This Row],[Date]] &amp; Table11[[#This Row],[Vehicle_Type]], Table12[Date] &amp; Table12[Vehicle_Type],Table12[Feedback_Adjustment], 0)</f>
        <v>0</v>
      </c>
      <c r="Q196" s="82">
        <f>Table11[[#This Row],[Forecasted_Units]]*(1+Table11[[#This Row],[Adjustment_Percentage]])</f>
        <v>99.303387085548337</v>
      </c>
      <c r="R196" s="82"/>
    </row>
    <row r="197" spans="1:18">
      <c r="A197" s="54">
        <v>47855</v>
      </c>
      <c r="B197" s="15" t="s">
        <v>13</v>
      </c>
      <c r="C197" s="15" t="str">
        <f>TEXT(Table11[[#This Row],[Date]],"mmmm")</f>
        <v>January</v>
      </c>
      <c r="D197" s="15">
        <v>79</v>
      </c>
      <c r="E197" s="82">
        <f>_xlfn.FORECAST.LINEAR(Table11[[#This Row],[Date]],Table11[Units_Sold],Table11[Date])</f>
        <v>99.304551282205125</v>
      </c>
      <c r="F197" cm="1">
        <f t="array" ref="F197">_xlfn.IFS(Table11[[#This Row],[Vehicle_Type]]="SUV",250,Table11[[#This Row],[Vehicle_Type]]="Sedan",200,Table11[[#This Row],[Vehicle_Type]]="Hatchback",185,Table11[[#This Row],[Vehicle_Type]]="Electric",190,Table11[[#This Row],[Vehicle_Type]]="Truck",150)</f>
        <v>190</v>
      </c>
      <c r="G197">
        <f t="shared" ca="1" si="3"/>
        <v>22</v>
      </c>
      <c r="H197" s="82">
        <f>Table11[[#This Row],[Daily_Production]]-Table11[[#This Row],[Forecasted_Units]]</f>
        <v>90.695448717794875</v>
      </c>
      <c r="I197" cm="1">
        <f t="array" ref="I197">_xlfn.IFS(Table11[[#This Row],[Vehicle_Type]]="SUV",5,Table11[[#This Row],[Vehicle_Type]]="Sedan",7,Table11[[#This Row],[Vehicle_Type]]="Hatchback",10,Table11[[#This Row],[Vehicle_Type]]="Electric",11,Table11[[#This Row],[Vehicle_Type]]="Truck",13)</f>
        <v>11</v>
      </c>
      <c r="J197">
        <f ca="1">Table11[[#This Row],[Daily_Production]]*Table11[[#This Row],[Working_Days]]</f>
        <v>4180</v>
      </c>
      <c r="K197" s="81">
        <f>Table11[[#This Row],[Forecasted_Units]]*0.1</f>
        <v>9.9304551282205136</v>
      </c>
      <c r="L197" s="82">
        <f>Table11[[#This Row],[Adjusted_Forecast]]+Table11[[#This Row],[Safety_Stock]]-Table11[[#This Row],[Inventory_On_Hand]]</f>
        <v>18.539557692630765</v>
      </c>
      <c r="M197" s="82">
        <f ca="1">MIN(Table11[[#This Row],[Production_Needed]],Table11[[#This Row],[Production_Capacity]])</f>
        <v>18.539557692630765</v>
      </c>
      <c r="N197" s="82">
        <f ca="1">MAX(Table11[[#This Row],[Production_Needed]]-Table11[[#This Row],[Planned_Production]],0)</f>
        <v>0</v>
      </c>
      <c r="O197" s="82">
        <f ca="1">Table11[[#This Row],[Inventory_On_Hand]]+Table11[[#This Row],[Planned_Production]]-Table11[[#This Row],[Forecasted_Units]]</f>
        <v>9.9304551282205153</v>
      </c>
      <c r="P197" cm="1">
        <f t="array" ref="P197">_xlfn.XLOOKUP(Table11[[#This Row],[Date]] &amp; Table11[[#This Row],[Vehicle_Type]], Table12[Date] &amp; Table12[Vehicle_Type],Table12[Feedback_Adjustment], 0)</f>
        <v>0</v>
      </c>
      <c r="Q197" s="82">
        <f>Table11[[#This Row],[Forecasted_Units]]*(1+Table11[[#This Row],[Adjustment_Percentage]])</f>
        <v>99.304551282205125</v>
      </c>
      <c r="R197" s="82"/>
    </row>
    <row r="198" spans="1:18">
      <c r="A198" s="53">
        <v>47885</v>
      </c>
      <c r="B198" s="14" t="s">
        <v>12</v>
      </c>
      <c r="C198" s="15" t="str">
        <f>TEXT(Table11[[#This Row],[Date]],"mmmm")</f>
        <v>February</v>
      </c>
      <c r="D198" s="14">
        <v>86</v>
      </c>
      <c r="E198" s="82">
        <f>_xlfn.FORECAST.LINEAR(Table11[[#This Row],[Date]],Table11[Units_Sold],Table11[Date])</f>
        <v>99.305715478861913</v>
      </c>
      <c r="F198" cm="1">
        <f t="array" ref="F198">_xlfn.IFS(Table11[[#This Row],[Vehicle_Type]]="SUV",250,Table11[[#This Row],[Vehicle_Type]]="Sedan",200,Table11[[#This Row],[Vehicle_Type]]="Hatchback",185,Table11[[#This Row],[Vehicle_Type]]="Electric",190,Table11[[#This Row],[Vehicle_Type]]="Truck",150)</f>
        <v>250</v>
      </c>
      <c r="G198">
        <f t="shared" ca="1" si="3"/>
        <v>22</v>
      </c>
      <c r="H198" s="82">
        <f>Table11[[#This Row],[Daily_Production]]-Table11[[#This Row],[Forecasted_Units]]</f>
        <v>150.69428452113809</v>
      </c>
      <c r="I198" cm="1">
        <f t="array" ref="I198">_xlfn.IFS(Table11[[#This Row],[Vehicle_Type]]="SUV",5,Table11[[#This Row],[Vehicle_Type]]="Sedan",7,Table11[[#This Row],[Vehicle_Type]]="Hatchback",10,Table11[[#This Row],[Vehicle_Type]]="Electric",11,Table11[[#This Row],[Vehicle_Type]]="Truck",13)</f>
        <v>5</v>
      </c>
      <c r="J198">
        <f ca="1">Table11[[#This Row],[Daily_Production]]*Table11[[#This Row],[Working_Days]]</f>
        <v>5500</v>
      </c>
      <c r="K198" s="81">
        <f>Table11[[#This Row],[Forecasted_Units]]*0.1</f>
        <v>9.930571547886192</v>
      </c>
      <c r="L198" s="82">
        <f>Table11[[#This Row],[Adjusted_Forecast]]+Table11[[#This Row],[Safety_Stock]]-Table11[[#This Row],[Inventory_On_Hand]]</f>
        <v>-41.457997494389986</v>
      </c>
      <c r="M198" s="82">
        <f ca="1">MIN(Table11[[#This Row],[Production_Needed]],Table11[[#This Row],[Production_Capacity]])</f>
        <v>-41.457997494389986</v>
      </c>
      <c r="N198" s="82">
        <f ca="1">MAX(Table11[[#This Row],[Production_Needed]]-Table11[[#This Row],[Planned_Production]],0)</f>
        <v>0</v>
      </c>
      <c r="O198" s="82">
        <f ca="1">Table11[[#This Row],[Inventory_On_Hand]]+Table11[[#This Row],[Planned_Production]]-Table11[[#This Row],[Forecasted_Units]]</f>
        <v>9.9305715478861885</v>
      </c>
      <c r="P198" cm="1">
        <f t="array" ref="P198">_xlfn.XLOOKUP(Table11[[#This Row],[Date]] &amp; Table11[[#This Row],[Vehicle_Type]], Table12[Date] &amp; Table12[Vehicle_Type],Table12[Feedback_Adjustment], 0)</f>
        <v>0</v>
      </c>
      <c r="Q198" s="82">
        <f>Table11[[#This Row],[Forecasted_Units]]*(1+Table11[[#This Row],[Adjustment_Percentage]])</f>
        <v>99.305715478861913</v>
      </c>
      <c r="R198" s="82"/>
    </row>
    <row r="199" spans="1:18">
      <c r="A199" s="54">
        <v>47915</v>
      </c>
      <c r="B199" s="15" t="s">
        <v>13</v>
      </c>
      <c r="C199" s="15" t="str">
        <f>TEXT(Table11[[#This Row],[Date]],"mmmm")</f>
        <v>March</v>
      </c>
      <c r="D199" s="15">
        <v>108</v>
      </c>
      <c r="E199" s="82">
        <f>_xlfn.FORECAST.LINEAR(Table11[[#This Row],[Date]],Table11[Units_Sold],Table11[Date])</f>
        <v>99.306879675518701</v>
      </c>
      <c r="F199" cm="1">
        <f t="array" ref="F199">_xlfn.IFS(Table11[[#This Row],[Vehicle_Type]]="SUV",250,Table11[[#This Row],[Vehicle_Type]]="Sedan",200,Table11[[#This Row],[Vehicle_Type]]="Hatchback",185,Table11[[#This Row],[Vehicle_Type]]="Electric",190,Table11[[#This Row],[Vehicle_Type]]="Truck",150)</f>
        <v>190</v>
      </c>
      <c r="G199">
        <f t="shared" ca="1" si="3"/>
        <v>25</v>
      </c>
      <c r="H199" s="82">
        <f>Table11[[#This Row],[Daily_Production]]-Table11[[#This Row],[Forecasted_Units]]</f>
        <v>90.693120324481299</v>
      </c>
      <c r="I199" cm="1">
        <f t="array" ref="I199">_xlfn.IFS(Table11[[#This Row],[Vehicle_Type]]="SUV",5,Table11[[#This Row],[Vehicle_Type]]="Sedan",7,Table11[[#This Row],[Vehicle_Type]]="Hatchback",10,Table11[[#This Row],[Vehicle_Type]]="Electric",11,Table11[[#This Row],[Vehicle_Type]]="Truck",13)</f>
        <v>11</v>
      </c>
      <c r="J199">
        <f ca="1">Table11[[#This Row],[Daily_Production]]*Table11[[#This Row],[Working_Days]]</f>
        <v>4750</v>
      </c>
      <c r="K199" s="81">
        <f>Table11[[#This Row],[Forecasted_Units]]*0.1</f>
        <v>9.9306879675518704</v>
      </c>
      <c r="L199" s="82">
        <f>Table11[[#This Row],[Adjusted_Forecast]]+Table11[[#This Row],[Safety_Stock]]-Table11[[#This Row],[Inventory_On_Hand]]</f>
        <v>18.544447318589278</v>
      </c>
      <c r="M199" s="82">
        <f ca="1">MIN(Table11[[#This Row],[Production_Needed]],Table11[[#This Row],[Production_Capacity]])</f>
        <v>18.544447318589278</v>
      </c>
      <c r="N199" s="82">
        <f ca="1">MAX(Table11[[#This Row],[Production_Needed]]-Table11[[#This Row],[Planned_Production]],0)</f>
        <v>0</v>
      </c>
      <c r="O199" s="82">
        <f ca="1">Table11[[#This Row],[Inventory_On_Hand]]+Table11[[#This Row],[Planned_Production]]-Table11[[#This Row],[Forecasted_Units]]</f>
        <v>9.9306879675518758</v>
      </c>
      <c r="P199" cm="1">
        <f t="array" ref="P199">_xlfn.XLOOKUP(Table11[[#This Row],[Date]] &amp; Table11[[#This Row],[Vehicle_Type]], Table12[Date] &amp; Table12[Vehicle_Type],Table12[Feedback_Adjustment], 0)</f>
        <v>0</v>
      </c>
      <c r="Q199" s="82">
        <f>Table11[[#This Row],[Forecasted_Units]]*(1+Table11[[#This Row],[Adjustment_Percentage]])</f>
        <v>99.306879675518701</v>
      </c>
      <c r="R199" s="82"/>
    </row>
    <row r="200" spans="1:18">
      <c r="A200" s="53">
        <v>47945</v>
      </c>
      <c r="B200" s="14" t="s">
        <v>12</v>
      </c>
      <c r="C200" s="15" t="str">
        <f>TEXT(Table11[[#This Row],[Date]],"mmmm")</f>
        <v>April</v>
      </c>
      <c r="D200" s="14">
        <v>127</v>
      </c>
      <c r="E200" s="82">
        <f>_xlfn.FORECAST.LINEAR(Table11[[#This Row],[Date]],Table11[Units_Sold],Table11[Date])</f>
        <v>99.308043872175489</v>
      </c>
      <c r="F200" cm="1">
        <f t="array" ref="F200">_xlfn.IFS(Table11[[#This Row],[Vehicle_Type]]="SUV",250,Table11[[#This Row],[Vehicle_Type]]="Sedan",200,Table11[[#This Row],[Vehicle_Type]]="Hatchback",185,Table11[[#This Row],[Vehicle_Type]]="Electric",190,Table11[[#This Row],[Vehicle_Type]]="Truck",150)</f>
        <v>250</v>
      </c>
      <c r="G200">
        <f t="shared" ca="1" si="3"/>
        <v>24</v>
      </c>
      <c r="H200" s="82">
        <f>Table11[[#This Row],[Daily_Production]]-Table11[[#This Row],[Forecasted_Units]]</f>
        <v>150.69195612782451</v>
      </c>
      <c r="I200" cm="1">
        <f t="array" ref="I200">_xlfn.IFS(Table11[[#This Row],[Vehicle_Type]]="SUV",5,Table11[[#This Row],[Vehicle_Type]]="Sedan",7,Table11[[#This Row],[Vehicle_Type]]="Hatchback",10,Table11[[#This Row],[Vehicle_Type]]="Electric",11,Table11[[#This Row],[Vehicle_Type]]="Truck",13)</f>
        <v>5</v>
      </c>
      <c r="J200">
        <f ca="1">Table11[[#This Row],[Daily_Production]]*Table11[[#This Row],[Working_Days]]</f>
        <v>6000</v>
      </c>
      <c r="K200" s="81">
        <f>Table11[[#This Row],[Forecasted_Units]]*0.1</f>
        <v>9.9308043872175489</v>
      </c>
      <c r="L200" s="82">
        <f>Table11[[#This Row],[Adjusted_Forecast]]+Table11[[#This Row],[Safety_Stock]]-Table11[[#This Row],[Inventory_On_Hand]]</f>
        <v>-41.453107868431474</v>
      </c>
      <c r="M200" s="82">
        <f ca="1">MIN(Table11[[#This Row],[Production_Needed]],Table11[[#This Row],[Production_Capacity]])</f>
        <v>-41.453107868431474</v>
      </c>
      <c r="N200" s="82">
        <f ca="1">MAX(Table11[[#This Row],[Production_Needed]]-Table11[[#This Row],[Planned_Production]],0)</f>
        <v>0</v>
      </c>
      <c r="O200" s="82">
        <f ca="1">Table11[[#This Row],[Inventory_On_Hand]]+Table11[[#This Row],[Planned_Production]]-Table11[[#This Row],[Forecasted_Units]]</f>
        <v>9.9308043872175489</v>
      </c>
      <c r="P200" cm="1">
        <f t="array" ref="P200">_xlfn.XLOOKUP(Table11[[#This Row],[Date]] &amp; Table11[[#This Row],[Vehicle_Type]], Table12[Date] &amp; Table12[Vehicle_Type],Table12[Feedback_Adjustment], 0)</f>
        <v>0</v>
      </c>
      <c r="Q200" s="82">
        <f>Table11[[#This Row],[Forecasted_Units]]*(1+Table11[[#This Row],[Adjustment_Percentage]])</f>
        <v>99.308043872175489</v>
      </c>
      <c r="R200" s="82"/>
    </row>
    <row r="201" spans="1:18">
      <c r="A201" s="54">
        <v>47975</v>
      </c>
      <c r="B201" s="15" t="s">
        <v>10</v>
      </c>
      <c r="C201" s="15" t="str">
        <f>TEXT(Table11[[#This Row],[Date]],"mmmm")</f>
        <v>May</v>
      </c>
      <c r="D201" s="15">
        <v>93</v>
      </c>
      <c r="E201" s="82">
        <f>_xlfn.FORECAST.LINEAR(Table11[[#This Row],[Date]],Table11[Units_Sold],Table11[Date])</f>
        <v>99.309208068832262</v>
      </c>
      <c r="F201" cm="1">
        <f t="array" ref="F201">_xlfn.IFS(Table11[[#This Row],[Vehicle_Type]]="SUV",250,Table11[[#This Row],[Vehicle_Type]]="Sedan",200,Table11[[#This Row],[Vehicle_Type]]="Hatchback",185,Table11[[#This Row],[Vehicle_Type]]="Electric",190,Table11[[#This Row],[Vehicle_Type]]="Truck",150)</f>
        <v>200</v>
      </c>
      <c r="G201">
        <f t="shared" ca="1" si="3"/>
        <v>20</v>
      </c>
      <c r="H201" s="82">
        <f>Table11[[#This Row],[Daily_Production]]-Table11[[#This Row],[Forecasted_Units]]</f>
        <v>100.69079193116774</v>
      </c>
      <c r="I201" cm="1">
        <f t="array" ref="I201">_xlfn.IFS(Table11[[#This Row],[Vehicle_Type]]="SUV",5,Table11[[#This Row],[Vehicle_Type]]="Sedan",7,Table11[[#This Row],[Vehicle_Type]]="Hatchback",10,Table11[[#This Row],[Vehicle_Type]]="Electric",11,Table11[[#This Row],[Vehicle_Type]]="Truck",13)</f>
        <v>7</v>
      </c>
      <c r="J201">
        <f ca="1">Table11[[#This Row],[Daily_Production]]*Table11[[#This Row],[Working_Days]]</f>
        <v>4000</v>
      </c>
      <c r="K201" s="81">
        <f>Table11[[#This Row],[Forecasted_Units]]*0.1</f>
        <v>9.9309208068832273</v>
      </c>
      <c r="L201" s="82">
        <f>Table11[[#This Row],[Adjusted_Forecast]]+Table11[[#This Row],[Safety_Stock]]-Table11[[#This Row],[Inventory_On_Hand]]</f>
        <v>8.549336944547747</v>
      </c>
      <c r="M201" s="82">
        <f ca="1">MIN(Table11[[#This Row],[Production_Needed]],Table11[[#This Row],[Production_Capacity]])</f>
        <v>8.549336944547747</v>
      </c>
      <c r="N201" s="82">
        <f ca="1">MAX(Table11[[#This Row],[Production_Needed]]-Table11[[#This Row],[Planned_Production]],0)</f>
        <v>0</v>
      </c>
      <c r="O201" s="82">
        <f ca="1">Table11[[#This Row],[Inventory_On_Hand]]+Table11[[#This Row],[Planned_Production]]-Table11[[#This Row],[Forecasted_Units]]</f>
        <v>9.930920806883222</v>
      </c>
      <c r="P201" cm="1">
        <f t="array" ref="P201">_xlfn.XLOOKUP(Table11[[#This Row],[Date]] &amp; Table11[[#This Row],[Vehicle_Type]], Table12[Date] &amp; Table12[Vehicle_Type],Table12[Feedback_Adjustment], 0)</f>
        <v>0</v>
      </c>
      <c r="Q201" s="82">
        <f>Table11[[#This Row],[Forecasted_Units]]*(1+Table11[[#This Row],[Adjustment_Percentage]])</f>
        <v>99.309208068832262</v>
      </c>
      <c r="R201" s="82"/>
    </row>
    <row r="202" spans="1:18">
      <c r="A202" s="53">
        <v>48005</v>
      </c>
      <c r="B202" s="14" t="s">
        <v>10</v>
      </c>
      <c r="C202" s="15" t="str">
        <f>TEXT(Table11[[#This Row],[Date]],"mmmm")</f>
        <v>June</v>
      </c>
      <c r="D202" s="14">
        <v>82</v>
      </c>
      <c r="E202" s="82">
        <f>_xlfn.FORECAST.LINEAR(Table11[[#This Row],[Date]],Table11[Units_Sold],Table11[Date])</f>
        <v>99.31037226548905</v>
      </c>
      <c r="F202" cm="1">
        <f t="array" ref="F202">_xlfn.IFS(Table11[[#This Row],[Vehicle_Type]]="SUV",250,Table11[[#This Row],[Vehicle_Type]]="Sedan",200,Table11[[#This Row],[Vehicle_Type]]="Hatchback",185,Table11[[#This Row],[Vehicle_Type]]="Electric",190,Table11[[#This Row],[Vehicle_Type]]="Truck",150)</f>
        <v>200</v>
      </c>
      <c r="G202">
        <f t="shared" ca="1" si="3"/>
        <v>23</v>
      </c>
      <c r="H202" s="82">
        <f>Table11[[#This Row],[Daily_Production]]-Table11[[#This Row],[Forecasted_Units]]</f>
        <v>100.68962773451095</v>
      </c>
      <c r="I202" cm="1">
        <f t="array" ref="I202">_xlfn.IFS(Table11[[#This Row],[Vehicle_Type]]="SUV",5,Table11[[#This Row],[Vehicle_Type]]="Sedan",7,Table11[[#This Row],[Vehicle_Type]]="Hatchback",10,Table11[[#This Row],[Vehicle_Type]]="Electric",11,Table11[[#This Row],[Vehicle_Type]]="Truck",13)</f>
        <v>7</v>
      </c>
      <c r="J202">
        <f ca="1">Table11[[#This Row],[Daily_Production]]*Table11[[#This Row],[Working_Days]]</f>
        <v>4600</v>
      </c>
      <c r="K202" s="81">
        <f>Table11[[#This Row],[Forecasted_Units]]*0.1</f>
        <v>9.9310372265489057</v>
      </c>
      <c r="L202" s="82">
        <f>Table11[[#This Row],[Adjusted_Forecast]]+Table11[[#This Row],[Safety_Stock]]-Table11[[#This Row],[Inventory_On_Hand]]</f>
        <v>8.5517817575270101</v>
      </c>
      <c r="M202" s="82">
        <f ca="1">MIN(Table11[[#This Row],[Production_Needed]],Table11[[#This Row],[Production_Capacity]])</f>
        <v>8.5517817575270101</v>
      </c>
      <c r="N202" s="82">
        <f ca="1">MAX(Table11[[#This Row],[Production_Needed]]-Table11[[#This Row],[Planned_Production]],0)</f>
        <v>0</v>
      </c>
      <c r="O202" s="82">
        <f ca="1">Table11[[#This Row],[Inventory_On_Hand]]+Table11[[#This Row],[Planned_Production]]-Table11[[#This Row],[Forecasted_Units]]</f>
        <v>9.9310372265489093</v>
      </c>
      <c r="P202" cm="1">
        <f t="array" ref="P202">_xlfn.XLOOKUP(Table11[[#This Row],[Date]] &amp; Table11[[#This Row],[Vehicle_Type]], Table12[Date] &amp; Table12[Vehicle_Type],Table12[Feedback_Adjustment], 0)</f>
        <v>0</v>
      </c>
      <c r="Q202" s="82">
        <f>Table11[[#This Row],[Forecasted_Units]]*(1+Table11[[#This Row],[Adjustment_Percentage]])</f>
        <v>99.31037226548905</v>
      </c>
      <c r="R202" s="82"/>
    </row>
    <row r="203" spans="1:18">
      <c r="A203" s="54">
        <v>48035</v>
      </c>
      <c r="B203" s="15" t="s">
        <v>10</v>
      </c>
      <c r="C203" s="15" t="str">
        <f>TEXT(Table11[[#This Row],[Date]],"mmmm")</f>
        <v>July</v>
      </c>
      <c r="D203" s="15">
        <v>104</v>
      </c>
      <c r="E203" s="82">
        <f>_xlfn.FORECAST.LINEAR(Table11[[#This Row],[Date]],Table11[Units_Sold],Table11[Date])</f>
        <v>99.311536462145838</v>
      </c>
      <c r="F203" cm="1">
        <f t="array" ref="F203">_xlfn.IFS(Table11[[#This Row],[Vehicle_Type]]="SUV",250,Table11[[#This Row],[Vehicle_Type]]="Sedan",200,Table11[[#This Row],[Vehicle_Type]]="Hatchback",185,Table11[[#This Row],[Vehicle_Type]]="Electric",190,Table11[[#This Row],[Vehicle_Type]]="Truck",150)</f>
        <v>200</v>
      </c>
      <c r="G203">
        <f t="shared" ca="1" si="3"/>
        <v>23</v>
      </c>
      <c r="H203" s="82">
        <f>Table11[[#This Row],[Daily_Production]]-Table11[[#This Row],[Forecasted_Units]]</f>
        <v>100.68846353785416</v>
      </c>
      <c r="I203" cm="1">
        <f t="array" ref="I203">_xlfn.IFS(Table11[[#This Row],[Vehicle_Type]]="SUV",5,Table11[[#This Row],[Vehicle_Type]]="Sedan",7,Table11[[#This Row],[Vehicle_Type]]="Hatchback",10,Table11[[#This Row],[Vehicle_Type]]="Electric",11,Table11[[#This Row],[Vehicle_Type]]="Truck",13)</f>
        <v>7</v>
      </c>
      <c r="J203">
        <f ca="1">Table11[[#This Row],[Daily_Production]]*Table11[[#This Row],[Working_Days]]</f>
        <v>4600</v>
      </c>
      <c r="K203" s="81">
        <f>Table11[[#This Row],[Forecasted_Units]]*0.1</f>
        <v>9.9311536462145842</v>
      </c>
      <c r="L203" s="82">
        <f>Table11[[#This Row],[Adjusted_Forecast]]+Table11[[#This Row],[Safety_Stock]]-Table11[[#This Row],[Inventory_On_Hand]]</f>
        <v>8.554226570506259</v>
      </c>
      <c r="M203" s="82">
        <f ca="1">MIN(Table11[[#This Row],[Production_Needed]],Table11[[#This Row],[Production_Capacity]])</f>
        <v>8.554226570506259</v>
      </c>
      <c r="N203" s="82">
        <f ca="1">MAX(Table11[[#This Row],[Production_Needed]]-Table11[[#This Row],[Planned_Production]],0)</f>
        <v>0</v>
      </c>
      <c r="O203" s="82">
        <f ca="1">Table11[[#This Row],[Inventory_On_Hand]]+Table11[[#This Row],[Planned_Production]]-Table11[[#This Row],[Forecasted_Units]]</f>
        <v>9.9311536462145824</v>
      </c>
      <c r="P203" cm="1">
        <f t="array" ref="P203">_xlfn.XLOOKUP(Table11[[#This Row],[Date]] &amp; Table11[[#This Row],[Vehicle_Type]], Table12[Date] &amp; Table12[Vehicle_Type],Table12[Feedback_Adjustment], 0)</f>
        <v>0</v>
      </c>
      <c r="Q203" s="82">
        <f>Table11[[#This Row],[Forecasted_Units]]*(1+Table11[[#This Row],[Adjustment_Percentage]])</f>
        <v>99.311536462145838</v>
      </c>
      <c r="R203" s="82"/>
    </row>
    <row r="204" spans="1:18">
      <c r="A204" s="53">
        <v>48065</v>
      </c>
      <c r="B204" s="14" t="s">
        <v>12</v>
      </c>
      <c r="C204" s="15" t="str">
        <f>TEXT(Table11[[#This Row],[Date]],"mmmm")</f>
        <v>August</v>
      </c>
      <c r="D204" s="14">
        <v>99</v>
      </c>
      <c r="E204" s="82">
        <f>_xlfn.FORECAST.LINEAR(Table11[[#This Row],[Date]],Table11[Units_Sold],Table11[Date])</f>
        <v>99.312700658802626</v>
      </c>
      <c r="F204" cm="1">
        <f t="array" ref="F204">_xlfn.IFS(Table11[[#This Row],[Vehicle_Type]]="SUV",250,Table11[[#This Row],[Vehicle_Type]]="Sedan",200,Table11[[#This Row],[Vehicle_Type]]="Hatchback",185,Table11[[#This Row],[Vehicle_Type]]="Electric",190,Table11[[#This Row],[Vehicle_Type]]="Truck",150)</f>
        <v>250</v>
      </c>
      <c r="G204">
        <f t="shared" ca="1" si="3"/>
        <v>25</v>
      </c>
      <c r="H204" s="82">
        <f>Table11[[#This Row],[Daily_Production]]-Table11[[#This Row],[Forecasted_Units]]</f>
        <v>150.68729934119739</v>
      </c>
      <c r="I204" cm="1">
        <f t="array" ref="I204">_xlfn.IFS(Table11[[#This Row],[Vehicle_Type]]="SUV",5,Table11[[#This Row],[Vehicle_Type]]="Sedan",7,Table11[[#This Row],[Vehicle_Type]]="Hatchback",10,Table11[[#This Row],[Vehicle_Type]]="Electric",11,Table11[[#This Row],[Vehicle_Type]]="Truck",13)</f>
        <v>5</v>
      </c>
      <c r="J204">
        <f ca="1">Table11[[#This Row],[Daily_Production]]*Table11[[#This Row],[Working_Days]]</f>
        <v>6250</v>
      </c>
      <c r="K204" s="81">
        <f>Table11[[#This Row],[Forecasted_Units]]*0.1</f>
        <v>9.9312700658802626</v>
      </c>
      <c r="L204" s="82">
        <f>Table11[[#This Row],[Adjusted_Forecast]]+Table11[[#This Row],[Safety_Stock]]-Table11[[#This Row],[Inventory_On_Hand]]</f>
        <v>-41.443328616514492</v>
      </c>
      <c r="M204" s="82">
        <f ca="1">MIN(Table11[[#This Row],[Production_Needed]],Table11[[#This Row],[Production_Capacity]])</f>
        <v>-41.443328616514492</v>
      </c>
      <c r="N204" s="82">
        <f ca="1">MAX(Table11[[#This Row],[Production_Needed]]-Table11[[#This Row],[Planned_Production]],0)</f>
        <v>0</v>
      </c>
      <c r="O204" s="82">
        <f ca="1">Table11[[#This Row],[Inventory_On_Hand]]+Table11[[#This Row],[Planned_Production]]-Table11[[#This Row],[Forecasted_Units]]</f>
        <v>9.9312700658802697</v>
      </c>
      <c r="P204" cm="1">
        <f t="array" ref="P204">_xlfn.XLOOKUP(Table11[[#This Row],[Date]] &amp; Table11[[#This Row],[Vehicle_Type]], Table12[Date] &amp; Table12[Vehicle_Type],Table12[Feedback_Adjustment], 0)</f>
        <v>0</v>
      </c>
      <c r="Q204" s="82">
        <f>Table11[[#This Row],[Forecasted_Units]]*(1+Table11[[#This Row],[Adjustment_Percentage]])</f>
        <v>99.312700658802626</v>
      </c>
      <c r="R204" s="82"/>
    </row>
    <row r="205" spans="1:18">
      <c r="A205" s="54">
        <v>48095</v>
      </c>
      <c r="B205" s="15" t="s">
        <v>10</v>
      </c>
      <c r="C205" s="15" t="str">
        <f>TEXT(Table11[[#This Row],[Date]],"mmmm")</f>
        <v>September</v>
      </c>
      <c r="D205" s="15">
        <v>102</v>
      </c>
      <c r="E205" s="82">
        <f>_xlfn.FORECAST.LINEAR(Table11[[#This Row],[Date]],Table11[Units_Sold],Table11[Date])</f>
        <v>99.313864855459414</v>
      </c>
      <c r="F205" cm="1">
        <f t="array" ref="F205">_xlfn.IFS(Table11[[#This Row],[Vehicle_Type]]="SUV",250,Table11[[#This Row],[Vehicle_Type]]="Sedan",200,Table11[[#This Row],[Vehicle_Type]]="Hatchback",185,Table11[[#This Row],[Vehicle_Type]]="Electric",190,Table11[[#This Row],[Vehicle_Type]]="Truck",150)</f>
        <v>200</v>
      </c>
      <c r="G205">
        <f t="shared" ca="1" si="3"/>
        <v>25</v>
      </c>
      <c r="H205" s="82">
        <f>Table11[[#This Row],[Daily_Production]]-Table11[[#This Row],[Forecasted_Units]]</f>
        <v>100.68613514454059</v>
      </c>
      <c r="I205" cm="1">
        <f t="array" ref="I205">_xlfn.IFS(Table11[[#This Row],[Vehicle_Type]]="SUV",5,Table11[[#This Row],[Vehicle_Type]]="Sedan",7,Table11[[#This Row],[Vehicle_Type]]="Hatchback",10,Table11[[#This Row],[Vehicle_Type]]="Electric",11,Table11[[#This Row],[Vehicle_Type]]="Truck",13)</f>
        <v>7</v>
      </c>
      <c r="J205">
        <f ca="1">Table11[[#This Row],[Daily_Production]]*Table11[[#This Row],[Working_Days]]</f>
        <v>5000</v>
      </c>
      <c r="K205" s="81">
        <f>Table11[[#This Row],[Forecasted_Units]]*0.1</f>
        <v>9.9313864855459428</v>
      </c>
      <c r="L205" s="82">
        <f>Table11[[#This Row],[Adjusted_Forecast]]+Table11[[#This Row],[Safety_Stock]]-Table11[[#This Row],[Inventory_On_Hand]]</f>
        <v>8.5591161964647711</v>
      </c>
      <c r="M205" s="82">
        <f ca="1">MIN(Table11[[#This Row],[Production_Needed]],Table11[[#This Row],[Production_Capacity]])</f>
        <v>8.5591161964647711</v>
      </c>
      <c r="N205" s="82">
        <f ca="1">MAX(Table11[[#This Row],[Production_Needed]]-Table11[[#This Row],[Planned_Production]],0)</f>
        <v>0</v>
      </c>
      <c r="O205" s="82">
        <f ca="1">Table11[[#This Row],[Inventory_On_Hand]]+Table11[[#This Row],[Planned_Production]]-Table11[[#This Row],[Forecasted_Units]]</f>
        <v>9.9313864855459428</v>
      </c>
      <c r="P205" cm="1">
        <f t="array" ref="P205">_xlfn.XLOOKUP(Table11[[#This Row],[Date]] &amp; Table11[[#This Row],[Vehicle_Type]], Table12[Date] &amp; Table12[Vehicle_Type],Table12[Feedback_Adjustment], 0)</f>
        <v>0</v>
      </c>
      <c r="Q205" s="82">
        <f>Table11[[#This Row],[Forecasted_Units]]*(1+Table11[[#This Row],[Adjustment_Percentage]])</f>
        <v>99.313864855459414</v>
      </c>
      <c r="R205" s="82"/>
    </row>
    <row r="206" spans="1:18">
      <c r="A206" s="53">
        <v>48125</v>
      </c>
      <c r="B206" s="14" t="s">
        <v>10</v>
      </c>
      <c r="C206" s="15" t="str">
        <f>TEXT(Table11[[#This Row],[Date]],"mmmm")</f>
        <v>October</v>
      </c>
      <c r="D206" s="14">
        <v>76</v>
      </c>
      <c r="E206" s="82">
        <f>_xlfn.FORECAST.LINEAR(Table11[[#This Row],[Date]],Table11[Units_Sold],Table11[Date])</f>
        <v>99.315029052116202</v>
      </c>
      <c r="F206" cm="1">
        <f t="array" ref="F206">_xlfn.IFS(Table11[[#This Row],[Vehicle_Type]]="SUV",250,Table11[[#This Row],[Vehicle_Type]]="Sedan",200,Table11[[#This Row],[Vehicle_Type]]="Hatchback",185,Table11[[#This Row],[Vehicle_Type]]="Electric",190,Table11[[#This Row],[Vehicle_Type]]="Truck",150)</f>
        <v>200</v>
      </c>
      <c r="G206">
        <f t="shared" ca="1" si="3"/>
        <v>20</v>
      </c>
      <c r="H206" s="82">
        <f>Table11[[#This Row],[Daily_Production]]-Table11[[#This Row],[Forecasted_Units]]</f>
        <v>100.6849709478838</v>
      </c>
      <c r="I206" cm="1">
        <f t="array" ref="I206">_xlfn.IFS(Table11[[#This Row],[Vehicle_Type]]="SUV",5,Table11[[#This Row],[Vehicle_Type]]="Sedan",7,Table11[[#This Row],[Vehicle_Type]]="Hatchback",10,Table11[[#This Row],[Vehicle_Type]]="Electric",11,Table11[[#This Row],[Vehicle_Type]]="Truck",13)</f>
        <v>7</v>
      </c>
      <c r="J206">
        <f ca="1">Table11[[#This Row],[Daily_Production]]*Table11[[#This Row],[Working_Days]]</f>
        <v>4000</v>
      </c>
      <c r="K206" s="81">
        <f>Table11[[#This Row],[Forecasted_Units]]*0.1</f>
        <v>9.9315029052116213</v>
      </c>
      <c r="L206" s="82">
        <f>Table11[[#This Row],[Adjusted_Forecast]]+Table11[[#This Row],[Safety_Stock]]-Table11[[#This Row],[Inventory_On_Hand]]</f>
        <v>8.56156100944402</v>
      </c>
      <c r="M206" s="82">
        <f ca="1">MIN(Table11[[#This Row],[Production_Needed]],Table11[[#This Row],[Production_Capacity]])</f>
        <v>8.56156100944402</v>
      </c>
      <c r="N206" s="82">
        <f ca="1">MAX(Table11[[#This Row],[Production_Needed]]-Table11[[#This Row],[Planned_Production]],0)</f>
        <v>0</v>
      </c>
      <c r="O206" s="82">
        <f ca="1">Table11[[#This Row],[Inventory_On_Hand]]+Table11[[#This Row],[Planned_Production]]-Table11[[#This Row],[Forecasted_Units]]</f>
        <v>9.9315029052116159</v>
      </c>
      <c r="P206" cm="1">
        <f t="array" ref="P206">_xlfn.XLOOKUP(Table11[[#This Row],[Date]] &amp; Table11[[#This Row],[Vehicle_Type]], Table12[Date] &amp; Table12[Vehicle_Type],Table12[Feedback_Adjustment], 0)</f>
        <v>0</v>
      </c>
      <c r="Q206" s="82">
        <f>Table11[[#This Row],[Forecasted_Units]]*(1+Table11[[#This Row],[Adjustment_Percentage]])</f>
        <v>99.315029052116202</v>
      </c>
      <c r="R206" s="82"/>
    </row>
    <row r="207" spans="1:18">
      <c r="A207" s="54">
        <v>48155</v>
      </c>
      <c r="B207" s="15" t="s">
        <v>11</v>
      </c>
      <c r="C207" s="15" t="str">
        <f>TEXT(Table11[[#This Row],[Date]],"mmmm")</f>
        <v>November</v>
      </c>
      <c r="D207" s="15">
        <v>99</v>
      </c>
      <c r="E207" s="82">
        <f>_xlfn.FORECAST.LINEAR(Table11[[#This Row],[Date]],Table11[Units_Sold],Table11[Date])</f>
        <v>99.31619324877299</v>
      </c>
      <c r="F207" cm="1">
        <f t="array" ref="F207">_xlfn.IFS(Table11[[#This Row],[Vehicle_Type]]="SUV",250,Table11[[#This Row],[Vehicle_Type]]="Sedan",200,Table11[[#This Row],[Vehicle_Type]]="Hatchback",185,Table11[[#This Row],[Vehicle_Type]]="Electric",190,Table11[[#This Row],[Vehicle_Type]]="Truck",150)</f>
        <v>185</v>
      </c>
      <c r="G207">
        <f t="shared" ca="1" si="3"/>
        <v>24</v>
      </c>
      <c r="H207" s="82">
        <f>Table11[[#This Row],[Daily_Production]]-Table11[[#This Row],[Forecasted_Units]]</f>
        <v>85.68380675122701</v>
      </c>
      <c r="I207" cm="1">
        <f t="array" ref="I207">_xlfn.IFS(Table11[[#This Row],[Vehicle_Type]]="SUV",5,Table11[[#This Row],[Vehicle_Type]]="Sedan",7,Table11[[#This Row],[Vehicle_Type]]="Hatchback",10,Table11[[#This Row],[Vehicle_Type]]="Electric",11,Table11[[#This Row],[Vehicle_Type]]="Truck",13)</f>
        <v>10</v>
      </c>
      <c r="J207">
        <f ca="1">Table11[[#This Row],[Daily_Production]]*Table11[[#This Row],[Working_Days]]</f>
        <v>4440</v>
      </c>
      <c r="K207" s="81">
        <f>Table11[[#This Row],[Forecasted_Units]]*0.1</f>
        <v>9.9316193248772997</v>
      </c>
      <c r="L207" s="82">
        <f>Table11[[#This Row],[Adjusted_Forecast]]+Table11[[#This Row],[Safety_Stock]]-Table11[[#This Row],[Inventory_On_Hand]]</f>
        <v>23.564005822423283</v>
      </c>
      <c r="M207" s="82">
        <f ca="1">MIN(Table11[[#This Row],[Production_Needed]],Table11[[#This Row],[Production_Capacity]])</f>
        <v>23.564005822423283</v>
      </c>
      <c r="N207" s="82">
        <f ca="1">MAX(Table11[[#This Row],[Production_Needed]]-Table11[[#This Row],[Planned_Production]],0)</f>
        <v>0</v>
      </c>
      <c r="O207" s="82">
        <f ca="1">Table11[[#This Row],[Inventory_On_Hand]]+Table11[[#This Row],[Planned_Production]]-Table11[[#This Row],[Forecasted_Units]]</f>
        <v>9.9316193248773033</v>
      </c>
      <c r="P207" cm="1">
        <f t="array" ref="P207">_xlfn.XLOOKUP(Table11[[#This Row],[Date]] &amp; Table11[[#This Row],[Vehicle_Type]], Table12[Date] &amp; Table12[Vehicle_Type],Table12[Feedback_Adjustment], 0)</f>
        <v>0</v>
      </c>
      <c r="Q207" s="82">
        <f>Table11[[#This Row],[Forecasted_Units]]*(1+Table11[[#This Row],[Adjustment_Percentage]])</f>
        <v>99.31619324877299</v>
      </c>
      <c r="R207" s="82"/>
    </row>
    <row r="208" spans="1:18">
      <c r="A208" s="53">
        <v>48185</v>
      </c>
      <c r="B208" s="14" t="s">
        <v>10</v>
      </c>
      <c r="C208" s="15" t="str">
        <f>TEXT(Table11[[#This Row],[Date]],"mmmm")</f>
        <v>December</v>
      </c>
      <c r="D208" s="14">
        <v>93</v>
      </c>
      <c r="E208" s="82">
        <f>_xlfn.FORECAST.LINEAR(Table11[[#This Row],[Date]],Table11[Units_Sold],Table11[Date])</f>
        <v>99.317357445429778</v>
      </c>
      <c r="F208" cm="1">
        <f t="array" ref="F208">_xlfn.IFS(Table11[[#This Row],[Vehicle_Type]]="SUV",250,Table11[[#This Row],[Vehicle_Type]]="Sedan",200,Table11[[#This Row],[Vehicle_Type]]="Hatchback",185,Table11[[#This Row],[Vehicle_Type]]="Electric",190,Table11[[#This Row],[Vehicle_Type]]="Truck",150)</f>
        <v>200</v>
      </c>
      <c r="G208">
        <f t="shared" ca="1" si="3"/>
        <v>23</v>
      </c>
      <c r="H208" s="82">
        <f>Table11[[#This Row],[Daily_Production]]-Table11[[#This Row],[Forecasted_Units]]</f>
        <v>100.68264255457022</v>
      </c>
      <c r="I208" cm="1">
        <f t="array" ref="I208">_xlfn.IFS(Table11[[#This Row],[Vehicle_Type]]="SUV",5,Table11[[#This Row],[Vehicle_Type]]="Sedan",7,Table11[[#This Row],[Vehicle_Type]]="Hatchback",10,Table11[[#This Row],[Vehicle_Type]]="Electric",11,Table11[[#This Row],[Vehicle_Type]]="Truck",13)</f>
        <v>7</v>
      </c>
      <c r="J208">
        <f ca="1">Table11[[#This Row],[Daily_Production]]*Table11[[#This Row],[Working_Days]]</f>
        <v>4600</v>
      </c>
      <c r="K208" s="81">
        <f>Table11[[#This Row],[Forecasted_Units]]*0.1</f>
        <v>9.9317357445429781</v>
      </c>
      <c r="L208" s="82">
        <f>Table11[[#This Row],[Adjusted_Forecast]]+Table11[[#This Row],[Safety_Stock]]-Table11[[#This Row],[Inventory_On_Hand]]</f>
        <v>8.566450635402532</v>
      </c>
      <c r="M208" s="82">
        <f ca="1">MIN(Table11[[#This Row],[Production_Needed]],Table11[[#This Row],[Production_Capacity]])</f>
        <v>8.566450635402532</v>
      </c>
      <c r="N208" s="82">
        <f ca="1">MAX(Table11[[#This Row],[Production_Needed]]-Table11[[#This Row],[Planned_Production]],0)</f>
        <v>0</v>
      </c>
      <c r="O208" s="82">
        <f ca="1">Table11[[#This Row],[Inventory_On_Hand]]+Table11[[#This Row],[Planned_Production]]-Table11[[#This Row],[Forecasted_Units]]</f>
        <v>9.9317357445429764</v>
      </c>
      <c r="P208" cm="1">
        <f t="array" ref="P208">_xlfn.XLOOKUP(Table11[[#This Row],[Date]] &amp; Table11[[#This Row],[Vehicle_Type]], Table12[Date] &amp; Table12[Vehicle_Type],Table12[Feedback_Adjustment], 0)</f>
        <v>0</v>
      </c>
      <c r="Q208" s="82">
        <f>Table11[[#This Row],[Forecasted_Units]]*(1+Table11[[#This Row],[Adjustment_Percentage]])</f>
        <v>99.317357445429778</v>
      </c>
      <c r="R208" s="82"/>
    </row>
    <row r="209" spans="1:18">
      <c r="A209" s="54">
        <v>48215</v>
      </c>
      <c r="B209" s="15" t="s">
        <v>13</v>
      </c>
      <c r="C209" s="15" t="str">
        <f>TEXT(Table11[[#This Row],[Date]],"mmmm")</f>
        <v>January</v>
      </c>
      <c r="D209" s="15">
        <v>99</v>
      </c>
      <c r="E209" s="82">
        <f>_xlfn.FORECAST.LINEAR(Table11[[#This Row],[Date]],Table11[Units_Sold],Table11[Date])</f>
        <v>99.318521642086566</v>
      </c>
      <c r="F209" cm="1">
        <f t="array" ref="F209">_xlfn.IFS(Table11[[#This Row],[Vehicle_Type]]="SUV",250,Table11[[#This Row],[Vehicle_Type]]="Sedan",200,Table11[[#This Row],[Vehicle_Type]]="Hatchback",185,Table11[[#This Row],[Vehicle_Type]]="Electric",190,Table11[[#This Row],[Vehicle_Type]]="Truck",150)</f>
        <v>190</v>
      </c>
      <c r="G209">
        <f t="shared" ca="1" si="3"/>
        <v>25</v>
      </c>
      <c r="H209" s="82">
        <f>Table11[[#This Row],[Daily_Production]]-Table11[[#This Row],[Forecasted_Units]]</f>
        <v>90.681478357913434</v>
      </c>
      <c r="I209" cm="1">
        <f t="array" ref="I209">_xlfn.IFS(Table11[[#This Row],[Vehicle_Type]]="SUV",5,Table11[[#This Row],[Vehicle_Type]]="Sedan",7,Table11[[#This Row],[Vehicle_Type]]="Hatchback",10,Table11[[#This Row],[Vehicle_Type]]="Electric",11,Table11[[#This Row],[Vehicle_Type]]="Truck",13)</f>
        <v>11</v>
      </c>
      <c r="J209">
        <f ca="1">Table11[[#This Row],[Daily_Production]]*Table11[[#This Row],[Working_Days]]</f>
        <v>4750</v>
      </c>
      <c r="K209" s="81">
        <f>Table11[[#This Row],[Forecasted_Units]]*0.1</f>
        <v>9.9318521642086566</v>
      </c>
      <c r="L209" s="82">
        <f>Table11[[#This Row],[Adjusted_Forecast]]+Table11[[#This Row],[Safety_Stock]]-Table11[[#This Row],[Inventory_On_Hand]]</f>
        <v>18.568895448381781</v>
      </c>
      <c r="M209" s="82">
        <f ca="1">MIN(Table11[[#This Row],[Production_Needed]],Table11[[#This Row],[Production_Capacity]])</f>
        <v>18.568895448381781</v>
      </c>
      <c r="N209" s="82">
        <f ca="1">MAX(Table11[[#This Row],[Production_Needed]]-Table11[[#This Row],[Planned_Production]],0)</f>
        <v>0</v>
      </c>
      <c r="O209" s="82">
        <f ca="1">Table11[[#This Row],[Inventory_On_Hand]]+Table11[[#This Row],[Planned_Production]]-Table11[[#This Row],[Forecasted_Units]]</f>
        <v>9.9318521642086495</v>
      </c>
      <c r="P209" cm="1">
        <f t="array" ref="P209">_xlfn.XLOOKUP(Table11[[#This Row],[Date]] &amp; Table11[[#This Row],[Vehicle_Type]], Table12[Date] &amp; Table12[Vehicle_Type],Table12[Feedback_Adjustment], 0)</f>
        <v>0</v>
      </c>
      <c r="Q209" s="82">
        <f>Table11[[#This Row],[Forecasted_Units]]*(1+Table11[[#This Row],[Adjustment_Percentage]])</f>
        <v>99.318521642086566</v>
      </c>
      <c r="R209" s="82"/>
    </row>
    <row r="210" spans="1:18">
      <c r="A210" s="53">
        <v>48245</v>
      </c>
      <c r="B210" s="14" t="s">
        <v>12</v>
      </c>
      <c r="C210" s="15" t="str">
        <f>TEXT(Table11[[#This Row],[Date]],"mmmm")</f>
        <v>February</v>
      </c>
      <c r="D210" s="14">
        <v>102</v>
      </c>
      <c r="E210" s="82">
        <f>_xlfn.FORECAST.LINEAR(Table11[[#This Row],[Date]],Table11[Units_Sold],Table11[Date])</f>
        <v>99.319685838743354</v>
      </c>
      <c r="F210" cm="1">
        <f t="array" ref="F210">_xlfn.IFS(Table11[[#This Row],[Vehicle_Type]]="SUV",250,Table11[[#This Row],[Vehicle_Type]]="Sedan",200,Table11[[#This Row],[Vehicle_Type]]="Hatchback",185,Table11[[#This Row],[Vehicle_Type]]="Electric",190,Table11[[#This Row],[Vehicle_Type]]="Truck",150)</f>
        <v>250</v>
      </c>
      <c r="G210">
        <f t="shared" ca="1" si="3"/>
        <v>25</v>
      </c>
      <c r="H210" s="82">
        <f>Table11[[#This Row],[Daily_Production]]-Table11[[#This Row],[Forecasted_Units]]</f>
        <v>150.68031416125666</v>
      </c>
      <c r="I210" cm="1">
        <f t="array" ref="I210">_xlfn.IFS(Table11[[#This Row],[Vehicle_Type]]="SUV",5,Table11[[#This Row],[Vehicle_Type]]="Sedan",7,Table11[[#This Row],[Vehicle_Type]]="Hatchback",10,Table11[[#This Row],[Vehicle_Type]]="Electric",11,Table11[[#This Row],[Vehicle_Type]]="Truck",13)</f>
        <v>5</v>
      </c>
      <c r="J210">
        <f ca="1">Table11[[#This Row],[Daily_Production]]*Table11[[#This Row],[Working_Days]]</f>
        <v>6250</v>
      </c>
      <c r="K210" s="81">
        <f>Table11[[#This Row],[Forecasted_Units]]*0.1</f>
        <v>9.9319685838743368</v>
      </c>
      <c r="L210" s="82">
        <f>Table11[[#This Row],[Adjusted_Forecast]]+Table11[[#This Row],[Safety_Stock]]-Table11[[#This Row],[Inventory_On_Hand]]</f>
        <v>-41.42865973863897</v>
      </c>
      <c r="M210" s="82">
        <f ca="1">MIN(Table11[[#This Row],[Production_Needed]],Table11[[#This Row],[Production_Capacity]])</f>
        <v>-41.42865973863897</v>
      </c>
      <c r="N210" s="82">
        <f ca="1">MAX(Table11[[#This Row],[Production_Needed]]-Table11[[#This Row],[Planned_Production]],0)</f>
        <v>0</v>
      </c>
      <c r="O210" s="82">
        <f ca="1">Table11[[#This Row],[Inventory_On_Hand]]+Table11[[#This Row],[Planned_Production]]-Table11[[#This Row],[Forecasted_Units]]</f>
        <v>9.9319685838743368</v>
      </c>
      <c r="P210" cm="1">
        <f t="array" ref="P210">_xlfn.XLOOKUP(Table11[[#This Row],[Date]] &amp; Table11[[#This Row],[Vehicle_Type]], Table12[Date] &amp; Table12[Vehicle_Type],Table12[Feedback_Adjustment], 0)</f>
        <v>0</v>
      </c>
      <c r="Q210" s="82">
        <f>Table11[[#This Row],[Forecasted_Units]]*(1+Table11[[#This Row],[Adjustment_Percentage]])</f>
        <v>99.319685838743354</v>
      </c>
      <c r="R210" s="82"/>
    </row>
    <row r="211" spans="1:18">
      <c r="A211" s="54">
        <v>48275</v>
      </c>
      <c r="B211" s="15" t="s">
        <v>11</v>
      </c>
      <c r="C211" s="15" t="str">
        <f>TEXT(Table11[[#This Row],[Date]],"mmmm")</f>
        <v>March</v>
      </c>
      <c r="D211" s="15">
        <v>106</v>
      </c>
      <c r="E211" s="82">
        <f>_xlfn.FORECAST.LINEAR(Table11[[#This Row],[Date]],Table11[Units_Sold],Table11[Date])</f>
        <v>99.320850035400142</v>
      </c>
      <c r="F211" cm="1">
        <f t="array" ref="F211">_xlfn.IFS(Table11[[#This Row],[Vehicle_Type]]="SUV",250,Table11[[#This Row],[Vehicle_Type]]="Sedan",200,Table11[[#This Row],[Vehicle_Type]]="Hatchback",185,Table11[[#This Row],[Vehicle_Type]]="Electric",190,Table11[[#This Row],[Vehicle_Type]]="Truck",150)</f>
        <v>185</v>
      </c>
      <c r="G211">
        <f t="shared" ca="1" si="3"/>
        <v>23</v>
      </c>
      <c r="H211" s="82">
        <f>Table11[[#This Row],[Daily_Production]]-Table11[[#This Row],[Forecasted_Units]]</f>
        <v>85.679149964599858</v>
      </c>
      <c r="I211" cm="1">
        <f t="array" ref="I211">_xlfn.IFS(Table11[[#This Row],[Vehicle_Type]]="SUV",5,Table11[[#This Row],[Vehicle_Type]]="Sedan",7,Table11[[#This Row],[Vehicle_Type]]="Hatchback",10,Table11[[#This Row],[Vehicle_Type]]="Electric",11,Table11[[#This Row],[Vehicle_Type]]="Truck",13)</f>
        <v>10</v>
      </c>
      <c r="J211">
        <f ca="1">Table11[[#This Row],[Daily_Production]]*Table11[[#This Row],[Working_Days]]</f>
        <v>4255</v>
      </c>
      <c r="K211" s="81">
        <f>Table11[[#This Row],[Forecasted_Units]]*0.1</f>
        <v>9.9320850035400152</v>
      </c>
      <c r="L211" s="82">
        <f>Table11[[#This Row],[Adjusted_Forecast]]+Table11[[#This Row],[Safety_Stock]]-Table11[[#This Row],[Inventory_On_Hand]]</f>
        <v>23.573785074340293</v>
      </c>
      <c r="M211" s="82">
        <f ca="1">MIN(Table11[[#This Row],[Production_Needed]],Table11[[#This Row],[Production_Capacity]])</f>
        <v>23.573785074340293</v>
      </c>
      <c r="N211" s="82">
        <f ca="1">MAX(Table11[[#This Row],[Production_Needed]]-Table11[[#This Row],[Planned_Production]],0)</f>
        <v>0</v>
      </c>
      <c r="O211" s="82">
        <f ca="1">Table11[[#This Row],[Inventory_On_Hand]]+Table11[[#This Row],[Planned_Production]]-Table11[[#This Row],[Forecasted_Units]]</f>
        <v>9.9320850035400099</v>
      </c>
      <c r="P211" cm="1">
        <f t="array" ref="P211">_xlfn.XLOOKUP(Table11[[#This Row],[Date]] &amp; Table11[[#This Row],[Vehicle_Type]], Table12[Date] &amp; Table12[Vehicle_Type],Table12[Feedback_Adjustment], 0)</f>
        <v>0</v>
      </c>
      <c r="Q211" s="82">
        <f>Table11[[#This Row],[Forecasted_Units]]*(1+Table11[[#This Row],[Adjustment_Percentage]])</f>
        <v>99.320850035400142</v>
      </c>
      <c r="R211" s="82"/>
    </row>
    <row r="212" spans="1:18">
      <c r="A212" s="53">
        <v>48305</v>
      </c>
      <c r="B212" s="14" t="s">
        <v>14</v>
      </c>
      <c r="C212" s="15" t="str">
        <f>TEXT(Table11[[#This Row],[Date]],"mmmm")</f>
        <v>April</v>
      </c>
      <c r="D212" s="14">
        <v>94</v>
      </c>
      <c r="E212" s="82">
        <f>_xlfn.FORECAST.LINEAR(Table11[[#This Row],[Date]],Table11[Units_Sold],Table11[Date])</f>
        <v>99.322014232056915</v>
      </c>
      <c r="F212" cm="1">
        <f t="array" ref="F212">_xlfn.IFS(Table11[[#This Row],[Vehicle_Type]]="SUV",250,Table11[[#This Row],[Vehicle_Type]]="Sedan",200,Table11[[#This Row],[Vehicle_Type]]="Hatchback",185,Table11[[#This Row],[Vehicle_Type]]="Electric",190,Table11[[#This Row],[Vehicle_Type]]="Truck",150)</f>
        <v>150</v>
      </c>
      <c r="G212">
        <f t="shared" ca="1" si="3"/>
        <v>21</v>
      </c>
      <c r="H212" s="82">
        <f>Table11[[#This Row],[Daily_Production]]-Table11[[#This Row],[Forecasted_Units]]</f>
        <v>50.677985767943085</v>
      </c>
      <c r="I212" cm="1">
        <f t="array" ref="I212">_xlfn.IFS(Table11[[#This Row],[Vehicle_Type]]="SUV",5,Table11[[#This Row],[Vehicle_Type]]="Sedan",7,Table11[[#This Row],[Vehicle_Type]]="Hatchback",10,Table11[[#This Row],[Vehicle_Type]]="Electric",11,Table11[[#This Row],[Vehicle_Type]]="Truck",13)</f>
        <v>13</v>
      </c>
      <c r="J212">
        <f ca="1">Table11[[#This Row],[Daily_Production]]*Table11[[#This Row],[Working_Days]]</f>
        <v>3150</v>
      </c>
      <c r="K212" s="81">
        <f>Table11[[#This Row],[Forecasted_Units]]*0.1</f>
        <v>9.9322014232056919</v>
      </c>
      <c r="L212" s="82">
        <f>Table11[[#This Row],[Adjusted_Forecast]]+Table11[[#This Row],[Safety_Stock]]-Table11[[#This Row],[Inventory_On_Hand]]</f>
        <v>58.576229887319528</v>
      </c>
      <c r="M212" s="82">
        <f ca="1">MIN(Table11[[#This Row],[Production_Needed]],Table11[[#This Row],[Production_Capacity]])</f>
        <v>58.576229887319528</v>
      </c>
      <c r="N212" s="82">
        <f ca="1">MAX(Table11[[#This Row],[Production_Needed]]-Table11[[#This Row],[Planned_Production]],0)</f>
        <v>0</v>
      </c>
      <c r="O212" s="82">
        <f ca="1">Table11[[#This Row],[Inventory_On_Hand]]+Table11[[#This Row],[Planned_Production]]-Table11[[#This Row],[Forecasted_Units]]</f>
        <v>9.9322014232056972</v>
      </c>
      <c r="P212" cm="1">
        <f t="array" ref="P212">_xlfn.XLOOKUP(Table11[[#This Row],[Date]] &amp; Table11[[#This Row],[Vehicle_Type]], Table12[Date] &amp; Table12[Vehicle_Type],Table12[Feedback_Adjustment], 0)</f>
        <v>0</v>
      </c>
      <c r="Q212" s="82">
        <f>Table11[[#This Row],[Forecasted_Units]]*(1+Table11[[#This Row],[Adjustment_Percentage]])</f>
        <v>99.322014232056915</v>
      </c>
      <c r="R212" s="82"/>
    </row>
    <row r="213" spans="1:18">
      <c r="A213" s="54">
        <v>48335</v>
      </c>
      <c r="B213" s="15" t="s">
        <v>12</v>
      </c>
      <c r="C213" s="15" t="str">
        <f>TEXT(Table11[[#This Row],[Date]],"mmmm")</f>
        <v>May</v>
      </c>
      <c r="D213" s="15">
        <v>105</v>
      </c>
      <c r="E213" s="82">
        <f>_xlfn.FORECAST.LINEAR(Table11[[#This Row],[Date]],Table11[Units_Sold],Table11[Date])</f>
        <v>99.323178428713703</v>
      </c>
      <c r="F213" cm="1">
        <f t="array" ref="F213">_xlfn.IFS(Table11[[#This Row],[Vehicle_Type]]="SUV",250,Table11[[#This Row],[Vehicle_Type]]="Sedan",200,Table11[[#This Row],[Vehicle_Type]]="Hatchback",185,Table11[[#This Row],[Vehicle_Type]]="Electric",190,Table11[[#This Row],[Vehicle_Type]]="Truck",150)</f>
        <v>250</v>
      </c>
      <c r="G213">
        <f t="shared" ca="1" si="3"/>
        <v>23</v>
      </c>
      <c r="H213" s="82">
        <f>Table11[[#This Row],[Daily_Production]]-Table11[[#This Row],[Forecasted_Units]]</f>
        <v>150.6768215712863</v>
      </c>
      <c r="I213" cm="1">
        <f t="array" ref="I213">_xlfn.IFS(Table11[[#This Row],[Vehicle_Type]]="SUV",5,Table11[[#This Row],[Vehicle_Type]]="Sedan",7,Table11[[#This Row],[Vehicle_Type]]="Hatchback",10,Table11[[#This Row],[Vehicle_Type]]="Electric",11,Table11[[#This Row],[Vehicle_Type]]="Truck",13)</f>
        <v>5</v>
      </c>
      <c r="J213">
        <f ca="1">Table11[[#This Row],[Daily_Production]]*Table11[[#This Row],[Working_Days]]</f>
        <v>5750</v>
      </c>
      <c r="K213" s="81">
        <f>Table11[[#This Row],[Forecasted_Units]]*0.1</f>
        <v>9.9323178428713703</v>
      </c>
      <c r="L213" s="82">
        <f>Table11[[#This Row],[Adjusted_Forecast]]+Table11[[#This Row],[Safety_Stock]]-Table11[[#This Row],[Inventory_On_Hand]]</f>
        <v>-41.421325299701223</v>
      </c>
      <c r="M213" s="82">
        <f ca="1">MIN(Table11[[#This Row],[Production_Needed]],Table11[[#This Row],[Production_Capacity]])</f>
        <v>-41.421325299701223</v>
      </c>
      <c r="N213" s="82">
        <f ca="1">MAX(Table11[[#This Row],[Production_Needed]]-Table11[[#This Row],[Planned_Production]],0)</f>
        <v>0</v>
      </c>
      <c r="O213" s="82">
        <f ca="1">Table11[[#This Row],[Inventory_On_Hand]]+Table11[[#This Row],[Planned_Production]]-Table11[[#This Row],[Forecasted_Units]]</f>
        <v>9.9323178428713703</v>
      </c>
      <c r="P213" cm="1">
        <f t="array" ref="P213">_xlfn.XLOOKUP(Table11[[#This Row],[Date]] &amp; Table11[[#This Row],[Vehicle_Type]], Table12[Date] &amp; Table12[Vehicle_Type],Table12[Feedback_Adjustment], 0)</f>
        <v>0</v>
      </c>
      <c r="Q213" s="82">
        <f>Table11[[#This Row],[Forecasted_Units]]*(1+Table11[[#This Row],[Adjustment_Percentage]])</f>
        <v>99.323178428713703</v>
      </c>
      <c r="R213" s="82"/>
    </row>
    <row r="214" spans="1:18">
      <c r="A214" s="53">
        <v>48365</v>
      </c>
      <c r="B214" s="14" t="s">
        <v>13</v>
      </c>
      <c r="C214" s="15" t="str">
        <f>TEXT(Table11[[#This Row],[Date]],"mmmm")</f>
        <v>May</v>
      </c>
      <c r="D214" s="14">
        <v>100</v>
      </c>
      <c r="E214" s="82">
        <f>_xlfn.FORECAST.LINEAR(Table11[[#This Row],[Date]],Table11[Units_Sold],Table11[Date])</f>
        <v>99.324342625370491</v>
      </c>
      <c r="F214" cm="1">
        <f t="array" ref="F214">_xlfn.IFS(Table11[[#This Row],[Vehicle_Type]]="SUV",250,Table11[[#This Row],[Vehicle_Type]]="Sedan",200,Table11[[#This Row],[Vehicle_Type]]="Hatchback",185,Table11[[#This Row],[Vehicle_Type]]="Electric",190,Table11[[#This Row],[Vehicle_Type]]="Truck",150)</f>
        <v>190</v>
      </c>
      <c r="G214">
        <f t="shared" ca="1" si="3"/>
        <v>20</v>
      </c>
      <c r="H214" s="82">
        <f>Table11[[#This Row],[Daily_Production]]-Table11[[#This Row],[Forecasted_Units]]</f>
        <v>90.675657374629509</v>
      </c>
      <c r="I214" cm="1">
        <f t="array" ref="I214">_xlfn.IFS(Table11[[#This Row],[Vehicle_Type]]="SUV",5,Table11[[#This Row],[Vehicle_Type]]="Sedan",7,Table11[[#This Row],[Vehicle_Type]]="Hatchback",10,Table11[[#This Row],[Vehicle_Type]]="Electric",11,Table11[[#This Row],[Vehicle_Type]]="Truck",13)</f>
        <v>11</v>
      </c>
      <c r="J214">
        <f ca="1">Table11[[#This Row],[Daily_Production]]*Table11[[#This Row],[Working_Days]]</f>
        <v>3800</v>
      </c>
      <c r="K214" s="81">
        <f>Table11[[#This Row],[Forecasted_Units]]*0.1</f>
        <v>9.9324342625370505</v>
      </c>
      <c r="L214" s="82">
        <f>Table11[[#This Row],[Adjusted_Forecast]]+Table11[[#This Row],[Safety_Stock]]-Table11[[#This Row],[Inventory_On_Hand]]</f>
        <v>18.581119513278026</v>
      </c>
      <c r="M214" s="82">
        <f ca="1">MIN(Table11[[#This Row],[Production_Needed]],Table11[[#This Row],[Production_Capacity]])</f>
        <v>18.581119513278026</v>
      </c>
      <c r="N214" s="82">
        <f ca="1">MAX(Table11[[#This Row],[Production_Needed]]-Table11[[#This Row],[Planned_Production]],0)</f>
        <v>0</v>
      </c>
      <c r="O214" s="82">
        <f ca="1">Table11[[#This Row],[Inventory_On_Hand]]+Table11[[#This Row],[Planned_Production]]-Table11[[#This Row],[Forecasted_Units]]</f>
        <v>9.9324342625370434</v>
      </c>
      <c r="P214" cm="1">
        <f t="array" ref="P214">_xlfn.XLOOKUP(Table11[[#This Row],[Date]] &amp; Table11[[#This Row],[Vehicle_Type]], Table12[Date] &amp; Table12[Vehicle_Type],Table12[Feedback_Adjustment], 0)</f>
        <v>0</v>
      </c>
      <c r="Q214" s="82">
        <f>Table11[[#This Row],[Forecasted_Units]]*(1+Table11[[#This Row],[Adjustment_Percentage]])</f>
        <v>99.324342625370491</v>
      </c>
      <c r="R214" s="82"/>
    </row>
    <row r="215" spans="1:18">
      <c r="A215" s="54">
        <v>48395</v>
      </c>
      <c r="B215" s="15" t="s">
        <v>12</v>
      </c>
      <c r="C215" s="15" t="str">
        <f>TEXT(Table11[[#This Row],[Date]],"mmmm")</f>
        <v>June</v>
      </c>
      <c r="D215" s="15">
        <v>122</v>
      </c>
      <c r="E215" s="82">
        <f>_xlfn.FORECAST.LINEAR(Table11[[#This Row],[Date]],Table11[Units_Sold],Table11[Date])</f>
        <v>99.325506822027279</v>
      </c>
      <c r="F215" cm="1">
        <f t="array" ref="F215">_xlfn.IFS(Table11[[#This Row],[Vehicle_Type]]="SUV",250,Table11[[#This Row],[Vehicle_Type]]="Sedan",200,Table11[[#This Row],[Vehicle_Type]]="Hatchback",185,Table11[[#This Row],[Vehicle_Type]]="Electric",190,Table11[[#This Row],[Vehicle_Type]]="Truck",150)</f>
        <v>250</v>
      </c>
      <c r="G215">
        <f t="shared" ca="1" si="3"/>
        <v>22</v>
      </c>
      <c r="H215" s="82">
        <f>Table11[[#This Row],[Daily_Production]]-Table11[[#This Row],[Forecasted_Units]]</f>
        <v>150.67449317797272</v>
      </c>
      <c r="I215" cm="1">
        <f t="array" ref="I215">_xlfn.IFS(Table11[[#This Row],[Vehicle_Type]]="SUV",5,Table11[[#This Row],[Vehicle_Type]]="Sedan",7,Table11[[#This Row],[Vehicle_Type]]="Hatchback",10,Table11[[#This Row],[Vehicle_Type]]="Electric",11,Table11[[#This Row],[Vehicle_Type]]="Truck",13)</f>
        <v>5</v>
      </c>
      <c r="J215">
        <f ca="1">Table11[[#This Row],[Daily_Production]]*Table11[[#This Row],[Working_Days]]</f>
        <v>5500</v>
      </c>
      <c r="K215" s="81">
        <f>Table11[[#This Row],[Forecasted_Units]]*0.1</f>
        <v>9.932550682202729</v>
      </c>
      <c r="L215" s="82">
        <f>Table11[[#This Row],[Adjusted_Forecast]]+Table11[[#This Row],[Safety_Stock]]-Table11[[#This Row],[Inventory_On_Hand]]</f>
        <v>-41.416435673742711</v>
      </c>
      <c r="M215" s="82">
        <f ca="1">MIN(Table11[[#This Row],[Production_Needed]],Table11[[#This Row],[Production_Capacity]])</f>
        <v>-41.416435673742711</v>
      </c>
      <c r="N215" s="82">
        <f ca="1">MAX(Table11[[#This Row],[Production_Needed]]-Table11[[#This Row],[Planned_Production]],0)</f>
        <v>0</v>
      </c>
      <c r="O215" s="82">
        <f ca="1">Table11[[#This Row],[Inventory_On_Hand]]+Table11[[#This Row],[Planned_Production]]-Table11[[#This Row],[Forecasted_Units]]</f>
        <v>9.9325506822027307</v>
      </c>
      <c r="P215" cm="1">
        <f t="array" ref="P215">_xlfn.XLOOKUP(Table11[[#This Row],[Date]] &amp; Table11[[#This Row],[Vehicle_Type]], Table12[Date] &amp; Table12[Vehicle_Type],Table12[Feedback_Adjustment], 0)</f>
        <v>0</v>
      </c>
      <c r="Q215" s="82">
        <f>Table11[[#This Row],[Forecasted_Units]]*(1+Table11[[#This Row],[Adjustment_Percentage]])</f>
        <v>99.325506822027279</v>
      </c>
      <c r="R215" s="82"/>
    </row>
    <row r="216" spans="1:18">
      <c r="A216" s="53">
        <v>48425</v>
      </c>
      <c r="B216" s="14" t="s">
        <v>13</v>
      </c>
      <c r="C216" s="15" t="str">
        <f>TEXT(Table11[[#This Row],[Date]],"mmmm")</f>
        <v>July</v>
      </c>
      <c r="D216" s="14">
        <v>103</v>
      </c>
      <c r="E216" s="82">
        <f>_xlfn.FORECAST.LINEAR(Table11[[#This Row],[Date]],Table11[Units_Sold],Table11[Date])</f>
        <v>99.326671018684067</v>
      </c>
      <c r="F216" cm="1">
        <f t="array" ref="F216">_xlfn.IFS(Table11[[#This Row],[Vehicle_Type]]="SUV",250,Table11[[#This Row],[Vehicle_Type]]="Sedan",200,Table11[[#This Row],[Vehicle_Type]]="Hatchback",185,Table11[[#This Row],[Vehicle_Type]]="Electric",190,Table11[[#This Row],[Vehicle_Type]]="Truck",150)</f>
        <v>190</v>
      </c>
      <c r="G216">
        <f t="shared" ca="1" si="3"/>
        <v>24</v>
      </c>
      <c r="H216" s="82">
        <f>Table11[[#This Row],[Daily_Production]]-Table11[[#This Row],[Forecasted_Units]]</f>
        <v>90.673328981315933</v>
      </c>
      <c r="I216" cm="1">
        <f t="array" ref="I216">_xlfn.IFS(Table11[[#This Row],[Vehicle_Type]]="SUV",5,Table11[[#This Row],[Vehicle_Type]]="Sedan",7,Table11[[#This Row],[Vehicle_Type]]="Hatchback",10,Table11[[#This Row],[Vehicle_Type]]="Electric",11,Table11[[#This Row],[Vehicle_Type]]="Truck",13)</f>
        <v>11</v>
      </c>
      <c r="J216">
        <f ca="1">Table11[[#This Row],[Daily_Production]]*Table11[[#This Row],[Working_Days]]</f>
        <v>4560</v>
      </c>
      <c r="K216" s="81">
        <f>Table11[[#This Row],[Forecasted_Units]]*0.1</f>
        <v>9.9326671018684074</v>
      </c>
      <c r="L216" s="82">
        <f>Table11[[#This Row],[Adjusted_Forecast]]+Table11[[#This Row],[Safety_Stock]]-Table11[[#This Row],[Inventory_On_Hand]]</f>
        <v>18.586009139236538</v>
      </c>
      <c r="M216" s="82">
        <f ca="1">MIN(Table11[[#This Row],[Production_Needed]],Table11[[#This Row],[Production_Capacity]])</f>
        <v>18.586009139236538</v>
      </c>
      <c r="N216" s="82">
        <f ca="1">MAX(Table11[[#This Row],[Production_Needed]]-Table11[[#This Row],[Planned_Production]],0)</f>
        <v>0</v>
      </c>
      <c r="O216" s="82">
        <f ca="1">Table11[[#This Row],[Inventory_On_Hand]]+Table11[[#This Row],[Planned_Production]]-Table11[[#This Row],[Forecasted_Units]]</f>
        <v>9.9326671018684038</v>
      </c>
      <c r="P216" cm="1">
        <f t="array" ref="P216">_xlfn.XLOOKUP(Table11[[#This Row],[Date]] &amp; Table11[[#This Row],[Vehicle_Type]], Table12[Date] &amp; Table12[Vehicle_Type],Table12[Feedback_Adjustment], 0)</f>
        <v>0</v>
      </c>
      <c r="Q216" s="82">
        <f>Table11[[#This Row],[Forecasted_Units]]*(1+Table11[[#This Row],[Adjustment_Percentage]])</f>
        <v>99.326671018684067</v>
      </c>
      <c r="R216" s="82"/>
    </row>
    <row r="217" spans="1:18">
      <c r="A217" s="54">
        <v>48455</v>
      </c>
      <c r="B217" s="15" t="s">
        <v>13</v>
      </c>
      <c r="C217" s="15" t="str">
        <f>TEXT(Table11[[#This Row],[Date]],"mmmm")</f>
        <v>August</v>
      </c>
      <c r="D217" s="15">
        <v>119</v>
      </c>
      <c r="E217" s="82">
        <f>_xlfn.FORECAST.LINEAR(Table11[[#This Row],[Date]],Table11[Units_Sold],Table11[Date])</f>
        <v>99.327835215340855</v>
      </c>
      <c r="F217" cm="1">
        <f t="array" ref="F217">_xlfn.IFS(Table11[[#This Row],[Vehicle_Type]]="SUV",250,Table11[[#This Row],[Vehicle_Type]]="Sedan",200,Table11[[#This Row],[Vehicle_Type]]="Hatchback",185,Table11[[#This Row],[Vehicle_Type]]="Electric",190,Table11[[#This Row],[Vehicle_Type]]="Truck",150)</f>
        <v>190</v>
      </c>
      <c r="G217">
        <f t="shared" ca="1" si="3"/>
        <v>22</v>
      </c>
      <c r="H217" s="82">
        <f>Table11[[#This Row],[Daily_Production]]-Table11[[#This Row],[Forecasted_Units]]</f>
        <v>90.672164784659145</v>
      </c>
      <c r="I217" cm="1">
        <f t="array" ref="I217">_xlfn.IFS(Table11[[#This Row],[Vehicle_Type]]="SUV",5,Table11[[#This Row],[Vehicle_Type]]="Sedan",7,Table11[[#This Row],[Vehicle_Type]]="Hatchback",10,Table11[[#This Row],[Vehicle_Type]]="Electric",11,Table11[[#This Row],[Vehicle_Type]]="Truck",13)</f>
        <v>11</v>
      </c>
      <c r="J217">
        <f ca="1">Table11[[#This Row],[Daily_Production]]*Table11[[#This Row],[Working_Days]]</f>
        <v>4180</v>
      </c>
      <c r="K217" s="81">
        <f>Table11[[#This Row],[Forecasted_Units]]*0.1</f>
        <v>9.9327835215340858</v>
      </c>
      <c r="L217" s="82">
        <f>Table11[[#This Row],[Adjusted_Forecast]]+Table11[[#This Row],[Safety_Stock]]-Table11[[#This Row],[Inventory_On_Hand]]</f>
        <v>18.588453952215801</v>
      </c>
      <c r="M217" s="82">
        <f ca="1">MIN(Table11[[#This Row],[Production_Needed]],Table11[[#This Row],[Production_Capacity]])</f>
        <v>18.588453952215801</v>
      </c>
      <c r="N217" s="82">
        <f ca="1">MAX(Table11[[#This Row],[Production_Needed]]-Table11[[#This Row],[Planned_Production]],0)</f>
        <v>0</v>
      </c>
      <c r="O217" s="82">
        <f ca="1">Table11[[#This Row],[Inventory_On_Hand]]+Table11[[#This Row],[Planned_Production]]-Table11[[#This Row],[Forecasted_Units]]</f>
        <v>9.9327835215340912</v>
      </c>
      <c r="P217" cm="1">
        <f t="array" ref="P217">_xlfn.XLOOKUP(Table11[[#This Row],[Date]] &amp; Table11[[#This Row],[Vehicle_Type]], Table12[Date] &amp; Table12[Vehicle_Type],Table12[Feedback_Adjustment], 0)</f>
        <v>0</v>
      </c>
      <c r="Q217" s="82">
        <f>Table11[[#This Row],[Forecasted_Units]]*(1+Table11[[#This Row],[Adjustment_Percentage]])</f>
        <v>99.327835215340855</v>
      </c>
      <c r="R217" s="82"/>
    </row>
    <row r="218" spans="1:18">
      <c r="A218" s="53">
        <v>48485</v>
      </c>
      <c r="B218" s="14" t="s">
        <v>14</v>
      </c>
      <c r="C218" s="15" t="str">
        <f>TEXT(Table11[[#This Row],[Date]],"mmmm")</f>
        <v>September</v>
      </c>
      <c r="D218" s="14">
        <v>76</v>
      </c>
      <c r="E218" s="82">
        <f>_xlfn.FORECAST.LINEAR(Table11[[#This Row],[Date]],Table11[Units_Sold],Table11[Date])</f>
        <v>99.328999411997643</v>
      </c>
      <c r="F218" cm="1">
        <f t="array" ref="F218">_xlfn.IFS(Table11[[#This Row],[Vehicle_Type]]="SUV",250,Table11[[#This Row],[Vehicle_Type]]="Sedan",200,Table11[[#This Row],[Vehicle_Type]]="Hatchback",185,Table11[[#This Row],[Vehicle_Type]]="Electric",190,Table11[[#This Row],[Vehicle_Type]]="Truck",150)</f>
        <v>150</v>
      </c>
      <c r="G218">
        <f t="shared" ca="1" si="3"/>
        <v>22</v>
      </c>
      <c r="H218" s="82">
        <f>Table11[[#This Row],[Daily_Production]]-Table11[[#This Row],[Forecasted_Units]]</f>
        <v>50.671000588002357</v>
      </c>
      <c r="I218" cm="1">
        <f t="array" ref="I218">_xlfn.IFS(Table11[[#This Row],[Vehicle_Type]]="SUV",5,Table11[[#This Row],[Vehicle_Type]]="Sedan",7,Table11[[#This Row],[Vehicle_Type]]="Hatchback",10,Table11[[#This Row],[Vehicle_Type]]="Electric",11,Table11[[#This Row],[Vehicle_Type]]="Truck",13)</f>
        <v>13</v>
      </c>
      <c r="J218">
        <f ca="1">Table11[[#This Row],[Daily_Production]]*Table11[[#This Row],[Working_Days]]</f>
        <v>3300</v>
      </c>
      <c r="K218" s="81">
        <f>Table11[[#This Row],[Forecasted_Units]]*0.1</f>
        <v>9.9328999411997643</v>
      </c>
      <c r="L218" s="82">
        <f>Table11[[#This Row],[Adjusted_Forecast]]+Table11[[#This Row],[Safety_Stock]]-Table11[[#This Row],[Inventory_On_Hand]]</f>
        <v>58.59089876519505</v>
      </c>
      <c r="M218" s="82">
        <f ca="1">MIN(Table11[[#This Row],[Production_Needed]],Table11[[#This Row],[Production_Capacity]])</f>
        <v>58.59089876519505</v>
      </c>
      <c r="N218" s="82">
        <f ca="1">MAX(Table11[[#This Row],[Production_Needed]]-Table11[[#This Row],[Planned_Production]],0)</f>
        <v>0</v>
      </c>
      <c r="O218" s="82">
        <f ca="1">Table11[[#This Row],[Inventory_On_Hand]]+Table11[[#This Row],[Planned_Production]]-Table11[[#This Row],[Forecasted_Units]]</f>
        <v>9.9328999411997643</v>
      </c>
      <c r="P218" cm="1">
        <f t="array" ref="P218">_xlfn.XLOOKUP(Table11[[#This Row],[Date]] &amp; Table11[[#This Row],[Vehicle_Type]], Table12[Date] &amp; Table12[Vehicle_Type],Table12[Feedback_Adjustment], 0)</f>
        <v>0</v>
      </c>
      <c r="Q218" s="82">
        <f>Table11[[#This Row],[Forecasted_Units]]*(1+Table11[[#This Row],[Adjustment_Percentage]])</f>
        <v>99.328999411997643</v>
      </c>
      <c r="R218" s="82"/>
    </row>
    <row r="219" spans="1:18">
      <c r="A219" s="54">
        <v>48515</v>
      </c>
      <c r="B219" s="15" t="s">
        <v>12</v>
      </c>
      <c r="C219" s="15" t="str">
        <f>TEXT(Table11[[#This Row],[Date]],"mmmm")</f>
        <v>October</v>
      </c>
      <c r="D219" s="15">
        <v>96</v>
      </c>
      <c r="E219" s="82">
        <f>_xlfn.FORECAST.LINEAR(Table11[[#This Row],[Date]],Table11[Units_Sold],Table11[Date])</f>
        <v>99.330163608654431</v>
      </c>
      <c r="F219" cm="1">
        <f t="array" ref="F219">_xlfn.IFS(Table11[[#This Row],[Vehicle_Type]]="SUV",250,Table11[[#This Row],[Vehicle_Type]]="Sedan",200,Table11[[#This Row],[Vehicle_Type]]="Hatchback",185,Table11[[#This Row],[Vehicle_Type]]="Electric",190,Table11[[#This Row],[Vehicle_Type]]="Truck",150)</f>
        <v>250</v>
      </c>
      <c r="G219">
        <f t="shared" ca="1" si="3"/>
        <v>25</v>
      </c>
      <c r="H219" s="82">
        <f>Table11[[#This Row],[Daily_Production]]-Table11[[#This Row],[Forecasted_Units]]</f>
        <v>150.66983639134557</v>
      </c>
      <c r="I219" cm="1">
        <f t="array" ref="I219">_xlfn.IFS(Table11[[#This Row],[Vehicle_Type]]="SUV",5,Table11[[#This Row],[Vehicle_Type]]="Sedan",7,Table11[[#This Row],[Vehicle_Type]]="Hatchback",10,Table11[[#This Row],[Vehicle_Type]]="Electric",11,Table11[[#This Row],[Vehicle_Type]]="Truck",13)</f>
        <v>5</v>
      </c>
      <c r="J219">
        <f ca="1">Table11[[#This Row],[Daily_Production]]*Table11[[#This Row],[Working_Days]]</f>
        <v>6250</v>
      </c>
      <c r="K219" s="81">
        <f>Table11[[#This Row],[Forecasted_Units]]*0.1</f>
        <v>9.9330163608654445</v>
      </c>
      <c r="L219" s="82">
        <f>Table11[[#This Row],[Adjusted_Forecast]]+Table11[[#This Row],[Safety_Stock]]-Table11[[#This Row],[Inventory_On_Hand]]</f>
        <v>-41.406656421825687</v>
      </c>
      <c r="M219" s="82">
        <f ca="1">MIN(Table11[[#This Row],[Production_Needed]],Table11[[#This Row],[Production_Capacity]])</f>
        <v>-41.406656421825687</v>
      </c>
      <c r="N219" s="82">
        <f ca="1">MAX(Table11[[#This Row],[Production_Needed]]-Table11[[#This Row],[Planned_Production]],0)</f>
        <v>0</v>
      </c>
      <c r="O219" s="82">
        <f ca="1">Table11[[#This Row],[Inventory_On_Hand]]+Table11[[#This Row],[Planned_Production]]-Table11[[#This Row],[Forecasted_Units]]</f>
        <v>9.9330163608654516</v>
      </c>
      <c r="P219" cm="1">
        <f t="array" ref="P219">_xlfn.XLOOKUP(Table11[[#This Row],[Date]] &amp; Table11[[#This Row],[Vehicle_Type]], Table12[Date] &amp; Table12[Vehicle_Type],Table12[Feedback_Adjustment], 0)</f>
        <v>0</v>
      </c>
      <c r="Q219" s="82">
        <f>Table11[[#This Row],[Forecasted_Units]]*(1+Table11[[#This Row],[Adjustment_Percentage]])</f>
        <v>99.330163608654431</v>
      </c>
      <c r="R219" s="82"/>
    </row>
    <row r="220" spans="1:18">
      <c r="A220" s="53">
        <v>48545</v>
      </c>
      <c r="B220" s="14" t="s">
        <v>14</v>
      </c>
      <c r="C220" s="15" t="str">
        <f>TEXT(Table11[[#This Row],[Date]],"mmmm")</f>
        <v>November</v>
      </c>
      <c r="D220" s="14">
        <v>103</v>
      </c>
      <c r="E220" s="82">
        <f>_xlfn.FORECAST.LINEAR(Table11[[#This Row],[Date]],Table11[Units_Sold],Table11[Date])</f>
        <v>99.331327805311219</v>
      </c>
      <c r="F220" cm="1">
        <f t="array" ref="F220">_xlfn.IFS(Table11[[#This Row],[Vehicle_Type]]="SUV",250,Table11[[#This Row],[Vehicle_Type]]="Sedan",200,Table11[[#This Row],[Vehicle_Type]]="Hatchback",185,Table11[[#This Row],[Vehicle_Type]]="Electric",190,Table11[[#This Row],[Vehicle_Type]]="Truck",150)</f>
        <v>150</v>
      </c>
      <c r="G220">
        <f t="shared" ca="1" si="3"/>
        <v>21</v>
      </c>
      <c r="H220" s="82">
        <f>Table11[[#This Row],[Daily_Production]]-Table11[[#This Row],[Forecasted_Units]]</f>
        <v>50.668672194688781</v>
      </c>
      <c r="I220" cm="1">
        <f t="array" ref="I220">_xlfn.IFS(Table11[[#This Row],[Vehicle_Type]]="SUV",5,Table11[[#This Row],[Vehicle_Type]]="Sedan",7,Table11[[#This Row],[Vehicle_Type]]="Hatchback",10,Table11[[#This Row],[Vehicle_Type]]="Electric",11,Table11[[#This Row],[Vehicle_Type]]="Truck",13)</f>
        <v>13</v>
      </c>
      <c r="J220">
        <f ca="1">Table11[[#This Row],[Daily_Production]]*Table11[[#This Row],[Working_Days]]</f>
        <v>3150</v>
      </c>
      <c r="K220" s="81">
        <f>Table11[[#This Row],[Forecasted_Units]]*0.1</f>
        <v>9.9331327805311229</v>
      </c>
      <c r="L220" s="82">
        <f>Table11[[#This Row],[Adjusted_Forecast]]+Table11[[#This Row],[Safety_Stock]]-Table11[[#This Row],[Inventory_On_Hand]]</f>
        <v>58.595788391153562</v>
      </c>
      <c r="M220" s="82">
        <f ca="1">MIN(Table11[[#This Row],[Production_Needed]],Table11[[#This Row],[Production_Capacity]])</f>
        <v>58.595788391153562</v>
      </c>
      <c r="N220" s="82">
        <f ca="1">MAX(Table11[[#This Row],[Production_Needed]]-Table11[[#This Row],[Planned_Production]],0)</f>
        <v>0</v>
      </c>
      <c r="O220" s="82">
        <f ca="1">Table11[[#This Row],[Inventory_On_Hand]]+Table11[[#This Row],[Planned_Production]]-Table11[[#This Row],[Forecasted_Units]]</f>
        <v>9.9331327805311247</v>
      </c>
      <c r="P220" cm="1">
        <f t="array" ref="P220">_xlfn.XLOOKUP(Table11[[#This Row],[Date]] &amp; Table11[[#This Row],[Vehicle_Type]], Table12[Date] &amp; Table12[Vehicle_Type],Table12[Feedback_Adjustment], 0)</f>
        <v>0</v>
      </c>
      <c r="Q220" s="82">
        <f>Table11[[#This Row],[Forecasted_Units]]*(1+Table11[[#This Row],[Adjustment_Percentage]])</f>
        <v>99.331327805311219</v>
      </c>
      <c r="R220" s="82"/>
    </row>
    <row r="221" spans="1:18">
      <c r="A221" s="54">
        <v>48575</v>
      </c>
      <c r="B221" s="15" t="s">
        <v>14</v>
      </c>
      <c r="C221" s="15" t="str">
        <f>TEXT(Table11[[#This Row],[Date]],"mmmm")</f>
        <v>December</v>
      </c>
      <c r="D221" s="15">
        <v>111</v>
      </c>
      <c r="E221" s="82">
        <f>_xlfn.FORECAST.LINEAR(Table11[[#This Row],[Date]],Table11[Units_Sold],Table11[Date])</f>
        <v>99.332492001968006</v>
      </c>
      <c r="F221" cm="1">
        <f t="array" ref="F221">_xlfn.IFS(Table11[[#This Row],[Vehicle_Type]]="SUV",250,Table11[[#This Row],[Vehicle_Type]]="Sedan",200,Table11[[#This Row],[Vehicle_Type]]="Hatchback",185,Table11[[#This Row],[Vehicle_Type]]="Electric",190,Table11[[#This Row],[Vehicle_Type]]="Truck",150)</f>
        <v>150</v>
      </c>
      <c r="G221">
        <f t="shared" ca="1" si="3"/>
        <v>24</v>
      </c>
      <c r="H221" s="82">
        <f>Table11[[#This Row],[Daily_Production]]-Table11[[#This Row],[Forecasted_Units]]</f>
        <v>50.667507998031994</v>
      </c>
      <c r="I221" cm="1">
        <f t="array" ref="I221">_xlfn.IFS(Table11[[#This Row],[Vehicle_Type]]="SUV",5,Table11[[#This Row],[Vehicle_Type]]="Sedan",7,Table11[[#This Row],[Vehicle_Type]]="Hatchback",10,Table11[[#This Row],[Vehicle_Type]]="Electric",11,Table11[[#This Row],[Vehicle_Type]]="Truck",13)</f>
        <v>13</v>
      </c>
      <c r="J221">
        <f ca="1">Table11[[#This Row],[Daily_Production]]*Table11[[#This Row],[Working_Days]]</f>
        <v>3600</v>
      </c>
      <c r="K221" s="81">
        <f>Table11[[#This Row],[Forecasted_Units]]*0.1</f>
        <v>9.9332492001968014</v>
      </c>
      <c r="L221" s="82">
        <f>Table11[[#This Row],[Adjusted_Forecast]]+Table11[[#This Row],[Safety_Stock]]-Table11[[#This Row],[Inventory_On_Hand]]</f>
        <v>58.598233204132811</v>
      </c>
      <c r="M221" s="82">
        <f ca="1">MIN(Table11[[#This Row],[Production_Needed]],Table11[[#This Row],[Production_Capacity]])</f>
        <v>58.598233204132811</v>
      </c>
      <c r="N221" s="82">
        <f ca="1">MAX(Table11[[#This Row],[Production_Needed]]-Table11[[#This Row],[Planned_Production]],0)</f>
        <v>0</v>
      </c>
      <c r="O221" s="82">
        <f ca="1">Table11[[#This Row],[Inventory_On_Hand]]+Table11[[#This Row],[Planned_Production]]-Table11[[#This Row],[Forecasted_Units]]</f>
        <v>9.9332492001967978</v>
      </c>
      <c r="P221" cm="1">
        <f t="array" ref="P221">_xlfn.XLOOKUP(Table11[[#This Row],[Date]] &amp; Table11[[#This Row],[Vehicle_Type]], Table12[Date] &amp; Table12[Vehicle_Type],Table12[Feedback_Adjustment], 0)</f>
        <v>0</v>
      </c>
      <c r="Q221" s="82">
        <f>Table11[[#This Row],[Forecasted_Units]]*(1+Table11[[#This Row],[Adjustment_Percentage]])</f>
        <v>99.332492001968006</v>
      </c>
      <c r="R221" s="82"/>
    </row>
    <row r="222" spans="1:18">
      <c r="A222" s="53">
        <v>48605</v>
      </c>
      <c r="B222" s="14" t="s">
        <v>12</v>
      </c>
      <c r="C222" s="15" t="str">
        <f>TEXT(Table11[[#This Row],[Date]],"mmmm")</f>
        <v>January</v>
      </c>
      <c r="D222" s="14">
        <v>97</v>
      </c>
      <c r="E222" s="82">
        <f>_xlfn.FORECAST.LINEAR(Table11[[#This Row],[Date]],Table11[Units_Sold],Table11[Date])</f>
        <v>99.333656198624794</v>
      </c>
      <c r="F222" cm="1">
        <f t="array" ref="F222">_xlfn.IFS(Table11[[#This Row],[Vehicle_Type]]="SUV",250,Table11[[#This Row],[Vehicle_Type]]="Sedan",200,Table11[[#This Row],[Vehicle_Type]]="Hatchback",185,Table11[[#This Row],[Vehicle_Type]]="Electric",190,Table11[[#This Row],[Vehicle_Type]]="Truck",150)</f>
        <v>250</v>
      </c>
      <c r="G222">
        <f t="shared" ca="1" si="3"/>
        <v>22</v>
      </c>
      <c r="H222" s="82">
        <f>Table11[[#This Row],[Daily_Production]]-Table11[[#This Row],[Forecasted_Units]]</f>
        <v>150.66634380137521</v>
      </c>
      <c r="I222" cm="1">
        <f t="array" ref="I222">_xlfn.IFS(Table11[[#This Row],[Vehicle_Type]]="SUV",5,Table11[[#This Row],[Vehicle_Type]]="Sedan",7,Table11[[#This Row],[Vehicle_Type]]="Hatchback",10,Table11[[#This Row],[Vehicle_Type]]="Electric",11,Table11[[#This Row],[Vehicle_Type]]="Truck",13)</f>
        <v>5</v>
      </c>
      <c r="J222">
        <f ca="1">Table11[[#This Row],[Daily_Production]]*Table11[[#This Row],[Working_Days]]</f>
        <v>5500</v>
      </c>
      <c r="K222" s="81">
        <f>Table11[[#This Row],[Forecasted_Units]]*0.1</f>
        <v>9.9333656198624798</v>
      </c>
      <c r="L222" s="82">
        <f>Table11[[#This Row],[Adjusted_Forecast]]+Table11[[#This Row],[Safety_Stock]]-Table11[[#This Row],[Inventory_On_Hand]]</f>
        <v>-41.399321982887926</v>
      </c>
      <c r="M222" s="82">
        <f ca="1">MIN(Table11[[#This Row],[Production_Needed]],Table11[[#This Row],[Production_Capacity]])</f>
        <v>-41.399321982887926</v>
      </c>
      <c r="N222" s="82">
        <f ca="1">MAX(Table11[[#This Row],[Production_Needed]]-Table11[[#This Row],[Planned_Production]],0)</f>
        <v>0</v>
      </c>
      <c r="O222" s="82">
        <f ca="1">Table11[[#This Row],[Inventory_On_Hand]]+Table11[[#This Row],[Planned_Production]]-Table11[[#This Row],[Forecasted_Units]]</f>
        <v>9.9333656198624851</v>
      </c>
      <c r="P222" cm="1">
        <f t="array" ref="P222">_xlfn.XLOOKUP(Table11[[#This Row],[Date]] &amp; Table11[[#This Row],[Vehicle_Type]], Table12[Date] &amp; Table12[Vehicle_Type],Table12[Feedback_Adjustment], 0)</f>
        <v>0</v>
      </c>
      <c r="Q222" s="82">
        <f>Table11[[#This Row],[Forecasted_Units]]*(1+Table11[[#This Row],[Adjustment_Percentage]])</f>
        <v>99.333656198624794</v>
      </c>
      <c r="R222" s="82"/>
    </row>
    <row r="223" spans="1:18">
      <c r="A223" s="54">
        <v>48635</v>
      </c>
      <c r="B223" s="15" t="s">
        <v>10</v>
      </c>
      <c r="C223" s="15" t="str">
        <f>TEXT(Table11[[#This Row],[Date]],"mmmm")</f>
        <v>February</v>
      </c>
      <c r="D223" s="15">
        <v>112</v>
      </c>
      <c r="E223" s="82">
        <f>_xlfn.FORECAST.LINEAR(Table11[[#This Row],[Date]],Table11[Units_Sold],Table11[Date])</f>
        <v>99.334820395281568</v>
      </c>
      <c r="F223" cm="1">
        <f t="array" ref="F223">_xlfn.IFS(Table11[[#This Row],[Vehicle_Type]]="SUV",250,Table11[[#This Row],[Vehicle_Type]]="Sedan",200,Table11[[#This Row],[Vehicle_Type]]="Hatchback",185,Table11[[#This Row],[Vehicle_Type]]="Electric",190,Table11[[#This Row],[Vehicle_Type]]="Truck",150)</f>
        <v>200</v>
      </c>
      <c r="G223">
        <f t="shared" ca="1" si="3"/>
        <v>21</v>
      </c>
      <c r="H223" s="82">
        <f>Table11[[#This Row],[Daily_Production]]-Table11[[#This Row],[Forecasted_Units]]</f>
        <v>100.66517960471843</v>
      </c>
      <c r="I223" cm="1">
        <f t="array" ref="I223">_xlfn.IFS(Table11[[#This Row],[Vehicle_Type]]="SUV",5,Table11[[#This Row],[Vehicle_Type]]="Sedan",7,Table11[[#This Row],[Vehicle_Type]]="Hatchback",10,Table11[[#This Row],[Vehicle_Type]]="Electric",11,Table11[[#This Row],[Vehicle_Type]]="Truck",13)</f>
        <v>7</v>
      </c>
      <c r="J223">
        <f ca="1">Table11[[#This Row],[Daily_Production]]*Table11[[#This Row],[Working_Days]]</f>
        <v>4200</v>
      </c>
      <c r="K223" s="81">
        <f>Table11[[#This Row],[Forecasted_Units]]*0.1</f>
        <v>9.9334820395281582</v>
      </c>
      <c r="L223" s="82">
        <f>Table11[[#This Row],[Adjusted_Forecast]]+Table11[[#This Row],[Safety_Stock]]-Table11[[#This Row],[Inventory_On_Hand]]</f>
        <v>8.6031228300912943</v>
      </c>
      <c r="M223" s="82">
        <f ca="1">MIN(Table11[[#This Row],[Production_Needed]],Table11[[#This Row],[Production_Capacity]])</f>
        <v>8.6031228300912943</v>
      </c>
      <c r="N223" s="82">
        <f ca="1">MAX(Table11[[#This Row],[Production_Needed]]-Table11[[#This Row],[Planned_Production]],0)</f>
        <v>0</v>
      </c>
      <c r="O223" s="82">
        <f ca="1">Table11[[#This Row],[Inventory_On_Hand]]+Table11[[#This Row],[Planned_Production]]-Table11[[#This Row],[Forecasted_Units]]</f>
        <v>9.9334820395281582</v>
      </c>
      <c r="P223" cm="1">
        <f t="array" ref="P223">_xlfn.XLOOKUP(Table11[[#This Row],[Date]] &amp; Table11[[#This Row],[Vehicle_Type]], Table12[Date] &amp; Table12[Vehicle_Type],Table12[Feedback_Adjustment], 0)</f>
        <v>0</v>
      </c>
      <c r="Q223" s="82">
        <f>Table11[[#This Row],[Forecasted_Units]]*(1+Table11[[#This Row],[Adjustment_Percentage]])</f>
        <v>99.334820395281568</v>
      </c>
      <c r="R223" s="82"/>
    </row>
    <row r="224" spans="1:18">
      <c r="A224" s="53">
        <v>48665</v>
      </c>
      <c r="B224" s="14" t="s">
        <v>10</v>
      </c>
      <c r="C224" s="15" t="str">
        <f>TEXT(Table11[[#This Row],[Date]],"mmmm")</f>
        <v>March</v>
      </c>
      <c r="D224" s="14">
        <v>99</v>
      </c>
      <c r="E224" s="82">
        <f>_xlfn.FORECAST.LINEAR(Table11[[#This Row],[Date]],Table11[Units_Sold],Table11[Date])</f>
        <v>99.335984591938356</v>
      </c>
      <c r="F224" cm="1">
        <f t="array" ref="F224">_xlfn.IFS(Table11[[#This Row],[Vehicle_Type]]="SUV",250,Table11[[#This Row],[Vehicle_Type]]="Sedan",200,Table11[[#This Row],[Vehicle_Type]]="Hatchback",185,Table11[[#This Row],[Vehicle_Type]]="Electric",190,Table11[[#This Row],[Vehicle_Type]]="Truck",150)</f>
        <v>200</v>
      </c>
      <c r="G224">
        <f t="shared" ca="1" si="3"/>
        <v>21</v>
      </c>
      <c r="H224" s="82">
        <f>Table11[[#This Row],[Daily_Production]]-Table11[[#This Row],[Forecasted_Units]]</f>
        <v>100.66401540806164</v>
      </c>
      <c r="I224" cm="1">
        <f t="array" ref="I224">_xlfn.IFS(Table11[[#This Row],[Vehicle_Type]]="SUV",5,Table11[[#This Row],[Vehicle_Type]]="Sedan",7,Table11[[#This Row],[Vehicle_Type]]="Hatchback",10,Table11[[#This Row],[Vehicle_Type]]="Electric",11,Table11[[#This Row],[Vehicle_Type]]="Truck",13)</f>
        <v>7</v>
      </c>
      <c r="J224">
        <f ca="1">Table11[[#This Row],[Daily_Production]]*Table11[[#This Row],[Working_Days]]</f>
        <v>4200</v>
      </c>
      <c r="K224" s="81">
        <f>Table11[[#This Row],[Forecasted_Units]]*0.1</f>
        <v>9.9335984591938367</v>
      </c>
      <c r="L224" s="82">
        <f>Table11[[#This Row],[Adjusted_Forecast]]+Table11[[#This Row],[Safety_Stock]]-Table11[[#This Row],[Inventory_On_Hand]]</f>
        <v>8.6055676430705432</v>
      </c>
      <c r="M224" s="82">
        <f ca="1">MIN(Table11[[#This Row],[Production_Needed]],Table11[[#This Row],[Production_Capacity]])</f>
        <v>8.6055676430705432</v>
      </c>
      <c r="N224" s="82">
        <f ca="1">MAX(Table11[[#This Row],[Production_Needed]]-Table11[[#This Row],[Planned_Production]],0)</f>
        <v>0</v>
      </c>
      <c r="O224" s="82">
        <f ca="1">Table11[[#This Row],[Inventory_On_Hand]]+Table11[[#This Row],[Planned_Production]]-Table11[[#This Row],[Forecasted_Units]]</f>
        <v>9.9335984591938313</v>
      </c>
      <c r="P224" cm="1">
        <f t="array" ref="P224">_xlfn.XLOOKUP(Table11[[#This Row],[Date]] &amp; Table11[[#This Row],[Vehicle_Type]], Table12[Date] &amp; Table12[Vehicle_Type],Table12[Feedback_Adjustment], 0)</f>
        <v>0</v>
      </c>
      <c r="Q224" s="82">
        <f>Table11[[#This Row],[Forecasted_Units]]*(1+Table11[[#This Row],[Adjustment_Percentage]])</f>
        <v>99.335984591938356</v>
      </c>
      <c r="R224" s="82"/>
    </row>
    <row r="225" spans="1:18">
      <c r="A225" s="54">
        <v>48695</v>
      </c>
      <c r="B225" s="15" t="s">
        <v>14</v>
      </c>
      <c r="C225" s="15" t="str">
        <f>TEXT(Table11[[#This Row],[Date]],"mmmm")</f>
        <v>April</v>
      </c>
      <c r="D225" s="15">
        <v>124</v>
      </c>
      <c r="E225" s="82">
        <f>_xlfn.FORECAST.LINEAR(Table11[[#This Row],[Date]],Table11[Units_Sold],Table11[Date])</f>
        <v>99.337148788595144</v>
      </c>
      <c r="F225" cm="1">
        <f t="array" ref="F225">_xlfn.IFS(Table11[[#This Row],[Vehicle_Type]]="SUV",250,Table11[[#This Row],[Vehicle_Type]]="Sedan",200,Table11[[#This Row],[Vehicle_Type]]="Hatchback",185,Table11[[#This Row],[Vehicle_Type]]="Electric",190,Table11[[#This Row],[Vehicle_Type]]="Truck",150)</f>
        <v>150</v>
      </c>
      <c r="G225">
        <f t="shared" ca="1" si="3"/>
        <v>21</v>
      </c>
      <c r="H225" s="82">
        <f>Table11[[#This Row],[Daily_Production]]-Table11[[#This Row],[Forecasted_Units]]</f>
        <v>50.662851211404856</v>
      </c>
      <c r="I225" cm="1">
        <f t="array" ref="I225">_xlfn.IFS(Table11[[#This Row],[Vehicle_Type]]="SUV",5,Table11[[#This Row],[Vehicle_Type]]="Sedan",7,Table11[[#This Row],[Vehicle_Type]]="Hatchback",10,Table11[[#This Row],[Vehicle_Type]]="Electric",11,Table11[[#This Row],[Vehicle_Type]]="Truck",13)</f>
        <v>13</v>
      </c>
      <c r="J225">
        <f ca="1">Table11[[#This Row],[Daily_Production]]*Table11[[#This Row],[Working_Days]]</f>
        <v>3150</v>
      </c>
      <c r="K225" s="81">
        <f>Table11[[#This Row],[Forecasted_Units]]*0.1</f>
        <v>9.9337148788595151</v>
      </c>
      <c r="L225" s="82">
        <f>Table11[[#This Row],[Adjusted_Forecast]]+Table11[[#This Row],[Safety_Stock]]-Table11[[#This Row],[Inventory_On_Hand]]</f>
        <v>58.608012456049806</v>
      </c>
      <c r="M225" s="82">
        <f ca="1">MIN(Table11[[#This Row],[Production_Needed]],Table11[[#This Row],[Production_Capacity]])</f>
        <v>58.608012456049806</v>
      </c>
      <c r="N225" s="82">
        <f ca="1">MAX(Table11[[#This Row],[Production_Needed]]-Table11[[#This Row],[Planned_Production]],0)</f>
        <v>0</v>
      </c>
      <c r="O225" s="82">
        <f ca="1">Table11[[#This Row],[Inventory_On_Hand]]+Table11[[#This Row],[Planned_Production]]-Table11[[#This Row],[Forecasted_Units]]</f>
        <v>9.9337148788595186</v>
      </c>
      <c r="P225" cm="1">
        <f t="array" ref="P225">_xlfn.XLOOKUP(Table11[[#This Row],[Date]] &amp; Table11[[#This Row],[Vehicle_Type]], Table12[Date] &amp; Table12[Vehicle_Type],Table12[Feedback_Adjustment], 0)</f>
        <v>0</v>
      </c>
      <c r="Q225" s="82">
        <f>Table11[[#This Row],[Forecasted_Units]]*(1+Table11[[#This Row],[Adjustment_Percentage]])</f>
        <v>99.337148788595144</v>
      </c>
      <c r="R225" s="82"/>
    </row>
    <row r="226" spans="1:18">
      <c r="A226" s="53">
        <v>48725</v>
      </c>
      <c r="B226" s="14" t="s">
        <v>11</v>
      </c>
      <c r="C226" s="15" t="str">
        <f>TEXT(Table11[[#This Row],[Date]],"mmmm")</f>
        <v>May</v>
      </c>
      <c r="D226" s="14">
        <v>91</v>
      </c>
      <c r="E226" s="82">
        <f>_xlfn.FORECAST.LINEAR(Table11[[#This Row],[Date]],Table11[Units_Sold],Table11[Date])</f>
        <v>99.338312985251932</v>
      </c>
      <c r="F226" cm="1">
        <f t="array" ref="F226">_xlfn.IFS(Table11[[#This Row],[Vehicle_Type]]="SUV",250,Table11[[#This Row],[Vehicle_Type]]="Sedan",200,Table11[[#This Row],[Vehicle_Type]]="Hatchback",185,Table11[[#This Row],[Vehicle_Type]]="Electric",190,Table11[[#This Row],[Vehicle_Type]]="Truck",150)</f>
        <v>185</v>
      </c>
      <c r="G226">
        <f t="shared" ca="1" si="3"/>
        <v>23</v>
      </c>
      <c r="H226" s="82">
        <f>Table11[[#This Row],[Daily_Production]]-Table11[[#This Row],[Forecasted_Units]]</f>
        <v>85.661687014748068</v>
      </c>
      <c r="I226" cm="1">
        <f t="array" ref="I226">_xlfn.IFS(Table11[[#This Row],[Vehicle_Type]]="SUV",5,Table11[[#This Row],[Vehicle_Type]]="Sedan",7,Table11[[#This Row],[Vehicle_Type]]="Hatchback",10,Table11[[#This Row],[Vehicle_Type]]="Electric",11,Table11[[#This Row],[Vehicle_Type]]="Truck",13)</f>
        <v>10</v>
      </c>
      <c r="J226">
        <f ca="1">Table11[[#This Row],[Daily_Production]]*Table11[[#This Row],[Working_Days]]</f>
        <v>4255</v>
      </c>
      <c r="K226" s="81">
        <f>Table11[[#This Row],[Forecasted_Units]]*0.1</f>
        <v>9.9338312985251935</v>
      </c>
      <c r="L226" s="82">
        <f>Table11[[#This Row],[Adjusted_Forecast]]+Table11[[#This Row],[Safety_Stock]]-Table11[[#This Row],[Inventory_On_Hand]]</f>
        <v>23.610457269029055</v>
      </c>
      <c r="M226" s="82">
        <f ca="1">MIN(Table11[[#This Row],[Production_Needed]],Table11[[#This Row],[Production_Capacity]])</f>
        <v>23.610457269029055</v>
      </c>
      <c r="N226" s="82">
        <f ca="1">MAX(Table11[[#This Row],[Production_Needed]]-Table11[[#This Row],[Planned_Production]],0)</f>
        <v>0</v>
      </c>
      <c r="O226" s="82">
        <f ca="1">Table11[[#This Row],[Inventory_On_Hand]]+Table11[[#This Row],[Planned_Production]]-Table11[[#This Row],[Forecasted_Units]]</f>
        <v>9.9338312985251918</v>
      </c>
      <c r="P226" cm="1">
        <f t="array" ref="P226">_xlfn.XLOOKUP(Table11[[#This Row],[Date]] &amp; Table11[[#This Row],[Vehicle_Type]], Table12[Date] &amp; Table12[Vehicle_Type],Table12[Feedback_Adjustment], 0)</f>
        <v>0</v>
      </c>
      <c r="Q226" s="82">
        <f>Table11[[#This Row],[Forecasted_Units]]*(1+Table11[[#This Row],[Adjustment_Percentage]])</f>
        <v>99.338312985251932</v>
      </c>
      <c r="R226" s="82"/>
    </row>
    <row r="227" spans="1:18">
      <c r="A227" s="54">
        <v>48755</v>
      </c>
      <c r="B227" s="15" t="s">
        <v>14</v>
      </c>
      <c r="C227" s="15" t="str">
        <f>TEXT(Table11[[#This Row],[Date]],"mmmm")</f>
        <v>June</v>
      </c>
      <c r="D227" s="15">
        <v>103</v>
      </c>
      <c r="E227" s="82">
        <f>_xlfn.FORECAST.LINEAR(Table11[[#This Row],[Date]],Table11[Units_Sold],Table11[Date])</f>
        <v>99.33947718190872</v>
      </c>
      <c r="F227" cm="1">
        <f t="array" ref="F227">_xlfn.IFS(Table11[[#This Row],[Vehicle_Type]]="SUV",250,Table11[[#This Row],[Vehicle_Type]]="Sedan",200,Table11[[#This Row],[Vehicle_Type]]="Hatchback",185,Table11[[#This Row],[Vehicle_Type]]="Electric",190,Table11[[#This Row],[Vehicle_Type]]="Truck",150)</f>
        <v>150</v>
      </c>
      <c r="G227">
        <f t="shared" ca="1" si="3"/>
        <v>25</v>
      </c>
      <c r="H227" s="82">
        <f>Table11[[#This Row],[Daily_Production]]-Table11[[#This Row],[Forecasted_Units]]</f>
        <v>50.66052281809128</v>
      </c>
      <c r="I227" cm="1">
        <f t="array" ref="I227">_xlfn.IFS(Table11[[#This Row],[Vehicle_Type]]="SUV",5,Table11[[#This Row],[Vehicle_Type]]="Sedan",7,Table11[[#This Row],[Vehicle_Type]]="Hatchback",10,Table11[[#This Row],[Vehicle_Type]]="Electric",11,Table11[[#This Row],[Vehicle_Type]]="Truck",13)</f>
        <v>13</v>
      </c>
      <c r="J227">
        <f ca="1">Table11[[#This Row],[Daily_Production]]*Table11[[#This Row],[Working_Days]]</f>
        <v>3750</v>
      </c>
      <c r="K227" s="81">
        <f>Table11[[#This Row],[Forecasted_Units]]*0.1</f>
        <v>9.933947718190872</v>
      </c>
      <c r="L227" s="82">
        <f>Table11[[#This Row],[Adjusted_Forecast]]+Table11[[#This Row],[Safety_Stock]]-Table11[[#This Row],[Inventory_On_Hand]]</f>
        <v>58.612902082008318</v>
      </c>
      <c r="M227" s="82">
        <f ca="1">MIN(Table11[[#This Row],[Production_Needed]],Table11[[#This Row],[Production_Capacity]])</f>
        <v>58.612902082008318</v>
      </c>
      <c r="N227" s="82">
        <f ca="1">MAX(Table11[[#This Row],[Production_Needed]]-Table11[[#This Row],[Planned_Production]],0)</f>
        <v>0</v>
      </c>
      <c r="O227" s="82">
        <f ca="1">Table11[[#This Row],[Inventory_On_Hand]]+Table11[[#This Row],[Planned_Production]]-Table11[[#This Row],[Forecasted_Units]]</f>
        <v>9.9339477181908791</v>
      </c>
      <c r="P227" cm="1">
        <f t="array" ref="P227">_xlfn.XLOOKUP(Table11[[#This Row],[Date]] &amp; Table11[[#This Row],[Vehicle_Type]], Table12[Date] &amp; Table12[Vehicle_Type],Table12[Feedback_Adjustment], 0)</f>
        <v>0</v>
      </c>
      <c r="Q227" s="82">
        <f>Table11[[#This Row],[Forecasted_Units]]*(1+Table11[[#This Row],[Adjustment_Percentage]])</f>
        <v>99.33947718190872</v>
      </c>
      <c r="R227" s="82"/>
    </row>
    <row r="228" spans="1:18">
      <c r="A228" s="53">
        <v>48785</v>
      </c>
      <c r="B228" s="14" t="s">
        <v>14</v>
      </c>
      <c r="C228" s="15" t="str">
        <f>TEXT(Table11[[#This Row],[Date]],"mmmm")</f>
        <v>July</v>
      </c>
      <c r="D228" s="14">
        <v>86</v>
      </c>
      <c r="E228" s="82">
        <f>_xlfn.FORECAST.LINEAR(Table11[[#This Row],[Date]],Table11[Units_Sold],Table11[Date])</f>
        <v>99.340641378565508</v>
      </c>
      <c r="F228" cm="1">
        <f t="array" ref="F228">_xlfn.IFS(Table11[[#This Row],[Vehicle_Type]]="SUV",250,Table11[[#This Row],[Vehicle_Type]]="Sedan",200,Table11[[#This Row],[Vehicle_Type]]="Hatchback",185,Table11[[#This Row],[Vehicle_Type]]="Electric",190,Table11[[#This Row],[Vehicle_Type]]="Truck",150)</f>
        <v>150</v>
      </c>
      <c r="G228">
        <f t="shared" ca="1" si="3"/>
        <v>22</v>
      </c>
      <c r="H228" s="82">
        <f>Table11[[#This Row],[Daily_Production]]-Table11[[#This Row],[Forecasted_Units]]</f>
        <v>50.659358621434492</v>
      </c>
      <c r="I228" cm="1">
        <f t="array" ref="I228">_xlfn.IFS(Table11[[#This Row],[Vehicle_Type]]="SUV",5,Table11[[#This Row],[Vehicle_Type]]="Sedan",7,Table11[[#This Row],[Vehicle_Type]]="Hatchback",10,Table11[[#This Row],[Vehicle_Type]]="Electric",11,Table11[[#This Row],[Vehicle_Type]]="Truck",13)</f>
        <v>13</v>
      </c>
      <c r="J228">
        <f ca="1">Table11[[#This Row],[Daily_Production]]*Table11[[#This Row],[Working_Days]]</f>
        <v>3300</v>
      </c>
      <c r="K228" s="81">
        <f>Table11[[#This Row],[Forecasted_Units]]*0.1</f>
        <v>9.9340641378565522</v>
      </c>
      <c r="L228" s="82">
        <f>Table11[[#This Row],[Adjusted_Forecast]]+Table11[[#This Row],[Safety_Stock]]-Table11[[#This Row],[Inventory_On_Hand]]</f>
        <v>58.615346894987567</v>
      </c>
      <c r="M228" s="82">
        <f ca="1">MIN(Table11[[#This Row],[Production_Needed]],Table11[[#This Row],[Production_Capacity]])</f>
        <v>58.615346894987567</v>
      </c>
      <c r="N228" s="82">
        <f ca="1">MAX(Table11[[#This Row],[Production_Needed]]-Table11[[#This Row],[Planned_Production]],0)</f>
        <v>0</v>
      </c>
      <c r="O228" s="82">
        <f ca="1">Table11[[#This Row],[Inventory_On_Hand]]+Table11[[#This Row],[Planned_Production]]-Table11[[#This Row],[Forecasted_Units]]</f>
        <v>9.9340641378565522</v>
      </c>
      <c r="P228" cm="1">
        <f t="array" ref="P228">_xlfn.XLOOKUP(Table11[[#This Row],[Date]] &amp; Table11[[#This Row],[Vehicle_Type]], Table12[Date] &amp; Table12[Vehicle_Type],Table12[Feedback_Adjustment], 0)</f>
        <v>0</v>
      </c>
      <c r="Q228" s="82">
        <f>Table11[[#This Row],[Forecasted_Units]]*(1+Table11[[#This Row],[Adjustment_Percentage]])</f>
        <v>99.340641378565508</v>
      </c>
      <c r="R228" s="82"/>
    </row>
    <row r="229" spans="1:18">
      <c r="A229" s="54">
        <v>48815</v>
      </c>
      <c r="B229" s="15" t="s">
        <v>14</v>
      </c>
      <c r="C229" s="15" t="str">
        <f>TEXT(Table11[[#This Row],[Date]],"mmmm")</f>
        <v>August</v>
      </c>
      <c r="D229" s="15">
        <v>101</v>
      </c>
      <c r="E229" s="82">
        <f>_xlfn.FORECAST.LINEAR(Table11[[#This Row],[Date]],Table11[Units_Sold],Table11[Date])</f>
        <v>99.341805575222295</v>
      </c>
      <c r="F229" cm="1">
        <f t="array" ref="F229">_xlfn.IFS(Table11[[#This Row],[Vehicle_Type]]="SUV",250,Table11[[#This Row],[Vehicle_Type]]="Sedan",200,Table11[[#This Row],[Vehicle_Type]]="Hatchback",185,Table11[[#This Row],[Vehicle_Type]]="Electric",190,Table11[[#This Row],[Vehicle_Type]]="Truck",150)</f>
        <v>150</v>
      </c>
      <c r="G229">
        <f t="shared" ca="1" si="3"/>
        <v>24</v>
      </c>
      <c r="H229" s="82">
        <f>Table11[[#This Row],[Daily_Production]]-Table11[[#This Row],[Forecasted_Units]]</f>
        <v>50.658194424777705</v>
      </c>
      <c r="I229" cm="1">
        <f t="array" ref="I229">_xlfn.IFS(Table11[[#This Row],[Vehicle_Type]]="SUV",5,Table11[[#This Row],[Vehicle_Type]]="Sedan",7,Table11[[#This Row],[Vehicle_Type]]="Hatchback",10,Table11[[#This Row],[Vehicle_Type]]="Electric",11,Table11[[#This Row],[Vehicle_Type]]="Truck",13)</f>
        <v>13</v>
      </c>
      <c r="J229">
        <f ca="1">Table11[[#This Row],[Daily_Production]]*Table11[[#This Row],[Working_Days]]</f>
        <v>3600</v>
      </c>
      <c r="K229" s="81">
        <f>Table11[[#This Row],[Forecasted_Units]]*0.1</f>
        <v>9.9341805575222306</v>
      </c>
      <c r="L229" s="82">
        <f>Table11[[#This Row],[Adjusted_Forecast]]+Table11[[#This Row],[Safety_Stock]]-Table11[[#This Row],[Inventory_On_Hand]]</f>
        <v>58.617791707966816</v>
      </c>
      <c r="M229" s="82">
        <f ca="1">MIN(Table11[[#This Row],[Production_Needed]],Table11[[#This Row],[Production_Capacity]])</f>
        <v>58.617791707966816</v>
      </c>
      <c r="N229" s="82">
        <f ca="1">MAX(Table11[[#This Row],[Production_Needed]]-Table11[[#This Row],[Planned_Production]],0)</f>
        <v>0</v>
      </c>
      <c r="O229" s="82">
        <f ca="1">Table11[[#This Row],[Inventory_On_Hand]]+Table11[[#This Row],[Planned_Production]]-Table11[[#This Row],[Forecasted_Units]]</f>
        <v>9.9341805575222253</v>
      </c>
      <c r="P229" cm="1">
        <f t="array" ref="P229">_xlfn.XLOOKUP(Table11[[#This Row],[Date]] &amp; Table11[[#This Row],[Vehicle_Type]], Table12[Date] &amp; Table12[Vehicle_Type],Table12[Feedback_Adjustment], 0)</f>
        <v>0</v>
      </c>
      <c r="Q229" s="82">
        <f>Table11[[#This Row],[Forecasted_Units]]*(1+Table11[[#This Row],[Adjustment_Percentage]])</f>
        <v>99.341805575222295</v>
      </c>
      <c r="R229" s="82"/>
    </row>
    <row r="230" spans="1:18">
      <c r="A230" s="53">
        <v>48845</v>
      </c>
      <c r="B230" s="14" t="s">
        <v>10</v>
      </c>
      <c r="C230" s="15" t="str">
        <f>TEXT(Table11[[#This Row],[Date]],"mmmm")</f>
        <v>September</v>
      </c>
      <c r="D230" s="14">
        <v>101</v>
      </c>
      <c r="E230" s="82">
        <f>_xlfn.FORECAST.LINEAR(Table11[[#This Row],[Date]],Table11[Units_Sold],Table11[Date])</f>
        <v>99.342969771879083</v>
      </c>
      <c r="F230" cm="1">
        <f t="array" ref="F230">_xlfn.IFS(Table11[[#This Row],[Vehicle_Type]]="SUV",250,Table11[[#This Row],[Vehicle_Type]]="Sedan",200,Table11[[#This Row],[Vehicle_Type]]="Hatchback",185,Table11[[#This Row],[Vehicle_Type]]="Electric",190,Table11[[#This Row],[Vehicle_Type]]="Truck",150)</f>
        <v>200</v>
      </c>
      <c r="G230">
        <f t="shared" ca="1" si="3"/>
        <v>21</v>
      </c>
      <c r="H230" s="82">
        <f>Table11[[#This Row],[Daily_Production]]-Table11[[#This Row],[Forecasted_Units]]</f>
        <v>100.65703022812092</v>
      </c>
      <c r="I230" cm="1">
        <f t="array" ref="I230">_xlfn.IFS(Table11[[#This Row],[Vehicle_Type]]="SUV",5,Table11[[#This Row],[Vehicle_Type]]="Sedan",7,Table11[[#This Row],[Vehicle_Type]]="Hatchback",10,Table11[[#This Row],[Vehicle_Type]]="Electric",11,Table11[[#This Row],[Vehicle_Type]]="Truck",13)</f>
        <v>7</v>
      </c>
      <c r="J230">
        <f ca="1">Table11[[#This Row],[Daily_Production]]*Table11[[#This Row],[Working_Days]]</f>
        <v>4200</v>
      </c>
      <c r="K230" s="81">
        <f>Table11[[#This Row],[Forecasted_Units]]*0.1</f>
        <v>9.9342969771879091</v>
      </c>
      <c r="L230" s="82">
        <f>Table11[[#This Row],[Adjusted_Forecast]]+Table11[[#This Row],[Safety_Stock]]-Table11[[#This Row],[Inventory_On_Hand]]</f>
        <v>8.6202365209460794</v>
      </c>
      <c r="M230" s="82">
        <f ca="1">MIN(Table11[[#This Row],[Production_Needed]],Table11[[#This Row],[Production_Capacity]])</f>
        <v>8.6202365209460794</v>
      </c>
      <c r="N230" s="82">
        <f ca="1">MAX(Table11[[#This Row],[Production_Needed]]-Table11[[#This Row],[Planned_Production]],0)</f>
        <v>0</v>
      </c>
      <c r="O230" s="82">
        <f ca="1">Table11[[#This Row],[Inventory_On_Hand]]+Table11[[#This Row],[Planned_Production]]-Table11[[#This Row],[Forecasted_Units]]</f>
        <v>9.9342969771879126</v>
      </c>
      <c r="P230" cm="1">
        <f t="array" ref="P230">_xlfn.XLOOKUP(Table11[[#This Row],[Date]] &amp; Table11[[#This Row],[Vehicle_Type]], Table12[Date] &amp; Table12[Vehicle_Type],Table12[Feedback_Adjustment], 0)</f>
        <v>0</v>
      </c>
      <c r="Q230" s="82">
        <f>Table11[[#This Row],[Forecasted_Units]]*(1+Table11[[#This Row],[Adjustment_Percentage]])</f>
        <v>99.342969771879083</v>
      </c>
      <c r="R230" s="82"/>
    </row>
    <row r="231" spans="1:18">
      <c r="A231" s="54">
        <v>48875</v>
      </c>
      <c r="B231" s="15" t="s">
        <v>10</v>
      </c>
      <c r="C231" s="15" t="str">
        <f>TEXT(Table11[[#This Row],[Date]],"mmmm")</f>
        <v>October</v>
      </c>
      <c r="D231" s="15">
        <v>101</v>
      </c>
      <c r="E231" s="82">
        <f>_xlfn.FORECAST.LINEAR(Table11[[#This Row],[Date]],Table11[Units_Sold],Table11[Date])</f>
        <v>99.344133968535871</v>
      </c>
      <c r="F231" cm="1">
        <f t="array" ref="F231">_xlfn.IFS(Table11[[#This Row],[Vehicle_Type]]="SUV",250,Table11[[#This Row],[Vehicle_Type]]="Sedan",200,Table11[[#This Row],[Vehicle_Type]]="Hatchback",185,Table11[[#This Row],[Vehicle_Type]]="Electric",190,Table11[[#This Row],[Vehicle_Type]]="Truck",150)</f>
        <v>200</v>
      </c>
      <c r="G231">
        <f t="shared" ca="1" si="3"/>
        <v>25</v>
      </c>
      <c r="H231" s="82">
        <f>Table11[[#This Row],[Daily_Production]]-Table11[[#This Row],[Forecasted_Units]]</f>
        <v>100.65586603146413</v>
      </c>
      <c r="I231" cm="1">
        <f t="array" ref="I231">_xlfn.IFS(Table11[[#This Row],[Vehicle_Type]]="SUV",5,Table11[[#This Row],[Vehicle_Type]]="Sedan",7,Table11[[#This Row],[Vehicle_Type]]="Hatchback",10,Table11[[#This Row],[Vehicle_Type]]="Electric",11,Table11[[#This Row],[Vehicle_Type]]="Truck",13)</f>
        <v>7</v>
      </c>
      <c r="J231">
        <f ca="1">Table11[[#This Row],[Daily_Production]]*Table11[[#This Row],[Working_Days]]</f>
        <v>5000</v>
      </c>
      <c r="K231" s="81">
        <f>Table11[[#This Row],[Forecasted_Units]]*0.1</f>
        <v>9.9344133968535875</v>
      </c>
      <c r="L231" s="82">
        <f>Table11[[#This Row],[Adjusted_Forecast]]+Table11[[#This Row],[Safety_Stock]]-Table11[[#This Row],[Inventory_On_Hand]]</f>
        <v>8.6226813339253283</v>
      </c>
      <c r="M231" s="82">
        <f ca="1">MIN(Table11[[#This Row],[Production_Needed]],Table11[[#This Row],[Production_Capacity]])</f>
        <v>8.6226813339253283</v>
      </c>
      <c r="N231" s="82">
        <f ca="1">MAX(Table11[[#This Row],[Production_Needed]]-Table11[[#This Row],[Planned_Production]],0)</f>
        <v>0</v>
      </c>
      <c r="O231" s="82">
        <f ca="1">Table11[[#This Row],[Inventory_On_Hand]]+Table11[[#This Row],[Planned_Production]]-Table11[[#This Row],[Forecasted_Units]]</f>
        <v>9.9344133968535857</v>
      </c>
      <c r="P231" cm="1">
        <f t="array" ref="P231">_xlfn.XLOOKUP(Table11[[#This Row],[Date]] &amp; Table11[[#This Row],[Vehicle_Type]], Table12[Date] &amp; Table12[Vehicle_Type],Table12[Feedback_Adjustment], 0)</f>
        <v>0</v>
      </c>
      <c r="Q231" s="82">
        <f>Table11[[#This Row],[Forecasted_Units]]*(1+Table11[[#This Row],[Adjustment_Percentage]])</f>
        <v>99.344133968535871</v>
      </c>
      <c r="R231" s="82"/>
    </row>
    <row r="232" spans="1:18">
      <c r="A232" s="53">
        <v>48905</v>
      </c>
      <c r="B232" s="14" t="s">
        <v>10</v>
      </c>
      <c r="C232" s="15" t="str">
        <f>TEXT(Table11[[#This Row],[Date]],"mmmm")</f>
        <v>November</v>
      </c>
      <c r="D232" s="14">
        <v>113</v>
      </c>
      <c r="E232" s="82">
        <f>_xlfn.FORECAST.LINEAR(Table11[[#This Row],[Date]],Table11[Units_Sold],Table11[Date])</f>
        <v>99.345298165192659</v>
      </c>
      <c r="F232" cm="1">
        <f t="array" ref="F232">_xlfn.IFS(Table11[[#This Row],[Vehicle_Type]]="SUV",250,Table11[[#This Row],[Vehicle_Type]]="Sedan",200,Table11[[#This Row],[Vehicle_Type]]="Hatchback",185,Table11[[#This Row],[Vehicle_Type]]="Electric",190,Table11[[#This Row],[Vehicle_Type]]="Truck",150)</f>
        <v>200</v>
      </c>
      <c r="G232">
        <f t="shared" ca="1" si="3"/>
        <v>25</v>
      </c>
      <c r="H232" s="82">
        <f>Table11[[#This Row],[Daily_Production]]-Table11[[#This Row],[Forecasted_Units]]</f>
        <v>100.65470183480734</v>
      </c>
      <c r="I232" cm="1">
        <f t="array" ref="I232">_xlfn.IFS(Table11[[#This Row],[Vehicle_Type]]="SUV",5,Table11[[#This Row],[Vehicle_Type]]="Sedan",7,Table11[[#This Row],[Vehicle_Type]]="Hatchback",10,Table11[[#This Row],[Vehicle_Type]]="Electric",11,Table11[[#This Row],[Vehicle_Type]]="Truck",13)</f>
        <v>7</v>
      </c>
      <c r="J232">
        <f ca="1">Table11[[#This Row],[Daily_Production]]*Table11[[#This Row],[Working_Days]]</f>
        <v>5000</v>
      </c>
      <c r="K232" s="81">
        <f>Table11[[#This Row],[Forecasted_Units]]*0.1</f>
        <v>9.9345298165192659</v>
      </c>
      <c r="L232" s="82">
        <f>Table11[[#This Row],[Adjusted_Forecast]]+Table11[[#This Row],[Safety_Stock]]-Table11[[#This Row],[Inventory_On_Hand]]</f>
        <v>8.6251261469045772</v>
      </c>
      <c r="M232" s="82">
        <f ca="1">MIN(Table11[[#This Row],[Production_Needed]],Table11[[#This Row],[Production_Capacity]])</f>
        <v>8.6251261469045772</v>
      </c>
      <c r="N232" s="82">
        <f ca="1">MAX(Table11[[#This Row],[Production_Needed]]-Table11[[#This Row],[Planned_Production]],0)</f>
        <v>0</v>
      </c>
      <c r="O232" s="82">
        <f ca="1">Table11[[#This Row],[Inventory_On_Hand]]+Table11[[#This Row],[Planned_Production]]-Table11[[#This Row],[Forecasted_Units]]</f>
        <v>9.9345298165192588</v>
      </c>
      <c r="P232" cm="1">
        <f t="array" ref="P232">_xlfn.XLOOKUP(Table11[[#This Row],[Date]] &amp; Table11[[#This Row],[Vehicle_Type]], Table12[Date] &amp; Table12[Vehicle_Type],Table12[Feedback_Adjustment], 0)</f>
        <v>0</v>
      </c>
      <c r="Q232" s="82">
        <f>Table11[[#This Row],[Forecasted_Units]]*(1+Table11[[#This Row],[Adjustment_Percentage]])</f>
        <v>99.345298165192659</v>
      </c>
      <c r="R232" s="82"/>
    </row>
    <row r="233" spans="1:18">
      <c r="A233" s="54">
        <v>48935</v>
      </c>
      <c r="B233" s="15" t="s">
        <v>14</v>
      </c>
      <c r="C233" s="15" t="str">
        <f>TEXT(Table11[[#This Row],[Date]],"mmmm")</f>
        <v>December</v>
      </c>
      <c r="D233" s="15">
        <v>87</v>
      </c>
      <c r="E233" s="82">
        <f>_xlfn.FORECAST.LINEAR(Table11[[#This Row],[Date]],Table11[Units_Sold],Table11[Date])</f>
        <v>99.346462361849447</v>
      </c>
      <c r="F233" cm="1">
        <f t="array" ref="F233">_xlfn.IFS(Table11[[#This Row],[Vehicle_Type]]="SUV",250,Table11[[#This Row],[Vehicle_Type]]="Sedan",200,Table11[[#This Row],[Vehicle_Type]]="Hatchback",185,Table11[[#This Row],[Vehicle_Type]]="Electric",190,Table11[[#This Row],[Vehicle_Type]]="Truck",150)</f>
        <v>150</v>
      </c>
      <c r="G233">
        <f t="shared" ca="1" si="3"/>
        <v>20</v>
      </c>
      <c r="H233" s="82">
        <f>Table11[[#This Row],[Daily_Production]]-Table11[[#This Row],[Forecasted_Units]]</f>
        <v>50.653537638150553</v>
      </c>
      <c r="I233" cm="1">
        <f t="array" ref="I233">_xlfn.IFS(Table11[[#This Row],[Vehicle_Type]]="SUV",5,Table11[[#This Row],[Vehicle_Type]]="Sedan",7,Table11[[#This Row],[Vehicle_Type]]="Hatchback",10,Table11[[#This Row],[Vehicle_Type]]="Electric",11,Table11[[#This Row],[Vehicle_Type]]="Truck",13)</f>
        <v>13</v>
      </c>
      <c r="J233">
        <f ca="1">Table11[[#This Row],[Daily_Production]]*Table11[[#This Row],[Working_Days]]</f>
        <v>3000</v>
      </c>
      <c r="K233" s="81">
        <f>Table11[[#This Row],[Forecasted_Units]]*0.1</f>
        <v>9.9346462361849461</v>
      </c>
      <c r="L233" s="82">
        <f>Table11[[#This Row],[Adjusted_Forecast]]+Table11[[#This Row],[Safety_Stock]]-Table11[[#This Row],[Inventory_On_Hand]]</f>
        <v>58.62757095988384</v>
      </c>
      <c r="M233" s="82">
        <f ca="1">MIN(Table11[[#This Row],[Production_Needed]],Table11[[#This Row],[Production_Capacity]])</f>
        <v>58.62757095988384</v>
      </c>
      <c r="N233" s="82">
        <f ca="1">MAX(Table11[[#This Row],[Production_Needed]]-Table11[[#This Row],[Planned_Production]],0)</f>
        <v>0</v>
      </c>
      <c r="O233" s="82">
        <f ca="1">Table11[[#This Row],[Inventory_On_Hand]]+Table11[[#This Row],[Planned_Production]]-Table11[[#This Row],[Forecasted_Units]]</f>
        <v>9.9346462361849461</v>
      </c>
      <c r="P233" cm="1">
        <f t="array" ref="P233">_xlfn.XLOOKUP(Table11[[#This Row],[Date]] &amp; Table11[[#This Row],[Vehicle_Type]], Table12[Date] &amp; Table12[Vehicle_Type],Table12[Feedback_Adjustment], 0)</f>
        <v>0</v>
      </c>
      <c r="Q233" s="82">
        <f>Table11[[#This Row],[Forecasted_Units]]*(1+Table11[[#This Row],[Adjustment_Percentage]])</f>
        <v>99.346462361849447</v>
      </c>
      <c r="R233" s="82"/>
    </row>
    <row r="234" spans="1:18">
      <c r="A234" s="53">
        <v>48965</v>
      </c>
      <c r="B234" s="14" t="s">
        <v>11</v>
      </c>
      <c r="C234" s="15" t="str">
        <f>TEXT(Table11[[#This Row],[Date]],"mmmm")</f>
        <v>January</v>
      </c>
      <c r="D234" s="14">
        <v>108</v>
      </c>
      <c r="E234" s="82">
        <f>_xlfn.FORECAST.LINEAR(Table11[[#This Row],[Date]],Table11[Units_Sold],Table11[Date])</f>
        <v>99.347626558506221</v>
      </c>
      <c r="F234" cm="1">
        <f t="array" ref="F234">_xlfn.IFS(Table11[[#This Row],[Vehicle_Type]]="SUV",250,Table11[[#This Row],[Vehicle_Type]]="Sedan",200,Table11[[#This Row],[Vehicle_Type]]="Hatchback",185,Table11[[#This Row],[Vehicle_Type]]="Electric",190,Table11[[#This Row],[Vehicle_Type]]="Truck",150)</f>
        <v>185</v>
      </c>
      <c r="G234">
        <f t="shared" ca="1" si="3"/>
        <v>20</v>
      </c>
      <c r="H234" s="82">
        <f>Table11[[#This Row],[Daily_Production]]-Table11[[#This Row],[Forecasted_Units]]</f>
        <v>85.652373441493779</v>
      </c>
      <c r="I234" cm="1">
        <f t="array" ref="I234">_xlfn.IFS(Table11[[#This Row],[Vehicle_Type]]="SUV",5,Table11[[#This Row],[Vehicle_Type]]="Sedan",7,Table11[[#This Row],[Vehicle_Type]]="Hatchback",10,Table11[[#This Row],[Vehicle_Type]]="Electric",11,Table11[[#This Row],[Vehicle_Type]]="Truck",13)</f>
        <v>10</v>
      </c>
      <c r="J234">
        <f ca="1">Table11[[#This Row],[Daily_Production]]*Table11[[#This Row],[Working_Days]]</f>
        <v>3700</v>
      </c>
      <c r="K234" s="81">
        <f>Table11[[#This Row],[Forecasted_Units]]*0.1</f>
        <v>9.9347626558506228</v>
      </c>
      <c r="L234" s="82">
        <f>Table11[[#This Row],[Adjusted_Forecast]]+Table11[[#This Row],[Safety_Stock]]-Table11[[#This Row],[Inventory_On_Hand]]</f>
        <v>23.630015772863061</v>
      </c>
      <c r="M234" s="82">
        <f ca="1">MIN(Table11[[#This Row],[Production_Needed]],Table11[[#This Row],[Production_Capacity]])</f>
        <v>23.630015772863061</v>
      </c>
      <c r="N234" s="82">
        <f ca="1">MAX(Table11[[#This Row],[Production_Needed]]-Table11[[#This Row],[Planned_Production]],0)</f>
        <v>0</v>
      </c>
      <c r="O234" s="82">
        <f ca="1">Table11[[#This Row],[Inventory_On_Hand]]+Table11[[#This Row],[Planned_Production]]-Table11[[#This Row],[Forecasted_Units]]</f>
        <v>9.9347626558506192</v>
      </c>
      <c r="P234" cm="1">
        <f t="array" ref="P234">_xlfn.XLOOKUP(Table11[[#This Row],[Date]] &amp; Table11[[#This Row],[Vehicle_Type]], Table12[Date] &amp; Table12[Vehicle_Type],Table12[Feedback_Adjustment], 0)</f>
        <v>0</v>
      </c>
      <c r="Q234" s="82">
        <f>Table11[[#This Row],[Forecasted_Units]]*(1+Table11[[#This Row],[Adjustment_Percentage]])</f>
        <v>99.347626558506221</v>
      </c>
      <c r="R234" s="82"/>
    </row>
    <row r="235" spans="1:18">
      <c r="A235" s="54">
        <v>48995</v>
      </c>
      <c r="B235" s="15" t="s">
        <v>10</v>
      </c>
      <c r="C235" s="15" t="str">
        <f>TEXT(Table11[[#This Row],[Date]],"mmmm")</f>
        <v>February</v>
      </c>
      <c r="D235" s="15">
        <v>100</v>
      </c>
      <c r="E235" s="82">
        <f>_xlfn.FORECAST.LINEAR(Table11[[#This Row],[Date]],Table11[Units_Sold],Table11[Date])</f>
        <v>99.348790755163009</v>
      </c>
      <c r="F235" cm="1">
        <f t="array" ref="F235">_xlfn.IFS(Table11[[#This Row],[Vehicle_Type]]="SUV",250,Table11[[#This Row],[Vehicle_Type]]="Sedan",200,Table11[[#This Row],[Vehicle_Type]]="Hatchback",185,Table11[[#This Row],[Vehicle_Type]]="Electric",190,Table11[[#This Row],[Vehicle_Type]]="Truck",150)</f>
        <v>200</v>
      </c>
      <c r="G235">
        <f t="shared" ca="1" si="3"/>
        <v>20</v>
      </c>
      <c r="H235" s="82">
        <f>Table11[[#This Row],[Daily_Production]]-Table11[[#This Row],[Forecasted_Units]]</f>
        <v>100.65120924483699</v>
      </c>
      <c r="I235" cm="1">
        <f t="array" ref="I235">_xlfn.IFS(Table11[[#This Row],[Vehicle_Type]]="SUV",5,Table11[[#This Row],[Vehicle_Type]]="Sedan",7,Table11[[#This Row],[Vehicle_Type]]="Hatchback",10,Table11[[#This Row],[Vehicle_Type]]="Electric",11,Table11[[#This Row],[Vehicle_Type]]="Truck",13)</f>
        <v>7</v>
      </c>
      <c r="J235">
        <f ca="1">Table11[[#This Row],[Daily_Production]]*Table11[[#This Row],[Working_Days]]</f>
        <v>4000</v>
      </c>
      <c r="K235" s="81">
        <f>Table11[[#This Row],[Forecasted_Units]]*0.1</f>
        <v>9.9348790755163012</v>
      </c>
      <c r="L235" s="82">
        <f>Table11[[#This Row],[Adjusted_Forecast]]+Table11[[#This Row],[Safety_Stock]]-Table11[[#This Row],[Inventory_On_Hand]]</f>
        <v>8.632460585842324</v>
      </c>
      <c r="M235" s="82">
        <f ca="1">MIN(Table11[[#This Row],[Production_Needed]],Table11[[#This Row],[Production_Capacity]])</f>
        <v>8.632460585842324</v>
      </c>
      <c r="N235" s="82">
        <f ca="1">MAX(Table11[[#This Row],[Production_Needed]]-Table11[[#This Row],[Planned_Production]],0)</f>
        <v>0</v>
      </c>
      <c r="O235" s="82">
        <f ca="1">Table11[[#This Row],[Inventory_On_Hand]]+Table11[[#This Row],[Planned_Production]]-Table11[[#This Row],[Forecasted_Units]]</f>
        <v>9.9348790755163066</v>
      </c>
      <c r="P235" cm="1">
        <f t="array" ref="P235">_xlfn.XLOOKUP(Table11[[#This Row],[Date]] &amp; Table11[[#This Row],[Vehicle_Type]], Table12[Date] &amp; Table12[Vehicle_Type],Table12[Feedback_Adjustment], 0)</f>
        <v>0</v>
      </c>
      <c r="Q235" s="82">
        <f>Table11[[#This Row],[Forecasted_Units]]*(1+Table11[[#This Row],[Adjustment_Percentage]])</f>
        <v>99.348790755163009</v>
      </c>
      <c r="R235" s="82"/>
    </row>
    <row r="236" spans="1:18">
      <c r="A236" s="53">
        <v>49025</v>
      </c>
      <c r="B236" s="14" t="s">
        <v>12</v>
      </c>
      <c r="C236" s="15" t="str">
        <f>TEXT(Table11[[#This Row],[Date]],"mmmm")</f>
        <v>March</v>
      </c>
      <c r="D236" s="14">
        <v>87</v>
      </c>
      <c r="E236" s="82">
        <f>_xlfn.FORECAST.LINEAR(Table11[[#This Row],[Date]],Table11[Units_Sold],Table11[Date])</f>
        <v>99.349954951819797</v>
      </c>
      <c r="F236" cm="1">
        <f t="array" ref="F236">_xlfn.IFS(Table11[[#This Row],[Vehicle_Type]]="SUV",250,Table11[[#This Row],[Vehicle_Type]]="Sedan",200,Table11[[#This Row],[Vehicle_Type]]="Hatchback",185,Table11[[#This Row],[Vehicle_Type]]="Electric",190,Table11[[#This Row],[Vehicle_Type]]="Truck",150)</f>
        <v>250</v>
      </c>
      <c r="G236">
        <f t="shared" ca="1" si="3"/>
        <v>21</v>
      </c>
      <c r="H236" s="82">
        <f>Table11[[#This Row],[Daily_Production]]-Table11[[#This Row],[Forecasted_Units]]</f>
        <v>150.6500450481802</v>
      </c>
      <c r="I236" cm="1">
        <f t="array" ref="I236">_xlfn.IFS(Table11[[#This Row],[Vehicle_Type]]="SUV",5,Table11[[#This Row],[Vehicle_Type]]="Sedan",7,Table11[[#This Row],[Vehicle_Type]]="Hatchback",10,Table11[[#This Row],[Vehicle_Type]]="Electric",11,Table11[[#This Row],[Vehicle_Type]]="Truck",13)</f>
        <v>5</v>
      </c>
      <c r="J236">
        <f ca="1">Table11[[#This Row],[Daily_Production]]*Table11[[#This Row],[Working_Days]]</f>
        <v>5250</v>
      </c>
      <c r="K236" s="81">
        <f>Table11[[#This Row],[Forecasted_Units]]*0.1</f>
        <v>9.9349954951819797</v>
      </c>
      <c r="L236" s="82">
        <f>Table11[[#This Row],[Adjusted_Forecast]]+Table11[[#This Row],[Safety_Stock]]-Table11[[#This Row],[Inventory_On_Hand]]</f>
        <v>-41.365094601178427</v>
      </c>
      <c r="M236" s="82">
        <f ca="1">MIN(Table11[[#This Row],[Production_Needed]],Table11[[#This Row],[Production_Capacity]])</f>
        <v>-41.365094601178427</v>
      </c>
      <c r="N236" s="82">
        <f ca="1">MAX(Table11[[#This Row],[Production_Needed]]-Table11[[#This Row],[Planned_Production]],0)</f>
        <v>0</v>
      </c>
      <c r="O236" s="82">
        <f ca="1">Table11[[#This Row],[Inventory_On_Hand]]+Table11[[#This Row],[Planned_Production]]-Table11[[#This Row],[Forecasted_Units]]</f>
        <v>9.9349954951819797</v>
      </c>
      <c r="P236" cm="1">
        <f t="array" ref="P236">_xlfn.XLOOKUP(Table11[[#This Row],[Date]] &amp; Table11[[#This Row],[Vehicle_Type]], Table12[Date] &amp; Table12[Vehicle_Type],Table12[Feedback_Adjustment], 0)</f>
        <v>0</v>
      </c>
      <c r="Q236" s="82">
        <f>Table11[[#This Row],[Forecasted_Units]]*(1+Table11[[#This Row],[Adjustment_Percentage]])</f>
        <v>99.349954951819797</v>
      </c>
      <c r="R236" s="82"/>
    </row>
    <row r="237" spans="1:18">
      <c r="A237" s="54">
        <v>49055</v>
      </c>
      <c r="B237" s="15" t="s">
        <v>12</v>
      </c>
      <c r="C237" s="15" t="str">
        <f>TEXT(Table11[[#This Row],[Date]],"mmmm")</f>
        <v>April</v>
      </c>
      <c r="D237" s="15">
        <v>96</v>
      </c>
      <c r="E237" s="82">
        <f>_xlfn.FORECAST.LINEAR(Table11[[#This Row],[Date]],Table11[Units_Sold],Table11[Date])</f>
        <v>99.351119148476585</v>
      </c>
      <c r="F237" cm="1">
        <f t="array" ref="F237">_xlfn.IFS(Table11[[#This Row],[Vehicle_Type]]="SUV",250,Table11[[#This Row],[Vehicle_Type]]="Sedan",200,Table11[[#This Row],[Vehicle_Type]]="Hatchback",185,Table11[[#This Row],[Vehicle_Type]]="Electric",190,Table11[[#This Row],[Vehicle_Type]]="Truck",150)</f>
        <v>250</v>
      </c>
      <c r="G237">
        <f t="shared" ca="1" si="3"/>
        <v>25</v>
      </c>
      <c r="H237" s="82">
        <f>Table11[[#This Row],[Daily_Production]]-Table11[[#This Row],[Forecasted_Units]]</f>
        <v>150.64888085152342</v>
      </c>
      <c r="I237" cm="1">
        <f t="array" ref="I237">_xlfn.IFS(Table11[[#This Row],[Vehicle_Type]]="SUV",5,Table11[[#This Row],[Vehicle_Type]]="Sedan",7,Table11[[#This Row],[Vehicle_Type]]="Hatchback",10,Table11[[#This Row],[Vehicle_Type]]="Electric",11,Table11[[#This Row],[Vehicle_Type]]="Truck",13)</f>
        <v>5</v>
      </c>
      <c r="J237">
        <f ca="1">Table11[[#This Row],[Daily_Production]]*Table11[[#This Row],[Working_Days]]</f>
        <v>6250</v>
      </c>
      <c r="K237" s="81">
        <f>Table11[[#This Row],[Forecasted_Units]]*0.1</f>
        <v>9.9351119148476599</v>
      </c>
      <c r="L237" s="82">
        <f>Table11[[#This Row],[Adjusted_Forecast]]+Table11[[#This Row],[Safety_Stock]]-Table11[[#This Row],[Inventory_On_Hand]]</f>
        <v>-41.362649788199178</v>
      </c>
      <c r="M237" s="82">
        <f ca="1">MIN(Table11[[#This Row],[Production_Needed]],Table11[[#This Row],[Production_Capacity]])</f>
        <v>-41.362649788199178</v>
      </c>
      <c r="N237" s="82">
        <f ca="1">MAX(Table11[[#This Row],[Production_Needed]]-Table11[[#This Row],[Planned_Production]],0)</f>
        <v>0</v>
      </c>
      <c r="O237" s="82">
        <f ca="1">Table11[[#This Row],[Inventory_On_Hand]]+Table11[[#This Row],[Planned_Production]]-Table11[[#This Row],[Forecasted_Units]]</f>
        <v>9.9351119148476528</v>
      </c>
      <c r="P237" cm="1">
        <f t="array" ref="P237">_xlfn.XLOOKUP(Table11[[#This Row],[Date]] &amp; Table11[[#This Row],[Vehicle_Type]], Table12[Date] &amp; Table12[Vehicle_Type],Table12[Feedback_Adjustment], 0)</f>
        <v>0</v>
      </c>
      <c r="Q237" s="82">
        <f>Table11[[#This Row],[Forecasted_Units]]*(1+Table11[[#This Row],[Adjustment_Percentage]])</f>
        <v>99.351119148476585</v>
      </c>
      <c r="R237" s="82"/>
    </row>
    <row r="238" spans="1:18">
      <c r="A238" s="53">
        <v>49085</v>
      </c>
      <c r="B238" s="14" t="s">
        <v>12</v>
      </c>
      <c r="C238" s="15" t="str">
        <f>TEXT(Table11[[#This Row],[Date]],"mmmm")</f>
        <v>May</v>
      </c>
      <c r="D238" s="14">
        <v>97</v>
      </c>
      <c r="E238" s="82">
        <f>_xlfn.FORECAST.LINEAR(Table11[[#This Row],[Date]],Table11[Units_Sold],Table11[Date])</f>
        <v>99.352283345133372</v>
      </c>
      <c r="F238" cm="1">
        <f t="array" ref="F238">_xlfn.IFS(Table11[[#This Row],[Vehicle_Type]]="SUV",250,Table11[[#This Row],[Vehicle_Type]]="Sedan",200,Table11[[#This Row],[Vehicle_Type]]="Hatchback",185,Table11[[#This Row],[Vehicle_Type]]="Electric",190,Table11[[#This Row],[Vehicle_Type]]="Truck",150)</f>
        <v>250</v>
      </c>
      <c r="G238">
        <f t="shared" ca="1" si="3"/>
        <v>20</v>
      </c>
      <c r="H238" s="82">
        <f>Table11[[#This Row],[Daily_Production]]-Table11[[#This Row],[Forecasted_Units]]</f>
        <v>150.64771665486663</v>
      </c>
      <c r="I238" cm="1">
        <f t="array" ref="I238">_xlfn.IFS(Table11[[#This Row],[Vehicle_Type]]="SUV",5,Table11[[#This Row],[Vehicle_Type]]="Sedan",7,Table11[[#This Row],[Vehicle_Type]]="Hatchback",10,Table11[[#This Row],[Vehicle_Type]]="Electric",11,Table11[[#This Row],[Vehicle_Type]]="Truck",13)</f>
        <v>5</v>
      </c>
      <c r="J238">
        <f ca="1">Table11[[#This Row],[Daily_Production]]*Table11[[#This Row],[Working_Days]]</f>
        <v>5000</v>
      </c>
      <c r="K238" s="81">
        <f>Table11[[#This Row],[Forecasted_Units]]*0.1</f>
        <v>9.9352283345133383</v>
      </c>
      <c r="L238" s="82">
        <f>Table11[[#This Row],[Adjusted_Forecast]]+Table11[[#This Row],[Safety_Stock]]-Table11[[#This Row],[Inventory_On_Hand]]</f>
        <v>-41.360204975219915</v>
      </c>
      <c r="M238" s="82">
        <f ca="1">MIN(Table11[[#This Row],[Production_Needed]],Table11[[#This Row],[Production_Capacity]])</f>
        <v>-41.360204975219915</v>
      </c>
      <c r="N238" s="82">
        <f ca="1">MAX(Table11[[#This Row],[Production_Needed]]-Table11[[#This Row],[Planned_Production]],0)</f>
        <v>0</v>
      </c>
      <c r="O238" s="82">
        <f ca="1">Table11[[#This Row],[Inventory_On_Hand]]+Table11[[#This Row],[Planned_Production]]-Table11[[#This Row],[Forecasted_Units]]</f>
        <v>9.9352283345133401</v>
      </c>
      <c r="P238" cm="1">
        <f t="array" ref="P238">_xlfn.XLOOKUP(Table11[[#This Row],[Date]] &amp; Table11[[#This Row],[Vehicle_Type]], Table12[Date] &amp; Table12[Vehicle_Type],Table12[Feedback_Adjustment], 0)</f>
        <v>0</v>
      </c>
      <c r="Q238" s="82">
        <f>Table11[[#This Row],[Forecasted_Units]]*(1+Table11[[#This Row],[Adjustment_Percentage]])</f>
        <v>99.352283345133372</v>
      </c>
      <c r="R238" s="82"/>
    </row>
    <row r="239" spans="1:18">
      <c r="A239" s="54">
        <v>49115</v>
      </c>
      <c r="B239" s="15" t="s">
        <v>13</v>
      </c>
      <c r="C239" s="15" t="str">
        <f>TEXT(Table11[[#This Row],[Date]],"mmmm")</f>
        <v>June</v>
      </c>
      <c r="D239" s="15">
        <v>116</v>
      </c>
      <c r="E239" s="82">
        <f>_xlfn.FORECAST.LINEAR(Table11[[#This Row],[Date]],Table11[Units_Sold],Table11[Date])</f>
        <v>99.35344754179016</v>
      </c>
      <c r="F239" cm="1">
        <f t="array" ref="F239">_xlfn.IFS(Table11[[#This Row],[Vehicle_Type]]="SUV",250,Table11[[#This Row],[Vehicle_Type]]="Sedan",200,Table11[[#This Row],[Vehicle_Type]]="Hatchback",185,Table11[[#This Row],[Vehicle_Type]]="Electric",190,Table11[[#This Row],[Vehicle_Type]]="Truck",150)</f>
        <v>190</v>
      </c>
      <c r="G239">
        <f t="shared" ca="1" si="3"/>
        <v>20</v>
      </c>
      <c r="H239" s="82">
        <f>Table11[[#This Row],[Daily_Production]]-Table11[[#This Row],[Forecasted_Units]]</f>
        <v>90.64655245820984</v>
      </c>
      <c r="I239" cm="1">
        <f t="array" ref="I239">_xlfn.IFS(Table11[[#This Row],[Vehicle_Type]]="SUV",5,Table11[[#This Row],[Vehicle_Type]]="Sedan",7,Table11[[#This Row],[Vehicle_Type]]="Hatchback",10,Table11[[#This Row],[Vehicle_Type]]="Electric",11,Table11[[#This Row],[Vehicle_Type]]="Truck",13)</f>
        <v>11</v>
      </c>
      <c r="J239">
        <f ca="1">Table11[[#This Row],[Daily_Production]]*Table11[[#This Row],[Working_Days]]</f>
        <v>3800</v>
      </c>
      <c r="K239" s="81">
        <f>Table11[[#This Row],[Forecasted_Units]]*0.1</f>
        <v>9.9353447541790167</v>
      </c>
      <c r="L239" s="82">
        <f>Table11[[#This Row],[Adjusted_Forecast]]+Table11[[#This Row],[Safety_Stock]]-Table11[[#This Row],[Inventory_On_Hand]]</f>
        <v>18.642239837759334</v>
      </c>
      <c r="M239" s="82">
        <f ca="1">MIN(Table11[[#This Row],[Production_Needed]],Table11[[#This Row],[Production_Capacity]])</f>
        <v>18.642239837759334</v>
      </c>
      <c r="N239" s="82">
        <f ca="1">MAX(Table11[[#This Row],[Production_Needed]]-Table11[[#This Row],[Planned_Production]],0)</f>
        <v>0</v>
      </c>
      <c r="O239" s="82">
        <f ca="1">Table11[[#This Row],[Inventory_On_Hand]]+Table11[[#This Row],[Planned_Production]]-Table11[[#This Row],[Forecasted_Units]]</f>
        <v>9.9353447541790132</v>
      </c>
      <c r="P239" cm="1">
        <f t="array" ref="P239">_xlfn.XLOOKUP(Table11[[#This Row],[Date]] &amp; Table11[[#This Row],[Vehicle_Type]], Table12[Date] &amp; Table12[Vehicle_Type],Table12[Feedback_Adjustment], 0)</f>
        <v>0</v>
      </c>
      <c r="Q239" s="82">
        <f>Table11[[#This Row],[Forecasted_Units]]*(1+Table11[[#This Row],[Adjustment_Percentage]])</f>
        <v>99.35344754179016</v>
      </c>
      <c r="R239" s="82"/>
    </row>
    <row r="240" spans="1:18">
      <c r="A240" s="53">
        <v>49145</v>
      </c>
      <c r="B240" s="14" t="s">
        <v>14</v>
      </c>
      <c r="C240" s="15" t="str">
        <f>TEXT(Table11[[#This Row],[Date]],"mmmm")</f>
        <v>July</v>
      </c>
      <c r="D240" s="14">
        <v>100</v>
      </c>
      <c r="E240" s="82">
        <f>_xlfn.FORECAST.LINEAR(Table11[[#This Row],[Date]],Table11[Units_Sold],Table11[Date])</f>
        <v>99.354611738446948</v>
      </c>
      <c r="F240" cm="1">
        <f t="array" ref="F240">_xlfn.IFS(Table11[[#This Row],[Vehicle_Type]]="SUV",250,Table11[[#This Row],[Vehicle_Type]]="Sedan",200,Table11[[#This Row],[Vehicle_Type]]="Hatchback",185,Table11[[#This Row],[Vehicle_Type]]="Electric",190,Table11[[#This Row],[Vehicle_Type]]="Truck",150)</f>
        <v>150</v>
      </c>
      <c r="G240">
        <f t="shared" ca="1" si="3"/>
        <v>22</v>
      </c>
      <c r="H240" s="82">
        <f>Table11[[#This Row],[Daily_Production]]-Table11[[#This Row],[Forecasted_Units]]</f>
        <v>50.645388261553052</v>
      </c>
      <c r="I240" cm="1">
        <f t="array" ref="I240">_xlfn.IFS(Table11[[#This Row],[Vehicle_Type]]="SUV",5,Table11[[#This Row],[Vehicle_Type]]="Sedan",7,Table11[[#This Row],[Vehicle_Type]]="Hatchback",10,Table11[[#This Row],[Vehicle_Type]]="Electric",11,Table11[[#This Row],[Vehicle_Type]]="Truck",13)</f>
        <v>13</v>
      </c>
      <c r="J240">
        <f ca="1">Table11[[#This Row],[Daily_Production]]*Table11[[#This Row],[Working_Days]]</f>
        <v>3300</v>
      </c>
      <c r="K240" s="81">
        <f>Table11[[#This Row],[Forecasted_Units]]*0.1</f>
        <v>9.9354611738446952</v>
      </c>
      <c r="L240" s="82">
        <f>Table11[[#This Row],[Adjusted_Forecast]]+Table11[[#This Row],[Safety_Stock]]-Table11[[#This Row],[Inventory_On_Hand]]</f>
        <v>58.644684650738597</v>
      </c>
      <c r="M240" s="82">
        <f ca="1">MIN(Table11[[#This Row],[Production_Needed]],Table11[[#This Row],[Production_Capacity]])</f>
        <v>58.644684650738597</v>
      </c>
      <c r="N240" s="82">
        <f ca="1">MAX(Table11[[#This Row],[Production_Needed]]-Table11[[#This Row],[Planned_Production]],0)</f>
        <v>0</v>
      </c>
      <c r="O240" s="82">
        <f ca="1">Table11[[#This Row],[Inventory_On_Hand]]+Table11[[#This Row],[Planned_Production]]-Table11[[#This Row],[Forecasted_Units]]</f>
        <v>9.9354611738447005</v>
      </c>
      <c r="P240" cm="1">
        <f t="array" ref="P240">_xlfn.XLOOKUP(Table11[[#This Row],[Date]] &amp; Table11[[#This Row],[Vehicle_Type]], Table12[Date] &amp; Table12[Vehicle_Type],Table12[Feedback_Adjustment], 0)</f>
        <v>0</v>
      </c>
      <c r="Q240" s="82">
        <f>Table11[[#This Row],[Forecasted_Units]]*(1+Table11[[#This Row],[Adjustment_Percentage]])</f>
        <v>99.354611738446948</v>
      </c>
      <c r="R240" s="82"/>
    </row>
    <row r="241" spans="1:18">
      <c r="A241" s="54">
        <v>49175</v>
      </c>
      <c r="B241" s="15" t="s">
        <v>12</v>
      </c>
      <c r="C241" s="15" t="str">
        <f>TEXT(Table11[[#This Row],[Date]],"mmmm")</f>
        <v>August</v>
      </c>
      <c r="D241" s="15">
        <v>97</v>
      </c>
      <c r="E241" s="82">
        <f>_xlfn.FORECAST.LINEAR(Table11[[#This Row],[Date]],Table11[Units_Sold],Table11[Date])</f>
        <v>99.355775935103736</v>
      </c>
      <c r="F241" cm="1">
        <f t="array" ref="F241">_xlfn.IFS(Table11[[#This Row],[Vehicle_Type]]="SUV",250,Table11[[#This Row],[Vehicle_Type]]="Sedan",200,Table11[[#This Row],[Vehicle_Type]]="Hatchback",185,Table11[[#This Row],[Vehicle_Type]]="Electric",190,Table11[[#This Row],[Vehicle_Type]]="Truck",150)</f>
        <v>250</v>
      </c>
      <c r="G241">
        <f t="shared" ca="1" si="3"/>
        <v>23</v>
      </c>
      <c r="H241" s="82">
        <f>Table11[[#This Row],[Daily_Production]]-Table11[[#This Row],[Forecasted_Units]]</f>
        <v>150.64422406489626</v>
      </c>
      <c r="I241" cm="1">
        <f t="array" ref="I241">_xlfn.IFS(Table11[[#This Row],[Vehicle_Type]]="SUV",5,Table11[[#This Row],[Vehicle_Type]]="Sedan",7,Table11[[#This Row],[Vehicle_Type]]="Hatchback",10,Table11[[#This Row],[Vehicle_Type]]="Electric",11,Table11[[#This Row],[Vehicle_Type]]="Truck",13)</f>
        <v>5</v>
      </c>
      <c r="J241">
        <f ca="1">Table11[[#This Row],[Daily_Production]]*Table11[[#This Row],[Working_Days]]</f>
        <v>5750</v>
      </c>
      <c r="K241" s="81">
        <f>Table11[[#This Row],[Forecasted_Units]]*0.1</f>
        <v>9.9355775935103736</v>
      </c>
      <c r="L241" s="82">
        <f>Table11[[#This Row],[Adjusted_Forecast]]+Table11[[#This Row],[Safety_Stock]]-Table11[[#This Row],[Inventory_On_Hand]]</f>
        <v>-41.352870536282154</v>
      </c>
      <c r="M241" s="82">
        <f ca="1">MIN(Table11[[#This Row],[Production_Needed]],Table11[[#This Row],[Production_Capacity]])</f>
        <v>-41.352870536282154</v>
      </c>
      <c r="N241" s="82">
        <f ca="1">MAX(Table11[[#This Row],[Production_Needed]]-Table11[[#This Row],[Planned_Production]],0)</f>
        <v>0</v>
      </c>
      <c r="O241" s="82">
        <f ca="1">Table11[[#This Row],[Inventory_On_Hand]]+Table11[[#This Row],[Planned_Production]]-Table11[[#This Row],[Forecasted_Units]]</f>
        <v>9.9355775935103736</v>
      </c>
      <c r="P241" cm="1">
        <f t="array" ref="P241">_xlfn.XLOOKUP(Table11[[#This Row],[Date]] &amp; Table11[[#This Row],[Vehicle_Type]], Table12[Date] &amp; Table12[Vehicle_Type],Table12[Feedback_Adjustment], 0)</f>
        <v>0</v>
      </c>
      <c r="Q241" s="82">
        <f>Table11[[#This Row],[Forecasted_Units]]*(1+Table11[[#This Row],[Adjustment_Percentage]])</f>
        <v>99.355775935103736</v>
      </c>
      <c r="R241" s="82"/>
    </row>
    <row r="242" spans="1:18">
      <c r="A242" s="53">
        <v>49205</v>
      </c>
      <c r="B242" s="14" t="s">
        <v>14</v>
      </c>
      <c r="C242" s="15" t="str">
        <f>TEXT(Table11[[#This Row],[Date]],"mmmm")</f>
        <v>September</v>
      </c>
      <c r="D242" s="14">
        <v>100</v>
      </c>
      <c r="E242" s="82">
        <f>_xlfn.FORECAST.LINEAR(Table11[[#This Row],[Date]],Table11[Units_Sold],Table11[Date])</f>
        <v>99.356940131760524</v>
      </c>
      <c r="F242" cm="1">
        <f t="array" ref="F242">_xlfn.IFS(Table11[[#This Row],[Vehicle_Type]]="SUV",250,Table11[[#This Row],[Vehicle_Type]]="Sedan",200,Table11[[#This Row],[Vehicle_Type]]="Hatchback",185,Table11[[#This Row],[Vehicle_Type]]="Electric",190,Table11[[#This Row],[Vehicle_Type]]="Truck",150)</f>
        <v>150</v>
      </c>
      <c r="G242">
        <f t="shared" ca="1" si="3"/>
        <v>24</v>
      </c>
      <c r="H242" s="82">
        <f>Table11[[#This Row],[Daily_Production]]-Table11[[#This Row],[Forecasted_Units]]</f>
        <v>50.643059868239476</v>
      </c>
      <c r="I242" cm="1">
        <f t="array" ref="I242">_xlfn.IFS(Table11[[#This Row],[Vehicle_Type]]="SUV",5,Table11[[#This Row],[Vehicle_Type]]="Sedan",7,Table11[[#This Row],[Vehicle_Type]]="Hatchback",10,Table11[[#This Row],[Vehicle_Type]]="Electric",11,Table11[[#This Row],[Vehicle_Type]]="Truck",13)</f>
        <v>13</v>
      </c>
      <c r="J242">
        <f ca="1">Table11[[#This Row],[Daily_Production]]*Table11[[#This Row],[Working_Days]]</f>
        <v>3600</v>
      </c>
      <c r="K242" s="81">
        <f>Table11[[#This Row],[Forecasted_Units]]*0.1</f>
        <v>9.9356940131760538</v>
      </c>
      <c r="L242" s="82">
        <f>Table11[[#This Row],[Adjusted_Forecast]]+Table11[[#This Row],[Safety_Stock]]-Table11[[#This Row],[Inventory_On_Hand]]</f>
        <v>58.649574276697109</v>
      </c>
      <c r="M242" s="82">
        <f ca="1">MIN(Table11[[#This Row],[Production_Needed]],Table11[[#This Row],[Production_Capacity]])</f>
        <v>58.649574276697109</v>
      </c>
      <c r="N242" s="82">
        <f ca="1">MAX(Table11[[#This Row],[Production_Needed]]-Table11[[#This Row],[Planned_Production]],0)</f>
        <v>0</v>
      </c>
      <c r="O242" s="82">
        <f ca="1">Table11[[#This Row],[Inventory_On_Hand]]+Table11[[#This Row],[Planned_Production]]-Table11[[#This Row],[Forecasted_Units]]</f>
        <v>9.9356940131760609</v>
      </c>
      <c r="P242" cm="1">
        <f t="array" ref="P242">_xlfn.XLOOKUP(Table11[[#This Row],[Date]] &amp; Table11[[#This Row],[Vehicle_Type]], Table12[Date] &amp; Table12[Vehicle_Type],Table12[Feedback_Adjustment], 0)</f>
        <v>0</v>
      </c>
      <c r="Q242" s="82">
        <f>Table11[[#This Row],[Forecasted_Units]]*(1+Table11[[#This Row],[Adjustment_Percentage]])</f>
        <v>99.356940131760524</v>
      </c>
      <c r="R242" s="82"/>
    </row>
    <row r="243" spans="1:18">
      <c r="A243" s="54">
        <v>49235</v>
      </c>
      <c r="B243" s="15" t="s">
        <v>12</v>
      </c>
      <c r="C243" s="15" t="str">
        <f>TEXT(Table11[[#This Row],[Date]],"mmmm")</f>
        <v>October</v>
      </c>
      <c r="D243" s="15">
        <v>99</v>
      </c>
      <c r="E243" s="82">
        <f>_xlfn.FORECAST.LINEAR(Table11[[#This Row],[Date]],Table11[Units_Sold],Table11[Date])</f>
        <v>99.358104328417312</v>
      </c>
      <c r="F243" cm="1">
        <f t="array" ref="F243">_xlfn.IFS(Table11[[#This Row],[Vehicle_Type]]="SUV",250,Table11[[#This Row],[Vehicle_Type]]="Sedan",200,Table11[[#This Row],[Vehicle_Type]]="Hatchback",185,Table11[[#This Row],[Vehicle_Type]]="Electric",190,Table11[[#This Row],[Vehicle_Type]]="Truck",150)</f>
        <v>250</v>
      </c>
      <c r="G243">
        <f t="shared" ca="1" si="3"/>
        <v>23</v>
      </c>
      <c r="H243" s="82">
        <f>Table11[[#This Row],[Daily_Production]]-Table11[[#This Row],[Forecasted_Units]]</f>
        <v>150.64189567158269</v>
      </c>
      <c r="I243" cm="1">
        <f t="array" ref="I243">_xlfn.IFS(Table11[[#This Row],[Vehicle_Type]]="SUV",5,Table11[[#This Row],[Vehicle_Type]]="Sedan",7,Table11[[#This Row],[Vehicle_Type]]="Hatchback",10,Table11[[#This Row],[Vehicle_Type]]="Electric",11,Table11[[#This Row],[Vehicle_Type]]="Truck",13)</f>
        <v>5</v>
      </c>
      <c r="J243">
        <f ca="1">Table11[[#This Row],[Daily_Production]]*Table11[[#This Row],[Working_Days]]</f>
        <v>5750</v>
      </c>
      <c r="K243" s="81">
        <f>Table11[[#This Row],[Forecasted_Units]]*0.1</f>
        <v>9.9358104328417323</v>
      </c>
      <c r="L243" s="82">
        <f>Table11[[#This Row],[Adjusted_Forecast]]+Table11[[#This Row],[Safety_Stock]]-Table11[[#This Row],[Inventory_On_Hand]]</f>
        <v>-41.347980910323642</v>
      </c>
      <c r="M243" s="82">
        <f ca="1">MIN(Table11[[#This Row],[Production_Needed]],Table11[[#This Row],[Production_Capacity]])</f>
        <v>-41.347980910323642</v>
      </c>
      <c r="N243" s="82">
        <f ca="1">MAX(Table11[[#This Row],[Production_Needed]]-Table11[[#This Row],[Planned_Production]],0)</f>
        <v>0</v>
      </c>
      <c r="O243" s="82">
        <f ca="1">Table11[[#This Row],[Inventory_On_Hand]]+Table11[[#This Row],[Planned_Production]]-Table11[[#This Row],[Forecasted_Units]]</f>
        <v>9.935810432841734</v>
      </c>
      <c r="P243" cm="1">
        <f t="array" ref="P243">_xlfn.XLOOKUP(Table11[[#This Row],[Date]] &amp; Table11[[#This Row],[Vehicle_Type]], Table12[Date] &amp; Table12[Vehicle_Type],Table12[Feedback_Adjustment], 0)</f>
        <v>0</v>
      </c>
      <c r="Q243" s="82">
        <f>Table11[[#This Row],[Forecasted_Units]]*(1+Table11[[#This Row],[Adjustment_Percentage]])</f>
        <v>99.358104328417312</v>
      </c>
      <c r="R243" s="82"/>
    </row>
    <row r="244" spans="1:18">
      <c r="A244" s="53">
        <v>49265</v>
      </c>
      <c r="B244" s="14" t="s">
        <v>11</v>
      </c>
      <c r="C244" s="15" t="str">
        <f>TEXT(Table11[[#This Row],[Date]],"mmmm")</f>
        <v>November</v>
      </c>
      <c r="D244" s="14">
        <v>100</v>
      </c>
      <c r="E244" s="82">
        <f>_xlfn.FORECAST.LINEAR(Table11[[#This Row],[Date]],Table11[Units_Sold],Table11[Date])</f>
        <v>99.3592685250741</v>
      </c>
      <c r="F244" cm="1">
        <f t="array" ref="F244">_xlfn.IFS(Table11[[#This Row],[Vehicle_Type]]="SUV",250,Table11[[#This Row],[Vehicle_Type]]="Sedan",200,Table11[[#This Row],[Vehicle_Type]]="Hatchback",185,Table11[[#This Row],[Vehicle_Type]]="Electric",190,Table11[[#This Row],[Vehicle_Type]]="Truck",150)</f>
        <v>185</v>
      </c>
      <c r="G244">
        <f t="shared" ca="1" si="3"/>
        <v>25</v>
      </c>
      <c r="H244" s="82">
        <f>Table11[[#This Row],[Daily_Production]]-Table11[[#This Row],[Forecasted_Units]]</f>
        <v>85.6407314749259</v>
      </c>
      <c r="I244" cm="1">
        <f t="array" ref="I244">_xlfn.IFS(Table11[[#This Row],[Vehicle_Type]]="SUV",5,Table11[[#This Row],[Vehicle_Type]]="Sedan",7,Table11[[#This Row],[Vehicle_Type]]="Hatchback",10,Table11[[#This Row],[Vehicle_Type]]="Electric",11,Table11[[#This Row],[Vehicle_Type]]="Truck",13)</f>
        <v>10</v>
      </c>
      <c r="J244">
        <f ca="1">Table11[[#This Row],[Daily_Production]]*Table11[[#This Row],[Working_Days]]</f>
        <v>4625</v>
      </c>
      <c r="K244" s="81">
        <f>Table11[[#This Row],[Forecasted_Units]]*0.1</f>
        <v>9.9359268525074107</v>
      </c>
      <c r="L244" s="82">
        <f>Table11[[#This Row],[Adjusted_Forecast]]+Table11[[#This Row],[Safety_Stock]]-Table11[[#This Row],[Inventory_On_Hand]]</f>
        <v>23.654463902655607</v>
      </c>
      <c r="M244" s="82">
        <f ca="1">MIN(Table11[[#This Row],[Production_Needed]],Table11[[#This Row],[Production_Capacity]])</f>
        <v>23.654463902655607</v>
      </c>
      <c r="N244" s="82">
        <f ca="1">MAX(Table11[[#This Row],[Production_Needed]]-Table11[[#This Row],[Planned_Production]],0)</f>
        <v>0</v>
      </c>
      <c r="O244" s="82">
        <f ca="1">Table11[[#This Row],[Inventory_On_Hand]]+Table11[[#This Row],[Planned_Production]]-Table11[[#This Row],[Forecasted_Units]]</f>
        <v>9.9359268525074071</v>
      </c>
      <c r="P244" cm="1">
        <f t="array" ref="P244">_xlfn.XLOOKUP(Table11[[#This Row],[Date]] &amp; Table11[[#This Row],[Vehicle_Type]], Table12[Date] &amp; Table12[Vehicle_Type],Table12[Feedback_Adjustment], 0)</f>
        <v>0</v>
      </c>
      <c r="Q244" s="82">
        <f>Table11[[#This Row],[Forecasted_Units]]*(1+Table11[[#This Row],[Adjustment_Percentage]])</f>
        <v>99.3592685250741</v>
      </c>
      <c r="R244" s="82"/>
    </row>
    <row r="245" spans="1:18">
      <c r="A245" s="54">
        <v>49295</v>
      </c>
      <c r="B245" s="15" t="s">
        <v>14</v>
      </c>
      <c r="C245" s="15" t="str">
        <f>TEXT(Table11[[#This Row],[Date]],"mmmm")</f>
        <v>December</v>
      </c>
      <c r="D245" s="15">
        <v>100</v>
      </c>
      <c r="E245" s="82">
        <f>_xlfn.FORECAST.LINEAR(Table11[[#This Row],[Date]],Table11[Units_Sold],Table11[Date])</f>
        <v>99.360432721730874</v>
      </c>
      <c r="F245" cm="1">
        <f t="array" ref="F245">_xlfn.IFS(Table11[[#This Row],[Vehicle_Type]]="SUV",250,Table11[[#This Row],[Vehicle_Type]]="Sedan",200,Table11[[#This Row],[Vehicle_Type]]="Hatchback",185,Table11[[#This Row],[Vehicle_Type]]="Electric",190,Table11[[#This Row],[Vehicle_Type]]="Truck",150)</f>
        <v>150</v>
      </c>
      <c r="G245">
        <f t="shared" ca="1" si="3"/>
        <v>20</v>
      </c>
      <c r="H245" s="82">
        <f>Table11[[#This Row],[Daily_Production]]-Table11[[#This Row],[Forecasted_Units]]</f>
        <v>50.639567278269126</v>
      </c>
      <c r="I245" cm="1">
        <f t="array" ref="I245">_xlfn.IFS(Table11[[#This Row],[Vehicle_Type]]="SUV",5,Table11[[#This Row],[Vehicle_Type]]="Sedan",7,Table11[[#This Row],[Vehicle_Type]]="Hatchback",10,Table11[[#This Row],[Vehicle_Type]]="Electric",11,Table11[[#This Row],[Vehicle_Type]]="Truck",13)</f>
        <v>13</v>
      </c>
      <c r="J245">
        <f ca="1">Table11[[#This Row],[Daily_Production]]*Table11[[#This Row],[Working_Days]]</f>
        <v>3000</v>
      </c>
      <c r="K245" s="81">
        <f>Table11[[#This Row],[Forecasted_Units]]*0.1</f>
        <v>9.9360432721730874</v>
      </c>
      <c r="L245" s="82">
        <f>Table11[[#This Row],[Adjusted_Forecast]]+Table11[[#This Row],[Safety_Stock]]-Table11[[#This Row],[Inventory_On_Hand]]</f>
        <v>58.656908715634827</v>
      </c>
      <c r="M245" s="82">
        <f ca="1">MIN(Table11[[#This Row],[Production_Needed]],Table11[[#This Row],[Production_Capacity]])</f>
        <v>58.656908715634827</v>
      </c>
      <c r="N245" s="82">
        <f ca="1">MAX(Table11[[#This Row],[Production_Needed]]-Table11[[#This Row],[Planned_Production]],0)</f>
        <v>0</v>
      </c>
      <c r="O245" s="82">
        <f ca="1">Table11[[#This Row],[Inventory_On_Hand]]+Table11[[#This Row],[Planned_Production]]-Table11[[#This Row],[Forecasted_Units]]</f>
        <v>9.9360432721730803</v>
      </c>
      <c r="P245" cm="1">
        <f t="array" ref="P245">_xlfn.XLOOKUP(Table11[[#This Row],[Date]] &amp; Table11[[#This Row],[Vehicle_Type]], Table12[Date] &amp; Table12[Vehicle_Type],Table12[Feedback_Adjustment], 0)</f>
        <v>0</v>
      </c>
      <c r="Q245" s="82">
        <f>Table11[[#This Row],[Forecasted_Units]]*(1+Table11[[#This Row],[Adjustment_Percentage]])</f>
        <v>99.360432721730874</v>
      </c>
      <c r="R245" s="82"/>
    </row>
    <row r="246" spans="1:18">
      <c r="A246" s="53">
        <v>49325</v>
      </c>
      <c r="B246" s="14" t="s">
        <v>12</v>
      </c>
      <c r="C246" s="15" t="str">
        <f>TEXT(Table11[[#This Row],[Date]],"mmmm")</f>
        <v>January</v>
      </c>
      <c r="D246" s="14">
        <v>82</v>
      </c>
      <c r="E246" s="82">
        <f>_xlfn.FORECAST.LINEAR(Table11[[#This Row],[Date]],Table11[Units_Sold],Table11[Date])</f>
        <v>99.361596918387662</v>
      </c>
      <c r="F246" cm="1">
        <f t="array" ref="F246">_xlfn.IFS(Table11[[#This Row],[Vehicle_Type]]="SUV",250,Table11[[#This Row],[Vehicle_Type]]="Sedan",200,Table11[[#This Row],[Vehicle_Type]]="Hatchback",185,Table11[[#This Row],[Vehicle_Type]]="Electric",190,Table11[[#This Row],[Vehicle_Type]]="Truck",150)</f>
        <v>250</v>
      </c>
      <c r="G246">
        <f t="shared" ca="1" si="3"/>
        <v>23</v>
      </c>
      <c r="H246" s="82">
        <f>Table11[[#This Row],[Daily_Production]]-Table11[[#This Row],[Forecasted_Units]]</f>
        <v>150.63840308161235</v>
      </c>
      <c r="I246" cm="1">
        <f t="array" ref="I246">_xlfn.IFS(Table11[[#This Row],[Vehicle_Type]]="SUV",5,Table11[[#This Row],[Vehicle_Type]]="Sedan",7,Table11[[#This Row],[Vehicle_Type]]="Hatchback",10,Table11[[#This Row],[Vehicle_Type]]="Electric",11,Table11[[#This Row],[Vehicle_Type]]="Truck",13)</f>
        <v>5</v>
      </c>
      <c r="J246">
        <f ca="1">Table11[[#This Row],[Daily_Production]]*Table11[[#This Row],[Working_Days]]</f>
        <v>5750</v>
      </c>
      <c r="K246" s="81">
        <f>Table11[[#This Row],[Forecasted_Units]]*0.1</f>
        <v>9.9361596918387676</v>
      </c>
      <c r="L246" s="82">
        <f>Table11[[#This Row],[Adjusted_Forecast]]+Table11[[#This Row],[Safety_Stock]]-Table11[[#This Row],[Inventory_On_Hand]]</f>
        <v>-41.340646471385924</v>
      </c>
      <c r="M246" s="82">
        <f ca="1">MIN(Table11[[#This Row],[Production_Needed]],Table11[[#This Row],[Production_Capacity]])</f>
        <v>-41.340646471385924</v>
      </c>
      <c r="N246" s="82">
        <f ca="1">MAX(Table11[[#This Row],[Production_Needed]]-Table11[[#This Row],[Planned_Production]],0)</f>
        <v>0</v>
      </c>
      <c r="O246" s="82">
        <f ca="1">Table11[[#This Row],[Inventory_On_Hand]]+Table11[[#This Row],[Planned_Production]]-Table11[[#This Row],[Forecasted_Units]]</f>
        <v>9.9361596918387676</v>
      </c>
      <c r="P246" cm="1">
        <f t="array" ref="P246">_xlfn.XLOOKUP(Table11[[#This Row],[Date]] &amp; Table11[[#This Row],[Vehicle_Type]], Table12[Date] &amp; Table12[Vehicle_Type],Table12[Feedback_Adjustment], 0)</f>
        <v>0</v>
      </c>
      <c r="Q246" s="82">
        <f>Table11[[#This Row],[Forecasted_Units]]*(1+Table11[[#This Row],[Adjustment_Percentage]])</f>
        <v>99.361596918387662</v>
      </c>
      <c r="R246" s="82"/>
    </row>
    <row r="247" spans="1:18">
      <c r="A247" s="54">
        <v>49355</v>
      </c>
      <c r="B247" s="15" t="s">
        <v>10</v>
      </c>
      <c r="C247" s="15" t="str">
        <f>TEXT(Table11[[#This Row],[Date]],"mmmm")</f>
        <v>February</v>
      </c>
      <c r="D247" s="15">
        <v>87</v>
      </c>
      <c r="E247" s="82">
        <f>_xlfn.FORECAST.LINEAR(Table11[[#This Row],[Date]],Table11[Units_Sold],Table11[Date])</f>
        <v>99.362761115044449</v>
      </c>
      <c r="F247" cm="1">
        <f t="array" ref="F247">_xlfn.IFS(Table11[[#This Row],[Vehicle_Type]]="SUV",250,Table11[[#This Row],[Vehicle_Type]]="Sedan",200,Table11[[#This Row],[Vehicle_Type]]="Hatchback",185,Table11[[#This Row],[Vehicle_Type]]="Electric",190,Table11[[#This Row],[Vehicle_Type]]="Truck",150)</f>
        <v>200</v>
      </c>
      <c r="G247">
        <f t="shared" ca="1" si="3"/>
        <v>23</v>
      </c>
      <c r="H247" s="82">
        <f>Table11[[#This Row],[Daily_Production]]-Table11[[#This Row],[Forecasted_Units]]</f>
        <v>100.63723888495555</v>
      </c>
      <c r="I247" cm="1">
        <f t="array" ref="I247">_xlfn.IFS(Table11[[#This Row],[Vehicle_Type]]="SUV",5,Table11[[#This Row],[Vehicle_Type]]="Sedan",7,Table11[[#This Row],[Vehicle_Type]]="Hatchback",10,Table11[[#This Row],[Vehicle_Type]]="Electric",11,Table11[[#This Row],[Vehicle_Type]]="Truck",13)</f>
        <v>7</v>
      </c>
      <c r="J247">
        <f ca="1">Table11[[#This Row],[Daily_Production]]*Table11[[#This Row],[Working_Days]]</f>
        <v>4600</v>
      </c>
      <c r="K247" s="81">
        <f>Table11[[#This Row],[Forecasted_Units]]*0.1</f>
        <v>9.936276111504446</v>
      </c>
      <c r="L247" s="82">
        <f>Table11[[#This Row],[Adjusted_Forecast]]+Table11[[#This Row],[Safety_Stock]]-Table11[[#This Row],[Inventory_On_Hand]]</f>
        <v>8.6617983415933395</v>
      </c>
      <c r="M247" s="82">
        <f ca="1">MIN(Table11[[#This Row],[Production_Needed]],Table11[[#This Row],[Production_Capacity]])</f>
        <v>8.6617983415933395</v>
      </c>
      <c r="N247" s="82">
        <f ca="1">MAX(Table11[[#This Row],[Production_Needed]]-Table11[[#This Row],[Planned_Production]],0)</f>
        <v>0</v>
      </c>
      <c r="O247" s="82">
        <f ca="1">Table11[[#This Row],[Inventory_On_Hand]]+Table11[[#This Row],[Planned_Production]]-Table11[[#This Row],[Forecasted_Units]]</f>
        <v>9.9362761115044407</v>
      </c>
      <c r="P247" cm="1">
        <f t="array" ref="P247">_xlfn.XLOOKUP(Table11[[#This Row],[Date]] &amp; Table11[[#This Row],[Vehicle_Type]], Table12[Date] &amp; Table12[Vehicle_Type],Table12[Feedback_Adjustment], 0)</f>
        <v>0</v>
      </c>
      <c r="Q247" s="82">
        <f>Table11[[#This Row],[Forecasted_Units]]*(1+Table11[[#This Row],[Adjustment_Percentage]])</f>
        <v>99.362761115044449</v>
      </c>
      <c r="R247" s="82"/>
    </row>
    <row r="248" spans="1:18">
      <c r="A248" s="53">
        <v>49385</v>
      </c>
      <c r="B248" s="14" t="s">
        <v>14</v>
      </c>
      <c r="C248" s="15" t="str">
        <f>TEXT(Table11[[#This Row],[Date]],"mmmm")</f>
        <v>March</v>
      </c>
      <c r="D248" s="14">
        <v>87</v>
      </c>
      <c r="E248" s="82">
        <f>_xlfn.FORECAST.LINEAR(Table11[[#This Row],[Date]],Table11[Units_Sold],Table11[Date])</f>
        <v>99.363925311701237</v>
      </c>
      <c r="F248" cm="1">
        <f t="array" ref="F248">_xlfn.IFS(Table11[[#This Row],[Vehicle_Type]]="SUV",250,Table11[[#This Row],[Vehicle_Type]]="Sedan",200,Table11[[#This Row],[Vehicle_Type]]="Hatchback",185,Table11[[#This Row],[Vehicle_Type]]="Electric",190,Table11[[#This Row],[Vehicle_Type]]="Truck",150)</f>
        <v>150</v>
      </c>
      <c r="G248">
        <f t="shared" ca="1" si="3"/>
        <v>22</v>
      </c>
      <c r="H248" s="82">
        <f>Table11[[#This Row],[Daily_Production]]-Table11[[#This Row],[Forecasted_Units]]</f>
        <v>50.636074688298763</v>
      </c>
      <c r="I248" cm="1">
        <f t="array" ref="I248">_xlfn.IFS(Table11[[#This Row],[Vehicle_Type]]="SUV",5,Table11[[#This Row],[Vehicle_Type]]="Sedan",7,Table11[[#This Row],[Vehicle_Type]]="Hatchback",10,Table11[[#This Row],[Vehicle_Type]]="Electric",11,Table11[[#This Row],[Vehicle_Type]]="Truck",13)</f>
        <v>13</v>
      </c>
      <c r="J248">
        <f ca="1">Table11[[#This Row],[Daily_Production]]*Table11[[#This Row],[Working_Days]]</f>
        <v>3300</v>
      </c>
      <c r="K248" s="81">
        <f>Table11[[#This Row],[Forecasted_Units]]*0.1</f>
        <v>9.9363925311701244</v>
      </c>
      <c r="L248" s="82">
        <f>Table11[[#This Row],[Adjusted_Forecast]]+Table11[[#This Row],[Safety_Stock]]-Table11[[#This Row],[Inventory_On_Hand]]</f>
        <v>58.664243154572603</v>
      </c>
      <c r="M248" s="82">
        <f ca="1">MIN(Table11[[#This Row],[Production_Needed]],Table11[[#This Row],[Production_Capacity]])</f>
        <v>58.664243154572603</v>
      </c>
      <c r="N248" s="82">
        <f ca="1">MAX(Table11[[#This Row],[Production_Needed]]-Table11[[#This Row],[Planned_Production]],0)</f>
        <v>0</v>
      </c>
      <c r="O248" s="82">
        <f ca="1">Table11[[#This Row],[Inventory_On_Hand]]+Table11[[#This Row],[Planned_Production]]-Table11[[#This Row],[Forecasted_Units]]</f>
        <v>9.936392531170128</v>
      </c>
      <c r="P248" cm="1">
        <f t="array" ref="P248">_xlfn.XLOOKUP(Table11[[#This Row],[Date]] &amp; Table11[[#This Row],[Vehicle_Type]], Table12[Date] &amp; Table12[Vehicle_Type],Table12[Feedback_Adjustment], 0)</f>
        <v>0</v>
      </c>
      <c r="Q248" s="82">
        <f>Table11[[#This Row],[Forecasted_Units]]*(1+Table11[[#This Row],[Adjustment_Percentage]])</f>
        <v>99.363925311701237</v>
      </c>
      <c r="R248" s="82"/>
    </row>
    <row r="249" spans="1:18">
      <c r="A249" s="54">
        <v>49415</v>
      </c>
      <c r="B249" s="15" t="s">
        <v>13</v>
      </c>
      <c r="C249" s="15" t="str">
        <f>TEXT(Table11[[#This Row],[Date]],"mmmm")</f>
        <v>April</v>
      </c>
      <c r="D249" s="15">
        <v>90</v>
      </c>
      <c r="E249" s="82">
        <f>_xlfn.FORECAST.LINEAR(Table11[[#This Row],[Date]],Table11[Units_Sold],Table11[Date])</f>
        <v>99.365089508358025</v>
      </c>
      <c r="F249" cm="1">
        <f t="array" ref="F249">_xlfn.IFS(Table11[[#This Row],[Vehicle_Type]]="SUV",250,Table11[[#This Row],[Vehicle_Type]]="Sedan",200,Table11[[#This Row],[Vehicle_Type]]="Hatchback",185,Table11[[#This Row],[Vehicle_Type]]="Electric",190,Table11[[#This Row],[Vehicle_Type]]="Truck",150)</f>
        <v>190</v>
      </c>
      <c r="G249">
        <f t="shared" ca="1" si="3"/>
        <v>25</v>
      </c>
      <c r="H249" s="82">
        <f>Table11[[#This Row],[Daily_Production]]-Table11[[#This Row],[Forecasted_Units]]</f>
        <v>90.634910491641975</v>
      </c>
      <c r="I249" cm="1">
        <f t="array" ref="I249">_xlfn.IFS(Table11[[#This Row],[Vehicle_Type]]="SUV",5,Table11[[#This Row],[Vehicle_Type]]="Sedan",7,Table11[[#This Row],[Vehicle_Type]]="Hatchback",10,Table11[[#This Row],[Vehicle_Type]]="Electric",11,Table11[[#This Row],[Vehicle_Type]]="Truck",13)</f>
        <v>11</v>
      </c>
      <c r="J249">
        <f ca="1">Table11[[#This Row],[Daily_Production]]*Table11[[#This Row],[Working_Days]]</f>
        <v>4750</v>
      </c>
      <c r="K249" s="81">
        <f>Table11[[#This Row],[Forecasted_Units]]*0.1</f>
        <v>9.9365089508358029</v>
      </c>
      <c r="L249" s="82">
        <f>Table11[[#This Row],[Adjusted_Forecast]]+Table11[[#This Row],[Safety_Stock]]-Table11[[#This Row],[Inventory_On_Hand]]</f>
        <v>18.666687967551852</v>
      </c>
      <c r="M249" s="82">
        <f ca="1">MIN(Table11[[#This Row],[Production_Needed]],Table11[[#This Row],[Production_Capacity]])</f>
        <v>18.666687967551852</v>
      </c>
      <c r="N249" s="82">
        <f ca="1">MAX(Table11[[#This Row],[Production_Needed]]-Table11[[#This Row],[Planned_Production]],0)</f>
        <v>0</v>
      </c>
      <c r="O249" s="82">
        <f ca="1">Table11[[#This Row],[Inventory_On_Hand]]+Table11[[#This Row],[Planned_Production]]-Table11[[#This Row],[Forecasted_Units]]</f>
        <v>9.9365089508358011</v>
      </c>
      <c r="P249" cm="1">
        <f t="array" ref="P249">_xlfn.XLOOKUP(Table11[[#This Row],[Date]] &amp; Table11[[#This Row],[Vehicle_Type]], Table12[Date] &amp; Table12[Vehicle_Type],Table12[Feedback_Adjustment], 0)</f>
        <v>0</v>
      </c>
      <c r="Q249" s="82">
        <f>Table11[[#This Row],[Forecasted_Units]]*(1+Table11[[#This Row],[Adjustment_Percentage]])</f>
        <v>99.365089508358025</v>
      </c>
      <c r="R249" s="82"/>
    </row>
    <row r="250" spans="1:18">
      <c r="A250" s="53">
        <v>49445</v>
      </c>
      <c r="B250" s="14" t="s">
        <v>10</v>
      </c>
      <c r="C250" s="15" t="str">
        <f>TEXT(Table11[[#This Row],[Date]],"mmmm")</f>
        <v>May</v>
      </c>
      <c r="D250" s="14">
        <v>115</v>
      </c>
      <c r="E250" s="82">
        <f>_xlfn.FORECAST.LINEAR(Table11[[#This Row],[Date]],Table11[Units_Sold],Table11[Date])</f>
        <v>99.366253705014813</v>
      </c>
      <c r="F250" cm="1">
        <f t="array" ref="F250">_xlfn.IFS(Table11[[#This Row],[Vehicle_Type]]="SUV",250,Table11[[#This Row],[Vehicle_Type]]="Sedan",200,Table11[[#This Row],[Vehicle_Type]]="Hatchback",185,Table11[[#This Row],[Vehicle_Type]]="Electric",190,Table11[[#This Row],[Vehicle_Type]]="Truck",150)</f>
        <v>200</v>
      </c>
      <c r="G250">
        <f t="shared" ca="1" si="3"/>
        <v>25</v>
      </c>
      <c r="H250" s="82">
        <f>Table11[[#This Row],[Daily_Production]]-Table11[[#This Row],[Forecasted_Units]]</f>
        <v>100.63374629498519</v>
      </c>
      <c r="I250" cm="1">
        <f t="array" ref="I250">_xlfn.IFS(Table11[[#This Row],[Vehicle_Type]]="SUV",5,Table11[[#This Row],[Vehicle_Type]]="Sedan",7,Table11[[#This Row],[Vehicle_Type]]="Hatchback",10,Table11[[#This Row],[Vehicle_Type]]="Electric",11,Table11[[#This Row],[Vehicle_Type]]="Truck",13)</f>
        <v>7</v>
      </c>
      <c r="J250">
        <f ca="1">Table11[[#This Row],[Daily_Production]]*Table11[[#This Row],[Working_Days]]</f>
        <v>5000</v>
      </c>
      <c r="K250" s="81">
        <f>Table11[[#This Row],[Forecasted_Units]]*0.1</f>
        <v>9.9366253705014813</v>
      </c>
      <c r="L250" s="82">
        <f>Table11[[#This Row],[Adjusted_Forecast]]+Table11[[#This Row],[Safety_Stock]]-Table11[[#This Row],[Inventory_On_Hand]]</f>
        <v>8.6691327805311147</v>
      </c>
      <c r="M250" s="82">
        <f ca="1">MIN(Table11[[#This Row],[Production_Needed]],Table11[[#This Row],[Production_Capacity]])</f>
        <v>8.6691327805311147</v>
      </c>
      <c r="N250" s="82">
        <f ca="1">MAX(Table11[[#This Row],[Production_Needed]]-Table11[[#This Row],[Planned_Production]],0)</f>
        <v>0</v>
      </c>
      <c r="O250" s="82">
        <f ca="1">Table11[[#This Row],[Inventory_On_Hand]]+Table11[[#This Row],[Planned_Production]]-Table11[[#This Row],[Forecasted_Units]]</f>
        <v>9.9366253705014884</v>
      </c>
      <c r="P250" cm="1">
        <f t="array" ref="P250">_xlfn.XLOOKUP(Table11[[#This Row],[Date]] &amp; Table11[[#This Row],[Vehicle_Type]], Table12[Date] &amp; Table12[Vehicle_Type],Table12[Feedback_Adjustment], 0)</f>
        <v>0</v>
      </c>
      <c r="Q250" s="82">
        <f>Table11[[#This Row],[Forecasted_Units]]*(1+Table11[[#This Row],[Adjustment_Percentage]])</f>
        <v>99.366253705014813</v>
      </c>
      <c r="R250" s="82"/>
    </row>
    <row r="251" spans="1:18">
      <c r="A251" s="54">
        <v>49475</v>
      </c>
      <c r="B251" s="15" t="s">
        <v>10</v>
      </c>
      <c r="C251" s="15" t="str">
        <f>TEXT(Table11[[#This Row],[Date]],"mmmm")</f>
        <v>June</v>
      </c>
      <c r="D251" s="15">
        <v>105</v>
      </c>
      <c r="E251" s="82">
        <f>_xlfn.FORECAST.LINEAR(Table11[[#This Row],[Date]],Table11[Units_Sold],Table11[Date])</f>
        <v>99.367417901671601</v>
      </c>
      <c r="F251" cm="1">
        <f t="array" ref="F251">_xlfn.IFS(Table11[[#This Row],[Vehicle_Type]]="SUV",250,Table11[[#This Row],[Vehicle_Type]]="Sedan",200,Table11[[#This Row],[Vehicle_Type]]="Hatchback",185,Table11[[#This Row],[Vehicle_Type]]="Electric",190,Table11[[#This Row],[Vehicle_Type]]="Truck",150)</f>
        <v>200</v>
      </c>
      <c r="G251">
        <f t="shared" ca="1" si="3"/>
        <v>24</v>
      </c>
      <c r="H251" s="82">
        <f>Table11[[#This Row],[Daily_Production]]-Table11[[#This Row],[Forecasted_Units]]</f>
        <v>100.6325820983284</v>
      </c>
      <c r="I251" cm="1">
        <f t="array" ref="I251">_xlfn.IFS(Table11[[#This Row],[Vehicle_Type]]="SUV",5,Table11[[#This Row],[Vehicle_Type]]="Sedan",7,Table11[[#This Row],[Vehicle_Type]]="Hatchback",10,Table11[[#This Row],[Vehicle_Type]]="Electric",11,Table11[[#This Row],[Vehicle_Type]]="Truck",13)</f>
        <v>7</v>
      </c>
      <c r="J251">
        <f ca="1">Table11[[#This Row],[Daily_Production]]*Table11[[#This Row],[Working_Days]]</f>
        <v>4800</v>
      </c>
      <c r="K251" s="81">
        <f>Table11[[#This Row],[Forecasted_Units]]*0.1</f>
        <v>9.9367417901671615</v>
      </c>
      <c r="L251" s="82">
        <f>Table11[[#This Row],[Adjusted_Forecast]]+Table11[[#This Row],[Safety_Stock]]-Table11[[#This Row],[Inventory_On_Hand]]</f>
        <v>8.6715775935103636</v>
      </c>
      <c r="M251" s="82">
        <f ca="1">MIN(Table11[[#This Row],[Production_Needed]],Table11[[#This Row],[Production_Capacity]])</f>
        <v>8.6715775935103636</v>
      </c>
      <c r="N251" s="82">
        <f ca="1">MAX(Table11[[#This Row],[Production_Needed]]-Table11[[#This Row],[Planned_Production]],0)</f>
        <v>0</v>
      </c>
      <c r="O251" s="82">
        <f ca="1">Table11[[#This Row],[Inventory_On_Hand]]+Table11[[#This Row],[Planned_Production]]-Table11[[#This Row],[Forecasted_Units]]</f>
        <v>9.9367417901671615</v>
      </c>
      <c r="P251" cm="1">
        <f t="array" ref="P251">_xlfn.XLOOKUP(Table11[[#This Row],[Date]] &amp; Table11[[#This Row],[Vehicle_Type]], Table12[Date] &amp; Table12[Vehicle_Type],Table12[Feedback_Adjustment], 0)</f>
        <v>0</v>
      </c>
      <c r="Q251" s="82">
        <f>Table11[[#This Row],[Forecasted_Units]]*(1+Table11[[#This Row],[Adjustment_Percentage]])</f>
        <v>99.367417901671601</v>
      </c>
      <c r="R251" s="82"/>
    </row>
    <row r="252" spans="1:18">
      <c r="A252" s="53">
        <v>49505</v>
      </c>
      <c r="B252" s="14" t="s">
        <v>13</v>
      </c>
      <c r="C252" s="15" t="str">
        <f>TEXT(Table11[[#This Row],[Date]],"mmmm")</f>
        <v>July</v>
      </c>
      <c r="D252" s="14">
        <v>90</v>
      </c>
      <c r="E252" s="82">
        <f>_xlfn.FORECAST.LINEAR(Table11[[#This Row],[Date]],Table11[Units_Sold],Table11[Date])</f>
        <v>99.368582098328389</v>
      </c>
      <c r="F252" cm="1">
        <f t="array" ref="F252">_xlfn.IFS(Table11[[#This Row],[Vehicle_Type]]="SUV",250,Table11[[#This Row],[Vehicle_Type]]="Sedan",200,Table11[[#This Row],[Vehicle_Type]]="Hatchback",185,Table11[[#This Row],[Vehicle_Type]]="Electric",190,Table11[[#This Row],[Vehicle_Type]]="Truck",150)</f>
        <v>190</v>
      </c>
      <c r="G252">
        <f t="shared" ca="1" si="3"/>
        <v>23</v>
      </c>
      <c r="H252" s="82">
        <f>Table11[[#This Row],[Daily_Production]]-Table11[[#This Row],[Forecasted_Units]]</f>
        <v>90.631417901671611</v>
      </c>
      <c r="I252" cm="1">
        <f t="array" ref="I252">_xlfn.IFS(Table11[[#This Row],[Vehicle_Type]]="SUV",5,Table11[[#This Row],[Vehicle_Type]]="Sedan",7,Table11[[#This Row],[Vehicle_Type]]="Hatchback",10,Table11[[#This Row],[Vehicle_Type]]="Electric",11,Table11[[#This Row],[Vehicle_Type]]="Truck",13)</f>
        <v>11</v>
      </c>
      <c r="J252">
        <f ca="1">Table11[[#This Row],[Daily_Production]]*Table11[[#This Row],[Working_Days]]</f>
        <v>4370</v>
      </c>
      <c r="K252" s="81">
        <f>Table11[[#This Row],[Forecasted_Units]]*0.1</f>
        <v>9.93685820983284</v>
      </c>
      <c r="L252" s="82">
        <f>Table11[[#This Row],[Adjusted_Forecast]]+Table11[[#This Row],[Safety_Stock]]-Table11[[#This Row],[Inventory_On_Hand]]</f>
        <v>18.674022406489613</v>
      </c>
      <c r="M252" s="82">
        <f ca="1">MIN(Table11[[#This Row],[Production_Needed]],Table11[[#This Row],[Production_Capacity]])</f>
        <v>18.674022406489613</v>
      </c>
      <c r="N252" s="82">
        <f ca="1">MAX(Table11[[#This Row],[Production_Needed]]-Table11[[#This Row],[Planned_Production]],0)</f>
        <v>0</v>
      </c>
      <c r="O252" s="82">
        <f ca="1">Table11[[#This Row],[Inventory_On_Hand]]+Table11[[#This Row],[Planned_Production]]-Table11[[#This Row],[Forecasted_Units]]</f>
        <v>9.9368582098328346</v>
      </c>
      <c r="P252" cm="1">
        <f t="array" ref="P252">_xlfn.XLOOKUP(Table11[[#This Row],[Date]] &amp; Table11[[#This Row],[Vehicle_Type]], Table12[Date] &amp; Table12[Vehicle_Type],Table12[Feedback_Adjustment], 0)</f>
        <v>0</v>
      </c>
      <c r="Q252" s="82">
        <f>Table11[[#This Row],[Forecasted_Units]]*(1+Table11[[#This Row],[Adjustment_Percentage]])</f>
        <v>99.368582098328389</v>
      </c>
      <c r="R252" s="82"/>
    </row>
    <row r="253" spans="1:18">
      <c r="A253" s="54">
        <v>49535</v>
      </c>
      <c r="B253" s="15" t="s">
        <v>10</v>
      </c>
      <c r="C253" s="15" t="str">
        <f>TEXT(Table11[[#This Row],[Date]],"mmmm")</f>
        <v>August</v>
      </c>
      <c r="D253" s="15">
        <v>89</v>
      </c>
      <c r="E253" s="82">
        <f>_xlfn.FORECAST.LINEAR(Table11[[#This Row],[Date]],Table11[Units_Sold],Table11[Date])</f>
        <v>99.369746294985177</v>
      </c>
      <c r="F253" cm="1">
        <f t="array" ref="F253">_xlfn.IFS(Table11[[#This Row],[Vehicle_Type]]="SUV",250,Table11[[#This Row],[Vehicle_Type]]="Sedan",200,Table11[[#This Row],[Vehicle_Type]]="Hatchback",185,Table11[[#This Row],[Vehicle_Type]]="Electric",190,Table11[[#This Row],[Vehicle_Type]]="Truck",150)</f>
        <v>200</v>
      </c>
      <c r="G253">
        <f t="shared" ca="1" si="3"/>
        <v>25</v>
      </c>
      <c r="H253" s="82">
        <f>Table11[[#This Row],[Daily_Production]]-Table11[[#This Row],[Forecasted_Units]]</f>
        <v>100.63025370501482</v>
      </c>
      <c r="I253" cm="1">
        <f t="array" ref="I253">_xlfn.IFS(Table11[[#This Row],[Vehicle_Type]]="SUV",5,Table11[[#This Row],[Vehicle_Type]]="Sedan",7,Table11[[#This Row],[Vehicle_Type]]="Hatchback",10,Table11[[#This Row],[Vehicle_Type]]="Electric",11,Table11[[#This Row],[Vehicle_Type]]="Truck",13)</f>
        <v>7</v>
      </c>
      <c r="J253">
        <f ca="1">Table11[[#This Row],[Daily_Production]]*Table11[[#This Row],[Working_Days]]</f>
        <v>5000</v>
      </c>
      <c r="K253" s="81">
        <f>Table11[[#This Row],[Forecasted_Units]]*0.1</f>
        <v>9.9369746294985184</v>
      </c>
      <c r="L253" s="82">
        <f>Table11[[#This Row],[Adjusted_Forecast]]+Table11[[#This Row],[Safety_Stock]]-Table11[[#This Row],[Inventory_On_Hand]]</f>
        <v>8.6764672194688757</v>
      </c>
      <c r="M253" s="82">
        <f ca="1">MIN(Table11[[#This Row],[Production_Needed]],Table11[[#This Row],[Production_Capacity]])</f>
        <v>8.6764672194688757</v>
      </c>
      <c r="N253" s="82">
        <f ca="1">MAX(Table11[[#This Row],[Production_Needed]]-Table11[[#This Row],[Planned_Production]],0)</f>
        <v>0</v>
      </c>
      <c r="O253" s="82">
        <f ca="1">Table11[[#This Row],[Inventory_On_Hand]]+Table11[[#This Row],[Planned_Production]]-Table11[[#This Row],[Forecasted_Units]]</f>
        <v>9.9369746294985219</v>
      </c>
      <c r="P253" cm="1">
        <f t="array" ref="P253">_xlfn.XLOOKUP(Table11[[#This Row],[Date]] &amp; Table11[[#This Row],[Vehicle_Type]], Table12[Date] &amp; Table12[Vehicle_Type],Table12[Feedback_Adjustment], 0)</f>
        <v>0</v>
      </c>
      <c r="Q253" s="82">
        <f>Table11[[#This Row],[Forecasted_Units]]*(1+Table11[[#This Row],[Adjustment_Percentage]])</f>
        <v>99.369746294985177</v>
      </c>
      <c r="R253" s="82"/>
    </row>
    <row r="254" spans="1:18">
      <c r="A254" s="53">
        <v>49565</v>
      </c>
      <c r="B254" s="14" t="s">
        <v>10</v>
      </c>
      <c r="C254" s="15" t="str">
        <f>TEXT(Table11[[#This Row],[Date]],"mmmm")</f>
        <v>September</v>
      </c>
      <c r="D254" s="14">
        <v>89</v>
      </c>
      <c r="E254" s="82">
        <f>_xlfn.FORECAST.LINEAR(Table11[[#This Row],[Date]],Table11[Units_Sold],Table11[Date])</f>
        <v>99.370910491641965</v>
      </c>
      <c r="F254" cm="1">
        <f t="array" ref="F254">_xlfn.IFS(Table11[[#This Row],[Vehicle_Type]]="SUV",250,Table11[[#This Row],[Vehicle_Type]]="Sedan",200,Table11[[#This Row],[Vehicle_Type]]="Hatchback",185,Table11[[#This Row],[Vehicle_Type]]="Electric",190,Table11[[#This Row],[Vehicle_Type]]="Truck",150)</f>
        <v>200</v>
      </c>
      <c r="G254">
        <f t="shared" ca="1" si="3"/>
        <v>20</v>
      </c>
      <c r="H254" s="82">
        <f>Table11[[#This Row],[Daily_Production]]-Table11[[#This Row],[Forecasted_Units]]</f>
        <v>100.62908950835804</v>
      </c>
      <c r="I254" cm="1">
        <f t="array" ref="I254">_xlfn.IFS(Table11[[#This Row],[Vehicle_Type]]="SUV",5,Table11[[#This Row],[Vehicle_Type]]="Sedan",7,Table11[[#This Row],[Vehicle_Type]]="Hatchback",10,Table11[[#This Row],[Vehicle_Type]]="Electric",11,Table11[[#This Row],[Vehicle_Type]]="Truck",13)</f>
        <v>7</v>
      </c>
      <c r="J254">
        <f ca="1">Table11[[#This Row],[Daily_Production]]*Table11[[#This Row],[Working_Days]]</f>
        <v>4000</v>
      </c>
      <c r="K254" s="81">
        <f>Table11[[#This Row],[Forecasted_Units]]*0.1</f>
        <v>9.9370910491641968</v>
      </c>
      <c r="L254" s="82">
        <f>Table11[[#This Row],[Adjusted_Forecast]]+Table11[[#This Row],[Safety_Stock]]-Table11[[#This Row],[Inventory_On_Hand]]</f>
        <v>8.6789120324481246</v>
      </c>
      <c r="M254" s="82">
        <f ca="1">MIN(Table11[[#This Row],[Production_Needed]],Table11[[#This Row],[Production_Capacity]])</f>
        <v>8.6789120324481246</v>
      </c>
      <c r="N254" s="82">
        <f ca="1">MAX(Table11[[#This Row],[Production_Needed]]-Table11[[#This Row],[Planned_Production]],0)</f>
        <v>0</v>
      </c>
      <c r="O254" s="82">
        <f ca="1">Table11[[#This Row],[Inventory_On_Hand]]+Table11[[#This Row],[Planned_Production]]-Table11[[#This Row],[Forecasted_Units]]</f>
        <v>9.9370910491641951</v>
      </c>
      <c r="P254" cm="1">
        <f t="array" ref="P254">_xlfn.XLOOKUP(Table11[[#This Row],[Date]] &amp; Table11[[#This Row],[Vehicle_Type]], Table12[Date] &amp; Table12[Vehicle_Type],Table12[Feedback_Adjustment], 0)</f>
        <v>0</v>
      </c>
      <c r="Q254" s="82">
        <f>Table11[[#This Row],[Forecasted_Units]]*(1+Table11[[#This Row],[Adjustment_Percentage]])</f>
        <v>99.370910491641965</v>
      </c>
      <c r="R254" s="82"/>
    </row>
    <row r="255" spans="1:18">
      <c r="A255" s="54">
        <v>49595</v>
      </c>
      <c r="B255" s="15" t="s">
        <v>12</v>
      </c>
      <c r="C255" s="15" t="str">
        <f>TEXT(Table11[[#This Row],[Date]],"mmmm")</f>
        <v>October</v>
      </c>
      <c r="D255" s="15">
        <v>86</v>
      </c>
      <c r="E255" s="82">
        <f>_xlfn.FORECAST.LINEAR(Table11[[#This Row],[Date]],Table11[Units_Sold],Table11[Date])</f>
        <v>99.372074688298753</v>
      </c>
      <c r="F255" cm="1">
        <f t="array" ref="F255">_xlfn.IFS(Table11[[#This Row],[Vehicle_Type]]="SUV",250,Table11[[#This Row],[Vehicle_Type]]="Sedan",200,Table11[[#This Row],[Vehicle_Type]]="Hatchback",185,Table11[[#This Row],[Vehicle_Type]]="Electric",190,Table11[[#This Row],[Vehicle_Type]]="Truck",150)</f>
        <v>250</v>
      </c>
      <c r="G255">
        <f t="shared" ca="1" si="3"/>
        <v>21</v>
      </c>
      <c r="H255" s="82">
        <f>Table11[[#This Row],[Daily_Production]]-Table11[[#This Row],[Forecasted_Units]]</f>
        <v>150.62792531170123</v>
      </c>
      <c r="I255" cm="1">
        <f t="array" ref="I255">_xlfn.IFS(Table11[[#This Row],[Vehicle_Type]]="SUV",5,Table11[[#This Row],[Vehicle_Type]]="Sedan",7,Table11[[#This Row],[Vehicle_Type]]="Hatchback",10,Table11[[#This Row],[Vehicle_Type]]="Electric",11,Table11[[#This Row],[Vehicle_Type]]="Truck",13)</f>
        <v>5</v>
      </c>
      <c r="J255">
        <f ca="1">Table11[[#This Row],[Daily_Production]]*Table11[[#This Row],[Working_Days]]</f>
        <v>5250</v>
      </c>
      <c r="K255" s="81">
        <f>Table11[[#This Row],[Forecasted_Units]]*0.1</f>
        <v>9.9372074688298753</v>
      </c>
      <c r="L255" s="82">
        <f>Table11[[#This Row],[Adjusted_Forecast]]+Table11[[#This Row],[Safety_Stock]]-Table11[[#This Row],[Inventory_On_Hand]]</f>
        <v>-41.318643154572612</v>
      </c>
      <c r="M255" s="82">
        <f ca="1">MIN(Table11[[#This Row],[Production_Needed]],Table11[[#This Row],[Production_Capacity]])</f>
        <v>-41.318643154572612</v>
      </c>
      <c r="N255" s="82">
        <f ca="1">MAX(Table11[[#This Row],[Production_Needed]]-Table11[[#This Row],[Planned_Production]],0)</f>
        <v>0</v>
      </c>
      <c r="O255" s="82">
        <f ca="1">Table11[[#This Row],[Inventory_On_Hand]]+Table11[[#This Row],[Planned_Production]]-Table11[[#This Row],[Forecasted_Units]]</f>
        <v>9.9372074688298682</v>
      </c>
      <c r="P255" cm="1">
        <f t="array" ref="P255">_xlfn.XLOOKUP(Table11[[#This Row],[Date]] &amp; Table11[[#This Row],[Vehicle_Type]], Table12[Date] &amp; Table12[Vehicle_Type],Table12[Feedback_Adjustment], 0)</f>
        <v>0</v>
      </c>
      <c r="Q255" s="82">
        <f>Table11[[#This Row],[Forecasted_Units]]*(1+Table11[[#This Row],[Adjustment_Percentage]])</f>
        <v>99.372074688298753</v>
      </c>
      <c r="R255" s="82"/>
    </row>
    <row r="256" spans="1:18">
      <c r="A256" s="53">
        <v>49625</v>
      </c>
      <c r="B256" s="14" t="s">
        <v>12</v>
      </c>
      <c r="C256" s="15" t="str">
        <f>TEXT(Table11[[#This Row],[Date]],"mmmm")</f>
        <v>November</v>
      </c>
      <c r="D256" s="14">
        <v>91</v>
      </c>
      <c r="E256" s="82">
        <f>_xlfn.FORECAST.LINEAR(Table11[[#This Row],[Date]],Table11[Units_Sold],Table11[Date])</f>
        <v>99.373238884955526</v>
      </c>
      <c r="F256" cm="1">
        <f t="array" ref="F256">_xlfn.IFS(Table11[[#This Row],[Vehicle_Type]]="SUV",250,Table11[[#This Row],[Vehicle_Type]]="Sedan",200,Table11[[#This Row],[Vehicle_Type]]="Hatchback",185,Table11[[#This Row],[Vehicle_Type]]="Electric",190,Table11[[#This Row],[Vehicle_Type]]="Truck",150)</f>
        <v>250</v>
      </c>
      <c r="G256">
        <f t="shared" ca="1" si="3"/>
        <v>21</v>
      </c>
      <c r="H256" s="82">
        <f>Table11[[#This Row],[Daily_Production]]-Table11[[#This Row],[Forecasted_Units]]</f>
        <v>150.62676111504447</v>
      </c>
      <c r="I256" cm="1">
        <f t="array" ref="I256">_xlfn.IFS(Table11[[#This Row],[Vehicle_Type]]="SUV",5,Table11[[#This Row],[Vehicle_Type]]="Sedan",7,Table11[[#This Row],[Vehicle_Type]]="Hatchback",10,Table11[[#This Row],[Vehicle_Type]]="Electric",11,Table11[[#This Row],[Vehicle_Type]]="Truck",13)</f>
        <v>5</v>
      </c>
      <c r="J256">
        <f ca="1">Table11[[#This Row],[Daily_Production]]*Table11[[#This Row],[Working_Days]]</f>
        <v>5250</v>
      </c>
      <c r="K256" s="81">
        <f>Table11[[#This Row],[Forecasted_Units]]*0.1</f>
        <v>9.9373238884955537</v>
      </c>
      <c r="L256" s="82">
        <f>Table11[[#This Row],[Adjusted_Forecast]]+Table11[[#This Row],[Safety_Stock]]-Table11[[#This Row],[Inventory_On_Hand]]</f>
        <v>-41.316198341593392</v>
      </c>
      <c r="M256" s="82">
        <f ca="1">MIN(Table11[[#This Row],[Production_Needed]],Table11[[#This Row],[Production_Capacity]])</f>
        <v>-41.316198341593392</v>
      </c>
      <c r="N256" s="82">
        <f ca="1">MAX(Table11[[#This Row],[Production_Needed]]-Table11[[#This Row],[Planned_Production]],0)</f>
        <v>0</v>
      </c>
      <c r="O256" s="82">
        <f ca="1">Table11[[#This Row],[Inventory_On_Hand]]+Table11[[#This Row],[Planned_Production]]-Table11[[#This Row],[Forecasted_Units]]</f>
        <v>9.9373238884955555</v>
      </c>
      <c r="P256" cm="1">
        <f t="array" ref="P256">_xlfn.XLOOKUP(Table11[[#This Row],[Date]] &amp; Table11[[#This Row],[Vehicle_Type]], Table12[Date] &amp; Table12[Vehicle_Type],Table12[Feedback_Adjustment], 0)</f>
        <v>0</v>
      </c>
      <c r="Q256" s="82">
        <f>Table11[[#This Row],[Forecasted_Units]]*(1+Table11[[#This Row],[Adjustment_Percentage]])</f>
        <v>99.373238884955526</v>
      </c>
      <c r="R256" s="82"/>
    </row>
    <row r="257" spans="1:18">
      <c r="A257" s="54">
        <v>49655</v>
      </c>
      <c r="B257" s="15" t="s">
        <v>14</v>
      </c>
      <c r="C257" s="15" t="str">
        <f>TEXT(Table11[[#This Row],[Date]],"mmmm")</f>
        <v>December</v>
      </c>
      <c r="D257" s="15">
        <v>100</v>
      </c>
      <c r="E257" s="82">
        <f>_xlfn.FORECAST.LINEAR(Table11[[#This Row],[Date]],Table11[Units_Sold],Table11[Date])</f>
        <v>99.374403081612314</v>
      </c>
      <c r="F257" cm="1">
        <f t="array" ref="F257">_xlfn.IFS(Table11[[#This Row],[Vehicle_Type]]="SUV",250,Table11[[#This Row],[Vehicle_Type]]="Sedan",200,Table11[[#This Row],[Vehicle_Type]]="Hatchback",185,Table11[[#This Row],[Vehicle_Type]]="Electric",190,Table11[[#This Row],[Vehicle_Type]]="Truck",150)</f>
        <v>150</v>
      </c>
      <c r="G257">
        <f t="shared" ca="1" si="3"/>
        <v>21</v>
      </c>
      <c r="H257" s="82">
        <f>Table11[[#This Row],[Daily_Production]]-Table11[[#This Row],[Forecasted_Units]]</f>
        <v>50.625596918387686</v>
      </c>
      <c r="I257" cm="1">
        <f t="array" ref="I257">_xlfn.IFS(Table11[[#This Row],[Vehicle_Type]]="SUV",5,Table11[[#This Row],[Vehicle_Type]]="Sedan",7,Table11[[#This Row],[Vehicle_Type]]="Hatchback",10,Table11[[#This Row],[Vehicle_Type]]="Electric",11,Table11[[#This Row],[Vehicle_Type]]="Truck",13)</f>
        <v>13</v>
      </c>
      <c r="J257">
        <f ca="1">Table11[[#This Row],[Daily_Production]]*Table11[[#This Row],[Working_Days]]</f>
        <v>3150</v>
      </c>
      <c r="K257" s="81">
        <f>Table11[[#This Row],[Forecasted_Units]]*0.1</f>
        <v>9.9374403081612321</v>
      </c>
      <c r="L257" s="82">
        <f>Table11[[#This Row],[Adjusted_Forecast]]+Table11[[#This Row],[Safety_Stock]]-Table11[[#This Row],[Inventory_On_Hand]]</f>
        <v>58.686246471385857</v>
      </c>
      <c r="M257" s="82">
        <f ca="1">MIN(Table11[[#This Row],[Production_Needed]],Table11[[#This Row],[Production_Capacity]])</f>
        <v>58.686246471385857</v>
      </c>
      <c r="N257" s="82">
        <f ca="1">MAX(Table11[[#This Row],[Production_Needed]]-Table11[[#This Row],[Planned_Production]],0)</f>
        <v>0</v>
      </c>
      <c r="O257" s="82">
        <f ca="1">Table11[[#This Row],[Inventory_On_Hand]]+Table11[[#This Row],[Planned_Production]]-Table11[[#This Row],[Forecasted_Units]]</f>
        <v>9.9374403081612286</v>
      </c>
      <c r="P257" cm="1">
        <f t="array" ref="P257">_xlfn.XLOOKUP(Table11[[#This Row],[Date]] &amp; Table11[[#This Row],[Vehicle_Type]], Table12[Date] &amp; Table12[Vehicle_Type],Table12[Feedback_Adjustment], 0)</f>
        <v>0</v>
      </c>
      <c r="Q257" s="82">
        <f>Table11[[#This Row],[Forecasted_Units]]*(1+Table11[[#This Row],[Adjustment_Percentage]])</f>
        <v>99.374403081612314</v>
      </c>
      <c r="R257" s="82"/>
    </row>
    <row r="258" spans="1:18">
      <c r="A258" s="53">
        <v>49685</v>
      </c>
      <c r="B258" s="14" t="s">
        <v>14</v>
      </c>
      <c r="C258" s="15" t="str">
        <f>TEXT(Table11[[#This Row],[Date]],"mmmm")</f>
        <v>January</v>
      </c>
      <c r="D258" s="14">
        <v>104</v>
      </c>
      <c r="E258" s="82">
        <f>_xlfn.FORECAST.LINEAR(Table11[[#This Row],[Date]],Table11[Units_Sold],Table11[Date])</f>
        <v>99.375567278269102</v>
      </c>
      <c r="F258" cm="1">
        <f t="array" ref="F258">_xlfn.IFS(Table11[[#This Row],[Vehicle_Type]]="SUV",250,Table11[[#This Row],[Vehicle_Type]]="Sedan",200,Table11[[#This Row],[Vehicle_Type]]="Hatchback",185,Table11[[#This Row],[Vehicle_Type]]="Electric",190,Table11[[#This Row],[Vehicle_Type]]="Truck",150)</f>
        <v>150</v>
      </c>
      <c r="G258">
        <f t="shared" ref="G258:G321" ca="1" si="4">RANDBETWEEN(20,25)</f>
        <v>22</v>
      </c>
      <c r="H258" s="82">
        <f>Table11[[#This Row],[Daily_Production]]-Table11[[#This Row],[Forecasted_Units]]</f>
        <v>50.624432721730898</v>
      </c>
      <c r="I258" cm="1">
        <f t="array" ref="I258">_xlfn.IFS(Table11[[#This Row],[Vehicle_Type]]="SUV",5,Table11[[#This Row],[Vehicle_Type]]="Sedan",7,Table11[[#This Row],[Vehicle_Type]]="Hatchback",10,Table11[[#This Row],[Vehicle_Type]]="Electric",11,Table11[[#This Row],[Vehicle_Type]]="Truck",13)</f>
        <v>13</v>
      </c>
      <c r="J258">
        <f ca="1">Table11[[#This Row],[Daily_Production]]*Table11[[#This Row],[Working_Days]]</f>
        <v>3300</v>
      </c>
      <c r="K258" s="81">
        <f>Table11[[#This Row],[Forecasted_Units]]*0.1</f>
        <v>9.9375567278269106</v>
      </c>
      <c r="L258" s="82">
        <f>Table11[[#This Row],[Adjusted_Forecast]]+Table11[[#This Row],[Safety_Stock]]-Table11[[#This Row],[Inventory_On_Hand]]</f>
        <v>58.68869128436512</v>
      </c>
      <c r="M258" s="82">
        <f ca="1">MIN(Table11[[#This Row],[Production_Needed]],Table11[[#This Row],[Production_Capacity]])</f>
        <v>58.68869128436512</v>
      </c>
      <c r="N258" s="82">
        <f ca="1">MAX(Table11[[#This Row],[Production_Needed]]-Table11[[#This Row],[Planned_Production]],0)</f>
        <v>0</v>
      </c>
      <c r="O258" s="82">
        <f ca="1">Table11[[#This Row],[Inventory_On_Hand]]+Table11[[#This Row],[Planned_Production]]-Table11[[#This Row],[Forecasted_Units]]</f>
        <v>9.9375567278269159</v>
      </c>
      <c r="P258" cm="1">
        <f t="array" ref="P258">_xlfn.XLOOKUP(Table11[[#This Row],[Date]] &amp; Table11[[#This Row],[Vehicle_Type]], Table12[Date] &amp; Table12[Vehicle_Type],Table12[Feedback_Adjustment], 0)</f>
        <v>0</v>
      </c>
      <c r="Q258" s="82">
        <f>Table11[[#This Row],[Forecasted_Units]]*(1+Table11[[#This Row],[Adjustment_Percentage]])</f>
        <v>99.375567278269102</v>
      </c>
      <c r="R258" s="82"/>
    </row>
    <row r="259" spans="1:18">
      <c r="A259" s="54">
        <v>49715</v>
      </c>
      <c r="B259" s="15" t="s">
        <v>14</v>
      </c>
      <c r="C259" s="15" t="str">
        <f>TEXT(Table11[[#This Row],[Date]],"mmmm")</f>
        <v>February</v>
      </c>
      <c r="D259" s="15">
        <v>80</v>
      </c>
      <c r="E259" s="82">
        <f>_xlfn.FORECAST.LINEAR(Table11[[#This Row],[Date]],Table11[Units_Sold],Table11[Date])</f>
        <v>99.37673147492589</v>
      </c>
      <c r="F259" cm="1">
        <f t="array" ref="F259">_xlfn.IFS(Table11[[#This Row],[Vehicle_Type]]="SUV",250,Table11[[#This Row],[Vehicle_Type]]="Sedan",200,Table11[[#This Row],[Vehicle_Type]]="Hatchback",185,Table11[[#This Row],[Vehicle_Type]]="Electric",190,Table11[[#This Row],[Vehicle_Type]]="Truck",150)</f>
        <v>150</v>
      </c>
      <c r="G259">
        <f t="shared" ca="1" si="4"/>
        <v>21</v>
      </c>
      <c r="H259" s="82">
        <f>Table11[[#This Row],[Daily_Production]]-Table11[[#This Row],[Forecasted_Units]]</f>
        <v>50.62326852507411</v>
      </c>
      <c r="I259" cm="1">
        <f t="array" ref="I259">_xlfn.IFS(Table11[[#This Row],[Vehicle_Type]]="SUV",5,Table11[[#This Row],[Vehicle_Type]]="Sedan",7,Table11[[#This Row],[Vehicle_Type]]="Hatchback",10,Table11[[#This Row],[Vehicle_Type]]="Electric",11,Table11[[#This Row],[Vehicle_Type]]="Truck",13)</f>
        <v>13</v>
      </c>
      <c r="J259">
        <f ca="1">Table11[[#This Row],[Daily_Production]]*Table11[[#This Row],[Working_Days]]</f>
        <v>3150</v>
      </c>
      <c r="K259" s="81">
        <f>Table11[[#This Row],[Forecasted_Units]]*0.1</f>
        <v>9.937673147492589</v>
      </c>
      <c r="L259" s="82">
        <f>Table11[[#This Row],[Adjusted_Forecast]]+Table11[[#This Row],[Safety_Stock]]-Table11[[#This Row],[Inventory_On_Hand]]</f>
        <v>58.691136097344369</v>
      </c>
      <c r="M259" s="82">
        <f ca="1">MIN(Table11[[#This Row],[Production_Needed]],Table11[[#This Row],[Production_Capacity]])</f>
        <v>58.691136097344369</v>
      </c>
      <c r="N259" s="82">
        <f ca="1">MAX(Table11[[#This Row],[Production_Needed]]-Table11[[#This Row],[Planned_Production]],0)</f>
        <v>0</v>
      </c>
      <c r="O259" s="82">
        <f ca="1">Table11[[#This Row],[Inventory_On_Hand]]+Table11[[#This Row],[Planned_Production]]-Table11[[#This Row],[Forecasted_Units]]</f>
        <v>9.937673147492589</v>
      </c>
      <c r="P259" cm="1">
        <f t="array" ref="P259">_xlfn.XLOOKUP(Table11[[#This Row],[Date]] &amp; Table11[[#This Row],[Vehicle_Type]], Table12[Date] &amp; Table12[Vehicle_Type],Table12[Feedback_Adjustment], 0)</f>
        <v>0</v>
      </c>
      <c r="Q259" s="82">
        <f>Table11[[#This Row],[Forecasted_Units]]*(1+Table11[[#This Row],[Adjustment_Percentage]])</f>
        <v>99.37673147492589</v>
      </c>
      <c r="R259" s="82"/>
    </row>
    <row r="260" spans="1:18">
      <c r="A260" s="53">
        <v>49745</v>
      </c>
      <c r="B260" s="14" t="s">
        <v>12</v>
      </c>
      <c r="C260" s="15" t="str">
        <f>TEXT(Table11[[#This Row],[Date]],"mmmm")</f>
        <v>March</v>
      </c>
      <c r="D260" s="14">
        <v>110</v>
      </c>
      <c r="E260" s="82">
        <f>_xlfn.FORECAST.LINEAR(Table11[[#This Row],[Date]],Table11[Units_Sold],Table11[Date])</f>
        <v>99.377895671582678</v>
      </c>
      <c r="F260" cm="1">
        <f t="array" ref="F260">_xlfn.IFS(Table11[[#This Row],[Vehicle_Type]]="SUV",250,Table11[[#This Row],[Vehicle_Type]]="Sedan",200,Table11[[#This Row],[Vehicle_Type]]="Hatchback",185,Table11[[#This Row],[Vehicle_Type]]="Electric",190,Table11[[#This Row],[Vehicle_Type]]="Truck",150)</f>
        <v>250</v>
      </c>
      <c r="G260">
        <f t="shared" ca="1" si="4"/>
        <v>25</v>
      </c>
      <c r="H260" s="82">
        <f>Table11[[#This Row],[Daily_Production]]-Table11[[#This Row],[Forecasted_Units]]</f>
        <v>150.62210432841732</v>
      </c>
      <c r="I260" cm="1">
        <f t="array" ref="I260">_xlfn.IFS(Table11[[#This Row],[Vehicle_Type]]="SUV",5,Table11[[#This Row],[Vehicle_Type]]="Sedan",7,Table11[[#This Row],[Vehicle_Type]]="Hatchback",10,Table11[[#This Row],[Vehicle_Type]]="Electric",11,Table11[[#This Row],[Vehicle_Type]]="Truck",13)</f>
        <v>5</v>
      </c>
      <c r="J260">
        <f ca="1">Table11[[#This Row],[Daily_Production]]*Table11[[#This Row],[Working_Days]]</f>
        <v>6250</v>
      </c>
      <c r="K260" s="81">
        <f>Table11[[#This Row],[Forecasted_Units]]*0.1</f>
        <v>9.9377895671582692</v>
      </c>
      <c r="L260" s="82">
        <f>Table11[[#This Row],[Adjusted_Forecast]]+Table11[[#This Row],[Safety_Stock]]-Table11[[#This Row],[Inventory_On_Hand]]</f>
        <v>-41.306419089676382</v>
      </c>
      <c r="M260" s="82">
        <f ca="1">MIN(Table11[[#This Row],[Production_Needed]],Table11[[#This Row],[Production_Capacity]])</f>
        <v>-41.306419089676382</v>
      </c>
      <c r="N260" s="82">
        <f ca="1">MAX(Table11[[#This Row],[Production_Needed]]-Table11[[#This Row],[Planned_Production]],0)</f>
        <v>0</v>
      </c>
      <c r="O260" s="82">
        <f ca="1">Table11[[#This Row],[Inventory_On_Hand]]+Table11[[#This Row],[Planned_Production]]-Table11[[#This Row],[Forecasted_Units]]</f>
        <v>9.9377895671582621</v>
      </c>
      <c r="P260" cm="1">
        <f t="array" ref="P260">_xlfn.XLOOKUP(Table11[[#This Row],[Date]] &amp; Table11[[#This Row],[Vehicle_Type]], Table12[Date] &amp; Table12[Vehicle_Type],Table12[Feedback_Adjustment], 0)</f>
        <v>0</v>
      </c>
      <c r="Q260" s="82">
        <f>Table11[[#This Row],[Forecasted_Units]]*(1+Table11[[#This Row],[Adjustment_Percentage]])</f>
        <v>99.377895671582678</v>
      </c>
      <c r="R260" s="82"/>
    </row>
    <row r="261" spans="1:18">
      <c r="A261" s="54">
        <v>49775</v>
      </c>
      <c r="B261" s="15" t="s">
        <v>14</v>
      </c>
      <c r="C261" s="15" t="str">
        <f>TEXT(Table11[[#This Row],[Date]],"mmmm")</f>
        <v>April</v>
      </c>
      <c r="D261" s="15">
        <v>90</v>
      </c>
      <c r="E261" s="82">
        <f>_xlfn.FORECAST.LINEAR(Table11[[#This Row],[Date]],Table11[Units_Sold],Table11[Date])</f>
        <v>99.379059868239466</v>
      </c>
      <c r="F261" cm="1">
        <f t="array" ref="F261">_xlfn.IFS(Table11[[#This Row],[Vehicle_Type]]="SUV",250,Table11[[#This Row],[Vehicle_Type]]="Sedan",200,Table11[[#This Row],[Vehicle_Type]]="Hatchback",185,Table11[[#This Row],[Vehicle_Type]]="Electric",190,Table11[[#This Row],[Vehicle_Type]]="Truck",150)</f>
        <v>150</v>
      </c>
      <c r="G261">
        <f t="shared" ca="1" si="4"/>
        <v>25</v>
      </c>
      <c r="H261" s="82">
        <f>Table11[[#This Row],[Daily_Production]]-Table11[[#This Row],[Forecasted_Units]]</f>
        <v>50.620940131760534</v>
      </c>
      <c r="I261" cm="1">
        <f t="array" ref="I261">_xlfn.IFS(Table11[[#This Row],[Vehicle_Type]]="SUV",5,Table11[[#This Row],[Vehicle_Type]]="Sedan",7,Table11[[#This Row],[Vehicle_Type]]="Hatchback",10,Table11[[#This Row],[Vehicle_Type]]="Electric",11,Table11[[#This Row],[Vehicle_Type]]="Truck",13)</f>
        <v>13</v>
      </c>
      <c r="J261">
        <f ca="1">Table11[[#This Row],[Daily_Production]]*Table11[[#This Row],[Working_Days]]</f>
        <v>3750</v>
      </c>
      <c r="K261" s="81">
        <f>Table11[[#This Row],[Forecasted_Units]]*0.1</f>
        <v>9.9379059868239477</v>
      </c>
      <c r="L261" s="82">
        <f>Table11[[#This Row],[Adjusted_Forecast]]+Table11[[#This Row],[Safety_Stock]]-Table11[[#This Row],[Inventory_On_Hand]]</f>
        <v>58.696025723302881</v>
      </c>
      <c r="M261" s="82">
        <f ca="1">MIN(Table11[[#This Row],[Production_Needed]],Table11[[#This Row],[Production_Capacity]])</f>
        <v>58.696025723302881</v>
      </c>
      <c r="N261" s="82">
        <f ca="1">MAX(Table11[[#This Row],[Production_Needed]]-Table11[[#This Row],[Planned_Production]],0)</f>
        <v>0</v>
      </c>
      <c r="O261" s="82">
        <f ca="1">Table11[[#This Row],[Inventory_On_Hand]]+Table11[[#This Row],[Planned_Production]]-Table11[[#This Row],[Forecasted_Units]]</f>
        <v>9.9379059868239494</v>
      </c>
      <c r="P261" cm="1">
        <f t="array" ref="P261">_xlfn.XLOOKUP(Table11[[#This Row],[Date]] &amp; Table11[[#This Row],[Vehicle_Type]], Table12[Date] &amp; Table12[Vehicle_Type],Table12[Feedback_Adjustment], 0)</f>
        <v>0</v>
      </c>
      <c r="Q261" s="82">
        <f>Table11[[#This Row],[Forecasted_Units]]*(1+Table11[[#This Row],[Adjustment_Percentage]])</f>
        <v>99.379059868239466</v>
      </c>
      <c r="R261" s="82"/>
    </row>
    <row r="262" spans="1:18">
      <c r="A262" s="53">
        <v>49805</v>
      </c>
      <c r="B262" s="14" t="s">
        <v>10</v>
      </c>
      <c r="C262" s="15" t="str">
        <f>TEXT(Table11[[#This Row],[Date]],"mmmm")</f>
        <v>May</v>
      </c>
      <c r="D262" s="14">
        <v>96</v>
      </c>
      <c r="E262" s="82">
        <f>_xlfn.FORECAST.LINEAR(Table11[[#This Row],[Date]],Table11[Units_Sold],Table11[Date])</f>
        <v>99.380224064896254</v>
      </c>
      <c r="F262" cm="1">
        <f t="array" ref="F262">_xlfn.IFS(Table11[[#This Row],[Vehicle_Type]]="SUV",250,Table11[[#This Row],[Vehicle_Type]]="Sedan",200,Table11[[#This Row],[Vehicle_Type]]="Hatchback",185,Table11[[#This Row],[Vehicle_Type]]="Electric",190,Table11[[#This Row],[Vehicle_Type]]="Truck",150)</f>
        <v>200</v>
      </c>
      <c r="G262">
        <f t="shared" ca="1" si="4"/>
        <v>25</v>
      </c>
      <c r="H262" s="82">
        <f>Table11[[#This Row],[Daily_Production]]-Table11[[#This Row],[Forecasted_Units]]</f>
        <v>100.61977593510375</v>
      </c>
      <c r="I262" cm="1">
        <f t="array" ref="I262">_xlfn.IFS(Table11[[#This Row],[Vehicle_Type]]="SUV",5,Table11[[#This Row],[Vehicle_Type]]="Sedan",7,Table11[[#This Row],[Vehicle_Type]]="Hatchback",10,Table11[[#This Row],[Vehicle_Type]]="Electric",11,Table11[[#This Row],[Vehicle_Type]]="Truck",13)</f>
        <v>7</v>
      </c>
      <c r="J262">
        <f ca="1">Table11[[#This Row],[Daily_Production]]*Table11[[#This Row],[Working_Days]]</f>
        <v>5000</v>
      </c>
      <c r="K262" s="81">
        <f>Table11[[#This Row],[Forecasted_Units]]*0.1</f>
        <v>9.9380224064896261</v>
      </c>
      <c r="L262" s="82">
        <f>Table11[[#This Row],[Adjusted_Forecast]]+Table11[[#This Row],[Safety_Stock]]-Table11[[#This Row],[Inventory_On_Hand]]</f>
        <v>8.6984705362821302</v>
      </c>
      <c r="M262" s="82">
        <f ca="1">MIN(Table11[[#This Row],[Production_Needed]],Table11[[#This Row],[Production_Capacity]])</f>
        <v>8.6984705362821302</v>
      </c>
      <c r="N262" s="82">
        <f ca="1">MAX(Table11[[#This Row],[Production_Needed]]-Table11[[#This Row],[Planned_Production]],0)</f>
        <v>0</v>
      </c>
      <c r="O262" s="82">
        <f ca="1">Table11[[#This Row],[Inventory_On_Hand]]+Table11[[#This Row],[Planned_Production]]-Table11[[#This Row],[Forecasted_Units]]</f>
        <v>9.9380224064896225</v>
      </c>
      <c r="P262" cm="1">
        <f t="array" ref="P262">_xlfn.XLOOKUP(Table11[[#This Row],[Date]] &amp; Table11[[#This Row],[Vehicle_Type]], Table12[Date] &amp; Table12[Vehicle_Type],Table12[Feedback_Adjustment], 0)</f>
        <v>0</v>
      </c>
      <c r="Q262" s="82">
        <f>Table11[[#This Row],[Forecasted_Units]]*(1+Table11[[#This Row],[Adjustment_Percentage]])</f>
        <v>99.380224064896254</v>
      </c>
      <c r="R262" s="82"/>
    </row>
    <row r="263" spans="1:18">
      <c r="A263" s="54">
        <v>49835</v>
      </c>
      <c r="B263" s="15" t="s">
        <v>12</v>
      </c>
      <c r="C263" s="15" t="str">
        <f>TEXT(Table11[[#This Row],[Date]],"mmmm")</f>
        <v>June</v>
      </c>
      <c r="D263" s="15">
        <v>103</v>
      </c>
      <c r="E263" s="82">
        <f>_xlfn.FORECAST.LINEAR(Table11[[#This Row],[Date]],Table11[Units_Sold],Table11[Date])</f>
        <v>99.381388261553042</v>
      </c>
      <c r="F263" cm="1">
        <f t="array" ref="F263">_xlfn.IFS(Table11[[#This Row],[Vehicle_Type]]="SUV",250,Table11[[#This Row],[Vehicle_Type]]="Sedan",200,Table11[[#This Row],[Vehicle_Type]]="Hatchback",185,Table11[[#This Row],[Vehicle_Type]]="Electric",190,Table11[[#This Row],[Vehicle_Type]]="Truck",150)</f>
        <v>250</v>
      </c>
      <c r="G263">
        <f t="shared" ca="1" si="4"/>
        <v>25</v>
      </c>
      <c r="H263" s="82">
        <f>Table11[[#This Row],[Daily_Production]]-Table11[[#This Row],[Forecasted_Units]]</f>
        <v>150.61861173844696</v>
      </c>
      <c r="I263" cm="1">
        <f t="array" ref="I263">_xlfn.IFS(Table11[[#This Row],[Vehicle_Type]]="SUV",5,Table11[[#This Row],[Vehicle_Type]]="Sedan",7,Table11[[#This Row],[Vehicle_Type]]="Hatchback",10,Table11[[#This Row],[Vehicle_Type]]="Electric",11,Table11[[#This Row],[Vehicle_Type]]="Truck",13)</f>
        <v>5</v>
      </c>
      <c r="J263">
        <f ca="1">Table11[[#This Row],[Daily_Production]]*Table11[[#This Row],[Working_Days]]</f>
        <v>6250</v>
      </c>
      <c r="K263" s="81">
        <f>Table11[[#This Row],[Forecasted_Units]]*0.1</f>
        <v>9.9381388261553045</v>
      </c>
      <c r="L263" s="82">
        <f>Table11[[#This Row],[Adjusted_Forecast]]+Table11[[#This Row],[Safety_Stock]]-Table11[[#This Row],[Inventory_On_Hand]]</f>
        <v>-41.299084650738607</v>
      </c>
      <c r="M263" s="82">
        <f ca="1">MIN(Table11[[#This Row],[Production_Needed]],Table11[[#This Row],[Production_Capacity]])</f>
        <v>-41.299084650738607</v>
      </c>
      <c r="N263" s="82">
        <f ca="1">MAX(Table11[[#This Row],[Production_Needed]]-Table11[[#This Row],[Planned_Production]],0)</f>
        <v>0</v>
      </c>
      <c r="O263" s="82">
        <f ca="1">Table11[[#This Row],[Inventory_On_Hand]]+Table11[[#This Row],[Planned_Production]]-Table11[[#This Row],[Forecasted_Units]]</f>
        <v>9.9381388261553099</v>
      </c>
      <c r="P263" cm="1">
        <f t="array" ref="P263">_xlfn.XLOOKUP(Table11[[#This Row],[Date]] &amp; Table11[[#This Row],[Vehicle_Type]], Table12[Date] &amp; Table12[Vehicle_Type],Table12[Feedback_Adjustment], 0)</f>
        <v>0</v>
      </c>
      <c r="Q263" s="82">
        <f>Table11[[#This Row],[Forecasted_Units]]*(1+Table11[[#This Row],[Adjustment_Percentage]])</f>
        <v>99.381388261553042</v>
      </c>
      <c r="R263" s="82"/>
    </row>
    <row r="264" spans="1:18">
      <c r="A264" s="53">
        <v>49865</v>
      </c>
      <c r="B264" s="14" t="s">
        <v>14</v>
      </c>
      <c r="C264" s="15" t="str">
        <f>TEXT(Table11[[#This Row],[Date]],"mmmm")</f>
        <v>July</v>
      </c>
      <c r="D264" s="14">
        <v>99</v>
      </c>
      <c r="E264" s="82">
        <f>_xlfn.FORECAST.LINEAR(Table11[[#This Row],[Date]],Table11[Units_Sold],Table11[Date])</f>
        <v>99.38255245820983</v>
      </c>
      <c r="F264" cm="1">
        <f t="array" ref="F264">_xlfn.IFS(Table11[[#This Row],[Vehicle_Type]]="SUV",250,Table11[[#This Row],[Vehicle_Type]]="Sedan",200,Table11[[#This Row],[Vehicle_Type]]="Hatchback",185,Table11[[#This Row],[Vehicle_Type]]="Electric",190,Table11[[#This Row],[Vehicle_Type]]="Truck",150)</f>
        <v>150</v>
      </c>
      <c r="G264">
        <f t="shared" ca="1" si="4"/>
        <v>22</v>
      </c>
      <c r="H264" s="82">
        <f>Table11[[#This Row],[Daily_Production]]-Table11[[#This Row],[Forecasted_Units]]</f>
        <v>50.61744754179017</v>
      </c>
      <c r="I264" cm="1">
        <f t="array" ref="I264">_xlfn.IFS(Table11[[#This Row],[Vehicle_Type]]="SUV",5,Table11[[#This Row],[Vehicle_Type]]="Sedan",7,Table11[[#This Row],[Vehicle_Type]]="Hatchback",10,Table11[[#This Row],[Vehicle_Type]]="Electric",11,Table11[[#This Row],[Vehicle_Type]]="Truck",13)</f>
        <v>13</v>
      </c>
      <c r="J264">
        <f ca="1">Table11[[#This Row],[Daily_Production]]*Table11[[#This Row],[Working_Days]]</f>
        <v>3300</v>
      </c>
      <c r="K264" s="81">
        <f>Table11[[#This Row],[Forecasted_Units]]*0.1</f>
        <v>9.938255245820983</v>
      </c>
      <c r="L264" s="82">
        <f>Table11[[#This Row],[Adjusted_Forecast]]+Table11[[#This Row],[Safety_Stock]]-Table11[[#This Row],[Inventory_On_Hand]]</f>
        <v>58.703360162240642</v>
      </c>
      <c r="M264" s="82">
        <f ca="1">MIN(Table11[[#This Row],[Production_Needed]],Table11[[#This Row],[Production_Capacity]])</f>
        <v>58.703360162240642</v>
      </c>
      <c r="N264" s="82">
        <f ca="1">MAX(Table11[[#This Row],[Production_Needed]]-Table11[[#This Row],[Planned_Production]],0)</f>
        <v>0</v>
      </c>
      <c r="O264" s="82">
        <f ca="1">Table11[[#This Row],[Inventory_On_Hand]]+Table11[[#This Row],[Planned_Production]]-Table11[[#This Row],[Forecasted_Units]]</f>
        <v>9.938255245820983</v>
      </c>
      <c r="P264" cm="1">
        <f t="array" ref="P264">_xlfn.XLOOKUP(Table11[[#This Row],[Date]] &amp; Table11[[#This Row],[Vehicle_Type]], Table12[Date] &amp; Table12[Vehicle_Type],Table12[Feedback_Adjustment], 0)</f>
        <v>0</v>
      </c>
      <c r="Q264" s="82">
        <f>Table11[[#This Row],[Forecasted_Units]]*(1+Table11[[#This Row],[Adjustment_Percentage]])</f>
        <v>99.38255245820983</v>
      </c>
      <c r="R264" s="82"/>
    </row>
    <row r="265" spans="1:18">
      <c r="A265" s="54">
        <v>49895</v>
      </c>
      <c r="B265" s="15" t="s">
        <v>10</v>
      </c>
      <c r="C265" s="15" t="str">
        <f>TEXT(Table11[[#This Row],[Date]],"mmmm")</f>
        <v>August</v>
      </c>
      <c r="D265" s="15">
        <f>IF(ISBLANK(D218), P219, D218)</f>
        <v>76</v>
      </c>
      <c r="E265" s="82">
        <f>_xlfn.FORECAST.LINEAR(Table11[[#This Row],[Date]],Table11[Units_Sold],Table11[Date])</f>
        <v>99.383716654866618</v>
      </c>
      <c r="F265" cm="1">
        <f t="array" ref="F265">_xlfn.IFS(Table11[[#This Row],[Vehicle_Type]]="SUV",250,Table11[[#This Row],[Vehicle_Type]]="Sedan",200,Table11[[#This Row],[Vehicle_Type]]="Hatchback",185,Table11[[#This Row],[Vehicle_Type]]="Electric",190,Table11[[#This Row],[Vehicle_Type]]="Truck",150)</f>
        <v>200</v>
      </c>
      <c r="G265">
        <f t="shared" ca="1" si="4"/>
        <v>23</v>
      </c>
      <c r="H265" s="82">
        <f>Table11[[#This Row],[Daily_Production]]-Table11[[#This Row],[Forecasted_Units]]</f>
        <v>100.61628334513338</v>
      </c>
      <c r="I265" cm="1">
        <f t="array" ref="I265">_xlfn.IFS(Table11[[#This Row],[Vehicle_Type]]="SUV",5,Table11[[#This Row],[Vehicle_Type]]="Sedan",7,Table11[[#This Row],[Vehicle_Type]]="Hatchback",10,Table11[[#This Row],[Vehicle_Type]]="Electric",11,Table11[[#This Row],[Vehicle_Type]]="Truck",13)</f>
        <v>7</v>
      </c>
      <c r="J265">
        <f ca="1">Table11[[#This Row],[Daily_Production]]*Table11[[#This Row],[Working_Days]]</f>
        <v>4600</v>
      </c>
      <c r="K265" s="81">
        <f>Table11[[#This Row],[Forecasted_Units]]*0.1</f>
        <v>9.9383716654866632</v>
      </c>
      <c r="L265" s="82">
        <f>Table11[[#This Row],[Adjusted_Forecast]]+Table11[[#This Row],[Safety_Stock]]-Table11[[#This Row],[Inventory_On_Hand]]</f>
        <v>8.7058049752199054</v>
      </c>
      <c r="M265" s="82">
        <f ca="1">MIN(Table11[[#This Row],[Production_Needed]],Table11[[#This Row],[Production_Capacity]])</f>
        <v>8.7058049752199054</v>
      </c>
      <c r="N265" s="82">
        <f ca="1">MAX(Table11[[#This Row],[Production_Needed]]-Table11[[#This Row],[Planned_Production]],0)</f>
        <v>0</v>
      </c>
      <c r="O265" s="82">
        <f ca="1">Table11[[#This Row],[Inventory_On_Hand]]+Table11[[#This Row],[Planned_Production]]-Table11[[#This Row],[Forecasted_Units]]</f>
        <v>9.9383716654866703</v>
      </c>
      <c r="P265" cm="1">
        <f t="array" ref="P265">_xlfn.XLOOKUP(Table11[[#This Row],[Date]] &amp; Table11[[#This Row],[Vehicle_Type]], Table12[Date] &amp; Table12[Vehicle_Type],Table12[Feedback_Adjustment], 0)</f>
        <v>0</v>
      </c>
      <c r="Q265" s="82">
        <f>Table11[[#This Row],[Forecasted_Units]]*(1+Table11[[#This Row],[Adjustment_Percentage]])</f>
        <v>99.383716654866618</v>
      </c>
      <c r="R265" s="82"/>
    </row>
    <row r="266" spans="1:18">
      <c r="A266" s="53">
        <v>49925</v>
      </c>
      <c r="B266" s="14" t="s">
        <v>14</v>
      </c>
      <c r="C266" s="15" t="str">
        <f>TEXT(Table11[[#This Row],[Date]],"mmmm")</f>
        <v>September</v>
      </c>
      <c r="D266" s="14">
        <v>106</v>
      </c>
      <c r="E266" s="82">
        <f>_xlfn.FORECAST.LINEAR(Table11[[#This Row],[Date]],Table11[Units_Sold],Table11[Date])</f>
        <v>99.384880851523405</v>
      </c>
      <c r="F266" cm="1">
        <f t="array" ref="F266">_xlfn.IFS(Table11[[#This Row],[Vehicle_Type]]="SUV",250,Table11[[#This Row],[Vehicle_Type]]="Sedan",200,Table11[[#This Row],[Vehicle_Type]]="Hatchback",185,Table11[[#This Row],[Vehicle_Type]]="Electric",190,Table11[[#This Row],[Vehicle_Type]]="Truck",150)</f>
        <v>150</v>
      </c>
      <c r="G266">
        <f t="shared" ca="1" si="4"/>
        <v>21</v>
      </c>
      <c r="H266" s="82">
        <f>Table11[[#This Row],[Daily_Production]]-Table11[[#This Row],[Forecasted_Units]]</f>
        <v>50.615119148476595</v>
      </c>
      <c r="I266" cm="1">
        <f t="array" ref="I266">_xlfn.IFS(Table11[[#This Row],[Vehicle_Type]]="SUV",5,Table11[[#This Row],[Vehicle_Type]]="Sedan",7,Table11[[#This Row],[Vehicle_Type]]="Hatchback",10,Table11[[#This Row],[Vehicle_Type]]="Electric",11,Table11[[#This Row],[Vehicle_Type]]="Truck",13)</f>
        <v>13</v>
      </c>
      <c r="J266">
        <f ca="1">Table11[[#This Row],[Daily_Production]]*Table11[[#This Row],[Working_Days]]</f>
        <v>3150</v>
      </c>
      <c r="K266" s="81">
        <f>Table11[[#This Row],[Forecasted_Units]]*0.1</f>
        <v>9.9384880851523416</v>
      </c>
      <c r="L266" s="82">
        <f>Table11[[#This Row],[Adjusted_Forecast]]+Table11[[#This Row],[Safety_Stock]]-Table11[[#This Row],[Inventory_On_Hand]]</f>
        <v>58.708249788199154</v>
      </c>
      <c r="M266" s="82">
        <f ca="1">MIN(Table11[[#This Row],[Production_Needed]],Table11[[#This Row],[Production_Capacity]])</f>
        <v>58.708249788199154</v>
      </c>
      <c r="N266" s="82">
        <f ca="1">MAX(Table11[[#This Row],[Production_Needed]]-Table11[[#This Row],[Planned_Production]],0)</f>
        <v>0</v>
      </c>
      <c r="O266" s="82">
        <f ca="1">Table11[[#This Row],[Inventory_On_Hand]]+Table11[[#This Row],[Planned_Production]]-Table11[[#This Row],[Forecasted_Units]]</f>
        <v>9.9384880851523434</v>
      </c>
      <c r="P266" cm="1">
        <f t="array" ref="P266">_xlfn.XLOOKUP(Table11[[#This Row],[Date]] &amp; Table11[[#This Row],[Vehicle_Type]], Table12[Date] &amp; Table12[Vehicle_Type],Table12[Feedback_Adjustment], 0)</f>
        <v>0</v>
      </c>
      <c r="Q266" s="82">
        <f>Table11[[#This Row],[Forecasted_Units]]*(1+Table11[[#This Row],[Adjustment_Percentage]])</f>
        <v>99.384880851523405</v>
      </c>
      <c r="R266" s="82"/>
    </row>
    <row r="267" spans="1:18">
      <c r="A267" s="54">
        <v>49955</v>
      </c>
      <c r="B267" s="15" t="s">
        <v>11</v>
      </c>
      <c r="C267" s="15" t="str">
        <f>TEXT(Table11[[#This Row],[Date]],"mmmm")</f>
        <v>October</v>
      </c>
      <c r="D267" s="15">
        <v>100</v>
      </c>
      <c r="E267" s="82">
        <f>_xlfn.FORECAST.LINEAR(Table11[[#This Row],[Date]],Table11[Units_Sold],Table11[Date])</f>
        <v>99.386045048180193</v>
      </c>
      <c r="F267" cm="1">
        <f t="array" ref="F267">_xlfn.IFS(Table11[[#This Row],[Vehicle_Type]]="SUV",250,Table11[[#This Row],[Vehicle_Type]]="Sedan",200,Table11[[#This Row],[Vehicle_Type]]="Hatchback",185,Table11[[#This Row],[Vehicle_Type]]="Electric",190,Table11[[#This Row],[Vehicle_Type]]="Truck",150)</f>
        <v>185</v>
      </c>
      <c r="G267">
        <f t="shared" ca="1" si="4"/>
        <v>25</v>
      </c>
      <c r="H267" s="82">
        <f>Table11[[#This Row],[Daily_Production]]-Table11[[#This Row],[Forecasted_Units]]</f>
        <v>85.613954951819807</v>
      </c>
      <c r="I267" cm="1">
        <f t="array" ref="I267">_xlfn.IFS(Table11[[#This Row],[Vehicle_Type]]="SUV",5,Table11[[#This Row],[Vehicle_Type]]="Sedan",7,Table11[[#This Row],[Vehicle_Type]]="Hatchback",10,Table11[[#This Row],[Vehicle_Type]]="Electric",11,Table11[[#This Row],[Vehicle_Type]]="Truck",13)</f>
        <v>10</v>
      </c>
      <c r="J267">
        <f ca="1">Table11[[#This Row],[Daily_Production]]*Table11[[#This Row],[Working_Days]]</f>
        <v>4625</v>
      </c>
      <c r="K267" s="81">
        <f>Table11[[#This Row],[Forecasted_Units]]*0.1</f>
        <v>9.93860450481802</v>
      </c>
      <c r="L267" s="82">
        <f>Table11[[#This Row],[Adjusted_Forecast]]+Table11[[#This Row],[Safety_Stock]]-Table11[[#This Row],[Inventory_On_Hand]]</f>
        <v>23.710694601178403</v>
      </c>
      <c r="M267" s="82">
        <f ca="1">MIN(Table11[[#This Row],[Production_Needed]],Table11[[#This Row],[Production_Capacity]])</f>
        <v>23.710694601178403</v>
      </c>
      <c r="N267" s="82">
        <f ca="1">MAX(Table11[[#This Row],[Production_Needed]]-Table11[[#This Row],[Planned_Production]],0)</f>
        <v>0</v>
      </c>
      <c r="O267" s="82">
        <f ca="1">Table11[[#This Row],[Inventory_On_Hand]]+Table11[[#This Row],[Planned_Production]]-Table11[[#This Row],[Forecasted_Units]]</f>
        <v>9.9386045048180165</v>
      </c>
      <c r="P267" cm="1">
        <f t="array" ref="P267">_xlfn.XLOOKUP(Table11[[#This Row],[Date]] &amp; Table11[[#This Row],[Vehicle_Type]], Table12[Date] &amp; Table12[Vehicle_Type],Table12[Feedback_Adjustment], 0)</f>
        <v>0</v>
      </c>
      <c r="Q267" s="82">
        <f>Table11[[#This Row],[Forecasted_Units]]*(1+Table11[[#This Row],[Adjustment_Percentage]])</f>
        <v>99.386045048180193</v>
      </c>
      <c r="R267" s="82"/>
    </row>
    <row r="268" spans="1:18">
      <c r="A268" s="53">
        <v>49985</v>
      </c>
      <c r="B268" s="14" t="s">
        <v>14</v>
      </c>
      <c r="C268" s="15" t="str">
        <f>TEXT(Table11[[#This Row],[Date]],"mmmm")</f>
        <v>November</v>
      </c>
      <c r="D268" s="14">
        <v>85</v>
      </c>
      <c r="E268" s="82">
        <f>_xlfn.FORECAST.LINEAR(Table11[[#This Row],[Date]],Table11[Units_Sold],Table11[Date])</f>
        <v>99.387209244836967</v>
      </c>
      <c r="F268" cm="1">
        <f t="array" ref="F268">_xlfn.IFS(Table11[[#This Row],[Vehicle_Type]]="SUV",250,Table11[[#This Row],[Vehicle_Type]]="Sedan",200,Table11[[#This Row],[Vehicle_Type]]="Hatchback",185,Table11[[#This Row],[Vehicle_Type]]="Electric",190,Table11[[#This Row],[Vehicle_Type]]="Truck",150)</f>
        <v>150</v>
      </c>
      <c r="G268">
        <f t="shared" ca="1" si="4"/>
        <v>21</v>
      </c>
      <c r="H268" s="82">
        <f>Table11[[#This Row],[Daily_Production]]-Table11[[#This Row],[Forecasted_Units]]</f>
        <v>50.612790755163033</v>
      </c>
      <c r="I268" cm="1">
        <f t="array" ref="I268">_xlfn.IFS(Table11[[#This Row],[Vehicle_Type]]="SUV",5,Table11[[#This Row],[Vehicle_Type]]="Sedan",7,Table11[[#This Row],[Vehicle_Type]]="Hatchback",10,Table11[[#This Row],[Vehicle_Type]]="Electric",11,Table11[[#This Row],[Vehicle_Type]]="Truck",13)</f>
        <v>13</v>
      </c>
      <c r="J268">
        <f ca="1">Table11[[#This Row],[Daily_Production]]*Table11[[#This Row],[Working_Days]]</f>
        <v>3150</v>
      </c>
      <c r="K268" s="81">
        <f>Table11[[#This Row],[Forecasted_Units]]*0.1</f>
        <v>9.9387209244836967</v>
      </c>
      <c r="L268" s="82">
        <f>Table11[[#This Row],[Adjusted_Forecast]]+Table11[[#This Row],[Safety_Stock]]-Table11[[#This Row],[Inventory_On_Hand]]</f>
        <v>58.713139414157624</v>
      </c>
      <c r="M268" s="82">
        <f ca="1">MIN(Table11[[#This Row],[Production_Needed]],Table11[[#This Row],[Production_Capacity]])</f>
        <v>58.713139414157624</v>
      </c>
      <c r="N268" s="82">
        <f ca="1">MAX(Table11[[#This Row],[Production_Needed]]-Table11[[#This Row],[Planned_Production]],0)</f>
        <v>0</v>
      </c>
      <c r="O268" s="82">
        <f ca="1">Table11[[#This Row],[Inventory_On_Hand]]+Table11[[#This Row],[Planned_Production]]-Table11[[#This Row],[Forecasted_Units]]</f>
        <v>9.9387209244836896</v>
      </c>
      <c r="P268" cm="1">
        <f t="array" ref="P268">_xlfn.XLOOKUP(Table11[[#This Row],[Date]] &amp; Table11[[#This Row],[Vehicle_Type]], Table12[Date] &amp; Table12[Vehicle_Type],Table12[Feedback_Adjustment], 0)</f>
        <v>0</v>
      </c>
      <c r="Q268" s="82">
        <f>Table11[[#This Row],[Forecasted_Units]]*(1+Table11[[#This Row],[Adjustment_Percentage]])</f>
        <v>99.387209244836967</v>
      </c>
      <c r="R268" s="82"/>
    </row>
    <row r="269" spans="1:18">
      <c r="A269" s="54">
        <v>50015</v>
      </c>
      <c r="B269" s="15" t="s">
        <v>11</v>
      </c>
      <c r="C269" s="15" t="str">
        <f>TEXT(Table11[[#This Row],[Date]],"mmmm")</f>
        <v>December</v>
      </c>
      <c r="D269" s="15">
        <v>101</v>
      </c>
      <c r="E269" s="82">
        <f>_xlfn.FORECAST.LINEAR(Table11[[#This Row],[Date]],Table11[Units_Sold],Table11[Date])</f>
        <v>99.388373441493755</v>
      </c>
      <c r="F269" cm="1">
        <f t="array" ref="F269">_xlfn.IFS(Table11[[#This Row],[Vehicle_Type]]="SUV",250,Table11[[#This Row],[Vehicle_Type]]="Sedan",200,Table11[[#This Row],[Vehicle_Type]]="Hatchback",185,Table11[[#This Row],[Vehicle_Type]]="Electric",190,Table11[[#This Row],[Vehicle_Type]]="Truck",150)</f>
        <v>185</v>
      </c>
      <c r="G269">
        <f t="shared" ca="1" si="4"/>
        <v>23</v>
      </c>
      <c r="H269" s="82">
        <f>Table11[[#This Row],[Daily_Production]]-Table11[[#This Row],[Forecasted_Units]]</f>
        <v>85.611626558506245</v>
      </c>
      <c r="I269" cm="1">
        <f t="array" ref="I269">_xlfn.IFS(Table11[[#This Row],[Vehicle_Type]]="SUV",5,Table11[[#This Row],[Vehicle_Type]]="Sedan",7,Table11[[#This Row],[Vehicle_Type]]="Hatchback",10,Table11[[#This Row],[Vehicle_Type]]="Electric",11,Table11[[#This Row],[Vehicle_Type]]="Truck",13)</f>
        <v>10</v>
      </c>
      <c r="J269">
        <f ca="1">Table11[[#This Row],[Daily_Production]]*Table11[[#This Row],[Working_Days]]</f>
        <v>4255</v>
      </c>
      <c r="K269" s="81">
        <f>Table11[[#This Row],[Forecasted_Units]]*0.1</f>
        <v>9.9388373441493769</v>
      </c>
      <c r="L269" s="82">
        <f>Table11[[#This Row],[Adjusted_Forecast]]+Table11[[#This Row],[Safety_Stock]]-Table11[[#This Row],[Inventory_On_Hand]]</f>
        <v>23.715584227136887</v>
      </c>
      <c r="M269" s="82">
        <f ca="1">MIN(Table11[[#This Row],[Production_Needed]],Table11[[#This Row],[Production_Capacity]])</f>
        <v>23.715584227136887</v>
      </c>
      <c r="N269" s="82">
        <f ca="1">MAX(Table11[[#This Row],[Production_Needed]]-Table11[[#This Row],[Planned_Production]],0)</f>
        <v>0</v>
      </c>
      <c r="O269" s="82">
        <f ca="1">Table11[[#This Row],[Inventory_On_Hand]]+Table11[[#This Row],[Planned_Production]]-Table11[[#This Row],[Forecasted_Units]]</f>
        <v>9.9388373441493769</v>
      </c>
      <c r="P269" cm="1">
        <f t="array" ref="P269">_xlfn.XLOOKUP(Table11[[#This Row],[Date]] &amp; Table11[[#This Row],[Vehicle_Type]], Table12[Date] &amp; Table12[Vehicle_Type],Table12[Feedback_Adjustment], 0)</f>
        <v>0</v>
      </c>
      <c r="Q269" s="82">
        <f>Table11[[#This Row],[Forecasted_Units]]*(1+Table11[[#This Row],[Adjustment_Percentage]])</f>
        <v>99.388373441493755</v>
      </c>
      <c r="R269" s="82"/>
    </row>
    <row r="270" spans="1:18">
      <c r="A270" s="53">
        <v>50045</v>
      </c>
      <c r="B270" s="14" t="s">
        <v>14</v>
      </c>
      <c r="C270" s="15" t="str">
        <f>TEXT(Table11[[#This Row],[Date]],"mmmm")</f>
        <v>January</v>
      </c>
      <c r="D270" s="14">
        <v>93</v>
      </c>
      <c r="E270" s="82">
        <f>_xlfn.FORECAST.LINEAR(Table11[[#This Row],[Date]],Table11[Units_Sold],Table11[Date])</f>
        <v>99.389537638150543</v>
      </c>
      <c r="F270" cm="1">
        <f t="array" ref="F270">_xlfn.IFS(Table11[[#This Row],[Vehicle_Type]]="SUV",250,Table11[[#This Row],[Vehicle_Type]]="Sedan",200,Table11[[#This Row],[Vehicle_Type]]="Hatchback",185,Table11[[#This Row],[Vehicle_Type]]="Electric",190,Table11[[#This Row],[Vehicle_Type]]="Truck",150)</f>
        <v>150</v>
      </c>
      <c r="G270">
        <f t="shared" ca="1" si="4"/>
        <v>23</v>
      </c>
      <c r="H270" s="82">
        <f>Table11[[#This Row],[Daily_Production]]-Table11[[#This Row],[Forecasted_Units]]</f>
        <v>50.610462361849457</v>
      </c>
      <c r="I270" cm="1">
        <f t="array" ref="I270">_xlfn.IFS(Table11[[#This Row],[Vehicle_Type]]="SUV",5,Table11[[#This Row],[Vehicle_Type]]="Sedan",7,Table11[[#This Row],[Vehicle_Type]]="Hatchback",10,Table11[[#This Row],[Vehicle_Type]]="Electric",11,Table11[[#This Row],[Vehicle_Type]]="Truck",13)</f>
        <v>13</v>
      </c>
      <c r="J270">
        <f ca="1">Table11[[#This Row],[Daily_Production]]*Table11[[#This Row],[Working_Days]]</f>
        <v>3450</v>
      </c>
      <c r="K270" s="81">
        <f>Table11[[#This Row],[Forecasted_Units]]*0.1</f>
        <v>9.9389537638150554</v>
      </c>
      <c r="L270" s="82">
        <f>Table11[[#This Row],[Adjusted_Forecast]]+Table11[[#This Row],[Safety_Stock]]-Table11[[#This Row],[Inventory_On_Hand]]</f>
        <v>58.718029040116136</v>
      </c>
      <c r="M270" s="82">
        <f ca="1">MIN(Table11[[#This Row],[Production_Needed]],Table11[[#This Row],[Production_Capacity]])</f>
        <v>58.718029040116136</v>
      </c>
      <c r="N270" s="82">
        <f ca="1">MAX(Table11[[#This Row],[Production_Needed]]-Table11[[#This Row],[Planned_Production]],0)</f>
        <v>0</v>
      </c>
      <c r="O270" s="82">
        <f ca="1">Table11[[#This Row],[Inventory_On_Hand]]+Table11[[#This Row],[Planned_Production]]-Table11[[#This Row],[Forecasted_Units]]</f>
        <v>9.93895376381505</v>
      </c>
      <c r="P270" cm="1">
        <f t="array" ref="P270">_xlfn.XLOOKUP(Table11[[#This Row],[Date]] &amp; Table11[[#This Row],[Vehicle_Type]], Table12[Date] &amp; Table12[Vehicle_Type],Table12[Feedback_Adjustment], 0)</f>
        <v>0</v>
      </c>
      <c r="Q270" s="82">
        <f>Table11[[#This Row],[Forecasted_Units]]*(1+Table11[[#This Row],[Adjustment_Percentage]])</f>
        <v>99.389537638150543</v>
      </c>
      <c r="R270" s="82"/>
    </row>
    <row r="271" spans="1:18">
      <c r="A271" s="54">
        <v>50075</v>
      </c>
      <c r="B271" s="15" t="s">
        <v>13</v>
      </c>
      <c r="C271" s="15" t="str">
        <f>TEXT(Table11[[#This Row],[Date]],"mmmm")</f>
        <v>February</v>
      </c>
      <c r="D271" s="15">
        <v>91</v>
      </c>
      <c r="E271" s="82">
        <f>_xlfn.FORECAST.LINEAR(Table11[[#This Row],[Date]],Table11[Units_Sold],Table11[Date])</f>
        <v>99.390701834807331</v>
      </c>
      <c r="F271" cm="1">
        <f t="array" ref="F271">_xlfn.IFS(Table11[[#This Row],[Vehicle_Type]]="SUV",250,Table11[[#This Row],[Vehicle_Type]]="Sedan",200,Table11[[#This Row],[Vehicle_Type]]="Hatchback",185,Table11[[#This Row],[Vehicle_Type]]="Electric",190,Table11[[#This Row],[Vehicle_Type]]="Truck",150)</f>
        <v>190</v>
      </c>
      <c r="G271">
        <f t="shared" ca="1" si="4"/>
        <v>25</v>
      </c>
      <c r="H271" s="82">
        <f>Table11[[#This Row],[Daily_Production]]-Table11[[#This Row],[Forecasted_Units]]</f>
        <v>90.609298165192669</v>
      </c>
      <c r="I271" cm="1">
        <f t="array" ref="I271">_xlfn.IFS(Table11[[#This Row],[Vehicle_Type]]="SUV",5,Table11[[#This Row],[Vehicle_Type]]="Sedan",7,Table11[[#This Row],[Vehicle_Type]]="Hatchback",10,Table11[[#This Row],[Vehicle_Type]]="Electric",11,Table11[[#This Row],[Vehicle_Type]]="Truck",13)</f>
        <v>11</v>
      </c>
      <c r="J271">
        <f ca="1">Table11[[#This Row],[Daily_Production]]*Table11[[#This Row],[Working_Days]]</f>
        <v>4750</v>
      </c>
      <c r="K271" s="81">
        <f>Table11[[#This Row],[Forecasted_Units]]*0.1</f>
        <v>9.9390701834807338</v>
      </c>
      <c r="L271" s="82">
        <f>Table11[[#This Row],[Adjusted_Forecast]]+Table11[[#This Row],[Safety_Stock]]-Table11[[#This Row],[Inventory_On_Hand]]</f>
        <v>18.720473853095399</v>
      </c>
      <c r="M271" s="82">
        <f ca="1">MIN(Table11[[#This Row],[Production_Needed]],Table11[[#This Row],[Production_Capacity]])</f>
        <v>18.720473853095399</v>
      </c>
      <c r="N271" s="82">
        <f ca="1">MAX(Table11[[#This Row],[Production_Needed]]-Table11[[#This Row],[Planned_Production]],0)</f>
        <v>0</v>
      </c>
      <c r="O271" s="82">
        <f ca="1">Table11[[#This Row],[Inventory_On_Hand]]+Table11[[#This Row],[Planned_Production]]-Table11[[#This Row],[Forecasted_Units]]</f>
        <v>9.9390701834807373</v>
      </c>
      <c r="P271" cm="1">
        <f t="array" ref="P271">_xlfn.XLOOKUP(Table11[[#This Row],[Date]] &amp; Table11[[#This Row],[Vehicle_Type]], Table12[Date] &amp; Table12[Vehicle_Type],Table12[Feedback_Adjustment], 0)</f>
        <v>0</v>
      </c>
      <c r="Q271" s="82">
        <f>Table11[[#This Row],[Forecasted_Units]]*(1+Table11[[#This Row],[Adjustment_Percentage]])</f>
        <v>99.390701834807331</v>
      </c>
      <c r="R271" s="82"/>
    </row>
    <row r="272" spans="1:18">
      <c r="A272" s="53">
        <v>50105</v>
      </c>
      <c r="B272" s="14" t="s">
        <v>14</v>
      </c>
      <c r="C272" s="15" t="str">
        <f>TEXT(Table11[[#This Row],[Date]],"mmmm")</f>
        <v>March</v>
      </c>
      <c r="D272" s="14">
        <v>103</v>
      </c>
      <c r="E272" s="82">
        <f>_xlfn.FORECAST.LINEAR(Table11[[#This Row],[Date]],Table11[Units_Sold],Table11[Date])</f>
        <v>99.391866031464119</v>
      </c>
      <c r="F272" cm="1">
        <f t="array" ref="F272">_xlfn.IFS(Table11[[#This Row],[Vehicle_Type]]="SUV",250,Table11[[#This Row],[Vehicle_Type]]="Sedan",200,Table11[[#This Row],[Vehicle_Type]]="Hatchback",185,Table11[[#This Row],[Vehicle_Type]]="Electric",190,Table11[[#This Row],[Vehicle_Type]]="Truck",150)</f>
        <v>150</v>
      </c>
      <c r="G272">
        <f t="shared" ca="1" si="4"/>
        <v>23</v>
      </c>
      <c r="H272" s="82">
        <f>Table11[[#This Row],[Daily_Production]]-Table11[[#This Row],[Forecasted_Units]]</f>
        <v>50.608133968535881</v>
      </c>
      <c r="I272" cm="1">
        <f t="array" ref="I272">_xlfn.IFS(Table11[[#This Row],[Vehicle_Type]]="SUV",5,Table11[[#This Row],[Vehicle_Type]]="Sedan",7,Table11[[#This Row],[Vehicle_Type]]="Hatchback",10,Table11[[#This Row],[Vehicle_Type]]="Electric",11,Table11[[#This Row],[Vehicle_Type]]="Truck",13)</f>
        <v>13</v>
      </c>
      <c r="J272">
        <f ca="1">Table11[[#This Row],[Daily_Production]]*Table11[[#This Row],[Working_Days]]</f>
        <v>3450</v>
      </c>
      <c r="K272" s="81">
        <f>Table11[[#This Row],[Forecasted_Units]]*0.1</f>
        <v>9.9391866031464122</v>
      </c>
      <c r="L272" s="82">
        <f>Table11[[#This Row],[Adjusted_Forecast]]+Table11[[#This Row],[Safety_Stock]]-Table11[[#This Row],[Inventory_On_Hand]]</f>
        <v>58.722918666074648</v>
      </c>
      <c r="M272" s="82">
        <f ca="1">MIN(Table11[[#This Row],[Production_Needed]],Table11[[#This Row],[Production_Capacity]])</f>
        <v>58.722918666074648</v>
      </c>
      <c r="N272" s="82">
        <f ca="1">MAX(Table11[[#This Row],[Production_Needed]]-Table11[[#This Row],[Planned_Production]],0)</f>
        <v>0</v>
      </c>
      <c r="O272" s="82">
        <f ca="1">Table11[[#This Row],[Inventory_On_Hand]]+Table11[[#This Row],[Planned_Production]]-Table11[[#This Row],[Forecasted_Units]]</f>
        <v>9.9391866031464104</v>
      </c>
      <c r="P272" cm="1">
        <f t="array" ref="P272">_xlfn.XLOOKUP(Table11[[#This Row],[Date]] &amp; Table11[[#This Row],[Vehicle_Type]], Table12[Date] &amp; Table12[Vehicle_Type],Table12[Feedback_Adjustment], 0)</f>
        <v>0</v>
      </c>
      <c r="Q272" s="82">
        <f>Table11[[#This Row],[Forecasted_Units]]*(1+Table11[[#This Row],[Adjustment_Percentage]])</f>
        <v>99.391866031464119</v>
      </c>
      <c r="R272" s="82"/>
    </row>
    <row r="273" spans="1:18">
      <c r="A273" s="54">
        <v>50135</v>
      </c>
      <c r="B273" s="15" t="s">
        <v>12</v>
      </c>
      <c r="C273" s="15" t="str">
        <f>TEXT(Table11[[#This Row],[Date]],"mmmm")</f>
        <v>April</v>
      </c>
      <c r="D273" s="15">
        <v>109</v>
      </c>
      <c r="E273" s="82">
        <f>_xlfn.FORECAST.LINEAR(Table11[[#This Row],[Date]],Table11[Units_Sold],Table11[Date])</f>
        <v>99.393030228120907</v>
      </c>
      <c r="F273" cm="1">
        <f t="array" ref="F273">_xlfn.IFS(Table11[[#This Row],[Vehicle_Type]]="SUV",250,Table11[[#This Row],[Vehicle_Type]]="Sedan",200,Table11[[#This Row],[Vehicle_Type]]="Hatchback",185,Table11[[#This Row],[Vehicle_Type]]="Electric",190,Table11[[#This Row],[Vehicle_Type]]="Truck",150)</f>
        <v>250</v>
      </c>
      <c r="G273">
        <f t="shared" ca="1" si="4"/>
        <v>25</v>
      </c>
      <c r="H273" s="82">
        <f>Table11[[#This Row],[Daily_Production]]-Table11[[#This Row],[Forecasted_Units]]</f>
        <v>150.60696977187911</v>
      </c>
      <c r="I273" cm="1">
        <f t="array" ref="I273">_xlfn.IFS(Table11[[#This Row],[Vehicle_Type]]="SUV",5,Table11[[#This Row],[Vehicle_Type]]="Sedan",7,Table11[[#This Row],[Vehicle_Type]]="Hatchback",10,Table11[[#This Row],[Vehicle_Type]]="Electric",11,Table11[[#This Row],[Vehicle_Type]]="Truck",13)</f>
        <v>5</v>
      </c>
      <c r="J273">
        <f ca="1">Table11[[#This Row],[Daily_Production]]*Table11[[#This Row],[Working_Days]]</f>
        <v>6250</v>
      </c>
      <c r="K273" s="81">
        <f>Table11[[#This Row],[Forecasted_Units]]*0.1</f>
        <v>9.9393030228120907</v>
      </c>
      <c r="L273" s="82">
        <f>Table11[[#This Row],[Adjusted_Forecast]]+Table11[[#This Row],[Safety_Stock]]-Table11[[#This Row],[Inventory_On_Hand]]</f>
        <v>-41.274636520946103</v>
      </c>
      <c r="M273" s="82">
        <f ca="1">MIN(Table11[[#This Row],[Production_Needed]],Table11[[#This Row],[Production_Capacity]])</f>
        <v>-41.274636520946103</v>
      </c>
      <c r="N273" s="82">
        <f ca="1">MAX(Table11[[#This Row],[Production_Needed]]-Table11[[#This Row],[Planned_Production]],0)</f>
        <v>0</v>
      </c>
      <c r="O273" s="82">
        <f ca="1">Table11[[#This Row],[Inventory_On_Hand]]+Table11[[#This Row],[Planned_Production]]-Table11[[#This Row],[Forecasted_Units]]</f>
        <v>9.9393030228120978</v>
      </c>
      <c r="P273" cm="1">
        <f t="array" ref="P273">_xlfn.XLOOKUP(Table11[[#This Row],[Date]] &amp; Table11[[#This Row],[Vehicle_Type]], Table12[Date] &amp; Table12[Vehicle_Type],Table12[Feedback_Adjustment], 0)</f>
        <v>0</v>
      </c>
      <c r="Q273" s="82">
        <f>Table11[[#This Row],[Forecasted_Units]]*(1+Table11[[#This Row],[Adjustment_Percentage]])</f>
        <v>99.393030228120907</v>
      </c>
      <c r="R273" s="82"/>
    </row>
    <row r="274" spans="1:18">
      <c r="A274" s="53">
        <v>50165</v>
      </c>
      <c r="B274" s="14" t="s">
        <v>12</v>
      </c>
      <c r="C274" s="15" t="str">
        <f>TEXT(Table11[[#This Row],[Date]],"mmmm")</f>
        <v>May</v>
      </c>
      <c r="D274" s="14">
        <v>83</v>
      </c>
      <c r="E274" s="82">
        <f>_xlfn.FORECAST.LINEAR(Table11[[#This Row],[Date]],Table11[Units_Sold],Table11[Date])</f>
        <v>99.394194424777695</v>
      </c>
      <c r="F274" cm="1">
        <f t="array" ref="F274">_xlfn.IFS(Table11[[#This Row],[Vehicle_Type]]="SUV",250,Table11[[#This Row],[Vehicle_Type]]="Sedan",200,Table11[[#This Row],[Vehicle_Type]]="Hatchback",185,Table11[[#This Row],[Vehicle_Type]]="Electric",190,Table11[[#This Row],[Vehicle_Type]]="Truck",150)</f>
        <v>250</v>
      </c>
      <c r="G274">
        <f t="shared" ca="1" si="4"/>
        <v>22</v>
      </c>
      <c r="H274" s="82">
        <f>Table11[[#This Row],[Daily_Production]]-Table11[[#This Row],[Forecasted_Units]]</f>
        <v>150.60580557522229</v>
      </c>
      <c r="I274" cm="1">
        <f t="array" ref="I274">_xlfn.IFS(Table11[[#This Row],[Vehicle_Type]]="SUV",5,Table11[[#This Row],[Vehicle_Type]]="Sedan",7,Table11[[#This Row],[Vehicle_Type]]="Hatchback",10,Table11[[#This Row],[Vehicle_Type]]="Electric",11,Table11[[#This Row],[Vehicle_Type]]="Truck",13)</f>
        <v>5</v>
      </c>
      <c r="J274">
        <f ca="1">Table11[[#This Row],[Daily_Production]]*Table11[[#This Row],[Working_Days]]</f>
        <v>5500</v>
      </c>
      <c r="K274" s="81">
        <f>Table11[[#This Row],[Forecasted_Units]]*0.1</f>
        <v>9.9394194424777709</v>
      </c>
      <c r="L274" s="82">
        <f>Table11[[#This Row],[Adjusted_Forecast]]+Table11[[#This Row],[Safety_Stock]]-Table11[[#This Row],[Inventory_On_Hand]]</f>
        <v>-41.272191707966826</v>
      </c>
      <c r="M274" s="82">
        <f ca="1">MIN(Table11[[#This Row],[Production_Needed]],Table11[[#This Row],[Production_Capacity]])</f>
        <v>-41.272191707966826</v>
      </c>
      <c r="N274" s="82">
        <f ca="1">MAX(Table11[[#This Row],[Production_Needed]]-Table11[[#This Row],[Planned_Production]],0)</f>
        <v>0</v>
      </c>
      <c r="O274" s="82">
        <f ca="1">Table11[[#This Row],[Inventory_On_Hand]]+Table11[[#This Row],[Planned_Production]]-Table11[[#This Row],[Forecasted_Units]]</f>
        <v>9.9394194424777709</v>
      </c>
      <c r="P274" cm="1">
        <f t="array" ref="P274">_xlfn.XLOOKUP(Table11[[#This Row],[Date]] &amp; Table11[[#This Row],[Vehicle_Type]], Table12[Date] &amp; Table12[Vehicle_Type],Table12[Feedback_Adjustment], 0)</f>
        <v>0</v>
      </c>
      <c r="Q274" s="82">
        <f>Table11[[#This Row],[Forecasted_Units]]*(1+Table11[[#This Row],[Adjustment_Percentage]])</f>
        <v>99.394194424777695</v>
      </c>
      <c r="R274" s="82"/>
    </row>
    <row r="275" spans="1:18">
      <c r="A275" s="54">
        <v>50195</v>
      </c>
      <c r="B275" s="15" t="s">
        <v>11</v>
      </c>
      <c r="C275" s="15" t="str">
        <f>TEXT(Table11[[#This Row],[Date]],"mmmm")</f>
        <v>June</v>
      </c>
      <c r="D275" s="15">
        <v>102</v>
      </c>
      <c r="E275" s="82">
        <f>_xlfn.FORECAST.LINEAR(Table11[[#This Row],[Date]],Table11[Units_Sold],Table11[Date])</f>
        <v>99.395358621434482</v>
      </c>
      <c r="F275" cm="1">
        <f t="array" ref="F275">_xlfn.IFS(Table11[[#This Row],[Vehicle_Type]]="SUV",250,Table11[[#This Row],[Vehicle_Type]]="Sedan",200,Table11[[#This Row],[Vehicle_Type]]="Hatchback",185,Table11[[#This Row],[Vehicle_Type]]="Electric",190,Table11[[#This Row],[Vehicle_Type]]="Truck",150)</f>
        <v>185</v>
      </c>
      <c r="G275">
        <f t="shared" ca="1" si="4"/>
        <v>24</v>
      </c>
      <c r="H275" s="82">
        <f>Table11[[#This Row],[Daily_Production]]-Table11[[#This Row],[Forecasted_Units]]</f>
        <v>85.604641378565518</v>
      </c>
      <c r="I275" cm="1">
        <f t="array" ref="I275">_xlfn.IFS(Table11[[#This Row],[Vehicle_Type]]="SUV",5,Table11[[#This Row],[Vehicle_Type]]="Sedan",7,Table11[[#This Row],[Vehicle_Type]]="Hatchback",10,Table11[[#This Row],[Vehicle_Type]]="Electric",11,Table11[[#This Row],[Vehicle_Type]]="Truck",13)</f>
        <v>10</v>
      </c>
      <c r="J275">
        <f ca="1">Table11[[#This Row],[Daily_Production]]*Table11[[#This Row],[Working_Days]]</f>
        <v>4440</v>
      </c>
      <c r="K275" s="81">
        <f>Table11[[#This Row],[Forecasted_Units]]*0.1</f>
        <v>9.9395358621434493</v>
      </c>
      <c r="L275" s="82">
        <f>Table11[[#This Row],[Adjusted_Forecast]]+Table11[[#This Row],[Safety_Stock]]-Table11[[#This Row],[Inventory_On_Hand]]</f>
        <v>23.730253105012409</v>
      </c>
      <c r="M275" s="82">
        <f ca="1">MIN(Table11[[#This Row],[Production_Needed]],Table11[[#This Row],[Production_Capacity]])</f>
        <v>23.730253105012409</v>
      </c>
      <c r="N275" s="82">
        <f ca="1">MAX(Table11[[#This Row],[Production_Needed]]-Table11[[#This Row],[Planned_Production]],0)</f>
        <v>0</v>
      </c>
      <c r="O275" s="82">
        <f ca="1">Table11[[#This Row],[Inventory_On_Hand]]+Table11[[#This Row],[Planned_Production]]-Table11[[#This Row],[Forecasted_Units]]</f>
        <v>9.939535862143444</v>
      </c>
      <c r="P275" cm="1">
        <f t="array" ref="P275">_xlfn.XLOOKUP(Table11[[#This Row],[Date]] &amp; Table11[[#This Row],[Vehicle_Type]], Table12[Date] &amp; Table12[Vehicle_Type],Table12[Feedback_Adjustment], 0)</f>
        <v>0</v>
      </c>
      <c r="Q275" s="82">
        <f>Table11[[#This Row],[Forecasted_Units]]*(1+Table11[[#This Row],[Adjustment_Percentage]])</f>
        <v>99.395358621434482</v>
      </c>
      <c r="R275" s="82"/>
    </row>
    <row r="276" spans="1:18">
      <c r="A276" s="53">
        <v>50225</v>
      </c>
      <c r="B276" s="14" t="s">
        <v>12</v>
      </c>
      <c r="C276" s="15" t="str">
        <f>TEXT(Table11[[#This Row],[Date]],"mmmm")</f>
        <v>July</v>
      </c>
      <c r="D276" s="14">
        <v>98</v>
      </c>
      <c r="E276" s="82">
        <f>_xlfn.FORECAST.LINEAR(Table11[[#This Row],[Date]],Table11[Units_Sold],Table11[Date])</f>
        <v>99.39652281809127</v>
      </c>
      <c r="F276" cm="1">
        <f t="array" ref="F276">_xlfn.IFS(Table11[[#This Row],[Vehicle_Type]]="SUV",250,Table11[[#This Row],[Vehicle_Type]]="Sedan",200,Table11[[#This Row],[Vehicle_Type]]="Hatchback",185,Table11[[#This Row],[Vehicle_Type]]="Electric",190,Table11[[#This Row],[Vehicle_Type]]="Truck",150)</f>
        <v>250</v>
      </c>
      <c r="G276">
        <f t="shared" ca="1" si="4"/>
        <v>22</v>
      </c>
      <c r="H276" s="82">
        <f>Table11[[#This Row],[Daily_Production]]-Table11[[#This Row],[Forecasted_Units]]</f>
        <v>150.60347718190872</v>
      </c>
      <c r="I276" cm="1">
        <f t="array" ref="I276">_xlfn.IFS(Table11[[#This Row],[Vehicle_Type]]="SUV",5,Table11[[#This Row],[Vehicle_Type]]="Sedan",7,Table11[[#This Row],[Vehicle_Type]]="Hatchback",10,Table11[[#This Row],[Vehicle_Type]]="Electric",11,Table11[[#This Row],[Vehicle_Type]]="Truck",13)</f>
        <v>5</v>
      </c>
      <c r="J276">
        <f ca="1">Table11[[#This Row],[Daily_Production]]*Table11[[#This Row],[Working_Days]]</f>
        <v>5500</v>
      </c>
      <c r="K276" s="81">
        <f>Table11[[#This Row],[Forecasted_Units]]*0.1</f>
        <v>9.9396522818091277</v>
      </c>
      <c r="L276" s="82">
        <f>Table11[[#This Row],[Adjusted_Forecast]]+Table11[[#This Row],[Safety_Stock]]-Table11[[#This Row],[Inventory_On_Hand]]</f>
        <v>-41.267302082008314</v>
      </c>
      <c r="M276" s="82">
        <f ca="1">MIN(Table11[[#This Row],[Production_Needed]],Table11[[#This Row],[Production_Capacity]])</f>
        <v>-41.267302082008314</v>
      </c>
      <c r="N276" s="82">
        <f ca="1">MAX(Table11[[#This Row],[Production_Needed]]-Table11[[#This Row],[Planned_Production]],0)</f>
        <v>0</v>
      </c>
      <c r="O276" s="82">
        <f ca="1">Table11[[#This Row],[Inventory_On_Hand]]+Table11[[#This Row],[Planned_Production]]-Table11[[#This Row],[Forecasted_Units]]</f>
        <v>9.9396522818091313</v>
      </c>
      <c r="P276" cm="1">
        <f t="array" ref="P276">_xlfn.XLOOKUP(Table11[[#This Row],[Date]] &amp; Table11[[#This Row],[Vehicle_Type]], Table12[Date] &amp; Table12[Vehicle_Type],Table12[Feedback_Adjustment], 0)</f>
        <v>0</v>
      </c>
      <c r="Q276" s="82">
        <f>Table11[[#This Row],[Forecasted_Units]]*(1+Table11[[#This Row],[Adjustment_Percentage]])</f>
        <v>99.39652281809127</v>
      </c>
      <c r="R276" s="82"/>
    </row>
    <row r="277" spans="1:18">
      <c r="A277" s="54">
        <v>50255</v>
      </c>
      <c r="B277" s="15" t="s">
        <v>10</v>
      </c>
      <c r="C277" s="15" t="str">
        <f>TEXT(Table11[[#This Row],[Date]],"mmmm")</f>
        <v>August</v>
      </c>
      <c r="D277" s="15">
        <v>93</v>
      </c>
      <c r="E277" s="82">
        <f>_xlfn.FORECAST.LINEAR(Table11[[#This Row],[Date]],Table11[Units_Sold],Table11[Date])</f>
        <v>99.397687014748058</v>
      </c>
      <c r="F277" cm="1">
        <f t="array" ref="F277">_xlfn.IFS(Table11[[#This Row],[Vehicle_Type]]="SUV",250,Table11[[#This Row],[Vehicle_Type]]="Sedan",200,Table11[[#This Row],[Vehicle_Type]]="Hatchback",185,Table11[[#This Row],[Vehicle_Type]]="Electric",190,Table11[[#This Row],[Vehicle_Type]]="Truck",150)</f>
        <v>200</v>
      </c>
      <c r="G277">
        <f t="shared" ca="1" si="4"/>
        <v>24</v>
      </c>
      <c r="H277" s="82">
        <f>Table11[[#This Row],[Daily_Production]]-Table11[[#This Row],[Forecasted_Units]]</f>
        <v>100.60231298525194</v>
      </c>
      <c r="I277" cm="1">
        <f t="array" ref="I277">_xlfn.IFS(Table11[[#This Row],[Vehicle_Type]]="SUV",5,Table11[[#This Row],[Vehicle_Type]]="Sedan",7,Table11[[#This Row],[Vehicle_Type]]="Hatchback",10,Table11[[#This Row],[Vehicle_Type]]="Electric",11,Table11[[#This Row],[Vehicle_Type]]="Truck",13)</f>
        <v>7</v>
      </c>
      <c r="J277">
        <f ca="1">Table11[[#This Row],[Daily_Production]]*Table11[[#This Row],[Working_Days]]</f>
        <v>4800</v>
      </c>
      <c r="K277" s="81">
        <f>Table11[[#This Row],[Forecasted_Units]]*0.1</f>
        <v>9.9397687014748062</v>
      </c>
      <c r="L277" s="82">
        <f>Table11[[#This Row],[Adjusted_Forecast]]+Table11[[#This Row],[Safety_Stock]]-Table11[[#This Row],[Inventory_On_Hand]]</f>
        <v>8.7351427309709209</v>
      </c>
      <c r="M277" s="82">
        <f ca="1">MIN(Table11[[#This Row],[Production_Needed]],Table11[[#This Row],[Production_Capacity]])</f>
        <v>8.7351427309709209</v>
      </c>
      <c r="N277" s="82">
        <f ca="1">MAX(Table11[[#This Row],[Production_Needed]]-Table11[[#This Row],[Planned_Production]],0)</f>
        <v>0</v>
      </c>
      <c r="O277" s="82">
        <f ca="1">Table11[[#This Row],[Inventory_On_Hand]]+Table11[[#This Row],[Planned_Production]]-Table11[[#This Row],[Forecasted_Units]]</f>
        <v>9.9397687014748044</v>
      </c>
      <c r="P277" cm="1">
        <f t="array" ref="P277">_xlfn.XLOOKUP(Table11[[#This Row],[Date]] &amp; Table11[[#This Row],[Vehicle_Type]], Table12[Date] &amp; Table12[Vehicle_Type],Table12[Feedback_Adjustment], 0)</f>
        <v>0</v>
      </c>
      <c r="Q277" s="82">
        <f>Table11[[#This Row],[Forecasted_Units]]*(1+Table11[[#This Row],[Adjustment_Percentage]])</f>
        <v>99.397687014748058</v>
      </c>
      <c r="R277" s="82"/>
    </row>
    <row r="278" spans="1:18">
      <c r="A278" s="53">
        <v>50285</v>
      </c>
      <c r="B278" s="14" t="s">
        <v>13</v>
      </c>
      <c r="C278" s="15" t="str">
        <f>TEXT(Table11[[#This Row],[Date]],"mmmm")</f>
        <v>September</v>
      </c>
      <c r="D278" s="14">
        <v>104</v>
      </c>
      <c r="E278" s="82">
        <f>_xlfn.FORECAST.LINEAR(Table11[[#This Row],[Date]],Table11[Units_Sold],Table11[Date])</f>
        <v>99.398851211404832</v>
      </c>
      <c r="F278" cm="1">
        <f t="array" ref="F278">_xlfn.IFS(Table11[[#This Row],[Vehicle_Type]]="SUV",250,Table11[[#This Row],[Vehicle_Type]]="Sedan",200,Table11[[#This Row],[Vehicle_Type]]="Hatchback",185,Table11[[#This Row],[Vehicle_Type]]="Electric",190,Table11[[#This Row],[Vehicle_Type]]="Truck",150)</f>
        <v>190</v>
      </c>
      <c r="G278">
        <f t="shared" ca="1" si="4"/>
        <v>22</v>
      </c>
      <c r="H278" s="82">
        <f>Table11[[#This Row],[Daily_Production]]-Table11[[#This Row],[Forecasted_Units]]</f>
        <v>90.601148788595168</v>
      </c>
      <c r="I278" cm="1">
        <f t="array" ref="I278">_xlfn.IFS(Table11[[#This Row],[Vehicle_Type]]="SUV",5,Table11[[#This Row],[Vehicle_Type]]="Sedan",7,Table11[[#This Row],[Vehicle_Type]]="Hatchback",10,Table11[[#This Row],[Vehicle_Type]]="Electric",11,Table11[[#This Row],[Vehicle_Type]]="Truck",13)</f>
        <v>11</v>
      </c>
      <c r="J278">
        <f ca="1">Table11[[#This Row],[Daily_Production]]*Table11[[#This Row],[Working_Days]]</f>
        <v>4180</v>
      </c>
      <c r="K278" s="81">
        <f>Table11[[#This Row],[Forecasted_Units]]*0.1</f>
        <v>9.9398851211404846</v>
      </c>
      <c r="L278" s="82">
        <f>Table11[[#This Row],[Adjusted_Forecast]]+Table11[[#This Row],[Safety_Stock]]-Table11[[#This Row],[Inventory_On_Hand]]</f>
        <v>18.737587543950156</v>
      </c>
      <c r="M278" s="82">
        <f ca="1">MIN(Table11[[#This Row],[Production_Needed]],Table11[[#This Row],[Production_Capacity]])</f>
        <v>18.737587543950156</v>
      </c>
      <c r="N278" s="82">
        <f ca="1">MAX(Table11[[#This Row],[Production_Needed]]-Table11[[#This Row],[Planned_Production]],0)</f>
        <v>0</v>
      </c>
      <c r="O278" s="82">
        <f ca="1">Table11[[#This Row],[Inventory_On_Hand]]+Table11[[#This Row],[Planned_Production]]-Table11[[#This Row],[Forecasted_Units]]</f>
        <v>9.9398851211404917</v>
      </c>
      <c r="P278" cm="1">
        <f t="array" ref="P278">_xlfn.XLOOKUP(Table11[[#This Row],[Date]] &amp; Table11[[#This Row],[Vehicle_Type]], Table12[Date] &amp; Table12[Vehicle_Type],Table12[Feedback_Adjustment], 0)</f>
        <v>0</v>
      </c>
      <c r="Q278" s="82">
        <f>Table11[[#This Row],[Forecasted_Units]]*(1+Table11[[#This Row],[Adjustment_Percentage]])</f>
        <v>99.398851211404832</v>
      </c>
      <c r="R278" s="82"/>
    </row>
    <row r="279" spans="1:18">
      <c r="A279" s="54">
        <v>50315</v>
      </c>
      <c r="B279" s="15" t="s">
        <v>13</v>
      </c>
      <c r="C279" s="15" t="str">
        <f>TEXT(Table11[[#This Row],[Date]],"mmmm")</f>
        <v>October</v>
      </c>
      <c r="D279" s="15">
        <v>96</v>
      </c>
      <c r="E279" s="82">
        <f>_xlfn.FORECAST.LINEAR(Table11[[#This Row],[Date]],Table11[Units_Sold],Table11[Date])</f>
        <v>99.40001540806162</v>
      </c>
      <c r="F279" cm="1">
        <f t="array" ref="F279">_xlfn.IFS(Table11[[#This Row],[Vehicle_Type]]="SUV",250,Table11[[#This Row],[Vehicle_Type]]="Sedan",200,Table11[[#This Row],[Vehicle_Type]]="Hatchback",185,Table11[[#This Row],[Vehicle_Type]]="Electric",190,Table11[[#This Row],[Vehicle_Type]]="Truck",150)</f>
        <v>190</v>
      </c>
      <c r="G279">
        <f t="shared" ca="1" si="4"/>
        <v>24</v>
      </c>
      <c r="H279" s="82">
        <f>Table11[[#This Row],[Daily_Production]]-Table11[[#This Row],[Forecasted_Units]]</f>
        <v>90.59998459193838</v>
      </c>
      <c r="I279" cm="1">
        <f t="array" ref="I279">_xlfn.IFS(Table11[[#This Row],[Vehicle_Type]]="SUV",5,Table11[[#This Row],[Vehicle_Type]]="Sedan",7,Table11[[#This Row],[Vehicle_Type]]="Hatchback",10,Table11[[#This Row],[Vehicle_Type]]="Electric",11,Table11[[#This Row],[Vehicle_Type]]="Truck",13)</f>
        <v>11</v>
      </c>
      <c r="J279">
        <f ca="1">Table11[[#This Row],[Daily_Production]]*Table11[[#This Row],[Working_Days]]</f>
        <v>4560</v>
      </c>
      <c r="K279" s="81">
        <f>Table11[[#This Row],[Forecasted_Units]]*0.1</f>
        <v>9.940001540806163</v>
      </c>
      <c r="L279" s="82">
        <f>Table11[[#This Row],[Adjusted_Forecast]]+Table11[[#This Row],[Safety_Stock]]-Table11[[#This Row],[Inventory_On_Hand]]</f>
        <v>18.740032356929405</v>
      </c>
      <c r="M279" s="82">
        <f ca="1">MIN(Table11[[#This Row],[Production_Needed]],Table11[[#This Row],[Production_Capacity]])</f>
        <v>18.740032356929405</v>
      </c>
      <c r="N279" s="82">
        <f ca="1">MAX(Table11[[#This Row],[Production_Needed]]-Table11[[#This Row],[Planned_Production]],0)</f>
        <v>0</v>
      </c>
      <c r="O279" s="82">
        <f ca="1">Table11[[#This Row],[Inventory_On_Hand]]+Table11[[#This Row],[Planned_Production]]-Table11[[#This Row],[Forecasted_Units]]</f>
        <v>9.9400015408061648</v>
      </c>
      <c r="P279" cm="1">
        <f t="array" ref="P279">_xlfn.XLOOKUP(Table11[[#This Row],[Date]] &amp; Table11[[#This Row],[Vehicle_Type]], Table12[Date] &amp; Table12[Vehicle_Type],Table12[Feedback_Adjustment], 0)</f>
        <v>0</v>
      </c>
      <c r="Q279" s="82">
        <f>Table11[[#This Row],[Forecasted_Units]]*(1+Table11[[#This Row],[Adjustment_Percentage]])</f>
        <v>99.40001540806162</v>
      </c>
      <c r="R279" s="82"/>
    </row>
    <row r="280" spans="1:18">
      <c r="A280" s="53">
        <v>50345</v>
      </c>
      <c r="B280" s="14" t="s">
        <v>10</v>
      </c>
      <c r="C280" s="15" t="str">
        <f>TEXT(Table11[[#This Row],[Date]],"mmmm")</f>
        <v>November</v>
      </c>
      <c r="D280" s="14">
        <v>103</v>
      </c>
      <c r="E280" s="82">
        <f>_xlfn.FORECAST.LINEAR(Table11[[#This Row],[Date]],Table11[Units_Sold],Table11[Date])</f>
        <v>99.401179604718408</v>
      </c>
      <c r="F280" cm="1">
        <f t="array" ref="F280">_xlfn.IFS(Table11[[#This Row],[Vehicle_Type]]="SUV",250,Table11[[#This Row],[Vehicle_Type]]="Sedan",200,Table11[[#This Row],[Vehicle_Type]]="Hatchback",185,Table11[[#This Row],[Vehicle_Type]]="Electric",190,Table11[[#This Row],[Vehicle_Type]]="Truck",150)</f>
        <v>200</v>
      </c>
      <c r="G280">
        <f t="shared" ca="1" si="4"/>
        <v>20</v>
      </c>
      <c r="H280" s="82">
        <f>Table11[[#This Row],[Daily_Production]]-Table11[[#This Row],[Forecasted_Units]]</f>
        <v>100.59882039528159</v>
      </c>
      <c r="I280" cm="1">
        <f t="array" ref="I280">_xlfn.IFS(Table11[[#This Row],[Vehicle_Type]]="SUV",5,Table11[[#This Row],[Vehicle_Type]]="Sedan",7,Table11[[#This Row],[Vehicle_Type]]="Hatchback",10,Table11[[#This Row],[Vehicle_Type]]="Electric",11,Table11[[#This Row],[Vehicle_Type]]="Truck",13)</f>
        <v>7</v>
      </c>
      <c r="J280">
        <f ca="1">Table11[[#This Row],[Daily_Production]]*Table11[[#This Row],[Working_Days]]</f>
        <v>4000</v>
      </c>
      <c r="K280" s="81">
        <f>Table11[[#This Row],[Forecasted_Units]]*0.1</f>
        <v>9.9401179604718415</v>
      </c>
      <c r="L280" s="82">
        <f>Table11[[#This Row],[Adjusted_Forecast]]+Table11[[#This Row],[Safety_Stock]]-Table11[[#This Row],[Inventory_On_Hand]]</f>
        <v>8.7424771699086534</v>
      </c>
      <c r="M280" s="82">
        <f ca="1">MIN(Table11[[#This Row],[Production_Needed]],Table11[[#This Row],[Production_Capacity]])</f>
        <v>8.7424771699086534</v>
      </c>
      <c r="N280" s="82">
        <f ca="1">MAX(Table11[[#This Row],[Production_Needed]]-Table11[[#This Row],[Planned_Production]],0)</f>
        <v>0</v>
      </c>
      <c r="O280" s="82">
        <f ca="1">Table11[[#This Row],[Inventory_On_Hand]]+Table11[[#This Row],[Planned_Production]]-Table11[[#This Row],[Forecasted_Units]]</f>
        <v>9.9401179604718379</v>
      </c>
      <c r="P280" cm="1">
        <f t="array" ref="P280">_xlfn.XLOOKUP(Table11[[#This Row],[Date]] &amp; Table11[[#This Row],[Vehicle_Type]], Table12[Date] &amp; Table12[Vehicle_Type],Table12[Feedback_Adjustment], 0)</f>
        <v>0</v>
      </c>
      <c r="Q280" s="82">
        <f>Table11[[#This Row],[Forecasted_Units]]*(1+Table11[[#This Row],[Adjustment_Percentage]])</f>
        <v>99.401179604718408</v>
      </c>
      <c r="R280" s="82"/>
    </row>
    <row r="281" spans="1:18">
      <c r="A281" s="54">
        <v>50375</v>
      </c>
      <c r="B281" s="15" t="s">
        <v>11</v>
      </c>
      <c r="C281" s="15" t="str">
        <f>TEXT(Table11[[#This Row],[Date]],"mmmm")</f>
        <v>December</v>
      </c>
      <c r="D281" s="15">
        <v>85</v>
      </c>
      <c r="E281" s="82">
        <f>_xlfn.FORECAST.LINEAR(Table11[[#This Row],[Date]],Table11[Units_Sold],Table11[Date])</f>
        <v>99.402343801375196</v>
      </c>
      <c r="F281" cm="1">
        <f t="array" ref="F281">_xlfn.IFS(Table11[[#This Row],[Vehicle_Type]]="SUV",250,Table11[[#This Row],[Vehicle_Type]]="Sedan",200,Table11[[#This Row],[Vehicle_Type]]="Hatchback",185,Table11[[#This Row],[Vehicle_Type]]="Electric",190,Table11[[#This Row],[Vehicle_Type]]="Truck",150)</f>
        <v>185</v>
      </c>
      <c r="G281">
        <f t="shared" ca="1" si="4"/>
        <v>22</v>
      </c>
      <c r="H281" s="82">
        <f>Table11[[#This Row],[Daily_Production]]-Table11[[#This Row],[Forecasted_Units]]</f>
        <v>85.597656198624804</v>
      </c>
      <c r="I281" cm="1">
        <f t="array" ref="I281">_xlfn.IFS(Table11[[#This Row],[Vehicle_Type]]="SUV",5,Table11[[#This Row],[Vehicle_Type]]="Sedan",7,Table11[[#This Row],[Vehicle_Type]]="Hatchback",10,Table11[[#This Row],[Vehicle_Type]]="Electric",11,Table11[[#This Row],[Vehicle_Type]]="Truck",13)</f>
        <v>10</v>
      </c>
      <c r="J281">
        <f ca="1">Table11[[#This Row],[Daily_Production]]*Table11[[#This Row],[Working_Days]]</f>
        <v>4070</v>
      </c>
      <c r="K281" s="81">
        <f>Table11[[#This Row],[Forecasted_Units]]*0.1</f>
        <v>9.9402343801375199</v>
      </c>
      <c r="L281" s="82">
        <f>Table11[[#This Row],[Adjusted_Forecast]]+Table11[[#This Row],[Safety_Stock]]-Table11[[#This Row],[Inventory_On_Hand]]</f>
        <v>23.744921982887917</v>
      </c>
      <c r="M281" s="82">
        <f ca="1">MIN(Table11[[#This Row],[Production_Needed]],Table11[[#This Row],[Production_Capacity]])</f>
        <v>23.744921982887917</v>
      </c>
      <c r="N281" s="82">
        <f ca="1">MAX(Table11[[#This Row],[Production_Needed]]-Table11[[#This Row],[Planned_Production]],0)</f>
        <v>0</v>
      </c>
      <c r="O281" s="82">
        <f ca="1">Table11[[#This Row],[Inventory_On_Hand]]+Table11[[#This Row],[Planned_Production]]-Table11[[#This Row],[Forecasted_Units]]</f>
        <v>9.9402343801375252</v>
      </c>
      <c r="P281" cm="1">
        <f t="array" ref="P281">_xlfn.XLOOKUP(Table11[[#This Row],[Date]] &amp; Table11[[#This Row],[Vehicle_Type]], Table12[Date] &amp; Table12[Vehicle_Type],Table12[Feedback_Adjustment], 0)</f>
        <v>0</v>
      </c>
      <c r="Q281" s="82">
        <f>Table11[[#This Row],[Forecasted_Units]]*(1+Table11[[#This Row],[Adjustment_Percentage]])</f>
        <v>99.402343801375196</v>
      </c>
      <c r="R281" s="82"/>
    </row>
    <row r="282" spans="1:18">
      <c r="A282" s="53">
        <v>50405</v>
      </c>
      <c r="B282" s="14" t="s">
        <v>10</v>
      </c>
      <c r="C282" s="15" t="str">
        <f>TEXT(Table11[[#This Row],[Date]],"mmmm")</f>
        <v>December</v>
      </c>
      <c r="D282" s="14">
        <v>92</v>
      </c>
      <c r="E282" s="82">
        <f>_xlfn.FORECAST.LINEAR(Table11[[#This Row],[Date]],Table11[Units_Sold],Table11[Date])</f>
        <v>99.403507998031984</v>
      </c>
      <c r="F282" cm="1">
        <f t="array" ref="F282">_xlfn.IFS(Table11[[#This Row],[Vehicle_Type]]="SUV",250,Table11[[#This Row],[Vehicle_Type]]="Sedan",200,Table11[[#This Row],[Vehicle_Type]]="Hatchback",185,Table11[[#This Row],[Vehicle_Type]]="Electric",190,Table11[[#This Row],[Vehicle_Type]]="Truck",150)</f>
        <v>200</v>
      </c>
      <c r="G282">
        <f t="shared" ca="1" si="4"/>
        <v>23</v>
      </c>
      <c r="H282" s="82">
        <f>Table11[[#This Row],[Daily_Production]]-Table11[[#This Row],[Forecasted_Units]]</f>
        <v>100.59649200196802</v>
      </c>
      <c r="I282" cm="1">
        <f t="array" ref="I282">_xlfn.IFS(Table11[[#This Row],[Vehicle_Type]]="SUV",5,Table11[[#This Row],[Vehicle_Type]]="Sedan",7,Table11[[#This Row],[Vehicle_Type]]="Hatchback",10,Table11[[#This Row],[Vehicle_Type]]="Electric",11,Table11[[#This Row],[Vehicle_Type]]="Truck",13)</f>
        <v>7</v>
      </c>
      <c r="J282">
        <f ca="1">Table11[[#This Row],[Daily_Production]]*Table11[[#This Row],[Working_Days]]</f>
        <v>4600</v>
      </c>
      <c r="K282" s="81">
        <f>Table11[[#This Row],[Forecasted_Units]]*0.1</f>
        <v>9.9403507998031984</v>
      </c>
      <c r="L282" s="82">
        <f>Table11[[#This Row],[Adjusted_Forecast]]+Table11[[#This Row],[Safety_Stock]]-Table11[[#This Row],[Inventory_On_Hand]]</f>
        <v>8.7473667958671655</v>
      </c>
      <c r="M282" s="82">
        <f ca="1">MIN(Table11[[#This Row],[Production_Needed]],Table11[[#This Row],[Production_Capacity]])</f>
        <v>8.7473667958671655</v>
      </c>
      <c r="N282" s="82">
        <f ca="1">MAX(Table11[[#This Row],[Production_Needed]]-Table11[[#This Row],[Planned_Production]],0)</f>
        <v>0</v>
      </c>
      <c r="O282" s="82">
        <f ca="1">Table11[[#This Row],[Inventory_On_Hand]]+Table11[[#This Row],[Planned_Production]]-Table11[[#This Row],[Forecasted_Units]]</f>
        <v>9.9403507998031984</v>
      </c>
      <c r="P282" cm="1">
        <f t="array" ref="P282">_xlfn.XLOOKUP(Table11[[#This Row],[Date]] &amp; Table11[[#This Row],[Vehicle_Type]], Table12[Date] &amp; Table12[Vehicle_Type],Table12[Feedback_Adjustment], 0)</f>
        <v>0</v>
      </c>
      <c r="Q282" s="82">
        <f>Table11[[#This Row],[Forecasted_Units]]*(1+Table11[[#This Row],[Adjustment_Percentage]])</f>
        <v>99.403507998031984</v>
      </c>
      <c r="R282" s="82"/>
    </row>
    <row r="283" spans="1:18">
      <c r="A283" s="54">
        <v>50435</v>
      </c>
      <c r="B283" s="15" t="s">
        <v>10</v>
      </c>
      <c r="C283" s="15" t="str">
        <f>TEXT(Table11[[#This Row],[Date]],"mmmm")</f>
        <v>January</v>
      </c>
      <c r="D283" s="15">
        <v>90</v>
      </c>
      <c r="E283" s="82">
        <f>_xlfn.FORECAST.LINEAR(Table11[[#This Row],[Date]],Table11[Units_Sold],Table11[Date])</f>
        <v>99.404672194688771</v>
      </c>
      <c r="F283" cm="1">
        <f t="array" ref="F283">_xlfn.IFS(Table11[[#This Row],[Vehicle_Type]]="SUV",250,Table11[[#This Row],[Vehicle_Type]]="Sedan",200,Table11[[#This Row],[Vehicle_Type]]="Hatchback",185,Table11[[#This Row],[Vehicle_Type]]="Electric",190,Table11[[#This Row],[Vehicle_Type]]="Truck",150)</f>
        <v>200</v>
      </c>
      <c r="G283">
        <f t="shared" ca="1" si="4"/>
        <v>23</v>
      </c>
      <c r="H283" s="82">
        <f>Table11[[#This Row],[Daily_Production]]-Table11[[#This Row],[Forecasted_Units]]</f>
        <v>100.59532780531123</v>
      </c>
      <c r="I283" cm="1">
        <f t="array" ref="I283">_xlfn.IFS(Table11[[#This Row],[Vehicle_Type]]="SUV",5,Table11[[#This Row],[Vehicle_Type]]="Sedan",7,Table11[[#This Row],[Vehicle_Type]]="Hatchback",10,Table11[[#This Row],[Vehicle_Type]]="Electric",11,Table11[[#This Row],[Vehicle_Type]]="Truck",13)</f>
        <v>7</v>
      </c>
      <c r="J283">
        <f ca="1">Table11[[#This Row],[Daily_Production]]*Table11[[#This Row],[Working_Days]]</f>
        <v>4600</v>
      </c>
      <c r="K283" s="81">
        <f>Table11[[#This Row],[Forecasted_Units]]*0.1</f>
        <v>9.9404672194688786</v>
      </c>
      <c r="L283" s="82">
        <f>Table11[[#This Row],[Adjusted_Forecast]]+Table11[[#This Row],[Safety_Stock]]-Table11[[#This Row],[Inventory_On_Hand]]</f>
        <v>8.7498116088464144</v>
      </c>
      <c r="M283" s="82">
        <f ca="1">MIN(Table11[[#This Row],[Production_Needed]],Table11[[#This Row],[Production_Capacity]])</f>
        <v>8.7498116088464144</v>
      </c>
      <c r="N283" s="82">
        <f ca="1">MAX(Table11[[#This Row],[Production_Needed]]-Table11[[#This Row],[Planned_Production]],0)</f>
        <v>0</v>
      </c>
      <c r="O283" s="82">
        <f ca="1">Table11[[#This Row],[Inventory_On_Hand]]+Table11[[#This Row],[Planned_Production]]-Table11[[#This Row],[Forecasted_Units]]</f>
        <v>9.9404672194688715</v>
      </c>
      <c r="P283" cm="1">
        <f t="array" ref="P283">_xlfn.XLOOKUP(Table11[[#This Row],[Date]] &amp; Table11[[#This Row],[Vehicle_Type]], Table12[Date] &amp; Table12[Vehicle_Type],Table12[Feedback_Adjustment], 0)</f>
        <v>0</v>
      </c>
      <c r="Q283" s="82">
        <f>Table11[[#This Row],[Forecasted_Units]]*(1+Table11[[#This Row],[Adjustment_Percentage]])</f>
        <v>99.404672194688771</v>
      </c>
      <c r="R283" s="82"/>
    </row>
    <row r="284" spans="1:18">
      <c r="A284" s="53">
        <v>50465</v>
      </c>
      <c r="B284" s="14" t="s">
        <v>13</v>
      </c>
      <c r="C284" s="15" t="str">
        <f>TEXT(Table11[[#This Row],[Date]],"mmmm")</f>
        <v>March</v>
      </c>
      <c r="D284" s="14">
        <v>83</v>
      </c>
      <c r="E284" s="82">
        <f>_xlfn.FORECAST.LINEAR(Table11[[#This Row],[Date]],Table11[Units_Sold],Table11[Date])</f>
        <v>99.405836391345559</v>
      </c>
      <c r="F284" cm="1">
        <f t="array" ref="F284">_xlfn.IFS(Table11[[#This Row],[Vehicle_Type]]="SUV",250,Table11[[#This Row],[Vehicle_Type]]="Sedan",200,Table11[[#This Row],[Vehicle_Type]]="Hatchback",185,Table11[[#This Row],[Vehicle_Type]]="Electric",190,Table11[[#This Row],[Vehicle_Type]]="Truck",150)</f>
        <v>190</v>
      </c>
      <c r="G284">
        <f t="shared" ca="1" si="4"/>
        <v>22</v>
      </c>
      <c r="H284" s="82">
        <f>Table11[[#This Row],[Daily_Production]]-Table11[[#This Row],[Forecasted_Units]]</f>
        <v>90.594163608654441</v>
      </c>
      <c r="I284" cm="1">
        <f t="array" ref="I284">_xlfn.IFS(Table11[[#This Row],[Vehicle_Type]]="SUV",5,Table11[[#This Row],[Vehicle_Type]]="Sedan",7,Table11[[#This Row],[Vehicle_Type]]="Hatchback",10,Table11[[#This Row],[Vehicle_Type]]="Electric",11,Table11[[#This Row],[Vehicle_Type]]="Truck",13)</f>
        <v>11</v>
      </c>
      <c r="J284">
        <f ca="1">Table11[[#This Row],[Daily_Production]]*Table11[[#This Row],[Working_Days]]</f>
        <v>4180</v>
      </c>
      <c r="K284" s="81">
        <f>Table11[[#This Row],[Forecasted_Units]]*0.1</f>
        <v>9.940583639134557</v>
      </c>
      <c r="L284" s="82">
        <f>Table11[[#This Row],[Adjusted_Forecast]]+Table11[[#This Row],[Safety_Stock]]-Table11[[#This Row],[Inventory_On_Hand]]</f>
        <v>18.752256421825678</v>
      </c>
      <c r="M284" s="82">
        <f ca="1">MIN(Table11[[#This Row],[Production_Needed]],Table11[[#This Row],[Production_Capacity]])</f>
        <v>18.752256421825678</v>
      </c>
      <c r="N284" s="82">
        <f ca="1">MAX(Table11[[#This Row],[Production_Needed]]-Table11[[#This Row],[Planned_Production]],0)</f>
        <v>0</v>
      </c>
      <c r="O284" s="82">
        <f ca="1">Table11[[#This Row],[Inventory_On_Hand]]+Table11[[#This Row],[Planned_Production]]-Table11[[#This Row],[Forecasted_Units]]</f>
        <v>9.9405836391345588</v>
      </c>
      <c r="P284" cm="1">
        <f t="array" ref="P284">_xlfn.XLOOKUP(Table11[[#This Row],[Date]] &amp; Table11[[#This Row],[Vehicle_Type]], Table12[Date] &amp; Table12[Vehicle_Type],Table12[Feedback_Adjustment], 0)</f>
        <v>0</v>
      </c>
      <c r="Q284" s="82">
        <f>Table11[[#This Row],[Forecasted_Units]]*(1+Table11[[#This Row],[Adjustment_Percentage]])</f>
        <v>99.405836391345559</v>
      </c>
      <c r="R284" s="82"/>
    </row>
    <row r="285" spans="1:18">
      <c r="A285" s="54">
        <v>50495</v>
      </c>
      <c r="B285" s="15" t="s">
        <v>14</v>
      </c>
      <c r="C285" s="15" t="str">
        <f>TEXT(Table11[[#This Row],[Date]],"mmmm")</f>
        <v>March</v>
      </c>
      <c r="D285" s="15">
        <v>86</v>
      </c>
      <c r="E285" s="82">
        <f>_xlfn.FORECAST.LINEAR(Table11[[#This Row],[Date]],Table11[Units_Sold],Table11[Date])</f>
        <v>99.407000588002347</v>
      </c>
      <c r="F285" cm="1">
        <f t="array" ref="F285">_xlfn.IFS(Table11[[#This Row],[Vehicle_Type]]="SUV",250,Table11[[#This Row],[Vehicle_Type]]="Sedan",200,Table11[[#This Row],[Vehicle_Type]]="Hatchback",185,Table11[[#This Row],[Vehicle_Type]]="Electric",190,Table11[[#This Row],[Vehicle_Type]]="Truck",150)</f>
        <v>150</v>
      </c>
      <c r="G285">
        <f t="shared" ca="1" si="4"/>
        <v>20</v>
      </c>
      <c r="H285" s="82">
        <f>Table11[[#This Row],[Daily_Production]]-Table11[[#This Row],[Forecasted_Units]]</f>
        <v>50.592999411997653</v>
      </c>
      <c r="I285" cm="1">
        <f t="array" ref="I285">_xlfn.IFS(Table11[[#This Row],[Vehicle_Type]]="SUV",5,Table11[[#This Row],[Vehicle_Type]]="Sedan",7,Table11[[#This Row],[Vehicle_Type]]="Hatchback",10,Table11[[#This Row],[Vehicle_Type]]="Electric",11,Table11[[#This Row],[Vehicle_Type]]="Truck",13)</f>
        <v>13</v>
      </c>
      <c r="J285">
        <f ca="1">Table11[[#This Row],[Daily_Production]]*Table11[[#This Row],[Working_Days]]</f>
        <v>3000</v>
      </c>
      <c r="K285" s="81">
        <f>Table11[[#This Row],[Forecasted_Units]]*0.1</f>
        <v>9.9407000588002354</v>
      </c>
      <c r="L285" s="82">
        <f>Table11[[#This Row],[Adjusted_Forecast]]+Table11[[#This Row],[Safety_Stock]]-Table11[[#This Row],[Inventory_On_Hand]]</f>
        <v>58.754701234804926</v>
      </c>
      <c r="M285" s="82">
        <f ca="1">MIN(Table11[[#This Row],[Production_Needed]],Table11[[#This Row],[Production_Capacity]])</f>
        <v>58.754701234804926</v>
      </c>
      <c r="N285" s="82">
        <f ca="1">MAX(Table11[[#This Row],[Production_Needed]]-Table11[[#This Row],[Planned_Production]],0)</f>
        <v>0</v>
      </c>
      <c r="O285" s="82">
        <f ca="1">Table11[[#This Row],[Inventory_On_Hand]]+Table11[[#This Row],[Planned_Production]]-Table11[[#This Row],[Forecasted_Units]]</f>
        <v>9.9407000588002319</v>
      </c>
      <c r="P285" cm="1">
        <f t="array" ref="P285">_xlfn.XLOOKUP(Table11[[#This Row],[Date]] &amp; Table11[[#This Row],[Vehicle_Type]], Table12[Date] &amp; Table12[Vehicle_Type],Table12[Feedback_Adjustment], 0)</f>
        <v>0</v>
      </c>
      <c r="Q285" s="82">
        <f>Table11[[#This Row],[Forecasted_Units]]*(1+Table11[[#This Row],[Adjustment_Percentage]])</f>
        <v>99.407000588002347</v>
      </c>
      <c r="R285" s="82"/>
    </row>
    <row r="286" spans="1:18">
      <c r="A286" s="53">
        <v>50525</v>
      </c>
      <c r="B286" s="14" t="s">
        <v>13</v>
      </c>
      <c r="C286" s="15" t="str">
        <f>TEXT(Table11[[#This Row],[Date]],"mmmm")</f>
        <v>April</v>
      </c>
      <c r="D286" s="14">
        <v>110</v>
      </c>
      <c r="E286" s="82">
        <f>_xlfn.FORECAST.LINEAR(Table11[[#This Row],[Date]],Table11[Units_Sold],Table11[Date])</f>
        <v>99.408164784659135</v>
      </c>
      <c r="F286" cm="1">
        <f t="array" ref="F286">_xlfn.IFS(Table11[[#This Row],[Vehicle_Type]]="SUV",250,Table11[[#This Row],[Vehicle_Type]]="Sedan",200,Table11[[#This Row],[Vehicle_Type]]="Hatchback",185,Table11[[#This Row],[Vehicle_Type]]="Electric",190,Table11[[#This Row],[Vehicle_Type]]="Truck",150)</f>
        <v>190</v>
      </c>
      <c r="G286">
        <f t="shared" ca="1" si="4"/>
        <v>20</v>
      </c>
      <c r="H286" s="82">
        <f>Table11[[#This Row],[Daily_Production]]-Table11[[#This Row],[Forecasted_Units]]</f>
        <v>90.591835215340865</v>
      </c>
      <c r="I286" cm="1">
        <f t="array" ref="I286">_xlfn.IFS(Table11[[#This Row],[Vehicle_Type]]="SUV",5,Table11[[#This Row],[Vehicle_Type]]="Sedan",7,Table11[[#This Row],[Vehicle_Type]]="Hatchback",10,Table11[[#This Row],[Vehicle_Type]]="Electric",11,Table11[[#This Row],[Vehicle_Type]]="Truck",13)</f>
        <v>11</v>
      </c>
      <c r="J286">
        <f ca="1">Table11[[#This Row],[Daily_Production]]*Table11[[#This Row],[Working_Days]]</f>
        <v>3800</v>
      </c>
      <c r="K286" s="81">
        <f>Table11[[#This Row],[Forecasted_Units]]*0.1</f>
        <v>9.9408164784659139</v>
      </c>
      <c r="L286" s="82">
        <f>Table11[[#This Row],[Adjusted_Forecast]]+Table11[[#This Row],[Safety_Stock]]-Table11[[#This Row],[Inventory_On_Hand]]</f>
        <v>18.75714604778419</v>
      </c>
      <c r="M286" s="82">
        <f ca="1">MIN(Table11[[#This Row],[Production_Needed]],Table11[[#This Row],[Production_Capacity]])</f>
        <v>18.75714604778419</v>
      </c>
      <c r="N286" s="82">
        <f ca="1">MAX(Table11[[#This Row],[Production_Needed]]-Table11[[#This Row],[Planned_Production]],0)</f>
        <v>0</v>
      </c>
      <c r="O286" s="82">
        <f ca="1">Table11[[#This Row],[Inventory_On_Hand]]+Table11[[#This Row],[Planned_Production]]-Table11[[#This Row],[Forecasted_Units]]</f>
        <v>9.9408164784659192</v>
      </c>
      <c r="P286" cm="1">
        <f t="array" ref="P286">_xlfn.XLOOKUP(Table11[[#This Row],[Date]] &amp; Table11[[#This Row],[Vehicle_Type]], Table12[Date] &amp; Table12[Vehicle_Type],Table12[Feedback_Adjustment], 0)</f>
        <v>0</v>
      </c>
      <c r="Q286" s="82">
        <f>Table11[[#This Row],[Forecasted_Units]]*(1+Table11[[#This Row],[Adjustment_Percentage]])</f>
        <v>99.408164784659135</v>
      </c>
      <c r="R286" s="82"/>
    </row>
    <row r="287" spans="1:18">
      <c r="A287" s="54">
        <v>50555</v>
      </c>
      <c r="B287" s="15" t="s">
        <v>13</v>
      </c>
      <c r="C287" s="15" t="str">
        <f>TEXT(Table11[[#This Row],[Date]],"mmmm")</f>
        <v>May</v>
      </c>
      <c r="D287" s="15">
        <v>89</v>
      </c>
      <c r="E287" s="82">
        <f>_xlfn.FORECAST.LINEAR(Table11[[#This Row],[Date]],Table11[Units_Sold],Table11[Date])</f>
        <v>99.409328981315923</v>
      </c>
      <c r="F287" cm="1">
        <f t="array" ref="F287">_xlfn.IFS(Table11[[#This Row],[Vehicle_Type]]="SUV",250,Table11[[#This Row],[Vehicle_Type]]="Sedan",200,Table11[[#This Row],[Vehicle_Type]]="Hatchback",185,Table11[[#This Row],[Vehicle_Type]]="Electric",190,Table11[[#This Row],[Vehicle_Type]]="Truck",150)</f>
        <v>190</v>
      </c>
      <c r="G287">
        <f t="shared" ca="1" si="4"/>
        <v>21</v>
      </c>
      <c r="H287" s="82">
        <f>Table11[[#This Row],[Daily_Production]]-Table11[[#This Row],[Forecasted_Units]]</f>
        <v>90.590671018684077</v>
      </c>
      <c r="I287" cm="1">
        <f t="array" ref="I287">_xlfn.IFS(Table11[[#This Row],[Vehicle_Type]]="SUV",5,Table11[[#This Row],[Vehicle_Type]]="Sedan",7,Table11[[#This Row],[Vehicle_Type]]="Hatchback",10,Table11[[#This Row],[Vehicle_Type]]="Electric",11,Table11[[#This Row],[Vehicle_Type]]="Truck",13)</f>
        <v>11</v>
      </c>
      <c r="J287">
        <f ca="1">Table11[[#This Row],[Daily_Production]]*Table11[[#This Row],[Working_Days]]</f>
        <v>3990</v>
      </c>
      <c r="K287" s="81">
        <f>Table11[[#This Row],[Forecasted_Units]]*0.1</f>
        <v>9.9409328981315923</v>
      </c>
      <c r="L287" s="82">
        <f>Table11[[#This Row],[Adjusted_Forecast]]+Table11[[#This Row],[Safety_Stock]]-Table11[[#This Row],[Inventory_On_Hand]]</f>
        <v>18.759590860763439</v>
      </c>
      <c r="M287" s="82">
        <f ca="1">MIN(Table11[[#This Row],[Production_Needed]],Table11[[#This Row],[Production_Capacity]])</f>
        <v>18.759590860763439</v>
      </c>
      <c r="N287" s="82">
        <f ca="1">MAX(Table11[[#This Row],[Production_Needed]]-Table11[[#This Row],[Planned_Production]],0)</f>
        <v>0</v>
      </c>
      <c r="O287" s="82">
        <f ca="1">Table11[[#This Row],[Inventory_On_Hand]]+Table11[[#This Row],[Planned_Production]]-Table11[[#This Row],[Forecasted_Units]]</f>
        <v>9.9409328981315923</v>
      </c>
      <c r="P287" cm="1">
        <f t="array" ref="P287">_xlfn.XLOOKUP(Table11[[#This Row],[Date]] &amp; Table11[[#This Row],[Vehicle_Type]], Table12[Date] &amp; Table12[Vehicle_Type],Table12[Feedback_Adjustment], 0)</f>
        <v>0</v>
      </c>
      <c r="Q287" s="82">
        <f>Table11[[#This Row],[Forecasted_Units]]*(1+Table11[[#This Row],[Adjustment_Percentage]])</f>
        <v>99.409328981315923</v>
      </c>
      <c r="R287" s="82"/>
    </row>
    <row r="288" spans="1:18">
      <c r="A288" s="53">
        <v>50585</v>
      </c>
      <c r="B288" s="14" t="s">
        <v>12</v>
      </c>
      <c r="C288" s="15" t="str">
        <f>TEXT(Table11[[#This Row],[Date]],"mmmm")</f>
        <v>June</v>
      </c>
      <c r="D288" s="14">
        <v>118</v>
      </c>
      <c r="E288" s="82">
        <f>_xlfn.FORECAST.LINEAR(Table11[[#This Row],[Date]],Table11[Units_Sold],Table11[Date])</f>
        <v>99.410493177972711</v>
      </c>
      <c r="F288" cm="1">
        <f t="array" ref="F288">_xlfn.IFS(Table11[[#This Row],[Vehicle_Type]]="SUV",250,Table11[[#This Row],[Vehicle_Type]]="Sedan",200,Table11[[#This Row],[Vehicle_Type]]="Hatchback",185,Table11[[#This Row],[Vehicle_Type]]="Electric",190,Table11[[#This Row],[Vehicle_Type]]="Truck",150)</f>
        <v>250</v>
      </c>
      <c r="G288">
        <f t="shared" ca="1" si="4"/>
        <v>24</v>
      </c>
      <c r="H288" s="82">
        <f>Table11[[#This Row],[Daily_Production]]-Table11[[#This Row],[Forecasted_Units]]</f>
        <v>150.58950682202729</v>
      </c>
      <c r="I288" cm="1">
        <f t="array" ref="I288">_xlfn.IFS(Table11[[#This Row],[Vehicle_Type]]="SUV",5,Table11[[#This Row],[Vehicle_Type]]="Sedan",7,Table11[[#This Row],[Vehicle_Type]]="Hatchback",10,Table11[[#This Row],[Vehicle_Type]]="Electric",11,Table11[[#This Row],[Vehicle_Type]]="Truck",13)</f>
        <v>5</v>
      </c>
      <c r="J288">
        <f ca="1">Table11[[#This Row],[Daily_Production]]*Table11[[#This Row],[Working_Days]]</f>
        <v>6000</v>
      </c>
      <c r="K288" s="81">
        <f>Table11[[#This Row],[Forecasted_Units]]*0.1</f>
        <v>9.9410493177972725</v>
      </c>
      <c r="L288" s="82">
        <f>Table11[[#This Row],[Adjusted_Forecast]]+Table11[[#This Row],[Safety_Stock]]-Table11[[#This Row],[Inventory_On_Hand]]</f>
        <v>-41.237964326257298</v>
      </c>
      <c r="M288" s="82">
        <f ca="1">MIN(Table11[[#This Row],[Production_Needed]],Table11[[#This Row],[Production_Capacity]])</f>
        <v>-41.237964326257298</v>
      </c>
      <c r="N288" s="82">
        <f ca="1">MAX(Table11[[#This Row],[Production_Needed]]-Table11[[#This Row],[Planned_Production]],0)</f>
        <v>0</v>
      </c>
      <c r="O288" s="82">
        <f ca="1">Table11[[#This Row],[Inventory_On_Hand]]+Table11[[#This Row],[Planned_Production]]-Table11[[#This Row],[Forecasted_Units]]</f>
        <v>9.9410493177972796</v>
      </c>
      <c r="P288" cm="1">
        <f t="array" ref="P288">_xlfn.XLOOKUP(Table11[[#This Row],[Date]] &amp; Table11[[#This Row],[Vehicle_Type]], Table12[Date] &amp; Table12[Vehicle_Type],Table12[Feedback_Adjustment], 0)</f>
        <v>0</v>
      </c>
      <c r="Q288" s="82">
        <f>Table11[[#This Row],[Forecasted_Units]]*(1+Table11[[#This Row],[Adjustment_Percentage]])</f>
        <v>99.410493177972711</v>
      </c>
      <c r="R288" s="82"/>
    </row>
    <row r="289" spans="1:18">
      <c r="A289" s="54">
        <v>50615</v>
      </c>
      <c r="B289" s="15" t="s">
        <v>10</v>
      </c>
      <c r="C289" s="15" t="str">
        <f>TEXT(Table11[[#This Row],[Date]],"mmmm")</f>
        <v>July</v>
      </c>
      <c r="D289" s="15">
        <v>102</v>
      </c>
      <c r="E289" s="82">
        <f>_xlfn.FORECAST.LINEAR(Table11[[#This Row],[Date]],Table11[Units_Sold],Table11[Date])</f>
        <v>99.411657374629499</v>
      </c>
      <c r="F289" cm="1">
        <f t="array" ref="F289">_xlfn.IFS(Table11[[#This Row],[Vehicle_Type]]="SUV",250,Table11[[#This Row],[Vehicle_Type]]="Sedan",200,Table11[[#This Row],[Vehicle_Type]]="Hatchback",185,Table11[[#This Row],[Vehicle_Type]]="Electric",190,Table11[[#This Row],[Vehicle_Type]]="Truck",150)</f>
        <v>200</v>
      </c>
      <c r="G289">
        <f t="shared" ca="1" si="4"/>
        <v>21</v>
      </c>
      <c r="H289" s="82">
        <f>Table11[[#This Row],[Daily_Production]]-Table11[[#This Row],[Forecasted_Units]]</f>
        <v>100.5883426253705</v>
      </c>
      <c r="I289" cm="1">
        <f t="array" ref="I289">_xlfn.IFS(Table11[[#This Row],[Vehicle_Type]]="SUV",5,Table11[[#This Row],[Vehicle_Type]]="Sedan",7,Table11[[#This Row],[Vehicle_Type]]="Hatchback",10,Table11[[#This Row],[Vehicle_Type]]="Electric",11,Table11[[#This Row],[Vehicle_Type]]="Truck",13)</f>
        <v>7</v>
      </c>
      <c r="J289">
        <f ca="1">Table11[[#This Row],[Daily_Production]]*Table11[[#This Row],[Working_Days]]</f>
        <v>4200</v>
      </c>
      <c r="K289" s="81">
        <f>Table11[[#This Row],[Forecasted_Units]]*0.1</f>
        <v>9.941165737462951</v>
      </c>
      <c r="L289" s="82">
        <f>Table11[[#This Row],[Adjusted_Forecast]]+Table11[[#This Row],[Safety_Stock]]-Table11[[#This Row],[Inventory_On_Hand]]</f>
        <v>8.7644804867219506</v>
      </c>
      <c r="M289" s="82">
        <f ca="1">MIN(Table11[[#This Row],[Production_Needed]],Table11[[#This Row],[Production_Capacity]])</f>
        <v>8.7644804867219506</v>
      </c>
      <c r="N289" s="82">
        <f ca="1">MAX(Table11[[#This Row],[Production_Needed]]-Table11[[#This Row],[Planned_Production]],0)</f>
        <v>0</v>
      </c>
      <c r="O289" s="82">
        <f ca="1">Table11[[#This Row],[Inventory_On_Hand]]+Table11[[#This Row],[Planned_Production]]-Table11[[#This Row],[Forecasted_Units]]</f>
        <v>9.9411657374629527</v>
      </c>
      <c r="P289" cm="1">
        <f t="array" ref="P289">_xlfn.XLOOKUP(Table11[[#This Row],[Date]] &amp; Table11[[#This Row],[Vehicle_Type]], Table12[Date] &amp; Table12[Vehicle_Type],Table12[Feedback_Adjustment], 0)</f>
        <v>0</v>
      </c>
      <c r="Q289" s="82">
        <f>Table11[[#This Row],[Forecasted_Units]]*(1+Table11[[#This Row],[Adjustment_Percentage]])</f>
        <v>99.411657374629499</v>
      </c>
      <c r="R289" s="82"/>
    </row>
    <row r="290" spans="1:18">
      <c r="A290" s="53">
        <v>50645</v>
      </c>
      <c r="B290" s="14" t="s">
        <v>13</v>
      </c>
      <c r="C290" s="15" t="str">
        <f>TEXT(Table11[[#This Row],[Date]],"mmmm")</f>
        <v>August</v>
      </c>
      <c r="D290" s="14">
        <v>108</v>
      </c>
      <c r="E290" s="82">
        <f>_xlfn.FORECAST.LINEAR(Table11[[#This Row],[Date]],Table11[Units_Sold],Table11[Date])</f>
        <v>99.412821571286273</v>
      </c>
      <c r="F290" cm="1">
        <f t="array" ref="F290">_xlfn.IFS(Table11[[#This Row],[Vehicle_Type]]="SUV",250,Table11[[#This Row],[Vehicle_Type]]="Sedan",200,Table11[[#This Row],[Vehicle_Type]]="Hatchback",185,Table11[[#This Row],[Vehicle_Type]]="Electric",190,Table11[[#This Row],[Vehicle_Type]]="Truck",150)</f>
        <v>190</v>
      </c>
      <c r="G290">
        <f t="shared" ca="1" si="4"/>
        <v>21</v>
      </c>
      <c r="H290" s="82">
        <f>Table11[[#This Row],[Daily_Production]]-Table11[[#This Row],[Forecasted_Units]]</f>
        <v>90.587178428713727</v>
      </c>
      <c r="I290" cm="1">
        <f t="array" ref="I290">_xlfn.IFS(Table11[[#This Row],[Vehicle_Type]]="SUV",5,Table11[[#This Row],[Vehicle_Type]]="Sedan",7,Table11[[#This Row],[Vehicle_Type]]="Hatchback",10,Table11[[#This Row],[Vehicle_Type]]="Electric",11,Table11[[#This Row],[Vehicle_Type]]="Truck",13)</f>
        <v>11</v>
      </c>
      <c r="J290">
        <f ca="1">Table11[[#This Row],[Daily_Production]]*Table11[[#This Row],[Working_Days]]</f>
        <v>3990</v>
      </c>
      <c r="K290" s="81">
        <f>Table11[[#This Row],[Forecasted_Units]]*0.1</f>
        <v>9.9412821571286276</v>
      </c>
      <c r="L290" s="82">
        <f>Table11[[#This Row],[Adjusted_Forecast]]+Table11[[#This Row],[Safety_Stock]]-Table11[[#This Row],[Inventory_On_Hand]]</f>
        <v>18.766925299701171</v>
      </c>
      <c r="M290" s="82">
        <f ca="1">MIN(Table11[[#This Row],[Production_Needed]],Table11[[#This Row],[Production_Capacity]])</f>
        <v>18.766925299701171</v>
      </c>
      <c r="N290" s="82">
        <f ca="1">MAX(Table11[[#This Row],[Production_Needed]]-Table11[[#This Row],[Planned_Production]],0)</f>
        <v>0</v>
      </c>
      <c r="O290" s="82">
        <f ca="1">Table11[[#This Row],[Inventory_On_Hand]]+Table11[[#This Row],[Planned_Production]]-Table11[[#This Row],[Forecasted_Units]]</f>
        <v>9.9412821571286258</v>
      </c>
      <c r="P290" cm="1">
        <f t="array" ref="P290">_xlfn.XLOOKUP(Table11[[#This Row],[Date]] &amp; Table11[[#This Row],[Vehicle_Type]], Table12[Date] &amp; Table12[Vehicle_Type],Table12[Feedback_Adjustment], 0)</f>
        <v>0</v>
      </c>
      <c r="Q290" s="82">
        <f>Table11[[#This Row],[Forecasted_Units]]*(1+Table11[[#This Row],[Adjustment_Percentage]])</f>
        <v>99.412821571286273</v>
      </c>
      <c r="R290" s="82"/>
    </row>
    <row r="291" spans="1:18">
      <c r="A291" s="54">
        <v>50675</v>
      </c>
      <c r="B291" s="15" t="s">
        <v>10</v>
      </c>
      <c r="C291" s="15" t="str">
        <f>TEXT(Table11[[#This Row],[Date]],"mmmm")</f>
        <v>September</v>
      </c>
      <c r="D291" s="15">
        <v>95</v>
      </c>
      <c r="E291" s="82">
        <f>_xlfn.FORECAST.LINEAR(Table11[[#This Row],[Date]],Table11[Units_Sold],Table11[Date])</f>
        <v>99.413985767943061</v>
      </c>
      <c r="F291" cm="1">
        <f t="array" ref="F291">_xlfn.IFS(Table11[[#This Row],[Vehicle_Type]]="SUV",250,Table11[[#This Row],[Vehicle_Type]]="Sedan",200,Table11[[#This Row],[Vehicle_Type]]="Hatchback",185,Table11[[#This Row],[Vehicle_Type]]="Electric",190,Table11[[#This Row],[Vehicle_Type]]="Truck",150)</f>
        <v>200</v>
      </c>
      <c r="G291">
        <f t="shared" ca="1" si="4"/>
        <v>20</v>
      </c>
      <c r="H291" s="82">
        <f>Table11[[#This Row],[Daily_Production]]-Table11[[#This Row],[Forecasted_Units]]</f>
        <v>100.58601423205694</v>
      </c>
      <c r="I291" cm="1">
        <f t="array" ref="I291">_xlfn.IFS(Table11[[#This Row],[Vehicle_Type]]="SUV",5,Table11[[#This Row],[Vehicle_Type]]="Sedan",7,Table11[[#This Row],[Vehicle_Type]]="Hatchback",10,Table11[[#This Row],[Vehicle_Type]]="Electric",11,Table11[[#This Row],[Vehicle_Type]]="Truck",13)</f>
        <v>7</v>
      </c>
      <c r="J291">
        <f ca="1">Table11[[#This Row],[Daily_Production]]*Table11[[#This Row],[Working_Days]]</f>
        <v>4000</v>
      </c>
      <c r="K291" s="81">
        <f>Table11[[#This Row],[Forecasted_Units]]*0.1</f>
        <v>9.9413985767943061</v>
      </c>
      <c r="L291" s="82">
        <f>Table11[[#This Row],[Adjusted_Forecast]]+Table11[[#This Row],[Safety_Stock]]-Table11[[#This Row],[Inventory_On_Hand]]</f>
        <v>8.76937011268042</v>
      </c>
      <c r="M291" s="82">
        <f ca="1">MIN(Table11[[#This Row],[Production_Needed]],Table11[[#This Row],[Production_Capacity]])</f>
        <v>8.76937011268042</v>
      </c>
      <c r="N291" s="82">
        <f ca="1">MAX(Table11[[#This Row],[Production_Needed]]-Table11[[#This Row],[Planned_Production]],0)</f>
        <v>0</v>
      </c>
      <c r="O291" s="82">
        <f ca="1">Table11[[#This Row],[Inventory_On_Hand]]+Table11[[#This Row],[Planned_Production]]-Table11[[#This Row],[Forecasted_Units]]</f>
        <v>9.9413985767942989</v>
      </c>
      <c r="P291" cm="1">
        <f t="array" ref="P291">_xlfn.XLOOKUP(Table11[[#This Row],[Date]] &amp; Table11[[#This Row],[Vehicle_Type]], Table12[Date] &amp; Table12[Vehicle_Type],Table12[Feedback_Adjustment], 0)</f>
        <v>0</v>
      </c>
      <c r="Q291" s="82">
        <f>Table11[[#This Row],[Forecasted_Units]]*(1+Table11[[#This Row],[Adjustment_Percentage]])</f>
        <v>99.413985767943061</v>
      </c>
      <c r="R291" s="82"/>
    </row>
    <row r="292" spans="1:18">
      <c r="A292" s="53">
        <v>50705</v>
      </c>
      <c r="B292" s="14" t="s">
        <v>12</v>
      </c>
      <c r="C292" s="15" t="str">
        <f>TEXT(Table11[[#This Row],[Date]],"mmmm")</f>
        <v>October</v>
      </c>
      <c r="D292" s="14">
        <v>100</v>
      </c>
      <c r="E292" s="82">
        <f>_xlfn.FORECAST.LINEAR(Table11[[#This Row],[Date]],Table11[Units_Sold],Table11[Date])</f>
        <v>99.415149964599848</v>
      </c>
      <c r="F292" cm="1">
        <f t="array" ref="F292">_xlfn.IFS(Table11[[#This Row],[Vehicle_Type]]="SUV",250,Table11[[#This Row],[Vehicle_Type]]="Sedan",200,Table11[[#This Row],[Vehicle_Type]]="Hatchback",185,Table11[[#This Row],[Vehicle_Type]]="Electric",190,Table11[[#This Row],[Vehicle_Type]]="Truck",150)</f>
        <v>250</v>
      </c>
      <c r="G292">
        <f t="shared" ca="1" si="4"/>
        <v>23</v>
      </c>
      <c r="H292" s="82">
        <f>Table11[[#This Row],[Daily_Production]]-Table11[[#This Row],[Forecasted_Units]]</f>
        <v>150.58485003540017</v>
      </c>
      <c r="I292" cm="1">
        <f t="array" ref="I292">_xlfn.IFS(Table11[[#This Row],[Vehicle_Type]]="SUV",5,Table11[[#This Row],[Vehicle_Type]]="Sedan",7,Table11[[#This Row],[Vehicle_Type]]="Hatchback",10,Table11[[#This Row],[Vehicle_Type]]="Electric",11,Table11[[#This Row],[Vehicle_Type]]="Truck",13)</f>
        <v>5</v>
      </c>
      <c r="J292">
        <f ca="1">Table11[[#This Row],[Daily_Production]]*Table11[[#This Row],[Working_Days]]</f>
        <v>5750</v>
      </c>
      <c r="K292" s="81">
        <f>Table11[[#This Row],[Forecasted_Units]]*0.1</f>
        <v>9.9415149964599863</v>
      </c>
      <c r="L292" s="82">
        <f>Table11[[#This Row],[Adjusted_Forecast]]+Table11[[#This Row],[Safety_Stock]]-Table11[[#This Row],[Inventory_On_Hand]]</f>
        <v>-41.228185074340331</v>
      </c>
      <c r="M292" s="82">
        <f ca="1">MIN(Table11[[#This Row],[Production_Needed]],Table11[[#This Row],[Production_Capacity]])</f>
        <v>-41.228185074340331</v>
      </c>
      <c r="N292" s="82">
        <f ca="1">MAX(Table11[[#This Row],[Production_Needed]]-Table11[[#This Row],[Planned_Production]],0)</f>
        <v>0</v>
      </c>
      <c r="O292" s="82">
        <f ca="1">Table11[[#This Row],[Inventory_On_Hand]]+Table11[[#This Row],[Planned_Production]]-Table11[[#This Row],[Forecasted_Units]]</f>
        <v>9.9415149964599863</v>
      </c>
      <c r="P292" cm="1">
        <f t="array" ref="P292">_xlfn.XLOOKUP(Table11[[#This Row],[Date]] &amp; Table11[[#This Row],[Vehicle_Type]], Table12[Date] &amp; Table12[Vehicle_Type],Table12[Feedback_Adjustment], 0)</f>
        <v>0</v>
      </c>
      <c r="Q292" s="82">
        <f>Table11[[#This Row],[Forecasted_Units]]*(1+Table11[[#This Row],[Adjustment_Percentage]])</f>
        <v>99.415149964599848</v>
      </c>
      <c r="R292" s="82"/>
    </row>
    <row r="293" spans="1:18">
      <c r="A293" s="54">
        <v>50735</v>
      </c>
      <c r="B293" s="15" t="s">
        <v>10</v>
      </c>
      <c r="C293" s="15" t="str">
        <f>TEXT(Table11[[#This Row],[Date]],"mmmm")</f>
        <v>November</v>
      </c>
      <c r="D293" s="15">
        <v>86</v>
      </c>
      <c r="E293" s="82">
        <f>_xlfn.FORECAST.LINEAR(Table11[[#This Row],[Date]],Table11[Units_Sold],Table11[Date])</f>
        <v>99.416314161256636</v>
      </c>
      <c r="F293" cm="1">
        <f t="array" ref="F293">_xlfn.IFS(Table11[[#This Row],[Vehicle_Type]]="SUV",250,Table11[[#This Row],[Vehicle_Type]]="Sedan",200,Table11[[#This Row],[Vehicle_Type]]="Hatchback",185,Table11[[#This Row],[Vehicle_Type]]="Electric",190,Table11[[#This Row],[Vehicle_Type]]="Truck",150)</f>
        <v>200</v>
      </c>
      <c r="G293">
        <f t="shared" ca="1" si="4"/>
        <v>25</v>
      </c>
      <c r="H293" s="82">
        <f>Table11[[#This Row],[Daily_Production]]-Table11[[#This Row],[Forecasted_Units]]</f>
        <v>100.58368583874336</v>
      </c>
      <c r="I293" cm="1">
        <f t="array" ref="I293">_xlfn.IFS(Table11[[#This Row],[Vehicle_Type]]="SUV",5,Table11[[#This Row],[Vehicle_Type]]="Sedan",7,Table11[[#This Row],[Vehicle_Type]]="Hatchback",10,Table11[[#This Row],[Vehicle_Type]]="Electric",11,Table11[[#This Row],[Vehicle_Type]]="Truck",13)</f>
        <v>7</v>
      </c>
      <c r="J293">
        <f ca="1">Table11[[#This Row],[Daily_Production]]*Table11[[#This Row],[Working_Days]]</f>
        <v>5000</v>
      </c>
      <c r="K293" s="81">
        <f>Table11[[#This Row],[Forecasted_Units]]*0.1</f>
        <v>9.9416314161256647</v>
      </c>
      <c r="L293" s="82">
        <f>Table11[[#This Row],[Adjusted_Forecast]]+Table11[[#This Row],[Safety_Stock]]-Table11[[#This Row],[Inventory_On_Hand]]</f>
        <v>8.774259738638932</v>
      </c>
      <c r="M293" s="82">
        <f ca="1">MIN(Table11[[#This Row],[Production_Needed]],Table11[[#This Row],[Production_Capacity]])</f>
        <v>8.774259738638932</v>
      </c>
      <c r="N293" s="82">
        <f ca="1">MAX(Table11[[#This Row],[Production_Needed]]-Table11[[#This Row],[Planned_Production]],0)</f>
        <v>0</v>
      </c>
      <c r="O293" s="82">
        <f ca="1">Table11[[#This Row],[Inventory_On_Hand]]+Table11[[#This Row],[Planned_Production]]-Table11[[#This Row],[Forecasted_Units]]</f>
        <v>9.9416314161256594</v>
      </c>
      <c r="P293" cm="1">
        <f t="array" ref="P293">_xlfn.XLOOKUP(Table11[[#This Row],[Date]] &amp; Table11[[#This Row],[Vehicle_Type]], Table12[Date] &amp; Table12[Vehicle_Type],Table12[Feedback_Adjustment], 0)</f>
        <v>0</v>
      </c>
      <c r="Q293" s="82">
        <f>Table11[[#This Row],[Forecasted_Units]]*(1+Table11[[#This Row],[Adjustment_Percentage]])</f>
        <v>99.416314161256636</v>
      </c>
      <c r="R293" s="82"/>
    </row>
    <row r="294" spans="1:18">
      <c r="A294" s="53">
        <v>50765</v>
      </c>
      <c r="B294" s="14" t="s">
        <v>13</v>
      </c>
      <c r="C294" s="15" t="str">
        <f>TEXT(Table11[[#This Row],[Date]],"mmmm")</f>
        <v>December</v>
      </c>
      <c r="D294" s="14">
        <v>94</v>
      </c>
      <c r="E294" s="82">
        <f>_xlfn.FORECAST.LINEAR(Table11[[#This Row],[Date]],Table11[Units_Sold],Table11[Date])</f>
        <v>99.417478357913424</v>
      </c>
      <c r="F294" cm="1">
        <f t="array" ref="F294">_xlfn.IFS(Table11[[#This Row],[Vehicle_Type]]="SUV",250,Table11[[#This Row],[Vehicle_Type]]="Sedan",200,Table11[[#This Row],[Vehicle_Type]]="Hatchback",185,Table11[[#This Row],[Vehicle_Type]]="Electric",190,Table11[[#This Row],[Vehicle_Type]]="Truck",150)</f>
        <v>190</v>
      </c>
      <c r="G294">
        <f t="shared" ca="1" si="4"/>
        <v>22</v>
      </c>
      <c r="H294" s="82">
        <f>Table11[[#This Row],[Daily_Production]]-Table11[[#This Row],[Forecasted_Units]]</f>
        <v>90.582521642086576</v>
      </c>
      <c r="I294" cm="1">
        <f t="array" ref="I294">_xlfn.IFS(Table11[[#This Row],[Vehicle_Type]]="SUV",5,Table11[[#This Row],[Vehicle_Type]]="Sedan",7,Table11[[#This Row],[Vehicle_Type]]="Hatchback",10,Table11[[#This Row],[Vehicle_Type]]="Electric",11,Table11[[#This Row],[Vehicle_Type]]="Truck",13)</f>
        <v>11</v>
      </c>
      <c r="J294">
        <f ca="1">Table11[[#This Row],[Daily_Production]]*Table11[[#This Row],[Working_Days]]</f>
        <v>4180</v>
      </c>
      <c r="K294" s="81">
        <f>Table11[[#This Row],[Forecasted_Units]]*0.1</f>
        <v>9.9417478357913431</v>
      </c>
      <c r="L294" s="82">
        <f>Table11[[#This Row],[Adjusted_Forecast]]+Table11[[#This Row],[Safety_Stock]]-Table11[[#This Row],[Inventory_On_Hand]]</f>
        <v>18.776704551618195</v>
      </c>
      <c r="M294" s="82">
        <f ca="1">MIN(Table11[[#This Row],[Production_Needed]],Table11[[#This Row],[Production_Capacity]])</f>
        <v>18.776704551618195</v>
      </c>
      <c r="N294" s="82">
        <f ca="1">MAX(Table11[[#This Row],[Production_Needed]]-Table11[[#This Row],[Planned_Production]],0)</f>
        <v>0</v>
      </c>
      <c r="O294" s="82">
        <f ca="1">Table11[[#This Row],[Inventory_On_Hand]]+Table11[[#This Row],[Planned_Production]]-Table11[[#This Row],[Forecasted_Units]]</f>
        <v>9.9417478357913467</v>
      </c>
      <c r="P294" cm="1">
        <f t="array" ref="P294">_xlfn.XLOOKUP(Table11[[#This Row],[Date]] &amp; Table11[[#This Row],[Vehicle_Type]], Table12[Date] &amp; Table12[Vehicle_Type],Table12[Feedback_Adjustment], 0)</f>
        <v>0</v>
      </c>
      <c r="Q294" s="82">
        <f>Table11[[#This Row],[Forecasted_Units]]*(1+Table11[[#This Row],[Adjustment_Percentage]])</f>
        <v>99.417478357913424</v>
      </c>
      <c r="R294" s="82"/>
    </row>
    <row r="295" spans="1:18">
      <c r="A295" s="54">
        <v>50795</v>
      </c>
      <c r="B295" s="15" t="s">
        <v>10</v>
      </c>
      <c r="C295" s="15" t="str">
        <f>TEXT(Table11[[#This Row],[Date]],"mmmm")</f>
        <v>January</v>
      </c>
      <c r="D295" s="15">
        <v>88</v>
      </c>
      <c r="E295" s="82">
        <f>_xlfn.FORECAST.LINEAR(Table11[[#This Row],[Date]],Table11[Units_Sold],Table11[Date])</f>
        <v>99.418642554570212</v>
      </c>
      <c r="F295" cm="1">
        <f t="array" ref="F295">_xlfn.IFS(Table11[[#This Row],[Vehicle_Type]]="SUV",250,Table11[[#This Row],[Vehicle_Type]]="Sedan",200,Table11[[#This Row],[Vehicle_Type]]="Hatchback",185,Table11[[#This Row],[Vehicle_Type]]="Electric",190,Table11[[#This Row],[Vehicle_Type]]="Truck",150)</f>
        <v>200</v>
      </c>
      <c r="G295">
        <f t="shared" ca="1" si="4"/>
        <v>24</v>
      </c>
      <c r="H295" s="82">
        <f>Table11[[#This Row],[Daily_Production]]-Table11[[#This Row],[Forecasted_Units]]</f>
        <v>100.58135744542979</v>
      </c>
      <c r="I295" cm="1">
        <f t="array" ref="I295">_xlfn.IFS(Table11[[#This Row],[Vehicle_Type]]="SUV",5,Table11[[#This Row],[Vehicle_Type]]="Sedan",7,Table11[[#This Row],[Vehicle_Type]]="Hatchback",10,Table11[[#This Row],[Vehicle_Type]]="Electric",11,Table11[[#This Row],[Vehicle_Type]]="Truck",13)</f>
        <v>7</v>
      </c>
      <c r="J295">
        <f ca="1">Table11[[#This Row],[Daily_Production]]*Table11[[#This Row],[Working_Days]]</f>
        <v>4800</v>
      </c>
      <c r="K295" s="81">
        <f>Table11[[#This Row],[Forecasted_Units]]*0.1</f>
        <v>9.9418642554570216</v>
      </c>
      <c r="L295" s="82">
        <f>Table11[[#This Row],[Adjusted_Forecast]]+Table11[[#This Row],[Safety_Stock]]-Table11[[#This Row],[Inventory_On_Hand]]</f>
        <v>8.7791493645974441</v>
      </c>
      <c r="M295" s="82">
        <f ca="1">MIN(Table11[[#This Row],[Production_Needed]],Table11[[#This Row],[Production_Capacity]])</f>
        <v>8.7791493645974441</v>
      </c>
      <c r="N295" s="82">
        <f ca="1">MAX(Table11[[#This Row],[Production_Needed]]-Table11[[#This Row],[Planned_Production]],0)</f>
        <v>0</v>
      </c>
      <c r="O295" s="82">
        <f ca="1">Table11[[#This Row],[Inventory_On_Hand]]+Table11[[#This Row],[Planned_Production]]-Table11[[#This Row],[Forecasted_Units]]</f>
        <v>9.9418642554570198</v>
      </c>
      <c r="P295" cm="1">
        <f t="array" ref="P295">_xlfn.XLOOKUP(Table11[[#This Row],[Date]] &amp; Table11[[#This Row],[Vehicle_Type]], Table12[Date] &amp; Table12[Vehicle_Type],Table12[Feedback_Adjustment], 0)</f>
        <v>0</v>
      </c>
      <c r="Q295" s="82">
        <f>Table11[[#This Row],[Forecasted_Units]]*(1+Table11[[#This Row],[Adjustment_Percentage]])</f>
        <v>99.418642554570212</v>
      </c>
      <c r="R295" s="82"/>
    </row>
    <row r="296" spans="1:18">
      <c r="A296" s="53">
        <v>50825</v>
      </c>
      <c r="B296" s="14" t="s">
        <v>12</v>
      </c>
      <c r="C296" s="15" t="str">
        <f>TEXT(Table11[[#This Row],[Date]],"mmmm")</f>
        <v>February</v>
      </c>
      <c r="D296" s="14">
        <v>100</v>
      </c>
      <c r="E296" s="82">
        <f>_xlfn.FORECAST.LINEAR(Table11[[#This Row],[Date]],Table11[Units_Sold],Table11[Date])</f>
        <v>99.419806751227</v>
      </c>
      <c r="F296" cm="1">
        <f t="array" ref="F296">_xlfn.IFS(Table11[[#This Row],[Vehicle_Type]]="SUV",250,Table11[[#This Row],[Vehicle_Type]]="Sedan",200,Table11[[#This Row],[Vehicle_Type]]="Hatchback",185,Table11[[#This Row],[Vehicle_Type]]="Electric",190,Table11[[#This Row],[Vehicle_Type]]="Truck",150)</f>
        <v>250</v>
      </c>
      <c r="G296">
        <f t="shared" ca="1" si="4"/>
        <v>25</v>
      </c>
      <c r="H296" s="82">
        <f>Table11[[#This Row],[Daily_Production]]-Table11[[#This Row],[Forecasted_Units]]</f>
        <v>150.58019324877301</v>
      </c>
      <c r="I296" cm="1">
        <f t="array" ref="I296">_xlfn.IFS(Table11[[#This Row],[Vehicle_Type]]="SUV",5,Table11[[#This Row],[Vehicle_Type]]="Sedan",7,Table11[[#This Row],[Vehicle_Type]]="Hatchback",10,Table11[[#This Row],[Vehicle_Type]]="Electric",11,Table11[[#This Row],[Vehicle_Type]]="Truck",13)</f>
        <v>5</v>
      </c>
      <c r="J296">
        <f ca="1">Table11[[#This Row],[Daily_Production]]*Table11[[#This Row],[Working_Days]]</f>
        <v>6250</v>
      </c>
      <c r="K296" s="81">
        <f>Table11[[#This Row],[Forecasted_Units]]*0.1</f>
        <v>9.9419806751227</v>
      </c>
      <c r="L296" s="82">
        <f>Table11[[#This Row],[Adjusted_Forecast]]+Table11[[#This Row],[Safety_Stock]]-Table11[[#This Row],[Inventory_On_Hand]]</f>
        <v>-41.218405822423307</v>
      </c>
      <c r="M296" s="82">
        <f ca="1">MIN(Table11[[#This Row],[Production_Needed]],Table11[[#This Row],[Production_Capacity]])</f>
        <v>-41.218405822423307</v>
      </c>
      <c r="N296" s="82">
        <f ca="1">MAX(Table11[[#This Row],[Production_Needed]]-Table11[[#This Row],[Planned_Production]],0)</f>
        <v>0</v>
      </c>
      <c r="O296" s="82">
        <f ca="1">Table11[[#This Row],[Inventory_On_Hand]]+Table11[[#This Row],[Planned_Production]]-Table11[[#This Row],[Forecasted_Units]]</f>
        <v>9.9419806751227071</v>
      </c>
      <c r="P296" cm="1">
        <f t="array" ref="P296">_xlfn.XLOOKUP(Table11[[#This Row],[Date]] &amp; Table11[[#This Row],[Vehicle_Type]], Table12[Date] &amp; Table12[Vehicle_Type],Table12[Feedback_Adjustment], 0)</f>
        <v>0</v>
      </c>
      <c r="Q296" s="82">
        <f>Table11[[#This Row],[Forecasted_Units]]*(1+Table11[[#This Row],[Adjustment_Percentage]])</f>
        <v>99.419806751227</v>
      </c>
      <c r="R296" s="82"/>
    </row>
    <row r="297" spans="1:18">
      <c r="A297" s="54">
        <v>50855</v>
      </c>
      <c r="B297" s="15" t="s">
        <v>14</v>
      </c>
      <c r="C297" s="15" t="str">
        <f>TEXT(Table11[[#This Row],[Date]],"mmmm")</f>
        <v>March</v>
      </c>
      <c r="D297" s="15">
        <v>95</v>
      </c>
      <c r="E297" s="82">
        <f>_xlfn.FORECAST.LINEAR(Table11[[#This Row],[Date]],Table11[Units_Sold],Table11[Date])</f>
        <v>99.420970947883788</v>
      </c>
      <c r="F297" cm="1">
        <f t="array" ref="F297">_xlfn.IFS(Table11[[#This Row],[Vehicle_Type]]="SUV",250,Table11[[#This Row],[Vehicle_Type]]="Sedan",200,Table11[[#This Row],[Vehicle_Type]]="Hatchback",185,Table11[[#This Row],[Vehicle_Type]]="Electric",190,Table11[[#This Row],[Vehicle_Type]]="Truck",150)</f>
        <v>150</v>
      </c>
      <c r="G297">
        <f t="shared" ca="1" si="4"/>
        <v>21</v>
      </c>
      <c r="H297" s="82">
        <f>Table11[[#This Row],[Daily_Production]]-Table11[[#This Row],[Forecasted_Units]]</f>
        <v>50.579029052116212</v>
      </c>
      <c r="I297" cm="1">
        <f t="array" ref="I297">_xlfn.IFS(Table11[[#This Row],[Vehicle_Type]]="SUV",5,Table11[[#This Row],[Vehicle_Type]]="Sedan",7,Table11[[#This Row],[Vehicle_Type]]="Hatchback",10,Table11[[#This Row],[Vehicle_Type]]="Electric",11,Table11[[#This Row],[Vehicle_Type]]="Truck",13)</f>
        <v>13</v>
      </c>
      <c r="J297">
        <f ca="1">Table11[[#This Row],[Daily_Production]]*Table11[[#This Row],[Working_Days]]</f>
        <v>3150</v>
      </c>
      <c r="K297" s="81">
        <f>Table11[[#This Row],[Forecasted_Units]]*0.1</f>
        <v>9.9420970947883802</v>
      </c>
      <c r="L297" s="82">
        <f>Table11[[#This Row],[Adjusted_Forecast]]+Table11[[#This Row],[Safety_Stock]]-Table11[[#This Row],[Inventory_On_Hand]]</f>
        <v>58.784038990555956</v>
      </c>
      <c r="M297" s="82">
        <f ca="1">MIN(Table11[[#This Row],[Production_Needed]],Table11[[#This Row],[Production_Capacity]])</f>
        <v>58.784038990555956</v>
      </c>
      <c r="N297" s="82">
        <f ca="1">MAX(Table11[[#This Row],[Production_Needed]]-Table11[[#This Row],[Planned_Production]],0)</f>
        <v>0</v>
      </c>
      <c r="O297" s="82">
        <f ca="1">Table11[[#This Row],[Inventory_On_Hand]]+Table11[[#This Row],[Planned_Production]]-Table11[[#This Row],[Forecasted_Units]]</f>
        <v>9.9420970947883802</v>
      </c>
      <c r="P297" cm="1">
        <f t="array" ref="P297">_xlfn.XLOOKUP(Table11[[#This Row],[Date]] &amp; Table11[[#This Row],[Vehicle_Type]], Table12[Date] &amp; Table12[Vehicle_Type],Table12[Feedback_Adjustment], 0)</f>
        <v>0</v>
      </c>
      <c r="Q297" s="82">
        <f>Table11[[#This Row],[Forecasted_Units]]*(1+Table11[[#This Row],[Adjustment_Percentage]])</f>
        <v>99.420970947883788</v>
      </c>
      <c r="R297" s="82"/>
    </row>
    <row r="298" spans="1:18">
      <c r="A298" s="53">
        <v>50885</v>
      </c>
      <c r="B298" s="14" t="s">
        <v>10</v>
      </c>
      <c r="C298" s="15" t="str">
        <f>TEXT(Table11[[#This Row],[Date]],"mmmm")</f>
        <v>April</v>
      </c>
      <c r="D298" s="14">
        <v>95</v>
      </c>
      <c r="E298" s="82">
        <f>_xlfn.FORECAST.LINEAR(Table11[[#This Row],[Date]],Table11[Units_Sold],Table11[Date])</f>
        <v>99.422135144540576</v>
      </c>
      <c r="F298" cm="1">
        <f t="array" ref="F298">_xlfn.IFS(Table11[[#This Row],[Vehicle_Type]]="SUV",250,Table11[[#This Row],[Vehicle_Type]]="Sedan",200,Table11[[#This Row],[Vehicle_Type]]="Hatchback",185,Table11[[#This Row],[Vehicle_Type]]="Electric",190,Table11[[#This Row],[Vehicle_Type]]="Truck",150)</f>
        <v>200</v>
      </c>
      <c r="G298">
        <f t="shared" ca="1" si="4"/>
        <v>24</v>
      </c>
      <c r="H298" s="82">
        <f>Table11[[#This Row],[Daily_Production]]-Table11[[#This Row],[Forecasted_Units]]</f>
        <v>100.57786485545942</v>
      </c>
      <c r="I298" cm="1">
        <f t="array" ref="I298">_xlfn.IFS(Table11[[#This Row],[Vehicle_Type]]="SUV",5,Table11[[#This Row],[Vehicle_Type]]="Sedan",7,Table11[[#This Row],[Vehicle_Type]]="Hatchback",10,Table11[[#This Row],[Vehicle_Type]]="Electric",11,Table11[[#This Row],[Vehicle_Type]]="Truck",13)</f>
        <v>7</v>
      </c>
      <c r="J298">
        <f ca="1">Table11[[#This Row],[Daily_Production]]*Table11[[#This Row],[Working_Days]]</f>
        <v>4800</v>
      </c>
      <c r="K298" s="81">
        <f>Table11[[#This Row],[Forecasted_Units]]*0.1</f>
        <v>9.9422135144540587</v>
      </c>
      <c r="L298" s="82">
        <f>Table11[[#This Row],[Adjusted_Forecast]]+Table11[[#This Row],[Safety_Stock]]-Table11[[#This Row],[Inventory_On_Hand]]</f>
        <v>8.7864838035352051</v>
      </c>
      <c r="M298" s="82">
        <f ca="1">MIN(Table11[[#This Row],[Production_Needed]],Table11[[#This Row],[Production_Capacity]])</f>
        <v>8.7864838035352051</v>
      </c>
      <c r="N298" s="82">
        <f ca="1">MAX(Table11[[#This Row],[Production_Needed]]-Table11[[#This Row],[Planned_Production]],0)</f>
        <v>0</v>
      </c>
      <c r="O298" s="82">
        <f ca="1">Table11[[#This Row],[Inventory_On_Hand]]+Table11[[#This Row],[Planned_Production]]-Table11[[#This Row],[Forecasted_Units]]</f>
        <v>9.9422135144540533</v>
      </c>
      <c r="P298" cm="1">
        <f t="array" ref="P298">_xlfn.XLOOKUP(Table11[[#This Row],[Date]] &amp; Table11[[#This Row],[Vehicle_Type]], Table12[Date] &amp; Table12[Vehicle_Type],Table12[Feedback_Adjustment], 0)</f>
        <v>0</v>
      </c>
      <c r="Q298" s="82">
        <f>Table11[[#This Row],[Forecasted_Units]]*(1+Table11[[#This Row],[Adjustment_Percentage]])</f>
        <v>99.422135144540576</v>
      </c>
      <c r="R298" s="82"/>
    </row>
    <row r="299" spans="1:18">
      <c r="A299" s="54">
        <v>50915</v>
      </c>
      <c r="B299" s="15" t="s">
        <v>13</v>
      </c>
      <c r="C299" s="15" t="str">
        <f>TEXT(Table11[[#This Row],[Date]],"mmmm")</f>
        <v>May</v>
      </c>
      <c r="D299" s="15">
        <v>92</v>
      </c>
      <c r="E299" s="82">
        <f>_xlfn.FORECAST.LINEAR(Table11[[#This Row],[Date]],Table11[Units_Sold],Table11[Date])</f>
        <v>99.423299341197364</v>
      </c>
      <c r="F299" cm="1">
        <f t="array" ref="F299">_xlfn.IFS(Table11[[#This Row],[Vehicle_Type]]="SUV",250,Table11[[#This Row],[Vehicle_Type]]="Sedan",200,Table11[[#This Row],[Vehicle_Type]]="Hatchback",185,Table11[[#This Row],[Vehicle_Type]]="Electric",190,Table11[[#This Row],[Vehicle_Type]]="Truck",150)</f>
        <v>190</v>
      </c>
      <c r="G299">
        <f t="shared" ca="1" si="4"/>
        <v>24</v>
      </c>
      <c r="H299" s="82">
        <f>Table11[[#This Row],[Daily_Production]]-Table11[[#This Row],[Forecasted_Units]]</f>
        <v>90.576700658802636</v>
      </c>
      <c r="I299" cm="1">
        <f t="array" ref="I299">_xlfn.IFS(Table11[[#This Row],[Vehicle_Type]]="SUV",5,Table11[[#This Row],[Vehicle_Type]]="Sedan",7,Table11[[#This Row],[Vehicle_Type]]="Hatchback",10,Table11[[#This Row],[Vehicle_Type]]="Electric",11,Table11[[#This Row],[Vehicle_Type]]="Truck",13)</f>
        <v>11</v>
      </c>
      <c r="J299">
        <f ca="1">Table11[[#This Row],[Daily_Production]]*Table11[[#This Row],[Working_Days]]</f>
        <v>4560</v>
      </c>
      <c r="K299" s="81">
        <f>Table11[[#This Row],[Forecasted_Units]]*0.1</f>
        <v>9.9423299341197371</v>
      </c>
      <c r="L299" s="82">
        <f>Table11[[#This Row],[Adjusted_Forecast]]+Table11[[#This Row],[Safety_Stock]]-Table11[[#This Row],[Inventory_On_Hand]]</f>
        <v>18.788928616514468</v>
      </c>
      <c r="M299" s="82">
        <f ca="1">MIN(Table11[[#This Row],[Production_Needed]],Table11[[#This Row],[Production_Capacity]])</f>
        <v>18.788928616514468</v>
      </c>
      <c r="N299" s="82">
        <f ca="1">MAX(Table11[[#This Row],[Production_Needed]]-Table11[[#This Row],[Planned_Production]],0)</f>
        <v>0</v>
      </c>
      <c r="O299" s="82">
        <f ca="1">Table11[[#This Row],[Inventory_On_Hand]]+Table11[[#This Row],[Planned_Production]]-Table11[[#This Row],[Forecasted_Units]]</f>
        <v>9.9423299341197406</v>
      </c>
      <c r="P299" cm="1">
        <f t="array" ref="P299">_xlfn.XLOOKUP(Table11[[#This Row],[Date]] &amp; Table11[[#This Row],[Vehicle_Type]], Table12[Date] &amp; Table12[Vehicle_Type],Table12[Feedback_Adjustment], 0)</f>
        <v>0</v>
      </c>
      <c r="Q299" s="82">
        <f>Table11[[#This Row],[Forecasted_Units]]*(1+Table11[[#This Row],[Adjustment_Percentage]])</f>
        <v>99.423299341197364</v>
      </c>
      <c r="R299" s="82"/>
    </row>
    <row r="300" spans="1:18">
      <c r="A300" s="53">
        <v>50945</v>
      </c>
      <c r="B300" s="14" t="s">
        <v>12</v>
      </c>
      <c r="C300" s="15" t="str">
        <f>TEXT(Table11[[#This Row],[Date]],"mmmm")</f>
        <v>June</v>
      </c>
      <c r="D300" s="14">
        <v>108</v>
      </c>
      <c r="E300" s="82">
        <f>_xlfn.FORECAST.LINEAR(Table11[[#This Row],[Date]],Table11[Units_Sold],Table11[Date])</f>
        <v>99.424463537854152</v>
      </c>
      <c r="F300" cm="1">
        <f t="array" ref="F300">_xlfn.IFS(Table11[[#This Row],[Vehicle_Type]]="SUV",250,Table11[[#This Row],[Vehicle_Type]]="Sedan",200,Table11[[#This Row],[Vehicle_Type]]="Hatchback",185,Table11[[#This Row],[Vehicle_Type]]="Electric",190,Table11[[#This Row],[Vehicle_Type]]="Truck",150)</f>
        <v>250</v>
      </c>
      <c r="G300">
        <f t="shared" ca="1" si="4"/>
        <v>20</v>
      </c>
      <c r="H300" s="82">
        <f>Table11[[#This Row],[Daily_Production]]-Table11[[#This Row],[Forecasted_Units]]</f>
        <v>150.57553646214586</v>
      </c>
      <c r="I300" cm="1">
        <f t="array" ref="I300">_xlfn.IFS(Table11[[#This Row],[Vehicle_Type]]="SUV",5,Table11[[#This Row],[Vehicle_Type]]="Sedan",7,Table11[[#This Row],[Vehicle_Type]]="Hatchback",10,Table11[[#This Row],[Vehicle_Type]]="Electric",11,Table11[[#This Row],[Vehicle_Type]]="Truck",13)</f>
        <v>5</v>
      </c>
      <c r="J300">
        <f ca="1">Table11[[#This Row],[Daily_Production]]*Table11[[#This Row],[Working_Days]]</f>
        <v>5000</v>
      </c>
      <c r="K300" s="81">
        <f>Table11[[#This Row],[Forecasted_Units]]*0.1</f>
        <v>9.9424463537854155</v>
      </c>
      <c r="L300" s="82">
        <f>Table11[[#This Row],[Adjusted_Forecast]]+Table11[[#This Row],[Safety_Stock]]-Table11[[#This Row],[Inventory_On_Hand]]</f>
        <v>-41.208626570506297</v>
      </c>
      <c r="M300" s="82">
        <f ca="1">MIN(Table11[[#This Row],[Production_Needed]],Table11[[#This Row],[Production_Capacity]])</f>
        <v>-41.208626570506297</v>
      </c>
      <c r="N300" s="82">
        <f ca="1">MAX(Table11[[#This Row],[Production_Needed]]-Table11[[#This Row],[Planned_Production]],0)</f>
        <v>0</v>
      </c>
      <c r="O300" s="82">
        <f ca="1">Table11[[#This Row],[Inventory_On_Hand]]+Table11[[#This Row],[Planned_Production]]-Table11[[#This Row],[Forecasted_Units]]</f>
        <v>9.9424463537854137</v>
      </c>
      <c r="P300" cm="1">
        <f t="array" ref="P300">_xlfn.XLOOKUP(Table11[[#This Row],[Date]] &amp; Table11[[#This Row],[Vehicle_Type]], Table12[Date] &amp; Table12[Vehicle_Type],Table12[Feedback_Adjustment], 0)</f>
        <v>0</v>
      </c>
      <c r="Q300" s="82">
        <f>Table11[[#This Row],[Forecasted_Units]]*(1+Table11[[#This Row],[Adjustment_Percentage]])</f>
        <v>99.424463537854152</v>
      </c>
      <c r="R300" s="82"/>
    </row>
    <row r="301" spans="1:18">
      <c r="A301" s="54">
        <v>50975</v>
      </c>
      <c r="B301" s="15" t="s">
        <v>13</v>
      </c>
      <c r="C301" s="15" t="str">
        <f>TEXT(Table11[[#This Row],[Date]],"mmmm")</f>
        <v>July</v>
      </c>
      <c r="D301" s="15">
        <v>99</v>
      </c>
      <c r="E301" s="82">
        <f>_xlfn.FORECAST.LINEAR(Table11[[#This Row],[Date]],Table11[Units_Sold],Table11[Date])</f>
        <v>99.425627734510925</v>
      </c>
      <c r="F301" cm="1">
        <f t="array" ref="F301">_xlfn.IFS(Table11[[#This Row],[Vehicle_Type]]="SUV",250,Table11[[#This Row],[Vehicle_Type]]="Sedan",200,Table11[[#This Row],[Vehicle_Type]]="Hatchback",185,Table11[[#This Row],[Vehicle_Type]]="Electric",190,Table11[[#This Row],[Vehicle_Type]]="Truck",150)</f>
        <v>190</v>
      </c>
      <c r="G301">
        <f t="shared" ca="1" si="4"/>
        <v>25</v>
      </c>
      <c r="H301" s="82">
        <f>Table11[[#This Row],[Daily_Production]]-Table11[[#This Row],[Forecasted_Units]]</f>
        <v>90.574372265489075</v>
      </c>
      <c r="I301" cm="1">
        <f t="array" ref="I301">_xlfn.IFS(Table11[[#This Row],[Vehicle_Type]]="SUV",5,Table11[[#This Row],[Vehicle_Type]]="Sedan",7,Table11[[#This Row],[Vehicle_Type]]="Hatchback",10,Table11[[#This Row],[Vehicle_Type]]="Electric",11,Table11[[#This Row],[Vehicle_Type]]="Truck",13)</f>
        <v>11</v>
      </c>
      <c r="J301">
        <f ca="1">Table11[[#This Row],[Daily_Production]]*Table11[[#This Row],[Working_Days]]</f>
        <v>4750</v>
      </c>
      <c r="K301" s="81">
        <f>Table11[[#This Row],[Forecasted_Units]]*0.1</f>
        <v>9.942562773451094</v>
      </c>
      <c r="L301" s="82">
        <f>Table11[[#This Row],[Adjusted_Forecast]]+Table11[[#This Row],[Safety_Stock]]-Table11[[#This Row],[Inventory_On_Hand]]</f>
        <v>18.793818242472952</v>
      </c>
      <c r="M301" s="82">
        <f ca="1">MIN(Table11[[#This Row],[Production_Needed]],Table11[[#This Row],[Production_Capacity]])</f>
        <v>18.793818242472952</v>
      </c>
      <c r="N301" s="82">
        <f ca="1">MAX(Table11[[#This Row],[Production_Needed]]-Table11[[#This Row],[Planned_Production]],0)</f>
        <v>0</v>
      </c>
      <c r="O301" s="82">
        <f ca="1">Table11[[#This Row],[Inventory_On_Hand]]+Table11[[#This Row],[Planned_Production]]-Table11[[#This Row],[Forecasted_Units]]</f>
        <v>9.9425627734511011</v>
      </c>
      <c r="P301" cm="1">
        <f t="array" ref="P301">_xlfn.XLOOKUP(Table11[[#This Row],[Date]] &amp; Table11[[#This Row],[Vehicle_Type]], Table12[Date] &amp; Table12[Vehicle_Type],Table12[Feedback_Adjustment], 0)</f>
        <v>0</v>
      </c>
      <c r="Q301" s="82">
        <f>Table11[[#This Row],[Forecasted_Units]]*(1+Table11[[#This Row],[Adjustment_Percentage]])</f>
        <v>99.425627734510925</v>
      </c>
      <c r="R301" s="82"/>
    </row>
    <row r="302" spans="1:18">
      <c r="A302" s="53">
        <v>51005</v>
      </c>
      <c r="B302" s="14" t="s">
        <v>13</v>
      </c>
      <c r="C302" s="15" t="str">
        <f>TEXT(Table11[[#This Row],[Date]],"mmmm")</f>
        <v>August</v>
      </c>
      <c r="D302" s="14">
        <v>95</v>
      </c>
      <c r="E302" s="82">
        <f>_xlfn.FORECAST.LINEAR(Table11[[#This Row],[Date]],Table11[Units_Sold],Table11[Date])</f>
        <v>99.426791931167713</v>
      </c>
      <c r="F302" cm="1">
        <f t="array" ref="F302">_xlfn.IFS(Table11[[#This Row],[Vehicle_Type]]="SUV",250,Table11[[#This Row],[Vehicle_Type]]="Sedan",200,Table11[[#This Row],[Vehicle_Type]]="Hatchback",185,Table11[[#This Row],[Vehicle_Type]]="Electric",190,Table11[[#This Row],[Vehicle_Type]]="Truck",150)</f>
        <v>190</v>
      </c>
      <c r="G302">
        <f t="shared" ca="1" si="4"/>
        <v>24</v>
      </c>
      <c r="H302" s="82">
        <f>Table11[[#This Row],[Daily_Production]]-Table11[[#This Row],[Forecasted_Units]]</f>
        <v>90.573208068832287</v>
      </c>
      <c r="I302" cm="1">
        <f t="array" ref="I302">_xlfn.IFS(Table11[[#This Row],[Vehicle_Type]]="SUV",5,Table11[[#This Row],[Vehicle_Type]]="Sedan",7,Table11[[#This Row],[Vehicle_Type]]="Hatchback",10,Table11[[#This Row],[Vehicle_Type]]="Electric",11,Table11[[#This Row],[Vehicle_Type]]="Truck",13)</f>
        <v>11</v>
      </c>
      <c r="J302">
        <f ca="1">Table11[[#This Row],[Daily_Production]]*Table11[[#This Row],[Working_Days]]</f>
        <v>4560</v>
      </c>
      <c r="K302" s="81">
        <f>Table11[[#This Row],[Forecasted_Units]]*0.1</f>
        <v>9.9426791931167724</v>
      </c>
      <c r="L302" s="82">
        <f>Table11[[#This Row],[Adjusted_Forecast]]+Table11[[#This Row],[Safety_Stock]]-Table11[[#This Row],[Inventory_On_Hand]]</f>
        <v>18.796263055452201</v>
      </c>
      <c r="M302" s="82">
        <f ca="1">MIN(Table11[[#This Row],[Production_Needed]],Table11[[#This Row],[Production_Capacity]])</f>
        <v>18.796263055452201</v>
      </c>
      <c r="N302" s="82">
        <f ca="1">MAX(Table11[[#This Row],[Production_Needed]]-Table11[[#This Row],[Planned_Production]],0)</f>
        <v>0</v>
      </c>
      <c r="O302" s="82">
        <f ca="1">Table11[[#This Row],[Inventory_On_Hand]]+Table11[[#This Row],[Planned_Production]]-Table11[[#This Row],[Forecasted_Units]]</f>
        <v>9.9426791931167742</v>
      </c>
      <c r="P302" cm="1">
        <f t="array" ref="P302">_xlfn.XLOOKUP(Table11[[#This Row],[Date]] &amp; Table11[[#This Row],[Vehicle_Type]], Table12[Date] &amp; Table12[Vehicle_Type],Table12[Feedback_Adjustment], 0)</f>
        <v>0</v>
      </c>
      <c r="Q302" s="82">
        <f>Table11[[#This Row],[Forecasted_Units]]*(1+Table11[[#This Row],[Adjustment_Percentage]])</f>
        <v>99.426791931167713</v>
      </c>
      <c r="R302" s="82"/>
    </row>
    <row r="303" spans="1:18">
      <c r="A303" s="54">
        <v>51035</v>
      </c>
      <c r="B303" s="15" t="s">
        <v>10</v>
      </c>
      <c r="C303" s="15" t="str">
        <f>TEXT(Table11[[#This Row],[Date]],"mmmm")</f>
        <v>September</v>
      </c>
      <c r="D303" s="15">
        <v>86</v>
      </c>
      <c r="E303" s="82">
        <f>_xlfn.FORECAST.LINEAR(Table11[[#This Row],[Date]],Table11[Units_Sold],Table11[Date])</f>
        <v>99.427956127824501</v>
      </c>
      <c r="F303" cm="1">
        <f t="array" ref="F303">_xlfn.IFS(Table11[[#This Row],[Vehicle_Type]]="SUV",250,Table11[[#This Row],[Vehicle_Type]]="Sedan",200,Table11[[#This Row],[Vehicle_Type]]="Hatchback",185,Table11[[#This Row],[Vehicle_Type]]="Electric",190,Table11[[#This Row],[Vehicle_Type]]="Truck",150)</f>
        <v>200</v>
      </c>
      <c r="G303">
        <f t="shared" ca="1" si="4"/>
        <v>24</v>
      </c>
      <c r="H303" s="82">
        <f>Table11[[#This Row],[Daily_Production]]-Table11[[#This Row],[Forecasted_Units]]</f>
        <v>100.5720438721755</v>
      </c>
      <c r="I303" cm="1">
        <f t="array" ref="I303">_xlfn.IFS(Table11[[#This Row],[Vehicle_Type]]="SUV",5,Table11[[#This Row],[Vehicle_Type]]="Sedan",7,Table11[[#This Row],[Vehicle_Type]]="Hatchback",10,Table11[[#This Row],[Vehicle_Type]]="Electric",11,Table11[[#This Row],[Vehicle_Type]]="Truck",13)</f>
        <v>7</v>
      </c>
      <c r="J303">
        <f ca="1">Table11[[#This Row],[Daily_Production]]*Table11[[#This Row],[Working_Days]]</f>
        <v>4800</v>
      </c>
      <c r="K303" s="81">
        <f>Table11[[#This Row],[Forecasted_Units]]*0.1</f>
        <v>9.9427956127824508</v>
      </c>
      <c r="L303" s="82">
        <f>Table11[[#This Row],[Adjusted_Forecast]]+Table11[[#This Row],[Safety_Stock]]-Table11[[#This Row],[Inventory_On_Hand]]</f>
        <v>8.7987078684314497</v>
      </c>
      <c r="M303" s="82">
        <f ca="1">MIN(Table11[[#This Row],[Production_Needed]],Table11[[#This Row],[Production_Capacity]])</f>
        <v>8.7987078684314497</v>
      </c>
      <c r="N303" s="82">
        <f ca="1">MAX(Table11[[#This Row],[Production_Needed]]-Table11[[#This Row],[Planned_Production]],0)</f>
        <v>0</v>
      </c>
      <c r="O303" s="82">
        <f ca="1">Table11[[#This Row],[Inventory_On_Hand]]+Table11[[#This Row],[Planned_Production]]-Table11[[#This Row],[Forecasted_Units]]</f>
        <v>9.9427956127824473</v>
      </c>
      <c r="P303" cm="1">
        <f t="array" ref="P303">_xlfn.XLOOKUP(Table11[[#This Row],[Date]] &amp; Table11[[#This Row],[Vehicle_Type]], Table12[Date] &amp; Table12[Vehicle_Type],Table12[Feedback_Adjustment], 0)</f>
        <v>0</v>
      </c>
      <c r="Q303" s="82">
        <f>Table11[[#This Row],[Forecasted_Units]]*(1+Table11[[#This Row],[Adjustment_Percentage]])</f>
        <v>99.427956127824501</v>
      </c>
      <c r="R303" s="82"/>
    </row>
    <row r="304" spans="1:18">
      <c r="A304" s="53">
        <v>51065</v>
      </c>
      <c r="B304" s="14" t="s">
        <v>13</v>
      </c>
      <c r="C304" s="15" t="str">
        <f>TEXT(Table11[[#This Row],[Date]],"mmmm")</f>
        <v>October</v>
      </c>
      <c r="D304" s="14">
        <v>120</v>
      </c>
      <c r="E304" s="82">
        <f>_xlfn.FORECAST.LINEAR(Table11[[#This Row],[Date]],Table11[Units_Sold],Table11[Date])</f>
        <v>99.429120324481289</v>
      </c>
      <c r="F304" cm="1">
        <f t="array" ref="F304">_xlfn.IFS(Table11[[#This Row],[Vehicle_Type]]="SUV",250,Table11[[#This Row],[Vehicle_Type]]="Sedan",200,Table11[[#This Row],[Vehicle_Type]]="Hatchback",185,Table11[[#This Row],[Vehicle_Type]]="Electric",190,Table11[[#This Row],[Vehicle_Type]]="Truck",150)</f>
        <v>190</v>
      </c>
      <c r="G304">
        <f t="shared" ca="1" si="4"/>
        <v>23</v>
      </c>
      <c r="H304" s="82">
        <f>Table11[[#This Row],[Daily_Production]]-Table11[[#This Row],[Forecasted_Units]]</f>
        <v>90.570879675518711</v>
      </c>
      <c r="I304" cm="1">
        <f t="array" ref="I304">_xlfn.IFS(Table11[[#This Row],[Vehicle_Type]]="SUV",5,Table11[[#This Row],[Vehicle_Type]]="Sedan",7,Table11[[#This Row],[Vehicle_Type]]="Hatchback",10,Table11[[#This Row],[Vehicle_Type]]="Electric",11,Table11[[#This Row],[Vehicle_Type]]="Truck",13)</f>
        <v>11</v>
      </c>
      <c r="J304">
        <f ca="1">Table11[[#This Row],[Daily_Production]]*Table11[[#This Row],[Working_Days]]</f>
        <v>4370</v>
      </c>
      <c r="K304" s="81">
        <f>Table11[[#This Row],[Forecasted_Units]]*0.1</f>
        <v>9.9429120324481293</v>
      </c>
      <c r="L304" s="82">
        <f>Table11[[#This Row],[Adjusted_Forecast]]+Table11[[#This Row],[Safety_Stock]]-Table11[[#This Row],[Inventory_On_Hand]]</f>
        <v>18.801152681410713</v>
      </c>
      <c r="M304" s="82">
        <f ca="1">MIN(Table11[[#This Row],[Production_Needed]],Table11[[#This Row],[Production_Capacity]])</f>
        <v>18.801152681410713</v>
      </c>
      <c r="N304" s="82">
        <f ca="1">MAX(Table11[[#This Row],[Production_Needed]]-Table11[[#This Row],[Planned_Production]],0)</f>
        <v>0</v>
      </c>
      <c r="O304" s="82">
        <f ca="1">Table11[[#This Row],[Inventory_On_Hand]]+Table11[[#This Row],[Planned_Production]]-Table11[[#This Row],[Forecasted_Units]]</f>
        <v>9.9429120324481346</v>
      </c>
      <c r="P304" cm="1">
        <f t="array" ref="P304">_xlfn.XLOOKUP(Table11[[#This Row],[Date]] &amp; Table11[[#This Row],[Vehicle_Type]], Table12[Date] &amp; Table12[Vehicle_Type],Table12[Feedback_Adjustment], 0)</f>
        <v>0</v>
      </c>
      <c r="Q304" s="82">
        <f>Table11[[#This Row],[Forecasted_Units]]*(1+Table11[[#This Row],[Adjustment_Percentage]])</f>
        <v>99.429120324481289</v>
      </c>
      <c r="R304" s="82"/>
    </row>
    <row r="305" spans="1:18">
      <c r="A305" s="54">
        <v>51095</v>
      </c>
      <c r="B305" s="15" t="s">
        <v>10</v>
      </c>
      <c r="C305" s="15" t="str">
        <f>TEXT(Table11[[#This Row],[Date]],"mmmm")</f>
        <v>November</v>
      </c>
      <c r="D305" s="15">
        <v>81</v>
      </c>
      <c r="E305" s="82">
        <f>_xlfn.FORECAST.LINEAR(Table11[[#This Row],[Date]],Table11[Units_Sold],Table11[Date])</f>
        <v>99.430284521138077</v>
      </c>
      <c r="F305" cm="1">
        <f t="array" ref="F305">_xlfn.IFS(Table11[[#This Row],[Vehicle_Type]]="SUV",250,Table11[[#This Row],[Vehicle_Type]]="Sedan",200,Table11[[#This Row],[Vehicle_Type]]="Hatchback",185,Table11[[#This Row],[Vehicle_Type]]="Electric",190,Table11[[#This Row],[Vehicle_Type]]="Truck",150)</f>
        <v>200</v>
      </c>
      <c r="G305">
        <f t="shared" ca="1" si="4"/>
        <v>24</v>
      </c>
      <c r="H305" s="82">
        <f>Table11[[#This Row],[Daily_Production]]-Table11[[#This Row],[Forecasted_Units]]</f>
        <v>100.56971547886192</v>
      </c>
      <c r="I305" cm="1">
        <f t="array" ref="I305">_xlfn.IFS(Table11[[#This Row],[Vehicle_Type]]="SUV",5,Table11[[#This Row],[Vehicle_Type]]="Sedan",7,Table11[[#This Row],[Vehicle_Type]]="Hatchback",10,Table11[[#This Row],[Vehicle_Type]]="Electric",11,Table11[[#This Row],[Vehicle_Type]]="Truck",13)</f>
        <v>7</v>
      </c>
      <c r="J305">
        <f ca="1">Table11[[#This Row],[Daily_Production]]*Table11[[#This Row],[Working_Days]]</f>
        <v>4800</v>
      </c>
      <c r="K305" s="81">
        <f>Table11[[#This Row],[Forecasted_Units]]*0.1</f>
        <v>9.9430284521138077</v>
      </c>
      <c r="L305" s="82">
        <f>Table11[[#This Row],[Adjusted_Forecast]]+Table11[[#This Row],[Safety_Stock]]-Table11[[#This Row],[Inventory_On_Hand]]</f>
        <v>8.8035974943899618</v>
      </c>
      <c r="M305" s="82">
        <f ca="1">MIN(Table11[[#This Row],[Production_Needed]],Table11[[#This Row],[Production_Capacity]])</f>
        <v>8.8035974943899618</v>
      </c>
      <c r="N305" s="82">
        <f ca="1">MAX(Table11[[#This Row],[Production_Needed]]-Table11[[#This Row],[Planned_Production]],0)</f>
        <v>0</v>
      </c>
      <c r="O305" s="82">
        <f ca="1">Table11[[#This Row],[Inventory_On_Hand]]+Table11[[#This Row],[Planned_Production]]-Table11[[#This Row],[Forecasted_Units]]</f>
        <v>9.9430284521138077</v>
      </c>
      <c r="P305" cm="1">
        <f t="array" ref="P305">_xlfn.XLOOKUP(Table11[[#This Row],[Date]] &amp; Table11[[#This Row],[Vehicle_Type]], Table12[Date] &amp; Table12[Vehicle_Type],Table12[Feedback_Adjustment], 0)</f>
        <v>0</v>
      </c>
      <c r="Q305" s="82">
        <f>Table11[[#This Row],[Forecasted_Units]]*(1+Table11[[#This Row],[Adjustment_Percentage]])</f>
        <v>99.430284521138077</v>
      </c>
      <c r="R305" s="82"/>
    </row>
    <row r="306" spans="1:18">
      <c r="A306" s="53">
        <v>51125</v>
      </c>
      <c r="B306" s="14" t="s">
        <v>14</v>
      </c>
      <c r="C306" s="15" t="str">
        <f>TEXT(Table11[[#This Row],[Date]],"mmmm")</f>
        <v>December</v>
      </c>
      <c r="D306" s="14">
        <v>102</v>
      </c>
      <c r="E306" s="82">
        <f>_xlfn.FORECAST.LINEAR(Table11[[#This Row],[Date]],Table11[Units_Sold],Table11[Date])</f>
        <v>99.431448717794865</v>
      </c>
      <c r="F306" cm="1">
        <f t="array" ref="F306">_xlfn.IFS(Table11[[#This Row],[Vehicle_Type]]="SUV",250,Table11[[#This Row],[Vehicle_Type]]="Sedan",200,Table11[[#This Row],[Vehicle_Type]]="Hatchback",185,Table11[[#This Row],[Vehicle_Type]]="Electric",190,Table11[[#This Row],[Vehicle_Type]]="Truck",150)</f>
        <v>150</v>
      </c>
      <c r="G306">
        <f t="shared" ca="1" si="4"/>
        <v>25</v>
      </c>
      <c r="H306" s="82">
        <f>Table11[[#This Row],[Daily_Production]]-Table11[[#This Row],[Forecasted_Units]]</f>
        <v>50.568551282205135</v>
      </c>
      <c r="I306" cm="1">
        <f t="array" ref="I306">_xlfn.IFS(Table11[[#This Row],[Vehicle_Type]]="SUV",5,Table11[[#This Row],[Vehicle_Type]]="Sedan",7,Table11[[#This Row],[Vehicle_Type]]="Hatchback",10,Table11[[#This Row],[Vehicle_Type]]="Electric",11,Table11[[#This Row],[Vehicle_Type]]="Truck",13)</f>
        <v>13</v>
      </c>
      <c r="J306">
        <f ca="1">Table11[[#This Row],[Daily_Production]]*Table11[[#This Row],[Working_Days]]</f>
        <v>3750</v>
      </c>
      <c r="K306" s="81">
        <f>Table11[[#This Row],[Forecasted_Units]]*0.1</f>
        <v>9.9431448717794879</v>
      </c>
      <c r="L306" s="82">
        <f>Table11[[#This Row],[Adjusted_Forecast]]+Table11[[#This Row],[Safety_Stock]]-Table11[[#This Row],[Inventory_On_Hand]]</f>
        <v>58.806042307369211</v>
      </c>
      <c r="M306" s="82">
        <f ca="1">MIN(Table11[[#This Row],[Production_Needed]],Table11[[#This Row],[Production_Capacity]])</f>
        <v>58.806042307369211</v>
      </c>
      <c r="N306" s="82">
        <f ca="1">MAX(Table11[[#This Row],[Production_Needed]]-Table11[[#This Row],[Planned_Production]],0)</f>
        <v>0</v>
      </c>
      <c r="O306" s="82">
        <f ca="1">Table11[[#This Row],[Inventory_On_Hand]]+Table11[[#This Row],[Planned_Production]]-Table11[[#This Row],[Forecasted_Units]]</f>
        <v>9.9431448717794808</v>
      </c>
      <c r="P306" cm="1">
        <f t="array" ref="P306">_xlfn.XLOOKUP(Table11[[#This Row],[Date]] &amp; Table11[[#This Row],[Vehicle_Type]], Table12[Date] &amp; Table12[Vehicle_Type],Table12[Feedback_Adjustment], 0)</f>
        <v>0</v>
      </c>
      <c r="Q306" s="82">
        <f>Table11[[#This Row],[Forecasted_Units]]*(1+Table11[[#This Row],[Adjustment_Percentage]])</f>
        <v>99.431448717794865</v>
      </c>
      <c r="R306" s="82"/>
    </row>
    <row r="307" spans="1:18">
      <c r="A307" s="54">
        <v>51155</v>
      </c>
      <c r="B307" s="15" t="s">
        <v>13</v>
      </c>
      <c r="C307" s="15" t="str">
        <f>TEXT(Table11[[#This Row],[Date]],"mmmm")</f>
        <v>January</v>
      </c>
      <c r="D307" s="15">
        <v>87</v>
      </c>
      <c r="E307" s="82">
        <f>_xlfn.FORECAST.LINEAR(Table11[[#This Row],[Date]],Table11[Units_Sold],Table11[Date])</f>
        <v>99.432612914451653</v>
      </c>
      <c r="F307" cm="1">
        <f t="array" ref="F307">_xlfn.IFS(Table11[[#This Row],[Vehicle_Type]]="SUV",250,Table11[[#This Row],[Vehicle_Type]]="Sedan",200,Table11[[#This Row],[Vehicle_Type]]="Hatchback",185,Table11[[#This Row],[Vehicle_Type]]="Electric",190,Table11[[#This Row],[Vehicle_Type]]="Truck",150)</f>
        <v>190</v>
      </c>
      <c r="G307">
        <f t="shared" ca="1" si="4"/>
        <v>21</v>
      </c>
      <c r="H307" s="82">
        <f>Table11[[#This Row],[Daily_Production]]-Table11[[#This Row],[Forecasted_Units]]</f>
        <v>90.567387085548347</v>
      </c>
      <c r="I307" cm="1">
        <f t="array" ref="I307">_xlfn.IFS(Table11[[#This Row],[Vehicle_Type]]="SUV",5,Table11[[#This Row],[Vehicle_Type]]="Sedan",7,Table11[[#This Row],[Vehicle_Type]]="Hatchback",10,Table11[[#This Row],[Vehicle_Type]]="Electric",11,Table11[[#This Row],[Vehicle_Type]]="Truck",13)</f>
        <v>11</v>
      </c>
      <c r="J307">
        <f ca="1">Table11[[#This Row],[Daily_Production]]*Table11[[#This Row],[Working_Days]]</f>
        <v>3990</v>
      </c>
      <c r="K307" s="81">
        <f>Table11[[#This Row],[Forecasted_Units]]*0.1</f>
        <v>9.9432612914451663</v>
      </c>
      <c r="L307" s="82">
        <f>Table11[[#This Row],[Adjusted_Forecast]]+Table11[[#This Row],[Safety_Stock]]-Table11[[#This Row],[Inventory_On_Hand]]</f>
        <v>18.808487120348474</v>
      </c>
      <c r="M307" s="82">
        <f ca="1">MIN(Table11[[#This Row],[Production_Needed]],Table11[[#This Row],[Production_Capacity]])</f>
        <v>18.808487120348474</v>
      </c>
      <c r="N307" s="82">
        <f ca="1">MAX(Table11[[#This Row],[Production_Needed]]-Table11[[#This Row],[Planned_Production]],0)</f>
        <v>0</v>
      </c>
      <c r="O307" s="82">
        <f ca="1">Table11[[#This Row],[Inventory_On_Hand]]+Table11[[#This Row],[Planned_Production]]-Table11[[#This Row],[Forecasted_Units]]</f>
        <v>9.9432612914451681</v>
      </c>
      <c r="P307" cm="1">
        <f t="array" ref="P307">_xlfn.XLOOKUP(Table11[[#This Row],[Date]] &amp; Table11[[#This Row],[Vehicle_Type]], Table12[Date] &amp; Table12[Vehicle_Type],Table12[Feedback_Adjustment], 0)</f>
        <v>0</v>
      </c>
      <c r="Q307" s="82">
        <f>Table11[[#This Row],[Forecasted_Units]]*(1+Table11[[#This Row],[Adjustment_Percentage]])</f>
        <v>99.432612914451653</v>
      </c>
      <c r="R307" s="82"/>
    </row>
    <row r="308" spans="1:18">
      <c r="A308" s="53">
        <v>51185</v>
      </c>
      <c r="B308" s="14" t="s">
        <v>13</v>
      </c>
      <c r="C308" s="15" t="str">
        <f>TEXT(Table11[[#This Row],[Date]],"mmmm")</f>
        <v>February</v>
      </c>
      <c r="D308" s="14">
        <v>90</v>
      </c>
      <c r="E308" s="82">
        <f>_xlfn.FORECAST.LINEAR(Table11[[#This Row],[Date]],Table11[Units_Sold],Table11[Date])</f>
        <v>99.433777111108441</v>
      </c>
      <c r="F308" cm="1">
        <f t="array" ref="F308">_xlfn.IFS(Table11[[#This Row],[Vehicle_Type]]="SUV",250,Table11[[#This Row],[Vehicle_Type]]="Sedan",200,Table11[[#This Row],[Vehicle_Type]]="Hatchback",185,Table11[[#This Row],[Vehicle_Type]]="Electric",190,Table11[[#This Row],[Vehicle_Type]]="Truck",150)</f>
        <v>190</v>
      </c>
      <c r="G308">
        <f t="shared" ca="1" si="4"/>
        <v>22</v>
      </c>
      <c r="H308" s="82">
        <f>Table11[[#This Row],[Daily_Production]]-Table11[[#This Row],[Forecasted_Units]]</f>
        <v>90.566222888891559</v>
      </c>
      <c r="I308" cm="1">
        <f t="array" ref="I308">_xlfn.IFS(Table11[[#This Row],[Vehicle_Type]]="SUV",5,Table11[[#This Row],[Vehicle_Type]]="Sedan",7,Table11[[#This Row],[Vehicle_Type]]="Hatchback",10,Table11[[#This Row],[Vehicle_Type]]="Electric",11,Table11[[#This Row],[Vehicle_Type]]="Truck",13)</f>
        <v>11</v>
      </c>
      <c r="J308">
        <f ca="1">Table11[[#This Row],[Daily_Production]]*Table11[[#This Row],[Working_Days]]</f>
        <v>4180</v>
      </c>
      <c r="K308" s="81">
        <f>Table11[[#This Row],[Forecasted_Units]]*0.1</f>
        <v>9.9433777111108448</v>
      </c>
      <c r="L308" s="82">
        <f>Table11[[#This Row],[Adjusted_Forecast]]+Table11[[#This Row],[Safety_Stock]]-Table11[[#This Row],[Inventory_On_Hand]]</f>
        <v>18.810931933327723</v>
      </c>
      <c r="M308" s="82">
        <f ca="1">MIN(Table11[[#This Row],[Production_Needed]],Table11[[#This Row],[Production_Capacity]])</f>
        <v>18.810931933327723</v>
      </c>
      <c r="N308" s="82">
        <f ca="1">MAX(Table11[[#This Row],[Production_Needed]]-Table11[[#This Row],[Planned_Production]],0)</f>
        <v>0</v>
      </c>
      <c r="O308" s="82">
        <f ca="1">Table11[[#This Row],[Inventory_On_Hand]]+Table11[[#This Row],[Planned_Production]]-Table11[[#This Row],[Forecasted_Units]]</f>
        <v>9.9433777111108412</v>
      </c>
      <c r="P308" cm="1">
        <f t="array" ref="P308">_xlfn.XLOOKUP(Table11[[#This Row],[Date]] &amp; Table11[[#This Row],[Vehicle_Type]], Table12[Date] &amp; Table12[Vehicle_Type],Table12[Feedback_Adjustment], 0)</f>
        <v>0</v>
      </c>
      <c r="Q308" s="82">
        <f>Table11[[#This Row],[Forecasted_Units]]*(1+Table11[[#This Row],[Adjustment_Percentage]])</f>
        <v>99.433777111108441</v>
      </c>
      <c r="R308" s="82"/>
    </row>
    <row r="309" spans="1:18">
      <c r="A309" s="54">
        <v>51215</v>
      </c>
      <c r="B309" s="15" t="s">
        <v>13</v>
      </c>
      <c r="C309" s="15" t="str">
        <f>TEXT(Table11[[#This Row],[Date]],"mmmm")</f>
        <v>March</v>
      </c>
      <c r="D309" s="15">
        <v>89</v>
      </c>
      <c r="E309" s="82">
        <f>_xlfn.FORECAST.LINEAR(Table11[[#This Row],[Date]],Table11[Units_Sold],Table11[Date])</f>
        <v>99.434941307765229</v>
      </c>
      <c r="F309" cm="1">
        <f t="array" ref="F309">_xlfn.IFS(Table11[[#This Row],[Vehicle_Type]]="SUV",250,Table11[[#This Row],[Vehicle_Type]]="Sedan",200,Table11[[#This Row],[Vehicle_Type]]="Hatchback",185,Table11[[#This Row],[Vehicle_Type]]="Electric",190,Table11[[#This Row],[Vehicle_Type]]="Truck",150)</f>
        <v>190</v>
      </c>
      <c r="G309">
        <f t="shared" ca="1" si="4"/>
        <v>24</v>
      </c>
      <c r="H309" s="82">
        <f>Table11[[#This Row],[Daily_Production]]-Table11[[#This Row],[Forecasted_Units]]</f>
        <v>90.565058692234771</v>
      </c>
      <c r="I309" cm="1">
        <f t="array" ref="I309">_xlfn.IFS(Table11[[#This Row],[Vehicle_Type]]="SUV",5,Table11[[#This Row],[Vehicle_Type]]="Sedan",7,Table11[[#This Row],[Vehicle_Type]]="Hatchback",10,Table11[[#This Row],[Vehicle_Type]]="Electric",11,Table11[[#This Row],[Vehicle_Type]]="Truck",13)</f>
        <v>11</v>
      </c>
      <c r="J309">
        <f ca="1">Table11[[#This Row],[Daily_Production]]*Table11[[#This Row],[Working_Days]]</f>
        <v>4560</v>
      </c>
      <c r="K309" s="81">
        <f>Table11[[#This Row],[Forecasted_Units]]*0.1</f>
        <v>9.9434941307765232</v>
      </c>
      <c r="L309" s="82">
        <f>Table11[[#This Row],[Adjusted_Forecast]]+Table11[[#This Row],[Safety_Stock]]-Table11[[#This Row],[Inventory_On_Hand]]</f>
        <v>18.813376746306986</v>
      </c>
      <c r="M309" s="82">
        <f ca="1">MIN(Table11[[#This Row],[Production_Needed]],Table11[[#This Row],[Production_Capacity]])</f>
        <v>18.813376746306986</v>
      </c>
      <c r="N309" s="82">
        <f ca="1">MAX(Table11[[#This Row],[Production_Needed]]-Table11[[#This Row],[Planned_Production]],0)</f>
        <v>0</v>
      </c>
      <c r="O309" s="82">
        <f ca="1">Table11[[#This Row],[Inventory_On_Hand]]+Table11[[#This Row],[Planned_Production]]-Table11[[#This Row],[Forecasted_Units]]</f>
        <v>9.9434941307765286</v>
      </c>
      <c r="P309" cm="1">
        <f t="array" ref="P309">_xlfn.XLOOKUP(Table11[[#This Row],[Date]] &amp; Table11[[#This Row],[Vehicle_Type]], Table12[Date] &amp; Table12[Vehicle_Type],Table12[Feedback_Adjustment], 0)</f>
        <v>0</v>
      </c>
      <c r="Q309" s="82">
        <f>Table11[[#This Row],[Forecasted_Units]]*(1+Table11[[#This Row],[Adjustment_Percentage]])</f>
        <v>99.434941307765229</v>
      </c>
      <c r="R309" s="82"/>
    </row>
    <row r="310" spans="1:18">
      <c r="A310" s="53">
        <v>51245</v>
      </c>
      <c r="B310" s="14" t="s">
        <v>11</v>
      </c>
      <c r="C310" s="15" t="str">
        <f>TEXT(Table11[[#This Row],[Date]],"mmmm")</f>
        <v>April</v>
      </c>
      <c r="D310" s="14">
        <v>105</v>
      </c>
      <c r="E310" s="82">
        <f>_xlfn.FORECAST.LINEAR(Table11[[#This Row],[Date]],Table11[Units_Sold],Table11[Date])</f>
        <v>99.436105504422017</v>
      </c>
      <c r="F310" cm="1">
        <f t="array" ref="F310">_xlfn.IFS(Table11[[#This Row],[Vehicle_Type]]="SUV",250,Table11[[#This Row],[Vehicle_Type]]="Sedan",200,Table11[[#This Row],[Vehicle_Type]]="Hatchback",185,Table11[[#This Row],[Vehicle_Type]]="Electric",190,Table11[[#This Row],[Vehicle_Type]]="Truck",150)</f>
        <v>185</v>
      </c>
      <c r="G310">
        <f t="shared" ca="1" si="4"/>
        <v>23</v>
      </c>
      <c r="H310" s="82">
        <f>Table11[[#This Row],[Daily_Production]]-Table11[[#This Row],[Forecasted_Units]]</f>
        <v>85.563894495577983</v>
      </c>
      <c r="I310" cm="1">
        <f t="array" ref="I310">_xlfn.IFS(Table11[[#This Row],[Vehicle_Type]]="SUV",5,Table11[[#This Row],[Vehicle_Type]]="Sedan",7,Table11[[#This Row],[Vehicle_Type]]="Hatchback",10,Table11[[#This Row],[Vehicle_Type]]="Electric",11,Table11[[#This Row],[Vehicle_Type]]="Truck",13)</f>
        <v>10</v>
      </c>
      <c r="J310">
        <f ca="1">Table11[[#This Row],[Daily_Production]]*Table11[[#This Row],[Working_Days]]</f>
        <v>4255</v>
      </c>
      <c r="K310" s="81">
        <f>Table11[[#This Row],[Forecasted_Units]]*0.1</f>
        <v>9.9436105504422017</v>
      </c>
      <c r="L310" s="82">
        <f>Table11[[#This Row],[Adjusted_Forecast]]+Table11[[#This Row],[Safety_Stock]]-Table11[[#This Row],[Inventory_On_Hand]]</f>
        <v>23.815821559286235</v>
      </c>
      <c r="M310" s="82">
        <f ca="1">MIN(Table11[[#This Row],[Production_Needed]],Table11[[#This Row],[Production_Capacity]])</f>
        <v>23.815821559286235</v>
      </c>
      <c r="N310" s="82">
        <f ca="1">MAX(Table11[[#This Row],[Production_Needed]]-Table11[[#This Row],[Planned_Production]],0)</f>
        <v>0</v>
      </c>
      <c r="O310" s="82">
        <f ca="1">Table11[[#This Row],[Inventory_On_Hand]]+Table11[[#This Row],[Planned_Production]]-Table11[[#This Row],[Forecasted_Units]]</f>
        <v>9.9436105504422017</v>
      </c>
      <c r="P310" cm="1">
        <f t="array" ref="P310">_xlfn.XLOOKUP(Table11[[#This Row],[Date]] &amp; Table11[[#This Row],[Vehicle_Type]], Table12[Date] &amp; Table12[Vehicle_Type],Table12[Feedback_Adjustment], 0)</f>
        <v>0</v>
      </c>
      <c r="Q310" s="82">
        <f>Table11[[#This Row],[Forecasted_Units]]*(1+Table11[[#This Row],[Adjustment_Percentage]])</f>
        <v>99.436105504422017</v>
      </c>
      <c r="R310" s="82"/>
    </row>
    <row r="311" spans="1:18">
      <c r="A311" s="54">
        <v>51275</v>
      </c>
      <c r="B311" s="15" t="s">
        <v>11</v>
      </c>
      <c r="C311" s="15" t="str">
        <f>TEXT(Table11[[#This Row],[Date]],"mmmm")</f>
        <v>May</v>
      </c>
      <c r="D311" s="15">
        <v>96</v>
      </c>
      <c r="E311" s="82">
        <f>_xlfn.FORECAST.LINEAR(Table11[[#This Row],[Date]],Table11[Units_Sold],Table11[Date])</f>
        <v>99.437269701078804</v>
      </c>
      <c r="F311" cm="1">
        <f t="array" ref="F311">_xlfn.IFS(Table11[[#This Row],[Vehicle_Type]]="SUV",250,Table11[[#This Row],[Vehicle_Type]]="Sedan",200,Table11[[#This Row],[Vehicle_Type]]="Hatchback",185,Table11[[#This Row],[Vehicle_Type]]="Electric",190,Table11[[#This Row],[Vehicle_Type]]="Truck",150)</f>
        <v>185</v>
      </c>
      <c r="G311">
        <f t="shared" ca="1" si="4"/>
        <v>25</v>
      </c>
      <c r="H311" s="82">
        <f>Table11[[#This Row],[Daily_Production]]-Table11[[#This Row],[Forecasted_Units]]</f>
        <v>85.562730298921196</v>
      </c>
      <c r="I311" cm="1">
        <f t="array" ref="I311">_xlfn.IFS(Table11[[#This Row],[Vehicle_Type]]="SUV",5,Table11[[#This Row],[Vehicle_Type]]="Sedan",7,Table11[[#This Row],[Vehicle_Type]]="Hatchback",10,Table11[[#This Row],[Vehicle_Type]]="Electric",11,Table11[[#This Row],[Vehicle_Type]]="Truck",13)</f>
        <v>10</v>
      </c>
      <c r="J311">
        <f ca="1">Table11[[#This Row],[Daily_Production]]*Table11[[#This Row],[Working_Days]]</f>
        <v>4625</v>
      </c>
      <c r="K311" s="81">
        <f>Table11[[#This Row],[Forecasted_Units]]*0.1</f>
        <v>9.9437269701078819</v>
      </c>
      <c r="L311" s="82">
        <f>Table11[[#This Row],[Adjusted_Forecast]]+Table11[[#This Row],[Safety_Stock]]-Table11[[#This Row],[Inventory_On_Hand]]</f>
        <v>23.818266372265498</v>
      </c>
      <c r="M311" s="82">
        <f ca="1">MIN(Table11[[#This Row],[Production_Needed]],Table11[[#This Row],[Production_Capacity]])</f>
        <v>23.818266372265498</v>
      </c>
      <c r="N311" s="82">
        <f ca="1">MAX(Table11[[#This Row],[Production_Needed]]-Table11[[#This Row],[Planned_Production]],0)</f>
        <v>0</v>
      </c>
      <c r="O311" s="82">
        <f ca="1">Table11[[#This Row],[Inventory_On_Hand]]+Table11[[#This Row],[Planned_Production]]-Table11[[#This Row],[Forecasted_Units]]</f>
        <v>9.943726970107889</v>
      </c>
      <c r="P311" cm="1">
        <f t="array" ref="P311">_xlfn.XLOOKUP(Table11[[#This Row],[Date]] &amp; Table11[[#This Row],[Vehicle_Type]], Table12[Date] &amp; Table12[Vehicle_Type],Table12[Feedback_Adjustment], 0)</f>
        <v>0</v>
      </c>
      <c r="Q311" s="82">
        <f>Table11[[#This Row],[Forecasted_Units]]*(1+Table11[[#This Row],[Adjustment_Percentage]])</f>
        <v>99.437269701078804</v>
      </c>
      <c r="R311" s="82"/>
    </row>
    <row r="312" spans="1:18">
      <c r="A312" s="53">
        <v>51305</v>
      </c>
      <c r="B312" s="14" t="s">
        <v>12</v>
      </c>
      <c r="C312" s="15" t="str">
        <f>TEXT(Table11[[#This Row],[Date]],"mmmm")</f>
        <v>June</v>
      </c>
      <c r="D312" s="14">
        <v>97</v>
      </c>
      <c r="E312" s="82">
        <f>_xlfn.FORECAST.LINEAR(Table11[[#This Row],[Date]],Table11[Units_Sold],Table11[Date])</f>
        <v>99.438433897735578</v>
      </c>
      <c r="F312" cm="1">
        <f t="array" ref="F312">_xlfn.IFS(Table11[[#This Row],[Vehicle_Type]]="SUV",250,Table11[[#This Row],[Vehicle_Type]]="Sedan",200,Table11[[#This Row],[Vehicle_Type]]="Hatchback",185,Table11[[#This Row],[Vehicle_Type]]="Electric",190,Table11[[#This Row],[Vehicle_Type]]="Truck",150)</f>
        <v>250</v>
      </c>
      <c r="G312">
        <f t="shared" ca="1" si="4"/>
        <v>22</v>
      </c>
      <c r="H312" s="82">
        <f>Table11[[#This Row],[Daily_Production]]-Table11[[#This Row],[Forecasted_Units]]</f>
        <v>150.56156610226441</v>
      </c>
      <c r="I312" cm="1">
        <f t="array" ref="I312">_xlfn.IFS(Table11[[#This Row],[Vehicle_Type]]="SUV",5,Table11[[#This Row],[Vehicle_Type]]="Sedan",7,Table11[[#This Row],[Vehicle_Type]]="Hatchback",10,Table11[[#This Row],[Vehicle_Type]]="Electric",11,Table11[[#This Row],[Vehicle_Type]]="Truck",13)</f>
        <v>5</v>
      </c>
      <c r="J312">
        <f ca="1">Table11[[#This Row],[Daily_Production]]*Table11[[#This Row],[Working_Days]]</f>
        <v>5500</v>
      </c>
      <c r="K312" s="81">
        <f>Table11[[#This Row],[Forecasted_Units]]*0.1</f>
        <v>9.9438433897735585</v>
      </c>
      <c r="L312" s="82">
        <f>Table11[[#This Row],[Adjusted_Forecast]]+Table11[[#This Row],[Safety_Stock]]-Table11[[#This Row],[Inventory_On_Hand]]</f>
        <v>-41.179288814755267</v>
      </c>
      <c r="M312" s="82">
        <f ca="1">MIN(Table11[[#This Row],[Production_Needed]],Table11[[#This Row],[Production_Capacity]])</f>
        <v>-41.179288814755267</v>
      </c>
      <c r="N312" s="82">
        <f ca="1">MAX(Table11[[#This Row],[Production_Needed]]-Table11[[#This Row],[Planned_Production]],0)</f>
        <v>0</v>
      </c>
      <c r="O312" s="82">
        <f ca="1">Table11[[#This Row],[Inventory_On_Hand]]+Table11[[#This Row],[Planned_Production]]-Table11[[#This Row],[Forecasted_Units]]</f>
        <v>9.9438433897735621</v>
      </c>
      <c r="P312" cm="1">
        <f t="array" ref="P312">_xlfn.XLOOKUP(Table11[[#This Row],[Date]] &amp; Table11[[#This Row],[Vehicle_Type]], Table12[Date] &amp; Table12[Vehicle_Type],Table12[Feedback_Adjustment], 0)</f>
        <v>0</v>
      </c>
      <c r="Q312" s="82">
        <f>Table11[[#This Row],[Forecasted_Units]]*(1+Table11[[#This Row],[Adjustment_Percentage]])</f>
        <v>99.438433897735578</v>
      </c>
      <c r="R312" s="82"/>
    </row>
    <row r="313" spans="1:18">
      <c r="A313" s="54">
        <v>51335</v>
      </c>
      <c r="B313" s="15" t="s">
        <v>11</v>
      </c>
      <c r="C313" s="15" t="str">
        <f>TEXT(Table11[[#This Row],[Date]],"mmmm")</f>
        <v>July</v>
      </c>
      <c r="D313" s="15">
        <v>98</v>
      </c>
      <c r="E313" s="82">
        <f>_xlfn.FORECAST.LINEAR(Table11[[#This Row],[Date]],Table11[Units_Sold],Table11[Date])</f>
        <v>99.439598094392366</v>
      </c>
      <c r="F313" cm="1">
        <f t="array" ref="F313">_xlfn.IFS(Table11[[#This Row],[Vehicle_Type]]="SUV",250,Table11[[#This Row],[Vehicle_Type]]="Sedan",200,Table11[[#This Row],[Vehicle_Type]]="Hatchback",185,Table11[[#This Row],[Vehicle_Type]]="Electric",190,Table11[[#This Row],[Vehicle_Type]]="Truck",150)</f>
        <v>185</v>
      </c>
      <c r="G313">
        <f t="shared" ca="1" si="4"/>
        <v>22</v>
      </c>
      <c r="H313" s="82">
        <f>Table11[[#This Row],[Daily_Production]]-Table11[[#This Row],[Forecasted_Units]]</f>
        <v>85.560401905607634</v>
      </c>
      <c r="I313" cm="1">
        <f t="array" ref="I313">_xlfn.IFS(Table11[[#This Row],[Vehicle_Type]]="SUV",5,Table11[[#This Row],[Vehicle_Type]]="Sedan",7,Table11[[#This Row],[Vehicle_Type]]="Hatchback",10,Table11[[#This Row],[Vehicle_Type]]="Electric",11,Table11[[#This Row],[Vehicle_Type]]="Truck",13)</f>
        <v>10</v>
      </c>
      <c r="J313">
        <f ca="1">Table11[[#This Row],[Daily_Production]]*Table11[[#This Row],[Working_Days]]</f>
        <v>4070</v>
      </c>
      <c r="K313" s="81">
        <f>Table11[[#This Row],[Forecasted_Units]]*0.1</f>
        <v>9.943959809439237</v>
      </c>
      <c r="L313" s="82">
        <f>Table11[[#This Row],[Adjusted_Forecast]]+Table11[[#This Row],[Safety_Stock]]-Table11[[#This Row],[Inventory_On_Hand]]</f>
        <v>23.823155998223967</v>
      </c>
      <c r="M313" s="82">
        <f ca="1">MIN(Table11[[#This Row],[Production_Needed]],Table11[[#This Row],[Production_Capacity]])</f>
        <v>23.823155998223967</v>
      </c>
      <c r="N313" s="82">
        <f ca="1">MAX(Table11[[#This Row],[Production_Needed]]-Table11[[#This Row],[Planned_Production]],0)</f>
        <v>0</v>
      </c>
      <c r="O313" s="82">
        <f ca="1">Table11[[#This Row],[Inventory_On_Hand]]+Table11[[#This Row],[Planned_Production]]-Table11[[#This Row],[Forecasted_Units]]</f>
        <v>9.9439598094392352</v>
      </c>
      <c r="P313" cm="1">
        <f t="array" ref="P313">_xlfn.XLOOKUP(Table11[[#This Row],[Date]] &amp; Table11[[#This Row],[Vehicle_Type]], Table12[Date] &amp; Table12[Vehicle_Type],Table12[Feedback_Adjustment], 0)</f>
        <v>0</v>
      </c>
      <c r="Q313" s="82">
        <f>Table11[[#This Row],[Forecasted_Units]]*(1+Table11[[#This Row],[Adjustment_Percentage]])</f>
        <v>99.439598094392366</v>
      </c>
      <c r="R313" s="82"/>
    </row>
    <row r="314" spans="1:18">
      <c r="A314" s="53">
        <v>51365</v>
      </c>
      <c r="B314" s="14" t="s">
        <v>12</v>
      </c>
      <c r="C314" s="15" t="str">
        <f>TEXT(Table11[[#This Row],[Date]],"mmmm")</f>
        <v>August</v>
      </c>
      <c r="D314" s="14">
        <v>100</v>
      </c>
      <c r="E314" s="82">
        <f>_xlfn.FORECAST.LINEAR(Table11[[#This Row],[Date]],Table11[Units_Sold],Table11[Date])</f>
        <v>99.440762291049154</v>
      </c>
      <c r="F314" cm="1">
        <f t="array" ref="F314">_xlfn.IFS(Table11[[#This Row],[Vehicle_Type]]="SUV",250,Table11[[#This Row],[Vehicle_Type]]="Sedan",200,Table11[[#This Row],[Vehicle_Type]]="Hatchback",185,Table11[[#This Row],[Vehicle_Type]]="Electric",190,Table11[[#This Row],[Vehicle_Type]]="Truck",150)</f>
        <v>250</v>
      </c>
      <c r="G314">
        <f t="shared" ca="1" si="4"/>
        <v>20</v>
      </c>
      <c r="H314" s="82">
        <f>Table11[[#This Row],[Daily_Production]]-Table11[[#This Row],[Forecasted_Units]]</f>
        <v>150.55923770895083</v>
      </c>
      <c r="I314" cm="1">
        <f t="array" ref="I314">_xlfn.IFS(Table11[[#This Row],[Vehicle_Type]]="SUV",5,Table11[[#This Row],[Vehicle_Type]]="Sedan",7,Table11[[#This Row],[Vehicle_Type]]="Hatchback",10,Table11[[#This Row],[Vehicle_Type]]="Electric",11,Table11[[#This Row],[Vehicle_Type]]="Truck",13)</f>
        <v>5</v>
      </c>
      <c r="J314">
        <f ca="1">Table11[[#This Row],[Daily_Production]]*Table11[[#This Row],[Working_Days]]</f>
        <v>5000</v>
      </c>
      <c r="K314" s="81">
        <f>Table11[[#This Row],[Forecasted_Units]]*0.1</f>
        <v>9.9440762291049154</v>
      </c>
      <c r="L314" s="82">
        <f>Table11[[#This Row],[Adjusted_Forecast]]+Table11[[#This Row],[Safety_Stock]]-Table11[[#This Row],[Inventory_On_Hand]]</f>
        <v>-41.17439918879677</v>
      </c>
      <c r="M314" s="82">
        <f ca="1">MIN(Table11[[#This Row],[Production_Needed]],Table11[[#This Row],[Production_Capacity]])</f>
        <v>-41.17439918879677</v>
      </c>
      <c r="N314" s="82">
        <f ca="1">MAX(Table11[[#This Row],[Production_Needed]]-Table11[[#This Row],[Planned_Production]],0)</f>
        <v>0</v>
      </c>
      <c r="O314" s="82">
        <f ca="1">Table11[[#This Row],[Inventory_On_Hand]]+Table11[[#This Row],[Planned_Production]]-Table11[[#This Row],[Forecasted_Units]]</f>
        <v>9.9440762291049083</v>
      </c>
      <c r="P314" cm="1">
        <f t="array" ref="P314">_xlfn.XLOOKUP(Table11[[#This Row],[Date]] &amp; Table11[[#This Row],[Vehicle_Type]], Table12[Date] &amp; Table12[Vehicle_Type],Table12[Feedback_Adjustment], 0)</f>
        <v>0</v>
      </c>
      <c r="Q314" s="82">
        <f>Table11[[#This Row],[Forecasted_Units]]*(1+Table11[[#This Row],[Adjustment_Percentage]])</f>
        <v>99.440762291049154</v>
      </c>
      <c r="R314" s="82"/>
    </row>
    <row r="315" spans="1:18">
      <c r="A315" s="54">
        <v>51395</v>
      </c>
      <c r="B315" s="15" t="s">
        <v>11</v>
      </c>
      <c r="C315" s="15" t="str">
        <f>TEXT(Table11[[#This Row],[Date]],"mmmm")</f>
        <v>September</v>
      </c>
      <c r="D315" s="15">
        <v>108</v>
      </c>
      <c r="E315" s="82">
        <f>_xlfn.FORECAST.LINEAR(Table11[[#This Row],[Date]],Table11[Units_Sold],Table11[Date])</f>
        <v>99.441926487705942</v>
      </c>
      <c r="F315" cm="1">
        <f t="array" ref="F315">_xlfn.IFS(Table11[[#This Row],[Vehicle_Type]]="SUV",250,Table11[[#This Row],[Vehicle_Type]]="Sedan",200,Table11[[#This Row],[Vehicle_Type]]="Hatchback",185,Table11[[#This Row],[Vehicle_Type]]="Electric",190,Table11[[#This Row],[Vehicle_Type]]="Truck",150)</f>
        <v>185</v>
      </c>
      <c r="G315">
        <f t="shared" ca="1" si="4"/>
        <v>23</v>
      </c>
      <c r="H315" s="82">
        <f>Table11[[#This Row],[Daily_Production]]-Table11[[#This Row],[Forecasted_Units]]</f>
        <v>85.558073512294058</v>
      </c>
      <c r="I315" cm="1">
        <f t="array" ref="I315">_xlfn.IFS(Table11[[#This Row],[Vehicle_Type]]="SUV",5,Table11[[#This Row],[Vehicle_Type]]="Sedan",7,Table11[[#This Row],[Vehicle_Type]]="Hatchback",10,Table11[[#This Row],[Vehicle_Type]]="Electric",11,Table11[[#This Row],[Vehicle_Type]]="Truck",13)</f>
        <v>10</v>
      </c>
      <c r="J315">
        <f ca="1">Table11[[#This Row],[Daily_Production]]*Table11[[#This Row],[Working_Days]]</f>
        <v>4255</v>
      </c>
      <c r="K315" s="81">
        <f>Table11[[#This Row],[Forecasted_Units]]*0.1</f>
        <v>9.9441926487705956</v>
      </c>
      <c r="L315" s="82">
        <f>Table11[[#This Row],[Adjusted_Forecast]]+Table11[[#This Row],[Safety_Stock]]-Table11[[#This Row],[Inventory_On_Hand]]</f>
        <v>23.828045624182479</v>
      </c>
      <c r="M315" s="82">
        <f ca="1">MIN(Table11[[#This Row],[Production_Needed]],Table11[[#This Row],[Production_Capacity]])</f>
        <v>23.828045624182479</v>
      </c>
      <c r="N315" s="82">
        <f ca="1">MAX(Table11[[#This Row],[Production_Needed]]-Table11[[#This Row],[Planned_Production]],0)</f>
        <v>0</v>
      </c>
      <c r="O315" s="82">
        <f ca="1">Table11[[#This Row],[Inventory_On_Hand]]+Table11[[#This Row],[Planned_Production]]-Table11[[#This Row],[Forecasted_Units]]</f>
        <v>9.9441926487705956</v>
      </c>
      <c r="P315" cm="1">
        <f t="array" ref="P315">_xlfn.XLOOKUP(Table11[[#This Row],[Date]] &amp; Table11[[#This Row],[Vehicle_Type]], Table12[Date] &amp; Table12[Vehicle_Type],Table12[Feedback_Adjustment], 0)</f>
        <v>0</v>
      </c>
      <c r="Q315" s="82">
        <f>Table11[[#This Row],[Forecasted_Units]]*(1+Table11[[#This Row],[Adjustment_Percentage]])</f>
        <v>99.441926487705942</v>
      </c>
      <c r="R315" s="82"/>
    </row>
    <row r="316" spans="1:18">
      <c r="A316" s="53">
        <v>51425</v>
      </c>
      <c r="B316" s="14" t="s">
        <v>14</v>
      </c>
      <c r="C316" s="15" t="str">
        <f>TEXT(Table11[[#This Row],[Date]],"mmmm")</f>
        <v>October</v>
      </c>
      <c r="D316" s="14">
        <v>92</v>
      </c>
      <c r="E316" s="82">
        <f>_xlfn.FORECAST.LINEAR(Table11[[#This Row],[Date]],Table11[Units_Sold],Table11[Date])</f>
        <v>99.44309068436273</v>
      </c>
      <c r="F316" cm="1">
        <f t="array" ref="F316">_xlfn.IFS(Table11[[#This Row],[Vehicle_Type]]="SUV",250,Table11[[#This Row],[Vehicle_Type]]="Sedan",200,Table11[[#This Row],[Vehicle_Type]]="Hatchback",185,Table11[[#This Row],[Vehicle_Type]]="Electric",190,Table11[[#This Row],[Vehicle_Type]]="Truck",150)</f>
        <v>150</v>
      </c>
      <c r="G316">
        <f t="shared" ca="1" si="4"/>
        <v>23</v>
      </c>
      <c r="H316" s="82">
        <f>Table11[[#This Row],[Daily_Production]]-Table11[[#This Row],[Forecasted_Units]]</f>
        <v>50.55690931563727</v>
      </c>
      <c r="I316" cm="1">
        <f t="array" ref="I316">_xlfn.IFS(Table11[[#This Row],[Vehicle_Type]]="SUV",5,Table11[[#This Row],[Vehicle_Type]]="Sedan",7,Table11[[#This Row],[Vehicle_Type]]="Hatchback",10,Table11[[#This Row],[Vehicle_Type]]="Electric",11,Table11[[#This Row],[Vehicle_Type]]="Truck",13)</f>
        <v>13</v>
      </c>
      <c r="J316">
        <f ca="1">Table11[[#This Row],[Daily_Production]]*Table11[[#This Row],[Working_Days]]</f>
        <v>3450</v>
      </c>
      <c r="K316" s="81">
        <f>Table11[[#This Row],[Forecasted_Units]]*0.1</f>
        <v>9.944309068436274</v>
      </c>
      <c r="L316" s="82">
        <f>Table11[[#This Row],[Adjusted_Forecast]]+Table11[[#This Row],[Safety_Stock]]-Table11[[#This Row],[Inventory_On_Hand]]</f>
        <v>58.830490437161728</v>
      </c>
      <c r="M316" s="82">
        <f ca="1">MIN(Table11[[#This Row],[Production_Needed]],Table11[[#This Row],[Production_Capacity]])</f>
        <v>58.830490437161728</v>
      </c>
      <c r="N316" s="82">
        <f ca="1">MAX(Table11[[#This Row],[Production_Needed]]-Table11[[#This Row],[Planned_Production]],0)</f>
        <v>0</v>
      </c>
      <c r="O316" s="82">
        <f ca="1">Table11[[#This Row],[Inventory_On_Hand]]+Table11[[#This Row],[Planned_Production]]-Table11[[#This Row],[Forecasted_Units]]</f>
        <v>9.9443090684362687</v>
      </c>
      <c r="P316" cm="1">
        <f t="array" ref="P316">_xlfn.XLOOKUP(Table11[[#This Row],[Date]] &amp; Table11[[#This Row],[Vehicle_Type]], Table12[Date] &amp; Table12[Vehicle_Type],Table12[Feedback_Adjustment], 0)</f>
        <v>0</v>
      </c>
      <c r="Q316" s="82">
        <f>Table11[[#This Row],[Forecasted_Units]]*(1+Table11[[#This Row],[Adjustment_Percentage]])</f>
        <v>99.44309068436273</v>
      </c>
      <c r="R316" s="82"/>
    </row>
    <row r="317" spans="1:18">
      <c r="A317" s="54">
        <v>51455</v>
      </c>
      <c r="B317" s="15" t="s">
        <v>12</v>
      </c>
      <c r="C317" s="15" t="str">
        <f>TEXT(Table11[[#This Row],[Date]],"mmmm")</f>
        <v>November</v>
      </c>
      <c r="D317" s="15">
        <v>97</v>
      </c>
      <c r="E317" s="82">
        <f>_xlfn.FORECAST.LINEAR(Table11[[#This Row],[Date]],Table11[Units_Sold],Table11[Date])</f>
        <v>99.444254881019518</v>
      </c>
      <c r="F317" cm="1">
        <f t="array" ref="F317">_xlfn.IFS(Table11[[#This Row],[Vehicle_Type]]="SUV",250,Table11[[#This Row],[Vehicle_Type]]="Sedan",200,Table11[[#This Row],[Vehicle_Type]]="Hatchback",185,Table11[[#This Row],[Vehicle_Type]]="Electric",190,Table11[[#This Row],[Vehicle_Type]]="Truck",150)</f>
        <v>250</v>
      </c>
      <c r="G317">
        <f t="shared" ca="1" si="4"/>
        <v>20</v>
      </c>
      <c r="H317" s="82">
        <f>Table11[[#This Row],[Daily_Production]]-Table11[[#This Row],[Forecasted_Units]]</f>
        <v>150.5557451189805</v>
      </c>
      <c r="I317" cm="1">
        <f t="array" ref="I317">_xlfn.IFS(Table11[[#This Row],[Vehicle_Type]]="SUV",5,Table11[[#This Row],[Vehicle_Type]]="Sedan",7,Table11[[#This Row],[Vehicle_Type]]="Hatchback",10,Table11[[#This Row],[Vehicle_Type]]="Electric",11,Table11[[#This Row],[Vehicle_Type]]="Truck",13)</f>
        <v>5</v>
      </c>
      <c r="J317">
        <f ca="1">Table11[[#This Row],[Daily_Production]]*Table11[[#This Row],[Working_Days]]</f>
        <v>5000</v>
      </c>
      <c r="K317" s="81">
        <f>Table11[[#This Row],[Forecasted_Units]]*0.1</f>
        <v>9.9444254881019525</v>
      </c>
      <c r="L317" s="82">
        <f>Table11[[#This Row],[Adjusted_Forecast]]+Table11[[#This Row],[Safety_Stock]]-Table11[[#This Row],[Inventory_On_Hand]]</f>
        <v>-41.167064749859023</v>
      </c>
      <c r="M317" s="82">
        <f ca="1">MIN(Table11[[#This Row],[Production_Needed]],Table11[[#This Row],[Production_Capacity]])</f>
        <v>-41.167064749859023</v>
      </c>
      <c r="N317" s="82">
        <f ca="1">MAX(Table11[[#This Row],[Production_Needed]]-Table11[[#This Row],[Planned_Production]],0)</f>
        <v>0</v>
      </c>
      <c r="O317" s="82">
        <f ca="1">Table11[[#This Row],[Inventory_On_Hand]]+Table11[[#This Row],[Planned_Production]]-Table11[[#This Row],[Forecasted_Units]]</f>
        <v>9.944425488101956</v>
      </c>
      <c r="P317" cm="1">
        <f t="array" ref="P317">_xlfn.XLOOKUP(Table11[[#This Row],[Date]] &amp; Table11[[#This Row],[Vehicle_Type]], Table12[Date] &amp; Table12[Vehicle_Type],Table12[Feedback_Adjustment], 0)</f>
        <v>0</v>
      </c>
      <c r="Q317" s="82">
        <f>Table11[[#This Row],[Forecasted_Units]]*(1+Table11[[#This Row],[Adjustment_Percentage]])</f>
        <v>99.444254881019518</v>
      </c>
      <c r="R317" s="82"/>
    </row>
    <row r="318" spans="1:18">
      <c r="A318" s="53">
        <v>51485</v>
      </c>
      <c r="B318" s="14" t="s">
        <v>11</v>
      </c>
      <c r="C318" s="15" t="str">
        <f>TEXT(Table11[[#This Row],[Date]],"mmmm")</f>
        <v>December</v>
      </c>
      <c r="D318" s="14">
        <v>116</v>
      </c>
      <c r="E318" s="82">
        <f>_xlfn.FORECAST.LINEAR(Table11[[#This Row],[Date]],Table11[Units_Sold],Table11[Date])</f>
        <v>99.445419077676306</v>
      </c>
      <c r="F318" cm="1">
        <f t="array" ref="F318">_xlfn.IFS(Table11[[#This Row],[Vehicle_Type]]="SUV",250,Table11[[#This Row],[Vehicle_Type]]="Sedan",200,Table11[[#This Row],[Vehicle_Type]]="Hatchback",185,Table11[[#This Row],[Vehicle_Type]]="Electric",190,Table11[[#This Row],[Vehicle_Type]]="Truck",150)</f>
        <v>185</v>
      </c>
      <c r="G318">
        <f t="shared" ca="1" si="4"/>
        <v>24</v>
      </c>
      <c r="H318" s="82">
        <f>Table11[[#This Row],[Daily_Production]]-Table11[[#This Row],[Forecasted_Units]]</f>
        <v>85.554580922323694</v>
      </c>
      <c r="I318" cm="1">
        <f t="array" ref="I318">_xlfn.IFS(Table11[[#This Row],[Vehicle_Type]]="SUV",5,Table11[[#This Row],[Vehicle_Type]]="Sedan",7,Table11[[#This Row],[Vehicle_Type]]="Hatchback",10,Table11[[#This Row],[Vehicle_Type]]="Electric",11,Table11[[#This Row],[Vehicle_Type]]="Truck",13)</f>
        <v>10</v>
      </c>
      <c r="J318">
        <f ca="1">Table11[[#This Row],[Daily_Production]]*Table11[[#This Row],[Working_Days]]</f>
        <v>4440</v>
      </c>
      <c r="K318" s="81">
        <f>Table11[[#This Row],[Forecasted_Units]]*0.1</f>
        <v>9.9445419077676309</v>
      </c>
      <c r="L318" s="82">
        <f>Table11[[#This Row],[Adjusted_Forecast]]+Table11[[#This Row],[Safety_Stock]]-Table11[[#This Row],[Inventory_On_Hand]]</f>
        <v>23.83538006312024</v>
      </c>
      <c r="M318" s="82">
        <f ca="1">MIN(Table11[[#This Row],[Production_Needed]],Table11[[#This Row],[Production_Capacity]])</f>
        <v>23.83538006312024</v>
      </c>
      <c r="N318" s="82">
        <f ca="1">MAX(Table11[[#This Row],[Production_Needed]]-Table11[[#This Row],[Planned_Production]],0)</f>
        <v>0</v>
      </c>
      <c r="O318" s="82">
        <f ca="1">Table11[[#This Row],[Inventory_On_Hand]]+Table11[[#This Row],[Planned_Production]]-Table11[[#This Row],[Forecasted_Units]]</f>
        <v>9.9445419077676291</v>
      </c>
      <c r="P318" cm="1">
        <f t="array" ref="P318">_xlfn.XLOOKUP(Table11[[#This Row],[Date]] &amp; Table11[[#This Row],[Vehicle_Type]], Table12[Date] &amp; Table12[Vehicle_Type],Table12[Feedback_Adjustment], 0)</f>
        <v>0</v>
      </c>
      <c r="Q318" s="82">
        <f>Table11[[#This Row],[Forecasted_Units]]*(1+Table11[[#This Row],[Adjustment_Percentage]])</f>
        <v>99.445419077676306</v>
      </c>
      <c r="R318" s="82"/>
    </row>
    <row r="319" spans="1:18">
      <c r="A319" s="54">
        <v>51515</v>
      </c>
      <c r="B319" s="15" t="s">
        <v>14</v>
      </c>
      <c r="C319" s="15" t="str">
        <f>TEXT(Table11[[#This Row],[Date]],"mmmm")</f>
        <v>January</v>
      </c>
      <c r="D319" s="15">
        <f>IF(ISBLANK(D272), P273, D272)</f>
        <v>103</v>
      </c>
      <c r="E319" s="82">
        <f>_xlfn.FORECAST.LINEAR(Table11[[#This Row],[Date]],Table11[Units_Sold],Table11[Date])</f>
        <v>99.446583274333094</v>
      </c>
      <c r="F319" cm="1">
        <f t="array" ref="F319">_xlfn.IFS(Table11[[#This Row],[Vehicle_Type]]="SUV",250,Table11[[#This Row],[Vehicle_Type]]="Sedan",200,Table11[[#This Row],[Vehicle_Type]]="Hatchback",185,Table11[[#This Row],[Vehicle_Type]]="Electric",190,Table11[[#This Row],[Vehicle_Type]]="Truck",150)</f>
        <v>150</v>
      </c>
      <c r="G319">
        <f t="shared" ca="1" si="4"/>
        <v>21</v>
      </c>
      <c r="H319" s="82">
        <f>Table11[[#This Row],[Daily_Production]]-Table11[[#This Row],[Forecasted_Units]]</f>
        <v>50.553416725666906</v>
      </c>
      <c r="I319" cm="1">
        <f t="array" ref="I319">_xlfn.IFS(Table11[[#This Row],[Vehicle_Type]]="SUV",5,Table11[[#This Row],[Vehicle_Type]]="Sedan",7,Table11[[#This Row],[Vehicle_Type]]="Hatchback",10,Table11[[#This Row],[Vehicle_Type]]="Electric",11,Table11[[#This Row],[Vehicle_Type]]="Truck",13)</f>
        <v>13</v>
      </c>
      <c r="J319">
        <f ca="1">Table11[[#This Row],[Daily_Production]]*Table11[[#This Row],[Working_Days]]</f>
        <v>3150</v>
      </c>
      <c r="K319" s="81">
        <f>Table11[[#This Row],[Forecasted_Units]]*0.1</f>
        <v>9.9446583274333094</v>
      </c>
      <c r="L319" s="82">
        <f>Table11[[#This Row],[Adjusted_Forecast]]+Table11[[#This Row],[Safety_Stock]]-Table11[[#This Row],[Inventory_On_Hand]]</f>
        <v>58.837824876099504</v>
      </c>
      <c r="M319" s="82">
        <f ca="1">MIN(Table11[[#This Row],[Production_Needed]],Table11[[#This Row],[Production_Capacity]])</f>
        <v>58.837824876099504</v>
      </c>
      <c r="N319" s="82">
        <f ca="1">MAX(Table11[[#This Row],[Production_Needed]]-Table11[[#This Row],[Planned_Production]],0)</f>
        <v>0</v>
      </c>
      <c r="O319" s="82">
        <f ca="1">Table11[[#This Row],[Inventory_On_Hand]]+Table11[[#This Row],[Planned_Production]]-Table11[[#This Row],[Forecasted_Units]]</f>
        <v>9.9446583274333165</v>
      </c>
      <c r="P319" cm="1">
        <f t="array" ref="P319">_xlfn.XLOOKUP(Table11[[#This Row],[Date]] &amp; Table11[[#This Row],[Vehicle_Type]], Table12[Date] &amp; Table12[Vehicle_Type],Table12[Feedback_Adjustment], 0)</f>
        <v>0</v>
      </c>
      <c r="Q319" s="82">
        <f>Table11[[#This Row],[Forecasted_Units]]*(1+Table11[[#This Row],[Adjustment_Percentage]])</f>
        <v>99.446583274333094</v>
      </c>
      <c r="R319" s="82"/>
    </row>
    <row r="320" spans="1:18">
      <c r="A320" s="53">
        <v>51545</v>
      </c>
      <c r="B320" s="14" t="s">
        <v>11</v>
      </c>
      <c r="C320" s="15" t="str">
        <f>TEXT(Table11[[#This Row],[Date]],"mmmm")</f>
        <v>February</v>
      </c>
      <c r="D320" s="14">
        <v>87</v>
      </c>
      <c r="E320" s="82">
        <f>_xlfn.FORECAST.LINEAR(Table11[[#This Row],[Date]],Table11[Units_Sold],Table11[Date])</f>
        <v>99.447747470989881</v>
      </c>
      <c r="F320" cm="1">
        <f t="array" ref="F320">_xlfn.IFS(Table11[[#This Row],[Vehicle_Type]]="SUV",250,Table11[[#This Row],[Vehicle_Type]]="Sedan",200,Table11[[#This Row],[Vehicle_Type]]="Hatchback",185,Table11[[#This Row],[Vehicle_Type]]="Electric",190,Table11[[#This Row],[Vehicle_Type]]="Truck",150)</f>
        <v>185</v>
      </c>
      <c r="G320">
        <f t="shared" ca="1" si="4"/>
        <v>24</v>
      </c>
      <c r="H320" s="82">
        <f>Table11[[#This Row],[Daily_Production]]-Table11[[#This Row],[Forecasted_Units]]</f>
        <v>85.552252529010119</v>
      </c>
      <c r="I320" cm="1">
        <f t="array" ref="I320">_xlfn.IFS(Table11[[#This Row],[Vehicle_Type]]="SUV",5,Table11[[#This Row],[Vehicle_Type]]="Sedan",7,Table11[[#This Row],[Vehicle_Type]]="Hatchback",10,Table11[[#This Row],[Vehicle_Type]]="Electric",11,Table11[[#This Row],[Vehicle_Type]]="Truck",13)</f>
        <v>10</v>
      </c>
      <c r="J320">
        <f ca="1">Table11[[#This Row],[Daily_Production]]*Table11[[#This Row],[Working_Days]]</f>
        <v>4440</v>
      </c>
      <c r="K320" s="81">
        <f>Table11[[#This Row],[Forecasted_Units]]*0.1</f>
        <v>9.9447747470989896</v>
      </c>
      <c r="L320" s="82">
        <f>Table11[[#This Row],[Adjusted_Forecast]]+Table11[[#This Row],[Safety_Stock]]-Table11[[#This Row],[Inventory_On_Hand]]</f>
        <v>23.840269689078752</v>
      </c>
      <c r="M320" s="82">
        <f ca="1">MIN(Table11[[#This Row],[Production_Needed]],Table11[[#This Row],[Production_Capacity]])</f>
        <v>23.840269689078752</v>
      </c>
      <c r="N320" s="82">
        <f ca="1">MAX(Table11[[#This Row],[Production_Needed]]-Table11[[#This Row],[Planned_Production]],0)</f>
        <v>0</v>
      </c>
      <c r="O320" s="82">
        <f ca="1">Table11[[#This Row],[Inventory_On_Hand]]+Table11[[#This Row],[Planned_Production]]-Table11[[#This Row],[Forecasted_Units]]</f>
        <v>9.9447747470989896</v>
      </c>
      <c r="P320" cm="1">
        <f t="array" ref="P320">_xlfn.XLOOKUP(Table11[[#This Row],[Date]] &amp; Table11[[#This Row],[Vehicle_Type]], Table12[Date] &amp; Table12[Vehicle_Type],Table12[Feedback_Adjustment], 0)</f>
        <v>0</v>
      </c>
      <c r="Q320" s="82">
        <f>Table11[[#This Row],[Forecasted_Units]]*(1+Table11[[#This Row],[Adjustment_Percentage]])</f>
        <v>99.447747470989881</v>
      </c>
      <c r="R320" s="82"/>
    </row>
    <row r="321" spans="1:18">
      <c r="A321" s="54">
        <v>51575</v>
      </c>
      <c r="B321" s="15" t="s">
        <v>10</v>
      </c>
      <c r="C321" s="15" t="str">
        <f>TEXT(Table11[[#This Row],[Date]],"mmmm")</f>
        <v>March</v>
      </c>
      <c r="D321" s="15">
        <v>103</v>
      </c>
      <c r="E321" s="82">
        <f>_xlfn.FORECAST.LINEAR(Table11[[#This Row],[Date]],Table11[Units_Sold],Table11[Date])</f>
        <v>99.448911667646669</v>
      </c>
      <c r="F321" cm="1">
        <f t="array" ref="F321">_xlfn.IFS(Table11[[#This Row],[Vehicle_Type]]="SUV",250,Table11[[#This Row],[Vehicle_Type]]="Sedan",200,Table11[[#This Row],[Vehicle_Type]]="Hatchback",185,Table11[[#This Row],[Vehicle_Type]]="Electric",190,Table11[[#This Row],[Vehicle_Type]]="Truck",150)</f>
        <v>200</v>
      </c>
      <c r="G321">
        <f t="shared" ca="1" si="4"/>
        <v>23</v>
      </c>
      <c r="H321" s="82">
        <f>Table11[[#This Row],[Daily_Production]]-Table11[[#This Row],[Forecasted_Units]]</f>
        <v>100.55108833235333</v>
      </c>
      <c r="I321" cm="1">
        <f t="array" ref="I321">_xlfn.IFS(Table11[[#This Row],[Vehicle_Type]]="SUV",5,Table11[[#This Row],[Vehicle_Type]]="Sedan",7,Table11[[#This Row],[Vehicle_Type]]="Hatchback",10,Table11[[#This Row],[Vehicle_Type]]="Electric",11,Table11[[#This Row],[Vehicle_Type]]="Truck",13)</f>
        <v>7</v>
      </c>
      <c r="J321">
        <f ca="1">Table11[[#This Row],[Daily_Production]]*Table11[[#This Row],[Working_Days]]</f>
        <v>4600</v>
      </c>
      <c r="K321" s="81">
        <f>Table11[[#This Row],[Forecasted_Units]]*0.1</f>
        <v>9.944891166764668</v>
      </c>
      <c r="L321" s="82">
        <f>Table11[[#This Row],[Adjusted_Forecast]]+Table11[[#This Row],[Safety_Stock]]-Table11[[#This Row],[Inventory_On_Hand]]</f>
        <v>8.8427145020580014</v>
      </c>
      <c r="M321" s="82">
        <f ca="1">MIN(Table11[[#This Row],[Production_Needed]],Table11[[#This Row],[Production_Capacity]])</f>
        <v>8.8427145020580014</v>
      </c>
      <c r="N321" s="82">
        <f ca="1">MAX(Table11[[#This Row],[Production_Needed]]-Table11[[#This Row],[Planned_Production]],0)</f>
        <v>0</v>
      </c>
      <c r="O321" s="82">
        <f ca="1">Table11[[#This Row],[Inventory_On_Hand]]+Table11[[#This Row],[Planned_Production]]-Table11[[#This Row],[Forecasted_Units]]</f>
        <v>9.9448911667646627</v>
      </c>
      <c r="P321" cm="1">
        <f t="array" ref="P321">_xlfn.XLOOKUP(Table11[[#This Row],[Date]] &amp; Table11[[#This Row],[Vehicle_Type]], Table12[Date] &amp; Table12[Vehicle_Type],Table12[Feedback_Adjustment], 0)</f>
        <v>0</v>
      </c>
      <c r="Q321" s="82">
        <f>Table11[[#This Row],[Forecasted_Units]]*(1+Table11[[#This Row],[Adjustment_Percentage]])</f>
        <v>99.448911667646669</v>
      </c>
      <c r="R321" s="82"/>
    </row>
    <row r="322" spans="1:18">
      <c r="A322" s="53">
        <v>51605</v>
      </c>
      <c r="B322" s="14" t="s">
        <v>10</v>
      </c>
      <c r="C322" s="15" t="str">
        <f>TEXT(Table11[[#This Row],[Date]],"mmmm")</f>
        <v>April</v>
      </c>
      <c r="D322" s="14">
        <v>115</v>
      </c>
      <c r="E322" s="82">
        <f>_xlfn.FORECAST.LINEAR(Table11[[#This Row],[Date]],Table11[Units_Sold],Table11[Date])</f>
        <v>99.450075864303457</v>
      </c>
      <c r="F322" cm="1">
        <f t="array" ref="F322">_xlfn.IFS(Table11[[#This Row],[Vehicle_Type]]="SUV",250,Table11[[#This Row],[Vehicle_Type]]="Sedan",200,Table11[[#This Row],[Vehicle_Type]]="Hatchback",185,Table11[[#This Row],[Vehicle_Type]]="Electric",190,Table11[[#This Row],[Vehicle_Type]]="Truck",150)</f>
        <v>200</v>
      </c>
      <c r="G322">
        <f t="shared" ref="G322:G385" ca="1" si="5">RANDBETWEEN(20,25)</f>
        <v>24</v>
      </c>
      <c r="H322" s="82">
        <f>Table11[[#This Row],[Daily_Production]]-Table11[[#This Row],[Forecasted_Units]]</f>
        <v>100.54992413569654</v>
      </c>
      <c r="I322" cm="1">
        <f t="array" ref="I322">_xlfn.IFS(Table11[[#This Row],[Vehicle_Type]]="SUV",5,Table11[[#This Row],[Vehicle_Type]]="Sedan",7,Table11[[#This Row],[Vehicle_Type]]="Hatchback",10,Table11[[#This Row],[Vehicle_Type]]="Electric",11,Table11[[#This Row],[Vehicle_Type]]="Truck",13)</f>
        <v>7</v>
      </c>
      <c r="J322">
        <f ca="1">Table11[[#This Row],[Daily_Production]]*Table11[[#This Row],[Working_Days]]</f>
        <v>4800</v>
      </c>
      <c r="K322" s="81">
        <f>Table11[[#This Row],[Forecasted_Units]]*0.1</f>
        <v>9.9450075864303464</v>
      </c>
      <c r="L322" s="82">
        <f>Table11[[#This Row],[Adjusted_Forecast]]+Table11[[#This Row],[Safety_Stock]]-Table11[[#This Row],[Inventory_On_Hand]]</f>
        <v>8.8451593150372645</v>
      </c>
      <c r="M322" s="82">
        <f ca="1">MIN(Table11[[#This Row],[Production_Needed]],Table11[[#This Row],[Production_Capacity]])</f>
        <v>8.8451593150372645</v>
      </c>
      <c r="N322" s="82">
        <f ca="1">MAX(Table11[[#This Row],[Production_Needed]]-Table11[[#This Row],[Planned_Production]],0)</f>
        <v>0</v>
      </c>
      <c r="O322" s="82">
        <f ca="1">Table11[[#This Row],[Inventory_On_Hand]]+Table11[[#This Row],[Planned_Production]]-Table11[[#This Row],[Forecasted_Units]]</f>
        <v>9.94500758643035</v>
      </c>
      <c r="P322" cm="1">
        <f t="array" ref="P322">_xlfn.XLOOKUP(Table11[[#This Row],[Date]] &amp; Table11[[#This Row],[Vehicle_Type]], Table12[Date] &amp; Table12[Vehicle_Type],Table12[Feedback_Adjustment], 0)</f>
        <v>0</v>
      </c>
      <c r="Q322" s="82">
        <f>Table11[[#This Row],[Forecasted_Units]]*(1+Table11[[#This Row],[Adjustment_Percentage]])</f>
        <v>99.450075864303457</v>
      </c>
      <c r="R322" s="82"/>
    </row>
    <row r="323" spans="1:18">
      <c r="A323" s="54">
        <v>51635</v>
      </c>
      <c r="B323" s="15" t="s">
        <v>14</v>
      </c>
      <c r="C323" s="15" t="str">
        <f>TEXT(Table11[[#This Row],[Date]],"mmmm")</f>
        <v>May</v>
      </c>
      <c r="D323" s="15">
        <v>88</v>
      </c>
      <c r="E323" s="82">
        <f>_xlfn.FORECAST.LINEAR(Table11[[#This Row],[Date]],Table11[Units_Sold],Table11[Date])</f>
        <v>99.451240060960231</v>
      </c>
      <c r="F323" cm="1">
        <f t="array" ref="F323">_xlfn.IFS(Table11[[#This Row],[Vehicle_Type]]="SUV",250,Table11[[#This Row],[Vehicle_Type]]="Sedan",200,Table11[[#This Row],[Vehicle_Type]]="Hatchback",185,Table11[[#This Row],[Vehicle_Type]]="Electric",190,Table11[[#This Row],[Vehicle_Type]]="Truck",150)</f>
        <v>150</v>
      </c>
      <c r="G323">
        <f t="shared" ca="1" si="5"/>
        <v>25</v>
      </c>
      <c r="H323" s="82">
        <f>Table11[[#This Row],[Daily_Production]]-Table11[[#This Row],[Forecasted_Units]]</f>
        <v>50.548759939039769</v>
      </c>
      <c r="I323" cm="1">
        <f t="array" ref="I323">_xlfn.IFS(Table11[[#This Row],[Vehicle_Type]]="SUV",5,Table11[[#This Row],[Vehicle_Type]]="Sedan",7,Table11[[#This Row],[Vehicle_Type]]="Hatchback",10,Table11[[#This Row],[Vehicle_Type]]="Electric",11,Table11[[#This Row],[Vehicle_Type]]="Truck",13)</f>
        <v>13</v>
      </c>
      <c r="J323">
        <f ca="1">Table11[[#This Row],[Daily_Production]]*Table11[[#This Row],[Working_Days]]</f>
        <v>3750</v>
      </c>
      <c r="K323" s="81">
        <f>Table11[[#This Row],[Forecasted_Units]]*0.1</f>
        <v>9.9451240060960231</v>
      </c>
      <c r="L323" s="82">
        <f>Table11[[#This Row],[Adjusted_Forecast]]+Table11[[#This Row],[Safety_Stock]]-Table11[[#This Row],[Inventory_On_Hand]]</f>
        <v>58.847604128016485</v>
      </c>
      <c r="M323" s="82">
        <f ca="1">MIN(Table11[[#This Row],[Production_Needed]],Table11[[#This Row],[Production_Capacity]])</f>
        <v>58.847604128016485</v>
      </c>
      <c r="N323" s="82">
        <f ca="1">MAX(Table11[[#This Row],[Production_Needed]]-Table11[[#This Row],[Planned_Production]],0)</f>
        <v>0</v>
      </c>
      <c r="O323" s="82">
        <f ca="1">Table11[[#This Row],[Inventory_On_Hand]]+Table11[[#This Row],[Planned_Production]]-Table11[[#This Row],[Forecasted_Units]]</f>
        <v>9.9451240060960231</v>
      </c>
      <c r="P323" cm="1">
        <f t="array" ref="P323">_xlfn.XLOOKUP(Table11[[#This Row],[Date]] &amp; Table11[[#This Row],[Vehicle_Type]], Table12[Date] &amp; Table12[Vehicle_Type],Table12[Feedback_Adjustment], 0)</f>
        <v>0</v>
      </c>
      <c r="Q323" s="82">
        <f>Table11[[#This Row],[Forecasted_Units]]*(1+Table11[[#This Row],[Adjustment_Percentage]])</f>
        <v>99.451240060960231</v>
      </c>
      <c r="R323" s="82"/>
    </row>
    <row r="324" spans="1:18">
      <c r="A324" s="53">
        <v>51665</v>
      </c>
      <c r="B324" s="14" t="s">
        <v>13</v>
      </c>
      <c r="C324" s="15" t="str">
        <f>TEXT(Table11[[#This Row],[Date]],"mmmm")</f>
        <v>June</v>
      </c>
      <c r="D324" s="14">
        <v>100</v>
      </c>
      <c r="E324" s="82">
        <f>_xlfn.FORECAST.LINEAR(Table11[[#This Row],[Date]],Table11[Units_Sold],Table11[Date])</f>
        <v>99.452404257617019</v>
      </c>
      <c r="F324" cm="1">
        <f t="array" ref="F324">_xlfn.IFS(Table11[[#This Row],[Vehicle_Type]]="SUV",250,Table11[[#This Row],[Vehicle_Type]]="Sedan",200,Table11[[#This Row],[Vehicle_Type]]="Hatchback",185,Table11[[#This Row],[Vehicle_Type]]="Electric",190,Table11[[#This Row],[Vehicle_Type]]="Truck",150)</f>
        <v>190</v>
      </c>
      <c r="G324">
        <f t="shared" ca="1" si="5"/>
        <v>23</v>
      </c>
      <c r="H324" s="82">
        <f>Table11[[#This Row],[Daily_Production]]-Table11[[#This Row],[Forecasted_Units]]</f>
        <v>90.547595742382981</v>
      </c>
      <c r="I324" cm="1">
        <f t="array" ref="I324">_xlfn.IFS(Table11[[#This Row],[Vehicle_Type]]="SUV",5,Table11[[#This Row],[Vehicle_Type]]="Sedan",7,Table11[[#This Row],[Vehicle_Type]]="Hatchback",10,Table11[[#This Row],[Vehicle_Type]]="Electric",11,Table11[[#This Row],[Vehicle_Type]]="Truck",13)</f>
        <v>11</v>
      </c>
      <c r="J324">
        <f ca="1">Table11[[#This Row],[Daily_Production]]*Table11[[#This Row],[Working_Days]]</f>
        <v>4370</v>
      </c>
      <c r="K324" s="81">
        <f>Table11[[#This Row],[Forecasted_Units]]*0.1</f>
        <v>9.9452404257617033</v>
      </c>
      <c r="L324" s="82">
        <f>Table11[[#This Row],[Adjusted_Forecast]]+Table11[[#This Row],[Safety_Stock]]-Table11[[#This Row],[Inventory_On_Hand]]</f>
        <v>18.850048940995748</v>
      </c>
      <c r="M324" s="82">
        <f ca="1">MIN(Table11[[#This Row],[Production_Needed]],Table11[[#This Row],[Production_Capacity]])</f>
        <v>18.850048940995748</v>
      </c>
      <c r="N324" s="82">
        <f ca="1">MAX(Table11[[#This Row],[Production_Needed]]-Table11[[#This Row],[Planned_Production]],0)</f>
        <v>0</v>
      </c>
      <c r="O324" s="82">
        <f ca="1">Table11[[#This Row],[Inventory_On_Hand]]+Table11[[#This Row],[Planned_Production]]-Table11[[#This Row],[Forecasted_Units]]</f>
        <v>9.9452404257617104</v>
      </c>
      <c r="P324" cm="1">
        <f t="array" ref="P324">_xlfn.XLOOKUP(Table11[[#This Row],[Date]] &amp; Table11[[#This Row],[Vehicle_Type]], Table12[Date] &amp; Table12[Vehicle_Type],Table12[Feedback_Adjustment], 0)</f>
        <v>0</v>
      </c>
      <c r="Q324" s="82">
        <f>Table11[[#This Row],[Forecasted_Units]]*(1+Table11[[#This Row],[Adjustment_Percentage]])</f>
        <v>99.452404257617019</v>
      </c>
      <c r="R324" s="82"/>
    </row>
    <row r="325" spans="1:18">
      <c r="A325" s="54">
        <v>51695</v>
      </c>
      <c r="B325" s="15" t="s">
        <v>13</v>
      </c>
      <c r="C325" s="15" t="str">
        <f>TEXT(Table11[[#This Row],[Date]],"mmmm")</f>
        <v>July</v>
      </c>
      <c r="D325" s="15">
        <v>108</v>
      </c>
      <c r="E325" s="82">
        <f>_xlfn.FORECAST.LINEAR(Table11[[#This Row],[Date]],Table11[Units_Sold],Table11[Date])</f>
        <v>99.453568454273807</v>
      </c>
      <c r="F325" cm="1">
        <f t="array" ref="F325">_xlfn.IFS(Table11[[#This Row],[Vehicle_Type]]="SUV",250,Table11[[#This Row],[Vehicle_Type]]="Sedan",200,Table11[[#This Row],[Vehicle_Type]]="Hatchback",185,Table11[[#This Row],[Vehicle_Type]]="Electric",190,Table11[[#This Row],[Vehicle_Type]]="Truck",150)</f>
        <v>190</v>
      </c>
      <c r="G325">
        <f t="shared" ca="1" si="5"/>
        <v>20</v>
      </c>
      <c r="H325" s="82">
        <f>Table11[[#This Row],[Daily_Production]]-Table11[[#This Row],[Forecasted_Units]]</f>
        <v>90.546431545726193</v>
      </c>
      <c r="I325" cm="1">
        <f t="array" ref="I325">_xlfn.IFS(Table11[[#This Row],[Vehicle_Type]]="SUV",5,Table11[[#This Row],[Vehicle_Type]]="Sedan",7,Table11[[#This Row],[Vehicle_Type]]="Hatchback",10,Table11[[#This Row],[Vehicle_Type]]="Electric",11,Table11[[#This Row],[Vehicle_Type]]="Truck",13)</f>
        <v>11</v>
      </c>
      <c r="J325">
        <f ca="1">Table11[[#This Row],[Daily_Production]]*Table11[[#This Row],[Working_Days]]</f>
        <v>3800</v>
      </c>
      <c r="K325" s="81">
        <f>Table11[[#This Row],[Forecasted_Units]]*0.1</f>
        <v>9.9453568454273817</v>
      </c>
      <c r="L325" s="82">
        <f>Table11[[#This Row],[Adjusted_Forecast]]+Table11[[#This Row],[Safety_Stock]]-Table11[[#This Row],[Inventory_On_Hand]]</f>
        <v>18.852493753974997</v>
      </c>
      <c r="M325" s="82">
        <f ca="1">MIN(Table11[[#This Row],[Production_Needed]],Table11[[#This Row],[Production_Capacity]])</f>
        <v>18.852493753974997</v>
      </c>
      <c r="N325" s="82">
        <f ca="1">MAX(Table11[[#This Row],[Production_Needed]]-Table11[[#This Row],[Planned_Production]],0)</f>
        <v>0</v>
      </c>
      <c r="O325" s="82">
        <f ca="1">Table11[[#This Row],[Inventory_On_Hand]]+Table11[[#This Row],[Planned_Production]]-Table11[[#This Row],[Forecasted_Units]]</f>
        <v>9.9453568454273835</v>
      </c>
      <c r="P325" cm="1">
        <f t="array" ref="P325">_xlfn.XLOOKUP(Table11[[#This Row],[Date]] &amp; Table11[[#This Row],[Vehicle_Type]], Table12[Date] &amp; Table12[Vehicle_Type],Table12[Feedback_Adjustment], 0)</f>
        <v>0</v>
      </c>
      <c r="Q325" s="82">
        <f>Table11[[#This Row],[Forecasted_Units]]*(1+Table11[[#This Row],[Adjustment_Percentage]])</f>
        <v>99.453568454273807</v>
      </c>
      <c r="R325" s="82"/>
    </row>
    <row r="326" spans="1:18">
      <c r="A326" s="53">
        <v>51725</v>
      </c>
      <c r="B326" s="14" t="s">
        <v>10</v>
      </c>
      <c r="C326" s="15" t="str">
        <f>TEXT(Table11[[#This Row],[Date]],"mmmm")</f>
        <v>August</v>
      </c>
      <c r="D326" s="14">
        <f>IF(ISBLANK(D279), P280, D279)</f>
        <v>96</v>
      </c>
      <c r="E326" s="82">
        <f>_xlfn.FORECAST.LINEAR(Table11[[#This Row],[Date]],Table11[Units_Sold],Table11[Date])</f>
        <v>99.454732650930595</v>
      </c>
      <c r="F326" cm="1">
        <f t="array" ref="F326">_xlfn.IFS(Table11[[#This Row],[Vehicle_Type]]="SUV",250,Table11[[#This Row],[Vehicle_Type]]="Sedan",200,Table11[[#This Row],[Vehicle_Type]]="Hatchback",185,Table11[[#This Row],[Vehicle_Type]]="Electric",190,Table11[[#This Row],[Vehicle_Type]]="Truck",150)</f>
        <v>200</v>
      </c>
      <c r="G326">
        <f t="shared" ca="1" si="5"/>
        <v>23</v>
      </c>
      <c r="H326" s="82">
        <f>Table11[[#This Row],[Daily_Production]]-Table11[[#This Row],[Forecasted_Units]]</f>
        <v>100.54526734906941</v>
      </c>
      <c r="I326" cm="1">
        <f t="array" ref="I326">_xlfn.IFS(Table11[[#This Row],[Vehicle_Type]]="SUV",5,Table11[[#This Row],[Vehicle_Type]]="Sedan",7,Table11[[#This Row],[Vehicle_Type]]="Hatchback",10,Table11[[#This Row],[Vehicle_Type]]="Electric",11,Table11[[#This Row],[Vehicle_Type]]="Truck",13)</f>
        <v>7</v>
      </c>
      <c r="J326">
        <f ca="1">Table11[[#This Row],[Daily_Production]]*Table11[[#This Row],[Working_Days]]</f>
        <v>4600</v>
      </c>
      <c r="K326" s="81">
        <f>Table11[[#This Row],[Forecasted_Units]]*0.1</f>
        <v>9.9454732650930602</v>
      </c>
      <c r="L326" s="82">
        <f>Table11[[#This Row],[Adjusted_Forecast]]+Table11[[#This Row],[Safety_Stock]]-Table11[[#This Row],[Inventory_On_Hand]]</f>
        <v>8.854938566954246</v>
      </c>
      <c r="M326" s="82">
        <f ca="1">MIN(Table11[[#This Row],[Production_Needed]],Table11[[#This Row],[Production_Capacity]])</f>
        <v>8.854938566954246</v>
      </c>
      <c r="N326" s="82">
        <f ca="1">MAX(Table11[[#This Row],[Production_Needed]]-Table11[[#This Row],[Planned_Production]],0)</f>
        <v>0</v>
      </c>
      <c r="O326" s="82">
        <f ca="1">Table11[[#This Row],[Inventory_On_Hand]]+Table11[[#This Row],[Planned_Production]]-Table11[[#This Row],[Forecasted_Units]]</f>
        <v>9.9454732650930566</v>
      </c>
      <c r="P326" cm="1">
        <f t="array" ref="P326">_xlfn.XLOOKUP(Table11[[#This Row],[Date]] &amp; Table11[[#This Row],[Vehicle_Type]], Table12[Date] &amp; Table12[Vehicle_Type],Table12[Feedback_Adjustment], 0)</f>
        <v>0</v>
      </c>
      <c r="Q326" s="82">
        <f>Table11[[#This Row],[Forecasted_Units]]*(1+Table11[[#This Row],[Adjustment_Percentage]])</f>
        <v>99.454732650930595</v>
      </c>
      <c r="R326" s="82"/>
    </row>
    <row r="327" spans="1:18">
      <c r="A327" s="54">
        <v>51755</v>
      </c>
      <c r="B327" s="15" t="s">
        <v>10</v>
      </c>
      <c r="C327" s="15" t="str">
        <f>TEXT(Table11[[#This Row],[Date]],"mmmm")</f>
        <v>September</v>
      </c>
      <c r="D327" s="15">
        <v>86</v>
      </c>
      <c r="E327" s="82">
        <f>_xlfn.FORECAST.LINEAR(Table11[[#This Row],[Date]],Table11[Units_Sold],Table11[Date])</f>
        <v>99.455896847587383</v>
      </c>
      <c r="F327" cm="1">
        <f t="array" ref="F327">_xlfn.IFS(Table11[[#This Row],[Vehicle_Type]]="SUV",250,Table11[[#This Row],[Vehicle_Type]]="Sedan",200,Table11[[#This Row],[Vehicle_Type]]="Hatchback",185,Table11[[#This Row],[Vehicle_Type]]="Electric",190,Table11[[#This Row],[Vehicle_Type]]="Truck",150)</f>
        <v>200</v>
      </c>
      <c r="G327">
        <f t="shared" ca="1" si="5"/>
        <v>22</v>
      </c>
      <c r="H327" s="82">
        <f>Table11[[#This Row],[Daily_Production]]-Table11[[#This Row],[Forecasted_Units]]</f>
        <v>100.54410315241262</v>
      </c>
      <c r="I327" cm="1">
        <f t="array" ref="I327">_xlfn.IFS(Table11[[#This Row],[Vehicle_Type]]="SUV",5,Table11[[#This Row],[Vehicle_Type]]="Sedan",7,Table11[[#This Row],[Vehicle_Type]]="Hatchback",10,Table11[[#This Row],[Vehicle_Type]]="Electric",11,Table11[[#This Row],[Vehicle_Type]]="Truck",13)</f>
        <v>7</v>
      </c>
      <c r="J327">
        <f ca="1">Table11[[#This Row],[Daily_Production]]*Table11[[#This Row],[Working_Days]]</f>
        <v>4400</v>
      </c>
      <c r="K327" s="81">
        <f>Table11[[#This Row],[Forecasted_Units]]*0.1</f>
        <v>9.9455896847587386</v>
      </c>
      <c r="L327" s="82">
        <f>Table11[[#This Row],[Adjusted_Forecast]]+Table11[[#This Row],[Safety_Stock]]-Table11[[#This Row],[Inventory_On_Hand]]</f>
        <v>8.8573833799335091</v>
      </c>
      <c r="M327" s="82">
        <f ca="1">MIN(Table11[[#This Row],[Production_Needed]],Table11[[#This Row],[Production_Capacity]])</f>
        <v>8.8573833799335091</v>
      </c>
      <c r="N327" s="82">
        <f ca="1">MAX(Table11[[#This Row],[Production_Needed]]-Table11[[#This Row],[Planned_Production]],0)</f>
        <v>0</v>
      </c>
      <c r="O327" s="82">
        <f ca="1">Table11[[#This Row],[Inventory_On_Hand]]+Table11[[#This Row],[Planned_Production]]-Table11[[#This Row],[Forecasted_Units]]</f>
        <v>9.9455896847587439</v>
      </c>
      <c r="P327" cm="1">
        <f t="array" ref="P327">_xlfn.XLOOKUP(Table11[[#This Row],[Date]] &amp; Table11[[#This Row],[Vehicle_Type]], Table12[Date] &amp; Table12[Vehicle_Type],Table12[Feedback_Adjustment], 0)</f>
        <v>0</v>
      </c>
      <c r="Q327" s="82">
        <f>Table11[[#This Row],[Forecasted_Units]]*(1+Table11[[#This Row],[Adjustment_Percentage]])</f>
        <v>99.455896847587383</v>
      </c>
      <c r="R327" s="82"/>
    </row>
    <row r="328" spans="1:18">
      <c r="A328" s="53">
        <v>51785</v>
      </c>
      <c r="B328" s="14" t="s">
        <v>13</v>
      </c>
      <c r="C328" s="15" t="str">
        <f>TEXT(Table11[[#This Row],[Date]],"mmmm")</f>
        <v>October</v>
      </c>
      <c r="D328" s="14">
        <v>87</v>
      </c>
      <c r="E328" s="82">
        <f>_xlfn.FORECAST.LINEAR(Table11[[#This Row],[Date]],Table11[Units_Sold],Table11[Date])</f>
        <v>99.45706104424417</v>
      </c>
      <c r="F328" cm="1">
        <f t="array" ref="F328">_xlfn.IFS(Table11[[#This Row],[Vehicle_Type]]="SUV",250,Table11[[#This Row],[Vehicle_Type]]="Sedan",200,Table11[[#This Row],[Vehicle_Type]]="Hatchback",185,Table11[[#This Row],[Vehicle_Type]]="Electric",190,Table11[[#This Row],[Vehicle_Type]]="Truck",150)</f>
        <v>190</v>
      </c>
      <c r="G328">
        <f t="shared" ca="1" si="5"/>
        <v>23</v>
      </c>
      <c r="H328" s="82">
        <f>Table11[[#This Row],[Daily_Production]]-Table11[[#This Row],[Forecasted_Units]]</f>
        <v>90.54293895575583</v>
      </c>
      <c r="I328" cm="1">
        <f t="array" ref="I328">_xlfn.IFS(Table11[[#This Row],[Vehicle_Type]]="SUV",5,Table11[[#This Row],[Vehicle_Type]]="Sedan",7,Table11[[#This Row],[Vehicle_Type]]="Hatchback",10,Table11[[#This Row],[Vehicle_Type]]="Electric",11,Table11[[#This Row],[Vehicle_Type]]="Truck",13)</f>
        <v>11</v>
      </c>
      <c r="J328">
        <f ca="1">Table11[[#This Row],[Daily_Production]]*Table11[[#This Row],[Working_Days]]</f>
        <v>4370</v>
      </c>
      <c r="K328" s="81">
        <f>Table11[[#This Row],[Forecasted_Units]]*0.1</f>
        <v>9.945706104424417</v>
      </c>
      <c r="L328" s="82">
        <f>Table11[[#This Row],[Adjusted_Forecast]]+Table11[[#This Row],[Safety_Stock]]-Table11[[#This Row],[Inventory_On_Hand]]</f>
        <v>18.859828192912758</v>
      </c>
      <c r="M328" s="82">
        <f ca="1">MIN(Table11[[#This Row],[Production_Needed]],Table11[[#This Row],[Production_Capacity]])</f>
        <v>18.859828192912758</v>
      </c>
      <c r="N328" s="82">
        <f ca="1">MAX(Table11[[#This Row],[Production_Needed]]-Table11[[#This Row],[Planned_Production]],0)</f>
        <v>0</v>
      </c>
      <c r="O328" s="82">
        <f ca="1">Table11[[#This Row],[Inventory_On_Hand]]+Table11[[#This Row],[Planned_Production]]-Table11[[#This Row],[Forecasted_Units]]</f>
        <v>9.945706104424417</v>
      </c>
      <c r="P328" cm="1">
        <f t="array" ref="P328">_xlfn.XLOOKUP(Table11[[#This Row],[Date]] &amp; Table11[[#This Row],[Vehicle_Type]], Table12[Date] &amp; Table12[Vehicle_Type],Table12[Feedback_Adjustment], 0)</f>
        <v>0</v>
      </c>
      <c r="Q328" s="82">
        <f>Table11[[#This Row],[Forecasted_Units]]*(1+Table11[[#This Row],[Adjustment_Percentage]])</f>
        <v>99.45706104424417</v>
      </c>
      <c r="R328" s="82"/>
    </row>
    <row r="329" spans="1:18">
      <c r="A329" s="54">
        <v>51815</v>
      </c>
      <c r="B329" s="15" t="s">
        <v>12</v>
      </c>
      <c r="C329" s="15" t="str">
        <f>TEXT(Table11[[#This Row],[Date]],"mmmm")</f>
        <v>November</v>
      </c>
      <c r="D329" s="15">
        <v>109</v>
      </c>
      <c r="E329" s="82">
        <f>_xlfn.FORECAST.LINEAR(Table11[[#This Row],[Date]],Table11[Units_Sold],Table11[Date])</f>
        <v>99.458225240900958</v>
      </c>
      <c r="F329" cm="1">
        <f t="array" ref="F329">_xlfn.IFS(Table11[[#This Row],[Vehicle_Type]]="SUV",250,Table11[[#This Row],[Vehicle_Type]]="Sedan",200,Table11[[#This Row],[Vehicle_Type]]="Hatchback",185,Table11[[#This Row],[Vehicle_Type]]="Electric",190,Table11[[#This Row],[Vehicle_Type]]="Truck",150)</f>
        <v>250</v>
      </c>
      <c r="G329">
        <f t="shared" ca="1" si="5"/>
        <v>23</v>
      </c>
      <c r="H329" s="82">
        <f>Table11[[#This Row],[Daily_Production]]-Table11[[#This Row],[Forecasted_Units]]</f>
        <v>150.54177475909904</v>
      </c>
      <c r="I329" cm="1">
        <f t="array" ref="I329">_xlfn.IFS(Table11[[#This Row],[Vehicle_Type]]="SUV",5,Table11[[#This Row],[Vehicle_Type]]="Sedan",7,Table11[[#This Row],[Vehicle_Type]]="Hatchback",10,Table11[[#This Row],[Vehicle_Type]]="Electric",11,Table11[[#This Row],[Vehicle_Type]]="Truck",13)</f>
        <v>5</v>
      </c>
      <c r="J329">
        <f ca="1">Table11[[#This Row],[Daily_Production]]*Table11[[#This Row],[Working_Days]]</f>
        <v>5750</v>
      </c>
      <c r="K329" s="81">
        <f>Table11[[#This Row],[Forecasted_Units]]*0.1</f>
        <v>9.9458225240900973</v>
      </c>
      <c r="L329" s="82">
        <f>Table11[[#This Row],[Adjusted_Forecast]]+Table11[[#This Row],[Safety_Stock]]-Table11[[#This Row],[Inventory_On_Hand]]</f>
        <v>-41.137726994107993</v>
      </c>
      <c r="M329" s="82">
        <f ca="1">MIN(Table11[[#This Row],[Production_Needed]],Table11[[#This Row],[Production_Capacity]])</f>
        <v>-41.137726994107993</v>
      </c>
      <c r="N329" s="82">
        <f ca="1">MAX(Table11[[#This Row],[Production_Needed]]-Table11[[#This Row],[Planned_Production]],0)</f>
        <v>0</v>
      </c>
      <c r="O329" s="82">
        <f ca="1">Table11[[#This Row],[Inventory_On_Hand]]+Table11[[#This Row],[Planned_Production]]-Table11[[#This Row],[Forecasted_Units]]</f>
        <v>9.9458225240900902</v>
      </c>
      <c r="P329" cm="1">
        <f t="array" ref="P329">_xlfn.XLOOKUP(Table11[[#This Row],[Date]] &amp; Table11[[#This Row],[Vehicle_Type]], Table12[Date] &amp; Table12[Vehicle_Type],Table12[Feedback_Adjustment], 0)</f>
        <v>0</v>
      </c>
      <c r="Q329" s="82">
        <f>Table11[[#This Row],[Forecasted_Units]]*(1+Table11[[#This Row],[Adjustment_Percentage]])</f>
        <v>99.458225240900958</v>
      </c>
      <c r="R329" s="82"/>
    </row>
    <row r="330" spans="1:18">
      <c r="A330" s="53">
        <v>51845</v>
      </c>
      <c r="B330" s="14" t="s">
        <v>13</v>
      </c>
      <c r="C330" s="15" t="str">
        <f>TEXT(Table11[[#This Row],[Date]],"mmmm")</f>
        <v>December</v>
      </c>
      <c r="D330" s="14">
        <v>91</v>
      </c>
      <c r="E330" s="82">
        <f>_xlfn.FORECAST.LINEAR(Table11[[#This Row],[Date]],Table11[Units_Sold],Table11[Date])</f>
        <v>99.459389437557746</v>
      </c>
      <c r="F330" cm="1">
        <f t="array" ref="F330">_xlfn.IFS(Table11[[#This Row],[Vehicle_Type]]="SUV",250,Table11[[#This Row],[Vehicle_Type]]="Sedan",200,Table11[[#This Row],[Vehicle_Type]]="Hatchback",185,Table11[[#This Row],[Vehicle_Type]]="Electric",190,Table11[[#This Row],[Vehicle_Type]]="Truck",150)</f>
        <v>190</v>
      </c>
      <c r="G330">
        <f t="shared" ca="1" si="5"/>
        <v>21</v>
      </c>
      <c r="H330" s="82">
        <f>Table11[[#This Row],[Daily_Production]]-Table11[[#This Row],[Forecasted_Units]]</f>
        <v>90.540610562442254</v>
      </c>
      <c r="I330" cm="1">
        <f t="array" ref="I330">_xlfn.IFS(Table11[[#This Row],[Vehicle_Type]]="SUV",5,Table11[[#This Row],[Vehicle_Type]]="Sedan",7,Table11[[#This Row],[Vehicle_Type]]="Hatchback",10,Table11[[#This Row],[Vehicle_Type]]="Electric",11,Table11[[#This Row],[Vehicle_Type]]="Truck",13)</f>
        <v>11</v>
      </c>
      <c r="J330">
        <f ca="1">Table11[[#This Row],[Daily_Production]]*Table11[[#This Row],[Working_Days]]</f>
        <v>3990</v>
      </c>
      <c r="K330" s="81">
        <f>Table11[[#This Row],[Forecasted_Units]]*0.1</f>
        <v>9.9459389437557757</v>
      </c>
      <c r="L330" s="82">
        <f>Table11[[#This Row],[Adjusted_Forecast]]+Table11[[#This Row],[Safety_Stock]]-Table11[[#This Row],[Inventory_On_Hand]]</f>
        <v>18.86471781887127</v>
      </c>
      <c r="M330" s="82">
        <f ca="1">MIN(Table11[[#This Row],[Production_Needed]],Table11[[#This Row],[Production_Capacity]])</f>
        <v>18.86471781887127</v>
      </c>
      <c r="N330" s="82">
        <f ca="1">MAX(Table11[[#This Row],[Production_Needed]]-Table11[[#This Row],[Planned_Production]],0)</f>
        <v>0</v>
      </c>
      <c r="O330" s="82">
        <f ca="1">Table11[[#This Row],[Inventory_On_Hand]]+Table11[[#This Row],[Planned_Production]]-Table11[[#This Row],[Forecasted_Units]]</f>
        <v>9.9459389437557775</v>
      </c>
      <c r="P330" cm="1">
        <f t="array" ref="P330">_xlfn.XLOOKUP(Table11[[#This Row],[Date]] &amp; Table11[[#This Row],[Vehicle_Type]], Table12[Date] &amp; Table12[Vehicle_Type],Table12[Feedback_Adjustment], 0)</f>
        <v>0</v>
      </c>
      <c r="Q330" s="82">
        <f>Table11[[#This Row],[Forecasted_Units]]*(1+Table11[[#This Row],[Adjustment_Percentage]])</f>
        <v>99.459389437557746</v>
      </c>
      <c r="R330" s="82"/>
    </row>
    <row r="331" spans="1:18">
      <c r="A331" s="54">
        <v>51875</v>
      </c>
      <c r="B331" s="15" t="s">
        <v>11</v>
      </c>
      <c r="C331" s="15" t="str">
        <f>TEXT(Table11[[#This Row],[Date]],"mmmm")</f>
        <v>January</v>
      </c>
      <c r="D331" s="15">
        <v>107</v>
      </c>
      <c r="E331" s="82">
        <f>_xlfn.FORECAST.LINEAR(Table11[[#This Row],[Date]],Table11[Units_Sold],Table11[Date])</f>
        <v>99.460553634214534</v>
      </c>
      <c r="F331" cm="1">
        <f t="array" ref="F331">_xlfn.IFS(Table11[[#This Row],[Vehicle_Type]]="SUV",250,Table11[[#This Row],[Vehicle_Type]]="Sedan",200,Table11[[#This Row],[Vehicle_Type]]="Hatchback",185,Table11[[#This Row],[Vehicle_Type]]="Electric",190,Table11[[#This Row],[Vehicle_Type]]="Truck",150)</f>
        <v>185</v>
      </c>
      <c r="G331">
        <f t="shared" ca="1" si="5"/>
        <v>22</v>
      </c>
      <c r="H331" s="82">
        <f>Table11[[#This Row],[Daily_Production]]-Table11[[#This Row],[Forecasted_Units]]</f>
        <v>85.539446365785466</v>
      </c>
      <c r="I331" cm="1">
        <f t="array" ref="I331">_xlfn.IFS(Table11[[#This Row],[Vehicle_Type]]="SUV",5,Table11[[#This Row],[Vehicle_Type]]="Sedan",7,Table11[[#This Row],[Vehicle_Type]]="Hatchback",10,Table11[[#This Row],[Vehicle_Type]]="Electric",11,Table11[[#This Row],[Vehicle_Type]]="Truck",13)</f>
        <v>10</v>
      </c>
      <c r="J331">
        <f ca="1">Table11[[#This Row],[Daily_Production]]*Table11[[#This Row],[Working_Days]]</f>
        <v>4070</v>
      </c>
      <c r="K331" s="81">
        <f>Table11[[#This Row],[Forecasted_Units]]*0.1</f>
        <v>9.9460553634214541</v>
      </c>
      <c r="L331" s="82">
        <f>Table11[[#This Row],[Adjusted_Forecast]]+Table11[[#This Row],[Safety_Stock]]-Table11[[#This Row],[Inventory_On_Hand]]</f>
        <v>23.867162631850519</v>
      </c>
      <c r="M331" s="82">
        <f ca="1">MIN(Table11[[#This Row],[Production_Needed]],Table11[[#This Row],[Production_Capacity]])</f>
        <v>23.867162631850519</v>
      </c>
      <c r="N331" s="82">
        <f ca="1">MAX(Table11[[#This Row],[Production_Needed]]-Table11[[#This Row],[Planned_Production]],0)</f>
        <v>0</v>
      </c>
      <c r="O331" s="82">
        <f ca="1">Table11[[#This Row],[Inventory_On_Hand]]+Table11[[#This Row],[Planned_Production]]-Table11[[#This Row],[Forecasted_Units]]</f>
        <v>9.9460553634214506</v>
      </c>
      <c r="P331" cm="1">
        <f t="array" ref="P331">_xlfn.XLOOKUP(Table11[[#This Row],[Date]] &amp; Table11[[#This Row],[Vehicle_Type]], Table12[Date] &amp; Table12[Vehicle_Type],Table12[Feedback_Adjustment], 0)</f>
        <v>0</v>
      </c>
      <c r="Q331" s="82">
        <f>Table11[[#This Row],[Forecasted_Units]]*(1+Table11[[#This Row],[Adjustment_Percentage]])</f>
        <v>99.460553634214534</v>
      </c>
      <c r="R331" s="82"/>
    </row>
    <row r="332" spans="1:18">
      <c r="A332" s="53">
        <v>51905</v>
      </c>
      <c r="B332" s="14" t="s">
        <v>12</v>
      </c>
      <c r="C332" s="15" t="str">
        <f>TEXT(Table11[[#This Row],[Date]],"mmmm")</f>
        <v>February</v>
      </c>
      <c r="D332" s="14">
        <v>106</v>
      </c>
      <c r="E332" s="82">
        <f>_xlfn.FORECAST.LINEAR(Table11[[#This Row],[Date]],Table11[Units_Sold],Table11[Date])</f>
        <v>99.461717830871322</v>
      </c>
      <c r="F332" cm="1">
        <f t="array" ref="F332">_xlfn.IFS(Table11[[#This Row],[Vehicle_Type]]="SUV",250,Table11[[#This Row],[Vehicle_Type]]="Sedan",200,Table11[[#This Row],[Vehicle_Type]]="Hatchback",185,Table11[[#This Row],[Vehicle_Type]]="Electric",190,Table11[[#This Row],[Vehicle_Type]]="Truck",150)</f>
        <v>250</v>
      </c>
      <c r="G332">
        <f t="shared" ca="1" si="5"/>
        <v>22</v>
      </c>
      <c r="H332" s="82">
        <f>Table11[[#This Row],[Daily_Production]]-Table11[[#This Row],[Forecasted_Units]]</f>
        <v>150.53828216912868</v>
      </c>
      <c r="I332" cm="1">
        <f t="array" ref="I332">_xlfn.IFS(Table11[[#This Row],[Vehicle_Type]]="SUV",5,Table11[[#This Row],[Vehicle_Type]]="Sedan",7,Table11[[#This Row],[Vehicle_Type]]="Hatchback",10,Table11[[#This Row],[Vehicle_Type]]="Electric",11,Table11[[#This Row],[Vehicle_Type]]="Truck",13)</f>
        <v>5</v>
      </c>
      <c r="J332">
        <f ca="1">Table11[[#This Row],[Daily_Production]]*Table11[[#This Row],[Working_Days]]</f>
        <v>5500</v>
      </c>
      <c r="K332" s="81">
        <f>Table11[[#This Row],[Forecasted_Units]]*0.1</f>
        <v>9.9461717830871326</v>
      </c>
      <c r="L332" s="82">
        <f>Table11[[#This Row],[Adjusted_Forecast]]+Table11[[#This Row],[Safety_Stock]]-Table11[[#This Row],[Inventory_On_Hand]]</f>
        <v>-41.130392555170218</v>
      </c>
      <c r="M332" s="82">
        <f ca="1">MIN(Table11[[#This Row],[Production_Needed]],Table11[[#This Row],[Production_Capacity]])</f>
        <v>-41.130392555170218</v>
      </c>
      <c r="N332" s="82">
        <f ca="1">MAX(Table11[[#This Row],[Production_Needed]]-Table11[[#This Row],[Planned_Production]],0)</f>
        <v>0</v>
      </c>
      <c r="O332" s="82">
        <f ca="1">Table11[[#This Row],[Inventory_On_Hand]]+Table11[[#This Row],[Planned_Production]]-Table11[[#This Row],[Forecasted_Units]]</f>
        <v>9.9461717830871379</v>
      </c>
      <c r="P332" cm="1">
        <f t="array" ref="P332">_xlfn.XLOOKUP(Table11[[#This Row],[Date]] &amp; Table11[[#This Row],[Vehicle_Type]], Table12[Date] &amp; Table12[Vehicle_Type],Table12[Feedback_Adjustment], 0)</f>
        <v>0</v>
      </c>
      <c r="Q332" s="82">
        <f>Table11[[#This Row],[Forecasted_Units]]*(1+Table11[[#This Row],[Adjustment_Percentage]])</f>
        <v>99.461717830871322</v>
      </c>
      <c r="R332" s="82"/>
    </row>
    <row r="333" spans="1:18">
      <c r="A333" s="54">
        <v>51935</v>
      </c>
      <c r="B333" s="15" t="s">
        <v>11</v>
      </c>
      <c r="C333" s="15" t="str">
        <f>TEXT(Table11[[#This Row],[Date]],"mmmm")</f>
        <v>March</v>
      </c>
      <c r="D333" s="15">
        <v>92</v>
      </c>
      <c r="E333" s="82">
        <f>_xlfn.FORECAST.LINEAR(Table11[[#This Row],[Date]],Table11[Units_Sold],Table11[Date])</f>
        <v>99.46288202752811</v>
      </c>
      <c r="F333" cm="1">
        <f t="array" ref="F333">_xlfn.IFS(Table11[[#This Row],[Vehicle_Type]]="SUV",250,Table11[[#This Row],[Vehicle_Type]]="Sedan",200,Table11[[#This Row],[Vehicle_Type]]="Hatchback",185,Table11[[#This Row],[Vehicle_Type]]="Electric",190,Table11[[#This Row],[Vehicle_Type]]="Truck",150)</f>
        <v>185</v>
      </c>
      <c r="G333">
        <f t="shared" ca="1" si="5"/>
        <v>24</v>
      </c>
      <c r="H333" s="82">
        <f>Table11[[#This Row],[Daily_Production]]-Table11[[#This Row],[Forecasted_Units]]</f>
        <v>85.53711797247189</v>
      </c>
      <c r="I333" cm="1">
        <f t="array" ref="I333">_xlfn.IFS(Table11[[#This Row],[Vehicle_Type]]="SUV",5,Table11[[#This Row],[Vehicle_Type]]="Sedan",7,Table11[[#This Row],[Vehicle_Type]]="Hatchback",10,Table11[[#This Row],[Vehicle_Type]]="Electric",11,Table11[[#This Row],[Vehicle_Type]]="Truck",13)</f>
        <v>10</v>
      </c>
      <c r="J333">
        <f ca="1">Table11[[#This Row],[Daily_Production]]*Table11[[#This Row],[Working_Days]]</f>
        <v>4440</v>
      </c>
      <c r="K333" s="81">
        <f>Table11[[#This Row],[Forecasted_Units]]*0.1</f>
        <v>9.946288202752811</v>
      </c>
      <c r="L333" s="82">
        <f>Table11[[#This Row],[Adjusted_Forecast]]+Table11[[#This Row],[Safety_Stock]]-Table11[[#This Row],[Inventory_On_Hand]]</f>
        <v>23.872052257809031</v>
      </c>
      <c r="M333" s="82">
        <f ca="1">MIN(Table11[[#This Row],[Production_Needed]],Table11[[#This Row],[Production_Capacity]])</f>
        <v>23.872052257809031</v>
      </c>
      <c r="N333" s="82">
        <f ca="1">MAX(Table11[[#This Row],[Production_Needed]]-Table11[[#This Row],[Planned_Production]],0)</f>
        <v>0</v>
      </c>
      <c r="O333" s="82">
        <f ca="1">Table11[[#This Row],[Inventory_On_Hand]]+Table11[[#This Row],[Planned_Production]]-Table11[[#This Row],[Forecasted_Units]]</f>
        <v>9.946288202752811</v>
      </c>
      <c r="P333" cm="1">
        <f t="array" ref="P333">_xlfn.XLOOKUP(Table11[[#This Row],[Date]] &amp; Table11[[#This Row],[Vehicle_Type]], Table12[Date] &amp; Table12[Vehicle_Type],Table12[Feedback_Adjustment], 0)</f>
        <v>0</v>
      </c>
      <c r="Q333" s="82">
        <f>Table11[[#This Row],[Forecasted_Units]]*(1+Table11[[#This Row],[Adjustment_Percentage]])</f>
        <v>99.46288202752811</v>
      </c>
      <c r="R333" s="82"/>
    </row>
    <row r="334" spans="1:18">
      <c r="A334" s="53">
        <v>51965</v>
      </c>
      <c r="B334" s="14" t="s">
        <v>10</v>
      </c>
      <c r="C334" s="15" t="str">
        <f>TEXT(Table11[[#This Row],[Date]],"mmmm")</f>
        <v>April</v>
      </c>
      <c r="D334" s="14">
        <v>90</v>
      </c>
      <c r="E334" s="82">
        <f>_xlfn.FORECAST.LINEAR(Table11[[#This Row],[Date]],Table11[Units_Sold],Table11[Date])</f>
        <v>99.464046224184884</v>
      </c>
      <c r="F334" cm="1">
        <f t="array" ref="F334">_xlfn.IFS(Table11[[#This Row],[Vehicle_Type]]="SUV",250,Table11[[#This Row],[Vehicle_Type]]="Sedan",200,Table11[[#This Row],[Vehicle_Type]]="Hatchback",185,Table11[[#This Row],[Vehicle_Type]]="Electric",190,Table11[[#This Row],[Vehicle_Type]]="Truck",150)</f>
        <v>200</v>
      </c>
      <c r="G334">
        <f t="shared" ca="1" si="5"/>
        <v>20</v>
      </c>
      <c r="H334" s="82">
        <f>Table11[[#This Row],[Daily_Production]]-Table11[[#This Row],[Forecasted_Units]]</f>
        <v>100.53595377581512</v>
      </c>
      <c r="I334" cm="1">
        <f t="array" ref="I334">_xlfn.IFS(Table11[[#This Row],[Vehicle_Type]]="SUV",5,Table11[[#This Row],[Vehicle_Type]]="Sedan",7,Table11[[#This Row],[Vehicle_Type]]="Hatchback",10,Table11[[#This Row],[Vehicle_Type]]="Electric",11,Table11[[#This Row],[Vehicle_Type]]="Truck",13)</f>
        <v>7</v>
      </c>
      <c r="J334">
        <f ca="1">Table11[[#This Row],[Daily_Production]]*Table11[[#This Row],[Working_Days]]</f>
        <v>4000</v>
      </c>
      <c r="K334" s="81">
        <f>Table11[[#This Row],[Forecasted_Units]]*0.1</f>
        <v>9.9464046224184894</v>
      </c>
      <c r="L334" s="82">
        <f>Table11[[#This Row],[Adjusted_Forecast]]+Table11[[#This Row],[Safety_Stock]]-Table11[[#This Row],[Inventory_On_Hand]]</f>
        <v>8.8744970707882516</v>
      </c>
      <c r="M334" s="82">
        <f ca="1">MIN(Table11[[#This Row],[Production_Needed]],Table11[[#This Row],[Production_Capacity]])</f>
        <v>8.8744970707882516</v>
      </c>
      <c r="N334" s="82">
        <f ca="1">MAX(Table11[[#This Row],[Production_Needed]]-Table11[[#This Row],[Planned_Production]],0)</f>
        <v>0</v>
      </c>
      <c r="O334" s="82">
        <f ca="1">Table11[[#This Row],[Inventory_On_Hand]]+Table11[[#This Row],[Planned_Production]]-Table11[[#This Row],[Forecasted_Units]]</f>
        <v>9.9464046224184841</v>
      </c>
      <c r="P334" cm="1">
        <f t="array" ref="P334">_xlfn.XLOOKUP(Table11[[#This Row],[Date]] &amp; Table11[[#This Row],[Vehicle_Type]], Table12[Date] &amp; Table12[Vehicle_Type],Table12[Feedback_Adjustment], 0)</f>
        <v>0</v>
      </c>
      <c r="Q334" s="82">
        <f>Table11[[#This Row],[Forecasted_Units]]*(1+Table11[[#This Row],[Adjustment_Percentage]])</f>
        <v>99.464046224184884</v>
      </c>
      <c r="R334" s="82"/>
    </row>
    <row r="335" spans="1:18">
      <c r="A335" s="54">
        <v>51995</v>
      </c>
      <c r="B335" s="15" t="s">
        <v>12</v>
      </c>
      <c r="C335" s="15" t="str">
        <f>TEXT(Table11[[#This Row],[Date]],"mmmm")</f>
        <v>May</v>
      </c>
      <c r="D335" s="15">
        <v>102</v>
      </c>
      <c r="E335" s="82">
        <f>_xlfn.FORECAST.LINEAR(Table11[[#This Row],[Date]],Table11[Units_Sold],Table11[Date])</f>
        <v>99.465210420841672</v>
      </c>
      <c r="F335" cm="1">
        <f t="array" ref="F335">_xlfn.IFS(Table11[[#This Row],[Vehicle_Type]]="SUV",250,Table11[[#This Row],[Vehicle_Type]]="Sedan",200,Table11[[#This Row],[Vehicle_Type]]="Hatchback",185,Table11[[#This Row],[Vehicle_Type]]="Electric",190,Table11[[#This Row],[Vehicle_Type]]="Truck",150)</f>
        <v>250</v>
      </c>
      <c r="G335">
        <f t="shared" ca="1" si="5"/>
        <v>25</v>
      </c>
      <c r="H335" s="82">
        <f>Table11[[#This Row],[Daily_Production]]-Table11[[#This Row],[Forecasted_Units]]</f>
        <v>150.53478957915831</v>
      </c>
      <c r="I335" cm="1">
        <f t="array" ref="I335">_xlfn.IFS(Table11[[#This Row],[Vehicle_Type]]="SUV",5,Table11[[#This Row],[Vehicle_Type]]="Sedan",7,Table11[[#This Row],[Vehicle_Type]]="Hatchback",10,Table11[[#This Row],[Vehicle_Type]]="Electric",11,Table11[[#This Row],[Vehicle_Type]]="Truck",13)</f>
        <v>5</v>
      </c>
      <c r="J335">
        <f ca="1">Table11[[#This Row],[Daily_Production]]*Table11[[#This Row],[Working_Days]]</f>
        <v>6250</v>
      </c>
      <c r="K335" s="81">
        <f>Table11[[#This Row],[Forecasted_Units]]*0.1</f>
        <v>9.9465210420841679</v>
      </c>
      <c r="L335" s="82">
        <f>Table11[[#This Row],[Adjusted_Forecast]]+Table11[[#This Row],[Safety_Stock]]-Table11[[#This Row],[Inventory_On_Hand]]</f>
        <v>-41.123058116232471</v>
      </c>
      <c r="M335" s="82">
        <f ca="1">MIN(Table11[[#This Row],[Production_Needed]],Table11[[#This Row],[Production_Capacity]])</f>
        <v>-41.123058116232471</v>
      </c>
      <c r="N335" s="82">
        <f ca="1">MAX(Table11[[#This Row],[Production_Needed]]-Table11[[#This Row],[Planned_Production]],0)</f>
        <v>0</v>
      </c>
      <c r="O335" s="82">
        <f ca="1">Table11[[#This Row],[Inventory_On_Hand]]+Table11[[#This Row],[Planned_Production]]-Table11[[#This Row],[Forecasted_Units]]</f>
        <v>9.9465210420841714</v>
      </c>
      <c r="P335" cm="1">
        <f t="array" ref="P335">_xlfn.XLOOKUP(Table11[[#This Row],[Date]] &amp; Table11[[#This Row],[Vehicle_Type]], Table12[Date] &amp; Table12[Vehicle_Type],Table12[Feedback_Adjustment], 0)</f>
        <v>0</v>
      </c>
      <c r="Q335" s="82">
        <f>Table11[[#This Row],[Forecasted_Units]]*(1+Table11[[#This Row],[Adjustment_Percentage]])</f>
        <v>99.465210420841672</v>
      </c>
      <c r="R335" s="82"/>
    </row>
    <row r="336" spans="1:18">
      <c r="A336" s="53">
        <v>52025</v>
      </c>
      <c r="B336" s="14" t="s">
        <v>11</v>
      </c>
      <c r="C336" s="15" t="str">
        <f>TEXT(Table11[[#This Row],[Date]],"mmmm")</f>
        <v>June</v>
      </c>
      <c r="D336" s="14">
        <v>99</v>
      </c>
      <c r="E336" s="82">
        <f>_xlfn.FORECAST.LINEAR(Table11[[#This Row],[Date]],Table11[Units_Sold],Table11[Date])</f>
        <v>99.46637461749846</v>
      </c>
      <c r="F336" cm="1">
        <f t="array" ref="F336">_xlfn.IFS(Table11[[#This Row],[Vehicle_Type]]="SUV",250,Table11[[#This Row],[Vehicle_Type]]="Sedan",200,Table11[[#This Row],[Vehicle_Type]]="Hatchback",185,Table11[[#This Row],[Vehicle_Type]]="Electric",190,Table11[[#This Row],[Vehicle_Type]]="Truck",150)</f>
        <v>185</v>
      </c>
      <c r="G336">
        <f t="shared" ca="1" si="5"/>
        <v>20</v>
      </c>
      <c r="H336" s="82">
        <f>Table11[[#This Row],[Daily_Production]]-Table11[[#This Row],[Forecasted_Units]]</f>
        <v>85.53362538250154</v>
      </c>
      <c r="I336" cm="1">
        <f t="array" ref="I336">_xlfn.IFS(Table11[[#This Row],[Vehicle_Type]]="SUV",5,Table11[[#This Row],[Vehicle_Type]]="Sedan",7,Table11[[#This Row],[Vehicle_Type]]="Hatchback",10,Table11[[#This Row],[Vehicle_Type]]="Electric",11,Table11[[#This Row],[Vehicle_Type]]="Truck",13)</f>
        <v>10</v>
      </c>
      <c r="J336">
        <f ca="1">Table11[[#This Row],[Daily_Production]]*Table11[[#This Row],[Working_Days]]</f>
        <v>3700</v>
      </c>
      <c r="K336" s="81">
        <f>Table11[[#This Row],[Forecasted_Units]]*0.1</f>
        <v>9.9466374617498463</v>
      </c>
      <c r="L336" s="82">
        <f>Table11[[#This Row],[Adjusted_Forecast]]+Table11[[#This Row],[Safety_Stock]]-Table11[[#This Row],[Inventory_On_Hand]]</f>
        <v>23.879386696746764</v>
      </c>
      <c r="M336" s="82">
        <f ca="1">MIN(Table11[[#This Row],[Production_Needed]],Table11[[#This Row],[Production_Capacity]])</f>
        <v>23.879386696746764</v>
      </c>
      <c r="N336" s="82">
        <f ca="1">MAX(Table11[[#This Row],[Production_Needed]]-Table11[[#This Row],[Planned_Production]],0)</f>
        <v>0</v>
      </c>
      <c r="O336" s="82">
        <f ca="1">Table11[[#This Row],[Inventory_On_Hand]]+Table11[[#This Row],[Planned_Production]]-Table11[[#This Row],[Forecasted_Units]]</f>
        <v>9.9466374617498445</v>
      </c>
      <c r="P336" cm="1">
        <f t="array" ref="P336">_xlfn.XLOOKUP(Table11[[#This Row],[Date]] &amp; Table11[[#This Row],[Vehicle_Type]], Table12[Date] &amp; Table12[Vehicle_Type],Table12[Feedback_Adjustment], 0)</f>
        <v>0</v>
      </c>
      <c r="Q336" s="82">
        <f>Table11[[#This Row],[Forecasted_Units]]*(1+Table11[[#This Row],[Adjustment_Percentage]])</f>
        <v>99.46637461749846</v>
      </c>
      <c r="R336" s="82"/>
    </row>
    <row r="337" spans="1:18">
      <c r="A337" s="54">
        <v>52055</v>
      </c>
      <c r="B337" s="15" t="s">
        <v>11</v>
      </c>
      <c r="C337" s="15" t="str">
        <f>TEXT(Table11[[#This Row],[Date]],"mmmm")</f>
        <v>July</v>
      </c>
      <c r="D337" s="15">
        <v>88</v>
      </c>
      <c r="E337" s="82">
        <f>_xlfn.FORECAST.LINEAR(Table11[[#This Row],[Date]],Table11[Units_Sold],Table11[Date])</f>
        <v>99.467538814155247</v>
      </c>
      <c r="F337" cm="1">
        <f t="array" ref="F337">_xlfn.IFS(Table11[[#This Row],[Vehicle_Type]]="SUV",250,Table11[[#This Row],[Vehicle_Type]]="Sedan",200,Table11[[#This Row],[Vehicle_Type]]="Hatchback",185,Table11[[#This Row],[Vehicle_Type]]="Electric",190,Table11[[#This Row],[Vehicle_Type]]="Truck",150)</f>
        <v>185</v>
      </c>
      <c r="G337">
        <f t="shared" ca="1" si="5"/>
        <v>24</v>
      </c>
      <c r="H337" s="82">
        <f>Table11[[#This Row],[Daily_Production]]-Table11[[#This Row],[Forecasted_Units]]</f>
        <v>85.532461185844753</v>
      </c>
      <c r="I337" cm="1">
        <f t="array" ref="I337">_xlfn.IFS(Table11[[#This Row],[Vehicle_Type]]="SUV",5,Table11[[#This Row],[Vehicle_Type]]="Sedan",7,Table11[[#This Row],[Vehicle_Type]]="Hatchback",10,Table11[[#This Row],[Vehicle_Type]]="Electric",11,Table11[[#This Row],[Vehicle_Type]]="Truck",13)</f>
        <v>10</v>
      </c>
      <c r="J337">
        <f ca="1">Table11[[#This Row],[Daily_Production]]*Table11[[#This Row],[Working_Days]]</f>
        <v>4440</v>
      </c>
      <c r="K337" s="81">
        <f>Table11[[#This Row],[Forecasted_Units]]*0.1</f>
        <v>9.9467538814155247</v>
      </c>
      <c r="L337" s="82">
        <f>Table11[[#This Row],[Adjusted_Forecast]]+Table11[[#This Row],[Safety_Stock]]-Table11[[#This Row],[Inventory_On_Hand]]</f>
        <v>23.881831509726013</v>
      </c>
      <c r="M337" s="82">
        <f ca="1">MIN(Table11[[#This Row],[Production_Needed]],Table11[[#This Row],[Production_Capacity]])</f>
        <v>23.881831509726013</v>
      </c>
      <c r="N337" s="82">
        <f ca="1">MAX(Table11[[#This Row],[Production_Needed]]-Table11[[#This Row],[Planned_Production]],0)</f>
        <v>0</v>
      </c>
      <c r="O337" s="82">
        <f ca="1">Table11[[#This Row],[Inventory_On_Hand]]+Table11[[#This Row],[Planned_Production]]-Table11[[#This Row],[Forecasted_Units]]</f>
        <v>9.9467538814155176</v>
      </c>
      <c r="P337" cm="1">
        <f t="array" ref="P337">_xlfn.XLOOKUP(Table11[[#This Row],[Date]] &amp; Table11[[#This Row],[Vehicle_Type]], Table12[Date] &amp; Table12[Vehicle_Type],Table12[Feedback_Adjustment], 0)</f>
        <v>0</v>
      </c>
      <c r="Q337" s="82">
        <f>Table11[[#This Row],[Forecasted_Units]]*(1+Table11[[#This Row],[Adjustment_Percentage]])</f>
        <v>99.467538814155247</v>
      </c>
      <c r="R337" s="82"/>
    </row>
    <row r="338" spans="1:18">
      <c r="A338" s="53">
        <v>52085</v>
      </c>
      <c r="B338" s="14" t="s">
        <v>12</v>
      </c>
      <c r="C338" s="15" t="str">
        <f>TEXT(Table11[[#This Row],[Date]],"mmmm")</f>
        <v>August</v>
      </c>
      <c r="D338" s="14">
        <v>100</v>
      </c>
      <c r="E338" s="82">
        <f>_xlfn.FORECAST.LINEAR(Table11[[#This Row],[Date]],Table11[Units_Sold],Table11[Date])</f>
        <v>99.468703010812035</v>
      </c>
      <c r="F338" cm="1">
        <f t="array" ref="F338">_xlfn.IFS(Table11[[#This Row],[Vehicle_Type]]="SUV",250,Table11[[#This Row],[Vehicle_Type]]="Sedan",200,Table11[[#This Row],[Vehicle_Type]]="Hatchback",185,Table11[[#This Row],[Vehicle_Type]]="Electric",190,Table11[[#This Row],[Vehicle_Type]]="Truck",150)</f>
        <v>250</v>
      </c>
      <c r="G338">
        <f t="shared" ca="1" si="5"/>
        <v>20</v>
      </c>
      <c r="H338" s="82">
        <f>Table11[[#This Row],[Daily_Production]]-Table11[[#This Row],[Forecasted_Units]]</f>
        <v>150.53129698918798</v>
      </c>
      <c r="I338" cm="1">
        <f t="array" ref="I338">_xlfn.IFS(Table11[[#This Row],[Vehicle_Type]]="SUV",5,Table11[[#This Row],[Vehicle_Type]]="Sedan",7,Table11[[#This Row],[Vehicle_Type]]="Hatchback",10,Table11[[#This Row],[Vehicle_Type]]="Electric",11,Table11[[#This Row],[Vehicle_Type]]="Truck",13)</f>
        <v>5</v>
      </c>
      <c r="J338">
        <f ca="1">Table11[[#This Row],[Daily_Production]]*Table11[[#This Row],[Working_Days]]</f>
        <v>5000</v>
      </c>
      <c r="K338" s="81">
        <f>Table11[[#This Row],[Forecasted_Units]]*0.1</f>
        <v>9.946870301081205</v>
      </c>
      <c r="L338" s="82">
        <f>Table11[[#This Row],[Adjusted_Forecast]]+Table11[[#This Row],[Safety_Stock]]-Table11[[#This Row],[Inventory_On_Hand]]</f>
        <v>-41.115723677294739</v>
      </c>
      <c r="M338" s="82">
        <f ca="1">MIN(Table11[[#This Row],[Production_Needed]],Table11[[#This Row],[Production_Capacity]])</f>
        <v>-41.115723677294739</v>
      </c>
      <c r="N338" s="82">
        <f ca="1">MAX(Table11[[#This Row],[Production_Needed]]-Table11[[#This Row],[Planned_Production]],0)</f>
        <v>0</v>
      </c>
      <c r="O338" s="82">
        <f ca="1">Table11[[#This Row],[Inventory_On_Hand]]+Table11[[#This Row],[Planned_Production]]-Table11[[#This Row],[Forecasted_Units]]</f>
        <v>9.946870301081205</v>
      </c>
      <c r="P338" cm="1">
        <f t="array" ref="P338">_xlfn.XLOOKUP(Table11[[#This Row],[Date]] &amp; Table11[[#This Row],[Vehicle_Type]], Table12[Date] &amp; Table12[Vehicle_Type],Table12[Feedback_Adjustment], 0)</f>
        <v>0</v>
      </c>
      <c r="Q338" s="82">
        <f>Table11[[#This Row],[Forecasted_Units]]*(1+Table11[[#This Row],[Adjustment_Percentage]])</f>
        <v>99.468703010812035</v>
      </c>
      <c r="R338" s="82"/>
    </row>
    <row r="339" spans="1:18">
      <c r="A339" s="54">
        <v>52115</v>
      </c>
      <c r="B339" s="15" t="s">
        <v>14</v>
      </c>
      <c r="C339" s="15" t="str">
        <f>TEXT(Table11[[#This Row],[Date]],"mmmm")</f>
        <v>September</v>
      </c>
      <c r="D339" s="15">
        <f>IF(ISBLANK(D292), P293, D292)</f>
        <v>100</v>
      </c>
      <c r="E339" s="82">
        <f>_xlfn.FORECAST.LINEAR(Table11[[#This Row],[Date]],Table11[Units_Sold],Table11[Date])</f>
        <v>99.469867207468823</v>
      </c>
      <c r="F339" cm="1">
        <f t="array" ref="F339">_xlfn.IFS(Table11[[#This Row],[Vehicle_Type]]="SUV",250,Table11[[#This Row],[Vehicle_Type]]="Sedan",200,Table11[[#This Row],[Vehicle_Type]]="Hatchback",185,Table11[[#This Row],[Vehicle_Type]]="Electric",190,Table11[[#This Row],[Vehicle_Type]]="Truck",150)</f>
        <v>150</v>
      </c>
      <c r="G339">
        <f t="shared" ca="1" si="5"/>
        <v>24</v>
      </c>
      <c r="H339" s="82">
        <f>Table11[[#This Row],[Daily_Production]]-Table11[[#This Row],[Forecasted_Units]]</f>
        <v>50.530132792531177</v>
      </c>
      <c r="I339" cm="1">
        <f t="array" ref="I339">_xlfn.IFS(Table11[[#This Row],[Vehicle_Type]]="SUV",5,Table11[[#This Row],[Vehicle_Type]]="Sedan",7,Table11[[#This Row],[Vehicle_Type]]="Hatchback",10,Table11[[#This Row],[Vehicle_Type]]="Electric",11,Table11[[#This Row],[Vehicle_Type]]="Truck",13)</f>
        <v>13</v>
      </c>
      <c r="J339">
        <f ca="1">Table11[[#This Row],[Daily_Production]]*Table11[[#This Row],[Working_Days]]</f>
        <v>3600</v>
      </c>
      <c r="K339" s="81">
        <f>Table11[[#This Row],[Forecasted_Units]]*0.1</f>
        <v>9.9469867207468834</v>
      </c>
      <c r="L339" s="82">
        <f>Table11[[#This Row],[Adjusted_Forecast]]+Table11[[#This Row],[Safety_Stock]]-Table11[[#This Row],[Inventory_On_Hand]]</f>
        <v>58.886721135684525</v>
      </c>
      <c r="M339" s="82">
        <f ca="1">MIN(Table11[[#This Row],[Production_Needed]],Table11[[#This Row],[Production_Capacity]])</f>
        <v>58.886721135684525</v>
      </c>
      <c r="N339" s="82">
        <f ca="1">MAX(Table11[[#This Row],[Production_Needed]]-Table11[[#This Row],[Planned_Production]],0)</f>
        <v>0</v>
      </c>
      <c r="O339" s="82">
        <f ca="1">Table11[[#This Row],[Inventory_On_Hand]]+Table11[[#This Row],[Planned_Production]]-Table11[[#This Row],[Forecasted_Units]]</f>
        <v>9.9469867207468781</v>
      </c>
      <c r="P339" cm="1">
        <f t="array" ref="P339">_xlfn.XLOOKUP(Table11[[#This Row],[Date]] &amp; Table11[[#This Row],[Vehicle_Type]], Table12[Date] &amp; Table12[Vehicle_Type],Table12[Feedback_Adjustment], 0)</f>
        <v>0</v>
      </c>
      <c r="Q339" s="82">
        <f>Table11[[#This Row],[Forecasted_Units]]*(1+Table11[[#This Row],[Adjustment_Percentage]])</f>
        <v>99.469867207468823</v>
      </c>
      <c r="R339" s="82"/>
    </row>
    <row r="340" spans="1:18">
      <c r="A340" s="53">
        <v>52145</v>
      </c>
      <c r="B340" s="14" t="s">
        <v>13</v>
      </c>
      <c r="C340" s="15" t="str">
        <f>TEXT(Table11[[#This Row],[Date]],"mmmm")</f>
        <v>October</v>
      </c>
      <c r="D340" s="14">
        <v>106</v>
      </c>
      <c r="E340" s="82">
        <f>_xlfn.FORECAST.LINEAR(Table11[[#This Row],[Date]],Table11[Units_Sold],Table11[Date])</f>
        <v>99.471031404125611</v>
      </c>
      <c r="F340" cm="1">
        <f t="array" ref="F340">_xlfn.IFS(Table11[[#This Row],[Vehicle_Type]]="SUV",250,Table11[[#This Row],[Vehicle_Type]]="Sedan",200,Table11[[#This Row],[Vehicle_Type]]="Hatchback",185,Table11[[#This Row],[Vehicle_Type]]="Electric",190,Table11[[#This Row],[Vehicle_Type]]="Truck",150)</f>
        <v>190</v>
      </c>
      <c r="G340">
        <f t="shared" ca="1" si="5"/>
        <v>21</v>
      </c>
      <c r="H340" s="82">
        <f>Table11[[#This Row],[Daily_Production]]-Table11[[#This Row],[Forecasted_Units]]</f>
        <v>90.528968595874389</v>
      </c>
      <c r="I340" cm="1">
        <f t="array" ref="I340">_xlfn.IFS(Table11[[#This Row],[Vehicle_Type]]="SUV",5,Table11[[#This Row],[Vehicle_Type]]="Sedan",7,Table11[[#This Row],[Vehicle_Type]]="Hatchback",10,Table11[[#This Row],[Vehicle_Type]]="Electric",11,Table11[[#This Row],[Vehicle_Type]]="Truck",13)</f>
        <v>11</v>
      </c>
      <c r="J340">
        <f ca="1">Table11[[#This Row],[Daily_Production]]*Table11[[#This Row],[Working_Days]]</f>
        <v>3990</v>
      </c>
      <c r="K340" s="81">
        <f>Table11[[#This Row],[Forecasted_Units]]*0.1</f>
        <v>9.9471031404125618</v>
      </c>
      <c r="L340" s="82">
        <f>Table11[[#This Row],[Adjusted_Forecast]]+Table11[[#This Row],[Safety_Stock]]-Table11[[#This Row],[Inventory_On_Hand]]</f>
        <v>18.889165948663788</v>
      </c>
      <c r="M340" s="82">
        <f ca="1">MIN(Table11[[#This Row],[Production_Needed]],Table11[[#This Row],[Production_Capacity]])</f>
        <v>18.889165948663788</v>
      </c>
      <c r="N340" s="82">
        <f ca="1">MAX(Table11[[#This Row],[Production_Needed]]-Table11[[#This Row],[Planned_Production]],0)</f>
        <v>0</v>
      </c>
      <c r="O340" s="82">
        <f ca="1">Table11[[#This Row],[Inventory_On_Hand]]+Table11[[#This Row],[Planned_Production]]-Table11[[#This Row],[Forecasted_Units]]</f>
        <v>9.9471031404125654</v>
      </c>
      <c r="P340" cm="1">
        <f t="array" ref="P340">_xlfn.XLOOKUP(Table11[[#This Row],[Date]] &amp; Table11[[#This Row],[Vehicle_Type]], Table12[Date] &amp; Table12[Vehicle_Type],Table12[Feedback_Adjustment], 0)</f>
        <v>0</v>
      </c>
      <c r="Q340" s="82">
        <f>Table11[[#This Row],[Forecasted_Units]]*(1+Table11[[#This Row],[Adjustment_Percentage]])</f>
        <v>99.471031404125611</v>
      </c>
      <c r="R340" s="82"/>
    </row>
    <row r="341" spans="1:18">
      <c r="A341" s="54">
        <v>52175</v>
      </c>
      <c r="B341" s="15" t="s">
        <v>11</v>
      </c>
      <c r="C341" s="15" t="str">
        <f>TEXT(Table11[[#This Row],[Date]],"mmmm")</f>
        <v>November</v>
      </c>
      <c r="D341" s="15">
        <f>IF(ISBLANK(D294), P295, D294)</f>
        <v>94</v>
      </c>
      <c r="E341" s="82">
        <f>_xlfn.FORECAST.LINEAR(Table11[[#This Row],[Date]],Table11[Units_Sold],Table11[Date])</f>
        <v>99.472195600782399</v>
      </c>
      <c r="F341" cm="1">
        <f t="array" ref="F341">_xlfn.IFS(Table11[[#This Row],[Vehicle_Type]]="SUV",250,Table11[[#This Row],[Vehicle_Type]]="Sedan",200,Table11[[#This Row],[Vehicle_Type]]="Hatchback",185,Table11[[#This Row],[Vehicle_Type]]="Electric",190,Table11[[#This Row],[Vehicle_Type]]="Truck",150)</f>
        <v>185</v>
      </c>
      <c r="G341">
        <f t="shared" ca="1" si="5"/>
        <v>25</v>
      </c>
      <c r="H341" s="82">
        <f>Table11[[#This Row],[Daily_Production]]-Table11[[#This Row],[Forecasted_Units]]</f>
        <v>85.527804399217601</v>
      </c>
      <c r="I341" cm="1">
        <f t="array" ref="I341">_xlfn.IFS(Table11[[#This Row],[Vehicle_Type]]="SUV",5,Table11[[#This Row],[Vehicle_Type]]="Sedan",7,Table11[[#This Row],[Vehicle_Type]]="Hatchback",10,Table11[[#This Row],[Vehicle_Type]]="Electric",11,Table11[[#This Row],[Vehicle_Type]]="Truck",13)</f>
        <v>10</v>
      </c>
      <c r="J341">
        <f ca="1">Table11[[#This Row],[Daily_Production]]*Table11[[#This Row],[Working_Days]]</f>
        <v>4625</v>
      </c>
      <c r="K341" s="81">
        <f>Table11[[#This Row],[Forecasted_Units]]*0.1</f>
        <v>9.9472195600782403</v>
      </c>
      <c r="L341" s="82">
        <f>Table11[[#This Row],[Adjusted_Forecast]]+Table11[[#This Row],[Safety_Stock]]-Table11[[#This Row],[Inventory_On_Hand]]</f>
        <v>23.891610761643037</v>
      </c>
      <c r="M341" s="82">
        <f ca="1">MIN(Table11[[#This Row],[Production_Needed]],Table11[[#This Row],[Production_Capacity]])</f>
        <v>23.891610761643037</v>
      </c>
      <c r="N341" s="82">
        <f ca="1">MAX(Table11[[#This Row],[Production_Needed]]-Table11[[#This Row],[Planned_Production]],0)</f>
        <v>0</v>
      </c>
      <c r="O341" s="82">
        <f ca="1">Table11[[#This Row],[Inventory_On_Hand]]+Table11[[#This Row],[Planned_Production]]-Table11[[#This Row],[Forecasted_Units]]</f>
        <v>9.9472195600782385</v>
      </c>
      <c r="P341" cm="1">
        <f t="array" ref="P341">_xlfn.XLOOKUP(Table11[[#This Row],[Date]] &amp; Table11[[#This Row],[Vehicle_Type]], Table12[Date] &amp; Table12[Vehicle_Type],Table12[Feedback_Adjustment], 0)</f>
        <v>0</v>
      </c>
      <c r="Q341" s="82">
        <f>Table11[[#This Row],[Forecasted_Units]]*(1+Table11[[#This Row],[Adjustment_Percentage]])</f>
        <v>99.472195600782399</v>
      </c>
      <c r="R341" s="82"/>
    </row>
    <row r="342" spans="1:18">
      <c r="A342" s="53">
        <v>52205</v>
      </c>
      <c r="B342" s="14" t="s">
        <v>13</v>
      </c>
      <c r="C342" s="15" t="str">
        <f>TEXT(Table11[[#This Row],[Date]],"mmmm")</f>
        <v>December</v>
      </c>
      <c r="D342" s="14">
        <v>98</v>
      </c>
      <c r="E342" s="82">
        <f>_xlfn.FORECAST.LINEAR(Table11[[#This Row],[Date]],Table11[Units_Sold],Table11[Date])</f>
        <v>99.473359797439187</v>
      </c>
      <c r="F342" cm="1">
        <f t="array" ref="F342">_xlfn.IFS(Table11[[#This Row],[Vehicle_Type]]="SUV",250,Table11[[#This Row],[Vehicle_Type]]="Sedan",200,Table11[[#This Row],[Vehicle_Type]]="Hatchback",185,Table11[[#This Row],[Vehicle_Type]]="Electric",190,Table11[[#This Row],[Vehicle_Type]]="Truck",150)</f>
        <v>190</v>
      </c>
      <c r="G342">
        <f t="shared" ca="1" si="5"/>
        <v>20</v>
      </c>
      <c r="H342" s="82">
        <f>Table11[[#This Row],[Daily_Production]]-Table11[[#This Row],[Forecasted_Units]]</f>
        <v>90.526640202560813</v>
      </c>
      <c r="I342" cm="1">
        <f t="array" ref="I342">_xlfn.IFS(Table11[[#This Row],[Vehicle_Type]]="SUV",5,Table11[[#This Row],[Vehicle_Type]]="Sedan",7,Table11[[#This Row],[Vehicle_Type]]="Hatchback",10,Table11[[#This Row],[Vehicle_Type]]="Electric",11,Table11[[#This Row],[Vehicle_Type]]="Truck",13)</f>
        <v>11</v>
      </c>
      <c r="J342">
        <f ca="1">Table11[[#This Row],[Daily_Production]]*Table11[[#This Row],[Working_Days]]</f>
        <v>3800</v>
      </c>
      <c r="K342" s="81">
        <f>Table11[[#This Row],[Forecasted_Units]]*0.1</f>
        <v>9.9473359797439187</v>
      </c>
      <c r="L342" s="82">
        <f>Table11[[#This Row],[Adjusted_Forecast]]+Table11[[#This Row],[Safety_Stock]]-Table11[[#This Row],[Inventory_On_Hand]]</f>
        <v>18.8940555746223</v>
      </c>
      <c r="M342" s="82">
        <f ca="1">MIN(Table11[[#This Row],[Production_Needed]],Table11[[#This Row],[Production_Capacity]])</f>
        <v>18.8940555746223</v>
      </c>
      <c r="N342" s="82">
        <f ca="1">MAX(Table11[[#This Row],[Production_Needed]]-Table11[[#This Row],[Planned_Production]],0)</f>
        <v>0</v>
      </c>
      <c r="O342" s="82">
        <f ca="1">Table11[[#This Row],[Inventory_On_Hand]]+Table11[[#This Row],[Planned_Production]]-Table11[[#This Row],[Forecasted_Units]]</f>
        <v>9.9473359797439258</v>
      </c>
      <c r="P342" cm="1">
        <f t="array" ref="P342">_xlfn.XLOOKUP(Table11[[#This Row],[Date]] &amp; Table11[[#This Row],[Vehicle_Type]], Table12[Date] &amp; Table12[Vehicle_Type],Table12[Feedback_Adjustment], 0)</f>
        <v>0</v>
      </c>
      <c r="Q342" s="82">
        <f>Table11[[#This Row],[Forecasted_Units]]*(1+Table11[[#This Row],[Adjustment_Percentage]])</f>
        <v>99.473359797439187</v>
      </c>
      <c r="R342" s="82"/>
    </row>
    <row r="343" spans="1:18">
      <c r="A343" s="54">
        <v>52235</v>
      </c>
      <c r="B343" s="15" t="s">
        <v>13</v>
      </c>
      <c r="C343" s="15" t="str">
        <f>TEXT(Table11[[#This Row],[Date]],"mmmm")</f>
        <v>January</v>
      </c>
      <c r="D343" s="15">
        <v>119</v>
      </c>
      <c r="E343" s="82">
        <f>_xlfn.FORECAST.LINEAR(Table11[[#This Row],[Date]],Table11[Units_Sold],Table11[Date])</f>
        <v>99.474523994095975</v>
      </c>
      <c r="F343" cm="1">
        <f t="array" ref="F343">_xlfn.IFS(Table11[[#This Row],[Vehicle_Type]]="SUV",250,Table11[[#This Row],[Vehicle_Type]]="Sedan",200,Table11[[#This Row],[Vehicle_Type]]="Hatchback",185,Table11[[#This Row],[Vehicle_Type]]="Electric",190,Table11[[#This Row],[Vehicle_Type]]="Truck",150)</f>
        <v>190</v>
      </c>
      <c r="G343">
        <f t="shared" ca="1" si="5"/>
        <v>24</v>
      </c>
      <c r="H343" s="82">
        <f>Table11[[#This Row],[Daily_Production]]-Table11[[#This Row],[Forecasted_Units]]</f>
        <v>90.525476005904025</v>
      </c>
      <c r="I343" cm="1">
        <f t="array" ref="I343">_xlfn.IFS(Table11[[#This Row],[Vehicle_Type]]="SUV",5,Table11[[#This Row],[Vehicle_Type]]="Sedan",7,Table11[[#This Row],[Vehicle_Type]]="Hatchback",10,Table11[[#This Row],[Vehicle_Type]]="Electric",11,Table11[[#This Row],[Vehicle_Type]]="Truck",13)</f>
        <v>11</v>
      </c>
      <c r="J343">
        <f ca="1">Table11[[#This Row],[Daily_Production]]*Table11[[#This Row],[Working_Days]]</f>
        <v>4560</v>
      </c>
      <c r="K343" s="81">
        <f>Table11[[#This Row],[Forecasted_Units]]*0.1</f>
        <v>9.9474523994095989</v>
      </c>
      <c r="L343" s="82">
        <f>Table11[[#This Row],[Adjusted_Forecast]]+Table11[[#This Row],[Safety_Stock]]-Table11[[#This Row],[Inventory_On_Hand]]</f>
        <v>18.896500387601549</v>
      </c>
      <c r="M343" s="82">
        <f ca="1">MIN(Table11[[#This Row],[Production_Needed]],Table11[[#This Row],[Production_Capacity]])</f>
        <v>18.896500387601549</v>
      </c>
      <c r="N343" s="82">
        <f ca="1">MAX(Table11[[#This Row],[Production_Needed]]-Table11[[#This Row],[Planned_Production]],0)</f>
        <v>0</v>
      </c>
      <c r="O343" s="82">
        <f ca="1">Table11[[#This Row],[Inventory_On_Hand]]+Table11[[#This Row],[Planned_Production]]-Table11[[#This Row],[Forecasted_Units]]</f>
        <v>9.9474523994095989</v>
      </c>
      <c r="P343" cm="1">
        <f t="array" ref="P343">_xlfn.XLOOKUP(Table11[[#This Row],[Date]] &amp; Table11[[#This Row],[Vehicle_Type]], Table12[Date] &amp; Table12[Vehicle_Type],Table12[Feedback_Adjustment], 0)</f>
        <v>0</v>
      </c>
      <c r="Q343" s="82">
        <f>Table11[[#This Row],[Forecasted_Units]]*(1+Table11[[#This Row],[Adjustment_Percentage]])</f>
        <v>99.474523994095975</v>
      </c>
      <c r="R343" s="82"/>
    </row>
    <row r="344" spans="1:18">
      <c r="A344" s="53">
        <v>52265</v>
      </c>
      <c r="B344" s="14" t="s">
        <v>10</v>
      </c>
      <c r="C344" s="15" t="str">
        <f>TEXT(Table11[[#This Row],[Date]],"mmmm")</f>
        <v>February</v>
      </c>
      <c r="D344" s="14">
        <v>99</v>
      </c>
      <c r="E344" s="82">
        <f>_xlfn.FORECAST.LINEAR(Table11[[#This Row],[Date]],Table11[Units_Sold],Table11[Date])</f>
        <v>99.475688190752763</v>
      </c>
      <c r="F344" cm="1">
        <f t="array" ref="F344">_xlfn.IFS(Table11[[#This Row],[Vehicle_Type]]="SUV",250,Table11[[#This Row],[Vehicle_Type]]="Sedan",200,Table11[[#This Row],[Vehicle_Type]]="Hatchback",185,Table11[[#This Row],[Vehicle_Type]]="Electric",190,Table11[[#This Row],[Vehicle_Type]]="Truck",150)</f>
        <v>200</v>
      </c>
      <c r="G344">
        <f t="shared" ca="1" si="5"/>
        <v>21</v>
      </c>
      <c r="H344" s="82">
        <f>Table11[[#This Row],[Daily_Production]]-Table11[[#This Row],[Forecasted_Units]]</f>
        <v>100.52431180924724</v>
      </c>
      <c r="I344" cm="1">
        <f t="array" ref="I344">_xlfn.IFS(Table11[[#This Row],[Vehicle_Type]]="SUV",5,Table11[[#This Row],[Vehicle_Type]]="Sedan",7,Table11[[#This Row],[Vehicle_Type]]="Hatchback",10,Table11[[#This Row],[Vehicle_Type]]="Electric",11,Table11[[#This Row],[Vehicle_Type]]="Truck",13)</f>
        <v>7</v>
      </c>
      <c r="J344">
        <f ca="1">Table11[[#This Row],[Daily_Production]]*Table11[[#This Row],[Working_Days]]</f>
        <v>4200</v>
      </c>
      <c r="K344" s="81">
        <f>Table11[[#This Row],[Forecasted_Units]]*0.1</f>
        <v>9.9475688190752773</v>
      </c>
      <c r="L344" s="82">
        <f>Table11[[#This Row],[Adjusted_Forecast]]+Table11[[#This Row],[Safety_Stock]]-Table11[[#This Row],[Inventory_On_Hand]]</f>
        <v>8.8989452005807976</v>
      </c>
      <c r="M344" s="82">
        <f ca="1">MIN(Table11[[#This Row],[Production_Needed]],Table11[[#This Row],[Production_Capacity]])</f>
        <v>8.8989452005807976</v>
      </c>
      <c r="N344" s="82">
        <f ca="1">MAX(Table11[[#This Row],[Production_Needed]]-Table11[[#This Row],[Planned_Production]],0)</f>
        <v>0</v>
      </c>
      <c r="O344" s="82">
        <f ca="1">Table11[[#This Row],[Inventory_On_Hand]]+Table11[[#This Row],[Planned_Production]]-Table11[[#This Row],[Forecasted_Units]]</f>
        <v>9.947568819075272</v>
      </c>
      <c r="P344" cm="1">
        <f t="array" ref="P344">_xlfn.XLOOKUP(Table11[[#This Row],[Date]] &amp; Table11[[#This Row],[Vehicle_Type]], Table12[Date] &amp; Table12[Vehicle_Type],Table12[Feedback_Adjustment], 0)</f>
        <v>0</v>
      </c>
      <c r="Q344" s="82">
        <f>Table11[[#This Row],[Forecasted_Units]]*(1+Table11[[#This Row],[Adjustment_Percentage]])</f>
        <v>99.475688190752763</v>
      </c>
      <c r="R344" s="82"/>
    </row>
    <row r="345" spans="1:18">
      <c r="A345" s="54">
        <v>52295</v>
      </c>
      <c r="B345" s="15" t="s">
        <v>13</v>
      </c>
      <c r="C345" s="15" t="str">
        <f>TEXT(Table11[[#This Row],[Date]],"mmmm")</f>
        <v>March</v>
      </c>
      <c r="D345" s="15">
        <v>87</v>
      </c>
      <c r="E345" s="82">
        <f>_xlfn.FORECAST.LINEAR(Table11[[#This Row],[Date]],Table11[Units_Sold],Table11[Date])</f>
        <v>99.476852387409537</v>
      </c>
      <c r="F345" cm="1">
        <f t="array" ref="F345">_xlfn.IFS(Table11[[#This Row],[Vehicle_Type]]="SUV",250,Table11[[#This Row],[Vehicle_Type]]="Sedan",200,Table11[[#This Row],[Vehicle_Type]]="Hatchback",185,Table11[[#This Row],[Vehicle_Type]]="Electric",190,Table11[[#This Row],[Vehicle_Type]]="Truck",150)</f>
        <v>190</v>
      </c>
      <c r="G345">
        <f t="shared" ca="1" si="5"/>
        <v>23</v>
      </c>
      <c r="H345" s="82">
        <f>Table11[[#This Row],[Daily_Production]]-Table11[[#This Row],[Forecasted_Units]]</f>
        <v>90.523147612590463</v>
      </c>
      <c r="I345" cm="1">
        <f t="array" ref="I345">_xlfn.IFS(Table11[[#This Row],[Vehicle_Type]]="SUV",5,Table11[[#This Row],[Vehicle_Type]]="Sedan",7,Table11[[#This Row],[Vehicle_Type]]="Hatchback",10,Table11[[#This Row],[Vehicle_Type]]="Electric",11,Table11[[#This Row],[Vehicle_Type]]="Truck",13)</f>
        <v>11</v>
      </c>
      <c r="J345">
        <f ca="1">Table11[[#This Row],[Daily_Production]]*Table11[[#This Row],[Working_Days]]</f>
        <v>4370</v>
      </c>
      <c r="K345" s="81">
        <f>Table11[[#This Row],[Forecasted_Units]]*0.1</f>
        <v>9.947685238740954</v>
      </c>
      <c r="L345" s="82">
        <f>Table11[[#This Row],[Adjusted_Forecast]]+Table11[[#This Row],[Safety_Stock]]-Table11[[#This Row],[Inventory_On_Hand]]</f>
        <v>18.901390013560032</v>
      </c>
      <c r="M345" s="82">
        <f ca="1">MIN(Table11[[#This Row],[Production_Needed]],Table11[[#This Row],[Production_Capacity]])</f>
        <v>18.901390013560032</v>
      </c>
      <c r="N345" s="82">
        <f ca="1">MAX(Table11[[#This Row],[Production_Needed]]-Table11[[#This Row],[Planned_Production]],0)</f>
        <v>0</v>
      </c>
      <c r="O345" s="82">
        <f ca="1">Table11[[#This Row],[Inventory_On_Hand]]+Table11[[#This Row],[Planned_Production]]-Table11[[#This Row],[Forecasted_Units]]</f>
        <v>9.9476852387409593</v>
      </c>
      <c r="P345" cm="1">
        <f t="array" ref="P345">_xlfn.XLOOKUP(Table11[[#This Row],[Date]] &amp; Table11[[#This Row],[Vehicle_Type]], Table12[Date] &amp; Table12[Vehicle_Type],Table12[Feedback_Adjustment], 0)</f>
        <v>0</v>
      </c>
      <c r="Q345" s="82">
        <f>Table11[[#This Row],[Forecasted_Units]]*(1+Table11[[#This Row],[Adjustment_Percentage]])</f>
        <v>99.476852387409537</v>
      </c>
      <c r="R345" s="82"/>
    </row>
    <row r="346" spans="1:18">
      <c r="A346" s="53">
        <v>52325</v>
      </c>
      <c r="B346" s="14" t="s">
        <v>11</v>
      </c>
      <c r="C346" s="15" t="str">
        <f>TEXT(Table11[[#This Row],[Date]],"mmmm")</f>
        <v>April</v>
      </c>
      <c r="D346" s="14">
        <f>IF(ISBLANK(D299), P300, D299)</f>
        <v>92</v>
      </c>
      <c r="E346" s="82">
        <f>_xlfn.FORECAST.LINEAR(Table11[[#This Row],[Date]],Table11[Units_Sold],Table11[Date])</f>
        <v>99.478016584066324</v>
      </c>
      <c r="F346" cm="1">
        <f t="array" ref="F346">_xlfn.IFS(Table11[[#This Row],[Vehicle_Type]]="SUV",250,Table11[[#This Row],[Vehicle_Type]]="Sedan",200,Table11[[#This Row],[Vehicle_Type]]="Hatchback",185,Table11[[#This Row],[Vehicle_Type]]="Electric",190,Table11[[#This Row],[Vehicle_Type]]="Truck",150)</f>
        <v>185</v>
      </c>
      <c r="G346">
        <f t="shared" ca="1" si="5"/>
        <v>25</v>
      </c>
      <c r="H346" s="82">
        <f>Table11[[#This Row],[Daily_Production]]-Table11[[#This Row],[Forecasted_Units]]</f>
        <v>85.521983415933676</v>
      </c>
      <c r="I346" cm="1">
        <f t="array" ref="I346">_xlfn.IFS(Table11[[#This Row],[Vehicle_Type]]="SUV",5,Table11[[#This Row],[Vehicle_Type]]="Sedan",7,Table11[[#This Row],[Vehicle_Type]]="Hatchback",10,Table11[[#This Row],[Vehicle_Type]]="Electric",11,Table11[[#This Row],[Vehicle_Type]]="Truck",13)</f>
        <v>10</v>
      </c>
      <c r="J346">
        <f ca="1">Table11[[#This Row],[Daily_Production]]*Table11[[#This Row],[Working_Days]]</f>
        <v>4625</v>
      </c>
      <c r="K346" s="81">
        <f>Table11[[#This Row],[Forecasted_Units]]*0.1</f>
        <v>9.9478016584066324</v>
      </c>
      <c r="L346" s="82">
        <f>Table11[[#This Row],[Adjusted_Forecast]]+Table11[[#This Row],[Safety_Stock]]-Table11[[#This Row],[Inventory_On_Hand]]</f>
        <v>23.903834826539281</v>
      </c>
      <c r="M346" s="82">
        <f ca="1">MIN(Table11[[#This Row],[Production_Needed]],Table11[[#This Row],[Production_Capacity]])</f>
        <v>23.903834826539281</v>
      </c>
      <c r="N346" s="82">
        <f ca="1">MAX(Table11[[#This Row],[Production_Needed]]-Table11[[#This Row],[Planned_Production]],0)</f>
        <v>0</v>
      </c>
      <c r="O346" s="82">
        <f ca="1">Table11[[#This Row],[Inventory_On_Hand]]+Table11[[#This Row],[Planned_Production]]-Table11[[#This Row],[Forecasted_Units]]</f>
        <v>9.9478016584066324</v>
      </c>
      <c r="P346" cm="1">
        <f t="array" ref="P346">_xlfn.XLOOKUP(Table11[[#This Row],[Date]] &amp; Table11[[#This Row],[Vehicle_Type]], Table12[Date] &amp; Table12[Vehicle_Type],Table12[Feedback_Adjustment], 0)</f>
        <v>0</v>
      </c>
      <c r="Q346" s="82">
        <f>Table11[[#This Row],[Forecasted_Units]]*(1+Table11[[#This Row],[Adjustment_Percentage]])</f>
        <v>99.478016584066324</v>
      </c>
      <c r="R346" s="82"/>
    </row>
    <row r="347" spans="1:18">
      <c r="A347" s="54">
        <v>52355</v>
      </c>
      <c r="B347" s="15" t="s">
        <v>10</v>
      </c>
      <c r="C347" s="15" t="str">
        <f>TEXT(Table11[[#This Row],[Date]],"mmmm")</f>
        <v>May</v>
      </c>
      <c r="D347" s="15">
        <v>103</v>
      </c>
      <c r="E347" s="82">
        <f>_xlfn.FORECAST.LINEAR(Table11[[#This Row],[Date]],Table11[Units_Sold],Table11[Date])</f>
        <v>99.479180780723112</v>
      </c>
      <c r="F347" cm="1">
        <f t="array" ref="F347">_xlfn.IFS(Table11[[#This Row],[Vehicle_Type]]="SUV",250,Table11[[#This Row],[Vehicle_Type]]="Sedan",200,Table11[[#This Row],[Vehicle_Type]]="Hatchback",185,Table11[[#This Row],[Vehicle_Type]]="Electric",190,Table11[[#This Row],[Vehicle_Type]]="Truck",150)</f>
        <v>200</v>
      </c>
      <c r="G347">
        <f t="shared" ca="1" si="5"/>
        <v>21</v>
      </c>
      <c r="H347" s="82">
        <f>Table11[[#This Row],[Daily_Production]]-Table11[[#This Row],[Forecasted_Units]]</f>
        <v>100.52081921927689</v>
      </c>
      <c r="I347" cm="1">
        <f t="array" ref="I347">_xlfn.IFS(Table11[[#This Row],[Vehicle_Type]]="SUV",5,Table11[[#This Row],[Vehicle_Type]]="Sedan",7,Table11[[#This Row],[Vehicle_Type]]="Hatchback",10,Table11[[#This Row],[Vehicle_Type]]="Electric",11,Table11[[#This Row],[Vehicle_Type]]="Truck",13)</f>
        <v>7</v>
      </c>
      <c r="J347">
        <f ca="1">Table11[[#This Row],[Daily_Production]]*Table11[[#This Row],[Working_Days]]</f>
        <v>4200</v>
      </c>
      <c r="K347" s="81">
        <f>Table11[[#This Row],[Forecasted_Units]]*0.1</f>
        <v>9.9479180780723127</v>
      </c>
      <c r="L347" s="82">
        <f>Table11[[#This Row],[Adjusted_Forecast]]+Table11[[#This Row],[Safety_Stock]]-Table11[[#This Row],[Inventory_On_Hand]]</f>
        <v>8.9062796395185444</v>
      </c>
      <c r="M347" s="82">
        <f ca="1">MIN(Table11[[#This Row],[Production_Needed]],Table11[[#This Row],[Production_Capacity]])</f>
        <v>8.9062796395185444</v>
      </c>
      <c r="N347" s="82">
        <f ca="1">MAX(Table11[[#This Row],[Production_Needed]]-Table11[[#This Row],[Planned_Production]],0)</f>
        <v>0</v>
      </c>
      <c r="O347" s="82">
        <f ca="1">Table11[[#This Row],[Inventory_On_Hand]]+Table11[[#This Row],[Planned_Production]]-Table11[[#This Row],[Forecasted_Units]]</f>
        <v>9.9479180780723198</v>
      </c>
      <c r="P347" cm="1">
        <f t="array" ref="P347">_xlfn.XLOOKUP(Table11[[#This Row],[Date]] &amp; Table11[[#This Row],[Vehicle_Type]], Table12[Date] &amp; Table12[Vehicle_Type],Table12[Feedback_Adjustment], 0)</f>
        <v>0</v>
      </c>
      <c r="Q347" s="82">
        <f>Table11[[#This Row],[Forecasted_Units]]*(1+Table11[[#This Row],[Adjustment_Percentage]])</f>
        <v>99.479180780723112</v>
      </c>
      <c r="R347" s="82"/>
    </row>
    <row r="348" spans="1:18">
      <c r="A348" s="53">
        <v>52385</v>
      </c>
      <c r="B348" s="14" t="s">
        <v>12</v>
      </c>
      <c r="C348" s="15" t="str">
        <f>TEXT(Table11[[#This Row],[Date]],"mmmm")</f>
        <v>June</v>
      </c>
      <c r="D348" s="14">
        <v>79</v>
      </c>
      <c r="E348" s="82">
        <f>_xlfn.FORECAST.LINEAR(Table11[[#This Row],[Date]],Table11[Units_Sold],Table11[Date])</f>
        <v>99.4803449773799</v>
      </c>
      <c r="F348" cm="1">
        <f t="array" ref="F348">_xlfn.IFS(Table11[[#This Row],[Vehicle_Type]]="SUV",250,Table11[[#This Row],[Vehicle_Type]]="Sedan",200,Table11[[#This Row],[Vehicle_Type]]="Hatchback",185,Table11[[#This Row],[Vehicle_Type]]="Electric",190,Table11[[#This Row],[Vehicle_Type]]="Truck",150)</f>
        <v>250</v>
      </c>
      <c r="G348">
        <f t="shared" ca="1" si="5"/>
        <v>22</v>
      </c>
      <c r="H348" s="82">
        <f>Table11[[#This Row],[Daily_Production]]-Table11[[#This Row],[Forecasted_Units]]</f>
        <v>150.5196550226201</v>
      </c>
      <c r="I348" cm="1">
        <f t="array" ref="I348">_xlfn.IFS(Table11[[#This Row],[Vehicle_Type]]="SUV",5,Table11[[#This Row],[Vehicle_Type]]="Sedan",7,Table11[[#This Row],[Vehicle_Type]]="Hatchback",10,Table11[[#This Row],[Vehicle_Type]]="Electric",11,Table11[[#This Row],[Vehicle_Type]]="Truck",13)</f>
        <v>5</v>
      </c>
      <c r="J348">
        <f ca="1">Table11[[#This Row],[Daily_Production]]*Table11[[#This Row],[Working_Days]]</f>
        <v>5500</v>
      </c>
      <c r="K348" s="81">
        <f>Table11[[#This Row],[Forecasted_Units]]*0.1</f>
        <v>9.9480344977379911</v>
      </c>
      <c r="L348" s="82">
        <f>Table11[[#This Row],[Adjusted_Forecast]]+Table11[[#This Row],[Safety_Stock]]-Table11[[#This Row],[Inventory_On_Hand]]</f>
        <v>-41.091275547502207</v>
      </c>
      <c r="M348" s="82">
        <f ca="1">MIN(Table11[[#This Row],[Production_Needed]],Table11[[#This Row],[Production_Capacity]])</f>
        <v>-41.091275547502207</v>
      </c>
      <c r="N348" s="82">
        <f ca="1">MAX(Table11[[#This Row],[Production_Needed]]-Table11[[#This Row],[Planned_Production]],0)</f>
        <v>0</v>
      </c>
      <c r="O348" s="82">
        <f ca="1">Table11[[#This Row],[Inventory_On_Hand]]+Table11[[#This Row],[Planned_Production]]-Table11[[#This Row],[Forecasted_Units]]</f>
        <v>9.9480344977379929</v>
      </c>
      <c r="P348" cm="1">
        <f t="array" ref="P348">_xlfn.XLOOKUP(Table11[[#This Row],[Date]] &amp; Table11[[#This Row],[Vehicle_Type]], Table12[Date] &amp; Table12[Vehicle_Type],Table12[Feedback_Adjustment], 0)</f>
        <v>0</v>
      </c>
      <c r="Q348" s="82">
        <f>Table11[[#This Row],[Forecasted_Units]]*(1+Table11[[#This Row],[Adjustment_Percentage]])</f>
        <v>99.4803449773799</v>
      </c>
      <c r="R348" s="82"/>
    </row>
    <row r="349" spans="1:18">
      <c r="A349" s="54">
        <v>52415</v>
      </c>
      <c r="B349" s="15" t="s">
        <v>11</v>
      </c>
      <c r="C349" s="15" t="str">
        <f>TEXT(Table11[[#This Row],[Date]],"mmmm")</f>
        <v>July</v>
      </c>
      <c r="D349" s="15">
        <v>110</v>
      </c>
      <c r="E349" s="82">
        <f>_xlfn.FORECAST.LINEAR(Table11[[#This Row],[Date]],Table11[Units_Sold],Table11[Date])</f>
        <v>99.481509174036688</v>
      </c>
      <c r="F349" cm="1">
        <f t="array" ref="F349">_xlfn.IFS(Table11[[#This Row],[Vehicle_Type]]="SUV",250,Table11[[#This Row],[Vehicle_Type]]="Sedan",200,Table11[[#This Row],[Vehicle_Type]]="Hatchback",185,Table11[[#This Row],[Vehicle_Type]]="Electric",190,Table11[[#This Row],[Vehicle_Type]]="Truck",150)</f>
        <v>185</v>
      </c>
      <c r="G349">
        <f t="shared" ca="1" si="5"/>
        <v>25</v>
      </c>
      <c r="H349" s="82">
        <f>Table11[[#This Row],[Daily_Production]]-Table11[[#This Row],[Forecasted_Units]]</f>
        <v>85.518490825963312</v>
      </c>
      <c r="I349" cm="1">
        <f t="array" ref="I349">_xlfn.IFS(Table11[[#This Row],[Vehicle_Type]]="SUV",5,Table11[[#This Row],[Vehicle_Type]]="Sedan",7,Table11[[#This Row],[Vehicle_Type]]="Hatchback",10,Table11[[#This Row],[Vehicle_Type]]="Electric",11,Table11[[#This Row],[Vehicle_Type]]="Truck",13)</f>
        <v>10</v>
      </c>
      <c r="J349">
        <f ca="1">Table11[[#This Row],[Daily_Production]]*Table11[[#This Row],[Working_Days]]</f>
        <v>4625</v>
      </c>
      <c r="K349" s="81">
        <f>Table11[[#This Row],[Forecasted_Units]]*0.1</f>
        <v>9.9481509174036695</v>
      </c>
      <c r="L349" s="82">
        <f>Table11[[#This Row],[Adjusted_Forecast]]+Table11[[#This Row],[Safety_Stock]]-Table11[[#This Row],[Inventory_On_Hand]]</f>
        <v>23.911169265477042</v>
      </c>
      <c r="M349" s="82">
        <f ca="1">MIN(Table11[[#This Row],[Production_Needed]],Table11[[#This Row],[Production_Capacity]])</f>
        <v>23.911169265477042</v>
      </c>
      <c r="N349" s="82">
        <f ca="1">MAX(Table11[[#This Row],[Production_Needed]]-Table11[[#This Row],[Planned_Production]],0)</f>
        <v>0</v>
      </c>
      <c r="O349" s="82">
        <f ca="1">Table11[[#This Row],[Inventory_On_Hand]]+Table11[[#This Row],[Planned_Production]]-Table11[[#This Row],[Forecasted_Units]]</f>
        <v>9.948150917403666</v>
      </c>
      <c r="P349" cm="1">
        <f t="array" ref="P349">_xlfn.XLOOKUP(Table11[[#This Row],[Date]] &amp; Table11[[#This Row],[Vehicle_Type]], Table12[Date] &amp; Table12[Vehicle_Type],Table12[Feedback_Adjustment], 0)</f>
        <v>0</v>
      </c>
      <c r="Q349" s="82">
        <f>Table11[[#This Row],[Forecasted_Units]]*(1+Table11[[#This Row],[Adjustment_Percentage]])</f>
        <v>99.481509174036688</v>
      </c>
      <c r="R349" s="82"/>
    </row>
    <row r="350" spans="1:18">
      <c r="A350" s="53">
        <v>52445</v>
      </c>
      <c r="B350" s="14" t="s">
        <v>10</v>
      </c>
      <c r="C350" s="15" t="str">
        <f>TEXT(Table11[[#This Row],[Date]],"mmmm")</f>
        <v>August</v>
      </c>
      <c r="D350" s="14">
        <v>95</v>
      </c>
      <c r="E350" s="82">
        <f>_xlfn.FORECAST.LINEAR(Table11[[#This Row],[Date]],Table11[Units_Sold],Table11[Date])</f>
        <v>99.482673370693476</v>
      </c>
      <c r="F350" cm="1">
        <f t="array" ref="F350">_xlfn.IFS(Table11[[#This Row],[Vehicle_Type]]="SUV",250,Table11[[#This Row],[Vehicle_Type]]="Sedan",200,Table11[[#This Row],[Vehicle_Type]]="Hatchback",185,Table11[[#This Row],[Vehicle_Type]]="Electric",190,Table11[[#This Row],[Vehicle_Type]]="Truck",150)</f>
        <v>200</v>
      </c>
      <c r="G350">
        <f t="shared" ca="1" si="5"/>
        <v>23</v>
      </c>
      <c r="H350" s="82">
        <f>Table11[[#This Row],[Daily_Production]]-Table11[[#This Row],[Forecasted_Units]]</f>
        <v>100.51732662930652</v>
      </c>
      <c r="I350" cm="1">
        <f t="array" ref="I350">_xlfn.IFS(Table11[[#This Row],[Vehicle_Type]]="SUV",5,Table11[[#This Row],[Vehicle_Type]]="Sedan",7,Table11[[#This Row],[Vehicle_Type]]="Hatchback",10,Table11[[#This Row],[Vehicle_Type]]="Electric",11,Table11[[#This Row],[Vehicle_Type]]="Truck",13)</f>
        <v>7</v>
      </c>
      <c r="J350">
        <f ca="1">Table11[[#This Row],[Daily_Production]]*Table11[[#This Row],[Working_Days]]</f>
        <v>4600</v>
      </c>
      <c r="K350" s="81">
        <f>Table11[[#This Row],[Forecasted_Units]]*0.1</f>
        <v>9.948267337069348</v>
      </c>
      <c r="L350" s="82">
        <f>Table11[[#This Row],[Adjusted_Forecast]]+Table11[[#This Row],[Safety_Stock]]-Table11[[#This Row],[Inventory_On_Hand]]</f>
        <v>8.9136140784563054</v>
      </c>
      <c r="M350" s="82">
        <f ca="1">MIN(Table11[[#This Row],[Production_Needed]],Table11[[#This Row],[Production_Capacity]])</f>
        <v>8.9136140784563054</v>
      </c>
      <c r="N350" s="82">
        <f ca="1">MAX(Table11[[#This Row],[Production_Needed]]-Table11[[#This Row],[Planned_Production]],0)</f>
        <v>0</v>
      </c>
      <c r="O350" s="82">
        <f ca="1">Table11[[#This Row],[Inventory_On_Hand]]+Table11[[#This Row],[Planned_Production]]-Table11[[#This Row],[Forecasted_Units]]</f>
        <v>9.9482673370693533</v>
      </c>
      <c r="P350" cm="1">
        <f t="array" ref="P350">_xlfn.XLOOKUP(Table11[[#This Row],[Date]] &amp; Table11[[#This Row],[Vehicle_Type]], Table12[Date] &amp; Table12[Vehicle_Type],Table12[Feedback_Adjustment], 0)</f>
        <v>0</v>
      </c>
      <c r="Q350" s="82">
        <f>Table11[[#This Row],[Forecasted_Units]]*(1+Table11[[#This Row],[Adjustment_Percentage]])</f>
        <v>99.482673370693476</v>
      </c>
      <c r="R350" s="82"/>
    </row>
    <row r="351" spans="1:18">
      <c r="A351" s="54">
        <v>52475</v>
      </c>
      <c r="B351" s="15" t="s">
        <v>10</v>
      </c>
      <c r="C351" s="15" t="str">
        <f>TEXT(Table11[[#This Row],[Date]],"mmmm")</f>
        <v>September</v>
      </c>
      <c r="D351" s="15">
        <v>101</v>
      </c>
      <c r="E351" s="82">
        <f>_xlfn.FORECAST.LINEAR(Table11[[#This Row],[Date]],Table11[Units_Sold],Table11[Date])</f>
        <v>99.483837567350264</v>
      </c>
      <c r="F351" cm="1">
        <f t="array" ref="F351">_xlfn.IFS(Table11[[#This Row],[Vehicle_Type]]="SUV",250,Table11[[#This Row],[Vehicle_Type]]="Sedan",200,Table11[[#This Row],[Vehicle_Type]]="Hatchback",185,Table11[[#This Row],[Vehicle_Type]]="Electric",190,Table11[[#This Row],[Vehicle_Type]]="Truck",150)</f>
        <v>200</v>
      </c>
      <c r="G351">
        <f t="shared" ca="1" si="5"/>
        <v>22</v>
      </c>
      <c r="H351" s="82">
        <f>Table11[[#This Row],[Daily_Production]]-Table11[[#This Row],[Forecasted_Units]]</f>
        <v>100.51616243264974</v>
      </c>
      <c r="I351" cm="1">
        <f t="array" ref="I351">_xlfn.IFS(Table11[[#This Row],[Vehicle_Type]]="SUV",5,Table11[[#This Row],[Vehicle_Type]]="Sedan",7,Table11[[#This Row],[Vehicle_Type]]="Hatchback",10,Table11[[#This Row],[Vehicle_Type]]="Electric",11,Table11[[#This Row],[Vehicle_Type]]="Truck",13)</f>
        <v>7</v>
      </c>
      <c r="J351">
        <f ca="1">Table11[[#This Row],[Daily_Production]]*Table11[[#This Row],[Working_Days]]</f>
        <v>4400</v>
      </c>
      <c r="K351" s="81">
        <f>Table11[[#This Row],[Forecasted_Units]]*0.1</f>
        <v>9.9483837567350264</v>
      </c>
      <c r="L351" s="82">
        <f>Table11[[#This Row],[Adjusted_Forecast]]+Table11[[#This Row],[Safety_Stock]]-Table11[[#This Row],[Inventory_On_Hand]]</f>
        <v>8.9160588914355543</v>
      </c>
      <c r="M351" s="82">
        <f ca="1">MIN(Table11[[#This Row],[Production_Needed]],Table11[[#This Row],[Production_Capacity]])</f>
        <v>8.9160588914355543</v>
      </c>
      <c r="N351" s="82">
        <f ca="1">MAX(Table11[[#This Row],[Production_Needed]]-Table11[[#This Row],[Planned_Production]],0)</f>
        <v>0</v>
      </c>
      <c r="O351" s="82">
        <f ca="1">Table11[[#This Row],[Inventory_On_Hand]]+Table11[[#This Row],[Planned_Production]]-Table11[[#This Row],[Forecasted_Units]]</f>
        <v>9.9483837567350264</v>
      </c>
      <c r="P351" cm="1">
        <f t="array" ref="P351">_xlfn.XLOOKUP(Table11[[#This Row],[Date]] &amp; Table11[[#This Row],[Vehicle_Type]], Table12[Date] &amp; Table12[Vehicle_Type],Table12[Feedback_Adjustment], 0)</f>
        <v>0</v>
      </c>
      <c r="Q351" s="82">
        <f>Table11[[#This Row],[Forecasted_Units]]*(1+Table11[[#This Row],[Adjustment_Percentage]])</f>
        <v>99.483837567350264</v>
      </c>
      <c r="R351" s="82"/>
    </row>
    <row r="352" spans="1:18">
      <c r="A352" s="53">
        <v>52505</v>
      </c>
      <c r="B352" s="14" t="s">
        <v>13</v>
      </c>
      <c r="C352" s="15" t="str">
        <f>TEXT(Table11[[#This Row],[Date]],"mmmm")</f>
        <v>October</v>
      </c>
      <c r="D352" s="14">
        <v>95</v>
      </c>
      <c r="E352" s="82">
        <f>_xlfn.FORECAST.LINEAR(Table11[[#This Row],[Date]],Table11[Units_Sold],Table11[Date])</f>
        <v>99.485001764007052</v>
      </c>
      <c r="F352" cm="1">
        <f t="array" ref="F352">_xlfn.IFS(Table11[[#This Row],[Vehicle_Type]]="SUV",250,Table11[[#This Row],[Vehicle_Type]]="Sedan",200,Table11[[#This Row],[Vehicle_Type]]="Hatchback",185,Table11[[#This Row],[Vehicle_Type]]="Electric",190,Table11[[#This Row],[Vehicle_Type]]="Truck",150)</f>
        <v>190</v>
      </c>
      <c r="G352">
        <f t="shared" ca="1" si="5"/>
        <v>23</v>
      </c>
      <c r="H352" s="82">
        <f>Table11[[#This Row],[Daily_Production]]-Table11[[#This Row],[Forecasted_Units]]</f>
        <v>90.514998235992948</v>
      </c>
      <c r="I352" cm="1">
        <f t="array" ref="I352">_xlfn.IFS(Table11[[#This Row],[Vehicle_Type]]="SUV",5,Table11[[#This Row],[Vehicle_Type]]="Sedan",7,Table11[[#This Row],[Vehicle_Type]]="Hatchback",10,Table11[[#This Row],[Vehicle_Type]]="Electric",11,Table11[[#This Row],[Vehicle_Type]]="Truck",13)</f>
        <v>11</v>
      </c>
      <c r="J352">
        <f ca="1">Table11[[#This Row],[Daily_Production]]*Table11[[#This Row],[Working_Days]]</f>
        <v>4370</v>
      </c>
      <c r="K352" s="81">
        <f>Table11[[#This Row],[Forecasted_Units]]*0.1</f>
        <v>9.9485001764007066</v>
      </c>
      <c r="L352" s="82">
        <f>Table11[[#This Row],[Adjusted_Forecast]]+Table11[[#This Row],[Safety_Stock]]-Table11[[#This Row],[Inventory_On_Hand]]</f>
        <v>18.918503704414803</v>
      </c>
      <c r="M352" s="82">
        <f ca="1">MIN(Table11[[#This Row],[Production_Needed]],Table11[[#This Row],[Production_Capacity]])</f>
        <v>18.918503704414803</v>
      </c>
      <c r="N352" s="82">
        <f ca="1">MAX(Table11[[#This Row],[Production_Needed]]-Table11[[#This Row],[Planned_Production]],0)</f>
        <v>0</v>
      </c>
      <c r="O352" s="82">
        <f ca="1">Table11[[#This Row],[Inventory_On_Hand]]+Table11[[#This Row],[Planned_Production]]-Table11[[#This Row],[Forecasted_Units]]</f>
        <v>9.9485001764006995</v>
      </c>
      <c r="P352" cm="1">
        <f t="array" ref="P352">_xlfn.XLOOKUP(Table11[[#This Row],[Date]] &amp; Table11[[#This Row],[Vehicle_Type]], Table12[Date] &amp; Table12[Vehicle_Type],Table12[Feedback_Adjustment], 0)</f>
        <v>0</v>
      </c>
      <c r="Q352" s="82">
        <f>Table11[[#This Row],[Forecasted_Units]]*(1+Table11[[#This Row],[Adjustment_Percentage]])</f>
        <v>99.485001764007052</v>
      </c>
      <c r="R352" s="82"/>
    </row>
    <row r="353" spans="1:18">
      <c r="A353" s="54">
        <v>52535</v>
      </c>
      <c r="B353" s="15" t="s">
        <v>12</v>
      </c>
      <c r="C353" s="15" t="str">
        <f>TEXT(Table11[[#This Row],[Date]],"mmmm")</f>
        <v>October</v>
      </c>
      <c r="D353" s="15">
        <v>107</v>
      </c>
      <c r="E353" s="82">
        <f>_xlfn.FORECAST.LINEAR(Table11[[#This Row],[Date]],Table11[Units_Sold],Table11[Date])</f>
        <v>99.48616596066384</v>
      </c>
      <c r="F353" cm="1">
        <f t="array" ref="F353">_xlfn.IFS(Table11[[#This Row],[Vehicle_Type]]="SUV",250,Table11[[#This Row],[Vehicle_Type]]="Sedan",200,Table11[[#This Row],[Vehicle_Type]]="Hatchback",185,Table11[[#This Row],[Vehicle_Type]]="Electric",190,Table11[[#This Row],[Vehicle_Type]]="Truck",150)</f>
        <v>250</v>
      </c>
      <c r="G353">
        <f t="shared" ca="1" si="5"/>
        <v>23</v>
      </c>
      <c r="H353" s="82">
        <f>Table11[[#This Row],[Daily_Production]]-Table11[[#This Row],[Forecasted_Units]]</f>
        <v>150.51383403933616</v>
      </c>
      <c r="I353" cm="1">
        <f t="array" ref="I353">_xlfn.IFS(Table11[[#This Row],[Vehicle_Type]]="SUV",5,Table11[[#This Row],[Vehicle_Type]]="Sedan",7,Table11[[#This Row],[Vehicle_Type]]="Hatchback",10,Table11[[#This Row],[Vehicle_Type]]="Electric",11,Table11[[#This Row],[Vehicle_Type]]="Truck",13)</f>
        <v>5</v>
      </c>
      <c r="J353">
        <f ca="1">Table11[[#This Row],[Daily_Production]]*Table11[[#This Row],[Working_Days]]</f>
        <v>5750</v>
      </c>
      <c r="K353" s="81">
        <f>Table11[[#This Row],[Forecasted_Units]]*0.1</f>
        <v>9.948616596066385</v>
      </c>
      <c r="L353" s="82">
        <f>Table11[[#This Row],[Adjusted_Forecast]]+Table11[[#This Row],[Safety_Stock]]-Table11[[#This Row],[Inventory_On_Hand]]</f>
        <v>-41.079051482605934</v>
      </c>
      <c r="M353" s="82">
        <f ca="1">MIN(Table11[[#This Row],[Production_Needed]],Table11[[#This Row],[Production_Capacity]])</f>
        <v>-41.079051482605934</v>
      </c>
      <c r="N353" s="82">
        <f ca="1">MAX(Table11[[#This Row],[Production_Needed]]-Table11[[#This Row],[Planned_Production]],0)</f>
        <v>0</v>
      </c>
      <c r="O353" s="82">
        <f ca="1">Table11[[#This Row],[Inventory_On_Hand]]+Table11[[#This Row],[Planned_Production]]-Table11[[#This Row],[Forecasted_Units]]</f>
        <v>9.9486165960663868</v>
      </c>
      <c r="P353" cm="1">
        <f t="array" ref="P353">_xlfn.XLOOKUP(Table11[[#This Row],[Date]] &amp; Table11[[#This Row],[Vehicle_Type]], Table12[Date] &amp; Table12[Vehicle_Type],Table12[Feedback_Adjustment], 0)</f>
        <v>0</v>
      </c>
      <c r="Q353" s="82">
        <f>Table11[[#This Row],[Forecasted_Units]]*(1+Table11[[#This Row],[Adjustment_Percentage]])</f>
        <v>99.48616596066384</v>
      </c>
      <c r="R353" s="82"/>
    </row>
    <row r="354" spans="1:18">
      <c r="A354" s="53">
        <v>52565</v>
      </c>
      <c r="B354" s="14" t="s">
        <v>11</v>
      </c>
      <c r="C354" s="15" t="str">
        <f>TEXT(Table11[[#This Row],[Date]],"mmmm")</f>
        <v>November</v>
      </c>
      <c r="D354" s="14">
        <v>91</v>
      </c>
      <c r="E354" s="82">
        <f>_xlfn.FORECAST.LINEAR(Table11[[#This Row],[Date]],Table11[Units_Sold],Table11[Date])</f>
        <v>99.487330157320628</v>
      </c>
      <c r="F354" cm="1">
        <f t="array" ref="F354">_xlfn.IFS(Table11[[#This Row],[Vehicle_Type]]="SUV",250,Table11[[#This Row],[Vehicle_Type]]="Sedan",200,Table11[[#This Row],[Vehicle_Type]]="Hatchback",185,Table11[[#This Row],[Vehicle_Type]]="Electric",190,Table11[[#This Row],[Vehicle_Type]]="Truck",150)</f>
        <v>185</v>
      </c>
      <c r="G354">
        <f t="shared" ca="1" si="5"/>
        <v>20</v>
      </c>
      <c r="H354" s="82">
        <f>Table11[[#This Row],[Daily_Production]]-Table11[[#This Row],[Forecasted_Units]]</f>
        <v>85.512669842679372</v>
      </c>
      <c r="I354" cm="1">
        <f t="array" ref="I354">_xlfn.IFS(Table11[[#This Row],[Vehicle_Type]]="SUV",5,Table11[[#This Row],[Vehicle_Type]]="Sedan",7,Table11[[#This Row],[Vehicle_Type]]="Hatchback",10,Table11[[#This Row],[Vehicle_Type]]="Electric",11,Table11[[#This Row],[Vehicle_Type]]="Truck",13)</f>
        <v>10</v>
      </c>
      <c r="J354">
        <f ca="1">Table11[[#This Row],[Daily_Production]]*Table11[[#This Row],[Working_Days]]</f>
        <v>3700</v>
      </c>
      <c r="K354" s="81">
        <f>Table11[[#This Row],[Forecasted_Units]]*0.1</f>
        <v>9.9487330157320635</v>
      </c>
      <c r="L354" s="82">
        <f>Table11[[#This Row],[Adjusted_Forecast]]+Table11[[#This Row],[Safety_Stock]]-Table11[[#This Row],[Inventory_On_Hand]]</f>
        <v>23.923393330373315</v>
      </c>
      <c r="M354" s="82">
        <f ca="1">MIN(Table11[[#This Row],[Production_Needed]],Table11[[#This Row],[Production_Capacity]])</f>
        <v>23.923393330373315</v>
      </c>
      <c r="N354" s="82">
        <f ca="1">MAX(Table11[[#This Row],[Production_Needed]]-Table11[[#This Row],[Planned_Production]],0)</f>
        <v>0</v>
      </c>
      <c r="O354" s="82">
        <f ca="1">Table11[[#This Row],[Inventory_On_Hand]]+Table11[[#This Row],[Planned_Production]]-Table11[[#This Row],[Forecasted_Units]]</f>
        <v>9.9487330157320599</v>
      </c>
      <c r="P354" cm="1">
        <f t="array" ref="P354">_xlfn.XLOOKUP(Table11[[#This Row],[Date]] &amp; Table11[[#This Row],[Vehicle_Type]], Table12[Date] &amp; Table12[Vehicle_Type],Table12[Feedback_Adjustment], 0)</f>
        <v>0</v>
      </c>
      <c r="Q354" s="82">
        <f>Table11[[#This Row],[Forecasted_Units]]*(1+Table11[[#This Row],[Adjustment_Percentage]])</f>
        <v>99.487330157320628</v>
      </c>
      <c r="R354" s="82"/>
    </row>
    <row r="355" spans="1:18">
      <c r="A355" s="54">
        <v>52595</v>
      </c>
      <c r="B355" s="15" t="s">
        <v>11</v>
      </c>
      <c r="C355" s="15" t="str">
        <f>TEXT(Table11[[#This Row],[Date]],"mmmm")</f>
        <v>December</v>
      </c>
      <c r="D355" s="15">
        <v>87</v>
      </c>
      <c r="E355" s="82">
        <f>_xlfn.FORECAST.LINEAR(Table11[[#This Row],[Date]],Table11[Units_Sold],Table11[Date])</f>
        <v>99.488494353977416</v>
      </c>
      <c r="F355" cm="1">
        <f t="array" ref="F355">_xlfn.IFS(Table11[[#This Row],[Vehicle_Type]]="SUV",250,Table11[[#This Row],[Vehicle_Type]]="Sedan",200,Table11[[#This Row],[Vehicle_Type]]="Hatchback",185,Table11[[#This Row],[Vehicle_Type]]="Electric",190,Table11[[#This Row],[Vehicle_Type]]="Truck",150)</f>
        <v>185</v>
      </c>
      <c r="G355">
        <f t="shared" ca="1" si="5"/>
        <v>20</v>
      </c>
      <c r="H355" s="82">
        <f>Table11[[#This Row],[Daily_Production]]-Table11[[#This Row],[Forecasted_Units]]</f>
        <v>85.511505646022584</v>
      </c>
      <c r="I355" cm="1">
        <f t="array" ref="I355">_xlfn.IFS(Table11[[#This Row],[Vehicle_Type]]="SUV",5,Table11[[#This Row],[Vehicle_Type]]="Sedan",7,Table11[[#This Row],[Vehicle_Type]]="Hatchback",10,Table11[[#This Row],[Vehicle_Type]]="Electric",11,Table11[[#This Row],[Vehicle_Type]]="Truck",13)</f>
        <v>10</v>
      </c>
      <c r="J355">
        <f ca="1">Table11[[#This Row],[Daily_Production]]*Table11[[#This Row],[Working_Days]]</f>
        <v>3700</v>
      </c>
      <c r="K355" s="81">
        <f>Table11[[#This Row],[Forecasted_Units]]*0.1</f>
        <v>9.9488494353977419</v>
      </c>
      <c r="L355" s="82">
        <f>Table11[[#This Row],[Adjusted_Forecast]]+Table11[[#This Row],[Safety_Stock]]-Table11[[#This Row],[Inventory_On_Hand]]</f>
        <v>23.925838143352578</v>
      </c>
      <c r="M355" s="82">
        <f ca="1">MIN(Table11[[#This Row],[Production_Needed]],Table11[[#This Row],[Production_Capacity]])</f>
        <v>23.925838143352578</v>
      </c>
      <c r="N355" s="82">
        <f ca="1">MAX(Table11[[#This Row],[Production_Needed]]-Table11[[#This Row],[Planned_Production]],0)</f>
        <v>0</v>
      </c>
      <c r="O355" s="82">
        <f ca="1">Table11[[#This Row],[Inventory_On_Hand]]+Table11[[#This Row],[Planned_Production]]-Table11[[#This Row],[Forecasted_Units]]</f>
        <v>9.9488494353977472</v>
      </c>
      <c r="P355" cm="1">
        <f t="array" ref="P355">_xlfn.XLOOKUP(Table11[[#This Row],[Date]] &amp; Table11[[#This Row],[Vehicle_Type]], Table12[Date] &amp; Table12[Vehicle_Type],Table12[Feedback_Adjustment], 0)</f>
        <v>0</v>
      </c>
      <c r="Q355" s="82">
        <f>Table11[[#This Row],[Forecasted_Units]]*(1+Table11[[#This Row],[Adjustment_Percentage]])</f>
        <v>99.488494353977416</v>
      </c>
      <c r="R355" s="82"/>
    </row>
    <row r="356" spans="1:18">
      <c r="A356" s="53">
        <v>52625</v>
      </c>
      <c r="B356" s="14" t="s">
        <v>13</v>
      </c>
      <c r="C356" s="15" t="str">
        <f>TEXT(Table11[[#This Row],[Date]],"mmmm")</f>
        <v>January</v>
      </c>
      <c r="D356" s="14">
        <v>100</v>
      </c>
      <c r="E356" s="82">
        <f>_xlfn.FORECAST.LINEAR(Table11[[#This Row],[Date]],Table11[Units_Sold],Table11[Date])</f>
        <v>99.489658550634189</v>
      </c>
      <c r="F356" cm="1">
        <f t="array" ref="F356">_xlfn.IFS(Table11[[#This Row],[Vehicle_Type]]="SUV",250,Table11[[#This Row],[Vehicle_Type]]="Sedan",200,Table11[[#This Row],[Vehicle_Type]]="Hatchback",185,Table11[[#This Row],[Vehicle_Type]]="Electric",190,Table11[[#This Row],[Vehicle_Type]]="Truck",150)</f>
        <v>190</v>
      </c>
      <c r="G356">
        <f t="shared" ca="1" si="5"/>
        <v>25</v>
      </c>
      <c r="H356" s="82">
        <f>Table11[[#This Row],[Daily_Production]]-Table11[[#This Row],[Forecasted_Units]]</f>
        <v>90.510341449365811</v>
      </c>
      <c r="I356" cm="1">
        <f t="array" ref="I356">_xlfn.IFS(Table11[[#This Row],[Vehicle_Type]]="SUV",5,Table11[[#This Row],[Vehicle_Type]]="Sedan",7,Table11[[#This Row],[Vehicle_Type]]="Hatchback",10,Table11[[#This Row],[Vehicle_Type]]="Electric",11,Table11[[#This Row],[Vehicle_Type]]="Truck",13)</f>
        <v>11</v>
      </c>
      <c r="J356">
        <f ca="1">Table11[[#This Row],[Daily_Production]]*Table11[[#This Row],[Working_Days]]</f>
        <v>4750</v>
      </c>
      <c r="K356" s="81">
        <f>Table11[[#This Row],[Forecasted_Units]]*0.1</f>
        <v>9.9489658550634203</v>
      </c>
      <c r="L356" s="82">
        <f>Table11[[#This Row],[Adjusted_Forecast]]+Table11[[#This Row],[Safety_Stock]]-Table11[[#This Row],[Inventory_On_Hand]]</f>
        <v>18.928282956331799</v>
      </c>
      <c r="M356" s="82">
        <f ca="1">MIN(Table11[[#This Row],[Production_Needed]],Table11[[#This Row],[Production_Capacity]])</f>
        <v>18.928282956331799</v>
      </c>
      <c r="N356" s="82">
        <f ca="1">MAX(Table11[[#This Row],[Production_Needed]]-Table11[[#This Row],[Planned_Production]],0)</f>
        <v>0</v>
      </c>
      <c r="O356" s="82">
        <f ca="1">Table11[[#This Row],[Inventory_On_Hand]]+Table11[[#This Row],[Planned_Production]]-Table11[[#This Row],[Forecasted_Units]]</f>
        <v>9.9489658550634203</v>
      </c>
      <c r="P356" cm="1">
        <f t="array" ref="P356">_xlfn.XLOOKUP(Table11[[#This Row],[Date]] &amp; Table11[[#This Row],[Vehicle_Type]], Table12[Date] &amp; Table12[Vehicle_Type],Table12[Feedback_Adjustment], 0)</f>
        <v>0</v>
      </c>
      <c r="Q356" s="82">
        <f>Table11[[#This Row],[Forecasted_Units]]*(1+Table11[[#This Row],[Adjustment_Percentage]])</f>
        <v>99.489658550634189</v>
      </c>
      <c r="R356" s="82"/>
    </row>
    <row r="357" spans="1:18">
      <c r="A357" s="54">
        <v>52655</v>
      </c>
      <c r="B357" s="15" t="s">
        <v>12</v>
      </c>
      <c r="C357" s="15" t="str">
        <f>TEXT(Table11[[#This Row],[Date]],"mmmm")</f>
        <v>February</v>
      </c>
      <c r="D357" s="15">
        <v>117</v>
      </c>
      <c r="E357" s="82">
        <f>_xlfn.FORECAST.LINEAR(Table11[[#This Row],[Date]],Table11[Units_Sold],Table11[Date])</f>
        <v>99.490822747290977</v>
      </c>
      <c r="F357" cm="1">
        <f t="array" ref="F357">_xlfn.IFS(Table11[[#This Row],[Vehicle_Type]]="SUV",250,Table11[[#This Row],[Vehicle_Type]]="Sedan",200,Table11[[#This Row],[Vehicle_Type]]="Hatchback",185,Table11[[#This Row],[Vehicle_Type]]="Electric",190,Table11[[#This Row],[Vehicle_Type]]="Truck",150)</f>
        <v>250</v>
      </c>
      <c r="G357">
        <f t="shared" ca="1" si="5"/>
        <v>24</v>
      </c>
      <c r="H357" s="82">
        <f>Table11[[#This Row],[Daily_Production]]-Table11[[#This Row],[Forecasted_Units]]</f>
        <v>150.50917725270904</v>
      </c>
      <c r="I357" cm="1">
        <f t="array" ref="I357">_xlfn.IFS(Table11[[#This Row],[Vehicle_Type]]="SUV",5,Table11[[#This Row],[Vehicle_Type]]="Sedan",7,Table11[[#This Row],[Vehicle_Type]]="Hatchback",10,Table11[[#This Row],[Vehicle_Type]]="Electric",11,Table11[[#This Row],[Vehicle_Type]]="Truck",13)</f>
        <v>5</v>
      </c>
      <c r="J357">
        <f ca="1">Table11[[#This Row],[Daily_Production]]*Table11[[#This Row],[Working_Days]]</f>
        <v>6000</v>
      </c>
      <c r="K357" s="81">
        <f>Table11[[#This Row],[Forecasted_Units]]*0.1</f>
        <v>9.9490822747290988</v>
      </c>
      <c r="L357" s="82">
        <f>Table11[[#This Row],[Adjusted_Forecast]]+Table11[[#This Row],[Safety_Stock]]-Table11[[#This Row],[Inventory_On_Hand]]</f>
        <v>-41.069272230688966</v>
      </c>
      <c r="M357" s="82">
        <f ca="1">MIN(Table11[[#This Row],[Production_Needed]],Table11[[#This Row],[Production_Capacity]])</f>
        <v>-41.069272230688966</v>
      </c>
      <c r="N357" s="82">
        <f ca="1">MAX(Table11[[#This Row],[Production_Needed]]-Table11[[#This Row],[Planned_Production]],0)</f>
        <v>0</v>
      </c>
      <c r="O357" s="82">
        <f ca="1">Table11[[#This Row],[Inventory_On_Hand]]+Table11[[#This Row],[Planned_Production]]-Table11[[#This Row],[Forecasted_Units]]</f>
        <v>9.9490822747290935</v>
      </c>
      <c r="P357" cm="1">
        <f t="array" ref="P357">_xlfn.XLOOKUP(Table11[[#This Row],[Date]] &amp; Table11[[#This Row],[Vehicle_Type]], Table12[Date] &amp; Table12[Vehicle_Type],Table12[Feedback_Adjustment], 0)</f>
        <v>0</v>
      </c>
      <c r="Q357" s="82">
        <f>Table11[[#This Row],[Forecasted_Units]]*(1+Table11[[#This Row],[Adjustment_Percentage]])</f>
        <v>99.490822747290977</v>
      </c>
      <c r="R357" s="82"/>
    </row>
    <row r="358" spans="1:18">
      <c r="A358" s="53">
        <v>52685</v>
      </c>
      <c r="B358" s="14" t="s">
        <v>11</v>
      </c>
      <c r="C358" s="15" t="str">
        <f>TEXT(Table11[[#This Row],[Date]],"mmmm")</f>
        <v>March</v>
      </c>
      <c r="D358" s="14">
        <v>102</v>
      </c>
      <c r="E358" s="82">
        <f>_xlfn.FORECAST.LINEAR(Table11[[#This Row],[Date]],Table11[Units_Sold],Table11[Date])</f>
        <v>99.491986943947765</v>
      </c>
      <c r="F358" cm="1">
        <f t="array" ref="F358">_xlfn.IFS(Table11[[#This Row],[Vehicle_Type]]="SUV",250,Table11[[#This Row],[Vehicle_Type]]="Sedan",200,Table11[[#This Row],[Vehicle_Type]]="Hatchback",185,Table11[[#This Row],[Vehicle_Type]]="Electric",190,Table11[[#This Row],[Vehicle_Type]]="Truck",150)</f>
        <v>185</v>
      </c>
      <c r="G358">
        <f t="shared" ca="1" si="5"/>
        <v>21</v>
      </c>
      <c r="H358" s="82">
        <f>Table11[[#This Row],[Daily_Production]]-Table11[[#This Row],[Forecasted_Units]]</f>
        <v>85.508013056052235</v>
      </c>
      <c r="I358" cm="1">
        <f t="array" ref="I358">_xlfn.IFS(Table11[[#This Row],[Vehicle_Type]]="SUV",5,Table11[[#This Row],[Vehicle_Type]]="Sedan",7,Table11[[#This Row],[Vehicle_Type]]="Hatchback",10,Table11[[#This Row],[Vehicle_Type]]="Electric",11,Table11[[#This Row],[Vehicle_Type]]="Truck",13)</f>
        <v>10</v>
      </c>
      <c r="J358">
        <f ca="1">Table11[[#This Row],[Daily_Production]]*Table11[[#This Row],[Working_Days]]</f>
        <v>3885</v>
      </c>
      <c r="K358" s="81">
        <f>Table11[[#This Row],[Forecasted_Units]]*0.1</f>
        <v>9.9491986943947772</v>
      </c>
      <c r="L358" s="82">
        <f>Table11[[#This Row],[Adjusted_Forecast]]+Table11[[#This Row],[Safety_Stock]]-Table11[[#This Row],[Inventory_On_Hand]]</f>
        <v>23.933172582290311</v>
      </c>
      <c r="M358" s="82">
        <f ca="1">MIN(Table11[[#This Row],[Production_Needed]],Table11[[#This Row],[Production_Capacity]])</f>
        <v>23.933172582290311</v>
      </c>
      <c r="N358" s="82">
        <f ca="1">MAX(Table11[[#This Row],[Production_Needed]]-Table11[[#This Row],[Planned_Production]],0)</f>
        <v>0</v>
      </c>
      <c r="O358" s="82">
        <f ca="1">Table11[[#This Row],[Inventory_On_Hand]]+Table11[[#This Row],[Planned_Production]]-Table11[[#This Row],[Forecasted_Units]]</f>
        <v>9.9491986943947808</v>
      </c>
      <c r="P358" cm="1">
        <f t="array" ref="P358">_xlfn.XLOOKUP(Table11[[#This Row],[Date]] &amp; Table11[[#This Row],[Vehicle_Type]], Table12[Date] &amp; Table12[Vehicle_Type],Table12[Feedback_Adjustment], 0)</f>
        <v>0</v>
      </c>
      <c r="Q358" s="82">
        <f>Table11[[#This Row],[Forecasted_Units]]*(1+Table11[[#This Row],[Adjustment_Percentage]])</f>
        <v>99.491986943947765</v>
      </c>
      <c r="R358" s="82"/>
    </row>
    <row r="359" spans="1:18">
      <c r="A359" s="54">
        <v>52715</v>
      </c>
      <c r="B359" s="15" t="s">
        <v>12</v>
      </c>
      <c r="C359" s="15" t="str">
        <f>TEXT(Table11[[#This Row],[Date]],"mmmm")</f>
        <v>April</v>
      </c>
      <c r="D359" s="15">
        <v>88</v>
      </c>
      <c r="E359" s="82">
        <f>_xlfn.FORECAST.LINEAR(Table11[[#This Row],[Date]],Table11[Units_Sold],Table11[Date])</f>
        <v>99.493151140604553</v>
      </c>
      <c r="F359" cm="1">
        <f t="array" ref="F359">_xlfn.IFS(Table11[[#This Row],[Vehicle_Type]]="SUV",250,Table11[[#This Row],[Vehicle_Type]]="Sedan",200,Table11[[#This Row],[Vehicle_Type]]="Hatchback",185,Table11[[#This Row],[Vehicle_Type]]="Electric",190,Table11[[#This Row],[Vehicle_Type]]="Truck",150)</f>
        <v>250</v>
      </c>
      <c r="G359">
        <f t="shared" ca="1" si="5"/>
        <v>21</v>
      </c>
      <c r="H359" s="82">
        <f>Table11[[#This Row],[Daily_Production]]-Table11[[#This Row],[Forecasted_Units]]</f>
        <v>150.50684885939546</v>
      </c>
      <c r="I359" cm="1">
        <f t="array" ref="I359">_xlfn.IFS(Table11[[#This Row],[Vehicle_Type]]="SUV",5,Table11[[#This Row],[Vehicle_Type]]="Sedan",7,Table11[[#This Row],[Vehicle_Type]]="Hatchback",10,Table11[[#This Row],[Vehicle_Type]]="Electric",11,Table11[[#This Row],[Vehicle_Type]]="Truck",13)</f>
        <v>5</v>
      </c>
      <c r="J359">
        <f ca="1">Table11[[#This Row],[Daily_Production]]*Table11[[#This Row],[Working_Days]]</f>
        <v>5250</v>
      </c>
      <c r="K359" s="81">
        <f>Table11[[#This Row],[Forecasted_Units]]*0.1</f>
        <v>9.9493151140604557</v>
      </c>
      <c r="L359" s="82">
        <f>Table11[[#This Row],[Adjusted_Forecast]]+Table11[[#This Row],[Safety_Stock]]-Table11[[#This Row],[Inventory_On_Hand]]</f>
        <v>-41.064382604730454</v>
      </c>
      <c r="M359" s="82">
        <f ca="1">MIN(Table11[[#This Row],[Production_Needed]],Table11[[#This Row],[Production_Capacity]])</f>
        <v>-41.064382604730454</v>
      </c>
      <c r="N359" s="82">
        <f ca="1">MAX(Table11[[#This Row],[Production_Needed]]-Table11[[#This Row],[Planned_Production]],0)</f>
        <v>0</v>
      </c>
      <c r="O359" s="82">
        <f ca="1">Table11[[#This Row],[Inventory_On_Hand]]+Table11[[#This Row],[Planned_Production]]-Table11[[#This Row],[Forecasted_Units]]</f>
        <v>9.9493151140604539</v>
      </c>
      <c r="P359" cm="1">
        <f t="array" ref="P359">_xlfn.XLOOKUP(Table11[[#This Row],[Date]] &amp; Table11[[#This Row],[Vehicle_Type]], Table12[Date] &amp; Table12[Vehicle_Type],Table12[Feedback_Adjustment], 0)</f>
        <v>0</v>
      </c>
      <c r="Q359" s="82">
        <f>Table11[[#This Row],[Forecasted_Units]]*(1+Table11[[#This Row],[Adjustment_Percentage]])</f>
        <v>99.493151140604553</v>
      </c>
      <c r="R359" s="82"/>
    </row>
    <row r="360" spans="1:18">
      <c r="A360" s="53">
        <v>52745</v>
      </c>
      <c r="B360" s="14" t="s">
        <v>11</v>
      </c>
      <c r="C360" s="15" t="str">
        <f>TEXT(Table11[[#This Row],[Date]],"mmmm")</f>
        <v>May</v>
      </c>
      <c r="D360" s="14">
        <v>100</v>
      </c>
      <c r="E360" s="82">
        <f>_xlfn.FORECAST.LINEAR(Table11[[#This Row],[Date]],Table11[Units_Sold],Table11[Date])</f>
        <v>99.494315337261341</v>
      </c>
      <c r="F360" cm="1">
        <f t="array" ref="F360">_xlfn.IFS(Table11[[#This Row],[Vehicle_Type]]="SUV",250,Table11[[#This Row],[Vehicle_Type]]="Sedan",200,Table11[[#This Row],[Vehicle_Type]]="Hatchback",185,Table11[[#This Row],[Vehicle_Type]]="Electric",190,Table11[[#This Row],[Vehicle_Type]]="Truck",150)</f>
        <v>185</v>
      </c>
      <c r="G360">
        <f t="shared" ca="1" si="5"/>
        <v>20</v>
      </c>
      <c r="H360" s="82">
        <f>Table11[[#This Row],[Daily_Production]]-Table11[[#This Row],[Forecasted_Units]]</f>
        <v>85.505684662738659</v>
      </c>
      <c r="I360" cm="1">
        <f t="array" ref="I360">_xlfn.IFS(Table11[[#This Row],[Vehicle_Type]]="SUV",5,Table11[[#This Row],[Vehicle_Type]]="Sedan",7,Table11[[#This Row],[Vehicle_Type]]="Hatchback",10,Table11[[#This Row],[Vehicle_Type]]="Electric",11,Table11[[#This Row],[Vehicle_Type]]="Truck",13)</f>
        <v>10</v>
      </c>
      <c r="J360">
        <f ca="1">Table11[[#This Row],[Daily_Production]]*Table11[[#This Row],[Working_Days]]</f>
        <v>3700</v>
      </c>
      <c r="K360" s="81">
        <f>Table11[[#This Row],[Forecasted_Units]]*0.1</f>
        <v>9.9494315337261341</v>
      </c>
      <c r="L360" s="82">
        <f>Table11[[#This Row],[Adjusted_Forecast]]+Table11[[#This Row],[Safety_Stock]]-Table11[[#This Row],[Inventory_On_Hand]]</f>
        <v>23.938062208248809</v>
      </c>
      <c r="M360" s="82">
        <f ca="1">MIN(Table11[[#This Row],[Production_Needed]],Table11[[#This Row],[Production_Capacity]])</f>
        <v>23.938062208248809</v>
      </c>
      <c r="N360" s="82">
        <f ca="1">MAX(Table11[[#This Row],[Production_Needed]]-Table11[[#This Row],[Planned_Production]],0)</f>
        <v>0</v>
      </c>
      <c r="O360" s="82">
        <f ca="1">Table11[[#This Row],[Inventory_On_Hand]]+Table11[[#This Row],[Planned_Production]]-Table11[[#This Row],[Forecasted_Units]]</f>
        <v>9.949431533726127</v>
      </c>
      <c r="P360" cm="1">
        <f t="array" ref="P360">_xlfn.XLOOKUP(Table11[[#This Row],[Date]] &amp; Table11[[#This Row],[Vehicle_Type]], Table12[Date] &amp; Table12[Vehicle_Type],Table12[Feedback_Adjustment], 0)</f>
        <v>0</v>
      </c>
      <c r="Q360" s="82">
        <f>Table11[[#This Row],[Forecasted_Units]]*(1+Table11[[#This Row],[Adjustment_Percentage]])</f>
        <v>99.494315337261341</v>
      </c>
      <c r="R360" s="82"/>
    </row>
    <row r="361" spans="1:18">
      <c r="A361" s="54">
        <v>52775</v>
      </c>
      <c r="B361" s="15" t="s">
        <v>13</v>
      </c>
      <c r="C361" s="15" t="str">
        <f>TEXT(Table11[[#This Row],[Date]],"mmmm")</f>
        <v>June</v>
      </c>
      <c r="D361" s="15">
        <v>81</v>
      </c>
      <c r="E361" s="82">
        <f>_xlfn.FORECAST.LINEAR(Table11[[#This Row],[Date]],Table11[Units_Sold],Table11[Date])</f>
        <v>99.495479533918129</v>
      </c>
      <c r="F361" cm="1">
        <f t="array" ref="F361">_xlfn.IFS(Table11[[#This Row],[Vehicle_Type]]="SUV",250,Table11[[#This Row],[Vehicle_Type]]="Sedan",200,Table11[[#This Row],[Vehicle_Type]]="Hatchback",185,Table11[[#This Row],[Vehicle_Type]]="Electric",190,Table11[[#This Row],[Vehicle_Type]]="Truck",150)</f>
        <v>190</v>
      </c>
      <c r="G361">
        <f t="shared" ca="1" si="5"/>
        <v>23</v>
      </c>
      <c r="H361" s="82">
        <f>Table11[[#This Row],[Daily_Production]]-Table11[[#This Row],[Forecasted_Units]]</f>
        <v>90.504520466081871</v>
      </c>
      <c r="I361" cm="1">
        <f t="array" ref="I361">_xlfn.IFS(Table11[[#This Row],[Vehicle_Type]]="SUV",5,Table11[[#This Row],[Vehicle_Type]]="Sedan",7,Table11[[#This Row],[Vehicle_Type]]="Hatchback",10,Table11[[#This Row],[Vehicle_Type]]="Electric",11,Table11[[#This Row],[Vehicle_Type]]="Truck",13)</f>
        <v>11</v>
      </c>
      <c r="J361">
        <f ca="1">Table11[[#This Row],[Daily_Production]]*Table11[[#This Row],[Working_Days]]</f>
        <v>4370</v>
      </c>
      <c r="K361" s="81">
        <f>Table11[[#This Row],[Forecasted_Units]]*0.1</f>
        <v>9.9495479533918143</v>
      </c>
      <c r="L361" s="82">
        <f>Table11[[#This Row],[Adjusted_Forecast]]+Table11[[#This Row],[Safety_Stock]]-Table11[[#This Row],[Inventory_On_Hand]]</f>
        <v>18.940507021228072</v>
      </c>
      <c r="M361" s="82">
        <f ca="1">MIN(Table11[[#This Row],[Production_Needed]],Table11[[#This Row],[Production_Capacity]])</f>
        <v>18.940507021228072</v>
      </c>
      <c r="N361" s="82">
        <f ca="1">MAX(Table11[[#This Row],[Production_Needed]]-Table11[[#This Row],[Planned_Production]],0)</f>
        <v>0</v>
      </c>
      <c r="O361" s="82">
        <f ca="1">Table11[[#This Row],[Inventory_On_Hand]]+Table11[[#This Row],[Planned_Production]]-Table11[[#This Row],[Forecasted_Units]]</f>
        <v>9.9495479533918143</v>
      </c>
      <c r="P361" cm="1">
        <f t="array" ref="P361">_xlfn.XLOOKUP(Table11[[#This Row],[Date]] &amp; Table11[[#This Row],[Vehicle_Type]], Table12[Date] &amp; Table12[Vehicle_Type],Table12[Feedback_Adjustment], 0)</f>
        <v>0</v>
      </c>
      <c r="Q361" s="82">
        <f>Table11[[#This Row],[Forecasted_Units]]*(1+Table11[[#This Row],[Adjustment_Percentage]])</f>
        <v>99.495479533918129</v>
      </c>
      <c r="R361" s="82"/>
    </row>
    <row r="362" spans="1:18">
      <c r="A362" s="53">
        <v>52805</v>
      </c>
      <c r="B362" s="14" t="s">
        <v>14</v>
      </c>
      <c r="C362" s="15" t="str">
        <f>TEXT(Table11[[#This Row],[Date]],"mmmm")</f>
        <v>July</v>
      </c>
      <c r="D362" s="14">
        <v>91</v>
      </c>
      <c r="E362" s="82">
        <f>_xlfn.FORECAST.LINEAR(Table11[[#This Row],[Date]],Table11[Units_Sold],Table11[Date])</f>
        <v>99.496643730574917</v>
      </c>
      <c r="F362" cm="1">
        <f t="array" ref="F362">_xlfn.IFS(Table11[[#This Row],[Vehicle_Type]]="SUV",250,Table11[[#This Row],[Vehicle_Type]]="Sedan",200,Table11[[#This Row],[Vehicle_Type]]="Hatchback",185,Table11[[#This Row],[Vehicle_Type]]="Electric",190,Table11[[#This Row],[Vehicle_Type]]="Truck",150)</f>
        <v>150</v>
      </c>
      <c r="G362">
        <f t="shared" ca="1" si="5"/>
        <v>23</v>
      </c>
      <c r="H362" s="82">
        <f>Table11[[#This Row],[Daily_Production]]-Table11[[#This Row],[Forecasted_Units]]</f>
        <v>50.503356269425083</v>
      </c>
      <c r="I362" cm="1">
        <f t="array" ref="I362">_xlfn.IFS(Table11[[#This Row],[Vehicle_Type]]="SUV",5,Table11[[#This Row],[Vehicle_Type]]="Sedan",7,Table11[[#This Row],[Vehicle_Type]]="Hatchback",10,Table11[[#This Row],[Vehicle_Type]]="Electric",11,Table11[[#This Row],[Vehicle_Type]]="Truck",13)</f>
        <v>13</v>
      </c>
      <c r="J362">
        <f ca="1">Table11[[#This Row],[Daily_Production]]*Table11[[#This Row],[Working_Days]]</f>
        <v>3450</v>
      </c>
      <c r="K362" s="81">
        <f>Table11[[#This Row],[Forecasted_Units]]*0.1</f>
        <v>9.9496643730574927</v>
      </c>
      <c r="L362" s="82">
        <f>Table11[[#This Row],[Adjusted_Forecast]]+Table11[[#This Row],[Safety_Stock]]-Table11[[#This Row],[Inventory_On_Hand]]</f>
        <v>58.942951834207321</v>
      </c>
      <c r="M362" s="82">
        <f ca="1">MIN(Table11[[#This Row],[Production_Needed]],Table11[[#This Row],[Production_Capacity]])</f>
        <v>58.942951834207321</v>
      </c>
      <c r="N362" s="82">
        <f ca="1">MAX(Table11[[#This Row],[Production_Needed]]-Table11[[#This Row],[Planned_Production]],0)</f>
        <v>0</v>
      </c>
      <c r="O362" s="82">
        <f ca="1">Table11[[#This Row],[Inventory_On_Hand]]+Table11[[#This Row],[Planned_Production]]-Table11[[#This Row],[Forecasted_Units]]</f>
        <v>9.9496643730574874</v>
      </c>
      <c r="P362" cm="1">
        <f t="array" ref="P362">_xlfn.XLOOKUP(Table11[[#This Row],[Date]] &amp; Table11[[#This Row],[Vehicle_Type]], Table12[Date] &amp; Table12[Vehicle_Type],Table12[Feedback_Adjustment], 0)</f>
        <v>0</v>
      </c>
      <c r="Q362" s="82">
        <f>Table11[[#This Row],[Forecasted_Units]]*(1+Table11[[#This Row],[Adjustment_Percentage]])</f>
        <v>99.496643730574917</v>
      </c>
      <c r="R362" s="82"/>
    </row>
    <row r="363" spans="1:18">
      <c r="A363" s="54">
        <v>52835</v>
      </c>
      <c r="B363" s="15" t="s">
        <v>11</v>
      </c>
      <c r="C363" s="15" t="str">
        <f>TEXT(Table11[[#This Row],[Date]],"mmmm")</f>
        <v>August</v>
      </c>
      <c r="D363" s="15">
        <v>90</v>
      </c>
      <c r="E363" s="82">
        <f>_xlfn.FORECAST.LINEAR(Table11[[#This Row],[Date]],Table11[Units_Sold],Table11[Date])</f>
        <v>99.497807927231705</v>
      </c>
      <c r="F363" cm="1">
        <f t="array" ref="F363">_xlfn.IFS(Table11[[#This Row],[Vehicle_Type]]="SUV",250,Table11[[#This Row],[Vehicle_Type]]="Sedan",200,Table11[[#This Row],[Vehicle_Type]]="Hatchback",185,Table11[[#This Row],[Vehicle_Type]]="Electric",190,Table11[[#This Row],[Vehicle_Type]]="Truck",150)</f>
        <v>185</v>
      </c>
      <c r="G363">
        <f t="shared" ca="1" si="5"/>
        <v>22</v>
      </c>
      <c r="H363" s="82">
        <f>Table11[[#This Row],[Daily_Production]]-Table11[[#This Row],[Forecasted_Units]]</f>
        <v>85.502192072768295</v>
      </c>
      <c r="I363" cm="1">
        <f t="array" ref="I363">_xlfn.IFS(Table11[[#This Row],[Vehicle_Type]]="SUV",5,Table11[[#This Row],[Vehicle_Type]]="Sedan",7,Table11[[#This Row],[Vehicle_Type]]="Hatchback",10,Table11[[#This Row],[Vehicle_Type]]="Electric",11,Table11[[#This Row],[Vehicle_Type]]="Truck",13)</f>
        <v>10</v>
      </c>
      <c r="J363">
        <f ca="1">Table11[[#This Row],[Daily_Production]]*Table11[[#This Row],[Working_Days]]</f>
        <v>4070</v>
      </c>
      <c r="K363" s="81">
        <f>Table11[[#This Row],[Forecasted_Units]]*0.1</f>
        <v>9.9497807927231712</v>
      </c>
      <c r="L363" s="82">
        <f>Table11[[#This Row],[Adjusted_Forecast]]+Table11[[#This Row],[Safety_Stock]]-Table11[[#This Row],[Inventory_On_Hand]]</f>
        <v>23.945396647186584</v>
      </c>
      <c r="M363" s="82">
        <f ca="1">MIN(Table11[[#This Row],[Production_Needed]],Table11[[#This Row],[Production_Capacity]])</f>
        <v>23.945396647186584</v>
      </c>
      <c r="N363" s="82">
        <f ca="1">MAX(Table11[[#This Row],[Production_Needed]]-Table11[[#This Row],[Planned_Production]],0)</f>
        <v>0</v>
      </c>
      <c r="O363" s="82">
        <f ca="1">Table11[[#This Row],[Inventory_On_Hand]]+Table11[[#This Row],[Planned_Production]]-Table11[[#This Row],[Forecasted_Units]]</f>
        <v>9.9497807927231747</v>
      </c>
      <c r="P363" cm="1">
        <f t="array" ref="P363">_xlfn.XLOOKUP(Table11[[#This Row],[Date]] &amp; Table11[[#This Row],[Vehicle_Type]], Table12[Date] &amp; Table12[Vehicle_Type],Table12[Feedback_Adjustment], 0)</f>
        <v>0</v>
      </c>
      <c r="Q363" s="82">
        <f>Table11[[#This Row],[Forecasted_Units]]*(1+Table11[[#This Row],[Adjustment_Percentage]])</f>
        <v>99.497807927231705</v>
      </c>
      <c r="R363" s="82"/>
    </row>
    <row r="364" spans="1:18">
      <c r="A364" s="53">
        <v>52865</v>
      </c>
      <c r="B364" s="14" t="s">
        <v>10</v>
      </c>
      <c r="C364" s="15" t="str">
        <f>TEXT(Table11[[#This Row],[Date]],"mmmm")</f>
        <v>September</v>
      </c>
      <c r="D364" s="14">
        <v>102</v>
      </c>
      <c r="E364" s="82">
        <f>_xlfn.FORECAST.LINEAR(Table11[[#This Row],[Date]],Table11[Units_Sold],Table11[Date])</f>
        <v>99.498972123888493</v>
      </c>
      <c r="F364" cm="1">
        <f t="array" ref="F364">_xlfn.IFS(Table11[[#This Row],[Vehicle_Type]]="SUV",250,Table11[[#This Row],[Vehicle_Type]]="Sedan",200,Table11[[#This Row],[Vehicle_Type]]="Hatchback",185,Table11[[#This Row],[Vehicle_Type]]="Electric",190,Table11[[#This Row],[Vehicle_Type]]="Truck",150)</f>
        <v>200</v>
      </c>
      <c r="G364">
        <f t="shared" ca="1" si="5"/>
        <v>23</v>
      </c>
      <c r="H364" s="82">
        <f>Table11[[#This Row],[Daily_Production]]-Table11[[#This Row],[Forecasted_Units]]</f>
        <v>100.50102787611151</v>
      </c>
      <c r="I364" cm="1">
        <f t="array" ref="I364">_xlfn.IFS(Table11[[#This Row],[Vehicle_Type]]="SUV",5,Table11[[#This Row],[Vehicle_Type]]="Sedan",7,Table11[[#This Row],[Vehicle_Type]]="Hatchback",10,Table11[[#This Row],[Vehicle_Type]]="Electric",11,Table11[[#This Row],[Vehicle_Type]]="Truck",13)</f>
        <v>7</v>
      </c>
      <c r="J364">
        <f ca="1">Table11[[#This Row],[Daily_Production]]*Table11[[#This Row],[Working_Days]]</f>
        <v>4600</v>
      </c>
      <c r="K364" s="81">
        <f>Table11[[#This Row],[Forecasted_Units]]*0.1</f>
        <v>9.9498972123888496</v>
      </c>
      <c r="L364" s="82">
        <f>Table11[[#This Row],[Adjusted_Forecast]]+Table11[[#This Row],[Safety_Stock]]-Table11[[#This Row],[Inventory_On_Hand]]</f>
        <v>8.9478414601658329</v>
      </c>
      <c r="M364" s="82">
        <f ca="1">MIN(Table11[[#This Row],[Production_Needed]],Table11[[#This Row],[Production_Capacity]])</f>
        <v>8.9478414601658329</v>
      </c>
      <c r="N364" s="82">
        <f ca="1">MAX(Table11[[#This Row],[Production_Needed]]-Table11[[#This Row],[Planned_Production]],0)</f>
        <v>0</v>
      </c>
      <c r="O364" s="82">
        <f ca="1">Table11[[#This Row],[Inventory_On_Hand]]+Table11[[#This Row],[Planned_Production]]-Table11[[#This Row],[Forecasted_Units]]</f>
        <v>9.9498972123888478</v>
      </c>
      <c r="P364" cm="1">
        <f t="array" ref="P364">_xlfn.XLOOKUP(Table11[[#This Row],[Date]] &amp; Table11[[#This Row],[Vehicle_Type]], Table12[Date] &amp; Table12[Vehicle_Type],Table12[Feedback_Adjustment], 0)</f>
        <v>0</v>
      </c>
      <c r="Q364" s="82">
        <f>Table11[[#This Row],[Forecasted_Units]]*(1+Table11[[#This Row],[Adjustment_Percentage]])</f>
        <v>99.498972123888493</v>
      </c>
      <c r="R364" s="82"/>
    </row>
    <row r="365" spans="1:18">
      <c r="A365" s="54">
        <v>52895</v>
      </c>
      <c r="B365" s="15" t="s">
        <v>10</v>
      </c>
      <c r="C365" s="15" t="str">
        <f>TEXT(Table11[[#This Row],[Date]],"mmmm")</f>
        <v>October</v>
      </c>
      <c r="D365" s="15">
        <v>109</v>
      </c>
      <c r="E365" s="82">
        <f>_xlfn.FORECAST.LINEAR(Table11[[#This Row],[Date]],Table11[Units_Sold],Table11[Date])</f>
        <v>99.50013632054528</v>
      </c>
      <c r="F365" cm="1">
        <f t="array" ref="F365">_xlfn.IFS(Table11[[#This Row],[Vehicle_Type]]="SUV",250,Table11[[#This Row],[Vehicle_Type]]="Sedan",200,Table11[[#This Row],[Vehicle_Type]]="Hatchback",185,Table11[[#This Row],[Vehicle_Type]]="Electric",190,Table11[[#This Row],[Vehicle_Type]]="Truck",150)</f>
        <v>200</v>
      </c>
      <c r="G365">
        <f t="shared" ca="1" si="5"/>
        <v>24</v>
      </c>
      <c r="H365" s="82">
        <f>Table11[[#This Row],[Daily_Production]]-Table11[[#This Row],[Forecasted_Units]]</f>
        <v>100.49986367945472</v>
      </c>
      <c r="I365" cm="1">
        <f t="array" ref="I365">_xlfn.IFS(Table11[[#This Row],[Vehicle_Type]]="SUV",5,Table11[[#This Row],[Vehicle_Type]]="Sedan",7,Table11[[#This Row],[Vehicle_Type]]="Hatchback",10,Table11[[#This Row],[Vehicle_Type]]="Electric",11,Table11[[#This Row],[Vehicle_Type]]="Truck",13)</f>
        <v>7</v>
      </c>
      <c r="J365">
        <f ca="1">Table11[[#This Row],[Daily_Production]]*Table11[[#This Row],[Working_Days]]</f>
        <v>4800</v>
      </c>
      <c r="K365" s="81">
        <f>Table11[[#This Row],[Forecasted_Units]]*0.1</f>
        <v>9.950013632054528</v>
      </c>
      <c r="L365" s="82">
        <f>Table11[[#This Row],[Adjusted_Forecast]]+Table11[[#This Row],[Safety_Stock]]-Table11[[#This Row],[Inventory_On_Hand]]</f>
        <v>8.9502862731450961</v>
      </c>
      <c r="M365" s="82">
        <f ca="1">MIN(Table11[[#This Row],[Production_Needed]],Table11[[#This Row],[Production_Capacity]])</f>
        <v>8.9502862731450961</v>
      </c>
      <c r="N365" s="82">
        <f ca="1">MAX(Table11[[#This Row],[Production_Needed]]-Table11[[#This Row],[Planned_Production]],0)</f>
        <v>0</v>
      </c>
      <c r="O365" s="82">
        <f ca="1">Table11[[#This Row],[Inventory_On_Hand]]+Table11[[#This Row],[Planned_Production]]-Table11[[#This Row],[Forecasted_Units]]</f>
        <v>9.9500136320545352</v>
      </c>
      <c r="P365" cm="1">
        <f t="array" ref="P365">_xlfn.XLOOKUP(Table11[[#This Row],[Date]] &amp; Table11[[#This Row],[Vehicle_Type]], Table12[Date] &amp; Table12[Vehicle_Type],Table12[Feedback_Adjustment], 0)</f>
        <v>0</v>
      </c>
      <c r="Q365" s="82">
        <f>Table11[[#This Row],[Forecasted_Units]]*(1+Table11[[#This Row],[Adjustment_Percentage]])</f>
        <v>99.50013632054528</v>
      </c>
      <c r="R365" s="82"/>
    </row>
    <row r="366" spans="1:18">
      <c r="A366" s="53">
        <v>52925</v>
      </c>
      <c r="B366" s="14" t="s">
        <v>14</v>
      </c>
      <c r="C366" s="15" t="str">
        <f>TEXT(Table11[[#This Row],[Date]],"mmmm")</f>
        <v>November</v>
      </c>
      <c r="D366" s="14">
        <v>101</v>
      </c>
      <c r="E366" s="82">
        <f>_xlfn.FORECAST.LINEAR(Table11[[#This Row],[Date]],Table11[Units_Sold],Table11[Date])</f>
        <v>99.501300517202068</v>
      </c>
      <c r="F366" cm="1">
        <f t="array" ref="F366">_xlfn.IFS(Table11[[#This Row],[Vehicle_Type]]="SUV",250,Table11[[#This Row],[Vehicle_Type]]="Sedan",200,Table11[[#This Row],[Vehicle_Type]]="Hatchback",185,Table11[[#This Row],[Vehicle_Type]]="Electric",190,Table11[[#This Row],[Vehicle_Type]]="Truck",150)</f>
        <v>150</v>
      </c>
      <c r="G366">
        <f t="shared" ca="1" si="5"/>
        <v>23</v>
      </c>
      <c r="H366" s="82">
        <f>Table11[[#This Row],[Daily_Production]]-Table11[[#This Row],[Forecasted_Units]]</f>
        <v>50.498699482797932</v>
      </c>
      <c r="I366" cm="1">
        <f t="array" ref="I366">_xlfn.IFS(Table11[[#This Row],[Vehicle_Type]]="SUV",5,Table11[[#This Row],[Vehicle_Type]]="Sedan",7,Table11[[#This Row],[Vehicle_Type]]="Hatchback",10,Table11[[#This Row],[Vehicle_Type]]="Electric",11,Table11[[#This Row],[Vehicle_Type]]="Truck",13)</f>
        <v>13</v>
      </c>
      <c r="J366">
        <f ca="1">Table11[[#This Row],[Daily_Production]]*Table11[[#This Row],[Working_Days]]</f>
        <v>3450</v>
      </c>
      <c r="K366" s="81">
        <f>Table11[[#This Row],[Forecasted_Units]]*0.1</f>
        <v>9.9501300517202083</v>
      </c>
      <c r="L366" s="82">
        <f>Table11[[#This Row],[Adjusted_Forecast]]+Table11[[#This Row],[Safety_Stock]]-Table11[[#This Row],[Inventory_On_Hand]]</f>
        <v>58.952731086124345</v>
      </c>
      <c r="M366" s="82">
        <f ca="1">MIN(Table11[[#This Row],[Production_Needed]],Table11[[#This Row],[Production_Capacity]])</f>
        <v>58.952731086124345</v>
      </c>
      <c r="N366" s="82">
        <f ca="1">MAX(Table11[[#This Row],[Production_Needed]]-Table11[[#This Row],[Planned_Production]],0)</f>
        <v>0</v>
      </c>
      <c r="O366" s="82">
        <f ca="1">Table11[[#This Row],[Inventory_On_Hand]]+Table11[[#This Row],[Planned_Production]]-Table11[[#This Row],[Forecasted_Units]]</f>
        <v>9.9501300517202083</v>
      </c>
      <c r="P366" cm="1">
        <f t="array" ref="P366">_xlfn.XLOOKUP(Table11[[#This Row],[Date]] &amp; Table11[[#This Row],[Vehicle_Type]], Table12[Date] &amp; Table12[Vehicle_Type],Table12[Feedback_Adjustment], 0)</f>
        <v>0</v>
      </c>
      <c r="Q366" s="82">
        <f>Table11[[#This Row],[Forecasted_Units]]*(1+Table11[[#This Row],[Adjustment_Percentage]])</f>
        <v>99.501300517202068</v>
      </c>
      <c r="R366" s="82"/>
    </row>
    <row r="367" spans="1:18">
      <c r="A367" s="54">
        <v>52955</v>
      </c>
      <c r="B367" s="15" t="s">
        <v>11</v>
      </c>
      <c r="C367" s="15" t="str">
        <f>TEXT(Table11[[#This Row],[Date]],"mmmm")</f>
        <v>December</v>
      </c>
      <c r="D367" s="15">
        <v>97</v>
      </c>
      <c r="E367" s="82">
        <f>_xlfn.FORECAST.LINEAR(Table11[[#This Row],[Date]],Table11[Units_Sold],Table11[Date])</f>
        <v>99.502464713858842</v>
      </c>
      <c r="F367" cm="1">
        <f t="array" ref="F367">_xlfn.IFS(Table11[[#This Row],[Vehicle_Type]]="SUV",250,Table11[[#This Row],[Vehicle_Type]]="Sedan",200,Table11[[#This Row],[Vehicle_Type]]="Hatchback",185,Table11[[#This Row],[Vehicle_Type]]="Electric",190,Table11[[#This Row],[Vehicle_Type]]="Truck",150)</f>
        <v>185</v>
      </c>
      <c r="G367">
        <f t="shared" ca="1" si="5"/>
        <v>21</v>
      </c>
      <c r="H367" s="82">
        <f>Table11[[#This Row],[Daily_Production]]-Table11[[#This Row],[Forecasted_Units]]</f>
        <v>85.497535286141158</v>
      </c>
      <c r="I367" cm="1">
        <f t="array" ref="I367">_xlfn.IFS(Table11[[#This Row],[Vehicle_Type]]="SUV",5,Table11[[#This Row],[Vehicle_Type]]="Sedan",7,Table11[[#This Row],[Vehicle_Type]]="Hatchback",10,Table11[[#This Row],[Vehicle_Type]]="Electric",11,Table11[[#This Row],[Vehicle_Type]]="Truck",13)</f>
        <v>10</v>
      </c>
      <c r="J367">
        <f ca="1">Table11[[#This Row],[Daily_Production]]*Table11[[#This Row],[Working_Days]]</f>
        <v>3885</v>
      </c>
      <c r="K367" s="81">
        <f>Table11[[#This Row],[Forecasted_Units]]*0.1</f>
        <v>9.9502464713858849</v>
      </c>
      <c r="L367" s="82">
        <f>Table11[[#This Row],[Adjusted_Forecast]]+Table11[[#This Row],[Safety_Stock]]-Table11[[#This Row],[Inventory_On_Hand]]</f>
        <v>23.955175899103565</v>
      </c>
      <c r="M367" s="82">
        <f ca="1">MIN(Table11[[#This Row],[Production_Needed]],Table11[[#This Row],[Production_Capacity]])</f>
        <v>23.955175899103565</v>
      </c>
      <c r="N367" s="82">
        <f ca="1">MAX(Table11[[#This Row],[Production_Needed]]-Table11[[#This Row],[Planned_Production]],0)</f>
        <v>0</v>
      </c>
      <c r="O367" s="82">
        <f ca="1">Table11[[#This Row],[Inventory_On_Hand]]+Table11[[#This Row],[Planned_Production]]-Table11[[#This Row],[Forecasted_Units]]</f>
        <v>9.9502464713858814</v>
      </c>
      <c r="P367" cm="1">
        <f t="array" ref="P367">_xlfn.XLOOKUP(Table11[[#This Row],[Date]] &amp; Table11[[#This Row],[Vehicle_Type]], Table12[Date] &amp; Table12[Vehicle_Type],Table12[Feedback_Adjustment], 0)</f>
        <v>0</v>
      </c>
      <c r="Q367" s="82">
        <f>Table11[[#This Row],[Forecasted_Units]]*(1+Table11[[#This Row],[Adjustment_Percentage]])</f>
        <v>99.502464713858842</v>
      </c>
      <c r="R367" s="82"/>
    </row>
    <row r="368" spans="1:18">
      <c r="A368" s="53">
        <v>52985</v>
      </c>
      <c r="B368" s="14" t="s">
        <v>10</v>
      </c>
      <c r="C368" s="15" t="str">
        <f>TEXT(Table11[[#This Row],[Date]],"mmmm")</f>
        <v>January</v>
      </c>
      <c r="D368" s="14">
        <v>88</v>
      </c>
      <c r="E368" s="82">
        <f>_xlfn.FORECAST.LINEAR(Table11[[#This Row],[Date]],Table11[Units_Sold],Table11[Date])</f>
        <v>99.50362891051563</v>
      </c>
      <c r="F368" cm="1">
        <f t="array" ref="F368">_xlfn.IFS(Table11[[#This Row],[Vehicle_Type]]="SUV",250,Table11[[#This Row],[Vehicle_Type]]="Sedan",200,Table11[[#This Row],[Vehicle_Type]]="Hatchback",185,Table11[[#This Row],[Vehicle_Type]]="Electric",190,Table11[[#This Row],[Vehicle_Type]]="Truck",150)</f>
        <v>200</v>
      </c>
      <c r="G368">
        <f t="shared" ca="1" si="5"/>
        <v>20</v>
      </c>
      <c r="H368" s="82">
        <f>Table11[[#This Row],[Daily_Production]]-Table11[[#This Row],[Forecasted_Units]]</f>
        <v>100.49637108948437</v>
      </c>
      <c r="I368" cm="1">
        <f t="array" ref="I368">_xlfn.IFS(Table11[[#This Row],[Vehicle_Type]]="SUV",5,Table11[[#This Row],[Vehicle_Type]]="Sedan",7,Table11[[#This Row],[Vehicle_Type]]="Hatchback",10,Table11[[#This Row],[Vehicle_Type]]="Electric",11,Table11[[#This Row],[Vehicle_Type]]="Truck",13)</f>
        <v>7</v>
      </c>
      <c r="J368">
        <f ca="1">Table11[[#This Row],[Daily_Production]]*Table11[[#This Row],[Working_Days]]</f>
        <v>4000</v>
      </c>
      <c r="K368" s="81">
        <f>Table11[[#This Row],[Forecasted_Units]]*0.1</f>
        <v>9.9503628910515634</v>
      </c>
      <c r="L368" s="82">
        <f>Table11[[#This Row],[Adjusted_Forecast]]+Table11[[#This Row],[Safety_Stock]]-Table11[[#This Row],[Inventory_On_Hand]]</f>
        <v>8.9576207120828286</v>
      </c>
      <c r="M368" s="82">
        <f ca="1">MIN(Table11[[#This Row],[Production_Needed]],Table11[[#This Row],[Production_Capacity]])</f>
        <v>8.9576207120828286</v>
      </c>
      <c r="N368" s="82">
        <f ca="1">MAX(Table11[[#This Row],[Production_Needed]]-Table11[[#This Row],[Planned_Production]],0)</f>
        <v>0</v>
      </c>
      <c r="O368" s="82">
        <f ca="1">Table11[[#This Row],[Inventory_On_Hand]]+Table11[[#This Row],[Planned_Production]]-Table11[[#This Row],[Forecasted_Units]]</f>
        <v>9.9503628910515687</v>
      </c>
      <c r="P368" cm="1">
        <f t="array" ref="P368">_xlfn.XLOOKUP(Table11[[#This Row],[Date]] &amp; Table11[[#This Row],[Vehicle_Type]], Table12[Date] &amp; Table12[Vehicle_Type],Table12[Feedback_Adjustment], 0)</f>
        <v>0</v>
      </c>
      <c r="Q368" s="82">
        <f>Table11[[#This Row],[Forecasted_Units]]*(1+Table11[[#This Row],[Adjustment_Percentage]])</f>
        <v>99.50362891051563</v>
      </c>
      <c r="R368" s="82"/>
    </row>
    <row r="369" spans="1:18">
      <c r="A369" s="54">
        <v>53015</v>
      </c>
      <c r="B369" s="15" t="s">
        <v>10</v>
      </c>
      <c r="C369" s="15" t="str">
        <f>TEXT(Table11[[#This Row],[Date]],"mmmm")</f>
        <v>February</v>
      </c>
      <c r="D369" s="15">
        <v>100</v>
      </c>
      <c r="E369" s="82">
        <f>_xlfn.FORECAST.LINEAR(Table11[[#This Row],[Date]],Table11[Units_Sold],Table11[Date])</f>
        <v>99.504793107172418</v>
      </c>
      <c r="F369" cm="1">
        <f t="array" ref="F369">_xlfn.IFS(Table11[[#This Row],[Vehicle_Type]]="SUV",250,Table11[[#This Row],[Vehicle_Type]]="Sedan",200,Table11[[#This Row],[Vehicle_Type]]="Hatchback",185,Table11[[#This Row],[Vehicle_Type]]="Electric",190,Table11[[#This Row],[Vehicle_Type]]="Truck",150)</f>
        <v>200</v>
      </c>
      <c r="G369">
        <f t="shared" ca="1" si="5"/>
        <v>22</v>
      </c>
      <c r="H369" s="82">
        <f>Table11[[#This Row],[Daily_Production]]-Table11[[#This Row],[Forecasted_Units]]</f>
        <v>100.49520689282758</v>
      </c>
      <c r="I369" cm="1">
        <f t="array" ref="I369">_xlfn.IFS(Table11[[#This Row],[Vehicle_Type]]="SUV",5,Table11[[#This Row],[Vehicle_Type]]="Sedan",7,Table11[[#This Row],[Vehicle_Type]]="Hatchback",10,Table11[[#This Row],[Vehicle_Type]]="Electric",11,Table11[[#This Row],[Vehicle_Type]]="Truck",13)</f>
        <v>7</v>
      </c>
      <c r="J369">
        <f ca="1">Table11[[#This Row],[Daily_Production]]*Table11[[#This Row],[Working_Days]]</f>
        <v>4400</v>
      </c>
      <c r="K369" s="81">
        <f>Table11[[#This Row],[Forecasted_Units]]*0.1</f>
        <v>9.9504793107172418</v>
      </c>
      <c r="L369" s="82">
        <f>Table11[[#This Row],[Adjusted_Forecast]]+Table11[[#This Row],[Safety_Stock]]-Table11[[#This Row],[Inventory_On_Hand]]</f>
        <v>8.9600655250620775</v>
      </c>
      <c r="M369" s="82">
        <f ca="1">MIN(Table11[[#This Row],[Production_Needed]],Table11[[#This Row],[Production_Capacity]])</f>
        <v>8.9600655250620775</v>
      </c>
      <c r="N369" s="82">
        <f ca="1">MAX(Table11[[#This Row],[Production_Needed]]-Table11[[#This Row],[Planned_Production]],0)</f>
        <v>0</v>
      </c>
      <c r="O369" s="82">
        <f ca="1">Table11[[#This Row],[Inventory_On_Hand]]+Table11[[#This Row],[Planned_Production]]-Table11[[#This Row],[Forecasted_Units]]</f>
        <v>9.9504793107172418</v>
      </c>
      <c r="P369" cm="1">
        <f t="array" ref="P369">_xlfn.XLOOKUP(Table11[[#This Row],[Date]] &amp; Table11[[#This Row],[Vehicle_Type]], Table12[Date] &amp; Table12[Vehicle_Type],Table12[Feedback_Adjustment], 0)</f>
        <v>0</v>
      </c>
      <c r="Q369" s="82">
        <f>Table11[[#This Row],[Forecasted_Units]]*(1+Table11[[#This Row],[Adjustment_Percentage]])</f>
        <v>99.504793107172418</v>
      </c>
      <c r="R369" s="82"/>
    </row>
    <row r="370" spans="1:18">
      <c r="A370" s="53">
        <v>53045</v>
      </c>
      <c r="B370" s="14" t="s">
        <v>11</v>
      </c>
      <c r="C370" s="15" t="str">
        <f>TEXT(Table11[[#This Row],[Date]],"mmmm")</f>
        <v>March</v>
      </c>
      <c r="D370" s="14">
        <v>104</v>
      </c>
      <c r="E370" s="82">
        <f>_xlfn.FORECAST.LINEAR(Table11[[#This Row],[Date]],Table11[Units_Sold],Table11[Date])</f>
        <v>99.505957303829206</v>
      </c>
      <c r="F370" cm="1">
        <f t="array" ref="F370">_xlfn.IFS(Table11[[#This Row],[Vehicle_Type]]="SUV",250,Table11[[#This Row],[Vehicle_Type]]="Sedan",200,Table11[[#This Row],[Vehicle_Type]]="Hatchback",185,Table11[[#This Row],[Vehicle_Type]]="Electric",190,Table11[[#This Row],[Vehicle_Type]]="Truck",150)</f>
        <v>185</v>
      </c>
      <c r="G370">
        <f t="shared" ca="1" si="5"/>
        <v>24</v>
      </c>
      <c r="H370" s="82">
        <f>Table11[[#This Row],[Daily_Production]]-Table11[[#This Row],[Forecasted_Units]]</f>
        <v>85.494042696170794</v>
      </c>
      <c r="I370" cm="1">
        <f t="array" ref="I370">_xlfn.IFS(Table11[[#This Row],[Vehicle_Type]]="SUV",5,Table11[[#This Row],[Vehicle_Type]]="Sedan",7,Table11[[#This Row],[Vehicle_Type]]="Hatchback",10,Table11[[#This Row],[Vehicle_Type]]="Electric",11,Table11[[#This Row],[Vehicle_Type]]="Truck",13)</f>
        <v>10</v>
      </c>
      <c r="J370">
        <f ca="1">Table11[[#This Row],[Daily_Production]]*Table11[[#This Row],[Working_Days]]</f>
        <v>4440</v>
      </c>
      <c r="K370" s="81">
        <f>Table11[[#This Row],[Forecasted_Units]]*0.1</f>
        <v>9.950595730382922</v>
      </c>
      <c r="L370" s="82">
        <f>Table11[[#This Row],[Adjusted_Forecast]]+Table11[[#This Row],[Safety_Stock]]-Table11[[#This Row],[Inventory_On_Hand]]</f>
        <v>23.962510338041341</v>
      </c>
      <c r="M370" s="82">
        <f ca="1">MIN(Table11[[#This Row],[Production_Needed]],Table11[[#This Row],[Production_Capacity]])</f>
        <v>23.962510338041341</v>
      </c>
      <c r="N370" s="82">
        <f ca="1">MAX(Table11[[#This Row],[Production_Needed]]-Table11[[#This Row],[Planned_Production]],0)</f>
        <v>0</v>
      </c>
      <c r="O370" s="82">
        <f ca="1">Table11[[#This Row],[Inventory_On_Hand]]+Table11[[#This Row],[Planned_Production]]-Table11[[#This Row],[Forecasted_Units]]</f>
        <v>9.9505957303829291</v>
      </c>
      <c r="P370" cm="1">
        <f t="array" ref="P370">_xlfn.XLOOKUP(Table11[[#This Row],[Date]] &amp; Table11[[#This Row],[Vehicle_Type]], Table12[Date] &amp; Table12[Vehicle_Type],Table12[Feedback_Adjustment], 0)</f>
        <v>0</v>
      </c>
      <c r="Q370" s="82">
        <f>Table11[[#This Row],[Forecasted_Units]]*(1+Table11[[#This Row],[Adjustment_Percentage]])</f>
        <v>99.505957303829206</v>
      </c>
      <c r="R370" s="82"/>
    </row>
    <row r="371" spans="1:18">
      <c r="A371" s="54">
        <v>53075</v>
      </c>
      <c r="B371" s="15" t="s">
        <v>12</v>
      </c>
      <c r="C371" s="15" t="str">
        <f>TEXT(Table11[[#This Row],[Date]],"mmmm")</f>
        <v>April</v>
      </c>
      <c r="D371" s="15">
        <v>106</v>
      </c>
      <c r="E371" s="82">
        <f>_xlfn.FORECAST.LINEAR(Table11[[#This Row],[Date]],Table11[Units_Sold],Table11[Date])</f>
        <v>99.507121500485994</v>
      </c>
      <c r="F371" cm="1">
        <f t="array" ref="F371">_xlfn.IFS(Table11[[#This Row],[Vehicle_Type]]="SUV",250,Table11[[#This Row],[Vehicle_Type]]="Sedan",200,Table11[[#This Row],[Vehicle_Type]]="Hatchback",185,Table11[[#This Row],[Vehicle_Type]]="Electric",190,Table11[[#This Row],[Vehicle_Type]]="Truck",150)</f>
        <v>250</v>
      </c>
      <c r="G371">
        <f t="shared" ca="1" si="5"/>
        <v>22</v>
      </c>
      <c r="H371" s="82">
        <f>Table11[[#This Row],[Daily_Production]]-Table11[[#This Row],[Forecasted_Units]]</f>
        <v>150.49287849951401</v>
      </c>
      <c r="I371" cm="1">
        <f t="array" ref="I371">_xlfn.IFS(Table11[[#This Row],[Vehicle_Type]]="SUV",5,Table11[[#This Row],[Vehicle_Type]]="Sedan",7,Table11[[#This Row],[Vehicle_Type]]="Hatchback",10,Table11[[#This Row],[Vehicle_Type]]="Electric",11,Table11[[#This Row],[Vehicle_Type]]="Truck",13)</f>
        <v>5</v>
      </c>
      <c r="J371">
        <f ca="1">Table11[[#This Row],[Daily_Production]]*Table11[[#This Row],[Working_Days]]</f>
        <v>5500</v>
      </c>
      <c r="K371" s="81">
        <f>Table11[[#This Row],[Forecasted_Units]]*0.1</f>
        <v>9.9507121500486004</v>
      </c>
      <c r="L371" s="82">
        <f>Table11[[#This Row],[Adjusted_Forecast]]+Table11[[#This Row],[Safety_Stock]]-Table11[[#This Row],[Inventory_On_Hand]]</f>
        <v>-41.03504484897941</v>
      </c>
      <c r="M371" s="82">
        <f ca="1">MIN(Table11[[#This Row],[Production_Needed]],Table11[[#This Row],[Production_Capacity]])</f>
        <v>-41.03504484897941</v>
      </c>
      <c r="N371" s="82">
        <f ca="1">MAX(Table11[[#This Row],[Production_Needed]]-Table11[[#This Row],[Planned_Production]],0)</f>
        <v>0</v>
      </c>
      <c r="O371" s="82">
        <f ca="1">Table11[[#This Row],[Inventory_On_Hand]]+Table11[[#This Row],[Planned_Production]]-Table11[[#This Row],[Forecasted_Units]]</f>
        <v>9.9507121500486022</v>
      </c>
      <c r="P371" cm="1">
        <f t="array" ref="P371">_xlfn.XLOOKUP(Table11[[#This Row],[Date]] &amp; Table11[[#This Row],[Vehicle_Type]], Table12[Date] &amp; Table12[Vehicle_Type],Table12[Feedback_Adjustment], 0)</f>
        <v>0</v>
      </c>
      <c r="Q371" s="82">
        <f>Table11[[#This Row],[Forecasted_Units]]*(1+Table11[[#This Row],[Adjustment_Percentage]])</f>
        <v>99.507121500485994</v>
      </c>
      <c r="R371" s="82"/>
    </row>
    <row r="372" spans="1:18">
      <c r="A372" s="53">
        <v>53105</v>
      </c>
      <c r="B372" s="14" t="s">
        <v>11</v>
      </c>
      <c r="C372" s="15" t="str">
        <f>TEXT(Table11[[#This Row],[Date]],"mmmm")</f>
        <v>May</v>
      </c>
      <c r="D372" s="14">
        <v>91</v>
      </c>
      <c r="E372" s="82">
        <f>_xlfn.FORECAST.LINEAR(Table11[[#This Row],[Date]],Table11[Units_Sold],Table11[Date])</f>
        <v>99.508285697142782</v>
      </c>
      <c r="F372" cm="1">
        <f t="array" ref="F372">_xlfn.IFS(Table11[[#This Row],[Vehicle_Type]]="SUV",250,Table11[[#This Row],[Vehicle_Type]]="Sedan",200,Table11[[#This Row],[Vehicle_Type]]="Hatchback",185,Table11[[#This Row],[Vehicle_Type]]="Electric",190,Table11[[#This Row],[Vehicle_Type]]="Truck",150)</f>
        <v>185</v>
      </c>
      <c r="G372">
        <f t="shared" ca="1" si="5"/>
        <v>24</v>
      </c>
      <c r="H372" s="82">
        <f>Table11[[#This Row],[Daily_Production]]-Table11[[#This Row],[Forecasted_Units]]</f>
        <v>85.491714302857218</v>
      </c>
      <c r="I372" cm="1">
        <f t="array" ref="I372">_xlfn.IFS(Table11[[#This Row],[Vehicle_Type]]="SUV",5,Table11[[#This Row],[Vehicle_Type]]="Sedan",7,Table11[[#This Row],[Vehicle_Type]]="Hatchback",10,Table11[[#This Row],[Vehicle_Type]]="Electric",11,Table11[[#This Row],[Vehicle_Type]]="Truck",13)</f>
        <v>10</v>
      </c>
      <c r="J372">
        <f ca="1">Table11[[#This Row],[Daily_Production]]*Table11[[#This Row],[Working_Days]]</f>
        <v>4440</v>
      </c>
      <c r="K372" s="81">
        <f>Table11[[#This Row],[Forecasted_Units]]*0.1</f>
        <v>9.9508285697142789</v>
      </c>
      <c r="L372" s="82">
        <f>Table11[[#This Row],[Adjusted_Forecast]]+Table11[[#This Row],[Safety_Stock]]-Table11[[#This Row],[Inventory_On_Hand]]</f>
        <v>23.967399963999839</v>
      </c>
      <c r="M372" s="82">
        <f ca="1">MIN(Table11[[#This Row],[Production_Needed]],Table11[[#This Row],[Production_Capacity]])</f>
        <v>23.967399963999839</v>
      </c>
      <c r="N372" s="82">
        <f ca="1">MAX(Table11[[#This Row],[Production_Needed]]-Table11[[#This Row],[Planned_Production]],0)</f>
        <v>0</v>
      </c>
      <c r="O372" s="82">
        <f ca="1">Table11[[#This Row],[Inventory_On_Hand]]+Table11[[#This Row],[Planned_Production]]-Table11[[#This Row],[Forecasted_Units]]</f>
        <v>9.9508285697142753</v>
      </c>
      <c r="P372" cm="1">
        <f t="array" ref="P372">_xlfn.XLOOKUP(Table11[[#This Row],[Date]] &amp; Table11[[#This Row],[Vehicle_Type]], Table12[Date] &amp; Table12[Vehicle_Type],Table12[Feedback_Adjustment], 0)</f>
        <v>0</v>
      </c>
      <c r="Q372" s="82">
        <f>Table11[[#This Row],[Forecasted_Units]]*(1+Table11[[#This Row],[Adjustment_Percentage]])</f>
        <v>99.508285697142782</v>
      </c>
      <c r="R372" s="82"/>
    </row>
    <row r="373" spans="1:18">
      <c r="A373" s="54">
        <v>53135</v>
      </c>
      <c r="B373" s="15" t="s">
        <v>12</v>
      </c>
      <c r="C373" s="15" t="str">
        <f>TEXT(Table11[[#This Row],[Date]],"mmmm")</f>
        <v>June</v>
      </c>
      <c r="D373" s="15">
        <v>110</v>
      </c>
      <c r="E373" s="82">
        <f>_xlfn.FORECAST.LINEAR(Table11[[#This Row],[Date]],Table11[Units_Sold],Table11[Date])</f>
        <v>99.50944989379957</v>
      </c>
      <c r="F373" cm="1">
        <f t="array" ref="F373">_xlfn.IFS(Table11[[#This Row],[Vehicle_Type]]="SUV",250,Table11[[#This Row],[Vehicle_Type]]="Sedan",200,Table11[[#This Row],[Vehicle_Type]]="Hatchback",185,Table11[[#This Row],[Vehicle_Type]]="Electric",190,Table11[[#This Row],[Vehicle_Type]]="Truck",150)</f>
        <v>250</v>
      </c>
      <c r="G373">
        <f t="shared" ca="1" si="5"/>
        <v>23</v>
      </c>
      <c r="H373" s="82">
        <f>Table11[[#This Row],[Daily_Production]]-Table11[[#This Row],[Forecasted_Units]]</f>
        <v>150.49055010620043</v>
      </c>
      <c r="I373" cm="1">
        <f t="array" ref="I373">_xlfn.IFS(Table11[[#This Row],[Vehicle_Type]]="SUV",5,Table11[[#This Row],[Vehicle_Type]]="Sedan",7,Table11[[#This Row],[Vehicle_Type]]="Hatchback",10,Table11[[#This Row],[Vehicle_Type]]="Electric",11,Table11[[#This Row],[Vehicle_Type]]="Truck",13)</f>
        <v>5</v>
      </c>
      <c r="J373">
        <f ca="1">Table11[[#This Row],[Daily_Production]]*Table11[[#This Row],[Working_Days]]</f>
        <v>5750</v>
      </c>
      <c r="K373" s="81">
        <f>Table11[[#This Row],[Forecasted_Units]]*0.1</f>
        <v>9.9509449893799573</v>
      </c>
      <c r="L373" s="82">
        <f>Table11[[#This Row],[Adjusted_Forecast]]+Table11[[#This Row],[Safety_Stock]]-Table11[[#This Row],[Inventory_On_Hand]]</f>
        <v>-41.030155223020898</v>
      </c>
      <c r="M373" s="82">
        <f ca="1">MIN(Table11[[#This Row],[Production_Needed]],Table11[[#This Row],[Production_Capacity]])</f>
        <v>-41.030155223020898</v>
      </c>
      <c r="N373" s="82">
        <f ca="1">MAX(Table11[[#This Row],[Production_Needed]]-Table11[[#This Row],[Planned_Production]],0)</f>
        <v>0</v>
      </c>
      <c r="O373" s="82">
        <f ca="1">Table11[[#This Row],[Inventory_On_Hand]]+Table11[[#This Row],[Planned_Production]]-Table11[[#This Row],[Forecasted_Units]]</f>
        <v>9.9509449893799626</v>
      </c>
      <c r="P373" cm="1">
        <f t="array" ref="P373">_xlfn.XLOOKUP(Table11[[#This Row],[Date]] &amp; Table11[[#This Row],[Vehicle_Type]], Table12[Date] &amp; Table12[Vehicle_Type],Table12[Feedback_Adjustment], 0)</f>
        <v>0</v>
      </c>
      <c r="Q373" s="82">
        <f>Table11[[#This Row],[Forecasted_Units]]*(1+Table11[[#This Row],[Adjustment_Percentage]])</f>
        <v>99.50944989379957</v>
      </c>
      <c r="R373" s="82"/>
    </row>
    <row r="374" spans="1:18">
      <c r="A374" s="53">
        <v>53165</v>
      </c>
      <c r="B374" s="14" t="s">
        <v>14</v>
      </c>
      <c r="C374" s="15" t="str">
        <f>TEXT(Table11[[#This Row],[Date]],"mmmm")</f>
        <v>July</v>
      </c>
      <c r="D374" s="14">
        <v>104</v>
      </c>
      <c r="E374" s="82">
        <f>_xlfn.FORECAST.LINEAR(Table11[[#This Row],[Date]],Table11[Units_Sold],Table11[Date])</f>
        <v>99.510614090456357</v>
      </c>
      <c r="F374" cm="1">
        <f t="array" ref="F374">_xlfn.IFS(Table11[[#This Row],[Vehicle_Type]]="SUV",250,Table11[[#This Row],[Vehicle_Type]]="Sedan",200,Table11[[#This Row],[Vehicle_Type]]="Hatchback",185,Table11[[#This Row],[Vehicle_Type]]="Electric",190,Table11[[#This Row],[Vehicle_Type]]="Truck",150)</f>
        <v>150</v>
      </c>
      <c r="G374">
        <f t="shared" ca="1" si="5"/>
        <v>25</v>
      </c>
      <c r="H374" s="82">
        <f>Table11[[#This Row],[Daily_Production]]-Table11[[#This Row],[Forecasted_Units]]</f>
        <v>50.489385909543643</v>
      </c>
      <c r="I374" cm="1">
        <f t="array" ref="I374">_xlfn.IFS(Table11[[#This Row],[Vehicle_Type]]="SUV",5,Table11[[#This Row],[Vehicle_Type]]="Sedan",7,Table11[[#This Row],[Vehicle_Type]]="Hatchback",10,Table11[[#This Row],[Vehicle_Type]]="Electric",11,Table11[[#This Row],[Vehicle_Type]]="Truck",13)</f>
        <v>13</v>
      </c>
      <c r="J374">
        <f ca="1">Table11[[#This Row],[Daily_Production]]*Table11[[#This Row],[Working_Days]]</f>
        <v>3750</v>
      </c>
      <c r="K374" s="81">
        <f>Table11[[#This Row],[Forecasted_Units]]*0.1</f>
        <v>9.9510614090456357</v>
      </c>
      <c r="L374" s="82">
        <f>Table11[[#This Row],[Adjusted_Forecast]]+Table11[[#This Row],[Safety_Stock]]-Table11[[#This Row],[Inventory_On_Hand]]</f>
        <v>58.972289589958351</v>
      </c>
      <c r="M374" s="82">
        <f ca="1">MIN(Table11[[#This Row],[Production_Needed]],Table11[[#This Row],[Production_Capacity]])</f>
        <v>58.972289589958351</v>
      </c>
      <c r="N374" s="82">
        <f ca="1">MAX(Table11[[#This Row],[Production_Needed]]-Table11[[#This Row],[Planned_Production]],0)</f>
        <v>0</v>
      </c>
      <c r="O374" s="82">
        <f ca="1">Table11[[#This Row],[Inventory_On_Hand]]+Table11[[#This Row],[Planned_Production]]-Table11[[#This Row],[Forecasted_Units]]</f>
        <v>9.9510614090456357</v>
      </c>
      <c r="P374" cm="1">
        <f t="array" ref="P374">_xlfn.XLOOKUP(Table11[[#This Row],[Date]] &amp; Table11[[#This Row],[Vehicle_Type]], Table12[Date] &amp; Table12[Vehicle_Type],Table12[Feedback_Adjustment], 0)</f>
        <v>0</v>
      </c>
      <c r="Q374" s="82">
        <f>Table11[[#This Row],[Forecasted_Units]]*(1+Table11[[#This Row],[Adjustment_Percentage]])</f>
        <v>99.510614090456357</v>
      </c>
      <c r="R374" s="82"/>
    </row>
    <row r="375" spans="1:18">
      <c r="A375" s="54">
        <v>53195</v>
      </c>
      <c r="B375" s="15" t="s">
        <v>13</v>
      </c>
      <c r="C375" s="15" t="str">
        <f>TEXT(Table11[[#This Row],[Date]],"mmmm")</f>
        <v>August</v>
      </c>
      <c r="D375" s="15">
        <v>85</v>
      </c>
      <c r="E375" s="82">
        <f>_xlfn.FORECAST.LINEAR(Table11[[#This Row],[Date]],Table11[Units_Sold],Table11[Date])</f>
        <v>99.511778287113145</v>
      </c>
      <c r="F375" cm="1">
        <f t="array" ref="F375">_xlfn.IFS(Table11[[#This Row],[Vehicle_Type]]="SUV",250,Table11[[#This Row],[Vehicle_Type]]="Sedan",200,Table11[[#This Row],[Vehicle_Type]]="Hatchback",185,Table11[[#This Row],[Vehicle_Type]]="Electric",190,Table11[[#This Row],[Vehicle_Type]]="Truck",150)</f>
        <v>190</v>
      </c>
      <c r="G375">
        <f t="shared" ca="1" si="5"/>
        <v>22</v>
      </c>
      <c r="H375" s="82">
        <f>Table11[[#This Row],[Daily_Production]]-Table11[[#This Row],[Forecasted_Units]]</f>
        <v>90.488221712886855</v>
      </c>
      <c r="I375" cm="1">
        <f t="array" ref="I375">_xlfn.IFS(Table11[[#This Row],[Vehicle_Type]]="SUV",5,Table11[[#This Row],[Vehicle_Type]]="Sedan",7,Table11[[#This Row],[Vehicle_Type]]="Hatchback",10,Table11[[#This Row],[Vehicle_Type]]="Electric",11,Table11[[#This Row],[Vehicle_Type]]="Truck",13)</f>
        <v>11</v>
      </c>
      <c r="J375">
        <f ca="1">Table11[[#This Row],[Daily_Production]]*Table11[[#This Row],[Working_Days]]</f>
        <v>4180</v>
      </c>
      <c r="K375" s="81">
        <f>Table11[[#This Row],[Forecasted_Units]]*0.1</f>
        <v>9.951177828711316</v>
      </c>
      <c r="L375" s="82">
        <f>Table11[[#This Row],[Adjusted_Forecast]]+Table11[[#This Row],[Safety_Stock]]-Table11[[#This Row],[Inventory_On_Hand]]</f>
        <v>18.974734402937599</v>
      </c>
      <c r="M375" s="82">
        <f ca="1">MIN(Table11[[#This Row],[Production_Needed]],Table11[[#This Row],[Production_Capacity]])</f>
        <v>18.974734402937599</v>
      </c>
      <c r="N375" s="82">
        <f ca="1">MAX(Table11[[#This Row],[Production_Needed]]-Table11[[#This Row],[Planned_Production]],0)</f>
        <v>0</v>
      </c>
      <c r="O375" s="82">
        <f ca="1">Table11[[#This Row],[Inventory_On_Hand]]+Table11[[#This Row],[Planned_Production]]-Table11[[#This Row],[Forecasted_Units]]</f>
        <v>9.9511778287113088</v>
      </c>
      <c r="P375" cm="1">
        <f t="array" ref="P375">_xlfn.XLOOKUP(Table11[[#This Row],[Date]] &amp; Table11[[#This Row],[Vehicle_Type]], Table12[Date] &amp; Table12[Vehicle_Type],Table12[Feedback_Adjustment], 0)</f>
        <v>0</v>
      </c>
      <c r="Q375" s="82">
        <f>Table11[[#This Row],[Forecasted_Units]]*(1+Table11[[#This Row],[Adjustment_Percentage]])</f>
        <v>99.511778287113145</v>
      </c>
      <c r="R375" s="82"/>
    </row>
    <row r="376" spans="1:18">
      <c r="A376" s="53">
        <v>53225</v>
      </c>
      <c r="B376" s="14" t="s">
        <v>14</v>
      </c>
      <c r="C376" s="15" t="str">
        <f>TEXT(Table11[[#This Row],[Date]],"mmmm")</f>
        <v>September</v>
      </c>
      <c r="D376" s="14">
        <v>107</v>
      </c>
      <c r="E376" s="82">
        <f>_xlfn.FORECAST.LINEAR(Table11[[#This Row],[Date]],Table11[Units_Sold],Table11[Date])</f>
        <v>99.512942483769933</v>
      </c>
      <c r="F376" cm="1">
        <f t="array" ref="F376">_xlfn.IFS(Table11[[#This Row],[Vehicle_Type]]="SUV",250,Table11[[#This Row],[Vehicle_Type]]="Sedan",200,Table11[[#This Row],[Vehicle_Type]]="Hatchback",185,Table11[[#This Row],[Vehicle_Type]]="Electric",190,Table11[[#This Row],[Vehicle_Type]]="Truck",150)</f>
        <v>150</v>
      </c>
      <c r="G376">
        <f t="shared" ca="1" si="5"/>
        <v>22</v>
      </c>
      <c r="H376" s="82">
        <f>Table11[[#This Row],[Daily_Production]]-Table11[[#This Row],[Forecasted_Units]]</f>
        <v>50.487057516230067</v>
      </c>
      <c r="I376" cm="1">
        <f t="array" ref="I376">_xlfn.IFS(Table11[[#This Row],[Vehicle_Type]]="SUV",5,Table11[[#This Row],[Vehicle_Type]]="Sedan",7,Table11[[#This Row],[Vehicle_Type]]="Hatchback",10,Table11[[#This Row],[Vehicle_Type]]="Electric",11,Table11[[#This Row],[Vehicle_Type]]="Truck",13)</f>
        <v>13</v>
      </c>
      <c r="J376">
        <f ca="1">Table11[[#This Row],[Daily_Production]]*Table11[[#This Row],[Working_Days]]</f>
        <v>3300</v>
      </c>
      <c r="K376" s="81">
        <f>Table11[[#This Row],[Forecasted_Units]]*0.1</f>
        <v>9.9512942483769944</v>
      </c>
      <c r="L376" s="82">
        <f>Table11[[#This Row],[Adjusted_Forecast]]+Table11[[#This Row],[Safety_Stock]]-Table11[[#This Row],[Inventory_On_Hand]]</f>
        <v>58.977179215916863</v>
      </c>
      <c r="M376" s="82">
        <f ca="1">MIN(Table11[[#This Row],[Production_Needed]],Table11[[#This Row],[Production_Capacity]])</f>
        <v>58.977179215916863</v>
      </c>
      <c r="N376" s="82">
        <f ca="1">MAX(Table11[[#This Row],[Production_Needed]]-Table11[[#This Row],[Planned_Production]],0)</f>
        <v>0</v>
      </c>
      <c r="O376" s="82">
        <f ca="1">Table11[[#This Row],[Inventory_On_Hand]]+Table11[[#This Row],[Planned_Production]]-Table11[[#This Row],[Forecasted_Units]]</f>
        <v>9.9512942483769962</v>
      </c>
      <c r="P376" cm="1">
        <f t="array" ref="P376">_xlfn.XLOOKUP(Table11[[#This Row],[Date]] &amp; Table11[[#This Row],[Vehicle_Type]], Table12[Date] &amp; Table12[Vehicle_Type],Table12[Feedback_Adjustment], 0)</f>
        <v>0</v>
      </c>
      <c r="Q376" s="82">
        <f>Table11[[#This Row],[Forecasted_Units]]*(1+Table11[[#This Row],[Adjustment_Percentage]])</f>
        <v>99.512942483769933</v>
      </c>
      <c r="R376" s="82"/>
    </row>
    <row r="377" spans="1:18">
      <c r="A377" s="54">
        <v>53255</v>
      </c>
      <c r="B377" s="15" t="s">
        <v>13</v>
      </c>
      <c r="C377" s="15" t="str">
        <f>TEXT(Table11[[#This Row],[Date]],"mmmm")</f>
        <v>October</v>
      </c>
      <c r="D377" s="15">
        <v>111</v>
      </c>
      <c r="E377" s="82">
        <f>_xlfn.FORECAST.LINEAR(Table11[[#This Row],[Date]],Table11[Units_Sold],Table11[Date])</f>
        <v>99.514106680426721</v>
      </c>
      <c r="F377" cm="1">
        <f t="array" ref="F377">_xlfn.IFS(Table11[[#This Row],[Vehicle_Type]]="SUV",250,Table11[[#This Row],[Vehicle_Type]]="Sedan",200,Table11[[#This Row],[Vehicle_Type]]="Hatchback",185,Table11[[#This Row],[Vehicle_Type]]="Electric",190,Table11[[#This Row],[Vehicle_Type]]="Truck",150)</f>
        <v>190</v>
      </c>
      <c r="G377">
        <f t="shared" ca="1" si="5"/>
        <v>20</v>
      </c>
      <c r="H377" s="82">
        <f>Table11[[#This Row],[Daily_Production]]-Table11[[#This Row],[Forecasted_Units]]</f>
        <v>90.485893319573279</v>
      </c>
      <c r="I377" cm="1">
        <f t="array" ref="I377">_xlfn.IFS(Table11[[#This Row],[Vehicle_Type]]="SUV",5,Table11[[#This Row],[Vehicle_Type]]="Sedan",7,Table11[[#This Row],[Vehicle_Type]]="Hatchback",10,Table11[[#This Row],[Vehicle_Type]]="Electric",11,Table11[[#This Row],[Vehicle_Type]]="Truck",13)</f>
        <v>11</v>
      </c>
      <c r="J377">
        <f ca="1">Table11[[#This Row],[Daily_Production]]*Table11[[#This Row],[Working_Days]]</f>
        <v>3800</v>
      </c>
      <c r="K377" s="81">
        <f>Table11[[#This Row],[Forecasted_Units]]*0.1</f>
        <v>9.9514106680426728</v>
      </c>
      <c r="L377" s="82">
        <f>Table11[[#This Row],[Adjusted_Forecast]]+Table11[[#This Row],[Safety_Stock]]-Table11[[#This Row],[Inventory_On_Hand]]</f>
        <v>18.979624028896112</v>
      </c>
      <c r="M377" s="82">
        <f ca="1">MIN(Table11[[#This Row],[Production_Needed]],Table11[[#This Row],[Production_Capacity]])</f>
        <v>18.979624028896112</v>
      </c>
      <c r="N377" s="82">
        <f ca="1">MAX(Table11[[#This Row],[Production_Needed]]-Table11[[#This Row],[Planned_Production]],0)</f>
        <v>0</v>
      </c>
      <c r="O377" s="82">
        <f ca="1">Table11[[#This Row],[Inventory_On_Hand]]+Table11[[#This Row],[Planned_Production]]-Table11[[#This Row],[Forecasted_Units]]</f>
        <v>9.9514106680426693</v>
      </c>
      <c r="P377" cm="1">
        <f t="array" ref="P377">_xlfn.XLOOKUP(Table11[[#This Row],[Date]] &amp; Table11[[#This Row],[Vehicle_Type]], Table12[Date] &amp; Table12[Vehicle_Type],Table12[Feedback_Adjustment], 0)</f>
        <v>0</v>
      </c>
      <c r="Q377" s="82">
        <f>Table11[[#This Row],[Forecasted_Units]]*(1+Table11[[#This Row],[Adjustment_Percentage]])</f>
        <v>99.514106680426721</v>
      </c>
      <c r="R377" s="82"/>
    </row>
    <row r="378" spans="1:18">
      <c r="A378" s="53">
        <v>53285</v>
      </c>
      <c r="B378" s="14" t="s">
        <v>10</v>
      </c>
      <c r="C378" s="15" t="str">
        <f>TEXT(Table11[[#This Row],[Date]],"mmmm")</f>
        <v>November</v>
      </c>
      <c r="D378" s="14">
        <f>IF(ISBLANK(D331), P332, D331)</f>
        <v>107</v>
      </c>
      <c r="E378" s="82">
        <f>_xlfn.FORECAST.LINEAR(Table11[[#This Row],[Date]],Table11[Units_Sold],Table11[Date])</f>
        <v>99.515270877083509</v>
      </c>
      <c r="F378" cm="1">
        <f t="array" ref="F378">_xlfn.IFS(Table11[[#This Row],[Vehicle_Type]]="SUV",250,Table11[[#This Row],[Vehicle_Type]]="Sedan",200,Table11[[#This Row],[Vehicle_Type]]="Hatchback",185,Table11[[#This Row],[Vehicle_Type]]="Electric",190,Table11[[#This Row],[Vehicle_Type]]="Truck",150)</f>
        <v>200</v>
      </c>
      <c r="G378">
        <f t="shared" ca="1" si="5"/>
        <v>21</v>
      </c>
      <c r="H378" s="82">
        <f>Table11[[#This Row],[Daily_Production]]-Table11[[#This Row],[Forecasted_Units]]</f>
        <v>100.48472912291649</v>
      </c>
      <c r="I378" cm="1">
        <f t="array" ref="I378">_xlfn.IFS(Table11[[#This Row],[Vehicle_Type]]="SUV",5,Table11[[#This Row],[Vehicle_Type]]="Sedan",7,Table11[[#This Row],[Vehicle_Type]]="Hatchback",10,Table11[[#This Row],[Vehicle_Type]]="Electric",11,Table11[[#This Row],[Vehicle_Type]]="Truck",13)</f>
        <v>7</v>
      </c>
      <c r="J378">
        <f ca="1">Table11[[#This Row],[Daily_Production]]*Table11[[#This Row],[Working_Days]]</f>
        <v>4200</v>
      </c>
      <c r="K378" s="81">
        <f>Table11[[#This Row],[Forecasted_Units]]*0.1</f>
        <v>9.9515270877083513</v>
      </c>
      <c r="L378" s="82">
        <f>Table11[[#This Row],[Adjusted_Forecast]]+Table11[[#This Row],[Safety_Stock]]-Table11[[#This Row],[Inventory_On_Hand]]</f>
        <v>8.9820688418753747</v>
      </c>
      <c r="M378" s="82">
        <f ca="1">MIN(Table11[[#This Row],[Production_Needed]],Table11[[#This Row],[Production_Capacity]])</f>
        <v>8.9820688418753747</v>
      </c>
      <c r="N378" s="82">
        <f ca="1">MAX(Table11[[#This Row],[Production_Needed]]-Table11[[#This Row],[Planned_Production]],0)</f>
        <v>0</v>
      </c>
      <c r="O378" s="82">
        <f ca="1">Table11[[#This Row],[Inventory_On_Hand]]+Table11[[#This Row],[Planned_Production]]-Table11[[#This Row],[Forecasted_Units]]</f>
        <v>9.9515270877083566</v>
      </c>
      <c r="P378" cm="1">
        <f t="array" ref="P378">_xlfn.XLOOKUP(Table11[[#This Row],[Date]] &amp; Table11[[#This Row],[Vehicle_Type]], Table12[Date] &amp; Table12[Vehicle_Type],Table12[Feedback_Adjustment], 0)</f>
        <v>0</v>
      </c>
      <c r="Q378" s="82">
        <f>Table11[[#This Row],[Forecasted_Units]]*(1+Table11[[#This Row],[Adjustment_Percentage]])</f>
        <v>99.515270877083509</v>
      </c>
      <c r="R378" s="82"/>
    </row>
    <row r="379" spans="1:18">
      <c r="A379" s="54">
        <v>53315</v>
      </c>
      <c r="B379" s="15" t="s">
        <v>10</v>
      </c>
      <c r="C379" s="15" t="str">
        <f>TEXT(Table11[[#This Row],[Date]],"mmmm")</f>
        <v>December</v>
      </c>
      <c r="D379" s="15">
        <v>94</v>
      </c>
      <c r="E379" s="82">
        <f>_xlfn.FORECAST.LINEAR(Table11[[#This Row],[Date]],Table11[Units_Sold],Table11[Date])</f>
        <v>99.516435073740283</v>
      </c>
      <c r="F379" cm="1">
        <f t="array" ref="F379">_xlfn.IFS(Table11[[#This Row],[Vehicle_Type]]="SUV",250,Table11[[#This Row],[Vehicle_Type]]="Sedan",200,Table11[[#This Row],[Vehicle_Type]]="Hatchback",185,Table11[[#This Row],[Vehicle_Type]]="Electric",190,Table11[[#This Row],[Vehicle_Type]]="Truck",150)</f>
        <v>200</v>
      </c>
      <c r="G379">
        <f t="shared" ca="1" si="5"/>
        <v>20</v>
      </c>
      <c r="H379" s="82">
        <f>Table11[[#This Row],[Daily_Production]]-Table11[[#This Row],[Forecasted_Units]]</f>
        <v>100.48356492625972</v>
      </c>
      <c r="I379" cm="1">
        <f t="array" ref="I379">_xlfn.IFS(Table11[[#This Row],[Vehicle_Type]]="SUV",5,Table11[[#This Row],[Vehicle_Type]]="Sedan",7,Table11[[#This Row],[Vehicle_Type]]="Hatchback",10,Table11[[#This Row],[Vehicle_Type]]="Electric",11,Table11[[#This Row],[Vehicle_Type]]="Truck",13)</f>
        <v>7</v>
      </c>
      <c r="J379">
        <f ca="1">Table11[[#This Row],[Daily_Production]]*Table11[[#This Row],[Working_Days]]</f>
        <v>4000</v>
      </c>
      <c r="K379" s="81">
        <f>Table11[[#This Row],[Forecasted_Units]]*0.1</f>
        <v>9.9516435073740297</v>
      </c>
      <c r="L379" s="82">
        <f>Table11[[#This Row],[Adjusted_Forecast]]+Table11[[#This Row],[Safety_Stock]]-Table11[[#This Row],[Inventory_On_Hand]]</f>
        <v>8.9845136548545952</v>
      </c>
      <c r="M379" s="82">
        <f ca="1">MIN(Table11[[#This Row],[Production_Needed]],Table11[[#This Row],[Production_Capacity]])</f>
        <v>8.9845136548545952</v>
      </c>
      <c r="N379" s="82">
        <f ca="1">MAX(Table11[[#This Row],[Production_Needed]]-Table11[[#This Row],[Planned_Production]],0)</f>
        <v>0</v>
      </c>
      <c r="O379" s="82">
        <f ca="1">Table11[[#This Row],[Inventory_On_Hand]]+Table11[[#This Row],[Planned_Production]]-Table11[[#This Row],[Forecasted_Units]]</f>
        <v>9.9516435073740297</v>
      </c>
      <c r="P379" cm="1">
        <f t="array" ref="P379">_xlfn.XLOOKUP(Table11[[#This Row],[Date]] &amp; Table11[[#This Row],[Vehicle_Type]], Table12[Date] &amp; Table12[Vehicle_Type],Table12[Feedback_Adjustment], 0)</f>
        <v>0</v>
      </c>
      <c r="Q379" s="82">
        <f>Table11[[#This Row],[Forecasted_Units]]*(1+Table11[[#This Row],[Adjustment_Percentage]])</f>
        <v>99.516435073740283</v>
      </c>
      <c r="R379" s="82"/>
    </row>
    <row r="380" spans="1:18">
      <c r="A380" s="53">
        <v>53345</v>
      </c>
      <c r="B380" s="14" t="s">
        <v>10</v>
      </c>
      <c r="C380" s="15" t="str">
        <f>TEXT(Table11[[#This Row],[Date]],"mmmm")</f>
        <v>January</v>
      </c>
      <c r="D380" s="14">
        <v>91</v>
      </c>
      <c r="E380" s="82">
        <f>_xlfn.FORECAST.LINEAR(Table11[[#This Row],[Date]],Table11[Units_Sold],Table11[Date])</f>
        <v>99.517599270397071</v>
      </c>
      <c r="F380" cm="1">
        <f t="array" ref="F380">_xlfn.IFS(Table11[[#This Row],[Vehicle_Type]]="SUV",250,Table11[[#This Row],[Vehicle_Type]]="Sedan",200,Table11[[#This Row],[Vehicle_Type]]="Hatchback",185,Table11[[#This Row],[Vehicle_Type]]="Electric",190,Table11[[#This Row],[Vehicle_Type]]="Truck",150)</f>
        <v>200</v>
      </c>
      <c r="G380">
        <f t="shared" ca="1" si="5"/>
        <v>23</v>
      </c>
      <c r="H380" s="82">
        <f>Table11[[#This Row],[Daily_Production]]-Table11[[#This Row],[Forecasted_Units]]</f>
        <v>100.48240072960293</v>
      </c>
      <c r="I380" cm="1">
        <f t="array" ref="I380">_xlfn.IFS(Table11[[#This Row],[Vehicle_Type]]="SUV",5,Table11[[#This Row],[Vehicle_Type]]="Sedan",7,Table11[[#This Row],[Vehicle_Type]]="Hatchback",10,Table11[[#This Row],[Vehicle_Type]]="Electric",11,Table11[[#This Row],[Vehicle_Type]]="Truck",13)</f>
        <v>7</v>
      </c>
      <c r="J380">
        <f ca="1">Table11[[#This Row],[Daily_Production]]*Table11[[#This Row],[Working_Days]]</f>
        <v>4600</v>
      </c>
      <c r="K380" s="81">
        <f>Table11[[#This Row],[Forecasted_Units]]*0.1</f>
        <v>9.9517599270397081</v>
      </c>
      <c r="L380" s="82">
        <f>Table11[[#This Row],[Adjusted_Forecast]]+Table11[[#This Row],[Safety_Stock]]-Table11[[#This Row],[Inventory_On_Hand]]</f>
        <v>8.9869584678338441</v>
      </c>
      <c r="M380" s="82">
        <f ca="1">MIN(Table11[[#This Row],[Production_Needed]],Table11[[#This Row],[Production_Capacity]])</f>
        <v>8.9869584678338441</v>
      </c>
      <c r="N380" s="82">
        <f ca="1">MAX(Table11[[#This Row],[Production_Needed]]-Table11[[#This Row],[Planned_Production]],0)</f>
        <v>0</v>
      </c>
      <c r="O380" s="82">
        <f ca="1">Table11[[#This Row],[Inventory_On_Hand]]+Table11[[#This Row],[Planned_Production]]-Table11[[#This Row],[Forecasted_Units]]</f>
        <v>9.9517599270397028</v>
      </c>
      <c r="P380" cm="1">
        <f t="array" ref="P380">_xlfn.XLOOKUP(Table11[[#This Row],[Date]] &amp; Table11[[#This Row],[Vehicle_Type]], Table12[Date] &amp; Table12[Vehicle_Type],Table12[Feedback_Adjustment], 0)</f>
        <v>0</v>
      </c>
      <c r="Q380" s="82">
        <f>Table11[[#This Row],[Forecasted_Units]]*(1+Table11[[#This Row],[Adjustment_Percentage]])</f>
        <v>99.517599270397071</v>
      </c>
      <c r="R380" s="82"/>
    </row>
    <row r="381" spans="1:18">
      <c r="A381" s="54">
        <v>53375</v>
      </c>
      <c r="B381" s="15" t="s">
        <v>12</v>
      </c>
      <c r="C381" s="15" t="str">
        <f>TEXT(Table11[[#This Row],[Date]],"mmmm")</f>
        <v>February</v>
      </c>
      <c r="D381" s="15">
        <v>89</v>
      </c>
      <c r="E381" s="82">
        <f>_xlfn.FORECAST.LINEAR(Table11[[#This Row],[Date]],Table11[Units_Sold],Table11[Date])</f>
        <v>99.518763467053859</v>
      </c>
      <c r="F381" cm="1">
        <f t="array" ref="F381">_xlfn.IFS(Table11[[#This Row],[Vehicle_Type]]="SUV",250,Table11[[#This Row],[Vehicle_Type]]="Sedan",200,Table11[[#This Row],[Vehicle_Type]]="Hatchback",185,Table11[[#This Row],[Vehicle_Type]]="Electric",190,Table11[[#This Row],[Vehicle_Type]]="Truck",150)</f>
        <v>250</v>
      </c>
      <c r="G381">
        <f t="shared" ca="1" si="5"/>
        <v>23</v>
      </c>
      <c r="H381" s="82">
        <f>Table11[[#This Row],[Daily_Production]]-Table11[[#This Row],[Forecasted_Units]]</f>
        <v>150.48123653294613</v>
      </c>
      <c r="I381" cm="1">
        <f t="array" ref="I381">_xlfn.IFS(Table11[[#This Row],[Vehicle_Type]]="SUV",5,Table11[[#This Row],[Vehicle_Type]]="Sedan",7,Table11[[#This Row],[Vehicle_Type]]="Hatchback",10,Table11[[#This Row],[Vehicle_Type]]="Electric",11,Table11[[#This Row],[Vehicle_Type]]="Truck",13)</f>
        <v>5</v>
      </c>
      <c r="J381">
        <f ca="1">Table11[[#This Row],[Daily_Production]]*Table11[[#This Row],[Working_Days]]</f>
        <v>5750</v>
      </c>
      <c r="K381" s="81">
        <f>Table11[[#This Row],[Forecasted_Units]]*0.1</f>
        <v>9.9518763467053866</v>
      </c>
      <c r="L381" s="82">
        <f>Table11[[#This Row],[Adjusted_Forecast]]+Table11[[#This Row],[Safety_Stock]]-Table11[[#This Row],[Inventory_On_Hand]]</f>
        <v>-41.010596719186879</v>
      </c>
      <c r="M381" s="82">
        <f ca="1">MIN(Table11[[#This Row],[Production_Needed]],Table11[[#This Row],[Production_Capacity]])</f>
        <v>-41.010596719186879</v>
      </c>
      <c r="N381" s="82">
        <f ca="1">MAX(Table11[[#This Row],[Production_Needed]]-Table11[[#This Row],[Planned_Production]],0)</f>
        <v>0</v>
      </c>
      <c r="O381" s="82">
        <f ca="1">Table11[[#This Row],[Inventory_On_Hand]]+Table11[[#This Row],[Planned_Production]]-Table11[[#This Row],[Forecasted_Units]]</f>
        <v>9.9518763467053901</v>
      </c>
      <c r="P381" cm="1">
        <f t="array" ref="P381">_xlfn.XLOOKUP(Table11[[#This Row],[Date]] &amp; Table11[[#This Row],[Vehicle_Type]], Table12[Date] &amp; Table12[Vehicle_Type],Table12[Feedback_Adjustment], 0)</f>
        <v>0</v>
      </c>
      <c r="Q381" s="82">
        <f>Table11[[#This Row],[Forecasted_Units]]*(1+Table11[[#This Row],[Adjustment_Percentage]])</f>
        <v>99.518763467053859</v>
      </c>
      <c r="R381" s="82"/>
    </row>
    <row r="382" spans="1:18">
      <c r="A382" s="53">
        <v>53405</v>
      </c>
      <c r="B382" s="14" t="s">
        <v>13</v>
      </c>
      <c r="C382" s="15" t="str">
        <f>TEXT(Table11[[#This Row],[Date]],"mmmm")</f>
        <v>March</v>
      </c>
      <c r="D382" s="14">
        <v>98</v>
      </c>
      <c r="E382" s="82">
        <f>_xlfn.FORECAST.LINEAR(Table11[[#This Row],[Date]],Table11[Units_Sold],Table11[Date])</f>
        <v>99.519927663710646</v>
      </c>
      <c r="F382" cm="1">
        <f t="array" ref="F382">_xlfn.IFS(Table11[[#This Row],[Vehicle_Type]]="SUV",250,Table11[[#This Row],[Vehicle_Type]]="Sedan",200,Table11[[#This Row],[Vehicle_Type]]="Hatchback",185,Table11[[#This Row],[Vehicle_Type]]="Electric",190,Table11[[#This Row],[Vehicle_Type]]="Truck",150)</f>
        <v>190</v>
      </c>
      <c r="G382">
        <f t="shared" ca="1" si="5"/>
        <v>23</v>
      </c>
      <c r="H382" s="82">
        <f>Table11[[#This Row],[Daily_Production]]-Table11[[#This Row],[Forecasted_Units]]</f>
        <v>90.480072336289354</v>
      </c>
      <c r="I382" cm="1">
        <f t="array" ref="I382">_xlfn.IFS(Table11[[#This Row],[Vehicle_Type]]="SUV",5,Table11[[#This Row],[Vehicle_Type]]="Sedan",7,Table11[[#This Row],[Vehicle_Type]]="Hatchback",10,Table11[[#This Row],[Vehicle_Type]]="Electric",11,Table11[[#This Row],[Vehicle_Type]]="Truck",13)</f>
        <v>11</v>
      </c>
      <c r="J382">
        <f ca="1">Table11[[#This Row],[Daily_Production]]*Table11[[#This Row],[Working_Days]]</f>
        <v>4370</v>
      </c>
      <c r="K382" s="81">
        <f>Table11[[#This Row],[Forecasted_Units]]*0.1</f>
        <v>9.951992766371065</v>
      </c>
      <c r="L382" s="82">
        <f>Table11[[#This Row],[Adjusted_Forecast]]+Table11[[#This Row],[Safety_Stock]]-Table11[[#This Row],[Inventory_On_Hand]]</f>
        <v>18.991848093792356</v>
      </c>
      <c r="M382" s="82">
        <f ca="1">MIN(Table11[[#This Row],[Production_Needed]],Table11[[#This Row],[Production_Capacity]])</f>
        <v>18.991848093792356</v>
      </c>
      <c r="N382" s="82">
        <f ca="1">MAX(Table11[[#This Row],[Production_Needed]]-Table11[[#This Row],[Planned_Production]],0)</f>
        <v>0</v>
      </c>
      <c r="O382" s="82">
        <f ca="1">Table11[[#This Row],[Inventory_On_Hand]]+Table11[[#This Row],[Planned_Production]]-Table11[[#This Row],[Forecasted_Units]]</f>
        <v>9.9519927663710632</v>
      </c>
      <c r="P382" cm="1">
        <f t="array" ref="P382">_xlfn.XLOOKUP(Table11[[#This Row],[Date]] &amp; Table11[[#This Row],[Vehicle_Type]], Table12[Date] &amp; Table12[Vehicle_Type],Table12[Feedback_Adjustment], 0)</f>
        <v>0</v>
      </c>
      <c r="Q382" s="82">
        <f>Table11[[#This Row],[Forecasted_Units]]*(1+Table11[[#This Row],[Adjustment_Percentage]])</f>
        <v>99.519927663710646</v>
      </c>
      <c r="R382" s="82"/>
    </row>
    <row r="383" spans="1:18">
      <c r="A383" s="54">
        <v>53435</v>
      </c>
      <c r="B383" s="15" t="s">
        <v>10</v>
      </c>
      <c r="C383" s="15" t="str">
        <f>TEXT(Table11[[#This Row],[Date]],"mmmm")</f>
        <v>April</v>
      </c>
      <c r="D383" s="15">
        <v>110</v>
      </c>
      <c r="E383" s="82">
        <f>_xlfn.FORECAST.LINEAR(Table11[[#This Row],[Date]],Table11[Units_Sold],Table11[Date])</f>
        <v>99.521091860367434</v>
      </c>
      <c r="F383" cm="1">
        <f t="array" ref="F383">_xlfn.IFS(Table11[[#This Row],[Vehicle_Type]]="SUV",250,Table11[[#This Row],[Vehicle_Type]]="Sedan",200,Table11[[#This Row],[Vehicle_Type]]="Hatchback",185,Table11[[#This Row],[Vehicle_Type]]="Electric",190,Table11[[#This Row],[Vehicle_Type]]="Truck",150)</f>
        <v>200</v>
      </c>
      <c r="G383">
        <f t="shared" ca="1" si="5"/>
        <v>20</v>
      </c>
      <c r="H383" s="82">
        <f>Table11[[#This Row],[Daily_Production]]-Table11[[#This Row],[Forecasted_Units]]</f>
        <v>100.47890813963257</v>
      </c>
      <c r="I383" cm="1">
        <f t="array" ref="I383">_xlfn.IFS(Table11[[#This Row],[Vehicle_Type]]="SUV",5,Table11[[#This Row],[Vehicle_Type]]="Sedan",7,Table11[[#This Row],[Vehicle_Type]]="Hatchback",10,Table11[[#This Row],[Vehicle_Type]]="Electric",11,Table11[[#This Row],[Vehicle_Type]]="Truck",13)</f>
        <v>7</v>
      </c>
      <c r="J383">
        <f ca="1">Table11[[#This Row],[Daily_Production]]*Table11[[#This Row],[Working_Days]]</f>
        <v>4000</v>
      </c>
      <c r="K383" s="81">
        <f>Table11[[#This Row],[Forecasted_Units]]*0.1</f>
        <v>9.9521091860367434</v>
      </c>
      <c r="L383" s="82">
        <f>Table11[[#This Row],[Adjusted_Forecast]]+Table11[[#This Row],[Safety_Stock]]-Table11[[#This Row],[Inventory_On_Hand]]</f>
        <v>8.9942929067716051</v>
      </c>
      <c r="M383" s="82">
        <f ca="1">MIN(Table11[[#This Row],[Production_Needed]],Table11[[#This Row],[Production_Capacity]])</f>
        <v>8.9942929067716051</v>
      </c>
      <c r="N383" s="82">
        <f ca="1">MAX(Table11[[#This Row],[Production_Needed]]-Table11[[#This Row],[Planned_Production]],0)</f>
        <v>0</v>
      </c>
      <c r="O383" s="82">
        <f ca="1">Table11[[#This Row],[Inventory_On_Hand]]+Table11[[#This Row],[Planned_Production]]-Table11[[#This Row],[Forecasted_Units]]</f>
        <v>9.9521091860367363</v>
      </c>
      <c r="P383" cm="1">
        <f t="array" ref="P383">_xlfn.XLOOKUP(Table11[[#This Row],[Date]] &amp; Table11[[#This Row],[Vehicle_Type]], Table12[Date] &amp; Table12[Vehicle_Type],Table12[Feedback_Adjustment], 0)</f>
        <v>0</v>
      </c>
      <c r="Q383" s="82">
        <f>Table11[[#This Row],[Forecasted_Units]]*(1+Table11[[#This Row],[Adjustment_Percentage]])</f>
        <v>99.521091860367434</v>
      </c>
      <c r="R383" s="82"/>
    </row>
    <row r="384" spans="1:18">
      <c r="A384" s="53">
        <v>53465</v>
      </c>
      <c r="B384" s="14" t="s">
        <v>11</v>
      </c>
      <c r="C384" s="15" t="str">
        <f>TEXT(Table11[[#This Row],[Date]],"mmmm")</f>
        <v>May</v>
      </c>
      <c r="D384" s="14">
        <v>93</v>
      </c>
      <c r="E384" s="82">
        <f>_xlfn.FORECAST.LINEAR(Table11[[#This Row],[Date]],Table11[Units_Sold],Table11[Date])</f>
        <v>99.522256057024222</v>
      </c>
      <c r="F384" cm="1">
        <f t="array" ref="F384">_xlfn.IFS(Table11[[#This Row],[Vehicle_Type]]="SUV",250,Table11[[#This Row],[Vehicle_Type]]="Sedan",200,Table11[[#This Row],[Vehicle_Type]]="Hatchback",185,Table11[[#This Row],[Vehicle_Type]]="Electric",190,Table11[[#This Row],[Vehicle_Type]]="Truck",150)</f>
        <v>185</v>
      </c>
      <c r="G384">
        <f t="shared" ca="1" si="5"/>
        <v>22</v>
      </c>
      <c r="H384" s="82">
        <f>Table11[[#This Row],[Daily_Production]]-Table11[[#This Row],[Forecasted_Units]]</f>
        <v>85.477743942975778</v>
      </c>
      <c r="I384" cm="1">
        <f t="array" ref="I384">_xlfn.IFS(Table11[[#This Row],[Vehicle_Type]]="SUV",5,Table11[[#This Row],[Vehicle_Type]]="Sedan",7,Table11[[#This Row],[Vehicle_Type]]="Hatchback",10,Table11[[#This Row],[Vehicle_Type]]="Electric",11,Table11[[#This Row],[Vehicle_Type]]="Truck",13)</f>
        <v>10</v>
      </c>
      <c r="J384">
        <f ca="1">Table11[[#This Row],[Daily_Production]]*Table11[[#This Row],[Working_Days]]</f>
        <v>4070</v>
      </c>
      <c r="K384" s="81">
        <f>Table11[[#This Row],[Forecasted_Units]]*0.1</f>
        <v>9.9522256057024236</v>
      </c>
      <c r="L384" s="82">
        <f>Table11[[#This Row],[Adjusted_Forecast]]+Table11[[#This Row],[Safety_Stock]]-Table11[[#This Row],[Inventory_On_Hand]]</f>
        <v>23.996737719750868</v>
      </c>
      <c r="M384" s="82">
        <f ca="1">MIN(Table11[[#This Row],[Production_Needed]],Table11[[#This Row],[Production_Capacity]])</f>
        <v>23.996737719750868</v>
      </c>
      <c r="N384" s="82">
        <f ca="1">MAX(Table11[[#This Row],[Production_Needed]]-Table11[[#This Row],[Planned_Production]],0)</f>
        <v>0</v>
      </c>
      <c r="O384" s="82">
        <f ca="1">Table11[[#This Row],[Inventory_On_Hand]]+Table11[[#This Row],[Planned_Production]]-Table11[[#This Row],[Forecasted_Units]]</f>
        <v>9.9522256057024236</v>
      </c>
      <c r="P384" cm="1">
        <f t="array" ref="P384">_xlfn.XLOOKUP(Table11[[#This Row],[Date]] &amp; Table11[[#This Row],[Vehicle_Type]], Table12[Date] &amp; Table12[Vehicle_Type],Table12[Feedback_Adjustment], 0)</f>
        <v>0</v>
      </c>
      <c r="Q384" s="82">
        <f>Table11[[#This Row],[Forecasted_Units]]*(1+Table11[[#This Row],[Adjustment_Percentage]])</f>
        <v>99.522256057024222</v>
      </c>
      <c r="R384" s="82"/>
    </row>
    <row r="385" spans="1:18">
      <c r="A385" s="54">
        <v>53495</v>
      </c>
      <c r="B385" s="15" t="s">
        <v>13</v>
      </c>
      <c r="C385" s="15" t="str">
        <f>TEXT(Table11[[#This Row],[Date]],"mmmm")</f>
        <v>June</v>
      </c>
      <c r="D385" s="15">
        <v>103</v>
      </c>
      <c r="E385" s="82">
        <f>_xlfn.FORECAST.LINEAR(Table11[[#This Row],[Date]],Table11[Units_Sold],Table11[Date])</f>
        <v>99.52342025368101</v>
      </c>
      <c r="F385" cm="1">
        <f t="array" ref="F385">_xlfn.IFS(Table11[[#This Row],[Vehicle_Type]]="SUV",250,Table11[[#This Row],[Vehicle_Type]]="Sedan",200,Table11[[#This Row],[Vehicle_Type]]="Hatchback",185,Table11[[#This Row],[Vehicle_Type]]="Electric",190,Table11[[#This Row],[Vehicle_Type]]="Truck",150)</f>
        <v>190</v>
      </c>
      <c r="G385">
        <f t="shared" ca="1" si="5"/>
        <v>23</v>
      </c>
      <c r="H385" s="82">
        <f>Table11[[#This Row],[Daily_Production]]-Table11[[#This Row],[Forecasted_Units]]</f>
        <v>90.47657974631899</v>
      </c>
      <c r="I385" cm="1">
        <f t="array" ref="I385">_xlfn.IFS(Table11[[#This Row],[Vehicle_Type]]="SUV",5,Table11[[#This Row],[Vehicle_Type]]="Sedan",7,Table11[[#This Row],[Vehicle_Type]]="Hatchback",10,Table11[[#This Row],[Vehicle_Type]]="Electric",11,Table11[[#This Row],[Vehicle_Type]]="Truck",13)</f>
        <v>11</v>
      </c>
      <c r="J385">
        <f ca="1">Table11[[#This Row],[Daily_Production]]*Table11[[#This Row],[Working_Days]]</f>
        <v>4370</v>
      </c>
      <c r="K385" s="81">
        <f>Table11[[#This Row],[Forecasted_Units]]*0.1</f>
        <v>9.9523420253681021</v>
      </c>
      <c r="L385" s="82">
        <f>Table11[[#This Row],[Adjusted_Forecast]]+Table11[[#This Row],[Safety_Stock]]-Table11[[#This Row],[Inventory_On_Hand]]</f>
        <v>18.999182532730117</v>
      </c>
      <c r="M385" s="82">
        <f ca="1">MIN(Table11[[#This Row],[Production_Needed]],Table11[[#This Row],[Production_Capacity]])</f>
        <v>18.999182532730117</v>
      </c>
      <c r="N385" s="82">
        <f ca="1">MAX(Table11[[#This Row],[Production_Needed]]-Table11[[#This Row],[Planned_Production]],0)</f>
        <v>0</v>
      </c>
      <c r="O385" s="82">
        <f ca="1">Table11[[#This Row],[Inventory_On_Hand]]+Table11[[#This Row],[Planned_Production]]-Table11[[#This Row],[Forecasted_Units]]</f>
        <v>9.9523420253680968</v>
      </c>
      <c r="P385" cm="1">
        <f t="array" ref="P385">_xlfn.XLOOKUP(Table11[[#This Row],[Date]] &amp; Table11[[#This Row],[Vehicle_Type]], Table12[Date] &amp; Table12[Vehicle_Type],Table12[Feedback_Adjustment], 0)</f>
        <v>0</v>
      </c>
      <c r="Q385" s="82">
        <f>Table11[[#This Row],[Forecasted_Units]]*(1+Table11[[#This Row],[Adjustment_Percentage]])</f>
        <v>99.52342025368101</v>
      </c>
      <c r="R385" s="82"/>
    </row>
    <row r="386" spans="1:18">
      <c r="A386" s="53">
        <v>53525</v>
      </c>
      <c r="B386" s="14" t="s">
        <v>13</v>
      </c>
      <c r="C386" s="15" t="str">
        <f>TEXT(Table11[[#This Row],[Date]],"mmmm")</f>
        <v>July</v>
      </c>
      <c r="D386" s="14">
        <f>IF(ISBLANK(D339), P340, D339)</f>
        <v>100</v>
      </c>
      <c r="E386" s="82">
        <f>_xlfn.FORECAST.LINEAR(Table11[[#This Row],[Date]],Table11[Units_Sold],Table11[Date])</f>
        <v>99.524584450337798</v>
      </c>
      <c r="F386" cm="1">
        <f t="array" ref="F386">_xlfn.IFS(Table11[[#This Row],[Vehicle_Type]]="SUV",250,Table11[[#This Row],[Vehicle_Type]]="Sedan",200,Table11[[#This Row],[Vehicle_Type]]="Hatchback",185,Table11[[#This Row],[Vehicle_Type]]="Electric",190,Table11[[#This Row],[Vehicle_Type]]="Truck",150)</f>
        <v>190</v>
      </c>
      <c r="G386">
        <f t="shared" ref="G386:G449" ca="1" si="6">RANDBETWEEN(20,25)</f>
        <v>20</v>
      </c>
      <c r="H386" s="82">
        <f>Table11[[#This Row],[Daily_Production]]-Table11[[#This Row],[Forecasted_Units]]</f>
        <v>90.475415549662202</v>
      </c>
      <c r="I386" cm="1">
        <f t="array" ref="I386">_xlfn.IFS(Table11[[#This Row],[Vehicle_Type]]="SUV",5,Table11[[#This Row],[Vehicle_Type]]="Sedan",7,Table11[[#This Row],[Vehicle_Type]]="Hatchback",10,Table11[[#This Row],[Vehicle_Type]]="Electric",11,Table11[[#This Row],[Vehicle_Type]]="Truck",13)</f>
        <v>11</v>
      </c>
      <c r="J386">
        <f ca="1">Table11[[#This Row],[Daily_Production]]*Table11[[#This Row],[Working_Days]]</f>
        <v>3800</v>
      </c>
      <c r="K386" s="81">
        <f>Table11[[#This Row],[Forecasted_Units]]*0.1</f>
        <v>9.9524584450337805</v>
      </c>
      <c r="L386" s="82">
        <f>Table11[[#This Row],[Adjusted_Forecast]]+Table11[[#This Row],[Safety_Stock]]-Table11[[#This Row],[Inventory_On_Hand]]</f>
        <v>19.00162734570938</v>
      </c>
      <c r="M386" s="82">
        <f ca="1">MIN(Table11[[#This Row],[Production_Needed]],Table11[[#This Row],[Production_Capacity]])</f>
        <v>19.00162734570938</v>
      </c>
      <c r="N386" s="82">
        <f ca="1">MAX(Table11[[#This Row],[Production_Needed]]-Table11[[#This Row],[Planned_Production]],0)</f>
        <v>0</v>
      </c>
      <c r="O386" s="82">
        <f ca="1">Table11[[#This Row],[Inventory_On_Hand]]+Table11[[#This Row],[Planned_Production]]-Table11[[#This Row],[Forecasted_Units]]</f>
        <v>9.9524584450337841</v>
      </c>
      <c r="P386" cm="1">
        <f t="array" ref="P386">_xlfn.XLOOKUP(Table11[[#This Row],[Date]] &amp; Table11[[#This Row],[Vehicle_Type]], Table12[Date] &amp; Table12[Vehicle_Type],Table12[Feedback_Adjustment], 0)</f>
        <v>0</v>
      </c>
      <c r="Q386" s="82">
        <f>Table11[[#This Row],[Forecasted_Units]]*(1+Table11[[#This Row],[Adjustment_Percentage]])</f>
        <v>99.524584450337798</v>
      </c>
      <c r="R386" s="82"/>
    </row>
    <row r="387" spans="1:18">
      <c r="A387" s="54">
        <v>53555</v>
      </c>
      <c r="B387" s="15" t="s">
        <v>12</v>
      </c>
      <c r="C387" s="15" t="str">
        <f>TEXT(Table11[[#This Row],[Date]],"mmmm")</f>
        <v>August</v>
      </c>
      <c r="D387" s="15">
        <v>101</v>
      </c>
      <c r="E387" s="82">
        <f>_xlfn.FORECAST.LINEAR(Table11[[#This Row],[Date]],Table11[Units_Sold],Table11[Date])</f>
        <v>99.525748646994586</v>
      </c>
      <c r="F387" cm="1">
        <f t="array" ref="F387">_xlfn.IFS(Table11[[#This Row],[Vehicle_Type]]="SUV",250,Table11[[#This Row],[Vehicle_Type]]="Sedan",200,Table11[[#This Row],[Vehicle_Type]]="Hatchback",185,Table11[[#This Row],[Vehicle_Type]]="Electric",190,Table11[[#This Row],[Vehicle_Type]]="Truck",150)</f>
        <v>250</v>
      </c>
      <c r="G387">
        <f t="shared" ca="1" si="6"/>
        <v>22</v>
      </c>
      <c r="H387" s="82">
        <f>Table11[[#This Row],[Daily_Production]]-Table11[[#This Row],[Forecasted_Units]]</f>
        <v>150.4742513530054</v>
      </c>
      <c r="I387" cm="1">
        <f t="array" ref="I387">_xlfn.IFS(Table11[[#This Row],[Vehicle_Type]]="SUV",5,Table11[[#This Row],[Vehicle_Type]]="Sedan",7,Table11[[#This Row],[Vehicle_Type]]="Hatchback",10,Table11[[#This Row],[Vehicle_Type]]="Electric",11,Table11[[#This Row],[Vehicle_Type]]="Truck",13)</f>
        <v>5</v>
      </c>
      <c r="J387">
        <f ca="1">Table11[[#This Row],[Daily_Production]]*Table11[[#This Row],[Working_Days]]</f>
        <v>5500</v>
      </c>
      <c r="K387" s="81">
        <f>Table11[[#This Row],[Forecasted_Units]]*0.1</f>
        <v>9.952574864699459</v>
      </c>
      <c r="L387" s="82">
        <f>Table11[[#This Row],[Adjusted_Forecast]]+Table11[[#This Row],[Safety_Stock]]-Table11[[#This Row],[Inventory_On_Hand]]</f>
        <v>-40.995927841311357</v>
      </c>
      <c r="M387" s="82">
        <f ca="1">MIN(Table11[[#This Row],[Production_Needed]],Table11[[#This Row],[Production_Capacity]])</f>
        <v>-40.995927841311357</v>
      </c>
      <c r="N387" s="82">
        <f ca="1">MAX(Table11[[#This Row],[Production_Needed]]-Table11[[#This Row],[Planned_Production]],0)</f>
        <v>0</v>
      </c>
      <c r="O387" s="82">
        <f ca="1">Table11[[#This Row],[Inventory_On_Hand]]+Table11[[#This Row],[Planned_Production]]-Table11[[#This Row],[Forecasted_Units]]</f>
        <v>9.9525748646994572</v>
      </c>
      <c r="P387" cm="1">
        <f t="array" ref="P387">_xlfn.XLOOKUP(Table11[[#This Row],[Date]] &amp; Table11[[#This Row],[Vehicle_Type]], Table12[Date] &amp; Table12[Vehicle_Type],Table12[Feedback_Adjustment], 0)</f>
        <v>0</v>
      </c>
      <c r="Q387" s="82">
        <f>Table11[[#This Row],[Forecasted_Units]]*(1+Table11[[#This Row],[Adjustment_Percentage]])</f>
        <v>99.525748646994586</v>
      </c>
      <c r="R387" s="82"/>
    </row>
    <row r="388" spans="1:18">
      <c r="A388" s="53">
        <v>53585</v>
      </c>
      <c r="B388" s="14" t="s">
        <v>14</v>
      </c>
      <c r="C388" s="15" t="str">
        <f>TEXT(Table11[[#This Row],[Date]],"mmmm")</f>
        <v>September</v>
      </c>
      <c r="D388" s="14">
        <v>94</v>
      </c>
      <c r="E388" s="82">
        <f>_xlfn.FORECAST.LINEAR(Table11[[#This Row],[Date]],Table11[Units_Sold],Table11[Date])</f>
        <v>99.526912843651374</v>
      </c>
      <c r="F388" cm="1">
        <f t="array" ref="F388">_xlfn.IFS(Table11[[#This Row],[Vehicle_Type]]="SUV",250,Table11[[#This Row],[Vehicle_Type]]="Sedan",200,Table11[[#This Row],[Vehicle_Type]]="Hatchback",185,Table11[[#This Row],[Vehicle_Type]]="Electric",190,Table11[[#This Row],[Vehicle_Type]]="Truck",150)</f>
        <v>150</v>
      </c>
      <c r="G388">
        <f t="shared" ca="1" si="6"/>
        <v>24</v>
      </c>
      <c r="H388" s="82">
        <f>Table11[[#This Row],[Daily_Production]]-Table11[[#This Row],[Forecasted_Units]]</f>
        <v>50.473087156348626</v>
      </c>
      <c r="I388" cm="1">
        <f t="array" ref="I388">_xlfn.IFS(Table11[[#This Row],[Vehicle_Type]]="SUV",5,Table11[[#This Row],[Vehicle_Type]]="Sedan",7,Table11[[#This Row],[Vehicle_Type]]="Hatchback",10,Table11[[#This Row],[Vehicle_Type]]="Electric",11,Table11[[#This Row],[Vehicle_Type]]="Truck",13)</f>
        <v>13</v>
      </c>
      <c r="J388">
        <f ca="1">Table11[[#This Row],[Daily_Production]]*Table11[[#This Row],[Working_Days]]</f>
        <v>3600</v>
      </c>
      <c r="K388" s="81">
        <f>Table11[[#This Row],[Forecasted_Units]]*0.1</f>
        <v>9.9526912843651374</v>
      </c>
      <c r="L388" s="82">
        <f>Table11[[#This Row],[Adjusted_Forecast]]+Table11[[#This Row],[Safety_Stock]]-Table11[[#This Row],[Inventory_On_Hand]]</f>
        <v>59.006516971667892</v>
      </c>
      <c r="M388" s="82">
        <f ca="1">MIN(Table11[[#This Row],[Production_Needed]],Table11[[#This Row],[Production_Capacity]])</f>
        <v>59.006516971667892</v>
      </c>
      <c r="N388" s="82">
        <f ca="1">MAX(Table11[[#This Row],[Production_Needed]]-Table11[[#This Row],[Planned_Production]],0)</f>
        <v>0</v>
      </c>
      <c r="O388" s="82">
        <f ca="1">Table11[[#This Row],[Inventory_On_Hand]]+Table11[[#This Row],[Planned_Production]]-Table11[[#This Row],[Forecasted_Units]]</f>
        <v>9.9526912843651445</v>
      </c>
      <c r="P388" cm="1">
        <f t="array" ref="P388">_xlfn.XLOOKUP(Table11[[#This Row],[Date]] &amp; Table11[[#This Row],[Vehicle_Type]], Table12[Date] &amp; Table12[Vehicle_Type],Table12[Feedback_Adjustment], 0)</f>
        <v>0</v>
      </c>
      <c r="Q388" s="82">
        <f>Table11[[#This Row],[Forecasted_Units]]*(1+Table11[[#This Row],[Adjustment_Percentage]])</f>
        <v>99.526912843651374</v>
      </c>
      <c r="R388" s="82"/>
    </row>
    <row r="389" spans="1:18">
      <c r="A389" s="54">
        <v>53615</v>
      </c>
      <c r="B389" s="15" t="s">
        <v>12</v>
      </c>
      <c r="C389" s="15" t="str">
        <f>TEXT(Table11[[#This Row],[Date]],"mmmm")</f>
        <v>October</v>
      </c>
      <c r="D389" s="15">
        <v>108</v>
      </c>
      <c r="E389" s="82">
        <f>_xlfn.FORECAST.LINEAR(Table11[[#This Row],[Date]],Table11[Units_Sold],Table11[Date])</f>
        <v>99.528077040308148</v>
      </c>
      <c r="F389" cm="1">
        <f t="array" ref="F389">_xlfn.IFS(Table11[[#This Row],[Vehicle_Type]]="SUV",250,Table11[[#This Row],[Vehicle_Type]]="Sedan",200,Table11[[#This Row],[Vehicle_Type]]="Hatchback",185,Table11[[#This Row],[Vehicle_Type]]="Electric",190,Table11[[#This Row],[Vehicle_Type]]="Truck",150)</f>
        <v>250</v>
      </c>
      <c r="G389">
        <f t="shared" ca="1" si="6"/>
        <v>22</v>
      </c>
      <c r="H389" s="82">
        <f>Table11[[#This Row],[Daily_Production]]-Table11[[#This Row],[Forecasted_Units]]</f>
        <v>150.47192295969185</v>
      </c>
      <c r="I389" cm="1">
        <f t="array" ref="I389">_xlfn.IFS(Table11[[#This Row],[Vehicle_Type]]="SUV",5,Table11[[#This Row],[Vehicle_Type]]="Sedan",7,Table11[[#This Row],[Vehicle_Type]]="Hatchback",10,Table11[[#This Row],[Vehicle_Type]]="Electric",11,Table11[[#This Row],[Vehicle_Type]]="Truck",13)</f>
        <v>5</v>
      </c>
      <c r="J389">
        <f ca="1">Table11[[#This Row],[Daily_Production]]*Table11[[#This Row],[Working_Days]]</f>
        <v>5500</v>
      </c>
      <c r="K389" s="81">
        <f>Table11[[#This Row],[Forecasted_Units]]*0.1</f>
        <v>9.9528077040308158</v>
      </c>
      <c r="L389" s="82">
        <f>Table11[[#This Row],[Adjusted_Forecast]]+Table11[[#This Row],[Safety_Stock]]-Table11[[#This Row],[Inventory_On_Hand]]</f>
        <v>-40.991038215352887</v>
      </c>
      <c r="M389" s="82">
        <f ca="1">MIN(Table11[[#This Row],[Production_Needed]],Table11[[#This Row],[Production_Capacity]])</f>
        <v>-40.991038215352887</v>
      </c>
      <c r="N389" s="82">
        <f ca="1">MAX(Table11[[#This Row],[Production_Needed]]-Table11[[#This Row],[Planned_Production]],0)</f>
        <v>0</v>
      </c>
      <c r="O389" s="82">
        <f ca="1">Table11[[#This Row],[Inventory_On_Hand]]+Table11[[#This Row],[Planned_Production]]-Table11[[#This Row],[Forecasted_Units]]</f>
        <v>9.9528077040308176</v>
      </c>
      <c r="P389" cm="1">
        <f t="array" ref="P389">_xlfn.XLOOKUP(Table11[[#This Row],[Date]] &amp; Table11[[#This Row],[Vehicle_Type]], Table12[Date] &amp; Table12[Vehicle_Type],Table12[Feedback_Adjustment], 0)</f>
        <v>0</v>
      </c>
      <c r="Q389" s="82">
        <f>Table11[[#This Row],[Forecasted_Units]]*(1+Table11[[#This Row],[Adjustment_Percentage]])</f>
        <v>99.528077040308148</v>
      </c>
      <c r="R389" s="82"/>
    </row>
    <row r="390" spans="1:18">
      <c r="A390" s="53">
        <v>53645</v>
      </c>
      <c r="B390" s="14" t="s">
        <v>10</v>
      </c>
      <c r="C390" s="15" t="str">
        <f>TEXT(Table11[[#This Row],[Date]],"mmmm")</f>
        <v>November</v>
      </c>
      <c r="D390" s="14">
        <v>113</v>
      </c>
      <c r="E390" s="82">
        <f>_xlfn.FORECAST.LINEAR(Table11[[#This Row],[Date]],Table11[Units_Sold],Table11[Date])</f>
        <v>99.529241236964936</v>
      </c>
      <c r="F390" cm="1">
        <f t="array" ref="F390">_xlfn.IFS(Table11[[#This Row],[Vehicle_Type]]="SUV",250,Table11[[#This Row],[Vehicle_Type]]="Sedan",200,Table11[[#This Row],[Vehicle_Type]]="Hatchback",185,Table11[[#This Row],[Vehicle_Type]]="Electric",190,Table11[[#This Row],[Vehicle_Type]]="Truck",150)</f>
        <v>200</v>
      </c>
      <c r="G390">
        <f t="shared" ca="1" si="6"/>
        <v>24</v>
      </c>
      <c r="H390" s="82">
        <f>Table11[[#This Row],[Daily_Production]]-Table11[[#This Row],[Forecasted_Units]]</f>
        <v>100.47075876303506</v>
      </c>
      <c r="I390" cm="1">
        <f t="array" ref="I390">_xlfn.IFS(Table11[[#This Row],[Vehicle_Type]]="SUV",5,Table11[[#This Row],[Vehicle_Type]]="Sedan",7,Table11[[#This Row],[Vehicle_Type]]="Hatchback",10,Table11[[#This Row],[Vehicle_Type]]="Electric",11,Table11[[#This Row],[Vehicle_Type]]="Truck",13)</f>
        <v>7</v>
      </c>
      <c r="J390">
        <f ca="1">Table11[[#This Row],[Daily_Production]]*Table11[[#This Row],[Working_Days]]</f>
        <v>4800</v>
      </c>
      <c r="K390" s="81">
        <f>Table11[[#This Row],[Forecasted_Units]]*0.1</f>
        <v>9.9529241236964943</v>
      </c>
      <c r="L390" s="82">
        <f>Table11[[#This Row],[Adjusted_Forecast]]+Table11[[#This Row],[Safety_Stock]]-Table11[[#This Row],[Inventory_On_Hand]]</f>
        <v>9.0114065976263618</v>
      </c>
      <c r="M390" s="82">
        <f ca="1">MIN(Table11[[#This Row],[Production_Needed]],Table11[[#This Row],[Production_Capacity]])</f>
        <v>9.0114065976263618</v>
      </c>
      <c r="N390" s="82">
        <f ca="1">MAX(Table11[[#This Row],[Production_Needed]]-Table11[[#This Row],[Planned_Production]],0)</f>
        <v>0</v>
      </c>
      <c r="O390" s="82">
        <f ca="1">Table11[[#This Row],[Inventory_On_Hand]]+Table11[[#This Row],[Planned_Production]]-Table11[[#This Row],[Forecasted_Units]]</f>
        <v>9.9529241236964907</v>
      </c>
      <c r="P390" cm="1">
        <f t="array" ref="P390">_xlfn.XLOOKUP(Table11[[#This Row],[Date]] &amp; Table11[[#This Row],[Vehicle_Type]], Table12[Date] &amp; Table12[Vehicle_Type],Table12[Feedback_Adjustment], 0)</f>
        <v>0</v>
      </c>
      <c r="Q390" s="82">
        <f>Table11[[#This Row],[Forecasted_Units]]*(1+Table11[[#This Row],[Adjustment_Percentage]])</f>
        <v>99.529241236964936</v>
      </c>
      <c r="R390" s="82"/>
    </row>
    <row r="391" spans="1:18">
      <c r="A391" s="54">
        <v>53675</v>
      </c>
      <c r="B391" s="15" t="s">
        <v>11</v>
      </c>
      <c r="C391" s="15" t="str">
        <f>TEXT(Table11[[#This Row],[Date]],"mmmm")</f>
        <v>December</v>
      </c>
      <c r="D391" s="15">
        <v>115</v>
      </c>
      <c r="E391" s="82">
        <f>_xlfn.FORECAST.LINEAR(Table11[[#This Row],[Date]],Table11[Units_Sold],Table11[Date])</f>
        <v>99.530405433621723</v>
      </c>
      <c r="F391" cm="1">
        <f t="array" ref="F391">_xlfn.IFS(Table11[[#This Row],[Vehicle_Type]]="SUV",250,Table11[[#This Row],[Vehicle_Type]]="Sedan",200,Table11[[#This Row],[Vehicle_Type]]="Hatchback",185,Table11[[#This Row],[Vehicle_Type]]="Electric",190,Table11[[#This Row],[Vehicle_Type]]="Truck",150)</f>
        <v>185</v>
      </c>
      <c r="G391">
        <f t="shared" ca="1" si="6"/>
        <v>21</v>
      </c>
      <c r="H391" s="82">
        <f>Table11[[#This Row],[Daily_Production]]-Table11[[#This Row],[Forecasted_Units]]</f>
        <v>85.469594566378277</v>
      </c>
      <c r="I391" cm="1">
        <f t="array" ref="I391">_xlfn.IFS(Table11[[#This Row],[Vehicle_Type]]="SUV",5,Table11[[#This Row],[Vehicle_Type]]="Sedan",7,Table11[[#This Row],[Vehicle_Type]]="Hatchback",10,Table11[[#This Row],[Vehicle_Type]]="Electric",11,Table11[[#This Row],[Vehicle_Type]]="Truck",13)</f>
        <v>10</v>
      </c>
      <c r="J391">
        <f ca="1">Table11[[#This Row],[Daily_Production]]*Table11[[#This Row],[Working_Days]]</f>
        <v>3885</v>
      </c>
      <c r="K391" s="81">
        <f>Table11[[#This Row],[Forecasted_Units]]*0.1</f>
        <v>9.9530405433621727</v>
      </c>
      <c r="L391" s="82">
        <f>Table11[[#This Row],[Adjusted_Forecast]]+Table11[[#This Row],[Safety_Stock]]-Table11[[#This Row],[Inventory_On_Hand]]</f>
        <v>24.013851410605625</v>
      </c>
      <c r="M391" s="82">
        <f ca="1">MIN(Table11[[#This Row],[Production_Needed]],Table11[[#This Row],[Production_Capacity]])</f>
        <v>24.013851410605625</v>
      </c>
      <c r="N391" s="82">
        <f ca="1">MAX(Table11[[#This Row],[Production_Needed]]-Table11[[#This Row],[Planned_Production]],0)</f>
        <v>0</v>
      </c>
      <c r="O391" s="82">
        <f ca="1">Table11[[#This Row],[Inventory_On_Hand]]+Table11[[#This Row],[Planned_Production]]-Table11[[#This Row],[Forecasted_Units]]</f>
        <v>9.953040543362178</v>
      </c>
      <c r="P391" cm="1">
        <f t="array" ref="P391">_xlfn.XLOOKUP(Table11[[#This Row],[Date]] &amp; Table11[[#This Row],[Vehicle_Type]], Table12[Date] &amp; Table12[Vehicle_Type],Table12[Feedback_Adjustment], 0)</f>
        <v>0</v>
      </c>
      <c r="Q391" s="82">
        <f>Table11[[#This Row],[Forecasted_Units]]*(1+Table11[[#This Row],[Adjustment_Percentage]])</f>
        <v>99.530405433621723</v>
      </c>
      <c r="R391" s="82"/>
    </row>
    <row r="392" spans="1:18">
      <c r="A392" s="53">
        <v>53705</v>
      </c>
      <c r="B392" s="14" t="s">
        <v>11</v>
      </c>
      <c r="C392" s="15" t="str">
        <f>TEXT(Table11[[#This Row],[Date]],"mmmm")</f>
        <v>January</v>
      </c>
      <c r="D392" s="14">
        <v>98</v>
      </c>
      <c r="E392" s="82">
        <f>_xlfn.FORECAST.LINEAR(Table11[[#This Row],[Date]],Table11[Units_Sold],Table11[Date])</f>
        <v>99.531569630278511</v>
      </c>
      <c r="F392" cm="1">
        <f t="array" ref="F392">_xlfn.IFS(Table11[[#This Row],[Vehicle_Type]]="SUV",250,Table11[[#This Row],[Vehicle_Type]]="Sedan",200,Table11[[#This Row],[Vehicle_Type]]="Hatchback",185,Table11[[#This Row],[Vehicle_Type]]="Electric",190,Table11[[#This Row],[Vehicle_Type]]="Truck",150)</f>
        <v>185</v>
      </c>
      <c r="G392">
        <f t="shared" ca="1" si="6"/>
        <v>23</v>
      </c>
      <c r="H392" s="82">
        <f>Table11[[#This Row],[Daily_Production]]-Table11[[#This Row],[Forecasted_Units]]</f>
        <v>85.468430369721489</v>
      </c>
      <c r="I392" cm="1">
        <f t="array" ref="I392">_xlfn.IFS(Table11[[#This Row],[Vehicle_Type]]="SUV",5,Table11[[#This Row],[Vehicle_Type]]="Sedan",7,Table11[[#This Row],[Vehicle_Type]]="Hatchback",10,Table11[[#This Row],[Vehicle_Type]]="Electric",11,Table11[[#This Row],[Vehicle_Type]]="Truck",13)</f>
        <v>10</v>
      </c>
      <c r="J392">
        <f ca="1">Table11[[#This Row],[Daily_Production]]*Table11[[#This Row],[Working_Days]]</f>
        <v>4255</v>
      </c>
      <c r="K392" s="81">
        <f>Table11[[#This Row],[Forecasted_Units]]*0.1</f>
        <v>9.9531569630278511</v>
      </c>
      <c r="L392" s="82">
        <f>Table11[[#This Row],[Adjusted_Forecast]]+Table11[[#This Row],[Safety_Stock]]-Table11[[#This Row],[Inventory_On_Hand]]</f>
        <v>24.016296223584874</v>
      </c>
      <c r="M392" s="82">
        <f ca="1">MIN(Table11[[#This Row],[Production_Needed]],Table11[[#This Row],[Production_Capacity]])</f>
        <v>24.016296223584874</v>
      </c>
      <c r="N392" s="82">
        <f ca="1">MAX(Table11[[#This Row],[Production_Needed]]-Table11[[#This Row],[Planned_Production]],0)</f>
        <v>0</v>
      </c>
      <c r="O392" s="82">
        <f ca="1">Table11[[#This Row],[Inventory_On_Hand]]+Table11[[#This Row],[Planned_Production]]-Table11[[#This Row],[Forecasted_Units]]</f>
        <v>9.9531569630278511</v>
      </c>
      <c r="P392" cm="1">
        <f t="array" ref="P392">_xlfn.XLOOKUP(Table11[[#This Row],[Date]] &amp; Table11[[#This Row],[Vehicle_Type]], Table12[Date] &amp; Table12[Vehicle_Type],Table12[Feedback_Adjustment], 0)</f>
        <v>0</v>
      </c>
      <c r="Q392" s="82">
        <f>Table11[[#This Row],[Forecasted_Units]]*(1+Table11[[#This Row],[Adjustment_Percentage]])</f>
        <v>99.531569630278511</v>
      </c>
      <c r="R392" s="82"/>
    </row>
    <row r="393" spans="1:18">
      <c r="A393" s="54">
        <v>53735</v>
      </c>
      <c r="B393" s="15" t="s">
        <v>10</v>
      </c>
      <c r="C393" s="15" t="str">
        <f>TEXT(Table11[[#This Row],[Date]],"mmmm")</f>
        <v>February</v>
      </c>
      <c r="D393" s="15">
        <v>93</v>
      </c>
      <c r="E393" s="82">
        <f>_xlfn.FORECAST.LINEAR(Table11[[#This Row],[Date]],Table11[Units_Sold],Table11[Date])</f>
        <v>99.532733826935299</v>
      </c>
      <c r="F393" cm="1">
        <f t="array" ref="F393">_xlfn.IFS(Table11[[#This Row],[Vehicle_Type]]="SUV",250,Table11[[#This Row],[Vehicle_Type]]="Sedan",200,Table11[[#This Row],[Vehicle_Type]]="Hatchback",185,Table11[[#This Row],[Vehicle_Type]]="Electric",190,Table11[[#This Row],[Vehicle_Type]]="Truck",150)</f>
        <v>200</v>
      </c>
      <c r="G393">
        <f t="shared" ca="1" si="6"/>
        <v>21</v>
      </c>
      <c r="H393" s="82">
        <f>Table11[[#This Row],[Daily_Production]]-Table11[[#This Row],[Forecasted_Units]]</f>
        <v>100.4672661730647</v>
      </c>
      <c r="I393" cm="1">
        <f t="array" ref="I393">_xlfn.IFS(Table11[[#This Row],[Vehicle_Type]]="SUV",5,Table11[[#This Row],[Vehicle_Type]]="Sedan",7,Table11[[#This Row],[Vehicle_Type]]="Hatchback",10,Table11[[#This Row],[Vehicle_Type]]="Electric",11,Table11[[#This Row],[Vehicle_Type]]="Truck",13)</f>
        <v>7</v>
      </c>
      <c r="J393">
        <f ca="1">Table11[[#This Row],[Daily_Production]]*Table11[[#This Row],[Working_Days]]</f>
        <v>4200</v>
      </c>
      <c r="K393" s="81">
        <f>Table11[[#This Row],[Forecasted_Units]]*0.1</f>
        <v>9.9532733826935313</v>
      </c>
      <c r="L393" s="82">
        <f>Table11[[#This Row],[Adjusted_Forecast]]+Table11[[#This Row],[Safety_Stock]]-Table11[[#This Row],[Inventory_On_Hand]]</f>
        <v>9.0187410365641369</v>
      </c>
      <c r="M393" s="82">
        <f ca="1">MIN(Table11[[#This Row],[Production_Needed]],Table11[[#This Row],[Production_Capacity]])</f>
        <v>9.0187410365641369</v>
      </c>
      <c r="N393" s="82">
        <f ca="1">MAX(Table11[[#This Row],[Production_Needed]]-Table11[[#This Row],[Planned_Production]],0)</f>
        <v>0</v>
      </c>
      <c r="O393" s="82">
        <f ca="1">Table11[[#This Row],[Inventory_On_Hand]]+Table11[[#This Row],[Planned_Production]]-Table11[[#This Row],[Forecasted_Units]]</f>
        <v>9.9532733826935385</v>
      </c>
      <c r="P393" cm="1">
        <f t="array" ref="P393">_xlfn.XLOOKUP(Table11[[#This Row],[Date]] &amp; Table11[[#This Row],[Vehicle_Type]], Table12[Date] &amp; Table12[Vehicle_Type],Table12[Feedback_Adjustment], 0)</f>
        <v>0</v>
      </c>
      <c r="Q393" s="82">
        <f>Table11[[#This Row],[Forecasted_Units]]*(1+Table11[[#This Row],[Adjustment_Percentage]])</f>
        <v>99.532733826935299</v>
      </c>
      <c r="R393" s="82"/>
    </row>
    <row r="394" spans="1:18">
      <c r="A394" s="53">
        <v>53765</v>
      </c>
      <c r="B394" s="14" t="s">
        <v>11</v>
      </c>
      <c r="C394" s="15" t="str">
        <f>TEXT(Table11[[#This Row],[Date]],"mmmm")</f>
        <v>March</v>
      </c>
      <c r="D394" s="14">
        <v>104</v>
      </c>
      <c r="E394" s="82">
        <f>_xlfn.FORECAST.LINEAR(Table11[[#This Row],[Date]],Table11[Units_Sold],Table11[Date])</f>
        <v>99.533898023592087</v>
      </c>
      <c r="F394" cm="1">
        <f t="array" ref="F394">_xlfn.IFS(Table11[[#This Row],[Vehicle_Type]]="SUV",250,Table11[[#This Row],[Vehicle_Type]]="Sedan",200,Table11[[#This Row],[Vehicle_Type]]="Hatchback",185,Table11[[#This Row],[Vehicle_Type]]="Electric",190,Table11[[#This Row],[Vehicle_Type]]="Truck",150)</f>
        <v>185</v>
      </c>
      <c r="G394">
        <f t="shared" ca="1" si="6"/>
        <v>22</v>
      </c>
      <c r="H394" s="82">
        <f>Table11[[#This Row],[Daily_Production]]-Table11[[#This Row],[Forecasted_Units]]</f>
        <v>85.466101976407913</v>
      </c>
      <c r="I394" cm="1">
        <f t="array" ref="I394">_xlfn.IFS(Table11[[#This Row],[Vehicle_Type]]="SUV",5,Table11[[#This Row],[Vehicle_Type]]="Sedan",7,Table11[[#This Row],[Vehicle_Type]]="Hatchback",10,Table11[[#This Row],[Vehicle_Type]]="Electric",11,Table11[[#This Row],[Vehicle_Type]]="Truck",13)</f>
        <v>10</v>
      </c>
      <c r="J394">
        <f ca="1">Table11[[#This Row],[Daily_Production]]*Table11[[#This Row],[Working_Days]]</f>
        <v>4070</v>
      </c>
      <c r="K394" s="81">
        <f>Table11[[#This Row],[Forecasted_Units]]*0.1</f>
        <v>9.9533898023592098</v>
      </c>
      <c r="L394" s="82">
        <f>Table11[[#This Row],[Adjusted_Forecast]]+Table11[[#This Row],[Safety_Stock]]-Table11[[#This Row],[Inventory_On_Hand]]</f>
        <v>24.021185849543386</v>
      </c>
      <c r="M394" s="82">
        <f ca="1">MIN(Table11[[#This Row],[Production_Needed]],Table11[[#This Row],[Production_Capacity]])</f>
        <v>24.021185849543386</v>
      </c>
      <c r="N394" s="82">
        <f ca="1">MAX(Table11[[#This Row],[Production_Needed]]-Table11[[#This Row],[Planned_Production]],0)</f>
        <v>0</v>
      </c>
      <c r="O394" s="82">
        <f ca="1">Table11[[#This Row],[Inventory_On_Hand]]+Table11[[#This Row],[Planned_Production]]-Table11[[#This Row],[Forecasted_Units]]</f>
        <v>9.9533898023592116</v>
      </c>
      <c r="P394" cm="1">
        <f t="array" ref="P394">_xlfn.XLOOKUP(Table11[[#This Row],[Date]] &amp; Table11[[#This Row],[Vehicle_Type]], Table12[Date] &amp; Table12[Vehicle_Type],Table12[Feedback_Adjustment], 0)</f>
        <v>0</v>
      </c>
      <c r="Q394" s="82">
        <f>Table11[[#This Row],[Forecasted_Units]]*(1+Table11[[#This Row],[Adjustment_Percentage]])</f>
        <v>99.533898023592087</v>
      </c>
      <c r="R394" s="82"/>
    </row>
    <row r="395" spans="1:18">
      <c r="A395" s="54">
        <v>53795</v>
      </c>
      <c r="B395" s="15" t="s">
        <v>12</v>
      </c>
      <c r="C395" s="15" t="str">
        <f>TEXT(Table11[[#This Row],[Date]],"mmmm")</f>
        <v>April</v>
      </c>
      <c r="D395" s="15">
        <v>100</v>
      </c>
      <c r="E395" s="82">
        <f>_xlfn.FORECAST.LINEAR(Table11[[#This Row],[Date]],Table11[Units_Sold],Table11[Date])</f>
        <v>99.535062220248875</v>
      </c>
      <c r="F395" cm="1">
        <f t="array" ref="F395">_xlfn.IFS(Table11[[#This Row],[Vehicle_Type]]="SUV",250,Table11[[#This Row],[Vehicle_Type]]="Sedan",200,Table11[[#This Row],[Vehicle_Type]]="Hatchback",185,Table11[[#This Row],[Vehicle_Type]]="Electric",190,Table11[[#This Row],[Vehicle_Type]]="Truck",150)</f>
        <v>250</v>
      </c>
      <c r="G395">
        <f t="shared" ca="1" si="6"/>
        <v>22</v>
      </c>
      <c r="H395" s="82">
        <f>Table11[[#This Row],[Daily_Production]]-Table11[[#This Row],[Forecasted_Units]]</f>
        <v>150.46493777975112</v>
      </c>
      <c r="I395" cm="1">
        <f t="array" ref="I395">_xlfn.IFS(Table11[[#This Row],[Vehicle_Type]]="SUV",5,Table11[[#This Row],[Vehicle_Type]]="Sedan",7,Table11[[#This Row],[Vehicle_Type]]="Hatchback",10,Table11[[#This Row],[Vehicle_Type]]="Electric",11,Table11[[#This Row],[Vehicle_Type]]="Truck",13)</f>
        <v>5</v>
      </c>
      <c r="J395">
        <f ca="1">Table11[[#This Row],[Daily_Production]]*Table11[[#This Row],[Working_Days]]</f>
        <v>5500</v>
      </c>
      <c r="K395" s="81">
        <f>Table11[[#This Row],[Forecasted_Units]]*0.1</f>
        <v>9.9535062220248882</v>
      </c>
      <c r="L395" s="82">
        <f>Table11[[#This Row],[Adjusted_Forecast]]+Table11[[#This Row],[Safety_Stock]]-Table11[[#This Row],[Inventory_On_Hand]]</f>
        <v>-40.976369337477365</v>
      </c>
      <c r="M395" s="82">
        <f ca="1">MIN(Table11[[#This Row],[Production_Needed]],Table11[[#This Row],[Production_Capacity]])</f>
        <v>-40.976369337477365</v>
      </c>
      <c r="N395" s="82">
        <f ca="1">MAX(Table11[[#This Row],[Production_Needed]]-Table11[[#This Row],[Planned_Production]],0)</f>
        <v>0</v>
      </c>
      <c r="O395" s="82">
        <f ca="1">Table11[[#This Row],[Inventory_On_Hand]]+Table11[[#This Row],[Planned_Production]]-Table11[[#This Row],[Forecasted_Units]]</f>
        <v>9.9535062220248847</v>
      </c>
      <c r="P395" cm="1">
        <f t="array" ref="P395">_xlfn.XLOOKUP(Table11[[#This Row],[Date]] &amp; Table11[[#This Row],[Vehicle_Type]], Table12[Date] &amp; Table12[Vehicle_Type],Table12[Feedback_Adjustment], 0)</f>
        <v>0</v>
      </c>
      <c r="Q395" s="82">
        <f>Table11[[#This Row],[Forecasted_Units]]*(1+Table11[[#This Row],[Adjustment_Percentage]])</f>
        <v>99.535062220248875</v>
      </c>
      <c r="R395" s="82"/>
    </row>
    <row r="396" spans="1:18">
      <c r="A396" s="53">
        <v>53825</v>
      </c>
      <c r="B396" s="14" t="s">
        <v>12</v>
      </c>
      <c r="C396" s="15" t="str">
        <f>TEXT(Table11[[#This Row],[Date]],"mmmm")</f>
        <v>May</v>
      </c>
      <c r="D396" s="14">
        <v>89</v>
      </c>
      <c r="E396" s="82">
        <f>_xlfn.FORECAST.LINEAR(Table11[[#This Row],[Date]],Table11[Units_Sold],Table11[Date])</f>
        <v>99.536226416905663</v>
      </c>
      <c r="F396" cm="1">
        <f t="array" ref="F396">_xlfn.IFS(Table11[[#This Row],[Vehicle_Type]]="SUV",250,Table11[[#This Row],[Vehicle_Type]]="Sedan",200,Table11[[#This Row],[Vehicle_Type]]="Hatchback",185,Table11[[#This Row],[Vehicle_Type]]="Electric",190,Table11[[#This Row],[Vehicle_Type]]="Truck",150)</f>
        <v>250</v>
      </c>
      <c r="G396">
        <f t="shared" ca="1" si="6"/>
        <v>21</v>
      </c>
      <c r="H396" s="82">
        <f>Table11[[#This Row],[Daily_Production]]-Table11[[#This Row],[Forecasted_Units]]</f>
        <v>150.46377358309434</v>
      </c>
      <c r="I396" cm="1">
        <f t="array" ref="I396">_xlfn.IFS(Table11[[#This Row],[Vehicle_Type]]="SUV",5,Table11[[#This Row],[Vehicle_Type]]="Sedan",7,Table11[[#This Row],[Vehicle_Type]]="Hatchback",10,Table11[[#This Row],[Vehicle_Type]]="Electric",11,Table11[[#This Row],[Vehicle_Type]]="Truck",13)</f>
        <v>5</v>
      </c>
      <c r="J396">
        <f ca="1">Table11[[#This Row],[Daily_Production]]*Table11[[#This Row],[Working_Days]]</f>
        <v>5250</v>
      </c>
      <c r="K396" s="81">
        <f>Table11[[#This Row],[Forecasted_Units]]*0.1</f>
        <v>9.9536226416905667</v>
      </c>
      <c r="L396" s="82">
        <f>Table11[[#This Row],[Adjusted_Forecast]]+Table11[[#This Row],[Safety_Stock]]-Table11[[#This Row],[Inventory_On_Hand]]</f>
        <v>-40.973924524498102</v>
      </c>
      <c r="M396" s="82">
        <f ca="1">MIN(Table11[[#This Row],[Production_Needed]],Table11[[#This Row],[Production_Capacity]])</f>
        <v>-40.973924524498102</v>
      </c>
      <c r="N396" s="82">
        <f ca="1">MAX(Table11[[#This Row],[Production_Needed]]-Table11[[#This Row],[Planned_Production]],0)</f>
        <v>0</v>
      </c>
      <c r="O396" s="82">
        <f ca="1">Table11[[#This Row],[Inventory_On_Hand]]+Table11[[#This Row],[Planned_Production]]-Table11[[#This Row],[Forecasted_Units]]</f>
        <v>9.953622641690572</v>
      </c>
      <c r="P396" cm="1">
        <f t="array" ref="P396">_xlfn.XLOOKUP(Table11[[#This Row],[Date]] &amp; Table11[[#This Row],[Vehicle_Type]], Table12[Date] &amp; Table12[Vehicle_Type],Table12[Feedback_Adjustment], 0)</f>
        <v>0</v>
      </c>
      <c r="Q396" s="82">
        <f>Table11[[#This Row],[Forecasted_Units]]*(1+Table11[[#This Row],[Adjustment_Percentage]])</f>
        <v>99.536226416905663</v>
      </c>
      <c r="R396" s="82"/>
    </row>
    <row r="397" spans="1:18">
      <c r="A397" s="54">
        <v>53855</v>
      </c>
      <c r="B397" s="15" t="s">
        <v>10</v>
      </c>
      <c r="C397" s="15" t="str">
        <f>TEXT(Table11[[#This Row],[Date]],"mmmm")</f>
        <v>June</v>
      </c>
      <c r="D397" s="15">
        <v>86</v>
      </c>
      <c r="E397" s="82">
        <f>_xlfn.FORECAST.LINEAR(Table11[[#This Row],[Date]],Table11[Units_Sold],Table11[Date])</f>
        <v>99.537390613562451</v>
      </c>
      <c r="F397" cm="1">
        <f t="array" ref="F397">_xlfn.IFS(Table11[[#This Row],[Vehicle_Type]]="SUV",250,Table11[[#This Row],[Vehicle_Type]]="Sedan",200,Table11[[#This Row],[Vehicle_Type]]="Hatchback",185,Table11[[#This Row],[Vehicle_Type]]="Electric",190,Table11[[#This Row],[Vehicle_Type]]="Truck",150)</f>
        <v>200</v>
      </c>
      <c r="G397">
        <f t="shared" ca="1" si="6"/>
        <v>24</v>
      </c>
      <c r="H397" s="82">
        <f>Table11[[#This Row],[Daily_Production]]-Table11[[#This Row],[Forecasted_Units]]</f>
        <v>100.46260938643755</v>
      </c>
      <c r="I397" cm="1">
        <f t="array" ref="I397">_xlfn.IFS(Table11[[#This Row],[Vehicle_Type]]="SUV",5,Table11[[#This Row],[Vehicle_Type]]="Sedan",7,Table11[[#This Row],[Vehicle_Type]]="Hatchback",10,Table11[[#This Row],[Vehicle_Type]]="Electric",11,Table11[[#This Row],[Vehicle_Type]]="Truck",13)</f>
        <v>7</v>
      </c>
      <c r="J397">
        <f ca="1">Table11[[#This Row],[Daily_Production]]*Table11[[#This Row],[Working_Days]]</f>
        <v>4800</v>
      </c>
      <c r="K397" s="81">
        <f>Table11[[#This Row],[Forecasted_Units]]*0.1</f>
        <v>9.9537390613562451</v>
      </c>
      <c r="L397" s="82">
        <f>Table11[[#This Row],[Adjusted_Forecast]]+Table11[[#This Row],[Safety_Stock]]-Table11[[#This Row],[Inventory_On_Hand]]</f>
        <v>9.0285202884811468</v>
      </c>
      <c r="M397" s="82">
        <f ca="1">MIN(Table11[[#This Row],[Production_Needed]],Table11[[#This Row],[Production_Capacity]])</f>
        <v>9.0285202884811468</v>
      </c>
      <c r="N397" s="82">
        <f ca="1">MAX(Table11[[#This Row],[Production_Needed]]-Table11[[#This Row],[Planned_Production]],0)</f>
        <v>0</v>
      </c>
      <c r="O397" s="82">
        <f ca="1">Table11[[#This Row],[Inventory_On_Hand]]+Table11[[#This Row],[Planned_Production]]-Table11[[#This Row],[Forecasted_Units]]</f>
        <v>9.9537390613562451</v>
      </c>
      <c r="P397" cm="1">
        <f t="array" ref="P397">_xlfn.XLOOKUP(Table11[[#This Row],[Date]] &amp; Table11[[#This Row],[Vehicle_Type]], Table12[Date] &amp; Table12[Vehicle_Type],Table12[Feedback_Adjustment], 0)</f>
        <v>0</v>
      </c>
      <c r="Q397" s="82">
        <f>Table11[[#This Row],[Forecasted_Units]]*(1+Table11[[#This Row],[Adjustment_Percentage]])</f>
        <v>99.537390613562451</v>
      </c>
      <c r="R397" s="82"/>
    </row>
    <row r="398" spans="1:18">
      <c r="A398" s="53">
        <v>53885</v>
      </c>
      <c r="B398" s="14" t="s">
        <v>11</v>
      </c>
      <c r="C398" s="15" t="str">
        <f>TEXT(Table11[[#This Row],[Date]],"mmmm")</f>
        <v>July</v>
      </c>
      <c r="D398" s="14">
        <v>93</v>
      </c>
      <c r="E398" s="82">
        <f>_xlfn.FORECAST.LINEAR(Table11[[#This Row],[Date]],Table11[Units_Sold],Table11[Date])</f>
        <v>99.538554810219239</v>
      </c>
      <c r="F398" cm="1">
        <f t="array" ref="F398">_xlfn.IFS(Table11[[#This Row],[Vehicle_Type]]="SUV",250,Table11[[#This Row],[Vehicle_Type]]="Sedan",200,Table11[[#This Row],[Vehicle_Type]]="Hatchback",185,Table11[[#This Row],[Vehicle_Type]]="Electric",190,Table11[[#This Row],[Vehicle_Type]]="Truck",150)</f>
        <v>185</v>
      </c>
      <c r="G398">
        <f t="shared" ca="1" si="6"/>
        <v>24</v>
      </c>
      <c r="H398" s="82">
        <f>Table11[[#This Row],[Daily_Production]]-Table11[[#This Row],[Forecasted_Units]]</f>
        <v>85.461445189780761</v>
      </c>
      <c r="I398" cm="1">
        <f t="array" ref="I398">_xlfn.IFS(Table11[[#This Row],[Vehicle_Type]]="SUV",5,Table11[[#This Row],[Vehicle_Type]]="Sedan",7,Table11[[#This Row],[Vehicle_Type]]="Hatchback",10,Table11[[#This Row],[Vehicle_Type]]="Electric",11,Table11[[#This Row],[Vehicle_Type]]="Truck",13)</f>
        <v>10</v>
      </c>
      <c r="J398">
        <f ca="1">Table11[[#This Row],[Daily_Production]]*Table11[[#This Row],[Working_Days]]</f>
        <v>4440</v>
      </c>
      <c r="K398" s="81">
        <f>Table11[[#This Row],[Forecasted_Units]]*0.1</f>
        <v>9.9538554810219253</v>
      </c>
      <c r="L398" s="82">
        <f>Table11[[#This Row],[Adjusted_Forecast]]+Table11[[#This Row],[Safety_Stock]]-Table11[[#This Row],[Inventory_On_Hand]]</f>
        <v>24.030965101460396</v>
      </c>
      <c r="M398" s="82">
        <f ca="1">MIN(Table11[[#This Row],[Production_Needed]],Table11[[#This Row],[Production_Capacity]])</f>
        <v>24.030965101460396</v>
      </c>
      <c r="N398" s="82">
        <f ca="1">MAX(Table11[[#This Row],[Production_Needed]]-Table11[[#This Row],[Planned_Production]],0)</f>
        <v>0</v>
      </c>
      <c r="O398" s="82">
        <f ca="1">Table11[[#This Row],[Inventory_On_Hand]]+Table11[[#This Row],[Planned_Production]]-Table11[[#This Row],[Forecasted_Units]]</f>
        <v>9.9538554810219182</v>
      </c>
      <c r="P398" cm="1">
        <f t="array" ref="P398">_xlfn.XLOOKUP(Table11[[#This Row],[Date]] &amp; Table11[[#This Row],[Vehicle_Type]], Table12[Date] &amp; Table12[Vehicle_Type],Table12[Feedback_Adjustment], 0)</f>
        <v>0</v>
      </c>
      <c r="Q398" s="82">
        <f>Table11[[#This Row],[Forecasted_Units]]*(1+Table11[[#This Row],[Adjustment_Percentage]])</f>
        <v>99.538554810219239</v>
      </c>
      <c r="R398" s="82"/>
    </row>
    <row r="399" spans="1:18">
      <c r="A399" s="54">
        <v>53915</v>
      </c>
      <c r="B399" s="15" t="s">
        <v>13</v>
      </c>
      <c r="C399" s="15" t="str">
        <f>TEXT(Table11[[#This Row],[Date]],"mmmm")</f>
        <v>August</v>
      </c>
      <c r="D399" s="15">
        <v>104</v>
      </c>
      <c r="E399" s="82">
        <f>_xlfn.FORECAST.LINEAR(Table11[[#This Row],[Date]],Table11[Units_Sold],Table11[Date])</f>
        <v>99.539719006876027</v>
      </c>
      <c r="F399" cm="1">
        <f t="array" ref="F399">_xlfn.IFS(Table11[[#This Row],[Vehicle_Type]]="SUV",250,Table11[[#This Row],[Vehicle_Type]]="Sedan",200,Table11[[#This Row],[Vehicle_Type]]="Hatchback",185,Table11[[#This Row],[Vehicle_Type]]="Electric",190,Table11[[#This Row],[Vehicle_Type]]="Truck",150)</f>
        <v>190</v>
      </c>
      <c r="G399">
        <f t="shared" ca="1" si="6"/>
        <v>24</v>
      </c>
      <c r="H399" s="82">
        <f>Table11[[#This Row],[Daily_Production]]-Table11[[#This Row],[Forecasted_Units]]</f>
        <v>90.460280993123973</v>
      </c>
      <c r="I399" cm="1">
        <f t="array" ref="I399">_xlfn.IFS(Table11[[#This Row],[Vehicle_Type]]="SUV",5,Table11[[#This Row],[Vehicle_Type]]="Sedan",7,Table11[[#This Row],[Vehicle_Type]]="Hatchback",10,Table11[[#This Row],[Vehicle_Type]]="Electric",11,Table11[[#This Row],[Vehicle_Type]]="Truck",13)</f>
        <v>11</v>
      </c>
      <c r="J399">
        <f ca="1">Table11[[#This Row],[Daily_Production]]*Table11[[#This Row],[Working_Days]]</f>
        <v>4560</v>
      </c>
      <c r="K399" s="81">
        <f>Table11[[#This Row],[Forecasted_Units]]*0.1</f>
        <v>9.9539719006876037</v>
      </c>
      <c r="L399" s="82">
        <f>Table11[[#This Row],[Adjusted_Forecast]]+Table11[[#This Row],[Safety_Stock]]-Table11[[#This Row],[Inventory_On_Hand]]</f>
        <v>19.033409914439659</v>
      </c>
      <c r="M399" s="82">
        <f ca="1">MIN(Table11[[#This Row],[Production_Needed]],Table11[[#This Row],[Production_Capacity]])</f>
        <v>19.033409914439659</v>
      </c>
      <c r="N399" s="82">
        <f ca="1">MAX(Table11[[#This Row],[Production_Needed]]-Table11[[#This Row],[Planned_Production]],0)</f>
        <v>0</v>
      </c>
      <c r="O399" s="82">
        <f ca="1">Table11[[#This Row],[Inventory_On_Hand]]+Table11[[#This Row],[Planned_Production]]-Table11[[#This Row],[Forecasted_Units]]</f>
        <v>9.9539719006876055</v>
      </c>
      <c r="P399" cm="1">
        <f t="array" ref="P399">_xlfn.XLOOKUP(Table11[[#This Row],[Date]] &amp; Table11[[#This Row],[Vehicle_Type]], Table12[Date] &amp; Table12[Vehicle_Type],Table12[Feedback_Adjustment], 0)</f>
        <v>0</v>
      </c>
      <c r="Q399" s="82">
        <f>Table11[[#This Row],[Forecasted_Units]]*(1+Table11[[#This Row],[Adjustment_Percentage]])</f>
        <v>99.539719006876027</v>
      </c>
      <c r="R399" s="82"/>
    </row>
    <row r="400" spans="1:18">
      <c r="A400" s="53">
        <v>53945</v>
      </c>
      <c r="B400" s="14" t="s">
        <v>14</v>
      </c>
      <c r="C400" s="15" t="str">
        <f>TEXT(Table11[[#This Row],[Date]],"mmmm")</f>
        <v>September</v>
      </c>
      <c r="D400" s="14">
        <v>91</v>
      </c>
      <c r="E400" s="82">
        <f>_xlfn.FORECAST.LINEAR(Table11[[#This Row],[Date]],Table11[Units_Sold],Table11[Date])</f>
        <v>99.540883203532815</v>
      </c>
      <c r="F400" cm="1">
        <f t="array" ref="F400">_xlfn.IFS(Table11[[#This Row],[Vehicle_Type]]="SUV",250,Table11[[#This Row],[Vehicle_Type]]="Sedan",200,Table11[[#This Row],[Vehicle_Type]]="Hatchback",185,Table11[[#This Row],[Vehicle_Type]]="Electric",190,Table11[[#This Row],[Vehicle_Type]]="Truck",150)</f>
        <v>150</v>
      </c>
      <c r="G400">
        <f t="shared" ca="1" si="6"/>
        <v>24</v>
      </c>
      <c r="H400" s="82">
        <f>Table11[[#This Row],[Daily_Production]]-Table11[[#This Row],[Forecasted_Units]]</f>
        <v>50.459116796467185</v>
      </c>
      <c r="I400" cm="1">
        <f t="array" ref="I400">_xlfn.IFS(Table11[[#This Row],[Vehicle_Type]]="SUV",5,Table11[[#This Row],[Vehicle_Type]]="Sedan",7,Table11[[#This Row],[Vehicle_Type]]="Hatchback",10,Table11[[#This Row],[Vehicle_Type]]="Electric",11,Table11[[#This Row],[Vehicle_Type]]="Truck",13)</f>
        <v>13</v>
      </c>
      <c r="J400">
        <f ca="1">Table11[[#This Row],[Daily_Production]]*Table11[[#This Row],[Working_Days]]</f>
        <v>3600</v>
      </c>
      <c r="K400" s="81">
        <f>Table11[[#This Row],[Forecasted_Units]]*0.1</f>
        <v>9.9540883203532822</v>
      </c>
      <c r="L400" s="82">
        <f>Table11[[#This Row],[Adjusted_Forecast]]+Table11[[#This Row],[Safety_Stock]]-Table11[[#This Row],[Inventory_On_Hand]]</f>
        <v>59.035854727418908</v>
      </c>
      <c r="M400" s="82">
        <f ca="1">MIN(Table11[[#This Row],[Production_Needed]],Table11[[#This Row],[Production_Capacity]])</f>
        <v>59.035854727418908</v>
      </c>
      <c r="N400" s="82">
        <f ca="1">MAX(Table11[[#This Row],[Production_Needed]]-Table11[[#This Row],[Planned_Production]],0)</f>
        <v>0</v>
      </c>
      <c r="O400" s="82">
        <f ca="1">Table11[[#This Row],[Inventory_On_Hand]]+Table11[[#This Row],[Planned_Production]]-Table11[[#This Row],[Forecasted_Units]]</f>
        <v>9.9540883203532786</v>
      </c>
      <c r="P400" cm="1">
        <f t="array" ref="P400">_xlfn.XLOOKUP(Table11[[#This Row],[Date]] &amp; Table11[[#This Row],[Vehicle_Type]], Table12[Date] &amp; Table12[Vehicle_Type],Table12[Feedback_Adjustment], 0)</f>
        <v>0</v>
      </c>
      <c r="Q400" s="82">
        <f>Table11[[#This Row],[Forecasted_Units]]*(1+Table11[[#This Row],[Adjustment_Percentage]])</f>
        <v>99.540883203532815</v>
      </c>
      <c r="R400" s="82"/>
    </row>
    <row r="401" spans="1:18">
      <c r="A401" s="54">
        <v>53975</v>
      </c>
      <c r="B401" s="15" t="s">
        <v>13</v>
      </c>
      <c r="C401" s="15" t="str">
        <f>TEXT(Table11[[#This Row],[Date]],"mmmm")</f>
        <v>October</v>
      </c>
      <c r="D401" s="15">
        <v>113</v>
      </c>
      <c r="E401" s="82">
        <f>_xlfn.FORECAST.LINEAR(Table11[[#This Row],[Date]],Table11[Units_Sold],Table11[Date])</f>
        <v>99.542047400189588</v>
      </c>
      <c r="F401" cm="1">
        <f t="array" ref="F401">_xlfn.IFS(Table11[[#This Row],[Vehicle_Type]]="SUV",250,Table11[[#This Row],[Vehicle_Type]]="Sedan",200,Table11[[#This Row],[Vehicle_Type]]="Hatchback",185,Table11[[#This Row],[Vehicle_Type]]="Electric",190,Table11[[#This Row],[Vehicle_Type]]="Truck",150)</f>
        <v>190</v>
      </c>
      <c r="G401">
        <f t="shared" ca="1" si="6"/>
        <v>20</v>
      </c>
      <c r="H401" s="82">
        <f>Table11[[#This Row],[Daily_Production]]-Table11[[#This Row],[Forecasted_Units]]</f>
        <v>90.457952599810412</v>
      </c>
      <c r="I401" cm="1">
        <f t="array" ref="I401">_xlfn.IFS(Table11[[#This Row],[Vehicle_Type]]="SUV",5,Table11[[#This Row],[Vehicle_Type]]="Sedan",7,Table11[[#This Row],[Vehicle_Type]]="Hatchback",10,Table11[[#This Row],[Vehicle_Type]]="Electric",11,Table11[[#This Row],[Vehicle_Type]]="Truck",13)</f>
        <v>11</v>
      </c>
      <c r="J401">
        <f ca="1">Table11[[#This Row],[Daily_Production]]*Table11[[#This Row],[Working_Days]]</f>
        <v>3800</v>
      </c>
      <c r="K401" s="81">
        <f>Table11[[#This Row],[Forecasted_Units]]*0.1</f>
        <v>9.9542047400189588</v>
      </c>
      <c r="L401" s="82">
        <f>Table11[[#This Row],[Adjusted_Forecast]]+Table11[[#This Row],[Safety_Stock]]-Table11[[#This Row],[Inventory_On_Hand]]</f>
        <v>19.038299540398143</v>
      </c>
      <c r="M401" s="82">
        <f ca="1">MIN(Table11[[#This Row],[Production_Needed]],Table11[[#This Row],[Production_Capacity]])</f>
        <v>19.038299540398143</v>
      </c>
      <c r="N401" s="82">
        <f ca="1">MAX(Table11[[#This Row],[Production_Needed]]-Table11[[#This Row],[Planned_Production]],0)</f>
        <v>0</v>
      </c>
      <c r="O401" s="82">
        <f ca="1">Table11[[#This Row],[Inventory_On_Hand]]+Table11[[#This Row],[Planned_Production]]-Table11[[#This Row],[Forecasted_Units]]</f>
        <v>9.9542047400189659</v>
      </c>
      <c r="P401" cm="1">
        <f t="array" ref="P401">_xlfn.XLOOKUP(Table11[[#This Row],[Date]] &amp; Table11[[#This Row],[Vehicle_Type]], Table12[Date] &amp; Table12[Vehicle_Type],Table12[Feedback_Adjustment], 0)</f>
        <v>0</v>
      </c>
      <c r="Q401" s="82">
        <f>Table11[[#This Row],[Forecasted_Units]]*(1+Table11[[#This Row],[Adjustment_Percentage]])</f>
        <v>99.542047400189588</v>
      </c>
      <c r="R401" s="82"/>
    </row>
    <row r="402" spans="1:18">
      <c r="A402" s="53">
        <v>54005</v>
      </c>
      <c r="B402" s="14" t="s">
        <v>12</v>
      </c>
      <c r="C402" s="15" t="str">
        <f>TEXT(Table11[[#This Row],[Date]],"mmmm")</f>
        <v>November</v>
      </c>
      <c r="D402" s="14">
        <v>103</v>
      </c>
      <c r="E402" s="82">
        <f>_xlfn.FORECAST.LINEAR(Table11[[#This Row],[Date]],Table11[Units_Sold],Table11[Date])</f>
        <v>99.543211596846376</v>
      </c>
      <c r="F402" cm="1">
        <f t="array" ref="F402">_xlfn.IFS(Table11[[#This Row],[Vehicle_Type]]="SUV",250,Table11[[#This Row],[Vehicle_Type]]="Sedan",200,Table11[[#This Row],[Vehicle_Type]]="Hatchback",185,Table11[[#This Row],[Vehicle_Type]]="Electric",190,Table11[[#This Row],[Vehicle_Type]]="Truck",150)</f>
        <v>250</v>
      </c>
      <c r="G402">
        <f t="shared" ca="1" si="6"/>
        <v>22</v>
      </c>
      <c r="H402" s="82">
        <f>Table11[[#This Row],[Daily_Production]]-Table11[[#This Row],[Forecasted_Units]]</f>
        <v>150.45678840315361</v>
      </c>
      <c r="I402" cm="1">
        <f t="array" ref="I402">_xlfn.IFS(Table11[[#This Row],[Vehicle_Type]]="SUV",5,Table11[[#This Row],[Vehicle_Type]]="Sedan",7,Table11[[#This Row],[Vehicle_Type]]="Hatchback",10,Table11[[#This Row],[Vehicle_Type]]="Electric",11,Table11[[#This Row],[Vehicle_Type]]="Truck",13)</f>
        <v>5</v>
      </c>
      <c r="J402">
        <f ca="1">Table11[[#This Row],[Daily_Production]]*Table11[[#This Row],[Working_Days]]</f>
        <v>5500</v>
      </c>
      <c r="K402" s="81">
        <f>Table11[[#This Row],[Forecasted_Units]]*0.1</f>
        <v>9.954321159684639</v>
      </c>
      <c r="L402" s="82">
        <f>Table11[[#This Row],[Adjusted_Forecast]]+Table11[[#This Row],[Safety_Stock]]-Table11[[#This Row],[Inventory_On_Hand]]</f>
        <v>-40.959255646622594</v>
      </c>
      <c r="M402" s="82">
        <f ca="1">MIN(Table11[[#This Row],[Production_Needed]],Table11[[#This Row],[Production_Capacity]])</f>
        <v>-40.959255646622594</v>
      </c>
      <c r="N402" s="82">
        <f ca="1">MAX(Table11[[#This Row],[Production_Needed]]-Table11[[#This Row],[Planned_Production]],0)</f>
        <v>0</v>
      </c>
      <c r="O402" s="82">
        <f ca="1">Table11[[#This Row],[Inventory_On_Hand]]+Table11[[#This Row],[Planned_Production]]-Table11[[#This Row],[Forecasted_Units]]</f>
        <v>9.954321159684639</v>
      </c>
      <c r="P402" cm="1">
        <f t="array" ref="P402">_xlfn.XLOOKUP(Table11[[#This Row],[Date]] &amp; Table11[[#This Row],[Vehicle_Type]], Table12[Date] &amp; Table12[Vehicle_Type],Table12[Feedback_Adjustment], 0)</f>
        <v>0</v>
      </c>
      <c r="Q402" s="82">
        <f>Table11[[#This Row],[Forecasted_Units]]*(1+Table11[[#This Row],[Adjustment_Percentage]])</f>
        <v>99.543211596846376</v>
      </c>
      <c r="R402" s="82"/>
    </row>
    <row r="403" spans="1:18">
      <c r="A403" s="54">
        <v>54035</v>
      </c>
      <c r="B403" s="15" t="s">
        <v>12</v>
      </c>
      <c r="C403" s="15" t="str">
        <f>TEXT(Table11[[#This Row],[Date]],"mmmm")</f>
        <v>December</v>
      </c>
      <c r="D403" s="15">
        <v>98</v>
      </c>
      <c r="E403" s="82">
        <f>_xlfn.FORECAST.LINEAR(Table11[[#This Row],[Date]],Table11[Units_Sold],Table11[Date])</f>
        <v>99.544375793503164</v>
      </c>
      <c r="F403" cm="1">
        <f t="array" ref="F403">_xlfn.IFS(Table11[[#This Row],[Vehicle_Type]]="SUV",250,Table11[[#This Row],[Vehicle_Type]]="Sedan",200,Table11[[#This Row],[Vehicle_Type]]="Hatchback",185,Table11[[#This Row],[Vehicle_Type]]="Electric",190,Table11[[#This Row],[Vehicle_Type]]="Truck",150)</f>
        <v>250</v>
      </c>
      <c r="G403">
        <f t="shared" ca="1" si="6"/>
        <v>22</v>
      </c>
      <c r="H403" s="82">
        <f>Table11[[#This Row],[Daily_Production]]-Table11[[#This Row],[Forecasted_Units]]</f>
        <v>150.45562420649685</v>
      </c>
      <c r="I403" cm="1">
        <f t="array" ref="I403">_xlfn.IFS(Table11[[#This Row],[Vehicle_Type]]="SUV",5,Table11[[#This Row],[Vehicle_Type]]="Sedan",7,Table11[[#This Row],[Vehicle_Type]]="Hatchback",10,Table11[[#This Row],[Vehicle_Type]]="Electric",11,Table11[[#This Row],[Vehicle_Type]]="Truck",13)</f>
        <v>5</v>
      </c>
      <c r="J403">
        <f ca="1">Table11[[#This Row],[Daily_Production]]*Table11[[#This Row],[Working_Days]]</f>
        <v>5500</v>
      </c>
      <c r="K403" s="81">
        <f>Table11[[#This Row],[Forecasted_Units]]*0.1</f>
        <v>9.9544375793503175</v>
      </c>
      <c r="L403" s="82">
        <f>Table11[[#This Row],[Adjusted_Forecast]]+Table11[[#This Row],[Safety_Stock]]-Table11[[#This Row],[Inventory_On_Hand]]</f>
        <v>-40.956810833643374</v>
      </c>
      <c r="M403" s="82">
        <f ca="1">MIN(Table11[[#This Row],[Production_Needed]],Table11[[#This Row],[Production_Capacity]])</f>
        <v>-40.956810833643374</v>
      </c>
      <c r="N403" s="82">
        <f ca="1">MAX(Table11[[#This Row],[Production_Needed]]-Table11[[#This Row],[Planned_Production]],0)</f>
        <v>0</v>
      </c>
      <c r="O403" s="82">
        <f ca="1">Table11[[#This Row],[Inventory_On_Hand]]+Table11[[#This Row],[Planned_Production]]-Table11[[#This Row],[Forecasted_Units]]</f>
        <v>9.9544375793503121</v>
      </c>
      <c r="P403" cm="1">
        <f t="array" ref="P403">_xlfn.XLOOKUP(Table11[[#This Row],[Date]] &amp; Table11[[#This Row],[Vehicle_Type]], Table12[Date] &amp; Table12[Vehicle_Type],Table12[Feedback_Adjustment], 0)</f>
        <v>0</v>
      </c>
      <c r="Q403" s="82">
        <f>Table11[[#This Row],[Forecasted_Units]]*(1+Table11[[#This Row],[Adjustment_Percentage]])</f>
        <v>99.544375793503164</v>
      </c>
      <c r="R403" s="82"/>
    </row>
    <row r="404" spans="1:18">
      <c r="A404" s="53">
        <v>54065</v>
      </c>
      <c r="B404" s="14" t="s">
        <v>12</v>
      </c>
      <c r="C404" s="15" t="str">
        <f>TEXT(Table11[[#This Row],[Date]],"mmmm")</f>
        <v>January</v>
      </c>
      <c r="D404" s="14">
        <v>100</v>
      </c>
      <c r="E404" s="82">
        <f>_xlfn.FORECAST.LINEAR(Table11[[#This Row],[Date]],Table11[Units_Sold],Table11[Date])</f>
        <v>99.545539990159952</v>
      </c>
      <c r="F404" cm="1">
        <f t="array" ref="F404">_xlfn.IFS(Table11[[#This Row],[Vehicle_Type]]="SUV",250,Table11[[#This Row],[Vehicle_Type]]="Sedan",200,Table11[[#This Row],[Vehicle_Type]]="Hatchback",185,Table11[[#This Row],[Vehicle_Type]]="Electric",190,Table11[[#This Row],[Vehicle_Type]]="Truck",150)</f>
        <v>250</v>
      </c>
      <c r="G404">
        <f t="shared" ca="1" si="6"/>
        <v>20</v>
      </c>
      <c r="H404" s="82">
        <f>Table11[[#This Row],[Daily_Production]]-Table11[[#This Row],[Forecasted_Units]]</f>
        <v>150.45446000984003</v>
      </c>
      <c r="I404" cm="1">
        <f t="array" ref="I404">_xlfn.IFS(Table11[[#This Row],[Vehicle_Type]]="SUV",5,Table11[[#This Row],[Vehicle_Type]]="Sedan",7,Table11[[#This Row],[Vehicle_Type]]="Hatchback",10,Table11[[#This Row],[Vehicle_Type]]="Electric",11,Table11[[#This Row],[Vehicle_Type]]="Truck",13)</f>
        <v>5</v>
      </c>
      <c r="J404">
        <f ca="1">Table11[[#This Row],[Daily_Production]]*Table11[[#This Row],[Working_Days]]</f>
        <v>5000</v>
      </c>
      <c r="K404" s="81">
        <f>Table11[[#This Row],[Forecasted_Units]]*0.1</f>
        <v>9.9545539990159959</v>
      </c>
      <c r="L404" s="82">
        <f>Table11[[#This Row],[Adjusted_Forecast]]+Table11[[#This Row],[Safety_Stock]]-Table11[[#This Row],[Inventory_On_Hand]]</f>
        <v>-40.954366020664082</v>
      </c>
      <c r="M404" s="82">
        <f ca="1">MIN(Table11[[#This Row],[Production_Needed]],Table11[[#This Row],[Production_Capacity]])</f>
        <v>-40.954366020664082</v>
      </c>
      <c r="N404" s="82">
        <f ca="1">MAX(Table11[[#This Row],[Production_Needed]]-Table11[[#This Row],[Planned_Production]],0)</f>
        <v>0</v>
      </c>
      <c r="O404" s="82">
        <f ca="1">Table11[[#This Row],[Inventory_On_Hand]]+Table11[[#This Row],[Planned_Production]]-Table11[[#This Row],[Forecasted_Units]]</f>
        <v>9.9545539990159995</v>
      </c>
      <c r="P404" cm="1">
        <f t="array" ref="P404">_xlfn.XLOOKUP(Table11[[#This Row],[Date]] &amp; Table11[[#This Row],[Vehicle_Type]], Table12[Date] &amp; Table12[Vehicle_Type],Table12[Feedback_Adjustment], 0)</f>
        <v>0</v>
      </c>
      <c r="Q404" s="82">
        <f>Table11[[#This Row],[Forecasted_Units]]*(1+Table11[[#This Row],[Adjustment_Percentage]])</f>
        <v>99.545539990159952</v>
      </c>
      <c r="R404" s="82"/>
    </row>
    <row r="405" spans="1:18">
      <c r="A405" s="54">
        <v>54095</v>
      </c>
      <c r="B405" s="15" t="s">
        <v>12</v>
      </c>
      <c r="C405" s="15" t="str">
        <f>TEXT(Table11[[#This Row],[Date]],"mmmm")</f>
        <v>February</v>
      </c>
      <c r="D405" s="15">
        <v>89</v>
      </c>
      <c r="E405" s="82">
        <f>_xlfn.FORECAST.LINEAR(Table11[[#This Row],[Date]],Table11[Units_Sold],Table11[Date])</f>
        <v>99.54670418681674</v>
      </c>
      <c r="F405" cm="1">
        <f t="array" ref="F405">_xlfn.IFS(Table11[[#This Row],[Vehicle_Type]]="SUV",250,Table11[[#This Row],[Vehicle_Type]]="Sedan",200,Table11[[#This Row],[Vehicle_Type]]="Hatchback",185,Table11[[#This Row],[Vehicle_Type]]="Electric",190,Table11[[#This Row],[Vehicle_Type]]="Truck",150)</f>
        <v>250</v>
      </c>
      <c r="G405">
        <f t="shared" ca="1" si="6"/>
        <v>21</v>
      </c>
      <c r="H405" s="82">
        <f>Table11[[#This Row],[Daily_Production]]-Table11[[#This Row],[Forecasted_Units]]</f>
        <v>150.45329581318327</v>
      </c>
      <c r="I405" cm="1">
        <f t="array" ref="I405">_xlfn.IFS(Table11[[#This Row],[Vehicle_Type]]="SUV",5,Table11[[#This Row],[Vehicle_Type]]="Sedan",7,Table11[[#This Row],[Vehicle_Type]]="Hatchback",10,Table11[[#This Row],[Vehicle_Type]]="Electric",11,Table11[[#This Row],[Vehicle_Type]]="Truck",13)</f>
        <v>5</v>
      </c>
      <c r="J405">
        <f ca="1">Table11[[#This Row],[Daily_Production]]*Table11[[#This Row],[Working_Days]]</f>
        <v>5250</v>
      </c>
      <c r="K405" s="81">
        <f>Table11[[#This Row],[Forecasted_Units]]*0.1</f>
        <v>9.9546704186816743</v>
      </c>
      <c r="L405" s="82">
        <f>Table11[[#This Row],[Adjusted_Forecast]]+Table11[[#This Row],[Safety_Stock]]-Table11[[#This Row],[Inventory_On_Hand]]</f>
        <v>-40.951921207684862</v>
      </c>
      <c r="M405" s="82">
        <f ca="1">MIN(Table11[[#This Row],[Production_Needed]],Table11[[#This Row],[Production_Capacity]])</f>
        <v>-40.951921207684862</v>
      </c>
      <c r="N405" s="82">
        <f ca="1">MAX(Table11[[#This Row],[Production_Needed]]-Table11[[#This Row],[Planned_Production]],0)</f>
        <v>0</v>
      </c>
      <c r="O405" s="82">
        <f ca="1">Table11[[#This Row],[Inventory_On_Hand]]+Table11[[#This Row],[Planned_Production]]-Table11[[#This Row],[Forecasted_Units]]</f>
        <v>9.9546704186816726</v>
      </c>
      <c r="P405" cm="1">
        <f t="array" ref="P405">_xlfn.XLOOKUP(Table11[[#This Row],[Date]] &amp; Table11[[#This Row],[Vehicle_Type]], Table12[Date] &amp; Table12[Vehicle_Type],Table12[Feedback_Adjustment], 0)</f>
        <v>0</v>
      </c>
      <c r="Q405" s="82">
        <f>Table11[[#This Row],[Forecasted_Units]]*(1+Table11[[#This Row],[Adjustment_Percentage]])</f>
        <v>99.54670418681674</v>
      </c>
      <c r="R405" s="82"/>
    </row>
    <row r="406" spans="1:18">
      <c r="A406" s="53">
        <v>54125</v>
      </c>
      <c r="B406" s="14" t="s">
        <v>14</v>
      </c>
      <c r="C406" s="15" t="str">
        <f>TEXT(Table11[[#This Row],[Date]],"mmmm")</f>
        <v>March</v>
      </c>
      <c r="D406" s="14">
        <v>83</v>
      </c>
      <c r="E406" s="82">
        <f>_xlfn.FORECAST.LINEAR(Table11[[#This Row],[Date]],Table11[Units_Sold],Table11[Date])</f>
        <v>99.547868383473528</v>
      </c>
      <c r="F406" cm="1">
        <f t="array" ref="F406">_xlfn.IFS(Table11[[#This Row],[Vehicle_Type]]="SUV",250,Table11[[#This Row],[Vehicle_Type]]="Sedan",200,Table11[[#This Row],[Vehicle_Type]]="Hatchback",185,Table11[[#This Row],[Vehicle_Type]]="Electric",190,Table11[[#This Row],[Vehicle_Type]]="Truck",150)</f>
        <v>150</v>
      </c>
      <c r="G406">
        <f t="shared" ca="1" si="6"/>
        <v>22</v>
      </c>
      <c r="H406" s="82">
        <f>Table11[[#This Row],[Daily_Production]]-Table11[[#This Row],[Forecasted_Units]]</f>
        <v>50.452131616526472</v>
      </c>
      <c r="I406" cm="1">
        <f t="array" ref="I406">_xlfn.IFS(Table11[[#This Row],[Vehicle_Type]]="SUV",5,Table11[[#This Row],[Vehicle_Type]]="Sedan",7,Table11[[#This Row],[Vehicle_Type]]="Hatchback",10,Table11[[#This Row],[Vehicle_Type]]="Electric",11,Table11[[#This Row],[Vehicle_Type]]="Truck",13)</f>
        <v>13</v>
      </c>
      <c r="J406">
        <f ca="1">Table11[[#This Row],[Daily_Production]]*Table11[[#This Row],[Working_Days]]</f>
        <v>3300</v>
      </c>
      <c r="K406" s="81">
        <f>Table11[[#This Row],[Forecasted_Units]]*0.1</f>
        <v>9.9547868383473528</v>
      </c>
      <c r="L406" s="82">
        <f>Table11[[#This Row],[Adjusted_Forecast]]+Table11[[#This Row],[Safety_Stock]]-Table11[[#This Row],[Inventory_On_Hand]]</f>
        <v>59.050523605294401</v>
      </c>
      <c r="M406" s="82">
        <f ca="1">MIN(Table11[[#This Row],[Production_Needed]],Table11[[#This Row],[Production_Capacity]])</f>
        <v>59.050523605294401</v>
      </c>
      <c r="N406" s="82">
        <f ca="1">MAX(Table11[[#This Row],[Production_Needed]]-Table11[[#This Row],[Planned_Production]],0)</f>
        <v>0</v>
      </c>
      <c r="O406" s="82">
        <f ca="1">Table11[[#This Row],[Inventory_On_Hand]]+Table11[[#This Row],[Planned_Production]]-Table11[[#This Row],[Forecasted_Units]]</f>
        <v>9.9547868383473457</v>
      </c>
      <c r="P406" cm="1">
        <f t="array" ref="P406">_xlfn.XLOOKUP(Table11[[#This Row],[Date]] &amp; Table11[[#This Row],[Vehicle_Type]], Table12[Date] &amp; Table12[Vehicle_Type],Table12[Feedback_Adjustment], 0)</f>
        <v>0</v>
      </c>
      <c r="Q406" s="82">
        <f>Table11[[#This Row],[Forecasted_Units]]*(1+Table11[[#This Row],[Adjustment_Percentage]])</f>
        <v>99.547868383473528</v>
      </c>
      <c r="R406" s="82"/>
    </row>
    <row r="407" spans="1:18">
      <c r="A407" s="54">
        <v>54155</v>
      </c>
      <c r="B407" s="15" t="s">
        <v>10</v>
      </c>
      <c r="C407" s="15" t="str">
        <f>TEXT(Table11[[#This Row],[Date]],"mmmm")</f>
        <v>April</v>
      </c>
      <c r="D407" s="15">
        <v>92</v>
      </c>
      <c r="E407" s="82">
        <f>_xlfn.FORECAST.LINEAR(Table11[[#This Row],[Date]],Table11[Units_Sold],Table11[Date])</f>
        <v>99.549032580130316</v>
      </c>
      <c r="F407" cm="1">
        <f t="array" ref="F407">_xlfn.IFS(Table11[[#This Row],[Vehicle_Type]]="SUV",250,Table11[[#This Row],[Vehicle_Type]]="Sedan",200,Table11[[#This Row],[Vehicle_Type]]="Hatchback",185,Table11[[#This Row],[Vehicle_Type]]="Electric",190,Table11[[#This Row],[Vehicle_Type]]="Truck",150)</f>
        <v>200</v>
      </c>
      <c r="G407">
        <f t="shared" ca="1" si="6"/>
        <v>25</v>
      </c>
      <c r="H407" s="82">
        <f>Table11[[#This Row],[Daily_Production]]-Table11[[#This Row],[Forecasted_Units]]</f>
        <v>100.45096741986968</v>
      </c>
      <c r="I407" cm="1">
        <f t="array" ref="I407">_xlfn.IFS(Table11[[#This Row],[Vehicle_Type]]="SUV",5,Table11[[#This Row],[Vehicle_Type]]="Sedan",7,Table11[[#This Row],[Vehicle_Type]]="Hatchback",10,Table11[[#This Row],[Vehicle_Type]]="Electric",11,Table11[[#This Row],[Vehicle_Type]]="Truck",13)</f>
        <v>7</v>
      </c>
      <c r="J407">
        <f ca="1">Table11[[#This Row],[Daily_Production]]*Table11[[#This Row],[Working_Days]]</f>
        <v>5000</v>
      </c>
      <c r="K407" s="81">
        <f>Table11[[#This Row],[Forecasted_Units]]*0.1</f>
        <v>9.954903258013033</v>
      </c>
      <c r="L407" s="82">
        <f>Table11[[#This Row],[Adjusted_Forecast]]+Table11[[#This Row],[Safety_Stock]]-Table11[[#This Row],[Inventory_On_Hand]]</f>
        <v>9.0529684182736645</v>
      </c>
      <c r="M407" s="82">
        <f ca="1">MIN(Table11[[#This Row],[Production_Needed]],Table11[[#This Row],[Production_Capacity]])</f>
        <v>9.0529684182736645</v>
      </c>
      <c r="N407" s="82">
        <f ca="1">MAX(Table11[[#This Row],[Production_Needed]]-Table11[[#This Row],[Planned_Production]],0)</f>
        <v>0</v>
      </c>
      <c r="O407" s="82">
        <f ca="1">Table11[[#This Row],[Inventory_On_Hand]]+Table11[[#This Row],[Planned_Production]]-Table11[[#This Row],[Forecasted_Units]]</f>
        <v>9.954903258013033</v>
      </c>
      <c r="P407" cm="1">
        <f t="array" ref="P407">_xlfn.XLOOKUP(Table11[[#This Row],[Date]] &amp; Table11[[#This Row],[Vehicle_Type]], Table12[Date] &amp; Table12[Vehicle_Type],Table12[Feedback_Adjustment], 0)</f>
        <v>0</v>
      </c>
      <c r="Q407" s="82">
        <f>Table11[[#This Row],[Forecasted_Units]]*(1+Table11[[#This Row],[Adjustment_Percentage]])</f>
        <v>99.549032580130316</v>
      </c>
      <c r="R407" s="82"/>
    </row>
    <row r="408" spans="1:18">
      <c r="A408" s="53">
        <v>54185</v>
      </c>
      <c r="B408" s="14" t="s">
        <v>12</v>
      </c>
      <c r="C408" s="15" t="str">
        <f>TEXT(Table11[[#This Row],[Date]],"mmmm")</f>
        <v>May</v>
      </c>
      <c r="D408" s="14">
        <f>IF(ISBLANK(D361), P362, D361)</f>
        <v>81</v>
      </c>
      <c r="E408" s="82">
        <f>_xlfn.FORECAST.LINEAR(Table11[[#This Row],[Date]],Table11[Units_Sold],Table11[Date])</f>
        <v>99.550196776787104</v>
      </c>
      <c r="F408" cm="1">
        <f t="array" ref="F408">_xlfn.IFS(Table11[[#This Row],[Vehicle_Type]]="SUV",250,Table11[[#This Row],[Vehicle_Type]]="Sedan",200,Table11[[#This Row],[Vehicle_Type]]="Hatchback",185,Table11[[#This Row],[Vehicle_Type]]="Electric",190,Table11[[#This Row],[Vehicle_Type]]="Truck",150)</f>
        <v>250</v>
      </c>
      <c r="G408">
        <f t="shared" ca="1" si="6"/>
        <v>21</v>
      </c>
      <c r="H408" s="82">
        <f>Table11[[#This Row],[Daily_Production]]-Table11[[#This Row],[Forecasted_Units]]</f>
        <v>150.44980322321288</v>
      </c>
      <c r="I408" cm="1">
        <f t="array" ref="I408">_xlfn.IFS(Table11[[#This Row],[Vehicle_Type]]="SUV",5,Table11[[#This Row],[Vehicle_Type]]="Sedan",7,Table11[[#This Row],[Vehicle_Type]]="Hatchback",10,Table11[[#This Row],[Vehicle_Type]]="Electric",11,Table11[[#This Row],[Vehicle_Type]]="Truck",13)</f>
        <v>5</v>
      </c>
      <c r="J408">
        <f ca="1">Table11[[#This Row],[Daily_Production]]*Table11[[#This Row],[Working_Days]]</f>
        <v>5250</v>
      </c>
      <c r="K408" s="81">
        <f>Table11[[#This Row],[Forecasted_Units]]*0.1</f>
        <v>9.9550196776787114</v>
      </c>
      <c r="L408" s="82">
        <f>Table11[[#This Row],[Adjusted_Forecast]]+Table11[[#This Row],[Safety_Stock]]-Table11[[#This Row],[Inventory_On_Hand]]</f>
        <v>-40.944586768747072</v>
      </c>
      <c r="M408" s="82">
        <f ca="1">MIN(Table11[[#This Row],[Production_Needed]],Table11[[#This Row],[Production_Capacity]])</f>
        <v>-40.944586768747072</v>
      </c>
      <c r="N408" s="82">
        <f ca="1">MAX(Table11[[#This Row],[Production_Needed]]-Table11[[#This Row],[Planned_Production]],0)</f>
        <v>0</v>
      </c>
      <c r="O408" s="82">
        <f ca="1">Table11[[#This Row],[Inventory_On_Hand]]+Table11[[#This Row],[Planned_Production]]-Table11[[#This Row],[Forecasted_Units]]</f>
        <v>9.9550196776787061</v>
      </c>
      <c r="P408" cm="1">
        <f t="array" ref="P408">_xlfn.XLOOKUP(Table11[[#This Row],[Date]] &amp; Table11[[#This Row],[Vehicle_Type]], Table12[Date] &amp; Table12[Vehicle_Type],Table12[Feedback_Adjustment], 0)</f>
        <v>0</v>
      </c>
      <c r="Q408" s="82">
        <f>Table11[[#This Row],[Forecasted_Units]]*(1+Table11[[#This Row],[Adjustment_Percentage]])</f>
        <v>99.550196776787104</v>
      </c>
      <c r="R408" s="82"/>
    </row>
    <row r="409" spans="1:18">
      <c r="A409" s="54">
        <v>54215</v>
      </c>
      <c r="B409" s="15" t="s">
        <v>11</v>
      </c>
      <c r="C409" s="15" t="str">
        <f>TEXT(Table11[[#This Row],[Date]],"mmmm")</f>
        <v>June</v>
      </c>
      <c r="D409" s="15">
        <f>IF(ISBLANK(D362), P363, D362)</f>
        <v>91</v>
      </c>
      <c r="E409" s="82">
        <f>_xlfn.FORECAST.LINEAR(Table11[[#This Row],[Date]],Table11[Units_Sold],Table11[Date])</f>
        <v>99.551360973443892</v>
      </c>
      <c r="F409" cm="1">
        <f t="array" ref="F409">_xlfn.IFS(Table11[[#This Row],[Vehicle_Type]]="SUV",250,Table11[[#This Row],[Vehicle_Type]]="Sedan",200,Table11[[#This Row],[Vehicle_Type]]="Hatchback",185,Table11[[#This Row],[Vehicle_Type]]="Electric",190,Table11[[#This Row],[Vehicle_Type]]="Truck",150)</f>
        <v>185</v>
      </c>
      <c r="G409">
        <f t="shared" ca="1" si="6"/>
        <v>22</v>
      </c>
      <c r="H409" s="82">
        <f>Table11[[#This Row],[Daily_Production]]-Table11[[#This Row],[Forecasted_Units]]</f>
        <v>85.448639026556108</v>
      </c>
      <c r="I409" cm="1">
        <f t="array" ref="I409">_xlfn.IFS(Table11[[#This Row],[Vehicle_Type]]="SUV",5,Table11[[#This Row],[Vehicle_Type]]="Sedan",7,Table11[[#This Row],[Vehicle_Type]]="Hatchback",10,Table11[[#This Row],[Vehicle_Type]]="Electric",11,Table11[[#This Row],[Vehicle_Type]]="Truck",13)</f>
        <v>10</v>
      </c>
      <c r="J409">
        <f ca="1">Table11[[#This Row],[Daily_Production]]*Table11[[#This Row],[Working_Days]]</f>
        <v>4070</v>
      </c>
      <c r="K409" s="81">
        <f>Table11[[#This Row],[Forecasted_Units]]*0.1</f>
        <v>9.9551360973443899</v>
      </c>
      <c r="L409" s="82">
        <f>Table11[[#This Row],[Adjusted_Forecast]]+Table11[[#This Row],[Safety_Stock]]-Table11[[#This Row],[Inventory_On_Hand]]</f>
        <v>24.057858044232177</v>
      </c>
      <c r="M409" s="82">
        <f ca="1">MIN(Table11[[#This Row],[Production_Needed]],Table11[[#This Row],[Production_Capacity]])</f>
        <v>24.057858044232177</v>
      </c>
      <c r="N409" s="82">
        <f ca="1">MAX(Table11[[#This Row],[Production_Needed]]-Table11[[#This Row],[Planned_Production]],0)</f>
        <v>0</v>
      </c>
      <c r="O409" s="82">
        <f ca="1">Table11[[#This Row],[Inventory_On_Hand]]+Table11[[#This Row],[Planned_Production]]-Table11[[#This Row],[Forecasted_Units]]</f>
        <v>9.9551360973443934</v>
      </c>
      <c r="P409" cm="1">
        <f t="array" ref="P409">_xlfn.XLOOKUP(Table11[[#This Row],[Date]] &amp; Table11[[#This Row],[Vehicle_Type]], Table12[Date] &amp; Table12[Vehicle_Type],Table12[Feedback_Adjustment], 0)</f>
        <v>0</v>
      </c>
      <c r="Q409" s="82">
        <f>Table11[[#This Row],[Forecasted_Units]]*(1+Table11[[#This Row],[Adjustment_Percentage]])</f>
        <v>99.551360973443892</v>
      </c>
      <c r="R409" s="82"/>
    </row>
    <row r="410" spans="1:18">
      <c r="A410" s="53">
        <v>54245</v>
      </c>
      <c r="B410" s="14" t="s">
        <v>14</v>
      </c>
      <c r="C410" s="15" t="str">
        <f>TEXT(Table11[[#This Row],[Date]],"mmmm")</f>
        <v>July</v>
      </c>
      <c r="D410" s="14">
        <v>102</v>
      </c>
      <c r="E410" s="82">
        <f>_xlfn.FORECAST.LINEAR(Table11[[#This Row],[Date]],Table11[Units_Sold],Table11[Date])</f>
        <v>99.552525170100679</v>
      </c>
      <c r="F410" cm="1">
        <f t="array" ref="F410">_xlfn.IFS(Table11[[#This Row],[Vehicle_Type]]="SUV",250,Table11[[#This Row],[Vehicle_Type]]="Sedan",200,Table11[[#This Row],[Vehicle_Type]]="Hatchback",185,Table11[[#This Row],[Vehicle_Type]]="Electric",190,Table11[[#This Row],[Vehicle_Type]]="Truck",150)</f>
        <v>150</v>
      </c>
      <c r="G410">
        <f t="shared" ca="1" si="6"/>
        <v>21</v>
      </c>
      <c r="H410" s="82">
        <f>Table11[[#This Row],[Daily_Production]]-Table11[[#This Row],[Forecasted_Units]]</f>
        <v>50.447474829899321</v>
      </c>
      <c r="I410" cm="1">
        <f t="array" ref="I410">_xlfn.IFS(Table11[[#This Row],[Vehicle_Type]]="SUV",5,Table11[[#This Row],[Vehicle_Type]]="Sedan",7,Table11[[#This Row],[Vehicle_Type]]="Hatchback",10,Table11[[#This Row],[Vehicle_Type]]="Electric",11,Table11[[#This Row],[Vehicle_Type]]="Truck",13)</f>
        <v>13</v>
      </c>
      <c r="J410">
        <f ca="1">Table11[[#This Row],[Daily_Production]]*Table11[[#This Row],[Working_Days]]</f>
        <v>3150</v>
      </c>
      <c r="K410" s="81">
        <f>Table11[[#This Row],[Forecasted_Units]]*0.1</f>
        <v>9.9552525170100683</v>
      </c>
      <c r="L410" s="82">
        <f>Table11[[#This Row],[Adjusted_Forecast]]+Table11[[#This Row],[Safety_Stock]]-Table11[[#This Row],[Inventory_On_Hand]]</f>
        <v>59.060302857211425</v>
      </c>
      <c r="M410" s="82">
        <f ca="1">MIN(Table11[[#This Row],[Production_Needed]],Table11[[#This Row],[Production_Capacity]])</f>
        <v>59.060302857211425</v>
      </c>
      <c r="N410" s="82">
        <f ca="1">MAX(Table11[[#This Row],[Production_Needed]]-Table11[[#This Row],[Planned_Production]],0)</f>
        <v>0</v>
      </c>
      <c r="O410" s="82">
        <f ca="1">Table11[[#This Row],[Inventory_On_Hand]]+Table11[[#This Row],[Planned_Production]]-Table11[[#This Row],[Forecasted_Units]]</f>
        <v>9.9552525170100665</v>
      </c>
      <c r="P410" cm="1">
        <f t="array" ref="P410">_xlfn.XLOOKUP(Table11[[#This Row],[Date]] &amp; Table11[[#This Row],[Vehicle_Type]], Table12[Date] &amp; Table12[Vehicle_Type],Table12[Feedback_Adjustment], 0)</f>
        <v>0</v>
      </c>
      <c r="Q410" s="82">
        <f>Table11[[#This Row],[Forecasted_Units]]*(1+Table11[[#This Row],[Adjustment_Percentage]])</f>
        <v>99.552525170100679</v>
      </c>
      <c r="R410" s="82"/>
    </row>
    <row r="411" spans="1:18">
      <c r="A411" s="54">
        <v>54275</v>
      </c>
      <c r="B411" s="15" t="s">
        <v>12</v>
      </c>
      <c r="C411" s="15" t="str">
        <f>TEXT(Table11[[#This Row],[Date]],"mmmm")</f>
        <v>August</v>
      </c>
      <c r="D411" s="15">
        <v>107</v>
      </c>
      <c r="E411" s="82">
        <f>_xlfn.FORECAST.LINEAR(Table11[[#This Row],[Date]],Table11[Units_Sold],Table11[Date])</f>
        <v>99.553689366757453</v>
      </c>
      <c r="F411" cm="1">
        <f t="array" ref="F411">_xlfn.IFS(Table11[[#This Row],[Vehicle_Type]]="SUV",250,Table11[[#This Row],[Vehicle_Type]]="Sedan",200,Table11[[#This Row],[Vehicle_Type]]="Hatchback",185,Table11[[#This Row],[Vehicle_Type]]="Electric",190,Table11[[#This Row],[Vehicle_Type]]="Truck",150)</f>
        <v>250</v>
      </c>
      <c r="G411">
        <f t="shared" ca="1" si="6"/>
        <v>25</v>
      </c>
      <c r="H411" s="82">
        <f>Table11[[#This Row],[Daily_Production]]-Table11[[#This Row],[Forecasted_Units]]</f>
        <v>150.44631063324255</v>
      </c>
      <c r="I411" cm="1">
        <f t="array" ref="I411">_xlfn.IFS(Table11[[#This Row],[Vehicle_Type]]="SUV",5,Table11[[#This Row],[Vehicle_Type]]="Sedan",7,Table11[[#This Row],[Vehicle_Type]]="Hatchback",10,Table11[[#This Row],[Vehicle_Type]]="Electric",11,Table11[[#This Row],[Vehicle_Type]]="Truck",13)</f>
        <v>5</v>
      </c>
      <c r="J411">
        <f ca="1">Table11[[#This Row],[Daily_Production]]*Table11[[#This Row],[Working_Days]]</f>
        <v>6250</v>
      </c>
      <c r="K411" s="81">
        <f>Table11[[#This Row],[Forecasted_Units]]*0.1</f>
        <v>9.9553689366757467</v>
      </c>
      <c r="L411" s="82">
        <f>Table11[[#This Row],[Adjusted_Forecast]]+Table11[[#This Row],[Safety_Stock]]-Table11[[#This Row],[Inventory_On_Hand]]</f>
        <v>-40.937252329809354</v>
      </c>
      <c r="M411" s="82">
        <f ca="1">MIN(Table11[[#This Row],[Production_Needed]],Table11[[#This Row],[Production_Capacity]])</f>
        <v>-40.937252329809354</v>
      </c>
      <c r="N411" s="82">
        <f ca="1">MAX(Table11[[#This Row],[Production_Needed]]-Table11[[#This Row],[Planned_Production]],0)</f>
        <v>0</v>
      </c>
      <c r="O411" s="82">
        <f ca="1">Table11[[#This Row],[Inventory_On_Hand]]+Table11[[#This Row],[Planned_Production]]-Table11[[#This Row],[Forecasted_Units]]</f>
        <v>9.9553689366757396</v>
      </c>
      <c r="P411" cm="1">
        <f t="array" ref="P411">_xlfn.XLOOKUP(Table11[[#This Row],[Date]] &amp; Table11[[#This Row],[Vehicle_Type]], Table12[Date] &amp; Table12[Vehicle_Type],Table12[Feedback_Adjustment], 0)</f>
        <v>0</v>
      </c>
      <c r="Q411" s="82">
        <f>Table11[[#This Row],[Forecasted_Units]]*(1+Table11[[#This Row],[Adjustment_Percentage]])</f>
        <v>99.553689366757453</v>
      </c>
      <c r="R411" s="82"/>
    </row>
    <row r="412" spans="1:18">
      <c r="A412" s="53">
        <v>54305</v>
      </c>
      <c r="B412" s="14" t="s">
        <v>11</v>
      </c>
      <c r="C412" s="15" t="str">
        <f>TEXT(Table11[[#This Row],[Date]],"mmmm")</f>
        <v>September</v>
      </c>
      <c r="D412" s="14">
        <v>103</v>
      </c>
      <c r="E412" s="82">
        <f>_xlfn.FORECAST.LINEAR(Table11[[#This Row],[Date]],Table11[Units_Sold],Table11[Date])</f>
        <v>99.554853563414241</v>
      </c>
      <c r="F412" cm="1">
        <f t="array" ref="F412">_xlfn.IFS(Table11[[#This Row],[Vehicle_Type]]="SUV",250,Table11[[#This Row],[Vehicle_Type]]="Sedan",200,Table11[[#This Row],[Vehicle_Type]]="Hatchback",185,Table11[[#This Row],[Vehicle_Type]]="Electric",190,Table11[[#This Row],[Vehicle_Type]]="Truck",150)</f>
        <v>185</v>
      </c>
      <c r="G412">
        <f t="shared" ca="1" si="6"/>
        <v>22</v>
      </c>
      <c r="H412" s="82">
        <f>Table11[[#This Row],[Daily_Production]]-Table11[[#This Row],[Forecasted_Units]]</f>
        <v>85.445146436585759</v>
      </c>
      <c r="I412" cm="1">
        <f t="array" ref="I412">_xlfn.IFS(Table11[[#This Row],[Vehicle_Type]]="SUV",5,Table11[[#This Row],[Vehicle_Type]]="Sedan",7,Table11[[#This Row],[Vehicle_Type]]="Hatchback",10,Table11[[#This Row],[Vehicle_Type]]="Electric",11,Table11[[#This Row],[Vehicle_Type]]="Truck",13)</f>
        <v>10</v>
      </c>
      <c r="J412">
        <f ca="1">Table11[[#This Row],[Daily_Production]]*Table11[[#This Row],[Working_Days]]</f>
        <v>4070</v>
      </c>
      <c r="K412" s="81">
        <f>Table11[[#This Row],[Forecasted_Units]]*0.1</f>
        <v>9.9554853563414252</v>
      </c>
      <c r="L412" s="82">
        <f>Table11[[#This Row],[Adjusted_Forecast]]+Table11[[#This Row],[Safety_Stock]]-Table11[[#This Row],[Inventory_On_Hand]]</f>
        <v>24.065192483169909</v>
      </c>
      <c r="M412" s="82">
        <f ca="1">MIN(Table11[[#This Row],[Production_Needed]],Table11[[#This Row],[Production_Capacity]])</f>
        <v>24.065192483169909</v>
      </c>
      <c r="N412" s="82">
        <f ca="1">MAX(Table11[[#This Row],[Production_Needed]]-Table11[[#This Row],[Planned_Production]],0)</f>
        <v>0</v>
      </c>
      <c r="O412" s="82">
        <f ca="1">Table11[[#This Row],[Inventory_On_Hand]]+Table11[[#This Row],[Planned_Production]]-Table11[[#This Row],[Forecasted_Units]]</f>
        <v>9.955485356341427</v>
      </c>
      <c r="P412" cm="1">
        <f t="array" ref="P412">_xlfn.XLOOKUP(Table11[[#This Row],[Date]] &amp; Table11[[#This Row],[Vehicle_Type]], Table12[Date] &amp; Table12[Vehicle_Type],Table12[Feedback_Adjustment], 0)</f>
        <v>0</v>
      </c>
      <c r="Q412" s="82">
        <f>Table11[[#This Row],[Forecasted_Units]]*(1+Table11[[#This Row],[Adjustment_Percentage]])</f>
        <v>99.554853563414241</v>
      </c>
      <c r="R412" s="82"/>
    </row>
    <row r="413" spans="1:18">
      <c r="A413" s="54">
        <v>54335</v>
      </c>
      <c r="B413" s="15" t="s">
        <v>12</v>
      </c>
      <c r="C413" s="15" t="str">
        <f>TEXT(Table11[[#This Row],[Date]],"mmmm")</f>
        <v>October</v>
      </c>
      <c r="D413" s="15">
        <v>100</v>
      </c>
      <c r="E413" s="82">
        <f>_xlfn.FORECAST.LINEAR(Table11[[#This Row],[Date]],Table11[Units_Sold],Table11[Date])</f>
        <v>99.556017760071029</v>
      </c>
      <c r="F413" cm="1">
        <f t="array" ref="F413">_xlfn.IFS(Table11[[#This Row],[Vehicle_Type]]="SUV",250,Table11[[#This Row],[Vehicle_Type]]="Sedan",200,Table11[[#This Row],[Vehicle_Type]]="Hatchback",185,Table11[[#This Row],[Vehicle_Type]]="Electric",190,Table11[[#This Row],[Vehicle_Type]]="Truck",150)</f>
        <v>250</v>
      </c>
      <c r="G413">
        <f t="shared" ca="1" si="6"/>
        <v>22</v>
      </c>
      <c r="H413" s="82">
        <f>Table11[[#This Row],[Daily_Production]]-Table11[[#This Row],[Forecasted_Units]]</f>
        <v>150.44398223992897</v>
      </c>
      <c r="I413" cm="1">
        <f t="array" ref="I413">_xlfn.IFS(Table11[[#This Row],[Vehicle_Type]]="SUV",5,Table11[[#This Row],[Vehicle_Type]]="Sedan",7,Table11[[#This Row],[Vehicle_Type]]="Hatchback",10,Table11[[#This Row],[Vehicle_Type]]="Electric",11,Table11[[#This Row],[Vehicle_Type]]="Truck",13)</f>
        <v>5</v>
      </c>
      <c r="J413">
        <f ca="1">Table11[[#This Row],[Daily_Production]]*Table11[[#This Row],[Working_Days]]</f>
        <v>5500</v>
      </c>
      <c r="K413" s="81">
        <f>Table11[[#This Row],[Forecasted_Units]]*0.1</f>
        <v>9.9556017760071036</v>
      </c>
      <c r="L413" s="82">
        <f>Table11[[#This Row],[Adjusted_Forecast]]+Table11[[#This Row],[Safety_Stock]]-Table11[[#This Row],[Inventory_On_Hand]]</f>
        <v>-40.932362703850842</v>
      </c>
      <c r="M413" s="82">
        <f ca="1">MIN(Table11[[#This Row],[Production_Needed]],Table11[[#This Row],[Production_Capacity]])</f>
        <v>-40.932362703850842</v>
      </c>
      <c r="N413" s="82">
        <f ca="1">MAX(Table11[[#This Row],[Production_Needed]]-Table11[[#This Row],[Planned_Production]],0)</f>
        <v>0</v>
      </c>
      <c r="O413" s="82">
        <f ca="1">Table11[[#This Row],[Inventory_On_Hand]]+Table11[[#This Row],[Planned_Production]]-Table11[[#This Row],[Forecasted_Units]]</f>
        <v>9.9556017760071001</v>
      </c>
      <c r="P413" cm="1">
        <f t="array" ref="P413">_xlfn.XLOOKUP(Table11[[#This Row],[Date]] &amp; Table11[[#This Row],[Vehicle_Type]], Table12[Date] &amp; Table12[Vehicle_Type],Table12[Feedback_Adjustment], 0)</f>
        <v>0</v>
      </c>
      <c r="Q413" s="82">
        <f>Table11[[#This Row],[Forecasted_Units]]*(1+Table11[[#This Row],[Adjustment_Percentage]])</f>
        <v>99.556017760071029</v>
      </c>
      <c r="R413" s="82"/>
    </row>
    <row r="414" spans="1:18">
      <c r="A414" s="53">
        <v>54365</v>
      </c>
      <c r="B414" s="14" t="s">
        <v>10</v>
      </c>
      <c r="C414" s="15" t="str">
        <f>TEXT(Table11[[#This Row],[Date]],"mmmm")</f>
        <v>November</v>
      </c>
      <c r="D414" s="14">
        <f>IF(ISBLANK(D367), P368, D367)</f>
        <v>97</v>
      </c>
      <c r="E414" s="82">
        <f>_xlfn.FORECAST.LINEAR(Table11[[#This Row],[Date]],Table11[Units_Sold],Table11[Date])</f>
        <v>99.557181956727817</v>
      </c>
      <c r="F414" cm="1">
        <f t="array" ref="F414">_xlfn.IFS(Table11[[#This Row],[Vehicle_Type]]="SUV",250,Table11[[#This Row],[Vehicle_Type]]="Sedan",200,Table11[[#This Row],[Vehicle_Type]]="Hatchback",185,Table11[[#This Row],[Vehicle_Type]]="Electric",190,Table11[[#This Row],[Vehicle_Type]]="Truck",150)</f>
        <v>200</v>
      </c>
      <c r="G414">
        <f t="shared" ca="1" si="6"/>
        <v>21</v>
      </c>
      <c r="H414" s="82">
        <f>Table11[[#This Row],[Daily_Production]]-Table11[[#This Row],[Forecasted_Units]]</f>
        <v>100.44281804327218</v>
      </c>
      <c r="I414" cm="1">
        <f t="array" ref="I414">_xlfn.IFS(Table11[[#This Row],[Vehicle_Type]]="SUV",5,Table11[[#This Row],[Vehicle_Type]]="Sedan",7,Table11[[#This Row],[Vehicle_Type]]="Hatchback",10,Table11[[#This Row],[Vehicle_Type]]="Electric",11,Table11[[#This Row],[Vehicle_Type]]="Truck",13)</f>
        <v>7</v>
      </c>
      <c r="J414">
        <f ca="1">Table11[[#This Row],[Daily_Production]]*Table11[[#This Row],[Working_Days]]</f>
        <v>4200</v>
      </c>
      <c r="K414" s="81">
        <f>Table11[[#This Row],[Forecasted_Units]]*0.1</f>
        <v>9.955718195672782</v>
      </c>
      <c r="L414" s="82">
        <f>Table11[[#This Row],[Adjusted_Forecast]]+Table11[[#This Row],[Safety_Stock]]-Table11[[#This Row],[Inventory_On_Hand]]</f>
        <v>9.0700821091284212</v>
      </c>
      <c r="M414" s="82">
        <f ca="1">MIN(Table11[[#This Row],[Production_Needed]],Table11[[#This Row],[Production_Capacity]])</f>
        <v>9.0700821091284212</v>
      </c>
      <c r="N414" s="82">
        <f ca="1">MAX(Table11[[#This Row],[Production_Needed]]-Table11[[#This Row],[Planned_Production]],0)</f>
        <v>0</v>
      </c>
      <c r="O414" s="82">
        <f ca="1">Table11[[#This Row],[Inventory_On_Hand]]+Table11[[#This Row],[Planned_Production]]-Table11[[#This Row],[Forecasted_Units]]</f>
        <v>9.9557181956727874</v>
      </c>
      <c r="P414" cm="1">
        <f t="array" ref="P414">_xlfn.XLOOKUP(Table11[[#This Row],[Date]] &amp; Table11[[#This Row],[Vehicle_Type]], Table12[Date] &amp; Table12[Vehicle_Type],Table12[Feedback_Adjustment], 0)</f>
        <v>0</v>
      </c>
      <c r="Q414" s="82">
        <f>Table11[[#This Row],[Forecasted_Units]]*(1+Table11[[#This Row],[Adjustment_Percentage]])</f>
        <v>99.557181956727817</v>
      </c>
      <c r="R414" s="82"/>
    </row>
    <row r="415" spans="1:18">
      <c r="A415" s="54">
        <v>54395</v>
      </c>
      <c r="B415" s="15" t="s">
        <v>14</v>
      </c>
      <c r="C415" s="15" t="str">
        <f>TEXT(Table11[[#This Row],[Date]],"mmmm")</f>
        <v>December</v>
      </c>
      <c r="D415" s="15">
        <v>85</v>
      </c>
      <c r="E415" s="82">
        <f>_xlfn.FORECAST.LINEAR(Table11[[#This Row],[Date]],Table11[Units_Sold],Table11[Date])</f>
        <v>99.558346153384605</v>
      </c>
      <c r="F415" cm="1">
        <f t="array" ref="F415">_xlfn.IFS(Table11[[#This Row],[Vehicle_Type]]="SUV",250,Table11[[#This Row],[Vehicle_Type]]="Sedan",200,Table11[[#This Row],[Vehicle_Type]]="Hatchback",185,Table11[[#This Row],[Vehicle_Type]]="Electric",190,Table11[[#This Row],[Vehicle_Type]]="Truck",150)</f>
        <v>150</v>
      </c>
      <c r="G415">
        <f t="shared" ca="1" si="6"/>
        <v>21</v>
      </c>
      <c r="H415" s="82">
        <f>Table11[[#This Row],[Daily_Production]]-Table11[[#This Row],[Forecasted_Units]]</f>
        <v>50.441653846615395</v>
      </c>
      <c r="I415" cm="1">
        <f t="array" ref="I415">_xlfn.IFS(Table11[[#This Row],[Vehicle_Type]]="SUV",5,Table11[[#This Row],[Vehicle_Type]]="Sedan",7,Table11[[#This Row],[Vehicle_Type]]="Hatchback",10,Table11[[#This Row],[Vehicle_Type]]="Electric",11,Table11[[#This Row],[Vehicle_Type]]="Truck",13)</f>
        <v>13</v>
      </c>
      <c r="J415">
        <f ca="1">Table11[[#This Row],[Daily_Production]]*Table11[[#This Row],[Working_Days]]</f>
        <v>3150</v>
      </c>
      <c r="K415" s="81">
        <f>Table11[[#This Row],[Forecasted_Units]]*0.1</f>
        <v>9.9558346153384605</v>
      </c>
      <c r="L415" s="82">
        <f>Table11[[#This Row],[Adjusted_Forecast]]+Table11[[#This Row],[Safety_Stock]]-Table11[[#This Row],[Inventory_On_Hand]]</f>
        <v>59.07252692210767</v>
      </c>
      <c r="M415" s="82">
        <f ca="1">MIN(Table11[[#This Row],[Production_Needed]],Table11[[#This Row],[Production_Capacity]])</f>
        <v>59.07252692210767</v>
      </c>
      <c r="N415" s="82">
        <f ca="1">MAX(Table11[[#This Row],[Production_Needed]]-Table11[[#This Row],[Planned_Production]],0)</f>
        <v>0</v>
      </c>
      <c r="O415" s="82">
        <f ca="1">Table11[[#This Row],[Inventory_On_Hand]]+Table11[[#This Row],[Planned_Production]]-Table11[[#This Row],[Forecasted_Units]]</f>
        <v>9.9558346153384605</v>
      </c>
      <c r="P415" cm="1">
        <f t="array" ref="P415">_xlfn.XLOOKUP(Table11[[#This Row],[Date]] &amp; Table11[[#This Row],[Vehicle_Type]], Table12[Date] &amp; Table12[Vehicle_Type],Table12[Feedback_Adjustment], 0)</f>
        <v>0</v>
      </c>
      <c r="Q415" s="82">
        <f>Table11[[#This Row],[Forecasted_Units]]*(1+Table11[[#This Row],[Adjustment_Percentage]])</f>
        <v>99.558346153384605</v>
      </c>
      <c r="R415" s="82"/>
    </row>
    <row r="416" spans="1:18">
      <c r="A416" s="53">
        <v>54425</v>
      </c>
      <c r="B416" s="14" t="s">
        <v>10</v>
      </c>
      <c r="C416" s="15" t="str">
        <f>TEXT(Table11[[#This Row],[Date]],"mmmm")</f>
        <v>January</v>
      </c>
      <c r="D416" s="14">
        <v>107</v>
      </c>
      <c r="E416" s="82">
        <f>_xlfn.FORECAST.LINEAR(Table11[[#This Row],[Date]],Table11[Units_Sold],Table11[Date])</f>
        <v>99.559510350041393</v>
      </c>
      <c r="F416" cm="1">
        <f t="array" ref="F416">_xlfn.IFS(Table11[[#This Row],[Vehicle_Type]]="SUV",250,Table11[[#This Row],[Vehicle_Type]]="Sedan",200,Table11[[#This Row],[Vehicle_Type]]="Hatchback",185,Table11[[#This Row],[Vehicle_Type]]="Electric",190,Table11[[#This Row],[Vehicle_Type]]="Truck",150)</f>
        <v>200</v>
      </c>
      <c r="G416">
        <f t="shared" ca="1" si="6"/>
        <v>22</v>
      </c>
      <c r="H416" s="82">
        <f>Table11[[#This Row],[Daily_Production]]-Table11[[#This Row],[Forecasted_Units]]</f>
        <v>100.44048964995861</v>
      </c>
      <c r="I416" cm="1">
        <f t="array" ref="I416">_xlfn.IFS(Table11[[#This Row],[Vehicle_Type]]="SUV",5,Table11[[#This Row],[Vehicle_Type]]="Sedan",7,Table11[[#This Row],[Vehicle_Type]]="Hatchback",10,Table11[[#This Row],[Vehicle_Type]]="Electric",11,Table11[[#This Row],[Vehicle_Type]]="Truck",13)</f>
        <v>7</v>
      </c>
      <c r="J416">
        <f ca="1">Table11[[#This Row],[Daily_Production]]*Table11[[#This Row],[Working_Days]]</f>
        <v>4400</v>
      </c>
      <c r="K416" s="81">
        <f>Table11[[#This Row],[Forecasted_Units]]*0.1</f>
        <v>9.9559510350041407</v>
      </c>
      <c r="L416" s="82">
        <f>Table11[[#This Row],[Adjusted_Forecast]]+Table11[[#This Row],[Safety_Stock]]-Table11[[#This Row],[Inventory_On_Hand]]</f>
        <v>9.0749717350869332</v>
      </c>
      <c r="M416" s="82">
        <f ca="1">MIN(Table11[[#This Row],[Production_Needed]],Table11[[#This Row],[Production_Capacity]])</f>
        <v>9.0749717350869332</v>
      </c>
      <c r="N416" s="82">
        <f ca="1">MAX(Table11[[#This Row],[Production_Needed]]-Table11[[#This Row],[Planned_Production]],0)</f>
        <v>0</v>
      </c>
      <c r="O416" s="82">
        <f ca="1">Table11[[#This Row],[Inventory_On_Hand]]+Table11[[#This Row],[Planned_Production]]-Table11[[#This Row],[Forecasted_Units]]</f>
        <v>9.9559510350041478</v>
      </c>
      <c r="P416" cm="1">
        <f t="array" ref="P416">_xlfn.XLOOKUP(Table11[[#This Row],[Date]] &amp; Table11[[#This Row],[Vehicle_Type]], Table12[Date] &amp; Table12[Vehicle_Type],Table12[Feedback_Adjustment], 0)</f>
        <v>0</v>
      </c>
      <c r="Q416" s="82">
        <f>Table11[[#This Row],[Forecasted_Units]]*(1+Table11[[#This Row],[Adjustment_Percentage]])</f>
        <v>99.559510350041393</v>
      </c>
      <c r="R416" s="82"/>
    </row>
    <row r="417" spans="1:18">
      <c r="A417" s="54">
        <v>54455</v>
      </c>
      <c r="B417" s="15" t="s">
        <v>14</v>
      </c>
      <c r="C417" s="15" t="str">
        <f>TEXT(Table11[[#This Row],[Date]],"mmmm")</f>
        <v>February</v>
      </c>
      <c r="D417" s="15">
        <v>106</v>
      </c>
      <c r="E417" s="82">
        <f>_xlfn.FORECAST.LINEAR(Table11[[#This Row],[Date]],Table11[Units_Sold],Table11[Date])</f>
        <v>99.560674546698181</v>
      </c>
      <c r="F417" cm="1">
        <f t="array" ref="F417">_xlfn.IFS(Table11[[#This Row],[Vehicle_Type]]="SUV",250,Table11[[#This Row],[Vehicle_Type]]="Sedan",200,Table11[[#This Row],[Vehicle_Type]]="Hatchback",185,Table11[[#This Row],[Vehicle_Type]]="Electric",190,Table11[[#This Row],[Vehicle_Type]]="Truck",150)</f>
        <v>150</v>
      </c>
      <c r="G417">
        <f t="shared" ca="1" si="6"/>
        <v>24</v>
      </c>
      <c r="H417" s="82">
        <f>Table11[[#This Row],[Daily_Production]]-Table11[[#This Row],[Forecasted_Units]]</f>
        <v>50.439325453301819</v>
      </c>
      <c r="I417" cm="1">
        <f t="array" ref="I417">_xlfn.IFS(Table11[[#This Row],[Vehicle_Type]]="SUV",5,Table11[[#This Row],[Vehicle_Type]]="Sedan",7,Table11[[#This Row],[Vehicle_Type]]="Hatchback",10,Table11[[#This Row],[Vehicle_Type]]="Electric",11,Table11[[#This Row],[Vehicle_Type]]="Truck",13)</f>
        <v>13</v>
      </c>
      <c r="J417">
        <f ca="1">Table11[[#This Row],[Daily_Production]]*Table11[[#This Row],[Working_Days]]</f>
        <v>3600</v>
      </c>
      <c r="K417" s="81">
        <f>Table11[[#This Row],[Forecasted_Units]]*0.1</f>
        <v>9.9560674546698191</v>
      </c>
      <c r="L417" s="82">
        <f>Table11[[#This Row],[Adjusted_Forecast]]+Table11[[#This Row],[Safety_Stock]]-Table11[[#This Row],[Inventory_On_Hand]]</f>
        <v>59.077416548066182</v>
      </c>
      <c r="M417" s="82">
        <f ca="1">MIN(Table11[[#This Row],[Production_Needed]],Table11[[#This Row],[Production_Capacity]])</f>
        <v>59.077416548066182</v>
      </c>
      <c r="N417" s="82">
        <f ca="1">MAX(Table11[[#This Row],[Production_Needed]]-Table11[[#This Row],[Planned_Production]],0)</f>
        <v>0</v>
      </c>
      <c r="O417" s="82">
        <f ca="1">Table11[[#This Row],[Inventory_On_Hand]]+Table11[[#This Row],[Planned_Production]]-Table11[[#This Row],[Forecasted_Units]]</f>
        <v>9.9560674546698209</v>
      </c>
      <c r="P417" cm="1">
        <f t="array" ref="P417">_xlfn.XLOOKUP(Table11[[#This Row],[Date]] &amp; Table11[[#This Row],[Vehicle_Type]], Table12[Date] &amp; Table12[Vehicle_Type],Table12[Feedback_Adjustment], 0)</f>
        <v>0</v>
      </c>
      <c r="Q417" s="82">
        <f>Table11[[#This Row],[Forecasted_Units]]*(1+Table11[[#This Row],[Adjustment_Percentage]])</f>
        <v>99.560674546698181</v>
      </c>
      <c r="R417" s="82"/>
    </row>
    <row r="418" spans="1:18">
      <c r="A418" s="53">
        <v>54485</v>
      </c>
      <c r="B418" s="14" t="s">
        <v>12</v>
      </c>
      <c r="C418" s="15" t="str">
        <f>TEXT(Table11[[#This Row],[Date]],"mmmm")</f>
        <v>March</v>
      </c>
      <c r="D418" s="14">
        <v>92</v>
      </c>
      <c r="E418" s="82">
        <f>_xlfn.FORECAST.LINEAR(Table11[[#This Row],[Date]],Table11[Units_Sold],Table11[Date])</f>
        <v>99.561838743354969</v>
      </c>
      <c r="F418" cm="1">
        <f t="array" ref="F418">_xlfn.IFS(Table11[[#This Row],[Vehicle_Type]]="SUV",250,Table11[[#This Row],[Vehicle_Type]]="Sedan",200,Table11[[#This Row],[Vehicle_Type]]="Hatchback",185,Table11[[#This Row],[Vehicle_Type]]="Electric",190,Table11[[#This Row],[Vehicle_Type]]="Truck",150)</f>
        <v>250</v>
      </c>
      <c r="G418">
        <f t="shared" ca="1" si="6"/>
        <v>25</v>
      </c>
      <c r="H418" s="82">
        <f>Table11[[#This Row],[Daily_Production]]-Table11[[#This Row],[Forecasted_Units]]</f>
        <v>150.43816125664503</v>
      </c>
      <c r="I418" cm="1">
        <f t="array" ref="I418">_xlfn.IFS(Table11[[#This Row],[Vehicle_Type]]="SUV",5,Table11[[#This Row],[Vehicle_Type]]="Sedan",7,Table11[[#This Row],[Vehicle_Type]]="Hatchback",10,Table11[[#This Row],[Vehicle_Type]]="Electric",11,Table11[[#This Row],[Vehicle_Type]]="Truck",13)</f>
        <v>5</v>
      </c>
      <c r="J418">
        <f ca="1">Table11[[#This Row],[Daily_Production]]*Table11[[#This Row],[Working_Days]]</f>
        <v>6250</v>
      </c>
      <c r="K418" s="81">
        <f>Table11[[#This Row],[Forecasted_Units]]*0.1</f>
        <v>9.9561838743354976</v>
      </c>
      <c r="L418" s="82">
        <f>Table11[[#This Row],[Adjusted_Forecast]]+Table11[[#This Row],[Safety_Stock]]-Table11[[#This Row],[Inventory_On_Hand]]</f>
        <v>-40.920138638954569</v>
      </c>
      <c r="M418" s="82">
        <f ca="1">MIN(Table11[[#This Row],[Production_Needed]],Table11[[#This Row],[Production_Capacity]])</f>
        <v>-40.920138638954569</v>
      </c>
      <c r="N418" s="82">
        <f ca="1">MAX(Table11[[#This Row],[Production_Needed]]-Table11[[#This Row],[Planned_Production]],0)</f>
        <v>0</v>
      </c>
      <c r="O418" s="82">
        <f ca="1">Table11[[#This Row],[Inventory_On_Hand]]+Table11[[#This Row],[Planned_Production]]-Table11[[#This Row],[Forecasted_Units]]</f>
        <v>9.956183874335494</v>
      </c>
      <c r="P418" cm="1">
        <f t="array" ref="P418">_xlfn.XLOOKUP(Table11[[#This Row],[Date]] &amp; Table11[[#This Row],[Vehicle_Type]], Table12[Date] &amp; Table12[Vehicle_Type],Table12[Feedback_Adjustment], 0)</f>
        <v>0</v>
      </c>
      <c r="Q418" s="82">
        <f>Table11[[#This Row],[Forecasted_Units]]*(1+Table11[[#This Row],[Adjustment_Percentage]])</f>
        <v>99.561838743354969</v>
      </c>
      <c r="R418" s="82"/>
    </row>
    <row r="419" spans="1:18">
      <c r="A419" s="54">
        <v>54515</v>
      </c>
      <c r="B419" s="15" t="s">
        <v>12</v>
      </c>
      <c r="C419" s="15" t="str">
        <f>TEXT(Table11[[#This Row],[Date]],"mmmm")</f>
        <v>April</v>
      </c>
      <c r="D419" s="15">
        <v>110</v>
      </c>
      <c r="E419" s="82">
        <f>_xlfn.FORECAST.LINEAR(Table11[[#This Row],[Date]],Table11[Units_Sold],Table11[Date])</f>
        <v>99.563002940011756</v>
      </c>
      <c r="F419" cm="1">
        <f t="array" ref="F419">_xlfn.IFS(Table11[[#This Row],[Vehicle_Type]]="SUV",250,Table11[[#This Row],[Vehicle_Type]]="Sedan",200,Table11[[#This Row],[Vehicle_Type]]="Hatchback",185,Table11[[#This Row],[Vehicle_Type]]="Electric",190,Table11[[#This Row],[Vehicle_Type]]="Truck",150)</f>
        <v>250</v>
      </c>
      <c r="G419">
        <f t="shared" ca="1" si="6"/>
        <v>25</v>
      </c>
      <c r="H419" s="82">
        <f>Table11[[#This Row],[Daily_Production]]-Table11[[#This Row],[Forecasted_Units]]</f>
        <v>150.43699705998824</v>
      </c>
      <c r="I419" cm="1">
        <f t="array" ref="I419">_xlfn.IFS(Table11[[#This Row],[Vehicle_Type]]="SUV",5,Table11[[#This Row],[Vehicle_Type]]="Sedan",7,Table11[[#This Row],[Vehicle_Type]]="Hatchback",10,Table11[[#This Row],[Vehicle_Type]]="Electric",11,Table11[[#This Row],[Vehicle_Type]]="Truck",13)</f>
        <v>5</v>
      </c>
      <c r="J419">
        <f ca="1">Table11[[#This Row],[Daily_Production]]*Table11[[#This Row],[Working_Days]]</f>
        <v>6250</v>
      </c>
      <c r="K419" s="81">
        <f>Table11[[#This Row],[Forecasted_Units]]*0.1</f>
        <v>9.956300294001176</v>
      </c>
      <c r="L419" s="82">
        <f>Table11[[#This Row],[Adjusted_Forecast]]+Table11[[#This Row],[Safety_Stock]]-Table11[[#This Row],[Inventory_On_Hand]]</f>
        <v>-40.917693825975306</v>
      </c>
      <c r="M419" s="82">
        <f ca="1">MIN(Table11[[#This Row],[Production_Needed]],Table11[[#This Row],[Production_Capacity]])</f>
        <v>-40.917693825975306</v>
      </c>
      <c r="N419" s="82">
        <f ca="1">MAX(Table11[[#This Row],[Production_Needed]]-Table11[[#This Row],[Planned_Production]],0)</f>
        <v>0</v>
      </c>
      <c r="O419" s="82">
        <f ca="1">Table11[[#This Row],[Inventory_On_Hand]]+Table11[[#This Row],[Planned_Production]]-Table11[[#This Row],[Forecasted_Units]]</f>
        <v>9.9563002940011813</v>
      </c>
      <c r="P419" cm="1">
        <f t="array" ref="P419">_xlfn.XLOOKUP(Table11[[#This Row],[Date]] &amp; Table11[[#This Row],[Vehicle_Type]], Table12[Date] &amp; Table12[Vehicle_Type],Table12[Feedback_Adjustment], 0)</f>
        <v>0</v>
      </c>
      <c r="Q419" s="82">
        <f>Table11[[#This Row],[Forecasted_Units]]*(1+Table11[[#This Row],[Adjustment_Percentage]])</f>
        <v>99.563002940011756</v>
      </c>
      <c r="R419" s="82"/>
    </row>
    <row r="420" spans="1:18">
      <c r="A420" s="53">
        <v>54545</v>
      </c>
      <c r="B420" s="14" t="s">
        <v>14</v>
      </c>
      <c r="C420" s="15" t="str">
        <f>TEXT(Table11[[#This Row],[Date]],"mmmm")</f>
        <v>May</v>
      </c>
      <c r="D420" s="14">
        <v>93</v>
      </c>
      <c r="E420" s="82">
        <f>_xlfn.FORECAST.LINEAR(Table11[[#This Row],[Date]],Table11[Units_Sold],Table11[Date])</f>
        <v>99.564167136668544</v>
      </c>
      <c r="F420" cm="1">
        <f t="array" ref="F420">_xlfn.IFS(Table11[[#This Row],[Vehicle_Type]]="SUV",250,Table11[[#This Row],[Vehicle_Type]]="Sedan",200,Table11[[#This Row],[Vehicle_Type]]="Hatchback",185,Table11[[#This Row],[Vehicle_Type]]="Electric",190,Table11[[#This Row],[Vehicle_Type]]="Truck",150)</f>
        <v>150</v>
      </c>
      <c r="G420">
        <f t="shared" ca="1" si="6"/>
        <v>21</v>
      </c>
      <c r="H420" s="82">
        <f>Table11[[#This Row],[Daily_Production]]-Table11[[#This Row],[Forecasted_Units]]</f>
        <v>50.435832863331456</v>
      </c>
      <c r="I420" cm="1">
        <f t="array" ref="I420">_xlfn.IFS(Table11[[#This Row],[Vehicle_Type]]="SUV",5,Table11[[#This Row],[Vehicle_Type]]="Sedan",7,Table11[[#This Row],[Vehicle_Type]]="Hatchback",10,Table11[[#This Row],[Vehicle_Type]]="Electric",11,Table11[[#This Row],[Vehicle_Type]]="Truck",13)</f>
        <v>13</v>
      </c>
      <c r="J420">
        <f ca="1">Table11[[#This Row],[Daily_Production]]*Table11[[#This Row],[Working_Days]]</f>
        <v>3150</v>
      </c>
      <c r="K420" s="81">
        <f>Table11[[#This Row],[Forecasted_Units]]*0.1</f>
        <v>9.9564167136668544</v>
      </c>
      <c r="L420" s="82">
        <f>Table11[[#This Row],[Adjusted_Forecast]]+Table11[[#This Row],[Safety_Stock]]-Table11[[#This Row],[Inventory_On_Hand]]</f>
        <v>59.084750987003943</v>
      </c>
      <c r="M420" s="82">
        <f ca="1">MIN(Table11[[#This Row],[Production_Needed]],Table11[[#This Row],[Production_Capacity]])</f>
        <v>59.084750987003943</v>
      </c>
      <c r="N420" s="82">
        <f ca="1">MAX(Table11[[#This Row],[Production_Needed]]-Table11[[#This Row],[Planned_Production]],0)</f>
        <v>0</v>
      </c>
      <c r="O420" s="82">
        <f ca="1">Table11[[#This Row],[Inventory_On_Hand]]+Table11[[#This Row],[Planned_Production]]-Table11[[#This Row],[Forecasted_Units]]</f>
        <v>9.9564167136668544</v>
      </c>
      <c r="P420" cm="1">
        <f t="array" ref="P420">_xlfn.XLOOKUP(Table11[[#This Row],[Date]] &amp; Table11[[#This Row],[Vehicle_Type]], Table12[Date] &amp; Table12[Vehicle_Type],Table12[Feedback_Adjustment], 0)</f>
        <v>0</v>
      </c>
      <c r="Q420" s="82">
        <f>Table11[[#This Row],[Forecasted_Units]]*(1+Table11[[#This Row],[Adjustment_Percentage]])</f>
        <v>99.564167136668544</v>
      </c>
      <c r="R420" s="82"/>
    </row>
    <row r="421" spans="1:18">
      <c r="A421" s="54">
        <v>54575</v>
      </c>
      <c r="B421" s="15" t="s">
        <v>11</v>
      </c>
      <c r="C421" s="15" t="str">
        <f>TEXT(Table11[[#This Row],[Date]],"mmmm")</f>
        <v>June</v>
      </c>
      <c r="D421" s="15">
        <f>IF(ISBLANK(D374), P375, D374)</f>
        <v>104</v>
      </c>
      <c r="E421" s="82">
        <f>_xlfn.FORECAST.LINEAR(Table11[[#This Row],[Date]],Table11[Units_Sold],Table11[Date])</f>
        <v>99.565331333325332</v>
      </c>
      <c r="F421" cm="1">
        <f t="array" ref="F421">_xlfn.IFS(Table11[[#This Row],[Vehicle_Type]]="SUV",250,Table11[[#This Row],[Vehicle_Type]]="Sedan",200,Table11[[#This Row],[Vehicle_Type]]="Hatchback",185,Table11[[#This Row],[Vehicle_Type]]="Electric",190,Table11[[#This Row],[Vehicle_Type]]="Truck",150)</f>
        <v>185</v>
      </c>
      <c r="G421">
        <f t="shared" ca="1" si="6"/>
        <v>22</v>
      </c>
      <c r="H421" s="82">
        <f>Table11[[#This Row],[Daily_Production]]-Table11[[#This Row],[Forecasted_Units]]</f>
        <v>85.434668666674668</v>
      </c>
      <c r="I421" cm="1">
        <f t="array" ref="I421">_xlfn.IFS(Table11[[#This Row],[Vehicle_Type]]="SUV",5,Table11[[#This Row],[Vehicle_Type]]="Sedan",7,Table11[[#This Row],[Vehicle_Type]]="Hatchback",10,Table11[[#This Row],[Vehicle_Type]]="Electric",11,Table11[[#This Row],[Vehicle_Type]]="Truck",13)</f>
        <v>10</v>
      </c>
      <c r="J421">
        <f ca="1">Table11[[#This Row],[Daily_Production]]*Table11[[#This Row],[Working_Days]]</f>
        <v>4070</v>
      </c>
      <c r="K421" s="81">
        <f>Table11[[#This Row],[Forecasted_Units]]*0.1</f>
        <v>9.9565331333325346</v>
      </c>
      <c r="L421" s="82">
        <f>Table11[[#This Row],[Adjusted_Forecast]]+Table11[[#This Row],[Safety_Stock]]-Table11[[#This Row],[Inventory_On_Hand]]</f>
        <v>24.087195799983192</v>
      </c>
      <c r="M421" s="82">
        <f ca="1">MIN(Table11[[#This Row],[Production_Needed]],Table11[[#This Row],[Production_Capacity]])</f>
        <v>24.087195799983192</v>
      </c>
      <c r="N421" s="82">
        <f ca="1">MAX(Table11[[#This Row],[Production_Needed]]-Table11[[#This Row],[Planned_Production]],0)</f>
        <v>0</v>
      </c>
      <c r="O421" s="82">
        <f ca="1">Table11[[#This Row],[Inventory_On_Hand]]+Table11[[#This Row],[Planned_Production]]-Table11[[#This Row],[Forecasted_Units]]</f>
        <v>9.9565331333325275</v>
      </c>
      <c r="P421" cm="1">
        <f t="array" ref="P421">_xlfn.XLOOKUP(Table11[[#This Row],[Date]] &amp; Table11[[#This Row],[Vehicle_Type]], Table12[Date] &amp; Table12[Vehicle_Type],Table12[Feedback_Adjustment], 0)</f>
        <v>0</v>
      </c>
      <c r="Q421" s="82">
        <f>Table11[[#This Row],[Forecasted_Units]]*(1+Table11[[#This Row],[Adjustment_Percentage]])</f>
        <v>99.565331333325332</v>
      </c>
      <c r="R421" s="82"/>
    </row>
    <row r="422" spans="1:18">
      <c r="A422" s="53">
        <v>54605</v>
      </c>
      <c r="B422" s="14" t="s">
        <v>11</v>
      </c>
      <c r="C422" s="15" t="str">
        <f>TEXT(Table11[[#This Row],[Date]],"mmmm")</f>
        <v>July</v>
      </c>
      <c r="D422" s="14">
        <v>117</v>
      </c>
      <c r="E422" s="82">
        <f>_xlfn.FORECAST.LINEAR(Table11[[#This Row],[Date]],Table11[Units_Sold],Table11[Date])</f>
        <v>99.56649552998212</v>
      </c>
      <c r="F422" cm="1">
        <f t="array" ref="F422">_xlfn.IFS(Table11[[#This Row],[Vehicle_Type]]="SUV",250,Table11[[#This Row],[Vehicle_Type]]="Sedan",200,Table11[[#This Row],[Vehicle_Type]]="Hatchback",185,Table11[[#This Row],[Vehicle_Type]]="Electric",190,Table11[[#This Row],[Vehicle_Type]]="Truck",150)</f>
        <v>185</v>
      </c>
      <c r="G422">
        <f t="shared" ca="1" si="6"/>
        <v>20</v>
      </c>
      <c r="H422" s="82">
        <f>Table11[[#This Row],[Daily_Production]]-Table11[[#This Row],[Forecasted_Units]]</f>
        <v>85.43350447001788</v>
      </c>
      <c r="I422" cm="1">
        <f t="array" ref="I422">_xlfn.IFS(Table11[[#This Row],[Vehicle_Type]]="SUV",5,Table11[[#This Row],[Vehicle_Type]]="Sedan",7,Table11[[#This Row],[Vehicle_Type]]="Hatchback",10,Table11[[#This Row],[Vehicle_Type]]="Electric",11,Table11[[#This Row],[Vehicle_Type]]="Truck",13)</f>
        <v>10</v>
      </c>
      <c r="J422">
        <f ca="1">Table11[[#This Row],[Daily_Production]]*Table11[[#This Row],[Working_Days]]</f>
        <v>3700</v>
      </c>
      <c r="K422" s="81">
        <f>Table11[[#This Row],[Forecasted_Units]]*0.1</f>
        <v>9.9566495529982131</v>
      </c>
      <c r="L422" s="82">
        <f>Table11[[#This Row],[Adjusted_Forecast]]+Table11[[#This Row],[Safety_Stock]]-Table11[[#This Row],[Inventory_On_Hand]]</f>
        <v>24.089640612962455</v>
      </c>
      <c r="M422" s="82">
        <f ca="1">MIN(Table11[[#This Row],[Production_Needed]],Table11[[#This Row],[Production_Capacity]])</f>
        <v>24.089640612962455</v>
      </c>
      <c r="N422" s="82">
        <f ca="1">MAX(Table11[[#This Row],[Production_Needed]]-Table11[[#This Row],[Planned_Production]],0)</f>
        <v>0</v>
      </c>
      <c r="O422" s="82">
        <f ca="1">Table11[[#This Row],[Inventory_On_Hand]]+Table11[[#This Row],[Planned_Production]]-Table11[[#This Row],[Forecasted_Units]]</f>
        <v>9.9566495529982149</v>
      </c>
      <c r="P422" cm="1">
        <f t="array" ref="P422">_xlfn.XLOOKUP(Table11[[#This Row],[Date]] &amp; Table11[[#This Row],[Vehicle_Type]], Table12[Date] &amp; Table12[Vehicle_Type],Table12[Feedback_Adjustment], 0)</f>
        <v>0</v>
      </c>
      <c r="Q422" s="82">
        <f>Table11[[#This Row],[Forecasted_Units]]*(1+Table11[[#This Row],[Adjustment_Percentage]])</f>
        <v>99.56649552998212</v>
      </c>
      <c r="R422" s="82"/>
    </row>
    <row r="423" spans="1:18">
      <c r="A423" s="54">
        <v>54635</v>
      </c>
      <c r="B423" s="15" t="s">
        <v>12</v>
      </c>
      <c r="C423" s="15" t="str">
        <f>TEXT(Table11[[#This Row],[Date]],"mmmm")</f>
        <v>July</v>
      </c>
      <c r="D423" s="15">
        <v>122</v>
      </c>
      <c r="E423" s="82">
        <f>_xlfn.FORECAST.LINEAR(Table11[[#This Row],[Date]],Table11[Units_Sold],Table11[Date])</f>
        <v>99.567659726638894</v>
      </c>
      <c r="F423" cm="1">
        <f t="array" ref="F423">_xlfn.IFS(Table11[[#This Row],[Vehicle_Type]]="SUV",250,Table11[[#This Row],[Vehicle_Type]]="Sedan",200,Table11[[#This Row],[Vehicle_Type]]="Hatchback",185,Table11[[#This Row],[Vehicle_Type]]="Electric",190,Table11[[#This Row],[Vehicle_Type]]="Truck",150)</f>
        <v>250</v>
      </c>
      <c r="G423">
        <f t="shared" ca="1" si="6"/>
        <v>24</v>
      </c>
      <c r="H423" s="82">
        <f>Table11[[#This Row],[Daily_Production]]-Table11[[#This Row],[Forecasted_Units]]</f>
        <v>150.43234027336109</v>
      </c>
      <c r="I423" cm="1">
        <f t="array" ref="I423">_xlfn.IFS(Table11[[#This Row],[Vehicle_Type]]="SUV",5,Table11[[#This Row],[Vehicle_Type]]="Sedan",7,Table11[[#This Row],[Vehicle_Type]]="Hatchback",10,Table11[[#This Row],[Vehicle_Type]]="Electric",11,Table11[[#This Row],[Vehicle_Type]]="Truck",13)</f>
        <v>5</v>
      </c>
      <c r="J423">
        <f ca="1">Table11[[#This Row],[Daily_Production]]*Table11[[#This Row],[Working_Days]]</f>
        <v>6000</v>
      </c>
      <c r="K423" s="81">
        <f>Table11[[#This Row],[Forecasted_Units]]*0.1</f>
        <v>9.9567659726638897</v>
      </c>
      <c r="L423" s="82">
        <f>Table11[[#This Row],[Adjusted_Forecast]]+Table11[[#This Row],[Safety_Stock]]-Table11[[#This Row],[Inventory_On_Hand]]</f>
        <v>-40.90791457405831</v>
      </c>
      <c r="M423" s="82">
        <f ca="1">MIN(Table11[[#This Row],[Production_Needed]],Table11[[#This Row],[Production_Capacity]])</f>
        <v>-40.90791457405831</v>
      </c>
      <c r="N423" s="82">
        <f ca="1">MAX(Table11[[#This Row],[Production_Needed]]-Table11[[#This Row],[Planned_Production]],0)</f>
        <v>0</v>
      </c>
      <c r="O423" s="82">
        <f ca="1">Table11[[#This Row],[Inventory_On_Hand]]+Table11[[#This Row],[Planned_Production]]-Table11[[#This Row],[Forecasted_Units]]</f>
        <v>9.956765972663888</v>
      </c>
      <c r="P423" cm="1">
        <f t="array" ref="P423">_xlfn.XLOOKUP(Table11[[#This Row],[Date]] &amp; Table11[[#This Row],[Vehicle_Type]], Table12[Date] &amp; Table12[Vehicle_Type],Table12[Feedback_Adjustment], 0)</f>
        <v>0</v>
      </c>
      <c r="Q423" s="82">
        <f>Table11[[#This Row],[Forecasted_Units]]*(1+Table11[[#This Row],[Adjustment_Percentage]])</f>
        <v>99.567659726638894</v>
      </c>
      <c r="R423" s="82"/>
    </row>
    <row r="424" spans="1:18">
      <c r="A424" s="53">
        <v>54665</v>
      </c>
      <c r="B424" s="14" t="s">
        <v>12</v>
      </c>
      <c r="C424" s="15" t="str">
        <f>TEXT(Table11[[#This Row],[Date]],"mmmm")</f>
        <v>August</v>
      </c>
      <c r="D424" s="14">
        <v>90</v>
      </c>
      <c r="E424" s="82">
        <f>_xlfn.FORECAST.LINEAR(Table11[[#This Row],[Date]],Table11[Units_Sold],Table11[Date])</f>
        <v>99.568823923295682</v>
      </c>
      <c r="F424" cm="1">
        <f t="array" ref="F424">_xlfn.IFS(Table11[[#This Row],[Vehicle_Type]]="SUV",250,Table11[[#This Row],[Vehicle_Type]]="Sedan",200,Table11[[#This Row],[Vehicle_Type]]="Hatchback",185,Table11[[#This Row],[Vehicle_Type]]="Electric",190,Table11[[#This Row],[Vehicle_Type]]="Truck",150)</f>
        <v>250</v>
      </c>
      <c r="G424">
        <f t="shared" ca="1" si="6"/>
        <v>23</v>
      </c>
      <c r="H424" s="82">
        <f>Table11[[#This Row],[Daily_Production]]-Table11[[#This Row],[Forecasted_Units]]</f>
        <v>150.43117607670433</v>
      </c>
      <c r="I424" cm="1">
        <f t="array" ref="I424">_xlfn.IFS(Table11[[#This Row],[Vehicle_Type]]="SUV",5,Table11[[#This Row],[Vehicle_Type]]="Sedan",7,Table11[[#This Row],[Vehicle_Type]]="Hatchback",10,Table11[[#This Row],[Vehicle_Type]]="Electric",11,Table11[[#This Row],[Vehicle_Type]]="Truck",13)</f>
        <v>5</v>
      </c>
      <c r="J424">
        <f ca="1">Table11[[#This Row],[Daily_Production]]*Table11[[#This Row],[Working_Days]]</f>
        <v>5750</v>
      </c>
      <c r="K424" s="81">
        <f>Table11[[#This Row],[Forecasted_Units]]*0.1</f>
        <v>9.9568823923295682</v>
      </c>
      <c r="L424" s="82">
        <f>Table11[[#This Row],[Adjusted_Forecast]]+Table11[[#This Row],[Safety_Stock]]-Table11[[#This Row],[Inventory_On_Hand]]</f>
        <v>-40.905469761079075</v>
      </c>
      <c r="M424" s="82">
        <f ca="1">MIN(Table11[[#This Row],[Production_Needed]],Table11[[#This Row],[Production_Capacity]])</f>
        <v>-40.905469761079075</v>
      </c>
      <c r="N424" s="82">
        <f ca="1">MAX(Table11[[#This Row],[Production_Needed]]-Table11[[#This Row],[Planned_Production]],0)</f>
        <v>0</v>
      </c>
      <c r="O424" s="82">
        <f ca="1">Table11[[#This Row],[Inventory_On_Hand]]+Table11[[#This Row],[Planned_Production]]-Table11[[#This Row],[Forecasted_Units]]</f>
        <v>9.9568823923295753</v>
      </c>
      <c r="P424" cm="1">
        <f t="array" ref="P424">_xlfn.XLOOKUP(Table11[[#This Row],[Date]] &amp; Table11[[#This Row],[Vehicle_Type]], Table12[Date] &amp; Table12[Vehicle_Type],Table12[Feedback_Adjustment], 0)</f>
        <v>0</v>
      </c>
      <c r="Q424" s="82">
        <f>Table11[[#This Row],[Forecasted_Units]]*(1+Table11[[#This Row],[Adjustment_Percentage]])</f>
        <v>99.568823923295682</v>
      </c>
      <c r="R424" s="82"/>
    </row>
    <row r="425" spans="1:18">
      <c r="A425" s="54">
        <v>54695</v>
      </c>
      <c r="B425" s="15" t="s">
        <v>10</v>
      </c>
      <c r="C425" s="15" t="str">
        <f>TEXT(Table11[[#This Row],[Date]],"mmmm")</f>
        <v>September</v>
      </c>
      <c r="D425" s="15">
        <v>113</v>
      </c>
      <c r="E425" s="82">
        <f>_xlfn.FORECAST.LINEAR(Table11[[#This Row],[Date]],Table11[Units_Sold],Table11[Date])</f>
        <v>99.56998811995247</v>
      </c>
      <c r="F425" cm="1">
        <f t="array" ref="F425">_xlfn.IFS(Table11[[#This Row],[Vehicle_Type]]="SUV",250,Table11[[#This Row],[Vehicle_Type]]="Sedan",200,Table11[[#This Row],[Vehicle_Type]]="Hatchback",185,Table11[[#This Row],[Vehicle_Type]]="Electric",190,Table11[[#This Row],[Vehicle_Type]]="Truck",150)</f>
        <v>200</v>
      </c>
      <c r="G425">
        <f t="shared" ca="1" si="6"/>
        <v>24</v>
      </c>
      <c r="H425" s="82">
        <f>Table11[[#This Row],[Daily_Production]]-Table11[[#This Row],[Forecasted_Units]]</f>
        <v>100.43001188004753</v>
      </c>
      <c r="I425" cm="1">
        <f t="array" ref="I425">_xlfn.IFS(Table11[[#This Row],[Vehicle_Type]]="SUV",5,Table11[[#This Row],[Vehicle_Type]]="Sedan",7,Table11[[#This Row],[Vehicle_Type]]="Hatchback",10,Table11[[#This Row],[Vehicle_Type]]="Electric",11,Table11[[#This Row],[Vehicle_Type]]="Truck",13)</f>
        <v>7</v>
      </c>
      <c r="J425">
        <f ca="1">Table11[[#This Row],[Daily_Production]]*Table11[[#This Row],[Working_Days]]</f>
        <v>4800</v>
      </c>
      <c r="K425" s="81">
        <f>Table11[[#This Row],[Forecasted_Units]]*0.1</f>
        <v>9.9569988119952484</v>
      </c>
      <c r="L425" s="82">
        <f>Table11[[#This Row],[Adjusted_Forecast]]+Table11[[#This Row],[Safety_Stock]]-Table11[[#This Row],[Inventory_On_Hand]]</f>
        <v>9.0969750519001877</v>
      </c>
      <c r="M425" s="82">
        <f ca="1">MIN(Table11[[#This Row],[Production_Needed]],Table11[[#This Row],[Production_Capacity]])</f>
        <v>9.0969750519001877</v>
      </c>
      <c r="N425" s="82">
        <f ca="1">MAX(Table11[[#This Row],[Production_Needed]]-Table11[[#This Row],[Planned_Production]],0)</f>
        <v>0</v>
      </c>
      <c r="O425" s="82">
        <f ca="1">Table11[[#This Row],[Inventory_On_Hand]]+Table11[[#This Row],[Planned_Production]]-Table11[[#This Row],[Forecasted_Units]]</f>
        <v>9.9569988119952484</v>
      </c>
      <c r="P425" cm="1">
        <f t="array" ref="P425">_xlfn.XLOOKUP(Table11[[#This Row],[Date]] &amp; Table11[[#This Row],[Vehicle_Type]], Table12[Date] &amp; Table12[Vehicle_Type],Table12[Feedback_Adjustment], 0)</f>
        <v>0</v>
      </c>
      <c r="Q425" s="82">
        <f>Table11[[#This Row],[Forecasted_Units]]*(1+Table11[[#This Row],[Adjustment_Percentage]])</f>
        <v>99.56998811995247</v>
      </c>
      <c r="R425" s="82"/>
    </row>
    <row r="426" spans="1:18">
      <c r="A426" s="53">
        <v>54725</v>
      </c>
      <c r="B426" s="14" t="s">
        <v>12</v>
      </c>
      <c r="C426" s="15" t="str">
        <f>TEXT(Table11[[#This Row],[Date]],"mmmm")</f>
        <v>October</v>
      </c>
      <c r="D426" s="14">
        <v>110</v>
      </c>
      <c r="E426" s="82">
        <f>_xlfn.FORECAST.LINEAR(Table11[[#This Row],[Date]],Table11[Units_Sold],Table11[Date])</f>
        <v>99.571152316609258</v>
      </c>
      <c r="F426" cm="1">
        <f t="array" ref="F426">_xlfn.IFS(Table11[[#This Row],[Vehicle_Type]]="SUV",250,Table11[[#This Row],[Vehicle_Type]]="Sedan",200,Table11[[#This Row],[Vehicle_Type]]="Hatchback",185,Table11[[#This Row],[Vehicle_Type]]="Electric",190,Table11[[#This Row],[Vehicle_Type]]="Truck",150)</f>
        <v>250</v>
      </c>
      <c r="G426">
        <f t="shared" ca="1" si="6"/>
        <v>25</v>
      </c>
      <c r="H426" s="82">
        <f>Table11[[#This Row],[Daily_Production]]-Table11[[#This Row],[Forecasted_Units]]</f>
        <v>150.42884768339076</v>
      </c>
      <c r="I426" cm="1">
        <f t="array" ref="I426">_xlfn.IFS(Table11[[#This Row],[Vehicle_Type]]="SUV",5,Table11[[#This Row],[Vehicle_Type]]="Sedan",7,Table11[[#This Row],[Vehicle_Type]]="Hatchback",10,Table11[[#This Row],[Vehicle_Type]]="Electric",11,Table11[[#This Row],[Vehicle_Type]]="Truck",13)</f>
        <v>5</v>
      </c>
      <c r="J426">
        <f ca="1">Table11[[#This Row],[Daily_Production]]*Table11[[#This Row],[Working_Days]]</f>
        <v>6250</v>
      </c>
      <c r="K426" s="81">
        <f>Table11[[#This Row],[Forecasted_Units]]*0.1</f>
        <v>9.9571152316609268</v>
      </c>
      <c r="L426" s="82">
        <f>Table11[[#This Row],[Adjusted_Forecast]]+Table11[[#This Row],[Safety_Stock]]-Table11[[#This Row],[Inventory_On_Hand]]</f>
        <v>-40.900580135120578</v>
      </c>
      <c r="M426" s="82">
        <f ca="1">MIN(Table11[[#This Row],[Production_Needed]],Table11[[#This Row],[Production_Capacity]])</f>
        <v>-40.900580135120578</v>
      </c>
      <c r="N426" s="82">
        <f ca="1">MAX(Table11[[#This Row],[Production_Needed]]-Table11[[#This Row],[Planned_Production]],0)</f>
        <v>0</v>
      </c>
      <c r="O426" s="82">
        <f ca="1">Table11[[#This Row],[Inventory_On_Hand]]+Table11[[#This Row],[Planned_Production]]-Table11[[#This Row],[Forecasted_Units]]</f>
        <v>9.9571152316609215</v>
      </c>
      <c r="P426" cm="1">
        <f t="array" ref="P426">_xlfn.XLOOKUP(Table11[[#This Row],[Date]] &amp; Table11[[#This Row],[Vehicle_Type]], Table12[Date] &amp; Table12[Vehicle_Type],Table12[Feedback_Adjustment], 0)</f>
        <v>0</v>
      </c>
      <c r="Q426" s="82">
        <f>Table11[[#This Row],[Forecasted_Units]]*(1+Table11[[#This Row],[Adjustment_Percentage]])</f>
        <v>99.571152316609258</v>
      </c>
      <c r="R426" s="82"/>
    </row>
    <row r="427" spans="1:18">
      <c r="A427" s="54">
        <v>54755</v>
      </c>
      <c r="B427" s="15" t="s">
        <v>14</v>
      </c>
      <c r="C427" s="15" t="str">
        <f>TEXT(Table11[[#This Row],[Date]],"mmmm")</f>
        <v>November</v>
      </c>
      <c r="D427" s="15">
        <v>106</v>
      </c>
      <c r="E427" s="82">
        <f>_xlfn.FORECAST.LINEAR(Table11[[#This Row],[Date]],Table11[Units_Sold],Table11[Date])</f>
        <v>99.572316513266045</v>
      </c>
      <c r="F427" cm="1">
        <f t="array" ref="F427">_xlfn.IFS(Table11[[#This Row],[Vehicle_Type]]="SUV",250,Table11[[#This Row],[Vehicle_Type]]="Sedan",200,Table11[[#This Row],[Vehicle_Type]]="Hatchback",185,Table11[[#This Row],[Vehicle_Type]]="Electric",190,Table11[[#This Row],[Vehicle_Type]]="Truck",150)</f>
        <v>150</v>
      </c>
      <c r="G427">
        <f t="shared" ca="1" si="6"/>
        <v>25</v>
      </c>
      <c r="H427" s="82">
        <f>Table11[[#This Row],[Daily_Production]]-Table11[[#This Row],[Forecasted_Units]]</f>
        <v>50.427683486733955</v>
      </c>
      <c r="I427" cm="1">
        <f t="array" ref="I427">_xlfn.IFS(Table11[[#This Row],[Vehicle_Type]]="SUV",5,Table11[[#This Row],[Vehicle_Type]]="Sedan",7,Table11[[#This Row],[Vehicle_Type]]="Hatchback",10,Table11[[#This Row],[Vehicle_Type]]="Electric",11,Table11[[#This Row],[Vehicle_Type]]="Truck",13)</f>
        <v>13</v>
      </c>
      <c r="J427">
        <f ca="1">Table11[[#This Row],[Daily_Production]]*Table11[[#This Row],[Working_Days]]</f>
        <v>3750</v>
      </c>
      <c r="K427" s="81">
        <f>Table11[[#This Row],[Forecasted_Units]]*0.1</f>
        <v>9.9572316513266053</v>
      </c>
      <c r="L427" s="82">
        <f>Table11[[#This Row],[Adjusted_Forecast]]+Table11[[#This Row],[Safety_Stock]]-Table11[[#This Row],[Inventory_On_Hand]]</f>
        <v>59.1018646778587</v>
      </c>
      <c r="M427" s="82">
        <f ca="1">MIN(Table11[[#This Row],[Production_Needed]],Table11[[#This Row],[Production_Capacity]])</f>
        <v>59.1018646778587</v>
      </c>
      <c r="N427" s="82">
        <f ca="1">MAX(Table11[[#This Row],[Production_Needed]]-Table11[[#This Row],[Planned_Production]],0)</f>
        <v>0</v>
      </c>
      <c r="O427" s="82">
        <f ca="1">Table11[[#This Row],[Inventory_On_Hand]]+Table11[[#This Row],[Planned_Production]]-Table11[[#This Row],[Forecasted_Units]]</f>
        <v>9.9572316513266088</v>
      </c>
      <c r="P427" cm="1">
        <f t="array" ref="P427">_xlfn.XLOOKUP(Table11[[#This Row],[Date]] &amp; Table11[[#This Row],[Vehicle_Type]], Table12[Date] &amp; Table12[Vehicle_Type],Table12[Feedback_Adjustment], 0)</f>
        <v>0</v>
      </c>
      <c r="Q427" s="82">
        <f>Table11[[#This Row],[Forecasted_Units]]*(1+Table11[[#This Row],[Adjustment_Percentage]])</f>
        <v>99.572316513266045</v>
      </c>
      <c r="R427" s="82"/>
    </row>
    <row r="428" spans="1:18">
      <c r="A428" s="53">
        <v>54785</v>
      </c>
      <c r="B428" s="14" t="s">
        <v>11</v>
      </c>
      <c r="C428" s="15" t="str">
        <f>TEXT(Table11[[#This Row],[Date]],"mmmm")</f>
        <v>December</v>
      </c>
      <c r="D428" s="14">
        <v>92</v>
      </c>
      <c r="E428" s="82">
        <f>_xlfn.FORECAST.LINEAR(Table11[[#This Row],[Date]],Table11[Units_Sold],Table11[Date])</f>
        <v>99.573480709922833</v>
      </c>
      <c r="F428" cm="1">
        <f t="array" ref="F428">_xlfn.IFS(Table11[[#This Row],[Vehicle_Type]]="SUV",250,Table11[[#This Row],[Vehicle_Type]]="Sedan",200,Table11[[#This Row],[Vehicle_Type]]="Hatchback",185,Table11[[#This Row],[Vehicle_Type]]="Electric",190,Table11[[#This Row],[Vehicle_Type]]="Truck",150)</f>
        <v>185</v>
      </c>
      <c r="G428">
        <f t="shared" ca="1" si="6"/>
        <v>24</v>
      </c>
      <c r="H428" s="82">
        <f>Table11[[#This Row],[Daily_Production]]-Table11[[#This Row],[Forecasted_Units]]</f>
        <v>85.426519290077167</v>
      </c>
      <c r="I428" cm="1">
        <f t="array" ref="I428">_xlfn.IFS(Table11[[#This Row],[Vehicle_Type]]="SUV",5,Table11[[#This Row],[Vehicle_Type]]="Sedan",7,Table11[[#This Row],[Vehicle_Type]]="Hatchback",10,Table11[[#This Row],[Vehicle_Type]]="Electric",11,Table11[[#This Row],[Vehicle_Type]]="Truck",13)</f>
        <v>10</v>
      </c>
      <c r="J428">
        <f ca="1">Table11[[#This Row],[Daily_Production]]*Table11[[#This Row],[Working_Days]]</f>
        <v>4440</v>
      </c>
      <c r="K428" s="81">
        <f>Table11[[#This Row],[Forecasted_Units]]*0.1</f>
        <v>9.9573480709922837</v>
      </c>
      <c r="L428" s="82">
        <f>Table11[[#This Row],[Adjusted_Forecast]]+Table11[[#This Row],[Safety_Stock]]-Table11[[#This Row],[Inventory_On_Hand]]</f>
        <v>24.104309490837949</v>
      </c>
      <c r="M428" s="82">
        <f ca="1">MIN(Table11[[#This Row],[Production_Needed]],Table11[[#This Row],[Production_Capacity]])</f>
        <v>24.104309490837949</v>
      </c>
      <c r="N428" s="82">
        <f ca="1">MAX(Table11[[#This Row],[Production_Needed]]-Table11[[#This Row],[Planned_Production]],0)</f>
        <v>0</v>
      </c>
      <c r="O428" s="82">
        <f ca="1">Table11[[#This Row],[Inventory_On_Hand]]+Table11[[#This Row],[Planned_Production]]-Table11[[#This Row],[Forecasted_Units]]</f>
        <v>9.9573480709922819</v>
      </c>
      <c r="P428" cm="1">
        <f t="array" ref="P428">_xlfn.XLOOKUP(Table11[[#This Row],[Date]] &amp; Table11[[#This Row],[Vehicle_Type]], Table12[Date] &amp; Table12[Vehicle_Type],Table12[Feedback_Adjustment], 0)</f>
        <v>0</v>
      </c>
      <c r="Q428" s="82">
        <f>Table11[[#This Row],[Forecasted_Units]]*(1+Table11[[#This Row],[Adjustment_Percentage]])</f>
        <v>99.573480709922833</v>
      </c>
      <c r="R428" s="82"/>
    </row>
    <row r="429" spans="1:18">
      <c r="A429" s="54">
        <v>54815</v>
      </c>
      <c r="B429" s="15" t="s">
        <v>11</v>
      </c>
      <c r="C429" s="15" t="str">
        <f>TEXT(Table11[[#This Row],[Date]],"mmmm")</f>
        <v>January</v>
      </c>
      <c r="D429" s="15">
        <v>121</v>
      </c>
      <c r="E429" s="82">
        <f>_xlfn.FORECAST.LINEAR(Table11[[#This Row],[Date]],Table11[Units_Sold],Table11[Date])</f>
        <v>99.574644906579621</v>
      </c>
      <c r="F429" cm="1">
        <f t="array" ref="F429">_xlfn.IFS(Table11[[#This Row],[Vehicle_Type]]="SUV",250,Table11[[#This Row],[Vehicle_Type]]="Sedan",200,Table11[[#This Row],[Vehicle_Type]]="Hatchback",185,Table11[[#This Row],[Vehicle_Type]]="Electric",190,Table11[[#This Row],[Vehicle_Type]]="Truck",150)</f>
        <v>185</v>
      </c>
      <c r="G429">
        <f t="shared" ca="1" si="6"/>
        <v>23</v>
      </c>
      <c r="H429" s="82">
        <f>Table11[[#This Row],[Daily_Production]]-Table11[[#This Row],[Forecasted_Units]]</f>
        <v>85.425355093420379</v>
      </c>
      <c r="I429" cm="1">
        <f t="array" ref="I429">_xlfn.IFS(Table11[[#This Row],[Vehicle_Type]]="SUV",5,Table11[[#This Row],[Vehicle_Type]]="Sedan",7,Table11[[#This Row],[Vehicle_Type]]="Hatchback",10,Table11[[#This Row],[Vehicle_Type]]="Electric",11,Table11[[#This Row],[Vehicle_Type]]="Truck",13)</f>
        <v>10</v>
      </c>
      <c r="J429">
        <f ca="1">Table11[[#This Row],[Daily_Production]]*Table11[[#This Row],[Working_Days]]</f>
        <v>4255</v>
      </c>
      <c r="K429" s="81">
        <f>Table11[[#This Row],[Forecasted_Units]]*0.1</f>
        <v>9.9574644906579621</v>
      </c>
      <c r="L429" s="82">
        <f>Table11[[#This Row],[Adjusted_Forecast]]+Table11[[#This Row],[Safety_Stock]]-Table11[[#This Row],[Inventory_On_Hand]]</f>
        <v>24.106754303817198</v>
      </c>
      <c r="M429" s="82">
        <f ca="1">MIN(Table11[[#This Row],[Production_Needed]],Table11[[#This Row],[Production_Capacity]])</f>
        <v>24.106754303817198</v>
      </c>
      <c r="N429" s="82">
        <f ca="1">MAX(Table11[[#This Row],[Production_Needed]]-Table11[[#This Row],[Planned_Production]],0)</f>
        <v>0</v>
      </c>
      <c r="O429" s="82">
        <f ca="1">Table11[[#This Row],[Inventory_On_Hand]]+Table11[[#This Row],[Planned_Production]]-Table11[[#This Row],[Forecasted_Units]]</f>
        <v>9.957464490657955</v>
      </c>
      <c r="P429" cm="1">
        <f t="array" ref="P429">_xlfn.XLOOKUP(Table11[[#This Row],[Date]] &amp; Table11[[#This Row],[Vehicle_Type]], Table12[Date] &amp; Table12[Vehicle_Type],Table12[Feedback_Adjustment], 0)</f>
        <v>0</v>
      </c>
      <c r="Q429" s="82">
        <f>Table11[[#This Row],[Forecasted_Units]]*(1+Table11[[#This Row],[Adjustment_Percentage]])</f>
        <v>99.574644906579621</v>
      </c>
      <c r="R429" s="82"/>
    </row>
    <row r="430" spans="1:18">
      <c r="A430" s="53">
        <v>54845</v>
      </c>
      <c r="B430" s="14" t="s">
        <v>10</v>
      </c>
      <c r="C430" s="15" t="str">
        <f>TEXT(Table11[[#This Row],[Date]],"mmmm")</f>
        <v>February</v>
      </c>
      <c r="D430" s="14">
        <v>89</v>
      </c>
      <c r="E430" s="82">
        <f>_xlfn.FORECAST.LINEAR(Table11[[#This Row],[Date]],Table11[Units_Sold],Table11[Date])</f>
        <v>99.575809103236409</v>
      </c>
      <c r="F430" cm="1">
        <f t="array" ref="F430">_xlfn.IFS(Table11[[#This Row],[Vehicle_Type]]="SUV",250,Table11[[#This Row],[Vehicle_Type]]="Sedan",200,Table11[[#This Row],[Vehicle_Type]]="Hatchback",185,Table11[[#This Row],[Vehicle_Type]]="Electric",190,Table11[[#This Row],[Vehicle_Type]]="Truck",150)</f>
        <v>200</v>
      </c>
      <c r="G430">
        <f t="shared" ca="1" si="6"/>
        <v>22</v>
      </c>
      <c r="H430" s="82">
        <f>Table11[[#This Row],[Daily_Production]]-Table11[[#This Row],[Forecasted_Units]]</f>
        <v>100.42419089676359</v>
      </c>
      <c r="I430" cm="1">
        <f t="array" ref="I430">_xlfn.IFS(Table11[[#This Row],[Vehicle_Type]]="SUV",5,Table11[[#This Row],[Vehicle_Type]]="Sedan",7,Table11[[#This Row],[Vehicle_Type]]="Hatchback",10,Table11[[#This Row],[Vehicle_Type]]="Electric",11,Table11[[#This Row],[Vehicle_Type]]="Truck",13)</f>
        <v>7</v>
      </c>
      <c r="J430">
        <f ca="1">Table11[[#This Row],[Daily_Production]]*Table11[[#This Row],[Working_Days]]</f>
        <v>4400</v>
      </c>
      <c r="K430" s="81">
        <f>Table11[[#This Row],[Forecasted_Units]]*0.1</f>
        <v>9.9575809103236423</v>
      </c>
      <c r="L430" s="82">
        <f>Table11[[#This Row],[Adjusted_Forecast]]+Table11[[#This Row],[Safety_Stock]]-Table11[[#This Row],[Inventory_On_Hand]]</f>
        <v>9.1091991167964608</v>
      </c>
      <c r="M430" s="82">
        <f ca="1">MIN(Table11[[#This Row],[Production_Needed]],Table11[[#This Row],[Production_Capacity]])</f>
        <v>9.1091991167964608</v>
      </c>
      <c r="N430" s="82">
        <f ca="1">MAX(Table11[[#This Row],[Production_Needed]]-Table11[[#This Row],[Planned_Production]],0)</f>
        <v>0</v>
      </c>
      <c r="O430" s="82">
        <f ca="1">Table11[[#This Row],[Inventory_On_Hand]]+Table11[[#This Row],[Planned_Production]]-Table11[[#This Row],[Forecasted_Units]]</f>
        <v>9.9575809103236423</v>
      </c>
      <c r="P430" cm="1">
        <f t="array" ref="P430">_xlfn.XLOOKUP(Table11[[#This Row],[Date]] &amp; Table11[[#This Row],[Vehicle_Type]], Table12[Date] &amp; Table12[Vehicle_Type],Table12[Feedback_Adjustment], 0)</f>
        <v>0</v>
      </c>
      <c r="Q430" s="82">
        <f>Table11[[#This Row],[Forecasted_Units]]*(1+Table11[[#This Row],[Adjustment_Percentage]])</f>
        <v>99.575809103236409</v>
      </c>
      <c r="R430" s="82"/>
    </row>
    <row r="431" spans="1:18">
      <c r="A431" s="54">
        <v>54875</v>
      </c>
      <c r="B431" s="15" t="s">
        <v>11</v>
      </c>
      <c r="C431" s="15" t="str">
        <f>TEXT(Table11[[#This Row],[Date]],"mmmm")</f>
        <v>March</v>
      </c>
      <c r="D431" s="15">
        <v>117</v>
      </c>
      <c r="E431" s="82">
        <f>_xlfn.FORECAST.LINEAR(Table11[[#This Row],[Date]],Table11[Units_Sold],Table11[Date])</f>
        <v>99.576973299893197</v>
      </c>
      <c r="F431" cm="1">
        <f t="array" ref="F431">_xlfn.IFS(Table11[[#This Row],[Vehicle_Type]]="SUV",250,Table11[[#This Row],[Vehicle_Type]]="Sedan",200,Table11[[#This Row],[Vehicle_Type]]="Hatchback",185,Table11[[#This Row],[Vehicle_Type]]="Electric",190,Table11[[#This Row],[Vehicle_Type]]="Truck",150)</f>
        <v>185</v>
      </c>
      <c r="G431">
        <f t="shared" ca="1" si="6"/>
        <v>24</v>
      </c>
      <c r="H431" s="82">
        <f>Table11[[#This Row],[Daily_Production]]-Table11[[#This Row],[Forecasted_Units]]</f>
        <v>85.423026700106803</v>
      </c>
      <c r="I431" cm="1">
        <f t="array" ref="I431">_xlfn.IFS(Table11[[#This Row],[Vehicle_Type]]="SUV",5,Table11[[#This Row],[Vehicle_Type]]="Sedan",7,Table11[[#This Row],[Vehicle_Type]]="Hatchback",10,Table11[[#This Row],[Vehicle_Type]]="Electric",11,Table11[[#This Row],[Vehicle_Type]]="Truck",13)</f>
        <v>10</v>
      </c>
      <c r="J431">
        <f ca="1">Table11[[#This Row],[Daily_Production]]*Table11[[#This Row],[Working_Days]]</f>
        <v>4440</v>
      </c>
      <c r="K431" s="81">
        <f>Table11[[#This Row],[Forecasted_Units]]*0.1</f>
        <v>9.9576973299893208</v>
      </c>
      <c r="L431" s="82">
        <f>Table11[[#This Row],[Adjusted_Forecast]]+Table11[[#This Row],[Safety_Stock]]-Table11[[#This Row],[Inventory_On_Hand]]</f>
        <v>24.11164392977571</v>
      </c>
      <c r="M431" s="82">
        <f ca="1">MIN(Table11[[#This Row],[Production_Needed]],Table11[[#This Row],[Production_Capacity]])</f>
        <v>24.11164392977571</v>
      </c>
      <c r="N431" s="82">
        <f ca="1">MAX(Table11[[#This Row],[Production_Needed]]-Table11[[#This Row],[Planned_Production]],0)</f>
        <v>0</v>
      </c>
      <c r="O431" s="82">
        <f ca="1">Table11[[#This Row],[Inventory_On_Hand]]+Table11[[#This Row],[Planned_Production]]-Table11[[#This Row],[Forecasted_Units]]</f>
        <v>9.9576973299893154</v>
      </c>
      <c r="P431" cm="1">
        <f t="array" ref="P431">_xlfn.XLOOKUP(Table11[[#This Row],[Date]] &amp; Table11[[#This Row],[Vehicle_Type]], Table12[Date] &amp; Table12[Vehicle_Type],Table12[Feedback_Adjustment], 0)</f>
        <v>0</v>
      </c>
      <c r="Q431" s="82">
        <f>Table11[[#This Row],[Forecasted_Units]]*(1+Table11[[#This Row],[Adjustment_Percentage]])</f>
        <v>99.576973299893197</v>
      </c>
      <c r="R431" s="82"/>
    </row>
    <row r="432" spans="1:18">
      <c r="A432" s="53">
        <v>54905</v>
      </c>
      <c r="B432" s="14" t="s">
        <v>11</v>
      </c>
      <c r="C432" s="15" t="str">
        <f>TEXT(Table11[[#This Row],[Date]],"mmmm")</f>
        <v>April</v>
      </c>
      <c r="D432" s="14">
        <v>106</v>
      </c>
      <c r="E432" s="82">
        <f>_xlfn.FORECAST.LINEAR(Table11[[#This Row],[Date]],Table11[Units_Sold],Table11[Date])</f>
        <v>99.578137496549985</v>
      </c>
      <c r="F432" cm="1">
        <f t="array" ref="F432">_xlfn.IFS(Table11[[#This Row],[Vehicle_Type]]="SUV",250,Table11[[#This Row],[Vehicle_Type]]="Sedan",200,Table11[[#This Row],[Vehicle_Type]]="Hatchback",185,Table11[[#This Row],[Vehicle_Type]]="Electric",190,Table11[[#This Row],[Vehicle_Type]]="Truck",150)</f>
        <v>185</v>
      </c>
      <c r="G432">
        <f t="shared" ca="1" si="6"/>
        <v>22</v>
      </c>
      <c r="H432" s="82">
        <f>Table11[[#This Row],[Daily_Production]]-Table11[[#This Row],[Forecasted_Units]]</f>
        <v>85.421862503450015</v>
      </c>
      <c r="I432" cm="1">
        <f t="array" ref="I432">_xlfn.IFS(Table11[[#This Row],[Vehicle_Type]]="SUV",5,Table11[[#This Row],[Vehicle_Type]]="Sedan",7,Table11[[#This Row],[Vehicle_Type]]="Hatchback",10,Table11[[#This Row],[Vehicle_Type]]="Electric",11,Table11[[#This Row],[Vehicle_Type]]="Truck",13)</f>
        <v>10</v>
      </c>
      <c r="J432">
        <f ca="1">Table11[[#This Row],[Daily_Production]]*Table11[[#This Row],[Working_Days]]</f>
        <v>4070</v>
      </c>
      <c r="K432" s="81">
        <f>Table11[[#This Row],[Forecasted_Units]]*0.1</f>
        <v>9.9578137496549992</v>
      </c>
      <c r="L432" s="82">
        <f>Table11[[#This Row],[Adjusted_Forecast]]+Table11[[#This Row],[Safety_Stock]]-Table11[[#This Row],[Inventory_On_Hand]]</f>
        <v>24.114088742754973</v>
      </c>
      <c r="M432" s="82">
        <f ca="1">MIN(Table11[[#This Row],[Production_Needed]],Table11[[#This Row],[Production_Capacity]])</f>
        <v>24.114088742754973</v>
      </c>
      <c r="N432" s="82">
        <f ca="1">MAX(Table11[[#This Row],[Production_Needed]]-Table11[[#This Row],[Planned_Production]],0)</f>
        <v>0</v>
      </c>
      <c r="O432" s="82">
        <f ca="1">Table11[[#This Row],[Inventory_On_Hand]]+Table11[[#This Row],[Planned_Production]]-Table11[[#This Row],[Forecasted_Units]]</f>
        <v>9.9578137496550028</v>
      </c>
      <c r="P432" cm="1">
        <f t="array" ref="P432">_xlfn.XLOOKUP(Table11[[#This Row],[Date]] &amp; Table11[[#This Row],[Vehicle_Type]], Table12[Date] &amp; Table12[Vehicle_Type],Table12[Feedback_Adjustment], 0)</f>
        <v>0</v>
      </c>
      <c r="Q432" s="82">
        <f>Table11[[#This Row],[Forecasted_Units]]*(1+Table11[[#This Row],[Adjustment_Percentage]])</f>
        <v>99.578137496549985</v>
      </c>
      <c r="R432" s="82"/>
    </row>
    <row r="433" spans="1:18">
      <c r="A433" s="54">
        <v>54935</v>
      </c>
      <c r="B433" s="15" t="s">
        <v>13</v>
      </c>
      <c r="C433" s="15" t="str">
        <f>TEXT(Table11[[#This Row],[Date]],"mmmm")</f>
        <v>May</v>
      </c>
      <c r="D433" s="15">
        <v>121</v>
      </c>
      <c r="E433" s="82">
        <f>_xlfn.FORECAST.LINEAR(Table11[[#This Row],[Date]],Table11[Units_Sold],Table11[Date])</f>
        <v>99.579301693206773</v>
      </c>
      <c r="F433" cm="1">
        <f t="array" ref="F433">_xlfn.IFS(Table11[[#This Row],[Vehicle_Type]]="SUV",250,Table11[[#This Row],[Vehicle_Type]]="Sedan",200,Table11[[#This Row],[Vehicle_Type]]="Hatchback",185,Table11[[#This Row],[Vehicle_Type]]="Electric",190,Table11[[#This Row],[Vehicle_Type]]="Truck",150)</f>
        <v>190</v>
      </c>
      <c r="G433">
        <f t="shared" ca="1" si="6"/>
        <v>24</v>
      </c>
      <c r="H433" s="82">
        <f>Table11[[#This Row],[Daily_Production]]-Table11[[#This Row],[Forecasted_Units]]</f>
        <v>90.420698306793227</v>
      </c>
      <c r="I433" cm="1">
        <f t="array" ref="I433">_xlfn.IFS(Table11[[#This Row],[Vehicle_Type]]="SUV",5,Table11[[#This Row],[Vehicle_Type]]="Sedan",7,Table11[[#This Row],[Vehicle_Type]]="Hatchback",10,Table11[[#This Row],[Vehicle_Type]]="Electric",11,Table11[[#This Row],[Vehicle_Type]]="Truck",13)</f>
        <v>11</v>
      </c>
      <c r="J433">
        <f ca="1">Table11[[#This Row],[Daily_Production]]*Table11[[#This Row],[Working_Days]]</f>
        <v>4560</v>
      </c>
      <c r="K433" s="81">
        <f>Table11[[#This Row],[Forecasted_Units]]*0.1</f>
        <v>9.9579301693206776</v>
      </c>
      <c r="L433" s="82">
        <f>Table11[[#This Row],[Adjusted_Forecast]]+Table11[[#This Row],[Safety_Stock]]-Table11[[#This Row],[Inventory_On_Hand]]</f>
        <v>19.116533555734222</v>
      </c>
      <c r="M433" s="82">
        <f ca="1">MIN(Table11[[#This Row],[Production_Needed]],Table11[[#This Row],[Production_Capacity]])</f>
        <v>19.116533555734222</v>
      </c>
      <c r="N433" s="82">
        <f ca="1">MAX(Table11[[#This Row],[Production_Needed]]-Table11[[#This Row],[Planned_Production]],0)</f>
        <v>0</v>
      </c>
      <c r="O433" s="82">
        <f ca="1">Table11[[#This Row],[Inventory_On_Hand]]+Table11[[#This Row],[Planned_Production]]-Table11[[#This Row],[Forecasted_Units]]</f>
        <v>9.9579301693206759</v>
      </c>
      <c r="P433" cm="1">
        <f t="array" ref="P433">_xlfn.XLOOKUP(Table11[[#This Row],[Date]] &amp; Table11[[#This Row],[Vehicle_Type]], Table12[Date] &amp; Table12[Vehicle_Type],Table12[Feedback_Adjustment], 0)</f>
        <v>0</v>
      </c>
      <c r="Q433" s="82">
        <f>Table11[[#This Row],[Forecasted_Units]]*(1+Table11[[#This Row],[Adjustment_Percentage]])</f>
        <v>99.579301693206773</v>
      </c>
      <c r="R433" s="82"/>
    </row>
    <row r="434" spans="1:18">
      <c r="A434" s="53">
        <v>54965</v>
      </c>
      <c r="B434" s="14" t="s">
        <v>14</v>
      </c>
      <c r="C434" s="15" t="str">
        <f>TEXT(Table11[[#This Row],[Date]],"mmmm")</f>
        <v>June</v>
      </c>
      <c r="D434" s="14">
        <v>95</v>
      </c>
      <c r="E434" s="82">
        <f>_xlfn.FORECAST.LINEAR(Table11[[#This Row],[Date]],Table11[Units_Sold],Table11[Date])</f>
        <v>99.580465889863547</v>
      </c>
      <c r="F434" cm="1">
        <f t="array" ref="F434">_xlfn.IFS(Table11[[#This Row],[Vehicle_Type]]="SUV",250,Table11[[#This Row],[Vehicle_Type]]="Sedan",200,Table11[[#This Row],[Vehicle_Type]]="Hatchback",185,Table11[[#This Row],[Vehicle_Type]]="Electric",190,Table11[[#This Row],[Vehicle_Type]]="Truck",150)</f>
        <v>150</v>
      </c>
      <c r="G434">
        <f t="shared" ca="1" si="6"/>
        <v>21</v>
      </c>
      <c r="H434" s="82">
        <f>Table11[[#This Row],[Daily_Production]]-Table11[[#This Row],[Forecasted_Units]]</f>
        <v>50.419534110136453</v>
      </c>
      <c r="I434" cm="1">
        <f t="array" ref="I434">_xlfn.IFS(Table11[[#This Row],[Vehicle_Type]]="SUV",5,Table11[[#This Row],[Vehicle_Type]]="Sedan",7,Table11[[#This Row],[Vehicle_Type]]="Hatchback",10,Table11[[#This Row],[Vehicle_Type]]="Electric",11,Table11[[#This Row],[Vehicle_Type]]="Truck",13)</f>
        <v>13</v>
      </c>
      <c r="J434">
        <f ca="1">Table11[[#This Row],[Daily_Production]]*Table11[[#This Row],[Working_Days]]</f>
        <v>3150</v>
      </c>
      <c r="K434" s="81">
        <f>Table11[[#This Row],[Forecasted_Units]]*0.1</f>
        <v>9.9580465889863561</v>
      </c>
      <c r="L434" s="82">
        <f>Table11[[#This Row],[Adjusted_Forecast]]+Table11[[#This Row],[Safety_Stock]]-Table11[[#This Row],[Inventory_On_Hand]]</f>
        <v>59.118978368713442</v>
      </c>
      <c r="M434" s="82">
        <f ca="1">MIN(Table11[[#This Row],[Production_Needed]],Table11[[#This Row],[Production_Capacity]])</f>
        <v>59.118978368713442</v>
      </c>
      <c r="N434" s="82">
        <f ca="1">MAX(Table11[[#This Row],[Production_Needed]]-Table11[[#This Row],[Planned_Production]],0)</f>
        <v>0</v>
      </c>
      <c r="O434" s="82">
        <f ca="1">Table11[[#This Row],[Inventory_On_Hand]]+Table11[[#This Row],[Planned_Production]]-Table11[[#This Row],[Forecasted_Units]]</f>
        <v>9.958046588986349</v>
      </c>
      <c r="P434" cm="1">
        <f t="array" ref="P434">_xlfn.XLOOKUP(Table11[[#This Row],[Date]] &amp; Table11[[#This Row],[Vehicle_Type]], Table12[Date] &amp; Table12[Vehicle_Type],Table12[Feedback_Adjustment], 0)</f>
        <v>0</v>
      </c>
      <c r="Q434" s="82">
        <f>Table11[[#This Row],[Forecasted_Units]]*(1+Table11[[#This Row],[Adjustment_Percentage]])</f>
        <v>99.580465889863547</v>
      </c>
      <c r="R434" s="82"/>
    </row>
    <row r="435" spans="1:18">
      <c r="A435" s="54">
        <v>54995</v>
      </c>
      <c r="B435" s="15" t="s">
        <v>13</v>
      </c>
      <c r="C435" s="15" t="str">
        <f>TEXT(Table11[[#This Row],[Date]],"mmmm")</f>
        <v>July</v>
      </c>
      <c r="D435" s="15">
        <v>91</v>
      </c>
      <c r="E435" s="82">
        <f>_xlfn.FORECAST.LINEAR(Table11[[#This Row],[Date]],Table11[Units_Sold],Table11[Date])</f>
        <v>99.581630086520335</v>
      </c>
      <c r="F435" cm="1">
        <f t="array" ref="F435">_xlfn.IFS(Table11[[#This Row],[Vehicle_Type]]="SUV",250,Table11[[#This Row],[Vehicle_Type]]="Sedan",200,Table11[[#This Row],[Vehicle_Type]]="Hatchback",185,Table11[[#This Row],[Vehicle_Type]]="Electric",190,Table11[[#This Row],[Vehicle_Type]]="Truck",150)</f>
        <v>190</v>
      </c>
      <c r="G435">
        <f t="shared" ca="1" si="6"/>
        <v>24</v>
      </c>
      <c r="H435" s="82">
        <f>Table11[[#This Row],[Daily_Production]]-Table11[[#This Row],[Forecasted_Units]]</f>
        <v>90.418369913479665</v>
      </c>
      <c r="I435" cm="1">
        <f t="array" ref="I435">_xlfn.IFS(Table11[[#This Row],[Vehicle_Type]]="SUV",5,Table11[[#This Row],[Vehicle_Type]]="Sedan",7,Table11[[#This Row],[Vehicle_Type]]="Hatchback",10,Table11[[#This Row],[Vehicle_Type]]="Electric",11,Table11[[#This Row],[Vehicle_Type]]="Truck",13)</f>
        <v>11</v>
      </c>
      <c r="J435">
        <f ca="1">Table11[[#This Row],[Daily_Production]]*Table11[[#This Row],[Working_Days]]</f>
        <v>4560</v>
      </c>
      <c r="K435" s="81">
        <f>Table11[[#This Row],[Forecasted_Units]]*0.1</f>
        <v>9.9581630086520345</v>
      </c>
      <c r="L435" s="82">
        <f>Table11[[#This Row],[Adjusted_Forecast]]+Table11[[#This Row],[Safety_Stock]]-Table11[[#This Row],[Inventory_On_Hand]]</f>
        <v>19.121423181692705</v>
      </c>
      <c r="M435" s="82">
        <f ca="1">MIN(Table11[[#This Row],[Production_Needed]],Table11[[#This Row],[Production_Capacity]])</f>
        <v>19.121423181692705</v>
      </c>
      <c r="N435" s="82">
        <f ca="1">MAX(Table11[[#This Row],[Production_Needed]]-Table11[[#This Row],[Planned_Production]],0)</f>
        <v>0</v>
      </c>
      <c r="O435" s="82">
        <f ca="1">Table11[[#This Row],[Inventory_On_Hand]]+Table11[[#This Row],[Planned_Production]]-Table11[[#This Row],[Forecasted_Units]]</f>
        <v>9.9581630086520363</v>
      </c>
      <c r="P435" cm="1">
        <f t="array" ref="P435">_xlfn.XLOOKUP(Table11[[#This Row],[Date]] &amp; Table11[[#This Row],[Vehicle_Type]], Table12[Date] &amp; Table12[Vehicle_Type],Table12[Feedback_Adjustment], 0)</f>
        <v>0</v>
      </c>
      <c r="Q435" s="82">
        <f>Table11[[#This Row],[Forecasted_Units]]*(1+Table11[[#This Row],[Adjustment_Percentage]])</f>
        <v>99.581630086520335</v>
      </c>
      <c r="R435" s="82"/>
    </row>
    <row r="436" spans="1:18">
      <c r="A436" s="53">
        <v>55025</v>
      </c>
      <c r="B436" s="14" t="s">
        <v>11</v>
      </c>
      <c r="C436" s="15" t="str">
        <f>TEXT(Table11[[#This Row],[Date]],"mmmm")</f>
        <v>August</v>
      </c>
      <c r="D436" s="14">
        <v>82</v>
      </c>
      <c r="E436" s="82">
        <f>_xlfn.FORECAST.LINEAR(Table11[[#This Row],[Date]],Table11[Units_Sold],Table11[Date])</f>
        <v>99.582794283177122</v>
      </c>
      <c r="F436" cm="1">
        <f t="array" ref="F436">_xlfn.IFS(Table11[[#This Row],[Vehicle_Type]]="SUV",250,Table11[[#This Row],[Vehicle_Type]]="Sedan",200,Table11[[#This Row],[Vehicle_Type]]="Hatchback",185,Table11[[#This Row],[Vehicle_Type]]="Electric",190,Table11[[#This Row],[Vehicle_Type]]="Truck",150)</f>
        <v>185</v>
      </c>
      <c r="G436">
        <f t="shared" ca="1" si="6"/>
        <v>24</v>
      </c>
      <c r="H436" s="82">
        <f>Table11[[#This Row],[Daily_Production]]-Table11[[#This Row],[Forecasted_Units]]</f>
        <v>85.417205716822878</v>
      </c>
      <c r="I436" cm="1">
        <f t="array" ref="I436">_xlfn.IFS(Table11[[#This Row],[Vehicle_Type]]="SUV",5,Table11[[#This Row],[Vehicle_Type]]="Sedan",7,Table11[[#This Row],[Vehicle_Type]]="Hatchback",10,Table11[[#This Row],[Vehicle_Type]]="Electric",11,Table11[[#This Row],[Vehicle_Type]]="Truck",13)</f>
        <v>10</v>
      </c>
      <c r="J436">
        <f ca="1">Table11[[#This Row],[Daily_Production]]*Table11[[#This Row],[Working_Days]]</f>
        <v>4440</v>
      </c>
      <c r="K436" s="81">
        <f>Table11[[#This Row],[Forecasted_Units]]*0.1</f>
        <v>9.958279428317713</v>
      </c>
      <c r="L436" s="82">
        <f>Table11[[#This Row],[Adjusted_Forecast]]+Table11[[#This Row],[Safety_Stock]]-Table11[[#This Row],[Inventory_On_Hand]]</f>
        <v>24.123867994671954</v>
      </c>
      <c r="M436" s="82">
        <f ca="1">MIN(Table11[[#This Row],[Production_Needed]],Table11[[#This Row],[Production_Capacity]])</f>
        <v>24.123867994671954</v>
      </c>
      <c r="N436" s="82">
        <f ca="1">MAX(Table11[[#This Row],[Production_Needed]]-Table11[[#This Row],[Planned_Production]],0)</f>
        <v>0</v>
      </c>
      <c r="O436" s="82">
        <f ca="1">Table11[[#This Row],[Inventory_On_Hand]]+Table11[[#This Row],[Planned_Production]]-Table11[[#This Row],[Forecasted_Units]]</f>
        <v>9.9582794283177094</v>
      </c>
      <c r="P436" cm="1">
        <f t="array" ref="P436">_xlfn.XLOOKUP(Table11[[#This Row],[Date]] &amp; Table11[[#This Row],[Vehicle_Type]], Table12[Date] &amp; Table12[Vehicle_Type],Table12[Feedback_Adjustment], 0)</f>
        <v>0</v>
      </c>
      <c r="Q436" s="82">
        <f>Table11[[#This Row],[Forecasted_Units]]*(1+Table11[[#This Row],[Adjustment_Percentage]])</f>
        <v>99.582794283177122</v>
      </c>
      <c r="R436" s="82"/>
    </row>
    <row r="437" spans="1:18">
      <c r="A437" s="54">
        <v>55055</v>
      </c>
      <c r="B437" s="15" t="s">
        <v>10</v>
      </c>
      <c r="C437" s="15" t="str">
        <f>TEXT(Table11[[#This Row],[Date]],"mmmm")</f>
        <v>September</v>
      </c>
      <c r="D437" s="15">
        <v>100</v>
      </c>
      <c r="E437" s="82">
        <f>_xlfn.FORECAST.LINEAR(Table11[[#This Row],[Date]],Table11[Units_Sold],Table11[Date])</f>
        <v>99.58395847983391</v>
      </c>
      <c r="F437" cm="1">
        <f t="array" ref="F437">_xlfn.IFS(Table11[[#This Row],[Vehicle_Type]]="SUV",250,Table11[[#This Row],[Vehicle_Type]]="Sedan",200,Table11[[#This Row],[Vehicle_Type]]="Hatchback",185,Table11[[#This Row],[Vehicle_Type]]="Electric",190,Table11[[#This Row],[Vehicle_Type]]="Truck",150)</f>
        <v>200</v>
      </c>
      <c r="G437">
        <f t="shared" ca="1" si="6"/>
        <v>20</v>
      </c>
      <c r="H437" s="82">
        <f>Table11[[#This Row],[Daily_Production]]-Table11[[#This Row],[Forecasted_Units]]</f>
        <v>100.41604152016609</v>
      </c>
      <c r="I437" cm="1">
        <f t="array" ref="I437">_xlfn.IFS(Table11[[#This Row],[Vehicle_Type]]="SUV",5,Table11[[#This Row],[Vehicle_Type]]="Sedan",7,Table11[[#This Row],[Vehicle_Type]]="Hatchback",10,Table11[[#This Row],[Vehicle_Type]]="Electric",11,Table11[[#This Row],[Vehicle_Type]]="Truck",13)</f>
        <v>7</v>
      </c>
      <c r="J437">
        <f ca="1">Table11[[#This Row],[Daily_Production]]*Table11[[#This Row],[Working_Days]]</f>
        <v>4000</v>
      </c>
      <c r="K437" s="81">
        <f>Table11[[#This Row],[Forecasted_Units]]*0.1</f>
        <v>9.9583958479833914</v>
      </c>
      <c r="L437" s="82">
        <f>Table11[[#This Row],[Adjusted_Forecast]]+Table11[[#This Row],[Safety_Stock]]-Table11[[#This Row],[Inventory_On_Hand]]</f>
        <v>9.1263128076512174</v>
      </c>
      <c r="M437" s="82">
        <f ca="1">MIN(Table11[[#This Row],[Production_Needed]],Table11[[#This Row],[Production_Capacity]])</f>
        <v>9.1263128076512174</v>
      </c>
      <c r="N437" s="82">
        <f ca="1">MAX(Table11[[#This Row],[Production_Needed]]-Table11[[#This Row],[Planned_Production]],0)</f>
        <v>0</v>
      </c>
      <c r="O437" s="82">
        <f ca="1">Table11[[#This Row],[Inventory_On_Hand]]+Table11[[#This Row],[Planned_Production]]-Table11[[#This Row],[Forecasted_Units]]</f>
        <v>9.9583958479833967</v>
      </c>
      <c r="P437" cm="1">
        <f t="array" ref="P437">_xlfn.XLOOKUP(Table11[[#This Row],[Date]] &amp; Table11[[#This Row],[Vehicle_Type]], Table12[Date] &amp; Table12[Vehicle_Type],Table12[Feedback_Adjustment], 0)</f>
        <v>0</v>
      </c>
      <c r="Q437" s="82">
        <f>Table11[[#This Row],[Forecasted_Units]]*(1+Table11[[#This Row],[Adjustment_Percentage]])</f>
        <v>99.58395847983391</v>
      </c>
      <c r="R437" s="82"/>
    </row>
    <row r="438" spans="1:18">
      <c r="A438" s="53">
        <v>55085</v>
      </c>
      <c r="B438" s="14" t="s">
        <v>10</v>
      </c>
      <c r="C438" s="15" t="str">
        <f>TEXT(Table11[[#This Row],[Date]],"mmmm")</f>
        <v>October</v>
      </c>
      <c r="D438" s="14">
        <v>81</v>
      </c>
      <c r="E438" s="82">
        <f>_xlfn.FORECAST.LINEAR(Table11[[#This Row],[Date]],Table11[Units_Sold],Table11[Date])</f>
        <v>99.585122676490698</v>
      </c>
      <c r="F438" cm="1">
        <f t="array" ref="F438">_xlfn.IFS(Table11[[#This Row],[Vehicle_Type]]="SUV",250,Table11[[#This Row],[Vehicle_Type]]="Sedan",200,Table11[[#This Row],[Vehicle_Type]]="Hatchback",185,Table11[[#This Row],[Vehicle_Type]]="Electric",190,Table11[[#This Row],[Vehicle_Type]]="Truck",150)</f>
        <v>200</v>
      </c>
      <c r="G438">
        <f t="shared" ca="1" si="6"/>
        <v>22</v>
      </c>
      <c r="H438" s="82">
        <f>Table11[[#This Row],[Daily_Production]]-Table11[[#This Row],[Forecasted_Units]]</f>
        <v>100.4148773235093</v>
      </c>
      <c r="I438" cm="1">
        <f t="array" ref="I438">_xlfn.IFS(Table11[[#This Row],[Vehicle_Type]]="SUV",5,Table11[[#This Row],[Vehicle_Type]]="Sedan",7,Table11[[#This Row],[Vehicle_Type]]="Hatchback",10,Table11[[#This Row],[Vehicle_Type]]="Electric",11,Table11[[#This Row],[Vehicle_Type]]="Truck",13)</f>
        <v>7</v>
      </c>
      <c r="J438">
        <f ca="1">Table11[[#This Row],[Daily_Production]]*Table11[[#This Row],[Working_Days]]</f>
        <v>4400</v>
      </c>
      <c r="K438" s="81">
        <f>Table11[[#This Row],[Forecasted_Units]]*0.1</f>
        <v>9.9585122676490698</v>
      </c>
      <c r="L438" s="82">
        <f>Table11[[#This Row],[Adjusted_Forecast]]+Table11[[#This Row],[Safety_Stock]]-Table11[[#This Row],[Inventory_On_Hand]]</f>
        <v>9.1287576206304664</v>
      </c>
      <c r="M438" s="82">
        <f ca="1">MIN(Table11[[#This Row],[Production_Needed]],Table11[[#This Row],[Production_Capacity]])</f>
        <v>9.1287576206304664</v>
      </c>
      <c r="N438" s="82">
        <f ca="1">MAX(Table11[[#This Row],[Production_Needed]]-Table11[[#This Row],[Planned_Production]],0)</f>
        <v>0</v>
      </c>
      <c r="O438" s="82">
        <f ca="1">Table11[[#This Row],[Inventory_On_Hand]]+Table11[[#This Row],[Planned_Production]]-Table11[[#This Row],[Forecasted_Units]]</f>
        <v>9.9585122676490698</v>
      </c>
      <c r="P438" cm="1">
        <f t="array" ref="P438">_xlfn.XLOOKUP(Table11[[#This Row],[Date]] &amp; Table11[[#This Row],[Vehicle_Type]], Table12[Date] &amp; Table12[Vehicle_Type],Table12[Feedback_Adjustment], 0)</f>
        <v>0</v>
      </c>
      <c r="Q438" s="82">
        <f>Table11[[#This Row],[Forecasted_Units]]*(1+Table11[[#This Row],[Adjustment_Percentage]])</f>
        <v>99.585122676490698</v>
      </c>
      <c r="R438" s="82"/>
    </row>
    <row r="439" spans="1:18">
      <c r="A439" s="54">
        <v>55115</v>
      </c>
      <c r="B439" s="15" t="s">
        <v>11</v>
      </c>
      <c r="C439" s="15" t="str">
        <f>TEXT(Table11[[#This Row],[Date]],"mmmm")</f>
        <v>November</v>
      </c>
      <c r="D439" s="15">
        <v>101</v>
      </c>
      <c r="E439" s="82">
        <f>_xlfn.FORECAST.LINEAR(Table11[[#This Row],[Date]],Table11[Units_Sold],Table11[Date])</f>
        <v>99.586286873147486</v>
      </c>
      <c r="F439" cm="1">
        <f t="array" ref="F439">_xlfn.IFS(Table11[[#This Row],[Vehicle_Type]]="SUV",250,Table11[[#This Row],[Vehicle_Type]]="Sedan",200,Table11[[#This Row],[Vehicle_Type]]="Hatchback",185,Table11[[#This Row],[Vehicle_Type]]="Electric",190,Table11[[#This Row],[Vehicle_Type]]="Truck",150)</f>
        <v>185</v>
      </c>
      <c r="G439">
        <f t="shared" ca="1" si="6"/>
        <v>20</v>
      </c>
      <c r="H439" s="82">
        <f>Table11[[#This Row],[Daily_Production]]-Table11[[#This Row],[Forecasted_Units]]</f>
        <v>85.413713126852514</v>
      </c>
      <c r="I439" cm="1">
        <f t="array" ref="I439">_xlfn.IFS(Table11[[#This Row],[Vehicle_Type]]="SUV",5,Table11[[#This Row],[Vehicle_Type]]="Sedan",7,Table11[[#This Row],[Vehicle_Type]]="Hatchback",10,Table11[[#This Row],[Vehicle_Type]]="Electric",11,Table11[[#This Row],[Vehicle_Type]]="Truck",13)</f>
        <v>10</v>
      </c>
      <c r="J439">
        <f ca="1">Table11[[#This Row],[Daily_Production]]*Table11[[#This Row],[Working_Days]]</f>
        <v>3700</v>
      </c>
      <c r="K439" s="81">
        <f>Table11[[#This Row],[Forecasted_Units]]*0.1</f>
        <v>9.95862868731475</v>
      </c>
      <c r="L439" s="82">
        <f>Table11[[#This Row],[Adjusted_Forecast]]+Table11[[#This Row],[Safety_Stock]]-Table11[[#This Row],[Inventory_On_Hand]]</f>
        <v>24.131202433609729</v>
      </c>
      <c r="M439" s="82">
        <f ca="1">MIN(Table11[[#This Row],[Production_Needed]],Table11[[#This Row],[Production_Capacity]])</f>
        <v>24.131202433609729</v>
      </c>
      <c r="N439" s="82">
        <f ca="1">MAX(Table11[[#This Row],[Production_Needed]]-Table11[[#This Row],[Planned_Production]],0)</f>
        <v>0</v>
      </c>
      <c r="O439" s="82">
        <f ca="1">Table11[[#This Row],[Inventory_On_Hand]]+Table11[[#This Row],[Planned_Production]]-Table11[[#This Row],[Forecasted_Units]]</f>
        <v>9.9586286873147571</v>
      </c>
      <c r="P439" cm="1">
        <f t="array" ref="P439">_xlfn.XLOOKUP(Table11[[#This Row],[Date]] &amp; Table11[[#This Row],[Vehicle_Type]], Table12[Date] &amp; Table12[Vehicle_Type],Table12[Feedback_Adjustment], 0)</f>
        <v>0</v>
      </c>
      <c r="Q439" s="82">
        <f>Table11[[#This Row],[Forecasted_Units]]*(1+Table11[[#This Row],[Adjustment_Percentage]])</f>
        <v>99.586286873147486</v>
      </c>
      <c r="R439" s="82"/>
    </row>
    <row r="440" spans="1:18">
      <c r="A440" s="53">
        <v>55145</v>
      </c>
      <c r="B440" s="14" t="s">
        <v>12</v>
      </c>
      <c r="C440" s="15" t="str">
        <f>TEXT(Table11[[#This Row],[Date]],"mmmm")</f>
        <v>December</v>
      </c>
      <c r="D440" s="14">
        <v>95</v>
      </c>
      <c r="E440" s="82">
        <f>_xlfn.FORECAST.LINEAR(Table11[[#This Row],[Date]],Table11[Units_Sold],Table11[Date])</f>
        <v>99.587451069804274</v>
      </c>
      <c r="F440" cm="1">
        <f t="array" ref="F440">_xlfn.IFS(Table11[[#This Row],[Vehicle_Type]]="SUV",250,Table11[[#This Row],[Vehicle_Type]]="Sedan",200,Table11[[#This Row],[Vehicle_Type]]="Hatchback",185,Table11[[#This Row],[Vehicle_Type]]="Electric",190,Table11[[#This Row],[Vehicle_Type]]="Truck",150)</f>
        <v>250</v>
      </c>
      <c r="G440">
        <f t="shared" ca="1" si="6"/>
        <v>21</v>
      </c>
      <c r="H440" s="82">
        <f>Table11[[#This Row],[Daily_Production]]-Table11[[#This Row],[Forecasted_Units]]</f>
        <v>150.41254893019573</v>
      </c>
      <c r="I440" cm="1">
        <f t="array" ref="I440">_xlfn.IFS(Table11[[#This Row],[Vehicle_Type]]="SUV",5,Table11[[#This Row],[Vehicle_Type]]="Sedan",7,Table11[[#This Row],[Vehicle_Type]]="Hatchback",10,Table11[[#This Row],[Vehicle_Type]]="Electric",11,Table11[[#This Row],[Vehicle_Type]]="Truck",13)</f>
        <v>5</v>
      </c>
      <c r="J440">
        <f ca="1">Table11[[#This Row],[Daily_Production]]*Table11[[#This Row],[Working_Days]]</f>
        <v>5250</v>
      </c>
      <c r="K440" s="81">
        <f>Table11[[#This Row],[Forecasted_Units]]*0.1</f>
        <v>9.9587451069804285</v>
      </c>
      <c r="L440" s="82">
        <f>Table11[[#This Row],[Adjusted_Forecast]]+Table11[[#This Row],[Safety_Stock]]-Table11[[#This Row],[Inventory_On_Hand]]</f>
        <v>-40.866352753411022</v>
      </c>
      <c r="M440" s="82">
        <f ca="1">MIN(Table11[[#This Row],[Production_Needed]],Table11[[#This Row],[Production_Capacity]])</f>
        <v>-40.866352753411022</v>
      </c>
      <c r="N440" s="82">
        <f ca="1">MAX(Table11[[#This Row],[Production_Needed]]-Table11[[#This Row],[Planned_Production]],0)</f>
        <v>0</v>
      </c>
      <c r="O440" s="82">
        <f ca="1">Table11[[#This Row],[Inventory_On_Hand]]+Table11[[#This Row],[Planned_Production]]-Table11[[#This Row],[Forecasted_Units]]</f>
        <v>9.9587451069804303</v>
      </c>
      <c r="P440" cm="1">
        <f t="array" ref="P440">_xlfn.XLOOKUP(Table11[[#This Row],[Date]] &amp; Table11[[#This Row],[Vehicle_Type]], Table12[Date] &amp; Table12[Vehicle_Type],Table12[Feedback_Adjustment], 0)</f>
        <v>0</v>
      </c>
      <c r="Q440" s="82">
        <f>Table11[[#This Row],[Forecasted_Units]]*(1+Table11[[#This Row],[Adjustment_Percentage]])</f>
        <v>99.587451069804274</v>
      </c>
      <c r="R440" s="82"/>
    </row>
    <row r="441" spans="1:18">
      <c r="A441" s="54">
        <v>55175</v>
      </c>
      <c r="B441" s="15" t="s">
        <v>13</v>
      </c>
      <c r="C441" s="15" t="str">
        <f>TEXT(Table11[[#This Row],[Date]],"mmmm")</f>
        <v>January</v>
      </c>
      <c r="D441" s="15">
        <v>114</v>
      </c>
      <c r="E441" s="82">
        <f>_xlfn.FORECAST.LINEAR(Table11[[#This Row],[Date]],Table11[Units_Sold],Table11[Date])</f>
        <v>99.588615266461062</v>
      </c>
      <c r="F441" cm="1">
        <f t="array" ref="F441">_xlfn.IFS(Table11[[#This Row],[Vehicle_Type]]="SUV",250,Table11[[#This Row],[Vehicle_Type]]="Sedan",200,Table11[[#This Row],[Vehicle_Type]]="Hatchback",185,Table11[[#This Row],[Vehicle_Type]]="Electric",190,Table11[[#This Row],[Vehicle_Type]]="Truck",150)</f>
        <v>190</v>
      </c>
      <c r="G441">
        <f t="shared" ca="1" si="6"/>
        <v>21</v>
      </c>
      <c r="H441" s="82">
        <f>Table11[[#This Row],[Daily_Production]]-Table11[[#This Row],[Forecasted_Units]]</f>
        <v>90.411384733538938</v>
      </c>
      <c r="I441" cm="1">
        <f t="array" ref="I441">_xlfn.IFS(Table11[[#This Row],[Vehicle_Type]]="SUV",5,Table11[[#This Row],[Vehicle_Type]]="Sedan",7,Table11[[#This Row],[Vehicle_Type]]="Hatchback",10,Table11[[#This Row],[Vehicle_Type]]="Electric",11,Table11[[#This Row],[Vehicle_Type]]="Truck",13)</f>
        <v>11</v>
      </c>
      <c r="J441">
        <f ca="1">Table11[[#This Row],[Daily_Production]]*Table11[[#This Row],[Working_Days]]</f>
        <v>3990</v>
      </c>
      <c r="K441" s="81">
        <f>Table11[[#This Row],[Forecasted_Units]]*0.1</f>
        <v>9.9588615266461069</v>
      </c>
      <c r="L441" s="82">
        <f>Table11[[#This Row],[Adjusted_Forecast]]+Table11[[#This Row],[Safety_Stock]]-Table11[[#This Row],[Inventory_On_Hand]]</f>
        <v>19.136092059568227</v>
      </c>
      <c r="M441" s="82">
        <f ca="1">MIN(Table11[[#This Row],[Production_Needed]],Table11[[#This Row],[Production_Capacity]])</f>
        <v>19.136092059568227</v>
      </c>
      <c r="N441" s="82">
        <f ca="1">MAX(Table11[[#This Row],[Production_Needed]]-Table11[[#This Row],[Planned_Production]],0)</f>
        <v>0</v>
      </c>
      <c r="O441" s="82">
        <f ca="1">Table11[[#This Row],[Inventory_On_Hand]]+Table11[[#This Row],[Planned_Production]]-Table11[[#This Row],[Forecasted_Units]]</f>
        <v>9.9588615266461034</v>
      </c>
      <c r="P441" cm="1">
        <f t="array" ref="P441">_xlfn.XLOOKUP(Table11[[#This Row],[Date]] &amp; Table11[[#This Row],[Vehicle_Type]], Table12[Date] &amp; Table12[Vehicle_Type],Table12[Feedback_Adjustment], 0)</f>
        <v>0</v>
      </c>
      <c r="Q441" s="82">
        <f>Table11[[#This Row],[Forecasted_Units]]*(1+Table11[[#This Row],[Adjustment_Percentage]])</f>
        <v>99.588615266461062</v>
      </c>
      <c r="R441" s="82"/>
    </row>
    <row r="442" spans="1:18">
      <c r="A442" s="53">
        <v>55205</v>
      </c>
      <c r="B442" s="14" t="s">
        <v>11</v>
      </c>
      <c r="C442" s="15" t="str">
        <f>TEXT(Table11[[#This Row],[Date]],"mmmm")</f>
        <v>February</v>
      </c>
      <c r="D442" s="14">
        <v>92</v>
      </c>
      <c r="E442" s="82">
        <f>_xlfn.FORECAST.LINEAR(Table11[[#This Row],[Date]],Table11[Units_Sold],Table11[Date])</f>
        <v>99.58977946311785</v>
      </c>
      <c r="F442" cm="1">
        <f t="array" ref="F442">_xlfn.IFS(Table11[[#This Row],[Vehicle_Type]]="SUV",250,Table11[[#This Row],[Vehicle_Type]]="Sedan",200,Table11[[#This Row],[Vehicle_Type]]="Hatchback",185,Table11[[#This Row],[Vehicle_Type]]="Electric",190,Table11[[#This Row],[Vehicle_Type]]="Truck",150)</f>
        <v>185</v>
      </c>
      <c r="G442">
        <f t="shared" ca="1" si="6"/>
        <v>23</v>
      </c>
      <c r="H442" s="82">
        <f>Table11[[#This Row],[Daily_Production]]-Table11[[#This Row],[Forecasted_Units]]</f>
        <v>85.41022053688215</v>
      </c>
      <c r="I442" cm="1">
        <f t="array" ref="I442">_xlfn.IFS(Table11[[#This Row],[Vehicle_Type]]="SUV",5,Table11[[#This Row],[Vehicle_Type]]="Sedan",7,Table11[[#This Row],[Vehicle_Type]]="Hatchback",10,Table11[[#This Row],[Vehicle_Type]]="Electric",11,Table11[[#This Row],[Vehicle_Type]]="Truck",13)</f>
        <v>10</v>
      </c>
      <c r="J442">
        <f ca="1">Table11[[#This Row],[Daily_Production]]*Table11[[#This Row],[Working_Days]]</f>
        <v>4255</v>
      </c>
      <c r="K442" s="81">
        <f>Table11[[#This Row],[Forecasted_Units]]*0.1</f>
        <v>9.9589779463117853</v>
      </c>
      <c r="L442" s="82">
        <f>Table11[[#This Row],[Adjusted_Forecast]]+Table11[[#This Row],[Safety_Stock]]-Table11[[#This Row],[Inventory_On_Hand]]</f>
        <v>24.13853687254749</v>
      </c>
      <c r="M442" s="82">
        <f ca="1">MIN(Table11[[#This Row],[Production_Needed]],Table11[[#This Row],[Production_Capacity]])</f>
        <v>24.13853687254749</v>
      </c>
      <c r="N442" s="82">
        <f ca="1">MAX(Table11[[#This Row],[Production_Needed]]-Table11[[#This Row],[Planned_Production]],0)</f>
        <v>0</v>
      </c>
      <c r="O442" s="82">
        <f ca="1">Table11[[#This Row],[Inventory_On_Hand]]+Table11[[#This Row],[Planned_Production]]-Table11[[#This Row],[Forecasted_Units]]</f>
        <v>9.9589779463117907</v>
      </c>
      <c r="P442" cm="1">
        <f t="array" ref="P442">_xlfn.XLOOKUP(Table11[[#This Row],[Date]] &amp; Table11[[#This Row],[Vehicle_Type]], Table12[Date] &amp; Table12[Vehicle_Type],Table12[Feedback_Adjustment], 0)</f>
        <v>0</v>
      </c>
      <c r="Q442" s="82">
        <f>Table11[[#This Row],[Forecasted_Units]]*(1+Table11[[#This Row],[Adjustment_Percentage]])</f>
        <v>99.58977946311785</v>
      </c>
      <c r="R442" s="82"/>
    </row>
    <row r="443" spans="1:18">
      <c r="A443" s="54">
        <v>55235</v>
      </c>
      <c r="B443" s="15" t="s">
        <v>10</v>
      </c>
      <c r="C443" s="15" t="str">
        <f>TEXT(Table11[[#This Row],[Date]],"mmmm")</f>
        <v>March</v>
      </c>
      <c r="D443" s="15">
        <v>113</v>
      </c>
      <c r="E443" s="82">
        <f>_xlfn.FORECAST.LINEAR(Table11[[#This Row],[Date]],Table11[Units_Sold],Table11[Date])</f>
        <v>99.590943659774638</v>
      </c>
      <c r="F443" cm="1">
        <f t="array" ref="F443">_xlfn.IFS(Table11[[#This Row],[Vehicle_Type]]="SUV",250,Table11[[#This Row],[Vehicle_Type]]="Sedan",200,Table11[[#This Row],[Vehicle_Type]]="Hatchback",185,Table11[[#This Row],[Vehicle_Type]]="Electric",190,Table11[[#This Row],[Vehicle_Type]]="Truck",150)</f>
        <v>200</v>
      </c>
      <c r="G443">
        <f t="shared" ca="1" si="6"/>
        <v>25</v>
      </c>
      <c r="H443" s="82">
        <f>Table11[[#This Row],[Daily_Production]]-Table11[[#This Row],[Forecasted_Units]]</f>
        <v>100.40905634022536</v>
      </c>
      <c r="I443" cm="1">
        <f t="array" ref="I443">_xlfn.IFS(Table11[[#This Row],[Vehicle_Type]]="SUV",5,Table11[[#This Row],[Vehicle_Type]]="Sedan",7,Table11[[#This Row],[Vehicle_Type]]="Hatchback",10,Table11[[#This Row],[Vehicle_Type]]="Electric",11,Table11[[#This Row],[Vehicle_Type]]="Truck",13)</f>
        <v>7</v>
      </c>
      <c r="J443">
        <f ca="1">Table11[[#This Row],[Daily_Production]]*Table11[[#This Row],[Working_Days]]</f>
        <v>5000</v>
      </c>
      <c r="K443" s="81">
        <f>Table11[[#This Row],[Forecasted_Units]]*0.1</f>
        <v>9.9590943659774638</v>
      </c>
      <c r="L443" s="82">
        <f>Table11[[#This Row],[Adjusted_Forecast]]+Table11[[#This Row],[Safety_Stock]]-Table11[[#This Row],[Inventory_On_Hand]]</f>
        <v>9.1409816855267394</v>
      </c>
      <c r="M443" s="82">
        <f ca="1">MIN(Table11[[#This Row],[Production_Needed]],Table11[[#This Row],[Production_Capacity]])</f>
        <v>9.1409816855267394</v>
      </c>
      <c r="N443" s="82">
        <f ca="1">MAX(Table11[[#This Row],[Production_Needed]]-Table11[[#This Row],[Planned_Production]],0)</f>
        <v>0</v>
      </c>
      <c r="O443" s="82">
        <f ca="1">Table11[[#This Row],[Inventory_On_Hand]]+Table11[[#This Row],[Planned_Production]]-Table11[[#This Row],[Forecasted_Units]]</f>
        <v>9.9590943659774638</v>
      </c>
      <c r="P443" cm="1">
        <f t="array" ref="P443">_xlfn.XLOOKUP(Table11[[#This Row],[Date]] &amp; Table11[[#This Row],[Vehicle_Type]], Table12[Date] &amp; Table12[Vehicle_Type],Table12[Feedback_Adjustment], 0)</f>
        <v>0</v>
      </c>
      <c r="Q443" s="82">
        <f>Table11[[#This Row],[Forecasted_Units]]*(1+Table11[[#This Row],[Adjustment_Percentage]])</f>
        <v>99.590943659774638</v>
      </c>
      <c r="R443" s="82"/>
    </row>
    <row r="444" spans="1:18">
      <c r="A444" s="53">
        <v>55265</v>
      </c>
      <c r="B444" s="14" t="s">
        <v>10</v>
      </c>
      <c r="C444" s="15" t="str">
        <f>TEXT(Table11[[#This Row],[Date]],"mmmm")</f>
        <v>April</v>
      </c>
      <c r="D444" s="14">
        <v>113</v>
      </c>
      <c r="E444" s="82">
        <f>_xlfn.FORECAST.LINEAR(Table11[[#This Row],[Date]],Table11[Units_Sold],Table11[Date])</f>
        <v>99.592107856431426</v>
      </c>
      <c r="F444" cm="1">
        <f t="array" ref="F444">_xlfn.IFS(Table11[[#This Row],[Vehicle_Type]]="SUV",250,Table11[[#This Row],[Vehicle_Type]]="Sedan",200,Table11[[#This Row],[Vehicle_Type]]="Hatchback",185,Table11[[#This Row],[Vehicle_Type]]="Electric",190,Table11[[#This Row],[Vehicle_Type]]="Truck",150)</f>
        <v>200</v>
      </c>
      <c r="G444">
        <f t="shared" ca="1" si="6"/>
        <v>22</v>
      </c>
      <c r="H444" s="82">
        <f>Table11[[#This Row],[Daily_Production]]-Table11[[#This Row],[Forecasted_Units]]</f>
        <v>100.40789214356857</v>
      </c>
      <c r="I444" cm="1">
        <f t="array" ref="I444">_xlfn.IFS(Table11[[#This Row],[Vehicle_Type]]="SUV",5,Table11[[#This Row],[Vehicle_Type]]="Sedan",7,Table11[[#This Row],[Vehicle_Type]]="Hatchback",10,Table11[[#This Row],[Vehicle_Type]]="Electric",11,Table11[[#This Row],[Vehicle_Type]]="Truck",13)</f>
        <v>7</v>
      </c>
      <c r="J444">
        <f ca="1">Table11[[#This Row],[Daily_Production]]*Table11[[#This Row],[Working_Days]]</f>
        <v>4400</v>
      </c>
      <c r="K444" s="81">
        <f>Table11[[#This Row],[Forecasted_Units]]*0.1</f>
        <v>9.959210785643144</v>
      </c>
      <c r="L444" s="82">
        <f>Table11[[#This Row],[Adjusted_Forecast]]+Table11[[#This Row],[Safety_Stock]]-Table11[[#This Row],[Inventory_On_Hand]]</f>
        <v>9.1434264985059883</v>
      </c>
      <c r="M444" s="82">
        <f ca="1">MIN(Table11[[#This Row],[Production_Needed]],Table11[[#This Row],[Production_Capacity]])</f>
        <v>9.1434264985059883</v>
      </c>
      <c r="N444" s="82">
        <f ca="1">MAX(Table11[[#This Row],[Production_Needed]]-Table11[[#This Row],[Planned_Production]],0)</f>
        <v>0</v>
      </c>
      <c r="O444" s="82">
        <f ca="1">Table11[[#This Row],[Inventory_On_Hand]]+Table11[[#This Row],[Planned_Production]]-Table11[[#This Row],[Forecasted_Units]]</f>
        <v>9.9592107856431369</v>
      </c>
      <c r="P444" cm="1">
        <f t="array" ref="P444">_xlfn.XLOOKUP(Table11[[#This Row],[Date]] &amp; Table11[[#This Row],[Vehicle_Type]], Table12[Date] &amp; Table12[Vehicle_Type],Table12[Feedback_Adjustment], 0)</f>
        <v>0</v>
      </c>
      <c r="Q444" s="82">
        <f>Table11[[#This Row],[Forecasted_Units]]*(1+Table11[[#This Row],[Adjustment_Percentage]])</f>
        <v>99.592107856431426</v>
      </c>
      <c r="R444" s="82"/>
    </row>
    <row r="445" spans="1:18">
      <c r="A445" s="54">
        <v>55295</v>
      </c>
      <c r="B445" s="15" t="s">
        <v>13</v>
      </c>
      <c r="C445" s="15" t="str">
        <f>TEXT(Table11[[#This Row],[Date]],"mmmm")</f>
        <v>May</v>
      </c>
      <c r="D445" s="15">
        <v>120</v>
      </c>
      <c r="E445" s="82">
        <f>_xlfn.FORECAST.LINEAR(Table11[[#This Row],[Date]],Table11[Units_Sold],Table11[Date])</f>
        <v>99.593272053088199</v>
      </c>
      <c r="F445" cm="1">
        <f t="array" ref="F445">_xlfn.IFS(Table11[[#This Row],[Vehicle_Type]]="SUV",250,Table11[[#This Row],[Vehicle_Type]]="Sedan",200,Table11[[#This Row],[Vehicle_Type]]="Hatchback",185,Table11[[#This Row],[Vehicle_Type]]="Electric",190,Table11[[#This Row],[Vehicle_Type]]="Truck",150)</f>
        <v>190</v>
      </c>
      <c r="G445">
        <f t="shared" ca="1" si="6"/>
        <v>25</v>
      </c>
      <c r="H445" s="82">
        <f>Table11[[#This Row],[Daily_Production]]-Table11[[#This Row],[Forecasted_Units]]</f>
        <v>90.406727946911801</v>
      </c>
      <c r="I445" cm="1">
        <f t="array" ref="I445">_xlfn.IFS(Table11[[#This Row],[Vehicle_Type]]="SUV",5,Table11[[#This Row],[Vehicle_Type]]="Sedan",7,Table11[[#This Row],[Vehicle_Type]]="Hatchback",10,Table11[[#This Row],[Vehicle_Type]]="Electric",11,Table11[[#This Row],[Vehicle_Type]]="Truck",13)</f>
        <v>11</v>
      </c>
      <c r="J445">
        <f ca="1">Table11[[#This Row],[Daily_Production]]*Table11[[#This Row],[Working_Days]]</f>
        <v>4750</v>
      </c>
      <c r="K445" s="81">
        <f>Table11[[#This Row],[Forecasted_Units]]*0.1</f>
        <v>9.9593272053088207</v>
      </c>
      <c r="L445" s="82">
        <f>Table11[[#This Row],[Adjusted_Forecast]]+Table11[[#This Row],[Safety_Stock]]-Table11[[#This Row],[Inventory_On_Hand]]</f>
        <v>19.145871311485223</v>
      </c>
      <c r="M445" s="82">
        <f ca="1">MIN(Table11[[#This Row],[Production_Needed]],Table11[[#This Row],[Production_Capacity]])</f>
        <v>19.145871311485223</v>
      </c>
      <c r="N445" s="82">
        <f ca="1">MAX(Table11[[#This Row],[Production_Needed]]-Table11[[#This Row],[Planned_Production]],0)</f>
        <v>0</v>
      </c>
      <c r="O445" s="82">
        <f ca="1">Table11[[#This Row],[Inventory_On_Hand]]+Table11[[#This Row],[Planned_Production]]-Table11[[#This Row],[Forecasted_Units]]</f>
        <v>9.9593272053088242</v>
      </c>
      <c r="P445" cm="1">
        <f t="array" ref="P445">_xlfn.XLOOKUP(Table11[[#This Row],[Date]] &amp; Table11[[#This Row],[Vehicle_Type]], Table12[Date] &amp; Table12[Vehicle_Type],Table12[Feedback_Adjustment], 0)</f>
        <v>0</v>
      </c>
      <c r="Q445" s="82">
        <f>Table11[[#This Row],[Forecasted_Units]]*(1+Table11[[#This Row],[Adjustment_Percentage]])</f>
        <v>99.593272053088199</v>
      </c>
      <c r="R445" s="82"/>
    </row>
    <row r="446" spans="1:18">
      <c r="A446" s="53">
        <v>55325</v>
      </c>
      <c r="B446" s="14" t="s">
        <v>14</v>
      </c>
      <c r="C446" s="15" t="str">
        <f>TEXT(Table11[[#This Row],[Date]],"mmmm")</f>
        <v>June</v>
      </c>
      <c r="D446" s="14">
        <v>108</v>
      </c>
      <c r="E446" s="82">
        <f>_xlfn.FORECAST.LINEAR(Table11[[#This Row],[Date]],Table11[Units_Sold],Table11[Date])</f>
        <v>99.594436249744987</v>
      </c>
      <c r="F446" cm="1">
        <f t="array" ref="F446">_xlfn.IFS(Table11[[#This Row],[Vehicle_Type]]="SUV",250,Table11[[#This Row],[Vehicle_Type]]="Sedan",200,Table11[[#This Row],[Vehicle_Type]]="Hatchback",185,Table11[[#This Row],[Vehicle_Type]]="Electric",190,Table11[[#This Row],[Vehicle_Type]]="Truck",150)</f>
        <v>150</v>
      </c>
      <c r="G446">
        <f t="shared" ca="1" si="6"/>
        <v>23</v>
      </c>
      <c r="H446" s="82">
        <f>Table11[[#This Row],[Daily_Production]]-Table11[[#This Row],[Forecasted_Units]]</f>
        <v>50.405563750255013</v>
      </c>
      <c r="I446" cm="1">
        <f t="array" ref="I446">_xlfn.IFS(Table11[[#This Row],[Vehicle_Type]]="SUV",5,Table11[[#This Row],[Vehicle_Type]]="Sedan",7,Table11[[#This Row],[Vehicle_Type]]="Hatchback",10,Table11[[#This Row],[Vehicle_Type]]="Electric",11,Table11[[#This Row],[Vehicle_Type]]="Truck",13)</f>
        <v>13</v>
      </c>
      <c r="J446">
        <f ca="1">Table11[[#This Row],[Daily_Production]]*Table11[[#This Row],[Working_Days]]</f>
        <v>3450</v>
      </c>
      <c r="K446" s="81">
        <f>Table11[[#This Row],[Forecasted_Units]]*0.1</f>
        <v>9.9594436249744991</v>
      </c>
      <c r="L446" s="82">
        <f>Table11[[#This Row],[Adjusted_Forecast]]+Table11[[#This Row],[Safety_Stock]]-Table11[[#This Row],[Inventory_On_Hand]]</f>
        <v>59.148316124464472</v>
      </c>
      <c r="M446" s="82">
        <f ca="1">MIN(Table11[[#This Row],[Production_Needed]],Table11[[#This Row],[Production_Capacity]])</f>
        <v>59.148316124464472</v>
      </c>
      <c r="N446" s="82">
        <f ca="1">MAX(Table11[[#This Row],[Production_Needed]]-Table11[[#This Row],[Planned_Production]],0)</f>
        <v>0</v>
      </c>
      <c r="O446" s="82">
        <f ca="1">Table11[[#This Row],[Inventory_On_Hand]]+Table11[[#This Row],[Planned_Production]]-Table11[[#This Row],[Forecasted_Units]]</f>
        <v>9.9594436249744973</v>
      </c>
      <c r="P446" cm="1">
        <f t="array" ref="P446">_xlfn.XLOOKUP(Table11[[#This Row],[Date]] &amp; Table11[[#This Row],[Vehicle_Type]], Table12[Date] &amp; Table12[Vehicle_Type],Table12[Feedback_Adjustment], 0)</f>
        <v>0</v>
      </c>
      <c r="Q446" s="82">
        <f>Table11[[#This Row],[Forecasted_Units]]*(1+Table11[[#This Row],[Adjustment_Percentage]])</f>
        <v>99.594436249744987</v>
      </c>
      <c r="R446" s="82"/>
    </row>
    <row r="447" spans="1:18">
      <c r="A447" s="54">
        <v>55355</v>
      </c>
      <c r="B447" s="15" t="s">
        <v>11</v>
      </c>
      <c r="C447" s="15" t="str">
        <f>TEXT(Table11[[#This Row],[Date]],"mmmm")</f>
        <v>July</v>
      </c>
      <c r="D447" s="15">
        <v>99</v>
      </c>
      <c r="E447" s="82">
        <f>_xlfn.FORECAST.LINEAR(Table11[[#This Row],[Date]],Table11[Units_Sold],Table11[Date])</f>
        <v>99.595600446401775</v>
      </c>
      <c r="F447" cm="1">
        <f t="array" ref="F447">_xlfn.IFS(Table11[[#This Row],[Vehicle_Type]]="SUV",250,Table11[[#This Row],[Vehicle_Type]]="Sedan",200,Table11[[#This Row],[Vehicle_Type]]="Hatchback",185,Table11[[#This Row],[Vehicle_Type]]="Electric",190,Table11[[#This Row],[Vehicle_Type]]="Truck",150)</f>
        <v>185</v>
      </c>
      <c r="G447">
        <f t="shared" ca="1" si="6"/>
        <v>25</v>
      </c>
      <c r="H447" s="82">
        <f>Table11[[#This Row],[Daily_Production]]-Table11[[#This Row],[Forecasted_Units]]</f>
        <v>85.404399553598225</v>
      </c>
      <c r="I447" cm="1">
        <f t="array" ref="I447">_xlfn.IFS(Table11[[#This Row],[Vehicle_Type]]="SUV",5,Table11[[#This Row],[Vehicle_Type]]="Sedan",7,Table11[[#This Row],[Vehicle_Type]]="Hatchback",10,Table11[[#This Row],[Vehicle_Type]]="Electric",11,Table11[[#This Row],[Vehicle_Type]]="Truck",13)</f>
        <v>10</v>
      </c>
      <c r="J447">
        <f ca="1">Table11[[#This Row],[Daily_Production]]*Table11[[#This Row],[Working_Days]]</f>
        <v>4625</v>
      </c>
      <c r="K447" s="81">
        <f>Table11[[#This Row],[Forecasted_Units]]*0.1</f>
        <v>9.9595600446401775</v>
      </c>
      <c r="L447" s="82">
        <f>Table11[[#This Row],[Adjusted_Forecast]]+Table11[[#This Row],[Safety_Stock]]-Table11[[#This Row],[Inventory_On_Hand]]</f>
        <v>24.150760937443735</v>
      </c>
      <c r="M447" s="82">
        <f ca="1">MIN(Table11[[#This Row],[Production_Needed]],Table11[[#This Row],[Production_Capacity]])</f>
        <v>24.150760937443735</v>
      </c>
      <c r="N447" s="82">
        <f ca="1">MAX(Table11[[#This Row],[Production_Needed]]-Table11[[#This Row],[Planned_Production]],0)</f>
        <v>0</v>
      </c>
      <c r="O447" s="82">
        <f ca="1">Table11[[#This Row],[Inventory_On_Hand]]+Table11[[#This Row],[Planned_Production]]-Table11[[#This Row],[Forecasted_Units]]</f>
        <v>9.9595600446401846</v>
      </c>
      <c r="P447" cm="1">
        <f t="array" ref="P447">_xlfn.XLOOKUP(Table11[[#This Row],[Date]] &amp; Table11[[#This Row],[Vehicle_Type]], Table12[Date] &amp; Table12[Vehicle_Type],Table12[Feedback_Adjustment], 0)</f>
        <v>0</v>
      </c>
      <c r="Q447" s="82">
        <f>Table11[[#This Row],[Forecasted_Units]]*(1+Table11[[#This Row],[Adjustment_Percentage]])</f>
        <v>99.595600446401775</v>
      </c>
      <c r="R447" s="82"/>
    </row>
    <row r="448" spans="1:18">
      <c r="A448" s="53">
        <v>55385</v>
      </c>
      <c r="B448" s="14" t="s">
        <v>11</v>
      </c>
      <c r="C448" s="15" t="str">
        <f>TEXT(Table11[[#This Row],[Date]],"mmmm")</f>
        <v>August</v>
      </c>
      <c r="D448" s="14">
        <v>108</v>
      </c>
      <c r="E448" s="82">
        <f>_xlfn.FORECAST.LINEAR(Table11[[#This Row],[Date]],Table11[Units_Sold],Table11[Date])</f>
        <v>99.596764643058563</v>
      </c>
      <c r="F448" cm="1">
        <f t="array" ref="F448">_xlfn.IFS(Table11[[#This Row],[Vehicle_Type]]="SUV",250,Table11[[#This Row],[Vehicle_Type]]="Sedan",200,Table11[[#This Row],[Vehicle_Type]]="Hatchback",185,Table11[[#This Row],[Vehicle_Type]]="Electric",190,Table11[[#This Row],[Vehicle_Type]]="Truck",150)</f>
        <v>185</v>
      </c>
      <c r="G448">
        <f t="shared" ca="1" si="6"/>
        <v>23</v>
      </c>
      <c r="H448" s="82">
        <f>Table11[[#This Row],[Daily_Production]]-Table11[[#This Row],[Forecasted_Units]]</f>
        <v>85.403235356941437</v>
      </c>
      <c r="I448" cm="1">
        <f t="array" ref="I448">_xlfn.IFS(Table11[[#This Row],[Vehicle_Type]]="SUV",5,Table11[[#This Row],[Vehicle_Type]]="Sedan",7,Table11[[#This Row],[Vehicle_Type]]="Hatchback",10,Table11[[#This Row],[Vehicle_Type]]="Electric",11,Table11[[#This Row],[Vehicle_Type]]="Truck",13)</f>
        <v>10</v>
      </c>
      <c r="J448">
        <f ca="1">Table11[[#This Row],[Daily_Production]]*Table11[[#This Row],[Working_Days]]</f>
        <v>4255</v>
      </c>
      <c r="K448" s="81">
        <f>Table11[[#This Row],[Forecasted_Units]]*0.1</f>
        <v>9.9596764643058577</v>
      </c>
      <c r="L448" s="82">
        <f>Table11[[#This Row],[Adjusted_Forecast]]+Table11[[#This Row],[Safety_Stock]]-Table11[[#This Row],[Inventory_On_Hand]]</f>
        <v>24.153205750422984</v>
      </c>
      <c r="M448" s="82">
        <f ca="1">MIN(Table11[[#This Row],[Production_Needed]],Table11[[#This Row],[Production_Capacity]])</f>
        <v>24.153205750422984</v>
      </c>
      <c r="N448" s="82">
        <f ca="1">MAX(Table11[[#This Row],[Production_Needed]]-Table11[[#This Row],[Planned_Production]],0)</f>
        <v>0</v>
      </c>
      <c r="O448" s="82">
        <f ca="1">Table11[[#This Row],[Inventory_On_Hand]]+Table11[[#This Row],[Planned_Production]]-Table11[[#This Row],[Forecasted_Units]]</f>
        <v>9.9596764643058577</v>
      </c>
      <c r="P448" cm="1">
        <f t="array" ref="P448">_xlfn.XLOOKUP(Table11[[#This Row],[Date]] &amp; Table11[[#This Row],[Vehicle_Type]], Table12[Date] &amp; Table12[Vehicle_Type],Table12[Feedback_Adjustment], 0)</f>
        <v>0</v>
      </c>
      <c r="Q448" s="82">
        <f>Table11[[#This Row],[Forecasted_Units]]*(1+Table11[[#This Row],[Adjustment_Percentage]])</f>
        <v>99.596764643058563</v>
      </c>
      <c r="R448" s="82"/>
    </row>
    <row r="449" spans="1:18">
      <c r="A449" s="54">
        <v>55415</v>
      </c>
      <c r="B449" s="15" t="s">
        <v>14</v>
      </c>
      <c r="C449" s="15" t="str">
        <f>TEXT(Table11[[#This Row],[Date]],"mmmm")</f>
        <v>September</v>
      </c>
      <c r="D449" s="15">
        <v>98</v>
      </c>
      <c r="E449" s="82">
        <f>_xlfn.FORECAST.LINEAR(Table11[[#This Row],[Date]],Table11[Units_Sold],Table11[Date])</f>
        <v>99.597928839715351</v>
      </c>
      <c r="F449" cm="1">
        <f t="array" ref="F449">_xlfn.IFS(Table11[[#This Row],[Vehicle_Type]]="SUV",250,Table11[[#This Row],[Vehicle_Type]]="Sedan",200,Table11[[#This Row],[Vehicle_Type]]="Hatchback",185,Table11[[#This Row],[Vehicle_Type]]="Electric",190,Table11[[#This Row],[Vehicle_Type]]="Truck",150)</f>
        <v>150</v>
      </c>
      <c r="G449">
        <f t="shared" ca="1" si="6"/>
        <v>23</v>
      </c>
      <c r="H449" s="82">
        <f>Table11[[#This Row],[Daily_Production]]-Table11[[#This Row],[Forecasted_Units]]</f>
        <v>50.402071160284649</v>
      </c>
      <c r="I449" cm="1">
        <f t="array" ref="I449">_xlfn.IFS(Table11[[#This Row],[Vehicle_Type]]="SUV",5,Table11[[#This Row],[Vehicle_Type]]="Sedan",7,Table11[[#This Row],[Vehicle_Type]]="Hatchback",10,Table11[[#This Row],[Vehicle_Type]]="Electric",11,Table11[[#This Row],[Vehicle_Type]]="Truck",13)</f>
        <v>13</v>
      </c>
      <c r="J449">
        <f ca="1">Table11[[#This Row],[Daily_Production]]*Table11[[#This Row],[Working_Days]]</f>
        <v>3450</v>
      </c>
      <c r="K449" s="81">
        <f>Table11[[#This Row],[Forecasted_Units]]*0.1</f>
        <v>9.9597928839715362</v>
      </c>
      <c r="L449" s="82">
        <f>Table11[[#This Row],[Adjusted_Forecast]]+Table11[[#This Row],[Safety_Stock]]-Table11[[#This Row],[Inventory_On_Hand]]</f>
        <v>59.155650563402233</v>
      </c>
      <c r="M449" s="82">
        <f ca="1">MIN(Table11[[#This Row],[Production_Needed]],Table11[[#This Row],[Production_Capacity]])</f>
        <v>59.155650563402233</v>
      </c>
      <c r="N449" s="82">
        <f ca="1">MAX(Table11[[#This Row],[Production_Needed]]-Table11[[#This Row],[Planned_Production]],0)</f>
        <v>0</v>
      </c>
      <c r="O449" s="82">
        <f ca="1">Table11[[#This Row],[Inventory_On_Hand]]+Table11[[#This Row],[Planned_Production]]-Table11[[#This Row],[Forecasted_Units]]</f>
        <v>9.9597928839715308</v>
      </c>
      <c r="P449" cm="1">
        <f t="array" ref="P449">_xlfn.XLOOKUP(Table11[[#This Row],[Date]] &amp; Table11[[#This Row],[Vehicle_Type]], Table12[Date] &amp; Table12[Vehicle_Type],Table12[Feedback_Adjustment], 0)</f>
        <v>0</v>
      </c>
      <c r="Q449" s="82">
        <f>Table11[[#This Row],[Forecasted_Units]]*(1+Table11[[#This Row],[Adjustment_Percentage]])</f>
        <v>99.597928839715351</v>
      </c>
      <c r="R449" s="82"/>
    </row>
    <row r="450" spans="1:18">
      <c r="A450" s="53">
        <v>55445</v>
      </c>
      <c r="B450" s="14" t="s">
        <v>13</v>
      </c>
      <c r="C450" s="15" t="str">
        <f>TEXT(Table11[[#This Row],[Date]],"mmmm")</f>
        <v>October</v>
      </c>
      <c r="D450" s="14">
        <v>92</v>
      </c>
      <c r="E450" s="82">
        <f>_xlfn.FORECAST.LINEAR(Table11[[#This Row],[Date]],Table11[Units_Sold],Table11[Date])</f>
        <v>99.599093036372139</v>
      </c>
      <c r="F450" cm="1">
        <f t="array" ref="F450">_xlfn.IFS(Table11[[#This Row],[Vehicle_Type]]="SUV",250,Table11[[#This Row],[Vehicle_Type]]="Sedan",200,Table11[[#This Row],[Vehicle_Type]]="Hatchback",185,Table11[[#This Row],[Vehicle_Type]]="Electric",190,Table11[[#This Row],[Vehicle_Type]]="Truck",150)</f>
        <v>190</v>
      </c>
      <c r="G450">
        <f t="shared" ref="G450:G501" ca="1" si="7">RANDBETWEEN(20,25)</f>
        <v>21</v>
      </c>
      <c r="H450" s="82">
        <f>Table11[[#This Row],[Daily_Production]]-Table11[[#This Row],[Forecasted_Units]]</f>
        <v>90.400906963627861</v>
      </c>
      <c r="I450" cm="1">
        <f t="array" ref="I450">_xlfn.IFS(Table11[[#This Row],[Vehicle_Type]]="SUV",5,Table11[[#This Row],[Vehicle_Type]]="Sedan",7,Table11[[#This Row],[Vehicle_Type]]="Hatchback",10,Table11[[#This Row],[Vehicle_Type]]="Electric",11,Table11[[#This Row],[Vehicle_Type]]="Truck",13)</f>
        <v>11</v>
      </c>
      <c r="J450">
        <f ca="1">Table11[[#This Row],[Daily_Production]]*Table11[[#This Row],[Working_Days]]</f>
        <v>3990</v>
      </c>
      <c r="K450" s="81">
        <f>Table11[[#This Row],[Forecasted_Units]]*0.1</f>
        <v>9.9599093036372146</v>
      </c>
      <c r="L450" s="82">
        <f>Table11[[#This Row],[Adjusted_Forecast]]+Table11[[#This Row],[Safety_Stock]]-Table11[[#This Row],[Inventory_On_Hand]]</f>
        <v>19.158095376381496</v>
      </c>
      <c r="M450" s="82">
        <f ca="1">MIN(Table11[[#This Row],[Production_Needed]],Table11[[#This Row],[Production_Capacity]])</f>
        <v>19.158095376381496</v>
      </c>
      <c r="N450" s="82">
        <f ca="1">MAX(Table11[[#This Row],[Production_Needed]]-Table11[[#This Row],[Planned_Production]],0)</f>
        <v>0</v>
      </c>
      <c r="O450" s="82">
        <f ca="1">Table11[[#This Row],[Inventory_On_Hand]]+Table11[[#This Row],[Planned_Production]]-Table11[[#This Row],[Forecasted_Units]]</f>
        <v>9.9599093036372182</v>
      </c>
      <c r="P450" cm="1">
        <f t="array" ref="P450">_xlfn.XLOOKUP(Table11[[#This Row],[Date]] &amp; Table11[[#This Row],[Vehicle_Type]], Table12[Date] &amp; Table12[Vehicle_Type],Table12[Feedback_Adjustment], 0)</f>
        <v>0</v>
      </c>
      <c r="Q450" s="82">
        <f>Table11[[#This Row],[Forecasted_Units]]*(1+Table11[[#This Row],[Adjustment_Percentage]])</f>
        <v>99.599093036372139</v>
      </c>
      <c r="R450" s="82"/>
    </row>
    <row r="451" spans="1:18">
      <c r="A451" s="54">
        <v>55475</v>
      </c>
      <c r="B451" s="15" t="s">
        <v>13</v>
      </c>
      <c r="C451" s="15" t="str">
        <f>TEXT(Table11[[#This Row],[Date]],"mmmm")</f>
        <v>November</v>
      </c>
      <c r="D451" s="15">
        <v>96</v>
      </c>
      <c r="E451" s="82">
        <f>_xlfn.FORECAST.LINEAR(Table11[[#This Row],[Date]],Table11[Units_Sold],Table11[Date])</f>
        <v>99.600257233028927</v>
      </c>
      <c r="F451" cm="1">
        <f t="array" ref="F451">_xlfn.IFS(Table11[[#This Row],[Vehicle_Type]]="SUV",250,Table11[[#This Row],[Vehicle_Type]]="Sedan",200,Table11[[#This Row],[Vehicle_Type]]="Hatchback",185,Table11[[#This Row],[Vehicle_Type]]="Electric",190,Table11[[#This Row],[Vehicle_Type]]="Truck",150)</f>
        <v>190</v>
      </c>
      <c r="G451">
        <f t="shared" ca="1" si="7"/>
        <v>20</v>
      </c>
      <c r="H451" s="82">
        <f>Table11[[#This Row],[Daily_Production]]-Table11[[#This Row],[Forecasted_Units]]</f>
        <v>90.399742766971073</v>
      </c>
      <c r="I451" cm="1">
        <f t="array" ref="I451">_xlfn.IFS(Table11[[#This Row],[Vehicle_Type]]="SUV",5,Table11[[#This Row],[Vehicle_Type]]="Sedan",7,Table11[[#This Row],[Vehicle_Type]]="Hatchback",10,Table11[[#This Row],[Vehicle_Type]]="Electric",11,Table11[[#This Row],[Vehicle_Type]]="Truck",13)</f>
        <v>11</v>
      </c>
      <c r="J451">
        <f ca="1">Table11[[#This Row],[Daily_Production]]*Table11[[#This Row],[Working_Days]]</f>
        <v>3800</v>
      </c>
      <c r="K451" s="81">
        <f>Table11[[#This Row],[Forecasted_Units]]*0.1</f>
        <v>9.960025723302893</v>
      </c>
      <c r="L451" s="82">
        <f>Table11[[#This Row],[Adjusted_Forecast]]+Table11[[#This Row],[Safety_Stock]]-Table11[[#This Row],[Inventory_On_Hand]]</f>
        <v>19.160540189360745</v>
      </c>
      <c r="M451" s="82">
        <f ca="1">MIN(Table11[[#This Row],[Production_Needed]],Table11[[#This Row],[Production_Capacity]])</f>
        <v>19.160540189360745</v>
      </c>
      <c r="N451" s="82">
        <f ca="1">MAX(Table11[[#This Row],[Production_Needed]]-Table11[[#This Row],[Planned_Production]],0)</f>
        <v>0</v>
      </c>
      <c r="O451" s="82">
        <f ca="1">Table11[[#This Row],[Inventory_On_Hand]]+Table11[[#This Row],[Planned_Production]]-Table11[[#This Row],[Forecasted_Units]]</f>
        <v>9.9600257233028913</v>
      </c>
      <c r="P451" cm="1">
        <f t="array" ref="P451">_xlfn.XLOOKUP(Table11[[#This Row],[Date]] &amp; Table11[[#This Row],[Vehicle_Type]], Table12[Date] &amp; Table12[Vehicle_Type],Table12[Feedback_Adjustment], 0)</f>
        <v>0</v>
      </c>
      <c r="Q451" s="82">
        <f>Table11[[#This Row],[Forecasted_Units]]*(1+Table11[[#This Row],[Adjustment_Percentage]])</f>
        <v>99.600257233028927</v>
      </c>
      <c r="R451" s="82"/>
    </row>
    <row r="452" spans="1:18">
      <c r="A452" s="53">
        <v>55505</v>
      </c>
      <c r="B452" s="14" t="s">
        <v>10</v>
      </c>
      <c r="C452" s="15" t="str">
        <f>TEXT(Table11[[#This Row],[Date]],"mmmm")</f>
        <v>December</v>
      </c>
      <c r="D452" s="14">
        <v>94</v>
      </c>
      <c r="E452" s="82">
        <f>_xlfn.FORECAST.LINEAR(Table11[[#This Row],[Date]],Table11[Units_Sold],Table11[Date])</f>
        <v>99.601421429685715</v>
      </c>
      <c r="F452" cm="1">
        <f t="array" ref="F452">_xlfn.IFS(Table11[[#This Row],[Vehicle_Type]]="SUV",250,Table11[[#This Row],[Vehicle_Type]]="Sedan",200,Table11[[#This Row],[Vehicle_Type]]="Hatchback",185,Table11[[#This Row],[Vehicle_Type]]="Electric",190,Table11[[#This Row],[Vehicle_Type]]="Truck",150)</f>
        <v>200</v>
      </c>
      <c r="G452">
        <f t="shared" ca="1" si="7"/>
        <v>20</v>
      </c>
      <c r="H452" s="82">
        <f>Table11[[#This Row],[Daily_Production]]-Table11[[#This Row],[Forecasted_Units]]</f>
        <v>100.39857857031429</v>
      </c>
      <c r="I452" cm="1">
        <f t="array" ref="I452">_xlfn.IFS(Table11[[#This Row],[Vehicle_Type]]="SUV",5,Table11[[#This Row],[Vehicle_Type]]="Sedan",7,Table11[[#This Row],[Vehicle_Type]]="Hatchback",10,Table11[[#This Row],[Vehicle_Type]]="Electric",11,Table11[[#This Row],[Vehicle_Type]]="Truck",13)</f>
        <v>7</v>
      </c>
      <c r="J452">
        <f ca="1">Table11[[#This Row],[Daily_Production]]*Table11[[#This Row],[Working_Days]]</f>
        <v>4000</v>
      </c>
      <c r="K452" s="81">
        <f>Table11[[#This Row],[Forecasted_Units]]*0.1</f>
        <v>9.9601421429685715</v>
      </c>
      <c r="L452" s="82">
        <f>Table11[[#This Row],[Adjusted_Forecast]]+Table11[[#This Row],[Safety_Stock]]-Table11[[#This Row],[Inventory_On_Hand]]</f>
        <v>9.1629850023399939</v>
      </c>
      <c r="M452" s="82">
        <f ca="1">MIN(Table11[[#This Row],[Production_Needed]],Table11[[#This Row],[Production_Capacity]])</f>
        <v>9.1629850023399939</v>
      </c>
      <c r="N452" s="82">
        <f ca="1">MAX(Table11[[#This Row],[Production_Needed]]-Table11[[#This Row],[Planned_Production]],0)</f>
        <v>0</v>
      </c>
      <c r="O452" s="82">
        <f ca="1">Table11[[#This Row],[Inventory_On_Hand]]+Table11[[#This Row],[Planned_Production]]-Table11[[#This Row],[Forecasted_Units]]</f>
        <v>9.9601421429685644</v>
      </c>
      <c r="P452" cm="1">
        <f t="array" ref="P452">_xlfn.XLOOKUP(Table11[[#This Row],[Date]] &amp; Table11[[#This Row],[Vehicle_Type]], Table12[Date] &amp; Table12[Vehicle_Type],Table12[Feedback_Adjustment], 0)</f>
        <v>0</v>
      </c>
      <c r="Q452" s="82">
        <f>Table11[[#This Row],[Forecasted_Units]]*(1+Table11[[#This Row],[Adjustment_Percentage]])</f>
        <v>99.601421429685715</v>
      </c>
      <c r="R452" s="82"/>
    </row>
    <row r="453" spans="1:18">
      <c r="A453" s="54">
        <v>55535</v>
      </c>
      <c r="B453" s="15" t="s">
        <v>14</v>
      </c>
      <c r="C453" s="15" t="str">
        <f>TEXT(Table11[[#This Row],[Date]],"mmmm")</f>
        <v>January</v>
      </c>
      <c r="D453" s="15">
        <v>75</v>
      </c>
      <c r="E453" s="82">
        <f>_xlfn.FORECAST.LINEAR(Table11[[#This Row],[Date]],Table11[Units_Sold],Table11[Date])</f>
        <v>99.602585626342503</v>
      </c>
      <c r="F453" cm="1">
        <f t="array" ref="F453">_xlfn.IFS(Table11[[#This Row],[Vehicle_Type]]="SUV",250,Table11[[#This Row],[Vehicle_Type]]="Sedan",200,Table11[[#This Row],[Vehicle_Type]]="Hatchback",185,Table11[[#This Row],[Vehicle_Type]]="Electric",190,Table11[[#This Row],[Vehicle_Type]]="Truck",150)</f>
        <v>150</v>
      </c>
      <c r="G453">
        <f t="shared" ca="1" si="7"/>
        <v>24</v>
      </c>
      <c r="H453" s="82">
        <f>Table11[[#This Row],[Daily_Production]]-Table11[[#This Row],[Forecasted_Units]]</f>
        <v>50.397414373657497</v>
      </c>
      <c r="I453" cm="1">
        <f t="array" ref="I453">_xlfn.IFS(Table11[[#This Row],[Vehicle_Type]]="SUV",5,Table11[[#This Row],[Vehicle_Type]]="Sedan",7,Table11[[#This Row],[Vehicle_Type]]="Hatchback",10,Table11[[#This Row],[Vehicle_Type]]="Electric",11,Table11[[#This Row],[Vehicle_Type]]="Truck",13)</f>
        <v>13</v>
      </c>
      <c r="J453">
        <f ca="1">Table11[[#This Row],[Daily_Production]]*Table11[[#This Row],[Working_Days]]</f>
        <v>3600</v>
      </c>
      <c r="K453" s="81">
        <f>Table11[[#This Row],[Forecasted_Units]]*0.1</f>
        <v>9.9602585626342517</v>
      </c>
      <c r="L453" s="82">
        <f>Table11[[#This Row],[Adjusted_Forecast]]+Table11[[#This Row],[Safety_Stock]]-Table11[[#This Row],[Inventory_On_Hand]]</f>
        <v>59.165429815319257</v>
      </c>
      <c r="M453" s="82">
        <f ca="1">MIN(Table11[[#This Row],[Production_Needed]],Table11[[#This Row],[Production_Capacity]])</f>
        <v>59.165429815319257</v>
      </c>
      <c r="N453" s="82">
        <f ca="1">MAX(Table11[[#This Row],[Production_Needed]]-Table11[[#This Row],[Planned_Production]],0)</f>
        <v>0</v>
      </c>
      <c r="O453" s="82">
        <f ca="1">Table11[[#This Row],[Inventory_On_Hand]]+Table11[[#This Row],[Planned_Production]]-Table11[[#This Row],[Forecasted_Units]]</f>
        <v>9.9602585626342517</v>
      </c>
      <c r="P453" cm="1">
        <f t="array" ref="P453">_xlfn.XLOOKUP(Table11[[#This Row],[Date]] &amp; Table11[[#This Row],[Vehicle_Type]], Table12[Date] &amp; Table12[Vehicle_Type],Table12[Feedback_Adjustment], 0)</f>
        <v>0</v>
      </c>
      <c r="Q453" s="82">
        <f>Table11[[#This Row],[Forecasted_Units]]*(1+Table11[[#This Row],[Adjustment_Percentage]])</f>
        <v>99.602585626342503</v>
      </c>
      <c r="R453" s="82"/>
    </row>
    <row r="454" spans="1:18">
      <c r="A454" s="53">
        <v>55565</v>
      </c>
      <c r="B454" s="14" t="s">
        <v>13</v>
      </c>
      <c r="C454" s="15" t="str">
        <f>TEXT(Table11[[#This Row],[Date]],"mmmm")</f>
        <v>February</v>
      </c>
      <c r="D454" s="14">
        <v>97</v>
      </c>
      <c r="E454" s="82">
        <f>_xlfn.FORECAST.LINEAR(Table11[[#This Row],[Date]],Table11[Units_Sold],Table11[Date])</f>
        <v>99.603749822999291</v>
      </c>
      <c r="F454" cm="1">
        <f t="array" ref="F454">_xlfn.IFS(Table11[[#This Row],[Vehicle_Type]]="SUV",250,Table11[[#This Row],[Vehicle_Type]]="Sedan",200,Table11[[#This Row],[Vehicle_Type]]="Hatchback",185,Table11[[#This Row],[Vehicle_Type]]="Electric",190,Table11[[#This Row],[Vehicle_Type]]="Truck",150)</f>
        <v>190</v>
      </c>
      <c r="G454">
        <f t="shared" ca="1" si="7"/>
        <v>25</v>
      </c>
      <c r="H454" s="82">
        <f>Table11[[#This Row],[Daily_Production]]-Table11[[#This Row],[Forecasted_Units]]</f>
        <v>90.396250177000709</v>
      </c>
      <c r="I454" cm="1">
        <f t="array" ref="I454">_xlfn.IFS(Table11[[#This Row],[Vehicle_Type]]="SUV",5,Table11[[#This Row],[Vehicle_Type]]="Sedan",7,Table11[[#This Row],[Vehicle_Type]]="Hatchback",10,Table11[[#This Row],[Vehicle_Type]]="Electric",11,Table11[[#This Row],[Vehicle_Type]]="Truck",13)</f>
        <v>11</v>
      </c>
      <c r="J454">
        <f ca="1">Table11[[#This Row],[Daily_Production]]*Table11[[#This Row],[Working_Days]]</f>
        <v>4750</v>
      </c>
      <c r="K454" s="81">
        <f>Table11[[#This Row],[Forecasted_Units]]*0.1</f>
        <v>9.9603749822999301</v>
      </c>
      <c r="L454" s="82">
        <f>Table11[[#This Row],[Adjusted_Forecast]]+Table11[[#This Row],[Safety_Stock]]-Table11[[#This Row],[Inventory_On_Hand]]</f>
        <v>19.167874628298506</v>
      </c>
      <c r="M454" s="82">
        <f ca="1">MIN(Table11[[#This Row],[Production_Needed]],Table11[[#This Row],[Production_Capacity]])</f>
        <v>19.167874628298506</v>
      </c>
      <c r="N454" s="82">
        <f ca="1">MAX(Table11[[#This Row],[Production_Needed]]-Table11[[#This Row],[Planned_Production]],0)</f>
        <v>0</v>
      </c>
      <c r="O454" s="82">
        <f ca="1">Table11[[#This Row],[Inventory_On_Hand]]+Table11[[#This Row],[Planned_Production]]-Table11[[#This Row],[Forecasted_Units]]</f>
        <v>9.9603749822999248</v>
      </c>
      <c r="P454" cm="1">
        <f t="array" ref="P454">_xlfn.XLOOKUP(Table11[[#This Row],[Date]] &amp; Table11[[#This Row],[Vehicle_Type]], Table12[Date] &amp; Table12[Vehicle_Type],Table12[Feedback_Adjustment], 0)</f>
        <v>0</v>
      </c>
      <c r="Q454" s="82">
        <f>Table11[[#This Row],[Forecasted_Units]]*(1+Table11[[#This Row],[Adjustment_Percentage]])</f>
        <v>99.603749822999291</v>
      </c>
      <c r="R454" s="82"/>
    </row>
    <row r="455" spans="1:18">
      <c r="A455" s="54">
        <v>55595</v>
      </c>
      <c r="B455" s="15" t="s">
        <v>12</v>
      </c>
      <c r="C455" s="15" t="str">
        <f>TEXT(Table11[[#This Row],[Date]],"mmmm")</f>
        <v>March</v>
      </c>
      <c r="D455" s="15">
        <v>100</v>
      </c>
      <c r="E455" s="82">
        <f>_xlfn.FORECAST.LINEAR(Table11[[#This Row],[Date]],Table11[Units_Sold],Table11[Date])</f>
        <v>99.604914019656078</v>
      </c>
      <c r="F455" cm="1">
        <f t="array" ref="F455">_xlfn.IFS(Table11[[#This Row],[Vehicle_Type]]="SUV",250,Table11[[#This Row],[Vehicle_Type]]="Sedan",200,Table11[[#This Row],[Vehicle_Type]]="Hatchback",185,Table11[[#This Row],[Vehicle_Type]]="Electric",190,Table11[[#This Row],[Vehicle_Type]]="Truck",150)</f>
        <v>250</v>
      </c>
      <c r="G455">
        <f t="shared" ca="1" si="7"/>
        <v>20</v>
      </c>
      <c r="H455" s="82">
        <f>Table11[[#This Row],[Daily_Production]]-Table11[[#This Row],[Forecasted_Units]]</f>
        <v>150.39508598034394</v>
      </c>
      <c r="I455" cm="1">
        <f t="array" ref="I455">_xlfn.IFS(Table11[[#This Row],[Vehicle_Type]]="SUV",5,Table11[[#This Row],[Vehicle_Type]]="Sedan",7,Table11[[#This Row],[Vehicle_Type]]="Hatchback",10,Table11[[#This Row],[Vehicle_Type]]="Electric",11,Table11[[#This Row],[Vehicle_Type]]="Truck",13)</f>
        <v>5</v>
      </c>
      <c r="J455">
        <f ca="1">Table11[[#This Row],[Daily_Production]]*Table11[[#This Row],[Working_Days]]</f>
        <v>5000</v>
      </c>
      <c r="K455" s="81">
        <f>Table11[[#This Row],[Forecasted_Units]]*0.1</f>
        <v>9.9604914019656086</v>
      </c>
      <c r="L455" s="82">
        <f>Table11[[#This Row],[Adjusted_Forecast]]+Table11[[#This Row],[Safety_Stock]]-Table11[[#This Row],[Inventory_On_Hand]]</f>
        <v>-40.829680558722245</v>
      </c>
      <c r="M455" s="82">
        <f ca="1">MIN(Table11[[#This Row],[Production_Needed]],Table11[[#This Row],[Production_Capacity]])</f>
        <v>-40.829680558722245</v>
      </c>
      <c r="N455" s="82">
        <f ca="1">MAX(Table11[[#This Row],[Production_Needed]]-Table11[[#This Row],[Planned_Production]],0)</f>
        <v>0</v>
      </c>
      <c r="O455" s="82">
        <f ca="1">Table11[[#This Row],[Inventory_On_Hand]]+Table11[[#This Row],[Planned_Production]]-Table11[[#This Row],[Forecasted_Units]]</f>
        <v>9.9604914019656121</v>
      </c>
      <c r="P455" cm="1">
        <f t="array" ref="P455">_xlfn.XLOOKUP(Table11[[#This Row],[Date]] &amp; Table11[[#This Row],[Vehicle_Type]], Table12[Date] &amp; Table12[Vehicle_Type],Table12[Feedback_Adjustment], 0)</f>
        <v>0</v>
      </c>
      <c r="Q455" s="82">
        <f>Table11[[#This Row],[Forecasted_Units]]*(1+Table11[[#This Row],[Adjustment_Percentage]])</f>
        <v>99.604914019656078</v>
      </c>
      <c r="R455" s="82"/>
    </row>
    <row r="456" spans="1:18">
      <c r="A456" s="53">
        <v>55625</v>
      </c>
      <c r="B456" s="14" t="s">
        <v>11</v>
      </c>
      <c r="C456" s="15" t="str">
        <f>TEXT(Table11[[#This Row],[Date]],"mmmm")</f>
        <v>April</v>
      </c>
      <c r="D456" s="14">
        <v>98</v>
      </c>
      <c r="E456" s="82">
        <f>_xlfn.FORECAST.LINEAR(Table11[[#This Row],[Date]],Table11[Units_Sold],Table11[Date])</f>
        <v>99.606078216312852</v>
      </c>
      <c r="F456" cm="1">
        <f t="array" ref="F456">_xlfn.IFS(Table11[[#This Row],[Vehicle_Type]]="SUV",250,Table11[[#This Row],[Vehicle_Type]]="Sedan",200,Table11[[#This Row],[Vehicle_Type]]="Hatchback",185,Table11[[#This Row],[Vehicle_Type]]="Electric",190,Table11[[#This Row],[Vehicle_Type]]="Truck",150)</f>
        <v>185</v>
      </c>
      <c r="G456">
        <f t="shared" ca="1" si="7"/>
        <v>24</v>
      </c>
      <c r="H456" s="82">
        <f>Table11[[#This Row],[Daily_Production]]-Table11[[#This Row],[Forecasted_Units]]</f>
        <v>85.393921783687148</v>
      </c>
      <c r="I456" cm="1">
        <f t="array" ref="I456">_xlfn.IFS(Table11[[#This Row],[Vehicle_Type]]="SUV",5,Table11[[#This Row],[Vehicle_Type]]="Sedan",7,Table11[[#This Row],[Vehicle_Type]]="Hatchback",10,Table11[[#This Row],[Vehicle_Type]]="Electric",11,Table11[[#This Row],[Vehicle_Type]]="Truck",13)</f>
        <v>10</v>
      </c>
      <c r="J456">
        <f ca="1">Table11[[#This Row],[Daily_Production]]*Table11[[#This Row],[Working_Days]]</f>
        <v>4440</v>
      </c>
      <c r="K456" s="81">
        <f>Table11[[#This Row],[Forecasted_Units]]*0.1</f>
        <v>9.9606078216312852</v>
      </c>
      <c r="L456" s="82">
        <f>Table11[[#This Row],[Adjusted_Forecast]]+Table11[[#This Row],[Safety_Stock]]-Table11[[#This Row],[Inventory_On_Hand]]</f>
        <v>24.17276425425699</v>
      </c>
      <c r="M456" s="82">
        <f ca="1">MIN(Table11[[#This Row],[Production_Needed]],Table11[[#This Row],[Production_Capacity]])</f>
        <v>24.17276425425699</v>
      </c>
      <c r="N456" s="82">
        <f ca="1">MAX(Table11[[#This Row],[Production_Needed]]-Table11[[#This Row],[Planned_Production]],0)</f>
        <v>0</v>
      </c>
      <c r="O456" s="82">
        <f ca="1">Table11[[#This Row],[Inventory_On_Hand]]+Table11[[#This Row],[Planned_Production]]-Table11[[#This Row],[Forecasted_Units]]</f>
        <v>9.9606078216312852</v>
      </c>
      <c r="P456" cm="1">
        <f t="array" ref="P456">_xlfn.XLOOKUP(Table11[[#This Row],[Date]] &amp; Table11[[#This Row],[Vehicle_Type]], Table12[Date] &amp; Table12[Vehicle_Type],Table12[Feedback_Adjustment], 0)</f>
        <v>0</v>
      </c>
      <c r="Q456" s="82">
        <f>Table11[[#This Row],[Forecasted_Units]]*(1+Table11[[#This Row],[Adjustment_Percentage]])</f>
        <v>99.606078216312852</v>
      </c>
      <c r="R456" s="82"/>
    </row>
    <row r="457" spans="1:18">
      <c r="A457" s="54">
        <v>55655</v>
      </c>
      <c r="B457" s="15" t="s">
        <v>10</v>
      </c>
      <c r="C457" s="15" t="str">
        <f>TEXT(Table11[[#This Row],[Date]],"mmmm")</f>
        <v>May</v>
      </c>
      <c r="D457" s="15">
        <v>121</v>
      </c>
      <c r="E457" s="82">
        <f>_xlfn.FORECAST.LINEAR(Table11[[#This Row],[Date]],Table11[Units_Sold],Table11[Date])</f>
        <v>99.60724241296964</v>
      </c>
      <c r="F457" cm="1">
        <f t="array" ref="F457">_xlfn.IFS(Table11[[#This Row],[Vehicle_Type]]="SUV",250,Table11[[#This Row],[Vehicle_Type]]="Sedan",200,Table11[[#This Row],[Vehicle_Type]]="Hatchback",185,Table11[[#This Row],[Vehicle_Type]]="Electric",190,Table11[[#This Row],[Vehicle_Type]]="Truck",150)</f>
        <v>200</v>
      </c>
      <c r="G457">
        <f t="shared" ca="1" si="7"/>
        <v>20</v>
      </c>
      <c r="H457" s="82">
        <f>Table11[[#This Row],[Daily_Production]]-Table11[[#This Row],[Forecasted_Units]]</f>
        <v>100.39275758703036</v>
      </c>
      <c r="I457" cm="1">
        <f t="array" ref="I457">_xlfn.IFS(Table11[[#This Row],[Vehicle_Type]]="SUV",5,Table11[[#This Row],[Vehicle_Type]]="Sedan",7,Table11[[#This Row],[Vehicle_Type]]="Hatchback",10,Table11[[#This Row],[Vehicle_Type]]="Electric",11,Table11[[#This Row],[Vehicle_Type]]="Truck",13)</f>
        <v>7</v>
      </c>
      <c r="J457">
        <f ca="1">Table11[[#This Row],[Daily_Production]]*Table11[[#This Row],[Working_Days]]</f>
        <v>4000</v>
      </c>
      <c r="K457" s="81">
        <f>Table11[[#This Row],[Forecasted_Units]]*0.1</f>
        <v>9.9607242412969654</v>
      </c>
      <c r="L457" s="82">
        <f>Table11[[#This Row],[Adjusted_Forecast]]+Table11[[#This Row],[Safety_Stock]]-Table11[[#This Row],[Inventory_On_Hand]]</f>
        <v>9.1752090672362385</v>
      </c>
      <c r="M457" s="82">
        <f ca="1">MIN(Table11[[#This Row],[Production_Needed]],Table11[[#This Row],[Production_Capacity]])</f>
        <v>9.1752090672362385</v>
      </c>
      <c r="N457" s="82">
        <f ca="1">MAX(Table11[[#This Row],[Production_Needed]]-Table11[[#This Row],[Planned_Production]],0)</f>
        <v>0</v>
      </c>
      <c r="O457" s="82">
        <f ca="1">Table11[[#This Row],[Inventory_On_Hand]]+Table11[[#This Row],[Planned_Production]]-Table11[[#This Row],[Forecasted_Units]]</f>
        <v>9.9607242412969583</v>
      </c>
      <c r="P457" cm="1">
        <f t="array" ref="P457">_xlfn.XLOOKUP(Table11[[#This Row],[Date]] &amp; Table11[[#This Row],[Vehicle_Type]], Table12[Date] &amp; Table12[Vehicle_Type],Table12[Feedback_Adjustment], 0)</f>
        <v>0</v>
      </c>
      <c r="Q457" s="82">
        <f>Table11[[#This Row],[Forecasted_Units]]*(1+Table11[[#This Row],[Adjustment_Percentage]])</f>
        <v>99.60724241296964</v>
      </c>
      <c r="R457" s="82"/>
    </row>
    <row r="458" spans="1:18">
      <c r="A458" s="53">
        <v>55685</v>
      </c>
      <c r="B458" s="14" t="s">
        <v>14</v>
      </c>
      <c r="C458" s="15" t="str">
        <f>TEXT(Table11[[#This Row],[Date]],"mmmm")</f>
        <v>June</v>
      </c>
      <c r="D458" s="14">
        <v>103</v>
      </c>
      <c r="E458" s="82">
        <f>_xlfn.FORECAST.LINEAR(Table11[[#This Row],[Date]],Table11[Units_Sold],Table11[Date])</f>
        <v>99.608406609626428</v>
      </c>
      <c r="F458" cm="1">
        <f t="array" ref="F458">_xlfn.IFS(Table11[[#This Row],[Vehicle_Type]]="SUV",250,Table11[[#This Row],[Vehicle_Type]]="Sedan",200,Table11[[#This Row],[Vehicle_Type]]="Hatchback",185,Table11[[#This Row],[Vehicle_Type]]="Electric",190,Table11[[#This Row],[Vehicle_Type]]="Truck",150)</f>
        <v>150</v>
      </c>
      <c r="G458">
        <f t="shared" ca="1" si="7"/>
        <v>24</v>
      </c>
      <c r="H458" s="82">
        <f>Table11[[#This Row],[Daily_Production]]-Table11[[#This Row],[Forecasted_Units]]</f>
        <v>50.391593390373572</v>
      </c>
      <c r="I458" cm="1">
        <f t="array" ref="I458">_xlfn.IFS(Table11[[#This Row],[Vehicle_Type]]="SUV",5,Table11[[#This Row],[Vehicle_Type]]="Sedan",7,Table11[[#This Row],[Vehicle_Type]]="Hatchback",10,Table11[[#This Row],[Vehicle_Type]]="Electric",11,Table11[[#This Row],[Vehicle_Type]]="Truck",13)</f>
        <v>13</v>
      </c>
      <c r="J458">
        <f ca="1">Table11[[#This Row],[Daily_Production]]*Table11[[#This Row],[Working_Days]]</f>
        <v>3600</v>
      </c>
      <c r="K458" s="81">
        <f>Table11[[#This Row],[Forecasted_Units]]*0.1</f>
        <v>9.9608406609626439</v>
      </c>
      <c r="L458" s="82">
        <f>Table11[[#This Row],[Adjusted_Forecast]]+Table11[[#This Row],[Safety_Stock]]-Table11[[#This Row],[Inventory_On_Hand]]</f>
        <v>59.177653880215502</v>
      </c>
      <c r="M458" s="82">
        <f ca="1">MIN(Table11[[#This Row],[Production_Needed]],Table11[[#This Row],[Production_Capacity]])</f>
        <v>59.177653880215502</v>
      </c>
      <c r="N458" s="82">
        <f ca="1">MAX(Table11[[#This Row],[Production_Needed]]-Table11[[#This Row],[Planned_Production]],0)</f>
        <v>0</v>
      </c>
      <c r="O458" s="82">
        <f ca="1">Table11[[#This Row],[Inventory_On_Hand]]+Table11[[#This Row],[Planned_Production]]-Table11[[#This Row],[Forecasted_Units]]</f>
        <v>9.9608406609626456</v>
      </c>
      <c r="P458" cm="1">
        <f t="array" ref="P458">_xlfn.XLOOKUP(Table11[[#This Row],[Date]] &amp; Table11[[#This Row],[Vehicle_Type]], Table12[Date] &amp; Table12[Vehicle_Type],Table12[Feedback_Adjustment], 0)</f>
        <v>0</v>
      </c>
      <c r="Q458" s="82">
        <f>Table11[[#This Row],[Forecasted_Units]]*(1+Table11[[#This Row],[Adjustment_Percentage]])</f>
        <v>99.608406609626428</v>
      </c>
      <c r="R458" s="82"/>
    </row>
    <row r="459" spans="1:18">
      <c r="A459" s="54">
        <v>55715</v>
      </c>
      <c r="B459" s="15" t="s">
        <v>10</v>
      </c>
      <c r="C459" s="15" t="str">
        <f>TEXT(Table11[[#This Row],[Date]],"mmmm")</f>
        <v>July</v>
      </c>
      <c r="D459" s="15">
        <v>121</v>
      </c>
      <c r="E459" s="82">
        <f>_xlfn.FORECAST.LINEAR(Table11[[#This Row],[Date]],Table11[Units_Sold],Table11[Date])</f>
        <v>99.609570806283216</v>
      </c>
      <c r="F459" cm="1">
        <f t="array" ref="F459">_xlfn.IFS(Table11[[#This Row],[Vehicle_Type]]="SUV",250,Table11[[#This Row],[Vehicle_Type]]="Sedan",200,Table11[[#This Row],[Vehicle_Type]]="Hatchback",185,Table11[[#This Row],[Vehicle_Type]]="Electric",190,Table11[[#This Row],[Vehicle_Type]]="Truck",150)</f>
        <v>200</v>
      </c>
      <c r="G459">
        <f t="shared" ca="1" si="7"/>
        <v>24</v>
      </c>
      <c r="H459" s="82">
        <f>Table11[[#This Row],[Daily_Production]]-Table11[[#This Row],[Forecasted_Units]]</f>
        <v>100.39042919371678</v>
      </c>
      <c r="I459" cm="1">
        <f t="array" ref="I459">_xlfn.IFS(Table11[[#This Row],[Vehicle_Type]]="SUV",5,Table11[[#This Row],[Vehicle_Type]]="Sedan",7,Table11[[#This Row],[Vehicle_Type]]="Hatchback",10,Table11[[#This Row],[Vehicle_Type]]="Electric",11,Table11[[#This Row],[Vehicle_Type]]="Truck",13)</f>
        <v>7</v>
      </c>
      <c r="J459">
        <f ca="1">Table11[[#This Row],[Daily_Production]]*Table11[[#This Row],[Working_Days]]</f>
        <v>4800</v>
      </c>
      <c r="K459" s="81">
        <f>Table11[[#This Row],[Forecasted_Units]]*0.1</f>
        <v>9.9609570806283223</v>
      </c>
      <c r="L459" s="82">
        <f>Table11[[#This Row],[Adjusted_Forecast]]+Table11[[#This Row],[Safety_Stock]]-Table11[[#This Row],[Inventory_On_Hand]]</f>
        <v>9.1800986931947506</v>
      </c>
      <c r="M459" s="82">
        <f ca="1">MIN(Table11[[#This Row],[Production_Needed]],Table11[[#This Row],[Production_Capacity]])</f>
        <v>9.1800986931947506</v>
      </c>
      <c r="N459" s="82">
        <f ca="1">MAX(Table11[[#This Row],[Production_Needed]]-Table11[[#This Row],[Planned_Production]],0)</f>
        <v>0</v>
      </c>
      <c r="O459" s="82">
        <f ca="1">Table11[[#This Row],[Inventory_On_Hand]]+Table11[[#This Row],[Planned_Production]]-Table11[[#This Row],[Forecasted_Units]]</f>
        <v>9.9609570806283187</v>
      </c>
      <c r="P459" cm="1">
        <f t="array" ref="P459">_xlfn.XLOOKUP(Table11[[#This Row],[Date]] &amp; Table11[[#This Row],[Vehicle_Type]], Table12[Date] &amp; Table12[Vehicle_Type],Table12[Feedback_Adjustment], 0)</f>
        <v>0</v>
      </c>
      <c r="Q459" s="82">
        <f>Table11[[#This Row],[Forecasted_Units]]*(1+Table11[[#This Row],[Adjustment_Percentage]])</f>
        <v>99.609570806283216</v>
      </c>
      <c r="R459" s="82"/>
    </row>
    <row r="460" spans="1:18">
      <c r="A460" s="53">
        <v>55745</v>
      </c>
      <c r="B460" s="14" t="s">
        <v>13</v>
      </c>
      <c r="C460" s="15" t="str">
        <f>TEXT(Table11[[#This Row],[Date]],"mmmm")</f>
        <v>August</v>
      </c>
      <c r="D460" s="14">
        <v>103</v>
      </c>
      <c r="E460" s="82">
        <f>_xlfn.FORECAST.LINEAR(Table11[[#This Row],[Date]],Table11[Units_Sold],Table11[Date])</f>
        <v>99.610735002940004</v>
      </c>
      <c r="F460" cm="1">
        <f t="array" ref="F460">_xlfn.IFS(Table11[[#This Row],[Vehicle_Type]]="SUV",250,Table11[[#This Row],[Vehicle_Type]]="Sedan",200,Table11[[#This Row],[Vehicle_Type]]="Hatchback",185,Table11[[#This Row],[Vehicle_Type]]="Electric",190,Table11[[#This Row],[Vehicle_Type]]="Truck",150)</f>
        <v>190</v>
      </c>
      <c r="G460">
        <f t="shared" ca="1" si="7"/>
        <v>20</v>
      </c>
      <c r="H460" s="82">
        <f>Table11[[#This Row],[Daily_Production]]-Table11[[#This Row],[Forecasted_Units]]</f>
        <v>90.389264997059996</v>
      </c>
      <c r="I460" cm="1">
        <f t="array" ref="I460">_xlfn.IFS(Table11[[#This Row],[Vehicle_Type]]="SUV",5,Table11[[#This Row],[Vehicle_Type]]="Sedan",7,Table11[[#This Row],[Vehicle_Type]]="Hatchback",10,Table11[[#This Row],[Vehicle_Type]]="Electric",11,Table11[[#This Row],[Vehicle_Type]]="Truck",13)</f>
        <v>11</v>
      </c>
      <c r="J460">
        <f ca="1">Table11[[#This Row],[Daily_Production]]*Table11[[#This Row],[Working_Days]]</f>
        <v>3800</v>
      </c>
      <c r="K460" s="81">
        <f>Table11[[#This Row],[Forecasted_Units]]*0.1</f>
        <v>9.9610735002940007</v>
      </c>
      <c r="L460" s="82">
        <f>Table11[[#This Row],[Adjusted_Forecast]]+Table11[[#This Row],[Safety_Stock]]-Table11[[#This Row],[Inventory_On_Hand]]</f>
        <v>19.182543506174014</v>
      </c>
      <c r="M460" s="82">
        <f ca="1">MIN(Table11[[#This Row],[Production_Needed]],Table11[[#This Row],[Production_Capacity]])</f>
        <v>19.182543506174014</v>
      </c>
      <c r="N460" s="82">
        <f ca="1">MAX(Table11[[#This Row],[Production_Needed]]-Table11[[#This Row],[Planned_Production]],0)</f>
        <v>0</v>
      </c>
      <c r="O460" s="82">
        <f ca="1">Table11[[#This Row],[Inventory_On_Hand]]+Table11[[#This Row],[Planned_Production]]-Table11[[#This Row],[Forecasted_Units]]</f>
        <v>9.9610735002940061</v>
      </c>
      <c r="P460" cm="1">
        <f t="array" ref="P460">_xlfn.XLOOKUP(Table11[[#This Row],[Date]] &amp; Table11[[#This Row],[Vehicle_Type]], Table12[Date] &amp; Table12[Vehicle_Type],Table12[Feedback_Adjustment], 0)</f>
        <v>0</v>
      </c>
      <c r="Q460" s="82">
        <f>Table11[[#This Row],[Forecasted_Units]]*(1+Table11[[#This Row],[Adjustment_Percentage]])</f>
        <v>99.610735002940004</v>
      </c>
      <c r="R460" s="82"/>
    </row>
    <row r="461" spans="1:18">
      <c r="A461" s="54">
        <v>55775</v>
      </c>
      <c r="B461" s="15" t="s">
        <v>13</v>
      </c>
      <c r="C461" s="15" t="str">
        <f>TEXT(Table11[[#This Row],[Date]],"mmmm")</f>
        <v>September</v>
      </c>
      <c r="D461" s="15">
        <v>91</v>
      </c>
      <c r="E461" s="82">
        <f>_xlfn.FORECAST.LINEAR(Table11[[#This Row],[Date]],Table11[Units_Sold],Table11[Date])</f>
        <v>99.611899199596792</v>
      </c>
      <c r="F461" cm="1">
        <f t="array" ref="F461">_xlfn.IFS(Table11[[#This Row],[Vehicle_Type]]="SUV",250,Table11[[#This Row],[Vehicle_Type]]="Sedan",200,Table11[[#This Row],[Vehicle_Type]]="Hatchback",185,Table11[[#This Row],[Vehicle_Type]]="Electric",190,Table11[[#This Row],[Vehicle_Type]]="Truck",150)</f>
        <v>190</v>
      </c>
      <c r="G461">
        <f t="shared" ca="1" si="7"/>
        <v>23</v>
      </c>
      <c r="H461" s="82">
        <f>Table11[[#This Row],[Daily_Production]]-Table11[[#This Row],[Forecasted_Units]]</f>
        <v>90.388100800403208</v>
      </c>
      <c r="I461" cm="1">
        <f t="array" ref="I461">_xlfn.IFS(Table11[[#This Row],[Vehicle_Type]]="SUV",5,Table11[[#This Row],[Vehicle_Type]]="Sedan",7,Table11[[#This Row],[Vehicle_Type]]="Hatchback",10,Table11[[#This Row],[Vehicle_Type]]="Electric",11,Table11[[#This Row],[Vehicle_Type]]="Truck",13)</f>
        <v>11</v>
      </c>
      <c r="J461">
        <f ca="1">Table11[[#This Row],[Daily_Production]]*Table11[[#This Row],[Working_Days]]</f>
        <v>4370</v>
      </c>
      <c r="K461" s="81">
        <f>Table11[[#This Row],[Forecasted_Units]]*0.1</f>
        <v>9.9611899199596792</v>
      </c>
      <c r="L461" s="82">
        <f>Table11[[#This Row],[Adjusted_Forecast]]+Table11[[#This Row],[Safety_Stock]]-Table11[[#This Row],[Inventory_On_Hand]]</f>
        <v>19.184988319153263</v>
      </c>
      <c r="M461" s="82">
        <f ca="1">MIN(Table11[[#This Row],[Production_Needed]],Table11[[#This Row],[Production_Capacity]])</f>
        <v>19.184988319153263</v>
      </c>
      <c r="N461" s="82">
        <f ca="1">MAX(Table11[[#This Row],[Production_Needed]]-Table11[[#This Row],[Planned_Production]],0)</f>
        <v>0</v>
      </c>
      <c r="O461" s="82">
        <f ca="1">Table11[[#This Row],[Inventory_On_Hand]]+Table11[[#This Row],[Planned_Production]]-Table11[[#This Row],[Forecasted_Units]]</f>
        <v>9.9611899199596792</v>
      </c>
      <c r="P461" cm="1">
        <f t="array" ref="P461">_xlfn.XLOOKUP(Table11[[#This Row],[Date]] &amp; Table11[[#This Row],[Vehicle_Type]], Table12[Date] &amp; Table12[Vehicle_Type],Table12[Feedback_Adjustment], 0)</f>
        <v>0</v>
      </c>
      <c r="Q461" s="82">
        <f>Table11[[#This Row],[Forecasted_Units]]*(1+Table11[[#This Row],[Adjustment_Percentage]])</f>
        <v>99.611899199596792</v>
      </c>
      <c r="R461" s="82"/>
    </row>
    <row r="462" spans="1:18">
      <c r="A462" s="53">
        <v>55805</v>
      </c>
      <c r="B462" s="14" t="s">
        <v>12</v>
      </c>
      <c r="C462" s="15" t="str">
        <f>TEXT(Table11[[#This Row],[Date]],"mmmm")</f>
        <v>October</v>
      </c>
      <c r="D462" s="14">
        <v>91</v>
      </c>
      <c r="E462" s="82">
        <f>_xlfn.FORECAST.LINEAR(Table11[[#This Row],[Date]],Table11[Units_Sold],Table11[Date])</f>
        <v>99.61306339625358</v>
      </c>
      <c r="F462" cm="1">
        <f t="array" ref="F462">_xlfn.IFS(Table11[[#This Row],[Vehicle_Type]]="SUV",250,Table11[[#This Row],[Vehicle_Type]]="Sedan",200,Table11[[#This Row],[Vehicle_Type]]="Hatchback",185,Table11[[#This Row],[Vehicle_Type]]="Electric",190,Table11[[#This Row],[Vehicle_Type]]="Truck",150)</f>
        <v>250</v>
      </c>
      <c r="G462">
        <f t="shared" ca="1" si="7"/>
        <v>20</v>
      </c>
      <c r="H462" s="82">
        <f>Table11[[#This Row],[Daily_Production]]-Table11[[#This Row],[Forecasted_Units]]</f>
        <v>150.38693660374642</v>
      </c>
      <c r="I462" cm="1">
        <f t="array" ref="I462">_xlfn.IFS(Table11[[#This Row],[Vehicle_Type]]="SUV",5,Table11[[#This Row],[Vehicle_Type]]="Sedan",7,Table11[[#This Row],[Vehicle_Type]]="Hatchback",10,Table11[[#This Row],[Vehicle_Type]]="Electric",11,Table11[[#This Row],[Vehicle_Type]]="Truck",13)</f>
        <v>5</v>
      </c>
      <c r="J462">
        <f ca="1">Table11[[#This Row],[Daily_Production]]*Table11[[#This Row],[Working_Days]]</f>
        <v>5000</v>
      </c>
      <c r="K462" s="81">
        <f>Table11[[#This Row],[Forecasted_Units]]*0.1</f>
        <v>9.9613063396253594</v>
      </c>
      <c r="L462" s="82">
        <f>Table11[[#This Row],[Adjusted_Forecast]]+Table11[[#This Row],[Safety_Stock]]-Table11[[#This Row],[Inventory_On_Hand]]</f>
        <v>-40.812566867867474</v>
      </c>
      <c r="M462" s="82">
        <f ca="1">MIN(Table11[[#This Row],[Production_Needed]],Table11[[#This Row],[Production_Capacity]])</f>
        <v>-40.812566867867474</v>
      </c>
      <c r="N462" s="82">
        <f ca="1">MAX(Table11[[#This Row],[Production_Needed]]-Table11[[#This Row],[Planned_Production]],0)</f>
        <v>0</v>
      </c>
      <c r="O462" s="82">
        <f ca="1">Table11[[#This Row],[Inventory_On_Hand]]+Table11[[#This Row],[Planned_Production]]-Table11[[#This Row],[Forecasted_Units]]</f>
        <v>9.9613063396253665</v>
      </c>
      <c r="P462" cm="1">
        <f t="array" ref="P462">_xlfn.XLOOKUP(Table11[[#This Row],[Date]] &amp; Table11[[#This Row],[Vehicle_Type]], Table12[Date] &amp; Table12[Vehicle_Type],Table12[Feedback_Adjustment], 0)</f>
        <v>0</v>
      </c>
      <c r="Q462" s="82">
        <f>Table11[[#This Row],[Forecasted_Units]]*(1+Table11[[#This Row],[Adjustment_Percentage]])</f>
        <v>99.61306339625358</v>
      </c>
      <c r="R462" s="82"/>
    </row>
    <row r="463" spans="1:18">
      <c r="A463" s="54">
        <v>55835</v>
      </c>
      <c r="B463" s="15" t="s">
        <v>11</v>
      </c>
      <c r="C463" s="15" t="str">
        <f>TEXT(Table11[[#This Row],[Date]],"mmmm")</f>
        <v>November</v>
      </c>
      <c r="D463" s="15">
        <f>IF(ISBLANK(D416), P417, D416)</f>
        <v>107</v>
      </c>
      <c r="E463" s="82">
        <f>_xlfn.FORECAST.LINEAR(Table11[[#This Row],[Date]],Table11[Units_Sold],Table11[Date])</f>
        <v>99.614227592910368</v>
      </c>
      <c r="F463" cm="1">
        <f t="array" ref="F463">_xlfn.IFS(Table11[[#This Row],[Vehicle_Type]]="SUV",250,Table11[[#This Row],[Vehicle_Type]]="Sedan",200,Table11[[#This Row],[Vehicle_Type]]="Hatchback",185,Table11[[#This Row],[Vehicle_Type]]="Electric",190,Table11[[#This Row],[Vehicle_Type]]="Truck",150)</f>
        <v>185</v>
      </c>
      <c r="G463">
        <f t="shared" ca="1" si="7"/>
        <v>22</v>
      </c>
      <c r="H463" s="82">
        <f>Table11[[#This Row],[Daily_Production]]-Table11[[#This Row],[Forecasted_Units]]</f>
        <v>85.385772407089632</v>
      </c>
      <c r="I463" cm="1">
        <f t="array" ref="I463">_xlfn.IFS(Table11[[#This Row],[Vehicle_Type]]="SUV",5,Table11[[#This Row],[Vehicle_Type]]="Sedan",7,Table11[[#This Row],[Vehicle_Type]]="Hatchback",10,Table11[[#This Row],[Vehicle_Type]]="Electric",11,Table11[[#This Row],[Vehicle_Type]]="Truck",13)</f>
        <v>10</v>
      </c>
      <c r="J463">
        <f ca="1">Table11[[#This Row],[Daily_Production]]*Table11[[#This Row],[Working_Days]]</f>
        <v>4070</v>
      </c>
      <c r="K463" s="81">
        <f>Table11[[#This Row],[Forecasted_Units]]*0.1</f>
        <v>9.9614227592910378</v>
      </c>
      <c r="L463" s="82">
        <f>Table11[[#This Row],[Adjusted_Forecast]]+Table11[[#This Row],[Safety_Stock]]-Table11[[#This Row],[Inventory_On_Hand]]</f>
        <v>24.189877945111775</v>
      </c>
      <c r="M463" s="82">
        <f ca="1">MIN(Table11[[#This Row],[Production_Needed]],Table11[[#This Row],[Production_Capacity]])</f>
        <v>24.189877945111775</v>
      </c>
      <c r="N463" s="82">
        <f ca="1">MAX(Table11[[#This Row],[Production_Needed]]-Table11[[#This Row],[Planned_Production]],0)</f>
        <v>0</v>
      </c>
      <c r="O463" s="82">
        <f ca="1">Table11[[#This Row],[Inventory_On_Hand]]+Table11[[#This Row],[Planned_Production]]-Table11[[#This Row],[Forecasted_Units]]</f>
        <v>9.9614227592910396</v>
      </c>
      <c r="P463" cm="1">
        <f t="array" ref="P463">_xlfn.XLOOKUP(Table11[[#This Row],[Date]] &amp; Table11[[#This Row],[Vehicle_Type]], Table12[Date] &amp; Table12[Vehicle_Type],Table12[Feedback_Adjustment], 0)</f>
        <v>0</v>
      </c>
      <c r="Q463" s="82">
        <f>Table11[[#This Row],[Forecasted_Units]]*(1+Table11[[#This Row],[Adjustment_Percentage]])</f>
        <v>99.614227592910368</v>
      </c>
      <c r="R463" s="82"/>
    </row>
    <row r="464" spans="1:18">
      <c r="A464" s="53">
        <v>55865</v>
      </c>
      <c r="B464" s="14" t="s">
        <v>14</v>
      </c>
      <c r="C464" s="15" t="str">
        <f>TEXT(Table11[[#This Row],[Date]],"mmmm")</f>
        <v>December</v>
      </c>
      <c r="D464" s="14">
        <v>97</v>
      </c>
      <c r="E464" s="82">
        <f>_xlfn.FORECAST.LINEAR(Table11[[#This Row],[Date]],Table11[Units_Sold],Table11[Date])</f>
        <v>99.615391789567155</v>
      </c>
      <c r="F464" cm="1">
        <f t="array" ref="F464">_xlfn.IFS(Table11[[#This Row],[Vehicle_Type]]="SUV",250,Table11[[#This Row],[Vehicle_Type]]="Sedan",200,Table11[[#This Row],[Vehicle_Type]]="Hatchback",185,Table11[[#This Row],[Vehicle_Type]]="Electric",190,Table11[[#This Row],[Vehicle_Type]]="Truck",150)</f>
        <v>150</v>
      </c>
      <c r="G464">
        <f t="shared" ca="1" si="7"/>
        <v>20</v>
      </c>
      <c r="H464" s="82">
        <f>Table11[[#This Row],[Daily_Production]]-Table11[[#This Row],[Forecasted_Units]]</f>
        <v>50.384608210432845</v>
      </c>
      <c r="I464" cm="1">
        <f t="array" ref="I464">_xlfn.IFS(Table11[[#This Row],[Vehicle_Type]]="SUV",5,Table11[[#This Row],[Vehicle_Type]]="Sedan",7,Table11[[#This Row],[Vehicle_Type]]="Hatchback",10,Table11[[#This Row],[Vehicle_Type]]="Electric",11,Table11[[#This Row],[Vehicle_Type]]="Truck",13)</f>
        <v>13</v>
      </c>
      <c r="J464">
        <f ca="1">Table11[[#This Row],[Daily_Production]]*Table11[[#This Row],[Working_Days]]</f>
        <v>3000</v>
      </c>
      <c r="K464" s="81">
        <f>Table11[[#This Row],[Forecasted_Units]]*0.1</f>
        <v>9.9615391789567163</v>
      </c>
      <c r="L464" s="82">
        <f>Table11[[#This Row],[Adjusted_Forecast]]+Table11[[#This Row],[Safety_Stock]]-Table11[[#This Row],[Inventory_On_Hand]]</f>
        <v>59.192322758091024</v>
      </c>
      <c r="M464" s="82">
        <f ca="1">MIN(Table11[[#This Row],[Production_Needed]],Table11[[#This Row],[Production_Capacity]])</f>
        <v>59.192322758091024</v>
      </c>
      <c r="N464" s="82">
        <f ca="1">MAX(Table11[[#This Row],[Production_Needed]]-Table11[[#This Row],[Planned_Production]],0)</f>
        <v>0</v>
      </c>
      <c r="O464" s="82">
        <f ca="1">Table11[[#This Row],[Inventory_On_Hand]]+Table11[[#This Row],[Planned_Production]]-Table11[[#This Row],[Forecasted_Units]]</f>
        <v>9.9615391789567127</v>
      </c>
      <c r="P464" cm="1">
        <f t="array" ref="P464">_xlfn.XLOOKUP(Table11[[#This Row],[Date]] &amp; Table11[[#This Row],[Vehicle_Type]], Table12[Date] &amp; Table12[Vehicle_Type],Table12[Feedback_Adjustment], 0)</f>
        <v>0</v>
      </c>
      <c r="Q464" s="82">
        <f>Table11[[#This Row],[Forecasted_Units]]*(1+Table11[[#This Row],[Adjustment_Percentage]])</f>
        <v>99.615391789567155</v>
      </c>
      <c r="R464" s="82"/>
    </row>
    <row r="465" spans="1:18">
      <c r="A465" s="54">
        <v>55895</v>
      </c>
      <c r="B465" s="15" t="s">
        <v>10</v>
      </c>
      <c r="C465" s="15" t="str">
        <f>TEXT(Table11[[#This Row],[Date]],"mmmm")</f>
        <v>January</v>
      </c>
      <c r="D465" s="15">
        <v>106</v>
      </c>
      <c r="E465" s="82">
        <f>_xlfn.FORECAST.LINEAR(Table11[[#This Row],[Date]],Table11[Units_Sold],Table11[Date])</f>
        <v>99.616555986223943</v>
      </c>
      <c r="F465" cm="1">
        <f t="array" ref="F465">_xlfn.IFS(Table11[[#This Row],[Vehicle_Type]]="SUV",250,Table11[[#This Row],[Vehicle_Type]]="Sedan",200,Table11[[#This Row],[Vehicle_Type]]="Hatchback",185,Table11[[#This Row],[Vehicle_Type]]="Electric",190,Table11[[#This Row],[Vehicle_Type]]="Truck",150)</f>
        <v>200</v>
      </c>
      <c r="G465">
        <f t="shared" ca="1" si="7"/>
        <v>21</v>
      </c>
      <c r="H465" s="82">
        <f>Table11[[#This Row],[Daily_Production]]-Table11[[#This Row],[Forecasted_Units]]</f>
        <v>100.38344401377606</v>
      </c>
      <c r="I465" cm="1">
        <f t="array" ref="I465">_xlfn.IFS(Table11[[#This Row],[Vehicle_Type]]="SUV",5,Table11[[#This Row],[Vehicle_Type]]="Sedan",7,Table11[[#This Row],[Vehicle_Type]]="Hatchback",10,Table11[[#This Row],[Vehicle_Type]]="Electric",11,Table11[[#This Row],[Vehicle_Type]]="Truck",13)</f>
        <v>7</v>
      </c>
      <c r="J465">
        <f ca="1">Table11[[#This Row],[Daily_Production]]*Table11[[#This Row],[Working_Days]]</f>
        <v>4200</v>
      </c>
      <c r="K465" s="81">
        <f>Table11[[#This Row],[Forecasted_Units]]*0.1</f>
        <v>9.9616555986223947</v>
      </c>
      <c r="L465" s="82">
        <f>Table11[[#This Row],[Adjusted_Forecast]]+Table11[[#This Row],[Safety_Stock]]-Table11[[#This Row],[Inventory_On_Hand]]</f>
        <v>9.1947675710702867</v>
      </c>
      <c r="M465" s="82">
        <f ca="1">MIN(Table11[[#This Row],[Production_Needed]],Table11[[#This Row],[Production_Capacity]])</f>
        <v>9.1947675710702867</v>
      </c>
      <c r="N465" s="82">
        <f ca="1">MAX(Table11[[#This Row],[Production_Needed]]-Table11[[#This Row],[Planned_Production]],0)</f>
        <v>0</v>
      </c>
      <c r="O465" s="82">
        <f ca="1">Table11[[#This Row],[Inventory_On_Hand]]+Table11[[#This Row],[Planned_Production]]-Table11[[#This Row],[Forecasted_Units]]</f>
        <v>9.9616555986224</v>
      </c>
      <c r="P465" cm="1">
        <f t="array" ref="P465">_xlfn.XLOOKUP(Table11[[#This Row],[Date]] &amp; Table11[[#This Row],[Vehicle_Type]], Table12[Date] &amp; Table12[Vehicle_Type],Table12[Feedback_Adjustment], 0)</f>
        <v>0</v>
      </c>
      <c r="Q465" s="82">
        <f>Table11[[#This Row],[Forecasted_Units]]*(1+Table11[[#This Row],[Adjustment_Percentage]])</f>
        <v>99.616555986223943</v>
      </c>
      <c r="R465" s="82"/>
    </row>
    <row r="466" spans="1:18">
      <c r="A466" s="53">
        <v>55925</v>
      </c>
      <c r="B466" s="14" t="s">
        <v>11</v>
      </c>
      <c r="C466" s="15" t="str">
        <f>TEXT(Table11[[#This Row],[Date]],"mmmm")</f>
        <v>February</v>
      </c>
      <c r="D466" s="14">
        <v>110</v>
      </c>
      <c r="E466" s="82">
        <f>_xlfn.FORECAST.LINEAR(Table11[[#This Row],[Date]],Table11[Units_Sold],Table11[Date])</f>
        <v>99.617720182880731</v>
      </c>
      <c r="F466" cm="1">
        <f t="array" ref="F466">_xlfn.IFS(Table11[[#This Row],[Vehicle_Type]]="SUV",250,Table11[[#This Row],[Vehicle_Type]]="Sedan",200,Table11[[#This Row],[Vehicle_Type]]="Hatchback",185,Table11[[#This Row],[Vehicle_Type]]="Electric",190,Table11[[#This Row],[Vehicle_Type]]="Truck",150)</f>
        <v>185</v>
      </c>
      <c r="G466">
        <f t="shared" ca="1" si="7"/>
        <v>22</v>
      </c>
      <c r="H466" s="82">
        <f>Table11[[#This Row],[Daily_Production]]-Table11[[#This Row],[Forecasted_Units]]</f>
        <v>85.382279817119269</v>
      </c>
      <c r="I466" cm="1">
        <f t="array" ref="I466">_xlfn.IFS(Table11[[#This Row],[Vehicle_Type]]="SUV",5,Table11[[#This Row],[Vehicle_Type]]="Sedan",7,Table11[[#This Row],[Vehicle_Type]]="Hatchback",10,Table11[[#This Row],[Vehicle_Type]]="Electric",11,Table11[[#This Row],[Vehicle_Type]]="Truck",13)</f>
        <v>10</v>
      </c>
      <c r="J466">
        <f ca="1">Table11[[#This Row],[Daily_Production]]*Table11[[#This Row],[Working_Days]]</f>
        <v>4070</v>
      </c>
      <c r="K466" s="81">
        <f>Table11[[#This Row],[Forecasted_Units]]*0.1</f>
        <v>9.9617720182880731</v>
      </c>
      <c r="L466" s="82">
        <f>Table11[[#This Row],[Adjusted_Forecast]]+Table11[[#This Row],[Safety_Stock]]-Table11[[#This Row],[Inventory_On_Hand]]</f>
        <v>24.197212384049536</v>
      </c>
      <c r="M466" s="82">
        <f ca="1">MIN(Table11[[#This Row],[Production_Needed]],Table11[[#This Row],[Production_Capacity]])</f>
        <v>24.197212384049536</v>
      </c>
      <c r="N466" s="82">
        <f ca="1">MAX(Table11[[#This Row],[Production_Needed]]-Table11[[#This Row],[Planned_Production]],0)</f>
        <v>0</v>
      </c>
      <c r="O466" s="82">
        <f ca="1">Table11[[#This Row],[Inventory_On_Hand]]+Table11[[#This Row],[Planned_Production]]-Table11[[#This Row],[Forecasted_Units]]</f>
        <v>9.9617720182880731</v>
      </c>
      <c r="P466" cm="1">
        <f t="array" ref="P466">_xlfn.XLOOKUP(Table11[[#This Row],[Date]] &amp; Table11[[#This Row],[Vehicle_Type]], Table12[Date] &amp; Table12[Vehicle_Type],Table12[Feedback_Adjustment], 0)</f>
        <v>0</v>
      </c>
      <c r="Q466" s="82">
        <f>Table11[[#This Row],[Forecasted_Units]]*(1+Table11[[#This Row],[Adjustment_Percentage]])</f>
        <v>99.617720182880731</v>
      </c>
      <c r="R466" s="82"/>
    </row>
    <row r="467" spans="1:18">
      <c r="A467" s="54">
        <v>55955</v>
      </c>
      <c r="B467" s="15" t="s">
        <v>13</v>
      </c>
      <c r="C467" s="15" t="str">
        <f>TEXT(Table11[[#This Row],[Date]],"mmmm")</f>
        <v>March</v>
      </c>
      <c r="D467" s="15">
        <v>91</v>
      </c>
      <c r="E467" s="82">
        <f>_xlfn.FORECAST.LINEAR(Table11[[#This Row],[Date]],Table11[Units_Sold],Table11[Date])</f>
        <v>99.618884379537505</v>
      </c>
      <c r="F467" cm="1">
        <f t="array" ref="F467">_xlfn.IFS(Table11[[#This Row],[Vehicle_Type]]="SUV",250,Table11[[#This Row],[Vehicle_Type]]="Sedan",200,Table11[[#This Row],[Vehicle_Type]]="Hatchback",185,Table11[[#This Row],[Vehicle_Type]]="Electric",190,Table11[[#This Row],[Vehicle_Type]]="Truck",150)</f>
        <v>190</v>
      </c>
      <c r="G467">
        <f t="shared" ca="1" si="7"/>
        <v>21</v>
      </c>
      <c r="H467" s="82">
        <f>Table11[[#This Row],[Daily_Production]]-Table11[[#This Row],[Forecasted_Units]]</f>
        <v>90.381115620462495</v>
      </c>
      <c r="I467" cm="1">
        <f t="array" ref="I467">_xlfn.IFS(Table11[[#This Row],[Vehicle_Type]]="SUV",5,Table11[[#This Row],[Vehicle_Type]]="Sedan",7,Table11[[#This Row],[Vehicle_Type]]="Hatchback",10,Table11[[#This Row],[Vehicle_Type]]="Electric",11,Table11[[#This Row],[Vehicle_Type]]="Truck",13)</f>
        <v>11</v>
      </c>
      <c r="J467">
        <f ca="1">Table11[[#This Row],[Daily_Production]]*Table11[[#This Row],[Working_Days]]</f>
        <v>3990</v>
      </c>
      <c r="K467" s="81">
        <f>Table11[[#This Row],[Forecasted_Units]]*0.1</f>
        <v>9.9618884379537516</v>
      </c>
      <c r="L467" s="82">
        <f>Table11[[#This Row],[Adjusted_Forecast]]+Table11[[#This Row],[Safety_Stock]]-Table11[[#This Row],[Inventory_On_Hand]]</f>
        <v>19.199657197028756</v>
      </c>
      <c r="M467" s="82">
        <f ca="1">MIN(Table11[[#This Row],[Production_Needed]],Table11[[#This Row],[Production_Capacity]])</f>
        <v>19.199657197028756</v>
      </c>
      <c r="N467" s="82">
        <f ca="1">MAX(Table11[[#This Row],[Production_Needed]]-Table11[[#This Row],[Planned_Production]],0)</f>
        <v>0</v>
      </c>
      <c r="O467" s="82">
        <f ca="1">Table11[[#This Row],[Inventory_On_Hand]]+Table11[[#This Row],[Planned_Production]]-Table11[[#This Row],[Forecasted_Units]]</f>
        <v>9.9618884379537462</v>
      </c>
      <c r="P467" cm="1">
        <f t="array" ref="P467">_xlfn.XLOOKUP(Table11[[#This Row],[Date]] &amp; Table11[[#This Row],[Vehicle_Type]], Table12[Date] &amp; Table12[Vehicle_Type],Table12[Feedback_Adjustment], 0)</f>
        <v>0</v>
      </c>
      <c r="Q467" s="82">
        <f>Table11[[#This Row],[Forecasted_Units]]*(1+Table11[[#This Row],[Adjustment_Percentage]])</f>
        <v>99.618884379537505</v>
      </c>
      <c r="R467" s="82"/>
    </row>
    <row r="468" spans="1:18">
      <c r="A468" s="53">
        <v>55985</v>
      </c>
      <c r="B468" s="14" t="s">
        <v>11</v>
      </c>
      <c r="C468" s="15" t="str">
        <f>TEXT(Table11[[#This Row],[Date]],"mmmm")</f>
        <v>April</v>
      </c>
      <c r="D468" s="14">
        <v>103</v>
      </c>
      <c r="E468" s="82">
        <f>_xlfn.FORECAST.LINEAR(Table11[[#This Row],[Date]],Table11[Units_Sold],Table11[Date])</f>
        <v>99.620048576194293</v>
      </c>
      <c r="F468" cm="1">
        <f t="array" ref="F468">_xlfn.IFS(Table11[[#This Row],[Vehicle_Type]]="SUV",250,Table11[[#This Row],[Vehicle_Type]]="Sedan",200,Table11[[#This Row],[Vehicle_Type]]="Hatchback",185,Table11[[#This Row],[Vehicle_Type]]="Electric",190,Table11[[#This Row],[Vehicle_Type]]="Truck",150)</f>
        <v>185</v>
      </c>
      <c r="G468">
        <f t="shared" ca="1" si="7"/>
        <v>23</v>
      </c>
      <c r="H468" s="82">
        <f>Table11[[#This Row],[Daily_Production]]-Table11[[#This Row],[Forecasted_Units]]</f>
        <v>85.379951423805707</v>
      </c>
      <c r="I468" cm="1">
        <f t="array" ref="I468">_xlfn.IFS(Table11[[#This Row],[Vehicle_Type]]="SUV",5,Table11[[#This Row],[Vehicle_Type]]="Sedan",7,Table11[[#This Row],[Vehicle_Type]]="Hatchback",10,Table11[[#This Row],[Vehicle_Type]]="Electric",11,Table11[[#This Row],[Vehicle_Type]]="Truck",13)</f>
        <v>10</v>
      </c>
      <c r="J468">
        <f ca="1">Table11[[#This Row],[Daily_Production]]*Table11[[#This Row],[Working_Days]]</f>
        <v>4255</v>
      </c>
      <c r="K468" s="81">
        <f>Table11[[#This Row],[Forecasted_Units]]*0.1</f>
        <v>9.96200485761943</v>
      </c>
      <c r="L468" s="82">
        <f>Table11[[#This Row],[Adjusted_Forecast]]+Table11[[#This Row],[Safety_Stock]]-Table11[[#This Row],[Inventory_On_Hand]]</f>
        <v>24.202102010008019</v>
      </c>
      <c r="M468" s="82">
        <f ca="1">MIN(Table11[[#This Row],[Production_Needed]],Table11[[#This Row],[Production_Capacity]])</f>
        <v>24.202102010008019</v>
      </c>
      <c r="N468" s="82">
        <f ca="1">MAX(Table11[[#This Row],[Production_Needed]]-Table11[[#This Row],[Planned_Production]],0)</f>
        <v>0</v>
      </c>
      <c r="O468" s="82">
        <f ca="1">Table11[[#This Row],[Inventory_On_Hand]]+Table11[[#This Row],[Planned_Production]]-Table11[[#This Row],[Forecasted_Units]]</f>
        <v>9.9620048576194336</v>
      </c>
      <c r="P468" cm="1">
        <f t="array" ref="P468">_xlfn.XLOOKUP(Table11[[#This Row],[Date]] &amp; Table11[[#This Row],[Vehicle_Type]], Table12[Date] &amp; Table12[Vehicle_Type],Table12[Feedback_Adjustment], 0)</f>
        <v>0</v>
      </c>
      <c r="Q468" s="82">
        <f>Table11[[#This Row],[Forecasted_Units]]*(1+Table11[[#This Row],[Adjustment_Percentage]])</f>
        <v>99.620048576194293</v>
      </c>
      <c r="R468" s="82"/>
    </row>
    <row r="469" spans="1:18">
      <c r="A469" s="54">
        <v>56015</v>
      </c>
      <c r="B469" s="15" t="s">
        <v>10</v>
      </c>
      <c r="C469" s="15" t="str">
        <f>TEXT(Table11[[#This Row],[Date]],"mmmm")</f>
        <v>May</v>
      </c>
      <c r="D469" s="15">
        <v>84</v>
      </c>
      <c r="E469" s="82">
        <f>_xlfn.FORECAST.LINEAR(Table11[[#This Row],[Date]],Table11[Units_Sold],Table11[Date])</f>
        <v>99.621212772851081</v>
      </c>
      <c r="F469" cm="1">
        <f t="array" ref="F469">_xlfn.IFS(Table11[[#This Row],[Vehicle_Type]]="SUV",250,Table11[[#This Row],[Vehicle_Type]]="Sedan",200,Table11[[#This Row],[Vehicle_Type]]="Hatchback",185,Table11[[#This Row],[Vehicle_Type]]="Electric",190,Table11[[#This Row],[Vehicle_Type]]="Truck",150)</f>
        <v>200</v>
      </c>
      <c r="G469">
        <f t="shared" ca="1" si="7"/>
        <v>20</v>
      </c>
      <c r="H469" s="82">
        <f>Table11[[#This Row],[Daily_Production]]-Table11[[#This Row],[Forecasted_Units]]</f>
        <v>100.37878722714892</v>
      </c>
      <c r="I469" cm="1">
        <f t="array" ref="I469">_xlfn.IFS(Table11[[#This Row],[Vehicle_Type]]="SUV",5,Table11[[#This Row],[Vehicle_Type]]="Sedan",7,Table11[[#This Row],[Vehicle_Type]]="Hatchback",10,Table11[[#This Row],[Vehicle_Type]]="Electric",11,Table11[[#This Row],[Vehicle_Type]]="Truck",13)</f>
        <v>7</v>
      </c>
      <c r="J469">
        <f ca="1">Table11[[#This Row],[Daily_Production]]*Table11[[#This Row],[Working_Days]]</f>
        <v>4000</v>
      </c>
      <c r="K469" s="81">
        <f>Table11[[#This Row],[Forecasted_Units]]*0.1</f>
        <v>9.9621212772851084</v>
      </c>
      <c r="L469" s="82">
        <f>Table11[[#This Row],[Adjusted_Forecast]]+Table11[[#This Row],[Safety_Stock]]-Table11[[#This Row],[Inventory_On_Hand]]</f>
        <v>9.2045468229872682</v>
      </c>
      <c r="M469" s="82">
        <f ca="1">MIN(Table11[[#This Row],[Production_Needed]],Table11[[#This Row],[Production_Capacity]])</f>
        <v>9.2045468229872682</v>
      </c>
      <c r="N469" s="82">
        <f ca="1">MAX(Table11[[#This Row],[Production_Needed]]-Table11[[#This Row],[Planned_Production]],0)</f>
        <v>0</v>
      </c>
      <c r="O469" s="82">
        <f ca="1">Table11[[#This Row],[Inventory_On_Hand]]+Table11[[#This Row],[Planned_Production]]-Table11[[#This Row],[Forecasted_Units]]</f>
        <v>9.9621212772851067</v>
      </c>
      <c r="P469" cm="1">
        <f t="array" ref="P469">_xlfn.XLOOKUP(Table11[[#This Row],[Date]] &amp; Table11[[#This Row],[Vehicle_Type]], Table12[Date] &amp; Table12[Vehicle_Type],Table12[Feedback_Adjustment], 0)</f>
        <v>0</v>
      </c>
      <c r="Q469" s="82">
        <f>Table11[[#This Row],[Forecasted_Units]]*(1+Table11[[#This Row],[Adjustment_Percentage]])</f>
        <v>99.621212772851081</v>
      </c>
      <c r="R469" s="82"/>
    </row>
    <row r="470" spans="1:18">
      <c r="A470" s="53">
        <v>56045</v>
      </c>
      <c r="B470" s="14" t="s">
        <v>11</v>
      </c>
      <c r="C470" s="15" t="str">
        <f>TEXT(Table11[[#This Row],[Date]],"mmmm")</f>
        <v>June</v>
      </c>
      <c r="D470" s="14">
        <v>93</v>
      </c>
      <c r="E470" s="82">
        <f>_xlfn.FORECAST.LINEAR(Table11[[#This Row],[Date]],Table11[Units_Sold],Table11[Date])</f>
        <v>99.622376969507869</v>
      </c>
      <c r="F470" cm="1">
        <f t="array" ref="F470">_xlfn.IFS(Table11[[#This Row],[Vehicle_Type]]="SUV",250,Table11[[#This Row],[Vehicle_Type]]="Sedan",200,Table11[[#This Row],[Vehicle_Type]]="Hatchback",185,Table11[[#This Row],[Vehicle_Type]]="Electric",190,Table11[[#This Row],[Vehicle_Type]]="Truck",150)</f>
        <v>185</v>
      </c>
      <c r="G470">
        <f t="shared" ca="1" si="7"/>
        <v>22</v>
      </c>
      <c r="H470" s="82">
        <f>Table11[[#This Row],[Daily_Production]]-Table11[[#This Row],[Forecasted_Units]]</f>
        <v>85.377623030492131</v>
      </c>
      <c r="I470" cm="1">
        <f t="array" ref="I470">_xlfn.IFS(Table11[[#This Row],[Vehicle_Type]]="SUV",5,Table11[[#This Row],[Vehicle_Type]]="Sedan",7,Table11[[#This Row],[Vehicle_Type]]="Hatchback",10,Table11[[#This Row],[Vehicle_Type]]="Electric",11,Table11[[#This Row],[Vehicle_Type]]="Truck",13)</f>
        <v>10</v>
      </c>
      <c r="J470">
        <f ca="1">Table11[[#This Row],[Daily_Production]]*Table11[[#This Row],[Working_Days]]</f>
        <v>4070</v>
      </c>
      <c r="K470" s="81">
        <f>Table11[[#This Row],[Forecasted_Units]]*0.1</f>
        <v>9.9622376969507869</v>
      </c>
      <c r="L470" s="82">
        <f>Table11[[#This Row],[Adjusted_Forecast]]+Table11[[#This Row],[Safety_Stock]]-Table11[[#This Row],[Inventory_On_Hand]]</f>
        <v>24.206991635966531</v>
      </c>
      <c r="M470" s="82">
        <f ca="1">MIN(Table11[[#This Row],[Production_Needed]],Table11[[#This Row],[Production_Capacity]])</f>
        <v>24.206991635966531</v>
      </c>
      <c r="N470" s="82">
        <f ca="1">MAX(Table11[[#This Row],[Production_Needed]]-Table11[[#This Row],[Planned_Production]],0)</f>
        <v>0</v>
      </c>
      <c r="O470" s="82">
        <f ca="1">Table11[[#This Row],[Inventory_On_Hand]]+Table11[[#This Row],[Planned_Production]]-Table11[[#This Row],[Forecasted_Units]]</f>
        <v>9.962237696950794</v>
      </c>
      <c r="P470" cm="1">
        <f t="array" ref="P470">_xlfn.XLOOKUP(Table11[[#This Row],[Date]] &amp; Table11[[#This Row],[Vehicle_Type]], Table12[Date] &amp; Table12[Vehicle_Type],Table12[Feedback_Adjustment], 0)</f>
        <v>0</v>
      </c>
      <c r="Q470" s="82">
        <f>Table11[[#This Row],[Forecasted_Units]]*(1+Table11[[#This Row],[Adjustment_Percentage]])</f>
        <v>99.622376969507869</v>
      </c>
      <c r="R470" s="82"/>
    </row>
    <row r="471" spans="1:18">
      <c r="A471" s="54">
        <v>56075</v>
      </c>
      <c r="B471" s="15" t="s">
        <v>13</v>
      </c>
      <c r="C471" s="15" t="str">
        <f>TEXT(Table11[[#This Row],[Date]],"mmmm")</f>
        <v>July</v>
      </c>
      <c r="D471" s="15">
        <v>113</v>
      </c>
      <c r="E471" s="82">
        <f>_xlfn.FORECAST.LINEAR(Table11[[#This Row],[Date]],Table11[Units_Sold],Table11[Date])</f>
        <v>99.623541166164657</v>
      </c>
      <c r="F471" cm="1">
        <f t="array" ref="F471">_xlfn.IFS(Table11[[#This Row],[Vehicle_Type]]="SUV",250,Table11[[#This Row],[Vehicle_Type]]="Sedan",200,Table11[[#This Row],[Vehicle_Type]]="Hatchback",185,Table11[[#This Row],[Vehicle_Type]]="Electric",190,Table11[[#This Row],[Vehicle_Type]]="Truck",150)</f>
        <v>190</v>
      </c>
      <c r="G471">
        <f t="shared" ca="1" si="7"/>
        <v>25</v>
      </c>
      <c r="H471" s="82">
        <f>Table11[[#This Row],[Daily_Production]]-Table11[[#This Row],[Forecasted_Units]]</f>
        <v>90.376458833835343</v>
      </c>
      <c r="I471" cm="1">
        <f t="array" ref="I471">_xlfn.IFS(Table11[[#This Row],[Vehicle_Type]]="SUV",5,Table11[[#This Row],[Vehicle_Type]]="Sedan",7,Table11[[#This Row],[Vehicle_Type]]="Hatchback",10,Table11[[#This Row],[Vehicle_Type]]="Electric",11,Table11[[#This Row],[Vehicle_Type]]="Truck",13)</f>
        <v>11</v>
      </c>
      <c r="J471">
        <f ca="1">Table11[[#This Row],[Daily_Production]]*Table11[[#This Row],[Working_Days]]</f>
        <v>4750</v>
      </c>
      <c r="K471" s="81">
        <f>Table11[[#This Row],[Forecasted_Units]]*0.1</f>
        <v>9.9623541166164671</v>
      </c>
      <c r="L471" s="82">
        <f>Table11[[#This Row],[Adjusted_Forecast]]+Table11[[#This Row],[Safety_Stock]]-Table11[[#This Row],[Inventory_On_Hand]]</f>
        <v>19.20943644894578</v>
      </c>
      <c r="M471" s="82">
        <f ca="1">MIN(Table11[[#This Row],[Production_Needed]],Table11[[#This Row],[Production_Capacity]])</f>
        <v>19.20943644894578</v>
      </c>
      <c r="N471" s="82">
        <f ca="1">MAX(Table11[[#This Row],[Production_Needed]]-Table11[[#This Row],[Planned_Production]],0)</f>
        <v>0</v>
      </c>
      <c r="O471" s="82">
        <f ca="1">Table11[[#This Row],[Inventory_On_Hand]]+Table11[[#This Row],[Planned_Production]]-Table11[[#This Row],[Forecasted_Units]]</f>
        <v>9.9623541166164671</v>
      </c>
      <c r="P471" cm="1">
        <f t="array" ref="P471">_xlfn.XLOOKUP(Table11[[#This Row],[Date]] &amp; Table11[[#This Row],[Vehicle_Type]], Table12[Date] &amp; Table12[Vehicle_Type],Table12[Feedback_Adjustment], 0)</f>
        <v>0</v>
      </c>
      <c r="Q471" s="82">
        <f>Table11[[#This Row],[Forecasted_Units]]*(1+Table11[[#This Row],[Adjustment_Percentage]])</f>
        <v>99.623541166164657</v>
      </c>
      <c r="R471" s="82"/>
    </row>
    <row r="472" spans="1:18">
      <c r="A472" s="53">
        <v>56105</v>
      </c>
      <c r="B472" s="14" t="s">
        <v>11</v>
      </c>
      <c r="C472" s="15" t="str">
        <f>TEXT(Table11[[#This Row],[Date]],"mmmm")</f>
        <v>August</v>
      </c>
      <c r="D472" s="14">
        <v>105</v>
      </c>
      <c r="E472" s="82">
        <f>_xlfn.FORECAST.LINEAR(Table11[[#This Row],[Date]],Table11[Units_Sold],Table11[Date])</f>
        <v>99.624705362821445</v>
      </c>
      <c r="F472" cm="1">
        <f t="array" ref="F472">_xlfn.IFS(Table11[[#This Row],[Vehicle_Type]]="SUV",250,Table11[[#This Row],[Vehicle_Type]]="Sedan",200,Table11[[#This Row],[Vehicle_Type]]="Hatchback",185,Table11[[#This Row],[Vehicle_Type]]="Electric",190,Table11[[#This Row],[Vehicle_Type]]="Truck",150)</f>
        <v>185</v>
      </c>
      <c r="G472">
        <f t="shared" ca="1" si="7"/>
        <v>23</v>
      </c>
      <c r="H472" s="82">
        <f>Table11[[#This Row],[Daily_Production]]-Table11[[#This Row],[Forecasted_Units]]</f>
        <v>85.375294637178555</v>
      </c>
      <c r="I472" cm="1">
        <f t="array" ref="I472">_xlfn.IFS(Table11[[#This Row],[Vehicle_Type]]="SUV",5,Table11[[#This Row],[Vehicle_Type]]="Sedan",7,Table11[[#This Row],[Vehicle_Type]]="Hatchback",10,Table11[[#This Row],[Vehicle_Type]]="Electric",11,Table11[[#This Row],[Vehicle_Type]]="Truck",13)</f>
        <v>10</v>
      </c>
      <c r="J472">
        <f ca="1">Table11[[#This Row],[Daily_Production]]*Table11[[#This Row],[Working_Days]]</f>
        <v>4255</v>
      </c>
      <c r="K472" s="81">
        <f>Table11[[#This Row],[Forecasted_Units]]*0.1</f>
        <v>9.9624705362821455</v>
      </c>
      <c r="L472" s="82">
        <f>Table11[[#This Row],[Adjusted_Forecast]]+Table11[[#This Row],[Safety_Stock]]-Table11[[#This Row],[Inventory_On_Hand]]</f>
        <v>24.211881261925029</v>
      </c>
      <c r="M472" s="82">
        <f ca="1">MIN(Table11[[#This Row],[Production_Needed]],Table11[[#This Row],[Production_Capacity]])</f>
        <v>24.211881261925029</v>
      </c>
      <c r="N472" s="82">
        <f ca="1">MAX(Table11[[#This Row],[Production_Needed]]-Table11[[#This Row],[Planned_Production]],0)</f>
        <v>0</v>
      </c>
      <c r="O472" s="82">
        <f ca="1">Table11[[#This Row],[Inventory_On_Hand]]+Table11[[#This Row],[Planned_Production]]-Table11[[#This Row],[Forecasted_Units]]</f>
        <v>9.9624705362821402</v>
      </c>
      <c r="P472" cm="1">
        <f t="array" ref="P472">_xlfn.XLOOKUP(Table11[[#This Row],[Date]] &amp; Table11[[#This Row],[Vehicle_Type]], Table12[Date] &amp; Table12[Vehicle_Type],Table12[Feedback_Adjustment], 0)</f>
        <v>0</v>
      </c>
      <c r="Q472" s="82">
        <f>Table11[[#This Row],[Forecasted_Units]]*(1+Table11[[#This Row],[Adjustment_Percentage]])</f>
        <v>99.624705362821445</v>
      </c>
      <c r="R472" s="82"/>
    </row>
    <row r="473" spans="1:18">
      <c r="A473" s="54">
        <v>56135</v>
      </c>
      <c r="B473" s="15" t="s">
        <v>14</v>
      </c>
      <c r="C473" s="15" t="str">
        <f>TEXT(Table11[[#This Row],[Date]],"mmmm")</f>
        <v>September</v>
      </c>
      <c r="D473" s="15">
        <v>83</v>
      </c>
      <c r="E473" s="82">
        <f>_xlfn.FORECAST.LINEAR(Table11[[#This Row],[Date]],Table11[Units_Sold],Table11[Date])</f>
        <v>99.625869559478232</v>
      </c>
      <c r="F473" cm="1">
        <f t="array" ref="F473">_xlfn.IFS(Table11[[#This Row],[Vehicle_Type]]="SUV",250,Table11[[#This Row],[Vehicle_Type]]="Sedan",200,Table11[[#This Row],[Vehicle_Type]]="Hatchback",185,Table11[[#This Row],[Vehicle_Type]]="Electric",190,Table11[[#This Row],[Vehicle_Type]]="Truck",150)</f>
        <v>150</v>
      </c>
      <c r="G473">
        <f t="shared" ca="1" si="7"/>
        <v>21</v>
      </c>
      <c r="H473" s="82">
        <f>Table11[[#This Row],[Daily_Production]]-Table11[[#This Row],[Forecasted_Units]]</f>
        <v>50.374130440521768</v>
      </c>
      <c r="I473" cm="1">
        <f t="array" ref="I473">_xlfn.IFS(Table11[[#This Row],[Vehicle_Type]]="SUV",5,Table11[[#This Row],[Vehicle_Type]]="Sedan",7,Table11[[#This Row],[Vehicle_Type]]="Hatchback",10,Table11[[#This Row],[Vehicle_Type]]="Electric",11,Table11[[#This Row],[Vehicle_Type]]="Truck",13)</f>
        <v>13</v>
      </c>
      <c r="J473">
        <f ca="1">Table11[[#This Row],[Daily_Production]]*Table11[[#This Row],[Working_Days]]</f>
        <v>3150</v>
      </c>
      <c r="K473" s="81">
        <f>Table11[[#This Row],[Forecasted_Units]]*0.1</f>
        <v>9.962586955947824</v>
      </c>
      <c r="L473" s="82">
        <f>Table11[[#This Row],[Adjusted_Forecast]]+Table11[[#This Row],[Safety_Stock]]-Table11[[#This Row],[Inventory_On_Hand]]</f>
        <v>59.214326074904292</v>
      </c>
      <c r="M473" s="82">
        <f ca="1">MIN(Table11[[#This Row],[Production_Needed]],Table11[[#This Row],[Production_Capacity]])</f>
        <v>59.214326074904292</v>
      </c>
      <c r="N473" s="82">
        <f ca="1">MAX(Table11[[#This Row],[Production_Needed]]-Table11[[#This Row],[Planned_Production]],0)</f>
        <v>0</v>
      </c>
      <c r="O473" s="82">
        <f ca="1">Table11[[#This Row],[Inventory_On_Hand]]+Table11[[#This Row],[Planned_Production]]-Table11[[#This Row],[Forecasted_Units]]</f>
        <v>9.9625869559478275</v>
      </c>
      <c r="P473" cm="1">
        <f t="array" ref="P473">_xlfn.XLOOKUP(Table11[[#This Row],[Date]] &amp; Table11[[#This Row],[Vehicle_Type]], Table12[Date] &amp; Table12[Vehicle_Type],Table12[Feedback_Adjustment], 0)</f>
        <v>0</v>
      </c>
      <c r="Q473" s="82">
        <f>Table11[[#This Row],[Forecasted_Units]]*(1+Table11[[#This Row],[Adjustment_Percentage]])</f>
        <v>99.625869559478232</v>
      </c>
      <c r="R473" s="82"/>
    </row>
    <row r="474" spans="1:18">
      <c r="A474" s="53">
        <v>56165</v>
      </c>
      <c r="B474" s="14" t="s">
        <v>11</v>
      </c>
      <c r="C474" s="15" t="str">
        <f>TEXT(Table11[[#This Row],[Date]],"mmmm")</f>
        <v>October</v>
      </c>
      <c r="D474" s="14">
        <v>96</v>
      </c>
      <c r="E474" s="82">
        <f>_xlfn.FORECAST.LINEAR(Table11[[#This Row],[Date]],Table11[Units_Sold],Table11[Date])</f>
        <v>99.62703375613502</v>
      </c>
      <c r="F474" cm="1">
        <f t="array" ref="F474">_xlfn.IFS(Table11[[#This Row],[Vehicle_Type]]="SUV",250,Table11[[#This Row],[Vehicle_Type]]="Sedan",200,Table11[[#This Row],[Vehicle_Type]]="Hatchback",185,Table11[[#This Row],[Vehicle_Type]]="Electric",190,Table11[[#This Row],[Vehicle_Type]]="Truck",150)</f>
        <v>185</v>
      </c>
      <c r="G474">
        <f t="shared" ca="1" si="7"/>
        <v>24</v>
      </c>
      <c r="H474" s="82">
        <f>Table11[[#This Row],[Daily_Production]]-Table11[[#This Row],[Forecasted_Units]]</f>
        <v>85.37296624386498</v>
      </c>
      <c r="I474" cm="1">
        <f t="array" ref="I474">_xlfn.IFS(Table11[[#This Row],[Vehicle_Type]]="SUV",5,Table11[[#This Row],[Vehicle_Type]]="Sedan",7,Table11[[#This Row],[Vehicle_Type]]="Hatchback",10,Table11[[#This Row],[Vehicle_Type]]="Electric",11,Table11[[#This Row],[Vehicle_Type]]="Truck",13)</f>
        <v>10</v>
      </c>
      <c r="J474">
        <f ca="1">Table11[[#This Row],[Daily_Production]]*Table11[[#This Row],[Working_Days]]</f>
        <v>4440</v>
      </c>
      <c r="K474" s="81">
        <f>Table11[[#This Row],[Forecasted_Units]]*0.1</f>
        <v>9.9627033756135024</v>
      </c>
      <c r="L474" s="82">
        <f>Table11[[#This Row],[Adjusted_Forecast]]+Table11[[#This Row],[Safety_Stock]]-Table11[[#This Row],[Inventory_On_Hand]]</f>
        <v>24.216770887883541</v>
      </c>
      <c r="M474" s="82">
        <f ca="1">MIN(Table11[[#This Row],[Production_Needed]],Table11[[#This Row],[Production_Capacity]])</f>
        <v>24.216770887883541</v>
      </c>
      <c r="N474" s="82">
        <f ca="1">MAX(Table11[[#This Row],[Production_Needed]]-Table11[[#This Row],[Planned_Production]],0)</f>
        <v>0</v>
      </c>
      <c r="O474" s="82">
        <f ca="1">Table11[[#This Row],[Inventory_On_Hand]]+Table11[[#This Row],[Planned_Production]]-Table11[[#This Row],[Forecasted_Units]]</f>
        <v>9.9627033756135006</v>
      </c>
      <c r="P474" cm="1">
        <f t="array" ref="P474">_xlfn.XLOOKUP(Table11[[#This Row],[Date]] &amp; Table11[[#This Row],[Vehicle_Type]], Table12[Date] &amp; Table12[Vehicle_Type],Table12[Feedback_Adjustment], 0)</f>
        <v>0</v>
      </c>
      <c r="Q474" s="82">
        <f>Table11[[#This Row],[Forecasted_Units]]*(1+Table11[[#This Row],[Adjustment_Percentage]])</f>
        <v>99.62703375613502</v>
      </c>
      <c r="R474" s="82"/>
    </row>
    <row r="475" spans="1:18">
      <c r="A475" s="54">
        <v>56195</v>
      </c>
      <c r="B475" s="15" t="s">
        <v>14</v>
      </c>
      <c r="C475" s="15" t="str">
        <f>TEXT(Table11[[#This Row],[Date]],"mmmm")</f>
        <v>November</v>
      </c>
      <c r="D475" s="15">
        <v>107</v>
      </c>
      <c r="E475" s="82">
        <f>_xlfn.FORECAST.LINEAR(Table11[[#This Row],[Date]],Table11[Units_Sold],Table11[Date])</f>
        <v>99.628197952791808</v>
      </c>
      <c r="F475" cm="1">
        <f t="array" ref="F475">_xlfn.IFS(Table11[[#This Row],[Vehicle_Type]]="SUV",250,Table11[[#This Row],[Vehicle_Type]]="Sedan",200,Table11[[#This Row],[Vehicle_Type]]="Hatchback",185,Table11[[#This Row],[Vehicle_Type]]="Electric",190,Table11[[#This Row],[Vehicle_Type]]="Truck",150)</f>
        <v>150</v>
      </c>
      <c r="G475">
        <f t="shared" ca="1" si="7"/>
        <v>24</v>
      </c>
      <c r="H475" s="82">
        <f>Table11[[#This Row],[Daily_Production]]-Table11[[#This Row],[Forecasted_Units]]</f>
        <v>50.371802047208192</v>
      </c>
      <c r="I475" cm="1">
        <f t="array" ref="I475">_xlfn.IFS(Table11[[#This Row],[Vehicle_Type]]="SUV",5,Table11[[#This Row],[Vehicle_Type]]="Sedan",7,Table11[[#This Row],[Vehicle_Type]]="Hatchback",10,Table11[[#This Row],[Vehicle_Type]]="Electric",11,Table11[[#This Row],[Vehicle_Type]]="Truck",13)</f>
        <v>13</v>
      </c>
      <c r="J475">
        <f ca="1">Table11[[#This Row],[Daily_Production]]*Table11[[#This Row],[Working_Days]]</f>
        <v>3600</v>
      </c>
      <c r="K475" s="81">
        <f>Table11[[#This Row],[Forecasted_Units]]*0.1</f>
        <v>9.9628197952791808</v>
      </c>
      <c r="L475" s="82">
        <f>Table11[[#This Row],[Adjusted_Forecast]]+Table11[[#This Row],[Safety_Stock]]-Table11[[#This Row],[Inventory_On_Hand]]</f>
        <v>59.21921570086279</v>
      </c>
      <c r="M475" s="82">
        <f ca="1">MIN(Table11[[#This Row],[Production_Needed]],Table11[[#This Row],[Production_Capacity]])</f>
        <v>59.21921570086279</v>
      </c>
      <c r="N475" s="82">
        <f ca="1">MAX(Table11[[#This Row],[Production_Needed]]-Table11[[#This Row],[Planned_Production]],0)</f>
        <v>0</v>
      </c>
      <c r="O475" s="82">
        <f ca="1">Table11[[#This Row],[Inventory_On_Hand]]+Table11[[#This Row],[Planned_Production]]-Table11[[#This Row],[Forecasted_Units]]</f>
        <v>9.9628197952791737</v>
      </c>
      <c r="P475" cm="1">
        <f t="array" ref="P475">_xlfn.XLOOKUP(Table11[[#This Row],[Date]] &amp; Table11[[#This Row],[Vehicle_Type]], Table12[Date] &amp; Table12[Vehicle_Type],Table12[Feedback_Adjustment], 0)</f>
        <v>0</v>
      </c>
      <c r="Q475" s="82">
        <f>Table11[[#This Row],[Forecasted_Units]]*(1+Table11[[#This Row],[Adjustment_Percentage]])</f>
        <v>99.628197952791808</v>
      </c>
      <c r="R475" s="82"/>
    </row>
    <row r="476" spans="1:18">
      <c r="A476" s="53">
        <v>56225</v>
      </c>
      <c r="B476" s="14" t="s">
        <v>11</v>
      </c>
      <c r="C476" s="15" t="str">
        <f>TEXT(Table11[[#This Row],[Date]],"mmmm")</f>
        <v>December</v>
      </c>
      <c r="D476" s="14">
        <v>83</v>
      </c>
      <c r="E476" s="82">
        <f>_xlfn.FORECAST.LINEAR(Table11[[#This Row],[Date]],Table11[Units_Sold],Table11[Date])</f>
        <v>99.629362149448596</v>
      </c>
      <c r="F476" cm="1">
        <f t="array" ref="F476">_xlfn.IFS(Table11[[#This Row],[Vehicle_Type]]="SUV",250,Table11[[#This Row],[Vehicle_Type]]="Sedan",200,Table11[[#This Row],[Vehicle_Type]]="Hatchback",185,Table11[[#This Row],[Vehicle_Type]]="Electric",190,Table11[[#This Row],[Vehicle_Type]]="Truck",150)</f>
        <v>185</v>
      </c>
      <c r="G476">
        <f t="shared" ca="1" si="7"/>
        <v>22</v>
      </c>
      <c r="H476" s="82">
        <f>Table11[[#This Row],[Daily_Production]]-Table11[[#This Row],[Forecasted_Units]]</f>
        <v>85.370637850551404</v>
      </c>
      <c r="I476" cm="1">
        <f t="array" ref="I476">_xlfn.IFS(Table11[[#This Row],[Vehicle_Type]]="SUV",5,Table11[[#This Row],[Vehicle_Type]]="Sedan",7,Table11[[#This Row],[Vehicle_Type]]="Hatchback",10,Table11[[#This Row],[Vehicle_Type]]="Electric",11,Table11[[#This Row],[Vehicle_Type]]="Truck",13)</f>
        <v>10</v>
      </c>
      <c r="J476">
        <f ca="1">Table11[[#This Row],[Daily_Production]]*Table11[[#This Row],[Working_Days]]</f>
        <v>4070</v>
      </c>
      <c r="K476" s="81">
        <f>Table11[[#This Row],[Forecasted_Units]]*0.1</f>
        <v>9.962936214944861</v>
      </c>
      <c r="L476" s="82">
        <f>Table11[[#This Row],[Adjusted_Forecast]]+Table11[[#This Row],[Safety_Stock]]-Table11[[#This Row],[Inventory_On_Hand]]</f>
        <v>24.221660513842053</v>
      </c>
      <c r="M476" s="82">
        <f ca="1">MIN(Table11[[#This Row],[Production_Needed]],Table11[[#This Row],[Production_Capacity]])</f>
        <v>24.221660513842053</v>
      </c>
      <c r="N476" s="82">
        <f ca="1">MAX(Table11[[#This Row],[Production_Needed]]-Table11[[#This Row],[Planned_Production]],0)</f>
        <v>0</v>
      </c>
      <c r="O476" s="82">
        <f ca="1">Table11[[#This Row],[Inventory_On_Hand]]+Table11[[#This Row],[Planned_Production]]-Table11[[#This Row],[Forecasted_Units]]</f>
        <v>9.962936214944861</v>
      </c>
      <c r="P476" cm="1">
        <f t="array" ref="P476">_xlfn.XLOOKUP(Table11[[#This Row],[Date]] &amp; Table11[[#This Row],[Vehicle_Type]], Table12[Date] &amp; Table12[Vehicle_Type],Table12[Feedback_Adjustment], 0)</f>
        <v>0</v>
      </c>
      <c r="Q476" s="82">
        <f>Table11[[#This Row],[Forecasted_Units]]*(1+Table11[[#This Row],[Adjustment_Percentage]])</f>
        <v>99.629362149448596</v>
      </c>
      <c r="R476" s="82"/>
    </row>
    <row r="477" spans="1:18">
      <c r="A477" s="54">
        <v>56255</v>
      </c>
      <c r="B477" s="15" t="s">
        <v>13</v>
      </c>
      <c r="C477" s="15" t="str">
        <f>TEXT(Table11[[#This Row],[Date]],"mmmm")</f>
        <v>January</v>
      </c>
      <c r="D477" s="15">
        <v>105</v>
      </c>
      <c r="E477" s="82">
        <f>_xlfn.FORECAST.LINEAR(Table11[[#This Row],[Date]],Table11[Units_Sold],Table11[Date])</f>
        <v>99.630526346105384</v>
      </c>
      <c r="F477" cm="1">
        <f t="array" ref="F477">_xlfn.IFS(Table11[[#This Row],[Vehicle_Type]]="SUV",250,Table11[[#This Row],[Vehicle_Type]]="Sedan",200,Table11[[#This Row],[Vehicle_Type]]="Hatchback",185,Table11[[#This Row],[Vehicle_Type]]="Electric",190,Table11[[#This Row],[Vehicle_Type]]="Truck",150)</f>
        <v>190</v>
      </c>
      <c r="G477">
        <f t="shared" ca="1" si="7"/>
        <v>24</v>
      </c>
      <c r="H477" s="82">
        <f>Table11[[#This Row],[Daily_Production]]-Table11[[#This Row],[Forecasted_Units]]</f>
        <v>90.369473653894616</v>
      </c>
      <c r="I477" cm="1">
        <f t="array" ref="I477">_xlfn.IFS(Table11[[#This Row],[Vehicle_Type]]="SUV",5,Table11[[#This Row],[Vehicle_Type]]="Sedan",7,Table11[[#This Row],[Vehicle_Type]]="Hatchback",10,Table11[[#This Row],[Vehicle_Type]]="Electric",11,Table11[[#This Row],[Vehicle_Type]]="Truck",13)</f>
        <v>11</v>
      </c>
      <c r="J477">
        <f ca="1">Table11[[#This Row],[Daily_Production]]*Table11[[#This Row],[Working_Days]]</f>
        <v>4560</v>
      </c>
      <c r="K477" s="81">
        <f>Table11[[#This Row],[Forecasted_Units]]*0.1</f>
        <v>9.9630526346105395</v>
      </c>
      <c r="L477" s="82">
        <f>Table11[[#This Row],[Adjusted_Forecast]]+Table11[[#This Row],[Safety_Stock]]-Table11[[#This Row],[Inventory_On_Hand]]</f>
        <v>19.224105326821302</v>
      </c>
      <c r="M477" s="82">
        <f ca="1">MIN(Table11[[#This Row],[Production_Needed]],Table11[[#This Row],[Production_Capacity]])</f>
        <v>19.224105326821302</v>
      </c>
      <c r="N477" s="82">
        <f ca="1">MAX(Table11[[#This Row],[Production_Needed]]-Table11[[#This Row],[Planned_Production]],0)</f>
        <v>0</v>
      </c>
      <c r="O477" s="82">
        <f ca="1">Table11[[#This Row],[Inventory_On_Hand]]+Table11[[#This Row],[Planned_Production]]-Table11[[#This Row],[Forecasted_Units]]</f>
        <v>9.9630526346105341</v>
      </c>
      <c r="P477" cm="1">
        <f t="array" ref="P477">_xlfn.XLOOKUP(Table11[[#This Row],[Date]] &amp; Table11[[#This Row],[Vehicle_Type]], Table12[Date] &amp; Table12[Vehicle_Type],Table12[Feedback_Adjustment], 0)</f>
        <v>0</v>
      </c>
      <c r="Q477" s="82">
        <f>Table11[[#This Row],[Forecasted_Units]]*(1+Table11[[#This Row],[Adjustment_Percentage]])</f>
        <v>99.630526346105384</v>
      </c>
      <c r="R477" s="82"/>
    </row>
    <row r="478" spans="1:18">
      <c r="A478" s="53">
        <v>56285</v>
      </c>
      <c r="B478" s="14" t="s">
        <v>12</v>
      </c>
      <c r="C478" s="15" t="str">
        <f>TEXT(Table11[[#This Row],[Date]],"mmmm")</f>
        <v>February</v>
      </c>
      <c r="D478" s="14">
        <v>112</v>
      </c>
      <c r="E478" s="82">
        <f>_xlfn.FORECAST.LINEAR(Table11[[#This Row],[Date]],Table11[Units_Sold],Table11[Date])</f>
        <v>99.631690542762158</v>
      </c>
      <c r="F478" cm="1">
        <f t="array" ref="F478">_xlfn.IFS(Table11[[#This Row],[Vehicle_Type]]="SUV",250,Table11[[#This Row],[Vehicle_Type]]="Sedan",200,Table11[[#This Row],[Vehicle_Type]]="Hatchback",185,Table11[[#This Row],[Vehicle_Type]]="Electric",190,Table11[[#This Row],[Vehicle_Type]]="Truck",150)</f>
        <v>250</v>
      </c>
      <c r="G478">
        <f t="shared" ca="1" si="7"/>
        <v>22</v>
      </c>
      <c r="H478" s="82">
        <f>Table11[[#This Row],[Daily_Production]]-Table11[[#This Row],[Forecasted_Units]]</f>
        <v>150.36830945723784</v>
      </c>
      <c r="I478" cm="1">
        <f t="array" ref="I478">_xlfn.IFS(Table11[[#This Row],[Vehicle_Type]]="SUV",5,Table11[[#This Row],[Vehicle_Type]]="Sedan",7,Table11[[#This Row],[Vehicle_Type]]="Hatchback",10,Table11[[#This Row],[Vehicle_Type]]="Electric",11,Table11[[#This Row],[Vehicle_Type]]="Truck",13)</f>
        <v>5</v>
      </c>
      <c r="J478">
        <f ca="1">Table11[[#This Row],[Daily_Production]]*Table11[[#This Row],[Working_Days]]</f>
        <v>5500</v>
      </c>
      <c r="K478" s="81">
        <f>Table11[[#This Row],[Forecasted_Units]]*0.1</f>
        <v>9.9631690542762161</v>
      </c>
      <c r="L478" s="82">
        <f>Table11[[#This Row],[Adjusted_Forecast]]+Table11[[#This Row],[Safety_Stock]]-Table11[[#This Row],[Inventory_On_Hand]]</f>
        <v>-40.773449860199463</v>
      </c>
      <c r="M478" s="82">
        <f ca="1">MIN(Table11[[#This Row],[Production_Needed]],Table11[[#This Row],[Production_Capacity]])</f>
        <v>-40.773449860199463</v>
      </c>
      <c r="N478" s="82">
        <f ca="1">MAX(Table11[[#This Row],[Production_Needed]]-Table11[[#This Row],[Planned_Production]],0)</f>
        <v>0</v>
      </c>
      <c r="O478" s="82">
        <f ca="1">Table11[[#This Row],[Inventory_On_Hand]]+Table11[[#This Row],[Planned_Production]]-Table11[[#This Row],[Forecasted_Units]]</f>
        <v>9.9631690542762215</v>
      </c>
      <c r="P478" cm="1">
        <f t="array" ref="P478">_xlfn.XLOOKUP(Table11[[#This Row],[Date]] &amp; Table11[[#This Row],[Vehicle_Type]], Table12[Date] &amp; Table12[Vehicle_Type],Table12[Feedback_Adjustment], 0)</f>
        <v>0</v>
      </c>
      <c r="Q478" s="82">
        <f>Table11[[#This Row],[Forecasted_Units]]*(1+Table11[[#This Row],[Adjustment_Percentage]])</f>
        <v>99.631690542762158</v>
      </c>
      <c r="R478" s="82"/>
    </row>
    <row r="479" spans="1:18">
      <c r="A479" s="54">
        <v>56315</v>
      </c>
      <c r="B479" s="15" t="s">
        <v>12</v>
      </c>
      <c r="C479" s="15" t="str">
        <f>TEXT(Table11[[#This Row],[Date]],"mmmm")</f>
        <v>March</v>
      </c>
      <c r="D479" s="15">
        <v>99</v>
      </c>
      <c r="E479" s="82">
        <f>_xlfn.FORECAST.LINEAR(Table11[[#This Row],[Date]],Table11[Units_Sold],Table11[Date])</f>
        <v>99.632854739418946</v>
      </c>
      <c r="F479" cm="1">
        <f t="array" ref="F479">_xlfn.IFS(Table11[[#This Row],[Vehicle_Type]]="SUV",250,Table11[[#This Row],[Vehicle_Type]]="Sedan",200,Table11[[#This Row],[Vehicle_Type]]="Hatchback",185,Table11[[#This Row],[Vehicle_Type]]="Electric",190,Table11[[#This Row],[Vehicle_Type]]="Truck",150)</f>
        <v>250</v>
      </c>
      <c r="G479">
        <f t="shared" ca="1" si="7"/>
        <v>21</v>
      </c>
      <c r="H479" s="82">
        <f>Table11[[#This Row],[Daily_Production]]-Table11[[#This Row],[Forecasted_Units]]</f>
        <v>150.36714526058105</v>
      </c>
      <c r="I479" cm="1">
        <f t="array" ref="I479">_xlfn.IFS(Table11[[#This Row],[Vehicle_Type]]="SUV",5,Table11[[#This Row],[Vehicle_Type]]="Sedan",7,Table11[[#This Row],[Vehicle_Type]]="Hatchback",10,Table11[[#This Row],[Vehicle_Type]]="Electric",11,Table11[[#This Row],[Vehicle_Type]]="Truck",13)</f>
        <v>5</v>
      </c>
      <c r="J479">
        <f ca="1">Table11[[#This Row],[Daily_Production]]*Table11[[#This Row],[Working_Days]]</f>
        <v>5250</v>
      </c>
      <c r="K479" s="81">
        <f>Table11[[#This Row],[Forecasted_Units]]*0.1</f>
        <v>9.9632854739418946</v>
      </c>
      <c r="L479" s="82">
        <f>Table11[[#This Row],[Adjusted_Forecast]]+Table11[[#This Row],[Safety_Stock]]-Table11[[#This Row],[Inventory_On_Hand]]</f>
        <v>-40.771005047220214</v>
      </c>
      <c r="M479" s="82">
        <f ca="1">MIN(Table11[[#This Row],[Production_Needed]],Table11[[#This Row],[Production_Capacity]])</f>
        <v>-40.771005047220214</v>
      </c>
      <c r="N479" s="82">
        <f ca="1">MAX(Table11[[#This Row],[Production_Needed]]-Table11[[#This Row],[Planned_Production]],0)</f>
        <v>0</v>
      </c>
      <c r="O479" s="82">
        <f ca="1">Table11[[#This Row],[Inventory_On_Hand]]+Table11[[#This Row],[Planned_Production]]-Table11[[#This Row],[Forecasted_Units]]</f>
        <v>9.9632854739418946</v>
      </c>
      <c r="P479" cm="1">
        <f t="array" ref="P479">_xlfn.XLOOKUP(Table11[[#This Row],[Date]] &amp; Table11[[#This Row],[Vehicle_Type]], Table12[Date] &amp; Table12[Vehicle_Type],Table12[Feedback_Adjustment], 0)</f>
        <v>0</v>
      </c>
      <c r="Q479" s="82">
        <f>Table11[[#This Row],[Forecasted_Units]]*(1+Table11[[#This Row],[Adjustment_Percentage]])</f>
        <v>99.632854739418946</v>
      </c>
      <c r="R479" s="82"/>
    </row>
    <row r="480" spans="1:18">
      <c r="A480" s="53">
        <v>56345</v>
      </c>
      <c r="B480" s="14" t="s">
        <v>14</v>
      </c>
      <c r="C480" s="15" t="str">
        <f>TEXT(Table11[[#This Row],[Date]],"mmmm")</f>
        <v>April</v>
      </c>
      <c r="D480" s="14">
        <v>111</v>
      </c>
      <c r="E480" s="82">
        <f>_xlfn.FORECAST.LINEAR(Table11[[#This Row],[Date]],Table11[Units_Sold],Table11[Date])</f>
        <v>99.634018936075734</v>
      </c>
      <c r="F480" cm="1">
        <f t="array" ref="F480">_xlfn.IFS(Table11[[#This Row],[Vehicle_Type]]="SUV",250,Table11[[#This Row],[Vehicle_Type]]="Sedan",200,Table11[[#This Row],[Vehicle_Type]]="Hatchback",185,Table11[[#This Row],[Vehicle_Type]]="Electric",190,Table11[[#This Row],[Vehicle_Type]]="Truck",150)</f>
        <v>150</v>
      </c>
      <c r="G480">
        <f t="shared" ca="1" si="7"/>
        <v>25</v>
      </c>
      <c r="H480" s="82">
        <f>Table11[[#This Row],[Daily_Production]]-Table11[[#This Row],[Forecasted_Units]]</f>
        <v>50.365981063924266</v>
      </c>
      <c r="I480" cm="1">
        <f t="array" ref="I480">_xlfn.IFS(Table11[[#This Row],[Vehicle_Type]]="SUV",5,Table11[[#This Row],[Vehicle_Type]]="Sedan",7,Table11[[#This Row],[Vehicle_Type]]="Hatchback",10,Table11[[#This Row],[Vehicle_Type]]="Electric",11,Table11[[#This Row],[Vehicle_Type]]="Truck",13)</f>
        <v>13</v>
      </c>
      <c r="J480">
        <f ca="1">Table11[[#This Row],[Daily_Production]]*Table11[[#This Row],[Working_Days]]</f>
        <v>3750</v>
      </c>
      <c r="K480" s="81">
        <f>Table11[[#This Row],[Forecasted_Units]]*0.1</f>
        <v>9.9634018936075748</v>
      </c>
      <c r="L480" s="82">
        <f>Table11[[#This Row],[Adjusted_Forecast]]+Table11[[#This Row],[Safety_Stock]]-Table11[[#This Row],[Inventory_On_Hand]]</f>
        <v>59.231439765759035</v>
      </c>
      <c r="M480" s="82">
        <f ca="1">MIN(Table11[[#This Row],[Production_Needed]],Table11[[#This Row],[Production_Capacity]])</f>
        <v>59.231439765759035</v>
      </c>
      <c r="N480" s="82">
        <f ca="1">MAX(Table11[[#This Row],[Production_Needed]]-Table11[[#This Row],[Planned_Production]],0)</f>
        <v>0</v>
      </c>
      <c r="O480" s="82">
        <f ca="1">Table11[[#This Row],[Inventory_On_Hand]]+Table11[[#This Row],[Planned_Production]]-Table11[[#This Row],[Forecasted_Units]]</f>
        <v>9.9634018936075677</v>
      </c>
      <c r="P480" cm="1">
        <f t="array" ref="P480">_xlfn.XLOOKUP(Table11[[#This Row],[Date]] &amp; Table11[[#This Row],[Vehicle_Type]], Table12[Date] &amp; Table12[Vehicle_Type],Table12[Feedback_Adjustment], 0)</f>
        <v>0</v>
      </c>
      <c r="Q480" s="82">
        <f>Table11[[#This Row],[Forecasted_Units]]*(1+Table11[[#This Row],[Adjustment_Percentage]])</f>
        <v>99.634018936075734</v>
      </c>
      <c r="R480" s="82"/>
    </row>
    <row r="481" spans="1:18">
      <c r="A481" s="54">
        <v>56375</v>
      </c>
      <c r="B481" s="15" t="s">
        <v>14</v>
      </c>
      <c r="C481" s="15" t="str">
        <f>TEXT(Table11[[#This Row],[Date]],"mmmm")</f>
        <v>May</v>
      </c>
      <c r="D481" s="15">
        <v>105</v>
      </c>
      <c r="E481" s="82">
        <f>_xlfn.FORECAST.LINEAR(Table11[[#This Row],[Date]],Table11[Units_Sold],Table11[Date])</f>
        <v>99.635183132732521</v>
      </c>
      <c r="F481" cm="1">
        <f t="array" ref="F481">_xlfn.IFS(Table11[[#This Row],[Vehicle_Type]]="SUV",250,Table11[[#This Row],[Vehicle_Type]]="Sedan",200,Table11[[#This Row],[Vehicle_Type]]="Hatchback",185,Table11[[#This Row],[Vehicle_Type]]="Electric",190,Table11[[#This Row],[Vehicle_Type]]="Truck",150)</f>
        <v>150</v>
      </c>
      <c r="G481">
        <f t="shared" ca="1" si="7"/>
        <v>21</v>
      </c>
      <c r="H481" s="82">
        <f>Table11[[#This Row],[Daily_Production]]-Table11[[#This Row],[Forecasted_Units]]</f>
        <v>50.364816867267479</v>
      </c>
      <c r="I481" cm="1">
        <f t="array" ref="I481">_xlfn.IFS(Table11[[#This Row],[Vehicle_Type]]="SUV",5,Table11[[#This Row],[Vehicle_Type]]="Sedan",7,Table11[[#This Row],[Vehicle_Type]]="Hatchback",10,Table11[[#This Row],[Vehicle_Type]]="Electric",11,Table11[[#This Row],[Vehicle_Type]]="Truck",13)</f>
        <v>13</v>
      </c>
      <c r="J481">
        <f ca="1">Table11[[#This Row],[Daily_Production]]*Table11[[#This Row],[Working_Days]]</f>
        <v>3150</v>
      </c>
      <c r="K481" s="81">
        <f>Table11[[#This Row],[Forecasted_Units]]*0.1</f>
        <v>9.9635183132732532</v>
      </c>
      <c r="L481" s="82">
        <f>Table11[[#This Row],[Adjusted_Forecast]]+Table11[[#This Row],[Safety_Stock]]-Table11[[#This Row],[Inventory_On_Hand]]</f>
        <v>59.233884578738298</v>
      </c>
      <c r="M481" s="82">
        <f ca="1">MIN(Table11[[#This Row],[Production_Needed]],Table11[[#This Row],[Production_Capacity]])</f>
        <v>59.233884578738298</v>
      </c>
      <c r="N481" s="82">
        <f ca="1">MAX(Table11[[#This Row],[Production_Needed]]-Table11[[#This Row],[Planned_Production]],0)</f>
        <v>0</v>
      </c>
      <c r="O481" s="82">
        <f ca="1">Table11[[#This Row],[Inventory_On_Hand]]+Table11[[#This Row],[Planned_Production]]-Table11[[#This Row],[Forecasted_Units]]</f>
        <v>9.963518313273255</v>
      </c>
      <c r="P481" cm="1">
        <f t="array" ref="P481">_xlfn.XLOOKUP(Table11[[#This Row],[Date]] &amp; Table11[[#This Row],[Vehicle_Type]], Table12[Date] &amp; Table12[Vehicle_Type],Table12[Feedback_Adjustment], 0)</f>
        <v>0</v>
      </c>
      <c r="Q481" s="82">
        <f>Table11[[#This Row],[Forecasted_Units]]*(1+Table11[[#This Row],[Adjustment_Percentage]])</f>
        <v>99.635183132732521</v>
      </c>
      <c r="R481" s="82"/>
    </row>
    <row r="482" spans="1:18">
      <c r="A482" s="53">
        <v>56405</v>
      </c>
      <c r="B482" s="14" t="s">
        <v>12</v>
      </c>
      <c r="C482" s="15" t="str">
        <f>TEXT(Table11[[#This Row],[Date]],"mmmm")</f>
        <v>June</v>
      </c>
      <c r="D482" s="14">
        <v>93</v>
      </c>
      <c r="E482" s="82">
        <f>_xlfn.FORECAST.LINEAR(Table11[[#This Row],[Date]],Table11[Units_Sold],Table11[Date])</f>
        <v>99.636347329389309</v>
      </c>
      <c r="F482" cm="1">
        <f t="array" ref="F482">_xlfn.IFS(Table11[[#This Row],[Vehicle_Type]]="SUV",250,Table11[[#This Row],[Vehicle_Type]]="Sedan",200,Table11[[#This Row],[Vehicle_Type]]="Hatchback",185,Table11[[#This Row],[Vehicle_Type]]="Electric",190,Table11[[#This Row],[Vehicle_Type]]="Truck",150)</f>
        <v>250</v>
      </c>
      <c r="G482">
        <f t="shared" ca="1" si="7"/>
        <v>22</v>
      </c>
      <c r="H482" s="82">
        <f>Table11[[#This Row],[Daily_Production]]-Table11[[#This Row],[Forecasted_Units]]</f>
        <v>150.36365267061069</v>
      </c>
      <c r="I482" cm="1">
        <f t="array" ref="I482">_xlfn.IFS(Table11[[#This Row],[Vehicle_Type]]="SUV",5,Table11[[#This Row],[Vehicle_Type]]="Sedan",7,Table11[[#This Row],[Vehicle_Type]]="Hatchback",10,Table11[[#This Row],[Vehicle_Type]]="Electric",11,Table11[[#This Row],[Vehicle_Type]]="Truck",13)</f>
        <v>5</v>
      </c>
      <c r="J482">
        <f ca="1">Table11[[#This Row],[Daily_Production]]*Table11[[#This Row],[Working_Days]]</f>
        <v>5500</v>
      </c>
      <c r="K482" s="81">
        <f>Table11[[#This Row],[Forecasted_Units]]*0.1</f>
        <v>9.9636347329389316</v>
      </c>
      <c r="L482" s="82">
        <f>Table11[[#This Row],[Adjusted_Forecast]]+Table11[[#This Row],[Safety_Stock]]-Table11[[#This Row],[Inventory_On_Hand]]</f>
        <v>-40.763670608282453</v>
      </c>
      <c r="M482" s="82">
        <f ca="1">MIN(Table11[[#This Row],[Production_Needed]],Table11[[#This Row],[Production_Capacity]])</f>
        <v>-40.763670608282453</v>
      </c>
      <c r="N482" s="82">
        <f ca="1">MAX(Table11[[#This Row],[Production_Needed]]-Table11[[#This Row],[Planned_Production]],0)</f>
        <v>0</v>
      </c>
      <c r="O482" s="82">
        <f ca="1">Table11[[#This Row],[Inventory_On_Hand]]+Table11[[#This Row],[Planned_Production]]-Table11[[#This Row],[Forecasted_Units]]</f>
        <v>9.9636347329389281</v>
      </c>
      <c r="P482" cm="1">
        <f t="array" ref="P482">_xlfn.XLOOKUP(Table11[[#This Row],[Date]] &amp; Table11[[#This Row],[Vehicle_Type]], Table12[Date] &amp; Table12[Vehicle_Type],Table12[Feedback_Adjustment], 0)</f>
        <v>0</v>
      </c>
      <c r="Q482" s="82">
        <f>Table11[[#This Row],[Forecasted_Units]]*(1+Table11[[#This Row],[Adjustment_Percentage]])</f>
        <v>99.636347329389309</v>
      </c>
      <c r="R482" s="82"/>
    </row>
    <row r="483" spans="1:18">
      <c r="A483" s="54">
        <v>56435</v>
      </c>
      <c r="B483" s="15" t="s">
        <v>13</v>
      </c>
      <c r="C483" s="15" t="str">
        <f>TEXT(Table11[[#This Row],[Date]],"mmmm")</f>
        <v>July</v>
      </c>
      <c r="D483" s="15">
        <v>109</v>
      </c>
      <c r="E483" s="82">
        <f>_xlfn.FORECAST.LINEAR(Table11[[#This Row],[Date]],Table11[Units_Sold],Table11[Date])</f>
        <v>99.637511526046097</v>
      </c>
      <c r="F483" cm="1">
        <f t="array" ref="F483">_xlfn.IFS(Table11[[#This Row],[Vehicle_Type]]="SUV",250,Table11[[#This Row],[Vehicle_Type]]="Sedan",200,Table11[[#This Row],[Vehicle_Type]]="Hatchback",185,Table11[[#This Row],[Vehicle_Type]]="Electric",190,Table11[[#This Row],[Vehicle_Type]]="Truck",150)</f>
        <v>190</v>
      </c>
      <c r="G483">
        <f t="shared" ca="1" si="7"/>
        <v>22</v>
      </c>
      <c r="H483" s="82">
        <f>Table11[[#This Row],[Daily_Production]]-Table11[[#This Row],[Forecasted_Units]]</f>
        <v>90.362488473953903</v>
      </c>
      <c r="I483" cm="1">
        <f t="array" ref="I483">_xlfn.IFS(Table11[[#This Row],[Vehicle_Type]]="SUV",5,Table11[[#This Row],[Vehicle_Type]]="Sedan",7,Table11[[#This Row],[Vehicle_Type]]="Hatchback",10,Table11[[#This Row],[Vehicle_Type]]="Electric",11,Table11[[#This Row],[Vehicle_Type]]="Truck",13)</f>
        <v>11</v>
      </c>
      <c r="J483">
        <f ca="1">Table11[[#This Row],[Daily_Production]]*Table11[[#This Row],[Working_Days]]</f>
        <v>4180</v>
      </c>
      <c r="K483" s="81">
        <f>Table11[[#This Row],[Forecasted_Units]]*0.1</f>
        <v>9.9637511526046101</v>
      </c>
      <c r="L483" s="82">
        <f>Table11[[#This Row],[Adjusted_Forecast]]+Table11[[#This Row],[Safety_Stock]]-Table11[[#This Row],[Inventory_On_Hand]]</f>
        <v>19.23877420469681</v>
      </c>
      <c r="M483" s="82">
        <f ca="1">MIN(Table11[[#This Row],[Production_Needed]],Table11[[#This Row],[Production_Capacity]])</f>
        <v>19.23877420469681</v>
      </c>
      <c r="N483" s="82">
        <f ca="1">MAX(Table11[[#This Row],[Production_Needed]]-Table11[[#This Row],[Planned_Production]],0)</f>
        <v>0</v>
      </c>
      <c r="O483" s="82">
        <f ca="1">Table11[[#This Row],[Inventory_On_Hand]]+Table11[[#This Row],[Planned_Production]]-Table11[[#This Row],[Forecasted_Units]]</f>
        <v>9.9637511526046154</v>
      </c>
      <c r="P483" cm="1">
        <f t="array" ref="P483">_xlfn.XLOOKUP(Table11[[#This Row],[Date]] &amp; Table11[[#This Row],[Vehicle_Type]], Table12[Date] &amp; Table12[Vehicle_Type],Table12[Feedback_Adjustment], 0)</f>
        <v>0</v>
      </c>
      <c r="Q483" s="82">
        <f>Table11[[#This Row],[Forecasted_Units]]*(1+Table11[[#This Row],[Adjustment_Percentage]])</f>
        <v>99.637511526046097</v>
      </c>
      <c r="R483" s="82"/>
    </row>
    <row r="484" spans="1:18">
      <c r="A484" s="53">
        <v>56465</v>
      </c>
      <c r="B484" s="14" t="s">
        <v>13</v>
      </c>
      <c r="C484" s="15" t="str">
        <f>TEXT(Table11[[#This Row],[Date]],"mmmm")</f>
        <v>August</v>
      </c>
      <c r="D484" s="14">
        <v>106</v>
      </c>
      <c r="E484" s="82">
        <f>_xlfn.FORECAST.LINEAR(Table11[[#This Row],[Date]],Table11[Units_Sold],Table11[Date])</f>
        <v>99.638675722702885</v>
      </c>
      <c r="F484" cm="1">
        <f t="array" ref="F484">_xlfn.IFS(Table11[[#This Row],[Vehicle_Type]]="SUV",250,Table11[[#This Row],[Vehicle_Type]]="Sedan",200,Table11[[#This Row],[Vehicle_Type]]="Hatchback",185,Table11[[#This Row],[Vehicle_Type]]="Electric",190,Table11[[#This Row],[Vehicle_Type]]="Truck",150)</f>
        <v>190</v>
      </c>
      <c r="G484">
        <f t="shared" ca="1" si="7"/>
        <v>20</v>
      </c>
      <c r="H484" s="82">
        <f>Table11[[#This Row],[Daily_Production]]-Table11[[#This Row],[Forecasted_Units]]</f>
        <v>90.361324277297115</v>
      </c>
      <c r="I484" cm="1">
        <f t="array" ref="I484">_xlfn.IFS(Table11[[#This Row],[Vehicle_Type]]="SUV",5,Table11[[#This Row],[Vehicle_Type]]="Sedan",7,Table11[[#This Row],[Vehicle_Type]]="Hatchback",10,Table11[[#This Row],[Vehicle_Type]]="Electric",11,Table11[[#This Row],[Vehicle_Type]]="Truck",13)</f>
        <v>11</v>
      </c>
      <c r="J484">
        <f ca="1">Table11[[#This Row],[Daily_Production]]*Table11[[#This Row],[Working_Days]]</f>
        <v>3800</v>
      </c>
      <c r="K484" s="81">
        <f>Table11[[#This Row],[Forecasted_Units]]*0.1</f>
        <v>9.9638675722702885</v>
      </c>
      <c r="L484" s="82">
        <f>Table11[[#This Row],[Adjusted_Forecast]]+Table11[[#This Row],[Safety_Stock]]-Table11[[#This Row],[Inventory_On_Hand]]</f>
        <v>19.241219017676059</v>
      </c>
      <c r="M484" s="82">
        <f ca="1">MIN(Table11[[#This Row],[Production_Needed]],Table11[[#This Row],[Production_Capacity]])</f>
        <v>19.241219017676059</v>
      </c>
      <c r="N484" s="82">
        <f ca="1">MAX(Table11[[#This Row],[Production_Needed]]-Table11[[#This Row],[Planned_Production]],0)</f>
        <v>0</v>
      </c>
      <c r="O484" s="82">
        <f ca="1">Table11[[#This Row],[Inventory_On_Hand]]+Table11[[#This Row],[Planned_Production]]-Table11[[#This Row],[Forecasted_Units]]</f>
        <v>9.9638675722702885</v>
      </c>
      <c r="P484" cm="1">
        <f t="array" ref="P484">_xlfn.XLOOKUP(Table11[[#This Row],[Date]] &amp; Table11[[#This Row],[Vehicle_Type]], Table12[Date] &amp; Table12[Vehicle_Type],Table12[Feedback_Adjustment], 0)</f>
        <v>0</v>
      </c>
      <c r="Q484" s="82">
        <f>Table11[[#This Row],[Forecasted_Units]]*(1+Table11[[#This Row],[Adjustment_Percentage]])</f>
        <v>99.638675722702885</v>
      </c>
      <c r="R484" s="82"/>
    </row>
    <row r="485" spans="1:18">
      <c r="A485" s="54">
        <v>56495</v>
      </c>
      <c r="B485" s="15" t="s">
        <v>11</v>
      </c>
      <c r="C485" s="15" t="str">
        <f>TEXT(Table11[[#This Row],[Date]],"mmmm")</f>
        <v>September</v>
      </c>
      <c r="D485" s="15">
        <v>106</v>
      </c>
      <c r="E485" s="82">
        <f>_xlfn.FORECAST.LINEAR(Table11[[#This Row],[Date]],Table11[Units_Sold],Table11[Date])</f>
        <v>99.639839919359673</v>
      </c>
      <c r="F485" cm="1">
        <f t="array" ref="F485">_xlfn.IFS(Table11[[#This Row],[Vehicle_Type]]="SUV",250,Table11[[#This Row],[Vehicle_Type]]="Sedan",200,Table11[[#This Row],[Vehicle_Type]]="Hatchback",185,Table11[[#This Row],[Vehicle_Type]]="Electric",190,Table11[[#This Row],[Vehicle_Type]]="Truck",150)</f>
        <v>185</v>
      </c>
      <c r="G485">
        <f t="shared" ca="1" si="7"/>
        <v>23</v>
      </c>
      <c r="H485" s="82">
        <f>Table11[[#This Row],[Daily_Production]]-Table11[[#This Row],[Forecasted_Units]]</f>
        <v>85.360160080640327</v>
      </c>
      <c r="I485" cm="1">
        <f t="array" ref="I485">_xlfn.IFS(Table11[[#This Row],[Vehicle_Type]]="SUV",5,Table11[[#This Row],[Vehicle_Type]]="Sedan",7,Table11[[#This Row],[Vehicle_Type]]="Hatchback",10,Table11[[#This Row],[Vehicle_Type]]="Electric",11,Table11[[#This Row],[Vehicle_Type]]="Truck",13)</f>
        <v>10</v>
      </c>
      <c r="J485">
        <f ca="1">Table11[[#This Row],[Daily_Production]]*Table11[[#This Row],[Working_Days]]</f>
        <v>4255</v>
      </c>
      <c r="K485" s="81">
        <f>Table11[[#This Row],[Forecasted_Units]]*0.1</f>
        <v>9.9639839919359687</v>
      </c>
      <c r="L485" s="82">
        <f>Table11[[#This Row],[Adjusted_Forecast]]+Table11[[#This Row],[Safety_Stock]]-Table11[[#This Row],[Inventory_On_Hand]]</f>
        <v>24.243663830655322</v>
      </c>
      <c r="M485" s="82">
        <f ca="1">MIN(Table11[[#This Row],[Production_Needed]],Table11[[#This Row],[Production_Capacity]])</f>
        <v>24.243663830655322</v>
      </c>
      <c r="N485" s="82">
        <f ca="1">MAX(Table11[[#This Row],[Production_Needed]]-Table11[[#This Row],[Planned_Production]],0)</f>
        <v>0</v>
      </c>
      <c r="O485" s="82">
        <f ca="1">Table11[[#This Row],[Inventory_On_Hand]]+Table11[[#This Row],[Planned_Production]]-Table11[[#This Row],[Forecasted_Units]]</f>
        <v>9.9639839919359758</v>
      </c>
      <c r="P485" cm="1">
        <f t="array" ref="P485">_xlfn.XLOOKUP(Table11[[#This Row],[Date]] &amp; Table11[[#This Row],[Vehicle_Type]], Table12[Date] &amp; Table12[Vehicle_Type],Table12[Feedback_Adjustment], 0)</f>
        <v>0</v>
      </c>
      <c r="Q485" s="82">
        <f>Table11[[#This Row],[Forecasted_Units]]*(1+Table11[[#This Row],[Adjustment_Percentage]])</f>
        <v>99.639839919359673</v>
      </c>
      <c r="R485" s="82"/>
    </row>
    <row r="486" spans="1:18">
      <c r="A486" s="53">
        <v>56525</v>
      </c>
      <c r="B486" s="14" t="s">
        <v>14</v>
      </c>
      <c r="C486" s="15" t="str">
        <f>TEXT(Table11[[#This Row],[Date]],"mmmm")</f>
        <v>October</v>
      </c>
      <c r="D486" s="14">
        <v>103</v>
      </c>
      <c r="E486" s="82">
        <f>_xlfn.FORECAST.LINEAR(Table11[[#This Row],[Date]],Table11[Units_Sold],Table11[Date])</f>
        <v>99.641004116016461</v>
      </c>
      <c r="F486" cm="1">
        <f t="array" ref="F486">_xlfn.IFS(Table11[[#This Row],[Vehicle_Type]]="SUV",250,Table11[[#This Row],[Vehicle_Type]]="Sedan",200,Table11[[#This Row],[Vehicle_Type]]="Hatchback",185,Table11[[#This Row],[Vehicle_Type]]="Electric",190,Table11[[#This Row],[Vehicle_Type]]="Truck",150)</f>
        <v>150</v>
      </c>
      <c r="G486">
        <f t="shared" ca="1" si="7"/>
        <v>22</v>
      </c>
      <c r="H486" s="82">
        <f>Table11[[#This Row],[Daily_Production]]-Table11[[#This Row],[Forecasted_Units]]</f>
        <v>50.358995883983539</v>
      </c>
      <c r="I486" cm="1">
        <f t="array" ref="I486">_xlfn.IFS(Table11[[#This Row],[Vehicle_Type]]="SUV",5,Table11[[#This Row],[Vehicle_Type]]="Sedan",7,Table11[[#This Row],[Vehicle_Type]]="Hatchback",10,Table11[[#This Row],[Vehicle_Type]]="Electric",11,Table11[[#This Row],[Vehicle_Type]]="Truck",13)</f>
        <v>13</v>
      </c>
      <c r="J486">
        <f ca="1">Table11[[#This Row],[Daily_Production]]*Table11[[#This Row],[Working_Days]]</f>
        <v>3300</v>
      </c>
      <c r="K486" s="81">
        <f>Table11[[#This Row],[Forecasted_Units]]*0.1</f>
        <v>9.9641004116016472</v>
      </c>
      <c r="L486" s="82">
        <f>Table11[[#This Row],[Adjusted_Forecast]]+Table11[[#This Row],[Safety_Stock]]-Table11[[#This Row],[Inventory_On_Hand]]</f>
        <v>59.246108643634571</v>
      </c>
      <c r="M486" s="82">
        <f ca="1">MIN(Table11[[#This Row],[Production_Needed]],Table11[[#This Row],[Production_Capacity]])</f>
        <v>59.246108643634571</v>
      </c>
      <c r="N486" s="82">
        <f ca="1">MAX(Table11[[#This Row],[Production_Needed]]-Table11[[#This Row],[Planned_Production]],0)</f>
        <v>0</v>
      </c>
      <c r="O486" s="82">
        <f ca="1">Table11[[#This Row],[Inventory_On_Hand]]+Table11[[#This Row],[Planned_Production]]-Table11[[#This Row],[Forecasted_Units]]</f>
        <v>9.9641004116016489</v>
      </c>
      <c r="P486" cm="1">
        <f t="array" ref="P486">_xlfn.XLOOKUP(Table11[[#This Row],[Date]] &amp; Table11[[#This Row],[Vehicle_Type]], Table12[Date] &amp; Table12[Vehicle_Type],Table12[Feedback_Adjustment], 0)</f>
        <v>0</v>
      </c>
      <c r="Q486" s="82">
        <f>Table11[[#This Row],[Forecasted_Units]]*(1+Table11[[#This Row],[Adjustment_Percentage]])</f>
        <v>99.641004116016461</v>
      </c>
      <c r="R486" s="82"/>
    </row>
    <row r="487" spans="1:18">
      <c r="A487" s="54">
        <v>56555</v>
      </c>
      <c r="B487" s="15" t="s">
        <v>13</v>
      </c>
      <c r="C487" s="15" t="str">
        <f>TEXT(Table11[[#This Row],[Date]],"mmmm")</f>
        <v>November</v>
      </c>
      <c r="D487" s="15">
        <v>113</v>
      </c>
      <c r="E487" s="82">
        <f>_xlfn.FORECAST.LINEAR(Table11[[#This Row],[Date]],Table11[Units_Sold],Table11[Date])</f>
        <v>99.642168312673249</v>
      </c>
      <c r="F487" cm="1">
        <f t="array" ref="F487">_xlfn.IFS(Table11[[#This Row],[Vehicle_Type]]="SUV",250,Table11[[#This Row],[Vehicle_Type]]="Sedan",200,Table11[[#This Row],[Vehicle_Type]]="Hatchback",185,Table11[[#This Row],[Vehicle_Type]]="Electric",190,Table11[[#This Row],[Vehicle_Type]]="Truck",150)</f>
        <v>190</v>
      </c>
      <c r="G487">
        <f t="shared" ca="1" si="7"/>
        <v>22</v>
      </c>
      <c r="H487" s="82">
        <f>Table11[[#This Row],[Daily_Production]]-Table11[[#This Row],[Forecasted_Units]]</f>
        <v>90.357831687326751</v>
      </c>
      <c r="I487" cm="1">
        <f t="array" ref="I487">_xlfn.IFS(Table11[[#This Row],[Vehicle_Type]]="SUV",5,Table11[[#This Row],[Vehicle_Type]]="Sedan",7,Table11[[#This Row],[Vehicle_Type]]="Hatchback",10,Table11[[#This Row],[Vehicle_Type]]="Electric",11,Table11[[#This Row],[Vehicle_Type]]="Truck",13)</f>
        <v>11</v>
      </c>
      <c r="J487">
        <f ca="1">Table11[[#This Row],[Daily_Production]]*Table11[[#This Row],[Working_Days]]</f>
        <v>4180</v>
      </c>
      <c r="K487" s="81">
        <f>Table11[[#This Row],[Forecasted_Units]]*0.1</f>
        <v>9.9642168312673256</v>
      </c>
      <c r="L487" s="82">
        <f>Table11[[#This Row],[Adjusted_Forecast]]+Table11[[#This Row],[Safety_Stock]]-Table11[[#This Row],[Inventory_On_Hand]]</f>
        <v>19.24855345661382</v>
      </c>
      <c r="M487" s="82">
        <f ca="1">MIN(Table11[[#This Row],[Production_Needed]],Table11[[#This Row],[Production_Capacity]])</f>
        <v>19.24855345661382</v>
      </c>
      <c r="N487" s="82">
        <f ca="1">MAX(Table11[[#This Row],[Production_Needed]]-Table11[[#This Row],[Planned_Production]],0)</f>
        <v>0</v>
      </c>
      <c r="O487" s="82">
        <f ca="1">Table11[[#This Row],[Inventory_On_Hand]]+Table11[[#This Row],[Planned_Production]]-Table11[[#This Row],[Forecasted_Units]]</f>
        <v>9.964216831267322</v>
      </c>
      <c r="P487" cm="1">
        <f t="array" ref="P487">_xlfn.XLOOKUP(Table11[[#This Row],[Date]] &amp; Table11[[#This Row],[Vehicle_Type]], Table12[Date] &amp; Table12[Vehicle_Type],Table12[Feedback_Adjustment], 0)</f>
        <v>0</v>
      </c>
      <c r="Q487" s="82">
        <f>Table11[[#This Row],[Forecasted_Units]]*(1+Table11[[#This Row],[Adjustment_Percentage]])</f>
        <v>99.642168312673249</v>
      </c>
      <c r="R487" s="82"/>
    </row>
    <row r="488" spans="1:18">
      <c r="A488" s="53">
        <v>56585</v>
      </c>
      <c r="B488" s="14" t="s">
        <v>10</v>
      </c>
      <c r="C488" s="15" t="str">
        <f>TEXT(Table11[[#This Row],[Date]],"mmmm")</f>
        <v>December</v>
      </c>
      <c r="D488" s="14">
        <v>111</v>
      </c>
      <c r="E488" s="82">
        <f>_xlfn.FORECAST.LINEAR(Table11[[#This Row],[Date]],Table11[Units_Sold],Table11[Date])</f>
        <v>99.643332509330037</v>
      </c>
      <c r="F488" cm="1">
        <f t="array" ref="F488">_xlfn.IFS(Table11[[#This Row],[Vehicle_Type]]="SUV",250,Table11[[#This Row],[Vehicle_Type]]="Sedan",200,Table11[[#This Row],[Vehicle_Type]]="Hatchback",185,Table11[[#This Row],[Vehicle_Type]]="Electric",190,Table11[[#This Row],[Vehicle_Type]]="Truck",150)</f>
        <v>200</v>
      </c>
      <c r="G488">
        <f t="shared" ca="1" si="7"/>
        <v>24</v>
      </c>
      <c r="H488" s="82">
        <f>Table11[[#This Row],[Daily_Production]]-Table11[[#This Row],[Forecasted_Units]]</f>
        <v>100.35666749066996</v>
      </c>
      <c r="I488" cm="1">
        <f t="array" ref="I488">_xlfn.IFS(Table11[[#This Row],[Vehicle_Type]]="SUV",5,Table11[[#This Row],[Vehicle_Type]]="Sedan",7,Table11[[#This Row],[Vehicle_Type]]="Hatchback",10,Table11[[#This Row],[Vehicle_Type]]="Electric",11,Table11[[#This Row],[Vehicle_Type]]="Truck",13)</f>
        <v>7</v>
      </c>
      <c r="J488">
        <f ca="1">Table11[[#This Row],[Daily_Production]]*Table11[[#This Row],[Working_Days]]</f>
        <v>4800</v>
      </c>
      <c r="K488" s="81">
        <f>Table11[[#This Row],[Forecasted_Units]]*0.1</f>
        <v>9.964333250933004</v>
      </c>
      <c r="L488" s="82">
        <f>Table11[[#This Row],[Adjusted_Forecast]]+Table11[[#This Row],[Safety_Stock]]-Table11[[#This Row],[Inventory_On_Hand]]</f>
        <v>9.250998269593083</v>
      </c>
      <c r="M488" s="82">
        <f ca="1">MIN(Table11[[#This Row],[Production_Needed]],Table11[[#This Row],[Production_Capacity]])</f>
        <v>9.250998269593083</v>
      </c>
      <c r="N488" s="82">
        <f ca="1">MAX(Table11[[#This Row],[Production_Needed]]-Table11[[#This Row],[Planned_Production]],0)</f>
        <v>0</v>
      </c>
      <c r="O488" s="82">
        <f ca="1">Table11[[#This Row],[Inventory_On_Hand]]+Table11[[#This Row],[Planned_Production]]-Table11[[#This Row],[Forecasted_Units]]</f>
        <v>9.9643332509330094</v>
      </c>
      <c r="P488" cm="1">
        <f t="array" ref="P488">_xlfn.XLOOKUP(Table11[[#This Row],[Date]] &amp; Table11[[#This Row],[Vehicle_Type]], Table12[Date] &amp; Table12[Vehicle_Type],Table12[Feedback_Adjustment], 0)</f>
        <v>0</v>
      </c>
      <c r="Q488" s="82">
        <f>Table11[[#This Row],[Forecasted_Units]]*(1+Table11[[#This Row],[Adjustment_Percentage]])</f>
        <v>99.643332509330037</v>
      </c>
      <c r="R488" s="82"/>
    </row>
    <row r="489" spans="1:18">
      <c r="A489" s="54">
        <v>56615</v>
      </c>
      <c r="B489" s="15" t="s">
        <v>11</v>
      </c>
      <c r="C489" s="15" t="str">
        <f>TEXT(Table11[[#This Row],[Date]],"mmmm")</f>
        <v>January</v>
      </c>
      <c r="D489" s="15">
        <f>IF(ISBLANK(D442), P443, D442)</f>
        <v>92</v>
      </c>
      <c r="E489" s="82">
        <f>_xlfn.FORECAST.LINEAR(Table11[[#This Row],[Date]],Table11[Units_Sold],Table11[Date])</f>
        <v>99.644496705986811</v>
      </c>
      <c r="F489" cm="1">
        <f t="array" ref="F489">_xlfn.IFS(Table11[[#This Row],[Vehicle_Type]]="SUV",250,Table11[[#This Row],[Vehicle_Type]]="Sedan",200,Table11[[#This Row],[Vehicle_Type]]="Hatchback",185,Table11[[#This Row],[Vehicle_Type]]="Electric",190,Table11[[#This Row],[Vehicle_Type]]="Truck",150)</f>
        <v>185</v>
      </c>
      <c r="G489">
        <f t="shared" ca="1" si="7"/>
        <v>22</v>
      </c>
      <c r="H489" s="82">
        <f>Table11[[#This Row],[Daily_Production]]-Table11[[#This Row],[Forecasted_Units]]</f>
        <v>85.355503294013189</v>
      </c>
      <c r="I489" cm="1">
        <f t="array" ref="I489">_xlfn.IFS(Table11[[#This Row],[Vehicle_Type]]="SUV",5,Table11[[#This Row],[Vehicle_Type]]="Sedan",7,Table11[[#This Row],[Vehicle_Type]]="Hatchback",10,Table11[[#This Row],[Vehicle_Type]]="Electric",11,Table11[[#This Row],[Vehicle_Type]]="Truck",13)</f>
        <v>10</v>
      </c>
      <c r="J489">
        <f ca="1">Table11[[#This Row],[Daily_Production]]*Table11[[#This Row],[Working_Days]]</f>
        <v>4070</v>
      </c>
      <c r="K489" s="81">
        <f>Table11[[#This Row],[Forecasted_Units]]*0.1</f>
        <v>9.9644496705986825</v>
      </c>
      <c r="L489" s="82">
        <f>Table11[[#This Row],[Adjusted_Forecast]]+Table11[[#This Row],[Safety_Stock]]-Table11[[#This Row],[Inventory_On_Hand]]</f>
        <v>24.253443082572304</v>
      </c>
      <c r="M489" s="82">
        <f ca="1">MIN(Table11[[#This Row],[Production_Needed]],Table11[[#This Row],[Production_Capacity]])</f>
        <v>24.253443082572304</v>
      </c>
      <c r="N489" s="82">
        <f ca="1">MAX(Table11[[#This Row],[Production_Needed]]-Table11[[#This Row],[Planned_Production]],0)</f>
        <v>0</v>
      </c>
      <c r="O489" s="82">
        <f ca="1">Table11[[#This Row],[Inventory_On_Hand]]+Table11[[#This Row],[Planned_Production]]-Table11[[#This Row],[Forecasted_Units]]</f>
        <v>9.9644496705986825</v>
      </c>
      <c r="P489" cm="1">
        <f t="array" ref="P489">_xlfn.XLOOKUP(Table11[[#This Row],[Date]] &amp; Table11[[#This Row],[Vehicle_Type]], Table12[Date] &amp; Table12[Vehicle_Type],Table12[Feedback_Adjustment], 0)</f>
        <v>0</v>
      </c>
      <c r="Q489" s="82">
        <f>Table11[[#This Row],[Forecasted_Units]]*(1+Table11[[#This Row],[Adjustment_Percentage]])</f>
        <v>99.644496705986811</v>
      </c>
      <c r="R489" s="82"/>
    </row>
    <row r="490" spans="1:18">
      <c r="A490" s="53">
        <v>56645</v>
      </c>
      <c r="B490" s="14" t="s">
        <v>11</v>
      </c>
      <c r="C490" s="15" t="str">
        <f>TEXT(Table11[[#This Row],[Date]],"mmmm")</f>
        <v>January</v>
      </c>
      <c r="D490" s="14">
        <v>89</v>
      </c>
      <c r="E490" s="82">
        <f>_xlfn.FORECAST.LINEAR(Table11[[#This Row],[Date]],Table11[Units_Sold],Table11[Date])</f>
        <v>99.645660902643598</v>
      </c>
      <c r="F490" cm="1">
        <f t="array" ref="F490">_xlfn.IFS(Table11[[#This Row],[Vehicle_Type]]="SUV",250,Table11[[#This Row],[Vehicle_Type]]="Sedan",200,Table11[[#This Row],[Vehicle_Type]]="Hatchback",185,Table11[[#This Row],[Vehicle_Type]]="Electric",190,Table11[[#This Row],[Vehicle_Type]]="Truck",150)</f>
        <v>185</v>
      </c>
      <c r="G490">
        <f t="shared" ca="1" si="7"/>
        <v>24</v>
      </c>
      <c r="H490" s="82">
        <f>Table11[[#This Row],[Daily_Production]]-Table11[[#This Row],[Forecasted_Units]]</f>
        <v>85.354339097356402</v>
      </c>
      <c r="I490" cm="1">
        <f t="array" ref="I490">_xlfn.IFS(Table11[[#This Row],[Vehicle_Type]]="SUV",5,Table11[[#This Row],[Vehicle_Type]]="Sedan",7,Table11[[#This Row],[Vehicle_Type]]="Hatchback",10,Table11[[#This Row],[Vehicle_Type]]="Electric",11,Table11[[#This Row],[Vehicle_Type]]="Truck",13)</f>
        <v>10</v>
      </c>
      <c r="J490">
        <f ca="1">Table11[[#This Row],[Daily_Production]]*Table11[[#This Row],[Working_Days]]</f>
        <v>4440</v>
      </c>
      <c r="K490" s="81">
        <f>Table11[[#This Row],[Forecasted_Units]]*0.1</f>
        <v>9.9645660902643609</v>
      </c>
      <c r="L490" s="82">
        <f>Table11[[#This Row],[Adjusted_Forecast]]+Table11[[#This Row],[Safety_Stock]]-Table11[[#This Row],[Inventory_On_Hand]]</f>
        <v>24.255887895551552</v>
      </c>
      <c r="M490" s="82">
        <f ca="1">MIN(Table11[[#This Row],[Production_Needed]],Table11[[#This Row],[Production_Capacity]])</f>
        <v>24.255887895551552</v>
      </c>
      <c r="N490" s="82">
        <f ca="1">MAX(Table11[[#This Row],[Production_Needed]]-Table11[[#This Row],[Planned_Production]],0)</f>
        <v>0</v>
      </c>
      <c r="O490" s="82">
        <f ca="1">Table11[[#This Row],[Inventory_On_Hand]]+Table11[[#This Row],[Planned_Production]]-Table11[[#This Row],[Forecasted_Units]]</f>
        <v>9.9645660902643556</v>
      </c>
      <c r="P490" cm="1">
        <f t="array" ref="P490">_xlfn.XLOOKUP(Table11[[#This Row],[Date]] &amp; Table11[[#This Row],[Vehicle_Type]], Table12[Date] &amp; Table12[Vehicle_Type],Table12[Feedback_Adjustment], 0)</f>
        <v>0</v>
      </c>
      <c r="Q490" s="82">
        <f>Table11[[#This Row],[Forecasted_Units]]*(1+Table11[[#This Row],[Adjustment_Percentage]])</f>
        <v>99.645660902643598</v>
      </c>
      <c r="R490" s="82"/>
    </row>
    <row r="491" spans="1:18">
      <c r="A491" s="54">
        <v>56675</v>
      </c>
      <c r="B491" s="15" t="s">
        <v>12</v>
      </c>
      <c r="C491" s="15" t="str">
        <f>TEXT(Table11[[#This Row],[Date]],"mmmm")</f>
        <v>March</v>
      </c>
      <c r="D491" s="15">
        <v>111</v>
      </c>
      <c r="E491" s="82">
        <f>_xlfn.FORECAST.LINEAR(Table11[[#This Row],[Date]],Table11[Units_Sold],Table11[Date])</f>
        <v>99.646825099300386</v>
      </c>
      <c r="F491" cm="1">
        <f t="array" ref="F491">_xlfn.IFS(Table11[[#This Row],[Vehicle_Type]]="SUV",250,Table11[[#This Row],[Vehicle_Type]]="Sedan",200,Table11[[#This Row],[Vehicle_Type]]="Hatchback",185,Table11[[#This Row],[Vehicle_Type]]="Electric",190,Table11[[#This Row],[Vehicle_Type]]="Truck",150)</f>
        <v>250</v>
      </c>
      <c r="G491">
        <f t="shared" ca="1" si="7"/>
        <v>25</v>
      </c>
      <c r="H491" s="82">
        <f>Table11[[#This Row],[Daily_Production]]-Table11[[#This Row],[Forecasted_Units]]</f>
        <v>150.35317490069963</v>
      </c>
      <c r="I491" cm="1">
        <f t="array" ref="I491">_xlfn.IFS(Table11[[#This Row],[Vehicle_Type]]="SUV",5,Table11[[#This Row],[Vehicle_Type]]="Sedan",7,Table11[[#This Row],[Vehicle_Type]]="Hatchback",10,Table11[[#This Row],[Vehicle_Type]]="Electric",11,Table11[[#This Row],[Vehicle_Type]]="Truck",13)</f>
        <v>5</v>
      </c>
      <c r="J491">
        <f ca="1">Table11[[#This Row],[Daily_Production]]*Table11[[#This Row],[Working_Days]]</f>
        <v>6250</v>
      </c>
      <c r="K491" s="81">
        <f>Table11[[#This Row],[Forecasted_Units]]*0.1</f>
        <v>9.9646825099300393</v>
      </c>
      <c r="L491" s="82">
        <f>Table11[[#This Row],[Adjusted_Forecast]]+Table11[[#This Row],[Safety_Stock]]-Table11[[#This Row],[Inventory_On_Hand]]</f>
        <v>-40.741667291469199</v>
      </c>
      <c r="M491" s="82">
        <f ca="1">MIN(Table11[[#This Row],[Production_Needed]],Table11[[#This Row],[Production_Capacity]])</f>
        <v>-40.741667291469199</v>
      </c>
      <c r="N491" s="82">
        <f ca="1">MAX(Table11[[#This Row],[Production_Needed]]-Table11[[#This Row],[Planned_Production]],0)</f>
        <v>0</v>
      </c>
      <c r="O491" s="82">
        <f ca="1">Table11[[#This Row],[Inventory_On_Hand]]+Table11[[#This Row],[Planned_Production]]-Table11[[#This Row],[Forecasted_Units]]</f>
        <v>9.9646825099300429</v>
      </c>
      <c r="P491" cm="1">
        <f t="array" ref="P491">_xlfn.XLOOKUP(Table11[[#This Row],[Date]] &amp; Table11[[#This Row],[Vehicle_Type]], Table12[Date] &amp; Table12[Vehicle_Type],Table12[Feedback_Adjustment], 0)</f>
        <v>0</v>
      </c>
      <c r="Q491" s="82">
        <f>Table11[[#This Row],[Forecasted_Units]]*(1+Table11[[#This Row],[Adjustment_Percentage]])</f>
        <v>99.646825099300386</v>
      </c>
      <c r="R491" s="82"/>
    </row>
    <row r="492" spans="1:18">
      <c r="A492" s="53">
        <v>56705</v>
      </c>
      <c r="B492" s="14" t="s">
        <v>14</v>
      </c>
      <c r="C492" s="15" t="str">
        <f>TEXT(Table11[[#This Row],[Date]],"mmmm")</f>
        <v>April</v>
      </c>
      <c r="D492" s="14">
        <v>104</v>
      </c>
      <c r="E492" s="82">
        <f>_xlfn.FORECAST.LINEAR(Table11[[#This Row],[Date]],Table11[Units_Sold],Table11[Date])</f>
        <v>99.647989295957174</v>
      </c>
      <c r="F492" cm="1">
        <f t="array" ref="F492">_xlfn.IFS(Table11[[#This Row],[Vehicle_Type]]="SUV",250,Table11[[#This Row],[Vehicle_Type]]="Sedan",200,Table11[[#This Row],[Vehicle_Type]]="Hatchback",185,Table11[[#This Row],[Vehicle_Type]]="Electric",190,Table11[[#This Row],[Vehicle_Type]]="Truck",150)</f>
        <v>150</v>
      </c>
      <c r="G492">
        <f t="shared" ca="1" si="7"/>
        <v>23</v>
      </c>
      <c r="H492" s="82">
        <f>Table11[[#This Row],[Daily_Production]]-Table11[[#This Row],[Forecasted_Units]]</f>
        <v>50.352010704042826</v>
      </c>
      <c r="I492" cm="1">
        <f t="array" ref="I492">_xlfn.IFS(Table11[[#This Row],[Vehicle_Type]]="SUV",5,Table11[[#This Row],[Vehicle_Type]]="Sedan",7,Table11[[#This Row],[Vehicle_Type]]="Hatchback",10,Table11[[#This Row],[Vehicle_Type]]="Electric",11,Table11[[#This Row],[Vehicle_Type]]="Truck",13)</f>
        <v>13</v>
      </c>
      <c r="J492">
        <f ca="1">Table11[[#This Row],[Daily_Production]]*Table11[[#This Row],[Working_Days]]</f>
        <v>3450</v>
      </c>
      <c r="K492" s="81">
        <f>Table11[[#This Row],[Forecasted_Units]]*0.1</f>
        <v>9.9647989295957178</v>
      </c>
      <c r="L492" s="82">
        <f>Table11[[#This Row],[Adjusted_Forecast]]+Table11[[#This Row],[Safety_Stock]]-Table11[[#This Row],[Inventory_On_Hand]]</f>
        <v>59.260777521510065</v>
      </c>
      <c r="M492" s="82">
        <f ca="1">MIN(Table11[[#This Row],[Production_Needed]],Table11[[#This Row],[Production_Capacity]])</f>
        <v>59.260777521510065</v>
      </c>
      <c r="N492" s="82">
        <f ca="1">MAX(Table11[[#This Row],[Production_Needed]]-Table11[[#This Row],[Planned_Production]],0)</f>
        <v>0</v>
      </c>
      <c r="O492" s="82">
        <f ca="1">Table11[[#This Row],[Inventory_On_Hand]]+Table11[[#This Row],[Planned_Production]]-Table11[[#This Row],[Forecasted_Units]]</f>
        <v>9.964798929595716</v>
      </c>
      <c r="P492" cm="1">
        <f t="array" ref="P492">_xlfn.XLOOKUP(Table11[[#This Row],[Date]] &amp; Table11[[#This Row],[Vehicle_Type]], Table12[Date] &amp; Table12[Vehicle_Type],Table12[Feedback_Adjustment], 0)</f>
        <v>0</v>
      </c>
      <c r="Q492" s="82">
        <f>Table11[[#This Row],[Forecasted_Units]]*(1+Table11[[#This Row],[Adjustment_Percentage]])</f>
        <v>99.647989295957174</v>
      </c>
      <c r="R492" s="82"/>
    </row>
    <row r="493" spans="1:18">
      <c r="A493" s="54">
        <v>56735</v>
      </c>
      <c r="B493" s="15" t="s">
        <v>13</v>
      </c>
      <c r="C493" s="15" t="str">
        <f>TEXT(Table11[[#This Row],[Date]],"mmmm")</f>
        <v>May</v>
      </c>
      <c r="D493" s="15">
        <f>IF(ISBLANK(D446), P447, D446)</f>
        <v>108</v>
      </c>
      <c r="E493" s="82">
        <f>_xlfn.FORECAST.LINEAR(Table11[[#This Row],[Date]],Table11[Units_Sold],Table11[Date])</f>
        <v>99.649153492613962</v>
      </c>
      <c r="F493" cm="1">
        <f t="array" ref="F493">_xlfn.IFS(Table11[[#This Row],[Vehicle_Type]]="SUV",250,Table11[[#This Row],[Vehicle_Type]]="Sedan",200,Table11[[#This Row],[Vehicle_Type]]="Hatchback",185,Table11[[#This Row],[Vehicle_Type]]="Electric",190,Table11[[#This Row],[Vehicle_Type]]="Truck",150)</f>
        <v>190</v>
      </c>
      <c r="G493">
        <f t="shared" ca="1" si="7"/>
        <v>23</v>
      </c>
      <c r="H493" s="82">
        <f>Table11[[#This Row],[Daily_Production]]-Table11[[#This Row],[Forecasted_Units]]</f>
        <v>90.350846507386038</v>
      </c>
      <c r="I493" cm="1">
        <f t="array" ref="I493">_xlfn.IFS(Table11[[#This Row],[Vehicle_Type]]="SUV",5,Table11[[#This Row],[Vehicle_Type]]="Sedan",7,Table11[[#This Row],[Vehicle_Type]]="Hatchback",10,Table11[[#This Row],[Vehicle_Type]]="Electric",11,Table11[[#This Row],[Vehicle_Type]]="Truck",13)</f>
        <v>11</v>
      </c>
      <c r="J493">
        <f ca="1">Table11[[#This Row],[Daily_Production]]*Table11[[#This Row],[Working_Days]]</f>
        <v>4370</v>
      </c>
      <c r="K493" s="81">
        <f>Table11[[#This Row],[Forecasted_Units]]*0.1</f>
        <v>9.9649153492613962</v>
      </c>
      <c r="L493" s="82">
        <f>Table11[[#This Row],[Adjusted_Forecast]]+Table11[[#This Row],[Safety_Stock]]-Table11[[#This Row],[Inventory_On_Hand]]</f>
        <v>19.263222334489328</v>
      </c>
      <c r="M493" s="82">
        <f ca="1">MIN(Table11[[#This Row],[Production_Needed]],Table11[[#This Row],[Production_Capacity]])</f>
        <v>19.263222334489328</v>
      </c>
      <c r="N493" s="82">
        <f ca="1">MAX(Table11[[#This Row],[Production_Needed]]-Table11[[#This Row],[Planned_Production]],0)</f>
        <v>0</v>
      </c>
      <c r="O493" s="82">
        <f ca="1">Table11[[#This Row],[Inventory_On_Hand]]+Table11[[#This Row],[Planned_Production]]-Table11[[#This Row],[Forecasted_Units]]</f>
        <v>9.9649153492614033</v>
      </c>
      <c r="P493" cm="1">
        <f t="array" ref="P493">_xlfn.XLOOKUP(Table11[[#This Row],[Date]] &amp; Table11[[#This Row],[Vehicle_Type]], Table12[Date] &amp; Table12[Vehicle_Type],Table12[Feedback_Adjustment], 0)</f>
        <v>0</v>
      </c>
      <c r="Q493" s="82">
        <f>Table11[[#This Row],[Forecasted_Units]]*(1+Table11[[#This Row],[Adjustment_Percentage]])</f>
        <v>99.649153492613962</v>
      </c>
      <c r="R493" s="82"/>
    </row>
    <row r="494" spans="1:18">
      <c r="A494" s="53">
        <v>56765</v>
      </c>
      <c r="B494" s="14" t="s">
        <v>13</v>
      </c>
      <c r="C494" s="15" t="str">
        <f>TEXT(Table11[[#This Row],[Date]],"mmmm")</f>
        <v>May</v>
      </c>
      <c r="D494" s="14">
        <v>109</v>
      </c>
      <c r="E494" s="82">
        <f>_xlfn.FORECAST.LINEAR(Table11[[#This Row],[Date]],Table11[Units_Sold],Table11[Date])</f>
        <v>99.65031768927075</v>
      </c>
      <c r="F494" cm="1">
        <f t="array" ref="F494">_xlfn.IFS(Table11[[#This Row],[Vehicle_Type]]="SUV",250,Table11[[#This Row],[Vehicle_Type]]="Sedan",200,Table11[[#This Row],[Vehicle_Type]]="Hatchback",185,Table11[[#This Row],[Vehicle_Type]]="Electric",190,Table11[[#This Row],[Vehicle_Type]]="Truck",150)</f>
        <v>190</v>
      </c>
      <c r="G494">
        <f t="shared" ca="1" si="7"/>
        <v>20</v>
      </c>
      <c r="H494" s="82">
        <f>Table11[[#This Row],[Daily_Production]]-Table11[[#This Row],[Forecasted_Units]]</f>
        <v>90.34968231072925</v>
      </c>
      <c r="I494" cm="1">
        <f t="array" ref="I494">_xlfn.IFS(Table11[[#This Row],[Vehicle_Type]]="SUV",5,Table11[[#This Row],[Vehicle_Type]]="Sedan",7,Table11[[#This Row],[Vehicle_Type]]="Hatchback",10,Table11[[#This Row],[Vehicle_Type]]="Electric",11,Table11[[#This Row],[Vehicle_Type]]="Truck",13)</f>
        <v>11</v>
      </c>
      <c r="J494">
        <f ca="1">Table11[[#This Row],[Daily_Production]]*Table11[[#This Row],[Working_Days]]</f>
        <v>3800</v>
      </c>
      <c r="K494" s="81">
        <f>Table11[[#This Row],[Forecasted_Units]]*0.1</f>
        <v>9.9650317689270764</v>
      </c>
      <c r="L494" s="82">
        <f>Table11[[#This Row],[Adjusted_Forecast]]+Table11[[#This Row],[Safety_Stock]]-Table11[[#This Row],[Inventory_On_Hand]]</f>
        <v>19.265667147468577</v>
      </c>
      <c r="M494" s="82">
        <f ca="1">MIN(Table11[[#This Row],[Production_Needed]],Table11[[#This Row],[Production_Capacity]])</f>
        <v>19.265667147468577</v>
      </c>
      <c r="N494" s="82">
        <f ca="1">MAX(Table11[[#This Row],[Production_Needed]]-Table11[[#This Row],[Planned_Production]],0)</f>
        <v>0</v>
      </c>
      <c r="O494" s="82">
        <f ca="1">Table11[[#This Row],[Inventory_On_Hand]]+Table11[[#This Row],[Planned_Production]]-Table11[[#This Row],[Forecasted_Units]]</f>
        <v>9.9650317689270764</v>
      </c>
      <c r="P494" cm="1">
        <f t="array" ref="P494">_xlfn.XLOOKUP(Table11[[#This Row],[Date]] &amp; Table11[[#This Row],[Vehicle_Type]], Table12[Date] &amp; Table12[Vehicle_Type],Table12[Feedback_Adjustment], 0)</f>
        <v>0</v>
      </c>
      <c r="Q494" s="82">
        <f>Table11[[#This Row],[Forecasted_Units]]*(1+Table11[[#This Row],[Adjustment_Percentage]])</f>
        <v>99.65031768927075</v>
      </c>
      <c r="R494" s="82"/>
    </row>
    <row r="495" spans="1:18">
      <c r="A495" s="54">
        <v>56795</v>
      </c>
      <c r="B495" s="15" t="s">
        <v>11</v>
      </c>
      <c r="C495" s="15" t="str">
        <f>TEXT(Table11[[#This Row],[Date]],"mmmm")</f>
        <v>June</v>
      </c>
      <c r="D495" s="15">
        <v>108</v>
      </c>
      <c r="E495" s="82">
        <f>_xlfn.FORECAST.LINEAR(Table11[[#This Row],[Date]],Table11[Units_Sold],Table11[Date])</f>
        <v>99.651481885927538</v>
      </c>
      <c r="F495" cm="1">
        <f t="array" ref="F495">_xlfn.IFS(Table11[[#This Row],[Vehicle_Type]]="SUV",250,Table11[[#This Row],[Vehicle_Type]]="Sedan",200,Table11[[#This Row],[Vehicle_Type]]="Hatchback",185,Table11[[#This Row],[Vehicle_Type]]="Electric",190,Table11[[#This Row],[Vehicle_Type]]="Truck",150)</f>
        <v>185</v>
      </c>
      <c r="G495">
        <f t="shared" ca="1" si="7"/>
        <v>20</v>
      </c>
      <c r="H495" s="82">
        <f>Table11[[#This Row],[Daily_Production]]-Table11[[#This Row],[Forecasted_Units]]</f>
        <v>85.348518114072462</v>
      </c>
      <c r="I495" cm="1">
        <f t="array" ref="I495">_xlfn.IFS(Table11[[#This Row],[Vehicle_Type]]="SUV",5,Table11[[#This Row],[Vehicle_Type]]="Sedan",7,Table11[[#This Row],[Vehicle_Type]]="Hatchback",10,Table11[[#This Row],[Vehicle_Type]]="Electric",11,Table11[[#This Row],[Vehicle_Type]]="Truck",13)</f>
        <v>10</v>
      </c>
      <c r="J495">
        <f ca="1">Table11[[#This Row],[Daily_Production]]*Table11[[#This Row],[Working_Days]]</f>
        <v>3700</v>
      </c>
      <c r="K495" s="81">
        <f>Table11[[#This Row],[Forecasted_Units]]*0.1</f>
        <v>9.9651481885927549</v>
      </c>
      <c r="L495" s="82">
        <f>Table11[[#This Row],[Adjusted_Forecast]]+Table11[[#This Row],[Safety_Stock]]-Table11[[#This Row],[Inventory_On_Hand]]</f>
        <v>24.268111960447825</v>
      </c>
      <c r="M495" s="82">
        <f ca="1">MIN(Table11[[#This Row],[Production_Needed]],Table11[[#This Row],[Production_Capacity]])</f>
        <v>24.268111960447825</v>
      </c>
      <c r="N495" s="82">
        <f ca="1">MAX(Table11[[#This Row],[Production_Needed]]-Table11[[#This Row],[Planned_Production]],0)</f>
        <v>0</v>
      </c>
      <c r="O495" s="82">
        <f ca="1">Table11[[#This Row],[Inventory_On_Hand]]+Table11[[#This Row],[Planned_Production]]-Table11[[#This Row],[Forecasted_Units]]</f>
        <v>9.9651481885927495</v>
      </c>
      <c r="P495" cm="1">
        <f t="array" ref="P495">_xlfn.XLOOKUP(Table11[[#This Row],[Date]] &amp; Table11[[#This Row],[Vehicle_Type]], Table12[Date] &amp; Table12[Vehicle_Type],Table12[Feedback_Adjustment], 0)</f>
        <v>0</v>
      </c>
      <c r="Q495" s="82">
        <f>Table11[[#This Row],[Forecasted_Units]]*(1+Table11[[#This Row],[Adjustment_Percentage]])</f>
        <v>99.651481885927538</v>
      </c>
      <c r="R495" s="82"/>
    </row>
    <row r="496" spans="1:18">
      <c r="A496" s="53">
        <v>56825</v>
      </c>
      <c r="B496" s="14" t="s">
        <v>14</v>
      </c>
      <c r="C496" s="15" t="str">
        <f>TEXT(Table11[[#This Row],[Date]],"mmmm")</f>
        <v>July</v>
      </c>
      <c r="D496" s="14">
        <v>127</v>
      </c>
      <c r="E496" s="82">
        <f>_xlfn.FORECAST.LINEAR(Table11[[#This Row],[Date]],Table11[Units_Sold],Table11[Date])</f>
        <v>99.652646082584326</v>
      </c>
      <c r="F496" cm="1">
        <f t="array" ref="F496">_xlfn.IFS(Table11[[#This Row],[Vehicle_Type]]="SUV",250,Table11[[#This Row],[Vehicle_Type]]="Sedan",200,Table11[[#This Row],[Vehicle_Type]]="Hatchback",185,Table11[[#This Row],[Vehicle_Type]]="Electric",190,Table11[[#This Row],[Vehicle_Type]]="Truck",150)</f>
        <v>150</v>
      </c>
      <c r="G496">
        <f t="shared" ca="1" si="7"/>
        <v>23</v>
      </c>
      <c r="H496" s="82">
        <f>Table11[[#This Row],[Daily_Production]]-Table11[[#This Row],[Forecasted_Units]]</f>
        <v>50.347353917415674</v>
      </c>
      <c r="I496" cm="1">
        <f t="array" ref="I496">_xlfn.IFS(Table11[[#This Row],[Vehicle_Type]]="SUV",5,Table11[[#This Row],[Vehicle_Type]]="Sedan",7,Table11[[#This Row],[Vehicle_Type]]="Hatchback",10,Table11[[#This Row],[Vehicle_Type]]="Electric",11,Table11[[#This Row],[Vehicle_Type]]="Truck",13)</f>
        <v>13</v>
      </c>
      <c r="J496">
        <f ca="1">Table11[[#This Row],[Daily_Production]]*Table11[[#This Row],[Working_Days]]</f>
        <v>3450</v>
      </c>
      <c r="K496" s="81">
        <f>Table11[[#This Row],[Forecasted_Units]]*0.1</f>
        <v>9.9652646082584333</v>
      </c>
      <c r="L496" s="82">
        <f>Table11[[#This Row],[Adjusted_Forecast]]+Table11[[#This Row],[Safety_Stock]]-Table11[[#This Row],[Inventory_On_Hand]]</f>
        <v>59.270556773427089</v>
      </c>
      <c r="M496" s="82">
        <f ca="1">MIN(Table11[[#This Row],[Production_Needed]],Table11[[#This Row],[Production_Capacity]])</f>
        <v>59.270556773427089</v>
      </c>
      <c r="N496" s="82">
        <f ca="1">MAX(Table11[[#This Row],[Production_Needed]]-Table11[[#This Row],[Planned_Production]],0)</f>
        <v>0</v>
      </c>
      <c r="O496" s="82">
        <f ca="1">Table11[[#This Row],[Inventory_On_Hand]]+Table11[[#This Row],[Planned_Production]]-Table11[[#This Row],[Forecasted_Units]]</f>
        <v>9.9652646082584369</v>
      </c>
      <c r="P496" cm="1">
        <f t="array" ref="P496">_xlfn.XLOOKUP(Table11[[#This Row],[Date]] &amp; Table11[[#This Row],[Vehicle_Type]], Table12[Date] &amp; Table12[Vehicle_Type],Table12[Feedback_Adjustment], 0)</f>
        <v>0</v>
      </c>
      <c r="Q496" s="82">
        <f>Table11[[#This Row],[Forecasted_Units]]*(1+Table11[[#This Row],[Adjustment_Percentage]])</f>
        <v>99.652646082584326</v>
      </c>
      <c r="R496" s="82"/>
    </row>
    <row r="497" spans="1:18">
      <c r="A497" s="54">
        <v>56855</v>
      </c>
      <c r="B497" s="15" t="s">
        <v>14</v>
      </c>
      <c r="C497" s="15" t="str">
        <f>TEXT(Table11[[#This Row],[Date]],"mmmm")</f>
        <v>August</v>
      </c>
      <c r="D497" s="15">
        <v>104</v>
      </c>
      <c r="E497" s="82">
        <f>_xlfn.FORECAST.LINEAR(Table11[[#This Row],[Date]],Table11[Units_Sold],Table11[Date])</f>
        <v>99.653810279241114</v>
      </c>
      <c r="F497" cm="1">
        <f t="array" ref="F497">_xlfn.IFS(Table11[[#This Row],[Vehicle_Type]]="SUV",250,Table11[[#This Row],[Vehicle_Type]]="Sedan",200,Table11[[#This Row],[Vehicle_Type]]="Hatchback",185,Table11[[#This Row],[Vehicle_Type]]="Electric",190,Table11[[#This Row],[Vehicle_Type]]="Truck",150)</f>
        <v>150</v>
      </c>
      <c r="G497">
        <f t="shared" ca="1" si="7"/>
        <v>20</v>
      </c>
      <c r="H497" s="82">
        <f>Table11[[#This Row],[Daily_Production]]-Table11[[#This Row],[Forecasted_Units]]</f>
        <v>50.346189720758886</v>
      </c>
      <c r="I497" cm="1">
        <f t="array" ref="I497">_xlfn.IFS(Table11[[#This Row],[Vehicle_Type]]="SUV",5,Table11[[#This Row],[Vehicle_Type]]="Sedan",7,Table11[[#This Row],[Vehicle_Type]]="Hatchback",10,Table11[[#This Row],[Vehicle_Type]]="Electric",11,Table11[[#This Row],[Vehicle_Type]]="Truck",13)</f>
        <v>13</v>
      </c>
      <c r="J497">
        <f ca="1">Table11[[#This Row],[Daily_Production]]*Table11[[#This Row],[Working_Days]]</f>
        <v>3000</v>
      </c>
      <c r="K497" s="81">
        <f>Table11[[#This Row],[Forecasted_Units]]*0.1</f>
        <v>9.9653810279241117</v>
      </c>
      <c r="L497" s="82">
        <f>Table11[[#This Row],[Adjusted_Forecast]]+Table11[[#This Row],[Safety_Stock]]-Table11[[#This Row],[Inventory_On_Hand]]</f>
        <v>59.273001586406338</v>
      </c>
      <c r="M497" s="82">
        <f ca="1">MIN(Table11[[#This Row],[Production_Needed]],Table11[[#This Row],[Production_Capacity]])</f>
        <v>59.273001586406338</v>
      </c>
      <c r="N497" s="82">
        <f ca="1">MAX(Table11[[#This Row],[Production_Needed]]-Table11[[#This Row],[Planned_Production]],0)</f>
        <v>0</v>
      </c>
      <c r="O497" s="82">
        <f ca="1">Table11[[#This Row],[Inventory_On_Hand]]+Table11[[#This Row],[Planned_Production]]-Table11[[#This Row],[Forecasted_Units]]</f>
        <v>9.96538102792411</v>
      </c>
      <c r="P497" cm="1">
        <f t="array" ref="P497">_xlfn.XLOOKUP(Table11[[#This Row],[Date]] &amp; Table11[[#This Row],[Vehicle_Type]], Table12[Date] &amp; Table12[Vehicle_Type],Table12[Feedback_Adjustment], 0)</f>
        <v>0</v>
      </c>
      <c r="Q497" s="82">
        <f>Table11[[#This Row],[Forecasted_Units]]*(1+Table11[[#This Row],[Adjustment_Percentage]])</f>
        <v>99.653810279241114</v>
      </c>
      <c r="R497" s="82"/>
    </row>
    <row r="498" spans="1:18">
      <c r="A498" s="53">
        <v>56885</v>
      </c>
      <c r="B498" s="14" t="s">
        <v>14</v>
      </c>
      <c r="C498" s="15" t="str">
        <f>TEXT(Table11[[#This Row],[Date]],"mmmm")</f>
        <v>September</v>
      </c>
      <c r="D498" s="14">
        <v>106</v>
      </c>
      <c r="E498" s="82">
        <f>_xlfn.FORECAST.LINEAR(Table11[[#This Row],[Date]],Table11[Units_Sold],Table11[Date])</f>
        <v>99.654974475897902</v>
      </c>
      <c r="F498" cm="1">
        <f t="array" ref="F498">_xlfn.IFS(Table11[[#This Row],[Vehicle_Type]]="SUV",250,Table11[[#This Row],[Vehicle_Type]]="Sedan",200,Table11[[#This Row],[Vehicle_Type]]="Hatchback",185,Table11[[#This Row],[Vehicle_Type]]="Electric",190,Table11[[#This Row],[Vehicle_Type]]="Truck",150)</f>
        <v>150</v>
      </c>
      <c r="G498">
        <f t="shared" ca="1" si="7"/>
        <v>24</v>
      </c>
      <c r="H498" s="82">
        <f>Table11[[#This Row],[Daily_Production]]-Table11[[#This Row],[Forecasted_Units]]</f>
        <v>50.345025524102098</v>
      </c>
      <c r="I498" cm="1">
        <f t="array" ref="I498">_xlfn.IFS(Table11[[#This Row],[Vehicle_Type]]="SUV",5,Table11[[#This Row],[Vehicle_Type]]="Sedan",7,Table11[[#This Row],[Vehicle_Type]]="Hatchback",10,Table11[[#This Row],[Vehicle_Type]]="Electric",11,Table11[[#This Row],[Vehicle_Type]]="Truck",13)</f>
        <v>13</v>
      </c>
      <c r="J498">
        <f ca="1">Table11[[#This Row],[Daily_Production]]*Table11[[#This Row],[Working_Days]]</f>
        <v>3600</v>
      </c>
      <c r="K498" s="81">
        <f>Table11[[#This Row],[Forecasted_Units]]*0.1</f>
        <v>9.9654974475897902</v>
      </c>
      <c r="L498" s="82">
        <f>Table11[[#This Row],[Adjusted_Forecast]]+Table11[[#This Row],[Safety_Stock]]-Table11[[#This Row],[Inventory_On_Hand]]</f>
        <v>59.275446399385586</v>
      </c>
      <c r="M498" s="82">
        <f ca="1">MIN(Table11[[#This Row],[Production_Needed]],Table11[[#This Row],[Production_Capacity]])</f>
        <v>59.275446399385586</v>
      </c>
      <c r="N498" s="82">
        <f ca="1">MAX(Table11[[#This Row],[Production_Needed]]-Table11[[#This Row],[Planned_Production]],0)</f>
        <v>0</v>
      </c>
      <c r="O498" s="82">
        <f ca="1">Table11[[#This Row],[Inventory_On_Hand]]+Table11[[#This Row],[Planned_Production]]-Table11[[#This Row],[Forecasted_Units]]</f>
        <v>9.9654974475897831</v>
      </c>
      <c r="P498" cm="1">
        <f t="array" ref="P498">_xlfn.XLOOKUP(Table11[[#This Row],[Date]] &amp; Table11[[#This Row],[Vehicle_Type]], Table12[Date] &amp; Table12[Vehicle_Type],Table12[Feedback_Adjustment], 0)</f>
        <v>0</v>
      </c>
      <c r="Q498" s="82">
        <f>Table11[[#This Row],[Forecasted_Units]]*(1+Table11[[#This Row],[Adjustment_Percentage]])</f>
        <v>99.654974475897902</v>
      </c>
      <c r="R498" s="82"/>
    </row>
    <row r="499" spans="1:18">
      <c r="A499" s="54">
        <v>56915</v>
      </c>
      <c r="B499" s="15" t="s">
        <v>12</v>
      </c>
      <c r="C499" s="15" t="str">
        <f>TEXT(Table11[[#This Row],[Date]],"mmmm")</f>
        <v>October</v>
      </c>
      <c r="D499" s="15">
        <v>94</v>
      </c>
      <c r="E499" s="82">
        <f>_xlfn.FORECAST.LINEAR(Table11[[#This Row],[Date]],Table11[Units_Sold],Table11[Date])</f>
        <v>99.65613867255469</v>
      </c>
      <c r="F499" cm="1">
        <f t="array" ref="F499">_xlfn.IFS(Table11[[#This Row],[Vehicle_Type]]="SUV",250,Table11[[#This Row],[Vehicle_Type]]="Sedan",200,Table11[[#This Row],[Vehicle_Type]]="Hatchback",185,Table11[[#This Row],[Vehicle_Type]]="Electric",190,Table11[[#This Row],[Vehicle_Type]]="Truck",150)</f>
        <v>250</v>
      </c>
      <c r="G499">
        <f t="shared" ca="1" si="7"/>
        <v>24</v>
      </c>
      <c r="H499" s="82">
        <f>Table11[[#This Row],[Daily_Production]]-Table11[[#This Row],[Forecasted_Units]]</f>
        <v>150.34386132744532</v>
      </c>
      <c r="I499" cm="1">
        <f t="array" ref="I499">_xlfn.IFS(Table11[[#This Row],[Vehicle_Type]]="SUV",5,Table11[[#This Row],[Vehicle_Type]]="Sedan",7,Table11[[#This Row],[Vehicle_Type]]="Hatchback",10,Table11[[#This Row],[Vehicle_Type]]="Electric",11,Table11[[#This Row],[Vehicle_Type]]="Truck",13)</f>
        <v>5</v>
      </c>
      <c r="J499">
        <f ca="1">Table11[[#This Row],[Daily_Production]]*Table11[[#This Row],[Working_Days]]</f>
        <v>6000</v>
      </c>
      <c r="K499" s="81">
        <f>Table11[[#This Row],[Forecasted_Units]]*0.1</f>
        <v>9.9656138672554704</v>
      </c>
      <c r="L499" s="82">
        <f>Table11[[#This Row],[Adjusted_Forecast]]+Table11[[#This Row],[Safety_Stock]]-Table11[[#This Row],[Inventory_On_Hand]]</f>
        <v>-40.722108787635165</v>
      </c>
      <c r="M499" s="82">
        <f ca="1">MIN(Table11[[#This Row],[Production_Needed]],Table11[[#This Row],[Production_Capacity]])</f>
        <v>-40.722108787635165</v>
      </c>
      <c r="N499" s="82">
        <f ca="1">MAX(Table11[[#This Row],[Production_Needed]]-Table11[[#This Row],[Planned_Production]],0)</f>
        <v>0</v>
      </c>
      <c r="O499" s="82">
        <f ca="1">Table11[[#This Row],[Inventory_On_Hand]]+Table11[[#This Row],[Planned_Production]]-Table11[[#This Row],[Forecasted_Units]]</f>
        <v>9.9656138672554704</v>
      </c>
      <c r="P499" cm="1">
        <f t="array" ref="P499">_xlfn.XLOOKUP(Table11[[#This Row],[Date]] &amp; Table11[[#This Row],[Vehicle_Type]], Table12[Date] &amp; Table12[Vehicle_Type],Table12[Feedback_Adjustment], 0)</f>
        <v>0</v>
      </c>
      <c r="Q499" s="82">
        <f>Table11[[#This Row],[Forecasted_Units]]*(1+Table11[[#This Row],[Adjustment_Percentage]])</f>
        <v>99.65613867255469</v>
      </c>
      <c r="R499" s="82"/>
    </row>
    <row r="500" spans="1:18">
      <c r="A500" s="53">
        <v>56945</v>
      </c>
      <c r="B500" s="14" t="s">
        <v>13</v>
      </c>
      <c r="C500" s="15" t="str">
        <f>TEXT(Table11[[#This Row],[Date]],"mmmm")</f>
        <v>November</v>
      </c>
      <c r="D500" s="14">
        <v>81</v>
      </c>
      <c r="E500" s="82">
        <f>_xlfn.FORECAST.LINEAR(Table11[[#This Row],[Date]],Table11[Units_Sold],Table11[Date])</f>
        <v>99.657302869211463</v>
      </c>
      <c r="F500" cm="1">
        <f t="array" ref="F500">_xlfn.IFS(Table11[[#This Row],[Vehicle_Type]]="SUV",250,Table11[[#This Row],[Vehicle_Type]]="Sedan",200,Table11[[#This Row],[Vehicle_Type]]="Hatchback",185,Table11[[#This Row],[Vehicle_Type]]="Electric",190,Table11[[#This Row],[Vehicle_Type]]="Truck",150)</f>
        <v>190</v>
      </c>
      <c r="G500">
        <f t="shared" ca="1" si="7"/>
        <v>23</v>
      </c>
      <c r="H500" s="82">
        <f>Table11[[#This Row],[Daily_Production]]-Table11[[#This Row],[Forecasted_Units]]</f>
        <v>90.342697130788537</v>
      </c>
      <c r="I500" cm="1">
        <f t="array" ref="I500">_xlfn.IFS(Table11[[#This Row],[Vehicle_Type]]="SUV",5,Table11[[#This Row],[Vehicle_Type]]="Sedan",7,Table11[[#This Row],[Vehicle_Type]]="Hatchback",10,Table11[[#This Row],[Vehicle_Type]]="Electric",11,Table11[[#This Row],[Vehicle_Type]]="Truck",13)</f>
        <v>11</v>
      </c>
      <c r="J500">
        <f ca="1">Table11[[#This Row],[Daily_Production]]*Table11[[#This Row],[Working_Days]]</f>
        <v>4370</v>
      </c>
      <c r="K500" s="81">
        <f>Table11[[#This Row],[Forecasted_Units]]*0.1</f>
        <v>9.965730286921147</v>
      </c>
      <c r="L500" s="82">
        <f>Table11[[#This Row],[Adjusted_Forecast]]+Table11[[#This Row],[Safety_Stock]]-Table11[[#This Row],[Inventory_On_Hand]]</f>
        <v>19.28033602534407</v>
      </c>
      <c r="M500" s="82">
        <f ca="1">MIN(Table11[[#This Row],[Production_Needed]],Table11[[#This Row],[Production_Capacity]])</f>
        <v>19.28033602534407</v>
      </c>
      <c r="N500" s="82">
        <f ca="1">MAX(Table11[[#This Row],[Production_Needed]]-Table11[[#This Row],[Planned_Production]],0)</f>
        <v>0</v>
      </c>
      <c r="O500" s="82">
        <f ca="1">Table11[[#This Row],[Inventory_On_Hand]]+Table11[[#This Row],[Planned_Production]]-Table11[[#This Row],[Forecasted_Units]]</f>
        <v>9.9657302869211435</v>
      </c>
      <c r="P500" cm="1">
        <f t="array" ref="P500">_xlfn.XLOOKUP(Table11[[#This Row],[Date]] &amp; Table11[[#This Row],[Vehicle_Type]], Table12[Date] &amp; Table12[Vehicle_Type],Table12[Feedback_Adjustment], 0)</f>
        <v>0</v>
      </c>
      <c r="Q500" s="82">
        <f>Table11[[#This Row],[Forecasted_Units]]*(1+Table11[[#This Row],[Adjustment_Percentage]])</f>
        <v>99.657302869211463</v>
      </c>
      <c r="R500" s="82"/>
    </row>
    <row r="501" spans="1:18">
      <c r="A501" s="54">
        <v>56975</v>
      </c>
      <c r="B501" s="15" t="s">
        <v>14</v>
      </c>
      <c r="C501" s="15" t="str">
        <f>TEXT(Table11[[#This Row],[Date]],"mmmm")</f>
        <v>December</v>
      </c>
      <c r="D501" s="15">
        <v>95</v>
      </c>
      <c r="E501" s="82">
        <f>_xlfn.FORECAST.LINEAR(Table11[[#This Row],[Date]],Table11[Units_Sold],Table11[Date])</f>
        <v>99.658467065868251</v>
      </c>
      <c r="F501" cm="1">
        <f t="array" ref="F501">_xlfn.IFS(Table11[[#This Row],[Vehicle_Type]]="SUV",250,Table11[[#This Row],[Vehicle_Type]]="Sedan",200,Table11[[#This Row],[Vehicle_Type]]="Hatchback",185,Table11[[#This Row],[Vehicle_Type]]="Electric",190,Table11[[#This Row],[Vehicle_Type]]="Truck",150)</f>
        <v>150</v>
      </c>
      <c r="G501">
        <f t="shared" ca="1" si="7"/>
        <v>22</v>
      </c>
      <c r="H501" s="82">
        <f>Table11[[#This Row],[Daily_Production]]-Table11[[#This Row],[Forecasted_Units]]</f>
        <v>50.341532934131749</v>
      </c>
      <c r="I501" cm="1">
        <f t="array" ref="I501">_xlfn.IFS(Table11[[#This Row],[Vehicle_Type]]="SUV",5,Table11[[#This Row],[Vehicle_Type]]="Sedan",7,Table11[[#This Row],[Vehicle_Type]]="Hatchback",10,Table11[[#This Row],[Vehicle_Type]]="Electric",11,Table11[[#This Row],[Vehicle_Type]]="Truck",13)</f>
        <v>13</v>
      </c>
      <c r="J501">
        <f ca="1">Table11[[#This Row],[Daily_Production]]*Table11[[#This Row],[Working_Days]]</f>
        <v>3300</v>
      </c>
      <c r="K501" s="81">
        <f>Table11[[#This Row],[Forecasted_Units]]*0.1</f>
        <v>9.9658467065868255</v>
      </c>
      <c r="L501" s="82">
        <f>Table11[[#This Row],[Adjusted_Forecast]]+Table11[[#This Row],[Safety_Stock]]-Table11[[#This Row],[Inventory_On_Hand]]</f>
        <v>59.282780838323333</v>
      </c>
      <c r="M501" s="82">
        <f ca="1">MIN(Table11[[#This Row],[Production_Needed]],Table11[[#This Row],[Production_Capacity]])</f>
        <v>59.282780838323333</v>
      </c>
      <c r="N501" s="82">
        <f ca="1">MAX(Table11[[#This Row],[Production_Needed]]-Table11[[#This Row],[Planned_Production]],0)</f>
        <v>0</v>
      </c>
      <c r="O501" s="82">
        <f ca="1">Table11[[#This Row],[Inventory_On_Hand]]+Table11[[#This Row],[Planned_Production]]-Table11[[#This Row],[Forecasted_Units]]</f>
        <v>9.9658467065868308</v>
      </c>
      <c r="P501" cm="1">
        <f t="array" ref="P501">_xlfn.XLOOKUP(Table11[[#This Row],[Date]] &amp; Table11[[#This Row],[Vehicle_Type]], Table12[Date] &amp; Table12[Vehicle_Type],Table12[Feedback_Adjustment], 0)</f>
        <v>0</v>
      </c>
      <c r="Q501" s="82">
        <f>Table11[[#This Row],[Forecasted_Units]]*(1+Table11[[#This Row],[Adjustment_Percentage]])</f>
        <v>99.658467065868251</v>
      </c>
      <c r="R501" s="82"/>
    </row>
  </sheetData>
  <conditionalFormatting sqref="A1:D501">
    <cfRule type="containsBlanks" dxfId="45" priority="7">
      <formula>LEN(TRIM(A1))=0</formula>
    </cfRule>
  </conditionalFormatting>
  <conditionalFormatting sqref="D1:D501">
    <cfRule type="cellIs" dxfId="44" priority="6" operator="greaterThan">
      <formula>127</formula>
    </cfRule>
  </conditionalFormatting>
  <conditionalFormatting sqref="D2:D501">
    <cfRule type="cellIs" dxfId="43" priority="5" operator="notBetween">
      <formula>75</formula>
      <formula>127</formula>
    </cfRule>
  </conditionalFormatting>
  <conditionalFormatting sqref="L1:L501">
    <cfRule type="expression" dxfId="42" priority="1">
      <formula>$L$2&gt;$J$2</formula>
    </cfRule>
  </conditionalFormatting>
  <dataValidations count="1">
    <dataValidation type="list" allowBlank="1" showInputMessage="1" showErrorMessage="1" sqref="B2:B501" xr:uid="{08F972BF-C3FC-4B53-9FC4-790A2CC10610}">
      <formula1>"SUV,Sedan,Hatchback,Electric,Truck"</formula1>
    </dataValidation>
  </dataValidation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FEE49-5148-42B3-A5E7-892DB70B5468}">
  <sheetPr codeName="Sheet63"/>
  <dimension ref="A1:R501"/>
  <sheetViews>
    <sheetView topLeftCell="C1" zoomScale="89" workbookViewId="0">
      <selection activeCell="P12" sqref="P12"/>
    </sheetView>
  </sheetViews>
  <sheetFormatPr defaultRowHeight="14.4"/>
  <cols>
    <col min="1" max="1" width="10.33203125" bestFit="1" customWidth="1"/>
    <col min="2" max="2" width="14.109375" customWidth="1"/>
    <col min="3" max="3" width="11.88671875" customWidth="1"/>
    <col min="4" max="4" width="14.88671875" customWidth="1"/>
    <col min="5" max="5" width="19.6640625" customWidth="1"/>
    <col min="6" max="6" width="20.44140625" bestFit="1" customWidth="1"/>
    <col min="14" max="14" width="13.44140625" customWidth="1"/>
    <col min="15" max="15" width="19.77734375" customWidth="1"/>
    <col min="16" max="16" width="17.77734375" bestFit="1" customWidth="1"/>
    <col min="17" max="17" width="12.21875" customWidth="1"/>
    <col min="18" max="19" width="31.77734375" bestFit="1" customWidth="1"/>
  </cols>
  <sheetData>
    <row r="1" spans="1:18">
      <c r="A1" s="16" t="s">
        <v>0</v>
      </c>
      <c r="B1" s="16" t="s">
        <v>1</v>
      </c>
      <c r="C1" s="16" t="s">
        <v>2</v>
      </c>
      <c r="D1" s="16" t="s">
        <v>3</v>
      </c>
      <c r="E1" t="s">
        <v>307</v>
      </c>
      <c r="F1" s="137" t="s">
        <v>308</v>
      </c>
      <c r="G1" s="137" t="s">
        <v>185</v>
      </c>
      <c r="H1" s="137" t="s">
        <v>309</v>
      </c>
      <c r="I1" s="137" t="s">
        <v>311</v>
      </c>
      <c r="J1" s="137" t="s">
        <v>312</v>
      </c>
      <c r="K1" s="137" t="s">
        <v>310</v>
      </c>
      <c r="L1" s="137" t="s">
        <v>313</v>
      </c>
    </row>
    <row r="2" spans="1:18">
      <c r="A2" s="53">
        <v>42005</v>
      </c>
      <c r="B2" s="14" t="s">
        <v>10</v>
      </c>
      <c r="C2" s="14">
        <v>96</v>
      </c>
      <c r="D2" s="14">
        <v>27205.390763642059</v>
      </c>
      <c r="E2" s="82">
        <f>_xlfn.FORECAST.LINEAR(Table15[[#This Row],[Date]],Table15[Units_Sold],Table15[Date])</f>
        <v>98.900383233532935</v>
      </c>
      <c r="F2" s="138">
        <f>Table15[[#This Row],[Average_Price]]/Table15[[#This Row],[Units_Sold]]</f>
        <v>283.38948712127143</v>
      </c>
      <c r="G2" cm="1">
        <f t="array" ref="G2">_xlfn.IFS(Table15[[#This Row],[Vehicle_Type]]="SUV",250,Table15[[#This Row],[Vehicle_Type]]="Sedan",200,Table15[[#This Row],[Vehicle_Type]]="Hatchback",185,Table15[[#This Row],[Vehicle_Type]]="Electric",190,Table15[[#This Row],[Vehicle_Type]]="Truck",150)</f>
        <v>200</v>
      </c>
      <c r="H2">
        <f t="shared" ref="H2:H65" ca="1" si="0">RANDBETWEEN(20,25)</f>
        <v>21</v>
      </c>
      <c r="I2">
        <f t="shared" ref="I2:I65" ca="1" si="1">RANDBETWEEN(8,12)</f>
        <v>9</v>
      </c>
      <c r="J2" s="81">
        <f ca="1">24/Table15[[#This Row],[Production_Hours]]</f>
        <v>2.6666666666666665</v>
      </c>
      <c r="K2" s="82">
        <f ca="1">(Table15[[#This Row],[Daily_Production]]*Table15[[#This Row],[Working_Days]]) -Table15[[#This Row],[Maintenance_Downtime]]</f>
        <v>4197.333333333333</v>
      </c>
    </row>
    <row r="3" spans="1:18">
      <c r="A3" s="54">
        <v>42035</v>
      </c>
      <c r="B3" s="15" t="s">
        <v>10</v>
      </c>
      <c r="C3" s="15">
        <v>107</v>
      </c>
      <c r="D3" s="15">
        <v>31886.059375322606</v>
      </c>
      <c r="E3" s="82">
        <f>_xlfn.FORECAST.LINEAR(Table15[[#This Row],[Date]],Table15[Units_Sold],Table15[Date])</f>
        <v>98.901984903939621</v>
      </c>
      <c r="F3" s="138">
        <f>Table15[[#This Row],[Average_Price]]/Table15[[#This Row],[Units_Sold]]</f>
        <v>298.00055490955708</v>
      </c>
      <c r="G3" cm="1">
        <f t="array" ref="G3">_xlfn.IFS(Table15[[#This Row],[Vehicle_Type]]="SUV",250,Table15[[#This Row],[Vehicle_Type]]="Sedan",200,Table15[[#This Row],[Vehicle_Type]]="Hatchback",185,Table15[[#This Row],[Vehicle_Type]]="Electric",190,Table15[[#This Row],[Vehicle_Type]]="Truck",150)</f>
        <v>200</v>
      </c>
      <c r="H3">
        <f t="shared" ca="1" si="0"/>
        <v>20</v>
      </c>
      <c r="I3">
        <f t="shared" ca="1" si="1"/>
        <v>12</v>
      </c>
      <c r="J3" s="81">
        <f ca="1">24/Table15[[#This Row],[Production_Hours]]</f>
        <v>2</v>
      </c>
      <c r="K3" s="82">
        <f ca="1">(Table15[[#This Row],[Daily_Production]]*Table15[[#This Row],[Working_Days]]) -Table15[[#This Row],[Maintenance_Downtime]]</f>
        <v>3998</v>
      </c>
    </row>
    <row r="4" spans="1:18">
      <c r="A4" s="53">
        <v>42065</v>
      </c>
      <c r="B4" s="14" t="s">
        <v>11</v>
      </c>
      <c r="C4" s="14">
        <v>88</v>
      </c>
      <c r="D4" s="14">
        <v>38106.295579999998</v>
      </c>
      <c r="E4" s="82">
        <f>_xlfn.FORECAST.LINEAR(Table15[[#This Row],[Date]],Table15[Units_Sold],Table15[Date])</f>
        <v>98.903586574346306</v>
      </c>
      <c r="F4" s="138">
        <f>Table15[[#This Row],[Average_Price]]/Table15[[#This Row],[Units_Sold]]</f>
        <v>433.02608613636363</v>
      </c>
      <c r="G4" cm="1">
        <f t="array" ref="G4">_xlfn.IFS(Table15[[#This Row],[Vehicle_Type]]="SUV",250,Table15[[#This Row],[Vehicle_Type]]="Sedan",200,Table15[[#This Row],[Vehicle_Type]]="Hatchback",185,Table15[[#This Row],[Vehicle_Type]]="Electric",190,Table15[[#This Row],[Vehicle_Type]]="Truck",150)</f>
        <v>185</v>
      </c>
      <c r="H4">
        <f t="shared" ca="1" si="0"/>
        <v>21</v>
      </c>
      <c r="I4">
        <f t="shared" ca="1" si="1"/>
        <v>8</v>
      </c>
      <c r="J4" s="81">
        <f ca="1">24/Table15[[#This Row],[Production_Hours]]</f>
        <v>3</v>
      </c>
      <c r="K4" s="82">
        <f ca="1">(Table15[[#This Row],[Daily_Production]]*Table15[[#This Row],[Working_Days]]) -Table15[[#This Row],[Maintenance_Downtime]]</f>
        <v>3882</v>
      </c>
      <c r="N4" s="154" t="s">
        <v>1</v>
      </c>
      <c r="O4" s="154" t="s">
        <v>307</v>
      </c>
      <c r="P4" s="154" t="s">
        <v>308</v>
      </c>
      <c r="Q4" s="154" t="s">
        <v>315</v>
      </c>
      <c r="R4" s="154" t="s">
        <v>313</v>
      </c>
    </row>
    <row r="5" spans="1:18">
      <c r="A5" s="54">
        <v>42095</v>
      </c>
      <c r="B5" s="15" t="s">
        <v>12</v>
      </c>
      <c r="C5" s="15">
        <v>103</v>
      </c>
      <c r="D5" s="15">
        <v>29671.248694635062</v>
      </c>
      <c r="E5" s="82">
        <f>_xlfn.FORECAST.LINEAR(Table15[[#This Row],[Date]],Table15[Units_Sold],Table15[Date])</f>
        <v>98.905188244752978</v>
      </c>
      <c r="F5" s="138">
        <f>Table15[[#This Row],[Average_Price]]/Table15[[#This Row],[Units_Sold]]</f>
        <v>288.07037567606858</v>
      </c>
      <c r="G5" cm="1">
        <f t="array" ref="G5">_xlfn.IFS(Table15[[#This Row],[Vehicle_Type]]="SUV",250,Table15[[#This Row],[Vehicle_Type]]="Sedan",200,Table15[[#This Row],[Vehicle_Type]]="Hatchback",185,Table15[[#This Row],[Vehicle_Type]]="Electric",190,Table15[[#This Row],[Vehicle_Type]]="Truck",150)</f>
        <v>250</v>
      </c>
      <c r="H5">
        <f t="shared" ca="1" si="0"/>
        <v>22</v>
      </c>
      <c r="I5">
        <f t="shared" ca="1" si="1"/>
        <v>10</v>
      </c>
      <c r="J5" s="81">
        <f ca="1">24/Table15[[#This Row],[Production_Hours]]</f>
        <v>2.4</v>
      </c>
      <c r="K5" s="82">
        <f ca="1">(Table15[[#This Row],[Daily_Production]]*Table15[[#This Row],[Working_Days]]) -Table15[[#This Row],[Maintenance_Downtime]]</f>
        <v>5497.6</v>
      </c>
      <c r="N5" s="100" t="s">
        <v>10</v>
      </c>
      <c r="O5" s="153">
        <f>SUMIF(Table15[Vehicle_Type],"Sedan",Table15[Forecasted_Demand])</f>
        <v>10622.406791211162</v>
      </c>
      <c r="P5" s="153">
        <f>SUMIF(Table15[Vehicle_Type],"Sedan",Table15[Prod_Cost_Per_Unit])</f>
        <v>33588.336449425231</v>
      </c>
      <c r="Q5" s="153">
        <f ca="1">SUMIF(Table15[Vehicle_Type],"Sedan",Table15[Max Capacity])</f>
        <v>480541.13333333289</v>
      </c>
      <c r="R5" s="153">
        <v>10622.406791211162</v>
      </c>
    </row>
    <row r="6" spans="1:18">
      <c r="A6" s="53">
        <v>42125</v>
      </c>
      <c r="B6" s="14" t="s">
        <v>12</v>
      </c>
      <c r="C6" s="14">
        <v>111</v>
      </c>
      <c r="D6" s="14">
        <v>27224.002366534009</v>
      </c>
      <c r="E6" s="82">
        <f>_xlfn.FORECAST.LINEAR(Table15[[#This Row],[Date]],Table15[Units_Sold],Table15[Date])</f>
        <v>98.906789915159663</v>
      </c>
      <c r="F6" s="138">
        <f>Table15[[#This Row],[Average_Price]]/Table15[[#This Row],[Units_Sold]]</f>
        <v>245.26128258138746</v>
      </c>
      <c r="G6" cm="1">
        <f t="array" ref="G6">_xlfn.IFS(Table15[[#This Row],[Vehicle_Type]]="SUV",250,Table15[[#This Row],[Vehicle_Type]]="Sedan",200,Table15[[#This Row],[Vehicle_Type]]="Hatchback",185,Table15[[#This Row],[Vehicle_Type]]="Electric",190,Table15[[#This Row],[Vehicle_Type]]="Truck",150)</f>
        <v>250</v>
      </c>
      <c r="H6">
        <f t="shared" ca="1" si="0"/>
        <v>20</v>
      </c>
      <c r="I6">
        <f t="shared" ca="1" si="1"/>
        <v>10</v>
      </c>
      <c r="J6" s="81">
        <f ca="1">24/Table15[[#This Row],[Production_Hours]]</f>
        <v>2.4</v>
      </c>
      <c r="K6" s="82">
        <f ca="1">(Table15[[#This Row],[Daily_Production]]*Table15[[#This Row],[Working_Days]]) -Table15[[#This Row],[Maintenance_Downtime]]</f>
        <v>4997.6000000000004</v>
      </c>
      <c r="N6" s="100" t="s">
        <v>12</v>
      </c>
      <c r="O6" s="153">
        <f>SUMIF(Table15[Vehicle_Type],"SUV",Table15[Forecasted_Demand])</f>
        <v>10523.898817227264</v>
      </c>
      <c r="P6" s="153">
        <f>SUMIF(Table15[Vehicle_Type],"SUV",Table15[Prod_Cost_Per_Unit])</f>
        <v>33255.371860090047</v>
      </c>
      <c r="Q6" s="153">
        <f ca="1">SUMIF(Table15[Vehicle_Type],"SUV",Table15[Max Capacity])</f>
        <v>591738.115151515</v>
      </c>
      <c r="R6" s="153">
        <v>10523.898817227264</v>
      </c>
    </row>
    <row r="7" spans="1:18">
      <c r="A7" s="54">
        <v>42155</v>
      </c>
      <c r="B7" s="15" t="s">
        <v>12</v>
      </c>
      <c r="C7" s="15">
        <v>90</v>
      </c>
      <c r="D7" s="15">
        <v>39405.785347202953</v>
      </c>
      <c r="E7" s="82">
        <f>_xlfn.FORECAST.LINEAR(Table15[[#This Row],[Date]],Table15[Units_Sold],Table15[Date])</f>
        <v>98.908391585566349</v>
      </c>
      <c r="F7" s="138">
        <f>Table15[[#This Row],[Average_Price]]/Table15[[#This Row],[Units_Sold]]</f>
        <v>437.84205941336614</v>
      </c>
      <c r="G7" cm="1">
        <f t="array" ref="G7">_xlfn.IFS(Table15[[#This Row],[Vehicle_Type]]="SUV",250,Table15[[#This Row],[Vehicle_Type]]="Sedan",200,Table15[[#This Row],[Vehicle_Type]]="Hatchback",185,Table15[[#This Row],[Vehicle_Type]]="Electric",190,Table15[[#This Row],[Vehicle_Type]]="Truck",150)</f>
        <v>250</v>
      </c>
      <c r="H7">
        <f t="shared" ca="1" si="0"/>
        <v>22</v>
      </c>
      <c r="I7">
        <f t="shared" ca="1" si="1"/>
        <v>12</v>
      </c>
      <c r="J7" s="81">
        <f ca="1">24/Table15[[#This Row],[Production_Hours]]</f>
        <v>2</v>
      </c>
      <c r="K7" s="82">
        <f ca="1">(Table15[[#This Row],[Daily_Production]]*Table15[[#This Row],[Working_Days]]) -Table15[[#This Row],[Maintenance_Downtime]]</f>
        <v>5498</v>
      </c>
      <c r="N7" s="100" t="s">
        <v>11</v>
      </c>
      <c r="O7" s="153">
        <f>SUMIF(Table15[Vehicle_Type],"Hatchback",Table15[Forecasted_Demand])</f>
        <v>9734.1164330097381</v>
      </c>
      <c r="P7" s="153">
        <f>SUMIF(Table15[Vehicle_Type],"Hatchback",Table15[Prod_Cost_Per_Unit])</f>
        <v>30990.899406474633</v>
      </c>
      <c r="Q7" s="153">
        <f ca="1">SUMIF(Table15[Vehicle_Type],"Hatchback",Table15[Max Capacity])</f>
        <v>413974.7212121209</v>
      </c>
      <c r="R7" s="153">
        <v>9734.1164330097381</v>
      </c>
    </row>
    <row r="8" spans="1:18">
      <c r="A8" s="53">
        <v>42185</v>
      </c>
      <c r="B8" s="14" t="s">
        <v>10</v>
      </c>
      <c r="C8" s="14">
        <v>94</v>
      </c>
      <c r="D8" s="14">
        <v>22759.93049791878</v>
      </c>
      <c r="E8" s="82">
        <f>_xlfn.FORECAST.LINEAR(Table15[[#This Row],[Date]],Table15[Units_Sold],Table15[Date])</f>
        <v>98.909993255973035</v>
      </c>
      <c r="F8" s="138">
        <f>Table15[[#This Row],[Average_Price]]/Table15[[#This Row],[Units_Sold]]</f>
        <v>242.12692019062533</v>
      </c>
      <c r="G8" cm="1">
        <f t="array" ref="G8">_xlfn.IFS(Table15[[#This Row],[Vehicle_Type]]="SUV",250,Table15[[#This Row],[Vehicle_Type]]="Sedan",200,Table15[[#This Row],[Vehicle_Type]]="Hatchback",185,Table15[[#This Row],[Vehicle_Type]]="Electric",190,Table15[[#This Row],[Vehicle_Type]]="Truck",150)</f>
        <v>200</v>
      </c>
      <c r="H8">
        <f t="shared" ca="1" si="0"/>
        <v>21</v>
      </c>
      <c r="I8">
        <f t="shared" ca="1" si="1"/>
        <v>11</v>
      </c>
      <c r="J8" s="81">
        <f ca="1">24/Table15[[#This Row],[Production_Hours]]</f>
        <v>2.1818181818181817</v>
      </c>
      <c r="K8" s="82">
        <f ca="1">(Table15[[#This Row],[Daily_Production]]*Table15[[#This Row],[Working_Days]]) -Table15[[#This Row],[Maintenance_Downtime]]</f>
        <v>4197.818181818182</v>
      </c>
      <c r="N8" s="100" t="s">
        <v>13</v>
      </c>
      <c r="O8" s="153">
        <f>SUMIF(Table15[Vehicle_Type],"Electric",Table15[Forecasted_Demand])</f>
        <v>10029.581093156374</v>
      </c>
      <c r="P8" s="153">
        <f>SUMIF(Table15[Vehicle_Type],"Electric",Table15[Prod_Cost_Per_Unit])</f>
        <v>31237.164498010261</v>
      </c>
      <c r="Q8" s="153">
        <f ca="1">SUMIF(Table15[Vehicle_Type],"Electric",Table15[Max Capacity])</f>
        <v>429914.45454545412</v>
      </c>
      <c r="R8" s="153">
        <v>10029.581093156374</v>
      </c>
    </row>
    <row r="9" spans="1:18">
      <c r="A9" s="54">
        <v>42215</v>
      </c>
      <c r="B9" s="15" t="s">
        <v>13</v>
      </c>
      <c r="C9" s="15">
        <v>98</v>
      </c>
      <c r="D9" s="15">
        <v>19005.97021689959</v>
      </c>
      <c r="E9" s="82">
        <f>_xlfn.FORECAST.LINEAR(Table15[[#This Row],[Date]],Table15[Units_Sold],Table15[Date])</f>
        <v>98.911594926379706</v>
      </c>
      <c r="F9" s="138">
        <f>Table15[[#This Row],[Average_Price]]/Table15[[#This Row],[Units_Sold]]</f>
        <v>193.93847160101623</v>
      </c>
      <c r="G9" cm="1">
        <f t="array" ref="G9">_xlfn.IFS(Table15[[#This Row],[Vehicle_Type]]="SUV",250,Table15[[#This Row],[Vehicle_Type]]="Sedan",200,Table15[[#This Row],[Vehicle_Type]]="Hatchback",185,Table15[[#This Row],[Vehicle_Type]]="Electric",190,Table15[[#This Row],[Vehicle_Type]]="Truck",150)</f>
        <v>190</v>
      </c>
      <c r="H9">
        <f t="shared" ca="1" si="0"/>
        <v>23</v>
      </c>
      <c r="I9">
        <f t="shared" ca="1" si="1"/>
        <v>8</v>
      </c>
      <c r="J9" s="81">
        <f ca="1">24/Table15[[#This Row],[Production_Hours]]</f>
        <v>3</v>
      </c>
      <c r="K9" s="82">
        <f ca="1">(Table15[[#This Row],[Daily_Production]]*Table15[[#This Row],[Working_Days]]) -Table15[[#This Row],[Maintenance_Downtime]]</f>
        <v>4367</v>
      </c>
      <c r="N9" s="100" t="s">
        <v>14</v>
      </c>
      <c r="O9" s="153">
        <f>SUMIF(Table15[Vehicle_Type],"Truck",Table15[Forecasted_Demand])</f>
        <v>8739.9968653954656</v>
      </c>
      <c r="P9" s="153">
        <f>SUMIF(Table15[Vehicle_Type],"Truck",Table15[Prod_Cost_Per_Unit])</f>
        <v>27727.8621906181</v>
      </c>
      <c r="Q9" s="153">
        <f ca="1">SUMIF(Table15[Vehicle_Type],"Truck",Table15[Max Capacity])</f>
        <v>299482.86666666658</v>
      </c>
      <c r="R9" s="153">
        <v>8739.9968653954656</v>
      </c>
    </row>
    <row r="10" spans="1:18">
      <c r="A10" s="53">
        <v>42245</v>
      </c>
      <c r="B10" s="14" t="s">
        <v>10</v>
      </c>
      <c r="C10" s="14">
        <v>103</v>
      </c>
      <c r="D10" s="14">
        <v>32200.072250266661</v>
      </c>
      <c r="E10" s="82">
        <f>_xlfn.FORECAST.LINEAR(Table15[[#This Row],[Date]],Table15[Units_Sold],Table15[Date])</f>
        <v>98.913196596786392</v>
      </c>
      <c r="F10" s="138">
        <f>Table15[[#This Row],[Average_Price]]/Table15[[#This Row],[Units_Sold]]</f>
        <v>312.62206068220058</v>
      </c>
      <c r="G10" cm="1">
        <f t="array" ref="G10">_xlfn.IFS(Table15[[#This Row],[Vehicle_Type]]="SUV",250,Table15[[#This Row],[Vehicle_Type]]="Sedan",200,Table15[[#This Row],[Vehicle_Type]]="Hatchback",185,Table15[[#This Row],[Vehicle_Type]]="Electric",190,Table15[[#This Row],[Vehicle_Type]]="Truck",150)</f>
        <v>200</v>
      </c>
      <c r="H10">
        <f t="shared" ca="1" si="0"/>
        <v>23</v>
      </c>
      <c r="I10">
        <f t="shared" ca="1" si="1"/>
        <v>12</v>
      </c>
      <c r="J10" s="81">
        <f ca="1">24/Table15[[#This Row],[Production_Hours]]</f>
        <v>2</v>
      </c>
      <c r="K10" s="82">
        <f ca="1">(Table15[[#This Row],[Daily_Production]]*Table15[[#This Row],[Working_Days]]) -Table15[[#This Row],[Maintenance_Downtime]]</f>
        <v>4598</v>
      </c>
    </row>
    <row r="11" spans="1:18">
      <c r="A11" s="54">
        <v>42275</v>
      </c>
      <c r="B11" s="15" t="s">
        <v>13</v>
      </c>
      <c r="C11" s="15">
        <v>94</v>
      </c>
      <c r="D11" s="15">
        <v>27489.728878236943</v>
      </c>
      <c r="E11" s="82">
        <f>_xlfn.FORECAST.LINEAR(Table15[[#This Row],[Date]],Table15[Units_Sold],Table15[Date])</f>
        <v>98.914798267193078</v>
      </c>
      <c r="F11" s="138">
        <f>Table15[[#This Row],[Average_Price]]/Table15[[#This Row],[Units_Sold]]</f>
        <v>292.44392423656325</v>
      </c>
      <c r="G11" cm="1">
        <f t="array" ref="G11">_xlfn.IFS(Table15[[#This Row],[Vehicle_Type]]="SUV",250,Table15[[#This Row],[Vehicle_Type]]="Sedan",200,Table15[[#This Row],[Vehicle_Type]]="Hatchback",185,Table15[[#This Row],[Vehicle_Type]]="Electric",190,Table15[[#This Row],[Vehicle_Type]]="Truck",150)</f>
        <v>190</v>
      </c>
      <c r="H11">
        <f t="shared" ca="1" si="0"/>
        <v>20</v>
      </c>
      <c r="I11">
        <f t="shared" ca="1" si="1"/>
        <v>10</v>
      </c>
      <c r="J11" s="81">
        <f ca="1">24/Table15[[#This Row],[Production_Hours]]</f>
        <v>2.4</v>
      </c>
      <c r="K11" s="82">
        <f ca="1">(Table15[[#This Row],[Daily_Production]]*Table15[[#This Row],[Working_Days]]) -Table15[[#This Row],[Maintenance_Downtime]]</f>
        <v>3797.6</v>
      </c>
    </row>
    <row r="12" spans="1:18">
      <c r="A12" s="53">
        <v>42305</v>
      </c>
      <c r="B12" s="14" t="s">
        <v>14</v>
      </c>
      <c r="C12" s="14">
        <v>99</v>
      </c>
      <c r="D12" s="14">
        <v>24893.835914346433</v>
      </c>
      <c r="E12" s="82">
        <f>_xlfn.FORECAST.LINEAR(Table15[[#This Row],[Date]],Table15[Units_Sold],Table15[Date])</f>
        <v>98.916399937599749</v>
      </c>
      <c r="F12" s="138">
        <f>Table15[[#This Row],[Average_Price]]/Table15[[#This Row],[Units_Sold]]</f>
        <v>251.45288802370135</v>
      </c>
      <c r="G12" cm="1">
        <f t="array" ref="G12">_xlfn.IFS(Table15[[#This Row],[Vehicle_Type]]="SUV",250,Table15[[#This Row],[Vehicle_Type]]="Sedan",200,Table15[[#This Row],[Vehicle_Type]]="Hatchback",185,Table15[[#This Row],[Vehicle_Type]]="Electric",190,Table15[[#This Row],[Vehicle_Type]]="Truck",150)</f>
        <v>150</v>
      </c>
      <c r="H12">
        <f t="shared" ca="1" si="0"/>
        <v>25</v>
      </c>
      <c r="I12">
        <f t="shared" ca="1" si="1"/>
        <v>8</v>
      </c>
      <c r="J12" s="81">
        <f ca="1">24/Table15[[#This Row],[Production_Hours]]</f>
        <v>3</v>
      </c>
      <c r="K12" s="82">
        <f ca="1">(Table15[[#This Row],[Daily_Production]]*Table15[[#This Row],[Working_Days]]) -Table15[[#This Row],[Maintenance_Downtime]]</f>
        <v>3747</v>
      </c>
      <c r="O12" s="2" t="s">
        <v>314</v>
      </c>
      <c r="P12" cm="1">
        <f t="array" ref="P12">SUM(R5:R9*P5:P9)</f>
        <v>1564071268.0602098</v>
      </c>
    </row>
    <row r="13" spans="1:18">
      <c r="A13" s="54">
        <v>42335</v>
      </c>
      <c r="B13" s="15" t="s">
        <v>10</v>
      </c>
      <c r="C13" s="15">
        <v>90</v>
      </c>
      <c r="D13" s="15">
        <v>33541.782236496765</v>
      </c>
      <c r="E13" s="82">
        <f>_xlfn.FORECAST.LINEAR(Table15[[#This Row],[Date]],Table15[Units_Sold],Table15[Date])</f>
        <v>98.918001608006435</v>
      </c>
      <c r="F13" s="138">
        <f>Table15[[#This Row],[Average_Price]]/Table15[[#This Row],[Units_Sold]]</f>
        <v>372.68646929440848</v>
      </c>
      <c r="G13" cm="1">
        <f t="array" ref="G13">_xlfn.IFS(Table15[[#This Row],[Vehicle_Type]]="SUV",250,Table15[[#This Row],[Vehicle_Type]]="Sedan",200,Table15[[#This Row],[Vehicle_Type]]="Hatchback",185,Table15[[#This Row],[Vehicle_Type]]="Electric",190,Table15[[#This Row],[Vehicle_Type]]="Truck",150)</f>
        <v>200</v>
      </c>
      <c r="H13">
        <f t="shared" ca="1" si="0"/>
        <v>23</v>
      </c>
      <c r="I13">
        <f t="shared" ca="1" si="1"/>
        <v>9</v>
      </c>
      <c r="J13" s="81">
        <f ca="1">24/Table15[[#This Row],[Production_Hours]]</f>
        <v>2.6666666666666665</v>
      </c>
      <c r="K13" s="82">
        <f ca="1">(Table15[[#This Row],[Daily_Production]]*Table15[[#This Row],[Working_Days]]) -Table15[[#This Row],[Maintenance_Downtime]]</f>
        <v>4597.333333333333</v>
      </c>
    </row>
    <row r="14" spans="1:18">
      <c r="A14" s="53">
        <v>42365</v>
      </c>
      <c r="B14" s="14" t="s">
        <v>10</v>
      </c>
      <c r="C14" s="14">
        <v>100</v>
      </c>
      <c r="D14" s="14">
        <v>31219.003568855995</v>
      </c>
      <c r="E14" s="82">
        <f>_xlfn.FORECAST.LINEAR(Table15[[#This Row],[Date]],Table15[Units_Sold],Table15[Date])</f>
        <v>98.919603278413121</v>
      </c>
      <c r="F14" s="138">
        <f>Table15[[#This Row],[Average_Price]]/Table15[[#This Row],[Units_Sold]]</f>
        <v>312.19003568855993</v>
      </c>
      <c r="G14" cm="1">
        <f t="array" ref="G14">_xlfn.IFS(Table15[[#This Row],[Vehicle_Type]]="SUV",250,Table15[[#This Row],[Vehicle_Type]]="Sedan",200,Table15[[#This Row],[Vehicle_Type]]="Hatchback",185,Table15[[#This Row],[Vehicle_Type]]="Electric",190,Table15[[#This Row],[Vehicle_Type]]="Truck",150)</f>
        <v>200</v>
      </c>
      <c r="H14">
        <f t="shared" ca="1" si="0"/>
        <v>20</v>
      </c>
      <c r="I14">
        <f t="shared" ca="1" si="1"/>
        <v>12</v>
      </c>
      <c r="J14" s="81">
        <f ca="1">24/Table15[[#This Row],[Production_Hours]]</f>
        <v>2</v>
      </c>
      <c r="K14" s="82">
        <f ca="1">(Table15[[#This Row],[Daily_Production]]*Table15[[#This Row],[Working_Days]]) -Table15[[#This Row],[Maintenance_Downtime]]</f>
        <v>3998</v>
      </c>
    </row>
    <row r="15" spans="1:18">
      <c r="A15" s="54">
        <v>42395</v>
      </c>
      <c r="B15" s="15" t="s">
        <v>10</v>
      </c>
      <c r="C15" s="15">
        <v>103</v>
      </c>
      <c r="D15" s="15">
        <v>27179.606846316357</v>
      </c>
      <c r="E15" s="82">
        <f>_xlfn.FORECAST.LINEAR(Table15[[#This Row],[Date]],Table15[Units_Sold],Table15[Date])</f>
        <v>98.921204948819806</v>
      </c>
      <c r="F15" s="138">
        <f>Table15[[#This Row],[Average_Price]]/Table15[[#This Row],[Units_Sold]]</f>
        <v>263.87967811957628</v>
      </c>
      <c r="G15" cm="1">
        <f t="array" ref="G15">_xlfn.IFS(Table15[[#This Row],[Vehicle_Type]]="SUV",250,Table15[[#This Row],[Vehicle_Type]]="Sedan",200,Table15[[#This Row],[Vehicle_Type]]="Hatchback",185,Table15[[#This Row],[Vehicle_Type]]="Electric",190,Table15[[#This Row],[Vehicle_Type]]="Truck",150)</f>
        <v>200</v>
      </c>
      <c r="H15">
        <f t="shared" ca="1" si="0"/>
        <v>21</v>
      </c>
      <c r="I15">
        <f t="shared" ca="1" si="1"/>
        <v>11</v>
      </c>
      <c r="J15" s="81">
        <f ca="1">24/Table15[[#This Row],[Production_Hours]]</f>
        <v>2.1818181818181817</v>
      </c>
      <c r="K15" s="82">
        <f ca="1">(Table15[[#This Row],[Daily_Production]]*Table15[[#This Row],[Working_Days]]) -Table15[[#This Row],[Maintenance_Downtime]]</f>
        <v>4197.818181818182</v>
      </c>
    </row>
    <row r="16" spans="1:18">
      <c r="A16" s="53">
        <v>42425</v>
      </c>
      <c r="B16" s="14" t="s">
        <v>12</v>
      </c>
      <c r="C16" s="14">
        <v>94</v>
      </c>
      <c r="D16" s="14">
        <v>23598.478006645528</v>
      </c>
      <c r="E16" s="82">
        <f>_xlfn.FORECAST.LINEAR(Table15[[#This Row],[Date]],Table15[Units_Sold],Table15[Date])</f>
        <v>98.922806619226478</v>
      </c>
      <c r="F16" s="138">
        <f>Table15[[#This Row],[Average_Price]]/Table15[[#This Row],[Units_Sold]]</f>
        <v>251.04763836856944</v>
      </c>
      <c r="G16" cm="1">
        <f t="array" ref="G16">_xlfn.IFS(Table15[[#This Row],[Vehicle_Type]]="SUV",250,Table15[[#This Row],[Vehicle_Type]]="Sedan",200,Table15[[#This Row],[Vehicle_Type]]="Hatchback",185,Table15[[#This Row],[Vehicle_Type]]="Electric",190,Table15[[#This Row],[Vehicle_Type]]="Truck",150)</f>
        <v>250</v>
      </c>
      <c r="H16">
        <f t="shared" ca="1" si="0"/>
        <v>23</v>
      </c>
      <c r="I16">
        <f t="shared" ca="1" si="1"/>
        <v>10</v>
      </c>
      <c r="J16" s="81">
        <f ca="1">24/Table15[[#This Row],[Production_Hours]]</f>
        <v>2.4</v>
      </c>
      <c r="K16" s="82">
        <f ca="1">(Table15[[#This Row],[Daily_Production]]*Table15[[#This Row],[Working_Days]]) -Table15[[#This Row],[Maintenance_Downtime]]</f>
        <v>5747.6</v>
      </c>
    </row>
    <row r="17" spans="1:11">
      <c r="A17" s="54">
        <v>42455</v>
      </c>
      <c r="B17" s="15" t="s">
        <v>12</v>
      </c>
      <c r="C17" s="15">
        <v>105</v>
      </c>
      <c r="D17" s="15">
        <v>34362.286641400722</v>
      </c>
      <c r="E17" s="82">
        <f>_xlfn.FORECAST.LINEAR(Table15[[#This Row],[Date]],Table15[Units_Sold],Table15[Date])</f>
        <v>98.924408289633163</v>
      </c>
      <c r="F17" s="138">
        <f>Table15[[#This Row],[Average_Price]]/Table15[[#This Row],[Units_Sold]]</f>
        <v>327.25987277524496</v>
      </c>
      <c r="G17" cm="1">
        <f t="array" ref="G17">_xlfn.IFS(Table15[[#This Row],[Vehicle_Type]]="SUV",250,Table15[[#This Row],[Vehicle_Type]]="Sedan",200,Table15[[#This Row],[Vehicle_Type]]="Hatchback",185,Table15[[#This Row],[Vehicle_Type]]="Electric",190,Table15[[#This Row],[Vehicle_Type]]="Truck",150)</f>
        <v>250</v>
      </c>
      <c r="H17">
        <f t="shared" ca="1" si="0"/>
        <v>25</v>
      </c>
      <c r="I17">
        <f t="shared" ca="1" si="1"/>
        <v>11</v>
      </c>
      <c r="J17" s="81">
        <f ca="1">24/Table15[[#This Row],[Production_Hours]]</f>
        <v>2.1818181818181817</v>
      </c>
      <c r="K17" s="82">
        <f ca="1">(Table15[[#This Row],[Daily_Production]]*Table15[[#This Row],[Working_Days]]) -Table15[[#This Row],[Maintenance_Downtime]]</f>
        <v>6247.818181818182</v>
      </c>
    </row>
    <row r="18" spans="1:11">
      <c r="A18" s="53">
        <v>42485</v>
      </c>
      <c r="B18" s="14" t="s">
        <v>13</v>
      </c>
      <c r="C18" s="14">
        <v>86</v>
      </c>
      <c r="D18" s="14">
        <v>33251.005889793305</v>
      </c>
      <c r="E18" s="82">
        <f>_xlfn.FORECAST.LINEAR(Table15[[#This Row],[Date]],Table15[Units_Sold],Table15[Date])</f>
        <v>98.926009960039849</v>
      </c>
      <c r="F18" s="138">
        <f>Table15[[#This Row],[Average_Price]]/Table15[[#This Row],[Units_Sold]]</f>
        <v>386.63960336968961</v>
      </c>
      <c r="G18" cm="1">
        <f t="array" ref="G18">_xlfn.IFS(Table15[[#This Row],[Vehicle_Type]]="SUV",250,Table15[[#This Row],[Vehicle_Type]]="Sedan",200,Table15[[#This Row],[Vehicle_Type]]="Hatchback",185,Table15[[#This Row],[Vehicle_Type]]="Electric",190,Table15[[#This Row],[Vehicle_Type]]="Truck",150)</f>
        <v>190</v>
      </c>
      <c r="H18">
        <f t="shared" ca="1" si="0"/>
        <v>21</v>
      </c>
      <c r="I18">
        <f t="shared" ca="1" si="1"/>
        <v>9</v>
      </c>
      <c r="J18" s="81">
        <f ca="1">24/Table15[[#This Row],[Production_Hours]]</f>
        <v>2.6666666666666665</v>
      </c>
      <c r="K18" s="82">
        <f ca="1">(Table15[[#This Row],[Daily_Production]]*Table15[[#This Row],[Working_Days]]) -Table15[[#This Row],[Maintenance_Downtime]]</f>
        <v>3987.3333333333335</v>
      </c>
    </row>
    <row r="19" spans="1:11">
      <c r="A19" s="54">
        <v>42515</v>
      </c>
      <c r="B19" s="15" t="s">
        <v>13</v>
      </c>
      <c r="C19" s="15">
        <v>92</v>
      </c>
      <c r="D19" s="15">
        <v>29504.120681103086</v>
      </c>
      <c r="E19" s="82">
        <f>_xlfn.FORECAST.LINEAR(Table15[[#This Row],[Date]],Table15[Units_Sold],Table15[Date])</f>
        <v>98.927611630446521</v>
      </c>
      <c r="F19" s="138">
        <f>Table15[[#This Row],[Average_Price]]/Table15[[#This Row],[Units_Sold]]</f>
        <v>320.69696392503357</v>
      </c>
      <c r="G19" cm="1">
        <f t="array" ref="G19">_xlfn.IFS(Table15[[#This Row],[Vehicle_Type]]="SUV",250,Table15[[#This Row],[Vehicle_Type]]="Sedan",200,Table15[[#This Row],[Vehicle_Type]]="Hatchback",185,Table15[[#This Row],[Vehicle_Type]]="Electric",190,Table15[[#This Row],[Vehicle_Type]]="Truck",150)</f>
        <v>190</v>
      </c>
      <c r="H19">
        <f t="shared" ca="1" si="0"/>
        <v>23</v>
      </c>
      <c r="I19">
        <f t="shared" ca="1" si="1"/>
        <v>8</v>
      </c>
      <c r="J19" s="81">
        <f ca="1">24/Table15[[#This Row],[Production_Hours]]</f>
        <v>3</v>
      </c>
      <c r="K19" s="82">
        <f ca="1">(Table15[[#This Row],[Daily_Production]]*Table15[[#This Row],[Working_Days]]) -Table15[[#This Row],[Maintenance_Downtime]]</f>
        <v>4367</v>
      </c>
    </row>
    <row r="20" spans="1:11">
      <c r="A20" s="53">
        <v>42545</v>
      </c>
      <c r="B20" s="14" t="s">
        <v>10</v>
      </c>
      <c r="C20" s="14">
        <v>94</v>
      </c>
      <c r="D20" s="14">
        <v>39233.184980238329</v>
      </c>
      <c r="E20" s="82">
        <f>_xlfn.FORECAST.LINEAR(Table15[[#This Row],[Date]],Table15[Units_Sold],Table15[Date])</f>
        <v>98.929213300853206</v>
      </c>
      <c r="F20" s="138">
        <f>Table15[[#This Row],[Average_Price]]/Table15[[#This Row],[Units_Sold]]</f>
        <v>417.37430830040773</v>
      </c>
      <c r="G20" cm="1">
        <f t="array" ref="G20">_xlfn.IFS(Table15[[#This Row],[Vehicle_Type]]="SUV",250,Table15[[#This Row],[Vehicle_Type]]="Sedan",200,Table15[[#This Row],[Vehicle_Type]]="Hatchback",185,Table15[[#This Row],[Vehicle_Type]]="Electric",190,Table15[[#This Row],[Vehicle_Type]]="Truck",150)</f>
        <v>200</v>
      </c>
      <c r="H20">
        <f t="shared" ca="1" si="0"/>
        <v>20</v>
      </c>
      <c r="I20">
        <f t="shared" ca="1" si="1"/>
        <v>12</v>
      </c>
      <c r="J20" s="81">
        <f ca="1">24/Table15[[#This Row],[Production_Hours]]</f>
        <v>2</v>
      </c>
      <c r="K20" s="82">
        <f ca="1">(Table15[[#This Row],[Daily_Production]]*Table15[[#This Row],[Working_Days]]) -Table15[[#This Row],[Maintenance_Downtime]]</f>
        <v>3998</v>
      </c>
    </row>
    <row r="21" spans="1:11">
      <c r="A21" s="54">
        <v>42575</v>
      </c>
      <c r="B21" s="15" t="s">
        <v>13</v>
      </c>
      <c r="C21" s="15">
        <v>101</v>
      </c>
      <c r="D21" s="15">
        <v>24649.576168369236</v>
      </c>
      <c r="E21" s="82">
        <f>_xlfn.FORECAST.LINEAR(Table15[[#This Row],[Date]],Table15[Units_Sold],Table15[Date])</f>
        <v>98.930814971259892</v>
      </c>
      <c r="F21" s="138">
        <f>Table15[[#This Row],[Average_Price]]/Table15[[#This Row],[Units_Sold]]</f>
        <v>244.05520958781423</v>
      </c>
      <c r="G21" cm="1">
        <f t="array" ref="G21">_xlfn.IFS(Table15[[#This Row],[Vehicle_Type]]="SUV",250,Table15[[#This Row],[Vehicle_Type]]="Sedan",200,Table15[[#This Row],[Vehicle_Type]]="Hatchback",185,Table15[[#This Row],[Vehicle_Type]]="Electric",190,Table15[[#This Row],[Vehicle_Type]]="Truck",150)</f>
        <v>190</v>
      </c>
      <c r="H21">
        <f t="shared" ca="1" si="0"/>
        <v>21</v>
      </c>
      <c r="I21">
        <f t="shared" ca="1" si="1"/>
        <v>8</v>
      </c>
      <c r="J21" s="81">
        <f ca="1">24/Table15[[#This Row],[Production_Hours]]</f>
        <v>3</v>
      </c>
      <c r="K21" s="82">
        <f ca="1">(Table15[[#This Row],[Daily_Production]]*Table15[[#This Row],[Working_Days]]) -Table15[[#This Row],[Maintenance_Downtime]]</f>
        <v>3987</v>
      </c>
    </row>
    <row r="22" spans="1:11">
      <c r="A22" s="53">
        <v>42605</v>
      </c>
      <c r="B22" s="14" t="s">
        <v>12</v>
      </c>
      <c r="C22" s="14">
        <v>103</v>
      </c>
      <c r="D22" s="14">
        <v>22372.374145376307</v>
      </c>
      <c r="E22" s="82">
        <f>_xlfn.FORECAST.LINEAR(Table15[[#This Row],[Date]],Table15[Units_Sold],Table15[Date])</f>
        <v>98.932416641666578</v>
      </c>
      <c r="F22" s="138">
        <f>Table15[[#This Row],[Average_Price]]/Table15[[#This Row],[Units_Sold]]</f>
        <v>217.20751597452724</v>
      </c>
      <c r="G22" cm="1">
        <f t="array" ref="G22">_xlfn.IFS(Table15[[#This Row],[Vehicle_Type]]="SUV",250,Table15[[#This Row],[Vehicle_Type]]="Sedan",200,Table15[[#This Row],[Vehicle_Type]]="Hatchback",185,Table15[[#This Row],[Vehicle_Type]]="Electric",190,Table15[[#This Row],[Vehicle_Type]]="Truck",150)</f>
        <v>250</v>
      </c>
      <c r="H22">
        <f t="shared" ca="1" si="0"/>
        <v>20</v>
      </c>
      <c r="I22">
        <f t="shared" ca="1" si="1"/>
        <v>12</v>
      </c>
      <c r="J22" s="81">
        <f ca="1">24/Table15[[#This Row],[Production_Hours]]</f>
        <v>2</v>
      </c>
      <c r="K22" s="82">
        <f ca="1">(Table15[[#This Row],[Daily_Production]]*Table15[[#This Row],[Working_Days]]) -Table15[[#This Row],[Maintenance_Downtime]]</f>
        <v>4998</v>
      </c>
    </row>
    <row r="23" spans="1:11">
      <c r="A23" s="54">
        <v>42635</v>
      </c>
      <c r="B23" s="15" t="s">
        <v>13</v>
      </c>
      <c r="C23" s="15">
        <v>84</v>
      </c>
      <c r="D23" s="15">
        <v>26540.459650593777</v>
      </c>
      <c r="E23" s="82">
        <f>_xlfn.FORECAST.LINEAR(Table15[[#This Row],[Date]],Table15[Units_Sold],Table15[Date])</f>
        <v>98.934018312073249</v>
      </c>
      <c r="F23" s="138">
        <f>Table15[[#This Row],[Average_Price]]/Table15[[#This Row],[Units_Sold]]</f>
        <v>315.95785298325927</v>
      </c>
      <c r="G23" cm="1">
        <f t="array" ref="G23">_xlfn.IFS(Table15[[#This Row],[Vehicle_Type]]="SUV",250,Table15[[#This Row],[Vehicle_Type]]="Sedan",200,Table15[[#This Row],[Vehicle_Type]]="Hatchback",185,Table15[[#This Row],[Vehicle_Type]]="Electric",190,Table15[[#This Row],[Vehicle_Type]]="Truck",150)</f>
        <v>190</v>
      </c>
      <c r="H23">
        <f t="shared" ca="1" si="0"/>
        <v>22</v>
      </c>
      <c r="I23">
        <f t="shared" ca="1" si="1"/>
        <v>8</v>
      </c>
      <c r="J23" s="81">
        <f ca="1">24/Table15[[#This Row],[Production_Hours]]</f>
        <v>3</v>
      </c>
      <c r="K23" s="82">
        <f ca="1">(Table15[[#This Row],[Daily_Production]]*Table15[[#This Row],[Working_Days]]) -Table15[[#This Row],[Maintenance_Downtime]]</f>
        <v>4177</v>
      </c>
    </row>
    <row r="24" spans="1:11">
      <c r="A24" s="53">
        <v>42665</v>
      </c>
      <c r="B24" s="14" t="s">
        <v>14</v>
      </c>
      <c r="C24" s="14">
        <v>76</v>
      </c>
      <c r="D24" s="14">
        <v>29772.069918222511</v>
      </c>
      <c r="E24" s="82">
        <f>_xlfn.FORECAST.LINEAR(Table15[[#This Row],[Date]],Table15[Units_Sold],Table15[Date])</f>
        <v>98.935619982479935</v>
      </c>
      <c r="F24" s="138">
        <f>Table15[[#This Row],[Average_Price]]/Table15[[#This Row],[Units_Sold]]</f>
        <v>391.73776208187513</v>
      </c>
      <c r="G24" cm="1">
        <f t="array" ref="G24">_xlfn.IFS(Table15[[#This Row],[Vehicle_Type]]="SUV",250,Table15[[#This Row],[Vehicle_Type]]="Sedan",200,Table15[[#This Row],[Vehicle_Type]]="Hatchback",185,Table15[[#This Row],[Vehicle_Type]]="Electric",190,Table15[[#This Row],[Vehicle_Type]]="Truck",150)</f>
        <v>150</v>
      </c>
      <c r="H24">
        <f t="shared" ca="1" si="0"/>
        <v>23</v>
      </c>
      <c r="I24">
        <f t="shared" ca="1" si="1"/>
        <v>10</v>
      </c>
      <c r="J24" s="81">
        <f ca="1">24/Table15[[#This Row],[Production_Hours]]</f>
        <v>2.4</v>
      </c>
      <c r="K24" s="82">
        <f ca="1">(Table15[[#This Row],[Daily_Production]]*Table15[[#This Row],[Working_Days]]) -Table15[[#This Row],[Maintenance_Downtime]]</f>
        <v>3447.6</v>
      </c>
    </row>
    <row r="25" spans="1:11">
      <c r="A25" s="54">
        <v>42695</v>
      </c>
      <c r="B25" s="15" t="s">
        <v>12</v>
      </c>
      <c r="C25" s="15">
        <v>100</v>
      </c>
      <c r="D25" s="15">
        <v>31216.697246613458</v>
      </c>
      <c r="E25" s="82">
        <f>_xlfn.FORECAST.LINEAR(Table15[[#This Row],[Date]],Table15[Units_Sold],Table15[Date])</f>
        <v>98.93722165288662</v>
      </c>
      <c r="F25" s="138">
        <f>Table15[[#This Row],[Average_Price]]/Table15[[#This Row],[Units_Sold]]</f>
        <v>312.16697246613455</v>
      </c>
      <c r="G25" cm="1">
        <f t="array" ref="G25">_xlfn.IFS(Table15[[#This Row],[Vehicle_Type]]="SUV",250,Table15[[#This Row],[Vehicle_Type]]="Sedan",200,Table15[[#This Row],[Vehicle_Type]]="Hatchback",185,Table15[[#This Row],[Vehicle_Type]]="Electric",190,Table15[[#This Row],[Vehicle_Type]]="Truck",150)</f>
        <v>250</v>
      </c>
      <c r="H25">
        <f t="shared" ca="1" si="0"/>
        <v>22</v>
      </c>
      <c r="I25">
        <f t="shared" ca="1" si="1"/>
        <v>10</v>
      </c>
      <c r="J25" s="81">
        <f ca="1">24/Table15[[#This Row],[Production_Hours]]</f>
        <v>2.4</v>
      </c>
      <c r="K25" s="82">
        <f ca="1">(Table15[[#This Row],[Daily_Production]]*Table15[[#This Row],[Working_Days]]) -Table15[[#This Row],[Maintenance_Downtime]]</f>
        <v>5497.6</v>
      </c>
    </row>
    <row r="26" spans="1:11">
      <c r="A26" s="53">
        <v>42725</v>
      </c>
      <c r="B26" s="14" t="s">
        <v>14</v>
      </c>
      <c r="C26" s="14">
        <v>111</v>
      </c>
      <c r="D26" s="14">
        <v>28793.819710718351</v>
      </c>
      <c r="E26" s="82">
        <f>_xlfn.FORECAST.LINEAR(Table15[[#This Row],[Date]],Table15[Units_Sold],Table15[Date])</f>
        <v>98.938823323293292</v>
      </c>
      <c r="F26" s="138">
        <f>Table15[[#This Row],[Average_Price]]/Table15[[#This Row],[Units_Sold]]</f>
        <v>259.40378117764283</v>
      </c>
      <c r="G26" cm="1">
        <f t="array" ref="G26">_xlfn.IFS(Table15[[#This Row],[Vehicle_Type]]="SUV",250,Table15[[#This Row],[Vehicle_Type]]="Sedan",200,Table15[[#This Row],[Vehicle_Type]]="Hatchback",185,Table15[[#This Row],[Vehicle_Type]]="Electric",190,Table15[[#This Row],[Vehicle_Type]]="Truck",150)</f>
        <v>150</v>
      </c>
      <c r="H26">
        <f t="shared" ca="1" si="0"/>
        <v>24</v>
      </c>
      <c r="I26">
        <f t="shared" ca="1" si="1"/>
        <v>11</v>
      </c>
      <c r="J26" s="81">
        <f ca="1">24/Table15[[#This Row],[Production_Hours]]</f>
        <v>2.1818181818181817</v>
      </c>
      <c r="K26" s="82">
        <f ca="1">(Table15[[#This Row],[Daily_Production]]*Table15[[#This Row],[Working_Days]]) -Table15[[#This Row],[Maintenance_Downtime]]</f>
        <v>3597.818181818182</v>
      </c>
    </row>
    <row r="27" spans="1:11">
      <c r="A27" s="54">
        <v>42755</v>
      </c>
      <c r="B27" s="15" t="s">
        <v>13</v>
      </c>
      <c r="C27" s="15">
        <v>93</v>
      </c>
      <c r="D27" s="15">
        <v>38106.295579999998</v>
      </c>
      <c r="E27" s="82">
        <f>_xlfn.FORECAST.LINEAR(Table15[[#This Row],[Date]],Table15[Units_Sold],Table15[Date])</f>
        <v>98.940424993699978</v>
      </c>
      <c r="F27" s="138">
        <f>Table15[[#This Row],[Average_Price]]/Table15[[#This Row],[Units_Sold]]</f>
        <v>409.74511376344083</v>
      </c>
      <c r="G27" cm="1">
        <f t="array" ref="G27">_xlfn.IFS(Table15[[#This Row],[Vehicle_Type]]="SUV",250,Table15[[#This Row],[Vehicle_Type]]="Sedan",200,Table15[[#This Row],[Vehicle_Type]]="Hatchback",185,Table15[[#This Row],[Vehicle_Type]]="Electric",190,Table15[[#This Row],[Vehicle_Type]]="Truck",150)</f>
        <v>190</v>
      </c>
      <c r="H27">
        <f t="shared" ca="1" si="0"/>
        <v>24</v>
      </c>
      <c r="I27">
        <f t="shared" ca="1" si="1"/>
        <v>9</v>
      </c>
      <c r="J27" s="81">
        <f ca="1">24/Table15[[#This Row],[Production_Hours]]</f>
        <v>2.6666666666666665</v>
      </c>
      <c r="K27" s="82">
        <f ca="1">(Table15[[#This Row],[Daily_Production]]*Table15[[#This Row],[Working_Days]]) -Table15[[#This Row],[Maintenance_Downtime]]</f>
        <v>4557.333333333333</v>
      </c>
    </row>
    <row r="28" spans="1:11">
      <c r="A28" s="53">
        <v>42785</v>
      </c>
      <c r="B28" s="14" t="s">
        <v>11</v>
      </c>
      <c r="C28" s="14">
        <v>87</v>
      </c>
      <c r="D28" s="14">
        <v>23742.30287904778</v>
      </c>
      <c r="E28" s="82">
        <f>_xlfn.FORECAST.LINEAR(Table15[[#This Row],[Date]],Table15[Units_Sold],Table15[Date])</f>
        <v>98.942026664106663</v>
      </c>
      <c r="F28" s="138">
        <f>Table15[[#This Row],[Average_Price]]/Table15[[#This Row],[Units_Sold]]</f>
        <v>272.90003309250324</v>
      </c>
      <c r="G28" cm="1">
        <f t="array" ref="G28">_xlfn.IFS(Table15[[#This Row],[Vehicle_Type]]="SUV",250,Table15[[#This Row],[Vehicle_Type]]="Sedan",200,Table15[[#This Row],[Vehicle_Type]]="Hatchback",185,Table15[[#This Row],[Vehicle_Type]]="Electric",190,Table15[[#This Row],[Vehicle_Type]]="Truck",150)</f>
        <v>185</v>
      </c>
      <c r="H28">
        <f t="shared" ca="1" si="0"/>
        <v>25</v>
      </c>
      <c r="I28">
        <f t="shared" ca="1" si="1"/>
        <v>8</v>
      </c>
      <c r="J28" s="81">
        <f ca="1">24/Table15[[#This Row],[Production_Hours]]</f>
        <v>3</v>
      </c>
      <c r="K28" s="82">
        <f ca="1">(Table15[[#This Row],[Daily_Production]]*Table15[[#This Row],[Working_Days]]) -Table15[[#This Row],[Maintenance_Downtime]]</f>
        <v>4622</v>
      </c>
    </row>
    <row r="29" spans="1:11">
      <c r="A29" s="54">
        <v>42815</v>
      </c>
      <c r="B29" s="15" t="s">
        <v>10</v>
      </c>
      <c r="C29" s="15">
        <v>108</v>
      </c>
      <c r="D29" s="15">
        <v>37218.823020366297</v>
      </c>
      <c r="E29" s="82">
        <f>_xlfn.FORECAST.LINEAR(Table15[[#This Row],[Date]],Table15[Units_Sold],Table15[Date])</f>
        <v>98.943628334513349</v>
      </c>
      <c r="F29" s="138">
        <f>Table15[[#This Row],[Average_Price]]/Table15[[#This Row],[Units_Sold]]</f>
        <v>344.61873167005831</v>
      </c>
      <c r="G29" cm="1">
        <f t="array" ref="G29">_xlfn.IFS(Table15[[#This Row],[Vehicle_Type]]="SUV",250,Table15[[#This Row],[Vehicle_Type]]="Sedan",200,Table15[[#This Row],[Vehicle_Type]]="Hatchback",185,Table15[[#This Row],[Vehicle_Type]]="Electric",190,Table15[[#This Row],[Vehicle_Type]]="Truck",150)</f>
        <v>200</v>
      </c>
      <c r="H29">
        <f t="shared" ca="1" si="0"/>
        <v>20</v>
      </c>
      <c r="I29">
        <f t="shared" ca="1" si="1"/>
        <v>12</v>
      </c>
      <c r="J29" s="81">
        <f ca="1">24/Table15[[#This Row],[Production_Hours]]</f>
        <v>2</v>
      </c>
      <c r="K29" s="82">
        <f ca="1">(Table15[[#This Row],[Daily_Production]]*Table15[[#This Row],[Working_Days]]) -Table15[[#This Row],[Maintenance_Downtime]]</f>
        <v>3998</v>
      </c>
    </row>
    <row r="30" spans="1:11">
      <c r="A30" s="53">
        <v>42845</v>
      </c>
      <c r="B30" s="14" t="s">
        <v>12</v>
      </c>
      <c r="C30" s="14">
        <v>106</v>
      </c>
      <c r="D30" s="14">
        <v>29589.244108037157</v>
      </c>
      <c r="E30" s="82">
        <f>_xlfn.FORECAST.LINEAR(Table15[[#This Row],[Date]],Table15[Units_Sold],Table15[Date])</f>
        <v>98.94523000492002</v>
      </c>
      <c r="F30" s="138">
        <f>Table15[[#This Row],[Average_Price]]/Table15[[#This Row],[Units_Sold]]</f>
        <v>279.14381233997318</v>
      </c>
      <c r="G30" cm="1">
        <f t="array" ref="G30">_xlfn.IFS(Table15[[#This Row],[Vehicle_Type]]="SUV",250,Table15[[#This Row],[Vehicle_Type]]="Sedan",200,Table15[[#This Row],[Vehicle_Type]]="Hatchback",185,Table15[[#This Row],[Vehicle_Type]]="Electric",190,Table15[[#This Row],[Vehicle_Type]]="Truck",150)</f>
        <v>250</v>
      </c>
      <c r="H30">
        <f t="shared" ca="1" si="0"/>
        <v>24</v>
      </c>
      <c r="I30">
        <f t="shared" ca="1" si="1"/>
        <v>9</v>
      </c>
      <c r="J30" s="81">
        <f ca="1">24/Table15[[#This Row],[Production_Hours]]</f>
        <v>2.6666666666666665</v>
      </c>
      <c r="K30" s="82">
        <f ca="1">(Table15[[#This Row],[Daily_Production]]*Table15[[#This Row],[Working_Days]]) -Table15[[#This Row],[Maintenance_Downtime]]</f>
        <v>5997.333333333333</v>
      </c>
    </row>
    <row r="31" spans="1:11">
      <c r="A31" s="54">
        <v>42875</v>
      </c>
      <c r="B31" s="15" t="s">
        <v>14</v>
      </c>
      <c r="C31" s="15">
        <v>108</v>
      </c>
      <c r="D31" s="15">
        <v>35586.479157940637</v>
      </c>
      <c r="E31" s="82">
        <f>_xlfn.FORECAST.LINEAR(Table15[[#This Row],[Date]],Table15[Units_Sold],Table15[Date])</f>
        <v>98.946831675326706</v>
      </c>
      <c r="F31" s="138">
        <f>Table15[[#This Row],[Average_Price]]/Table15[[#This Row],[Units_Sold]]</f>
        <v>329.50443664759848</v>
      </c>
      <c r="G31" cm="1">
        <f t="array" ref="G31">_xlfn.IFS(Table15[[#This Row],[Vehicle_Type]]="SUV",250,Table15[[#This Row],[Vehicle_Type]]="Sedan",200,Table15[[#This Row],[Vehicle_Type]]="Hatchback",185,Table15[[#This Row],[Vehicle_Type]]="Electric",190,Table15[[#This Row],[Vehicle_Type]]="Truck",150)</f>
        <v>150</v>
      </c>
      <c r="H31">
        <f t="shared" ca="1" si="0"/>
        <v>20</v>
      </c>
      <c r="I31">
        <f t="shared" ca="1" si="1"/>
        <v>11</v>
      </c>
      <c r="J31" s="81">
        <f ca="1">24/Table15[[#This Row],[Production_Hours]]</f>
        <v>2.1818181818181817</v>
      </c>
      <c r="K31" s="82">
        <f ca="1">(Table15[[#This Row],[Daily_Production]]*Table15[[#This Row],[Working_Days]]) -Table15[[#This Row],[Maintenance_Downtime]]</f>
        <v>2997.818181818182</v>
      </c>
    </row>
    <row r="32" spans="1:11">
      <c r="A32" s="53">
        <v>42905</v>
      </c>
      <c r="B32" s="14" t="s">
        <v>11</v>
      </c>
      <c r="C32" s="14">
        <v>96</v>
      </c>
      <c r="D32" s="14">
        <v>31713.626731888522</v>
      </c>
      <c r="E32" s="82">
        <f>_xlfn.FORECAST.LINEAR(Table15[[#This Row],[Date]],Table15[Units_Sold],Table15[Date])</f>
        <v>98.948433345733392</v>
      </c>
      <c r="F32" s="138">
        <f>Table15[[#This Row],[Average_Price]]/Table15[[#This Row],[Units_Sold]]</f>
        <v>330.35027845717212</v>
      </c>
      <c r="G32" cm="1">
        <f t="array" ref="G32">_xlfn.IFS(Table15[[#This Row],[Vehicle_Type]]="SUV",250,Table15[[#This Row],[Vehicle_Type]]="Sedan",200,Table15[[#This Row],[Vehicle_Type]]="Hatchback",185,Table15[[#This Row],[Vehicle_Type]]="Electric",190,Table15[[#This Row],[Vehicle_Type]]="Truck",150)</f>
        <v>185</v>
      </c>
      <c r="H32">
        <f t="shared" ca="1" si="0"/>
        <v>23</v>
      </c>
      <c r="I32">
        <f t="shared" ca="1" si="1"/>
        <v>11</v>
      </c>
      <c r="J32" s="81">
        <f ca="1">24/Table15[[#This Row],[Production_Hours]]</f>
        <v>2.1818181818181817</v>
      </c>
      <c r="K32" s="82">
        <f ca="1">(Table15[[#This Row],[Daily_Production]]*Table15[[#This Row],[Working_Days]]) -Table15[[#This Row],[Maintenance_Downtime]]</f>
        <v>4252.818181818182</v>
      </c>
    </row>
    <row r="33" spans="1:11">
      <c r="A33" s="54">
        <v>42935</v>
      </c>
      <c r="B33" s="15" t="s">
        <v>11</v>
      </c>
      <c r="C33" s="15">
        <v>113</v>
      </c>
      <c r="D33" s="15">
        <v>32283.766095768919</v>
      </c>
      <c r="E33" s="82">
        <f>_xlfn.FORECAST.LINEAR(Table15[[#This Row],[Date]],Table15[Units_Sold],Table15[Date])</f>
        <v>98.950035016140063</v>
      </c>
      <c r="F33" s="138">
        <f>Table15[[#This Row],[Average_Price]]/Table15[[#This Row],[Units_Sold]]</f>
        <v>285.69704509530015</v>
      </c>
      <c r="G33" cm="1">
        <f t="array" ref="G33">_xlfn.IFS(Table15[[#This Row],[Vehicle_Type]]="SUV",250,Table15[[#This Row],[Vehicle_Type]]="Sedan",200,Table15[[#This Row],[Vehicle_Type]]="Hatchback",185,Table15[[#This Row],[Vehicle_Type]]="Electric",190,Table15[[#This Row],[Vehicle_Type]]="Truck",150)</f>
        <v>185</v>
      </c>
      <c r="H33">
        <f t="shared" ca="1" si="0"/>
        <v>20</v>
      </c>
      <c r="I33">
        <f t="shared" ca="1" si="1"/>
        <v>12</v>
      </c>
      <c r="J33" s="81">
        <f ca="1">24/Table15[[#This Row],[Production_Hours]]</f>
        <v>2</v>
      </c>
      <c r="K33" s="82">
        <f ca="1">(Table15[[#This Row],[Daily_Production]]*Table15[[#This Row],[Working_Days]]) -Table15[[#This Row],[Maintenance_Downtime]]</f>
        <v>3698</v>
      </c>
    </row>
    <row r="34" spans="1:11">
      <c r="A34" s="53">
        <v>42965</v>
      </c>
      <c r="B34" s="14" t="s">
        <v>12</v>
      </c>
      <c r="C34" s="14">
        <v>95</v>
      </c>
      <c r="D34" s="14">
        <v>32848.836401161017</v>
      </c>
      <c r="E34" s="82">
        <f>_xlfn.FORECAST.LINEAR(Table15[[#This Row],[Date]],Table15[Units_Sold],Table15[Date])</f>
        <v>98.951636686546749</v>
      </c>
      <c r="F34" s="138">
        <f>Table15[[#This Row],[Average_Price]]/Table15[[#This Row],[Units_Sold]]</f>
        <v>345.77722527537912</v>
      </c>
      <c r="G34" cm="1">
        <f t="array" ref="G34">_xlfn.IFS(Table15[[#This Row],[Vehicle_Type]]="SUV",250,Table15[[#This Row],[Vehicle_Type]]="Sedan",200,Table15[[#This Row],[Vehicle_Type]]="Hatchback",185,Table15[[#This Row],[Vehicle_Type]]="Electric",190,Table15[[#This Row],[Vehicle_Type]]="Truck",150)</f>
        <v>250</v>
      </c>
      <c r="H34">
        <f t="shared" ca="1" si="0"/>
        <v>22</v>
      </c>
      <c r="I34">
        <f t="shared" ca="1" si="1"/>
        <v>8</v>
      </c>
      <c r="J34" s="81">
        <f ca="1">24/Table15[[#This Row],[Production_Hours]]</f>
        <v>3</v>
      </c>
      <c r="K34" s="82">
        <f ca="1">(Table15[[#This Row],[Daily_Production]]*Table15[[#This Row],[Working_Days]]) -Table15[[#This Row],[Maintenance_Downtime]]</f>
        <v>5497</v>
      </c>
    </row>
    <row r="35" spans="1:11">
      <c r="A35" s="54">
        <v>42995</v>
      </c>
      <c r="B35" s="15" t="s">
        <v>12</v>
      </c>
      <c r="C35" s="15">
        <v>94</v>
      </c>
      <c r="D35" s="15">
        <v>32238.542800086576</v>
      </c>
      <c r="E35" s="82">
        <f>_xlfn.FORECAST.LINEAR(Table15[[#This Row],[Date]],Table15[Units_Sold],Table15[Date])</f>
        <v>98.953238356953435</v>
      </c>
      <c r="F35" s="138">
        <f>Table15[[#This Row],[Average_Price]]/Table15[[#This Row],[Units_Sold]]</f>
        <v>342.96322127751677</v>
      </c>
      <c r="G35" cm="1">
        <f t="array" ref="G35">_xlfn.IFS(Table15[[#This Row],[Vehicle_Type]]="SUV",250,Table15[[#This Row],[Vehicle_Type]]="Sedan",200,Table15[[#This Row],[Vehicle_Type]]="Hatchback",185,Table15[[#This Row],[Vehicle_Type]]="Electric",190,Table15[[#This Row],[Vehicle_Type]]="Truck",150)</f>
        <v>250</v>
      </c>
      <c r="H35">
        <f t="shared" ca="1" si="0"/>
        <v>22</v>
      </c>
      <c r="I35">
        <f t="shared" ca="1" si="1"/>
        <v>8</v>
      </c>
      <c r="J35" s="81">
        <f ca="1">24/Table15[[#This Row],[Production_Hours]]</f>
        <v>3</v>
      </c>
      <c r="K35" s="82">
        <f ca="1">(Table15[[#This Row],[Daily_Production]]*Table15[[#This Row],[Working_Days]]) -Table15[[#This Row],[Maintenance_Downtime]]</f>
        <v>5497</v>
      </c>
    </row>
    <row r="36" spans="1:11">
      <c r="A36" s="53">
        <v>43025</v>
      </c>
      <c r="B36" s="14" t="s">
        <v>11</v>
      </c>
      <c r="C36" s="14">
        <v>107</v>
      </c>
      <c r="D36" s="14">
        <v>33213.61379933772</v>
      </c>
      <c r="E36" s="82">
        <f>_xlfn.FORECAST.LINEAR(Table15[[#This Row],[Date]],Table15[Units_Sold],Table15[Date])</f>
        <v>98.95484002736012</v>
      </c>
      <c r="F36" s="138">
        <f>Table15[[#This Row],[Average_Price]]/Table15[[#This Row],[Units_Sold]]</f>
        <v>310.40760560128712</v>
      </c>
      <c r="G36" cm="1">
        <f t="array" ref="G36">_xlfn.IFS(Table15[[#This Row],[Vehicle_Type]]="SUV",250,Table15[[#This Row],[Vehicle_Type]]="Sedan",200,Table15[[#This Row],[Vehicle_Type]]="Hatchback",185,Table15[[#This Row],[Vehicle_Type]]="Electric",190,Table15[[#This Row],[Vehicle_Type]]="Truck",150)</f>
        <v>185</v>
      </c>
      <c r="H36">
        <f t="shared" ca="1" si="0"/>
        <v>25</v>
      </c>
      <c r="I36">
        <f t="shared" ca="1" si="1"/>
        <v>9</v>
      </c>
      <c r="J36" s="81">
        <f ca="1">24/Table15[[#This Row],[Production_Hours]]</f>
        <v>2.6666666666666665</v>
      </c>
      <c r="K36" s="82">
        <f ca="1">(Table15[[#This Row],[Daily_Production]]*Table15[[#This Row],[Working_Days]]) -Table15[[#This Row],[Maintenance_Downtime]]</f>
        <v>4622.333333333333</v>
      </c>
    </row>
    <row r="37" spans="1:11">
      <c r="A37" s="54">
        <v>43055</v>
      </c>
      <c r="B37" s="15" t="s">
        <v>10</v>
      </c>
      <c r="C37" s="15">
        <v>114</v>
      </c>
      <c r="D37" s="15">
        <v>36645.76265066216</v>
      </c>
      <c r="E37" s="82">
        <f>_xlfn.FORECAST.LINEAR(Table15[[#This Row],[Date]],Table15[Units_Sold],Table15[Date])</f>
        <v>98.956441697766792</v>
      </c>
      <c r="F37" s="138">
        <f>Table15[[#This Row],[Average_Price]]/Table15[[#This Row],[Units_Sold]]</f>
        <v>321.45405833914174</v>
      </c>
      <c r="G37" cm="1">
        <f t="array" ref="G37">_xlfn.IFS(Table15[[#This Row],[Vehicle_Type]]="SUV",250,Table15[[#This Row],[Vehicle_Type]]="Sedan",200,Table15[[#This Row],[Vehicle_Type]]="Hatchback",185,Table15[[#This Row],[Vehicle_Type]]="Electric",190,Table15[[#This Row],[Vehicle_Type]]="Truck",150)</f>
        <v>200</v>
      </c>
      <c r="H37">
        <f t="shared" ca="1" si="0"/>
        <v>23</v>
      </c>
      <c r="I37">
        <f t="shared" ca="1" si="1"/>
        <v>8</v>
      </c>
      <c r="J37" s="81">
        <f ca="1">24/Table15[[#This Row],[Production_Hours]]</f>
        <v>3</v>
      </c>
      <c r="K37" s="82">
        <f ca="1">(Table15[[#This Row],[Daily_Production]]*Table15[[#This Row],[Working_Days]]) -Table15[[#This Row],[Maintenance_Downtime]]</f>
        <v>4597</v>
      </c>
    </row>
    <row r="38" spans="1:11">
      <c r="A38" s="53">
        <v>43085</v>
      </c>
      <c r="B38" s="14" t="s">
        <v>10</v>
      </c>
      <c r="C38" s="14">
        <v>86</v>
      </c>
      <c r="D38" s="14">
        <v>30982.605848507352</v>
      </c>
      <c r="E38" s="82">
        <f>_xlfn.FORECAST.LINEAR(Table15[[#This Row],[Date]],Table15[Units_Sold],Table15[Date])</f>
        <v>98.958043368173477</v>
      </c>
      <c r="F38" s="138">
        <f>Table15[[#This Row],[Average_Price]]/Table15[[#This Row],[Units_Sold]]</f>
        <v>360.26285870357384</v>
      </c>
      <c r="G38" cm="1">
        <f t="array" ref="G38">_xlfn.IFS(Table15[[#This Row],[Vehicle_Type]]="SUV",250,Table15[[#This Row],[Vehicle_Type]]="Sedan",200,Table15[[#This Row],[Vehicle_Type]]="Hatchback",185,Table15[[#This Row],[Vehicle_Type]]="Electric",190,Table15[[#This Row],[Vehicle_Type]]="Truck",150)</f>
        <v>200</v>
      </c>
      <c r="H38">
        <f t="shared" ca="1" si="0"/>
        <v>22</v>
      </c>
      <c r="I38">
        <f t="shared" ca="1" si="1"/>
        <v>12</v>
      </c>
      <c r="J38" s="81">
        <f ca="1">24/Table15[[#This Row],[Production_Hours]]</f>
        <v>2</v>
      </c>
      <c r="K38" s="82">
        <f ca="1">(Table15[[#This Row],[Daily_Production]]*Table15[[#This Row],[Working_Days]]) -Table15[[#This Row],[Maintenance_Downtime]]</f>
        <v>4398</v>
      </c>
    </row>
    <row r="39" spans="1:11">
      <c r="A39" s="54">
        <v>43115</v>
      </c>
      <c r="B39" s="15" t="s">
        <v>14</v>
      </c>
      <c r="C39" s="15">
        <v>100</v>
      </c>
      <c r="D39" s="15">
        <v>33545.018787942565</v>
      </c>
      <c r="E39" s="82">
        <f>_xlfn.FORECAST.LINEAR(Table15[[#This Row],[Date]],Table15[Units_Sold],Table15[Date])</f>
        <v>98.959645038580163</v>
      </c>
      <c r="F39" s="138">
        <f>Table15[[#This Row],[Average_Price]]/Table15[[#This Row],[Units_Sold]]</f>
        <v>335.45018787942564</v>
      </c>
      <c r="G39" cm="1">
        <f t="array" ref="G39">_xlfn.IFS(Table15[[#This Row],[Vehicle_Type]]="SUV",250,Table15[[#This Row],[Vehicle_Type]]="Sedan",200,Table15[[#This Row],[Vehicle_Type]]="Hatchback",185,Table15[[#This Row],[Vehicle_Type]]="Electric",190,Table15[[#This Row],[Vehicle_Type]]="Truck",150)</f>
        <v>150</v>
      </c>
      <c r="H39">
        <f t="shared" ca="1" si="0"/>
        <v>24</v>
      </c>
      <c r="I39">
        <f t="shared" ca="1" si="1"/>
        <v>8</v>
      </c>
      <c r="J39" s="81">
        <f ca="1">24/Table15[[#This Row],[Production_Hours]]</f>
        <v>3</v>
      </c>
      <c r="K39" s="82">
        <f ca="1">(Table15[[#This Row],[Daily_Production]]*Table15[[#This Row],[Working_Days]]) -Table15[[#This Row],[Maintenance_Downtime]]</f>
        <v>3597</v>
      </c>
    </row>
    <row r="40" spans="1:11">
      <c r="A40" s="53">
        <v>43145</v>
      </c>
      <c r="B40" s="14" t="s">
        <v>10</v>
      </c>
      <c r="C40" s="14">
        <v>108</v>
      </c>
      <c r="D40" s="14">
        <v>29551.321528563865</v>
      </c>
      <c r="E40" s="82">
        <f>_xlfn.FORECAST.LINEAR(Table15[[#This Row],[Date]],Table15[Units_Sold],Table15[Date])</f>
        <v>98.961246708986835</v>
      </c>
      <c r="F40" s="138">
        <f>Table15[[#This Row],[Average_Price]]/Table15[[#This Row],[Units_Sold]]</f>
        <v>273.62334748670247</v>
      </c>
      <c r="G40" cm="1">
        <f t="array" ref="G40">_xlfn.IFS(Table15[[#This Row],[Vehicle_Type]]="SUV",250,Table15[[#This Row],[Vehicle_Type]]="Sedan",200,Table15[[#This Row],[Vehicle_Type]]="Hatchback",185,Table15[[#This Row],[Vehicle_Type]]="Electric",190,Table15[[#This Row],[Vehicle_Type]]="Truck",150)</f>
        <v>200</v>
      </c>
      <c r="H40">
        <f t="shared" ca="1" si="0"/>
        <v>24</v>
      </c>
      <c r="I40">
        <f t="shared" ca="1" si="1"/>
        <v>11</v>
      </c>
      <c r="J40" s="81">
        <f ca="1">24/Table15[[#This Row],[Production_Hours]]</f>
        <v>2.1818181818181817</v>
      </c>
      <c r="K40" s="82">
        <f ca="1">(Table15[[#This Row],[Daily_Production]]*Table15[[#This Row],[Working_Days]]) -Table15[[#This Row],[Maintenance_Downtime]]</f>
        <v>4797.818181818182</v>
      </c>
    </row>
    <row r="41" spans="1:11">
      <c r="A41" s="54">
        <v>43175</v>
      </c>
      <c r="B41" s="15" t="s">
        <v>11</v>
      </c>
      <c r="C41" s="15">
        <v>101</v>
      </c>
      <c r="D41" s="15">
        <v>37200.586077247368</v>
      </c>
      <c r="E41" s="82">
        <f>_xlfn.FORECAST.LINEAR(Table15[[#This Row],[Date]],Table15[Units_Sold],Table15[Date])</f>
        <v>98.96284837939352</v>
      </c>
      <c r="F41" s="138">
        <f>Table15[[#This Row],[Average_Price]]/Table15[[#This Row],[Units_Sold]]</f>
        <v>368.32263442819175</v>
      </c>
      <c r="G41" cm="1">
        <f t="array" ref="G41">_xlfn.IFS(Table15[[#This Row],[Vehicle_Type]]="SUV",250,Table15[[#This Row],[Vehicle_Type]]="Sedan",200,Table15[[#This Row],[Vehicle_Type]]="Hatchback",185,Table15[[#This Row],[Vehicle_Type]]="Electric",190,Table15[[#This Row],[Vehicle_Type]]="Truck",150)</f>
        <v>185</v>
      </c>
      <c r="H41">
        <f t="shared" ca="1" si="0"/>
        <v>23</v>
      </c>
      <c r="I41">
        <f t="shared" ca="1" si="1"/>
        <v>12</v>
      </c>
      <c r="J41" s="81">
        <f ca="1">24/Table15[[#This Row],[Production_Hours]]</f>
        <v>2</v>
      </c>
      <c r="K41" s="82">
        <f ca="1">(Table15[[#This Row],[Daily_Production]]*Table15[[#This Row],[Working_Days]]) -Table15[[#This Row],[Maintenance_Downtime]]</f>
        <v>4253</v>
      </c>
    </row>
    <row r="42" spans="1:11">
      <c r="A42" s="53">
        <v>43205</v>
      </c>
      <c r="B42" s="14" t="s">
        <v>11</v>
      </c>
      <c r="C42" s="14">
        <v>94</v>
      </c>
      <c r="D42" s="14">
        <v>26618.038489703653</v>
      </c>
      <c r="E42" s="82">
        <f>_xlfn.FORECAST.LINEAR(Table15[[#This Row],[Date]],Table15[Units_Sold],Table15[Date])</f>
        <v>98.964450049800206</v>
      </c>
      <c r="F42" s="138">
        <f>Table15[[#This Row],[Average_Price]]/Table15[[#This Row],[Units_Sold]]</f>
        <v>283.17062223088993</v>
      </c>
      <c r="G42" cm="1">
        <f t="array" ref="G42">_xlfn.IFS(Table15[[#This Row],[Vehicle_Type]]="SUV",250,Table15[[#This Row],[Vehicle_Type]]="Sedan",200,Table15[[#This Row],[Vehicle_Type]]="Hatchback",185,Table15[[#This Row],[Vehicle_Type]]="Electric",190,Table15[[#This Row],[Vehicle_Type]]="Truck",150)</f>
        <v>185</v>
      </c>
      <c r="H42">
        <f t="shared" ca="1" si="0"/>
        <v>21</v>
      </c>
      <c r="I42">
        <f t="shared" ca="1" si="1"/>
        <v>10</v>
      </c>
      <c r="J42" s="81">
        <f ca="1">24/Table15[[#This Row],[Production_Hours]]</f>
        <v>2.4</v>
      </c>
      <c r="K42" s="82">
        <f ca="1">(Table15[[#This Row],[Daily_Production]]*Table15[[#This Row],[Working_Days]]) -Table15[[#This Row],[Maintenance_Downtime]]</f>
        <v>3882.6</v>
      </c>
    </row>
    <row r="43" spans="1:11">
      <c r="A43" s="54">
        <v>43235</v>
      </c>
      <c r="B43" s="15" t="s">
        <v>13</v>
      </c>
      <c r="C43" s="15">
        <v>116</v>
      </c>
      <c r="D43" s="15">
        <v>39004.702164554081</v>
      </c>
      <c r="E43" s="82">
        <f>_xlfn.FORECAST.LINEAR(Table15[[#This Row],[Date]],Table15[Units_Sold],Table15[Date])</f>
        <v>98.966051720206892</v>
      </c>
      <c r="F43" s="138">
        <f>Table15[[#This Row],[Average_Price]]/Table15[[#This Row],[Units_Sold]]</f>
        <v>336.2474324530524</v>
      </c>
      <c r="G43" cm="1">
        <f t="array" ref="G43">_xlfn.IFS(Table15[[#This Row],[Vehicle_Type]]="SUV",250,Table15[[#This Row],[Vehicle_Type]]="Sedan",200,Table15[[#This Row],[Vehicle_Type]]="Hatchback",185,Table15[[#This Row],[Vehicle_Type]]="Electric",190,Table15[[#This Row],[Vehicle_Type]]="Truck",150)</f>
        <v>190</v>
      </c>
      <c r="H43">
        <f t="shared" ca="1" si="0"/>
        <v>24</v>
      </c>
      <c r="I43">
        <f t="shared" ca="1" si="1"/>
        <v>9</v>
      </c>
      <c r="J43" s="81">
        <f ca="1">24/Table15[[#This Row],[Production_Hours]]</f>
        <v>2.6666666666666665</v>
      </c>
      <c r="K43" s="82">
        <f ca="1">(Table15[[#This Row],[Daily_Production]]*Table15[[#This Row],[Working_Days]]) -Table15[[#This Row],[Maintenance_Downtime]]</f>
        <v>4557.333333333333</v>
      </c>
    </row>
    <row r="44" spans="1:11">
      <c r="A44" s="53">
        <v>43265</v>
      </c>
      <c r="B44" s="14" t="s">
        <v>11</v>
      </c>
      <c r="C44" s="14">
        <v>97</v>
      </c>
      <c r="D44" s="14">
        <v>29799.210246778282</v>
      </c>
      <c r="E44" s="82">
        <f>_xlfn.FORECAST.LINEAR(Table15[[#This Row],[Date]],Table15[Units_Sold],Table15[Date])</f>
        <v>98.967653390613563</v>
      </c>
      <c r="F44" s="138">
        <f>Table15[[#This Row],[Average_Price]]/Table15[[#This Row],[Units_Sold]]</f>
        <v>307.2083530595699</v>
      </c>
      <c r="G44" cm="1">
        <f t="array" ref="G44">_xlfn.IFS(Table15[[#This Row],[Vehicle_Type]]="SUV",250,Table15[[#This Row],[Vehicle_Type]]="Sedan",200,Table15[[#This Row],[Vehicle_Type]]="Hatchback",185,Table15[[#This Row],[Vehicle_Type]]="Electric",190,Table15[[#This Row],[Vehicle_Type]]="Truck",150)</f>
        <v>185</v>
      </c>
      <c r="H44">
        <f t="shared" ca="1" si="0"/>
        <v>22</v>
      </c>
      <c r="I44">
        <f t="shared" ca="1" si="1"/>
        <v>12</v>
      </c>
      <c r="J44" s="81">
        <f ca="1">24/Table15[[#This Row],[Production_Hours]]</f>
        <v>2</v>
      </c>
      <c r="K44" s="82">
        <f ca="1">(Table15[[#This Row],[Daily_Production]]*Table15[[#This Row],[Working_Days]]) -Table15[[#This Row],[Maintenance_Downtime]]</f>
        <v>4068</v>
      </c>
    </row>
    <row r="45" spans="1:11">
      <c r="A45" s="54">
        <v>43295</v>
      </c>
      <c r="B45" s="15" t="s">
        <v>10</v>
      </c>
      <c r="C45" s="15">
        <v>100</v>
      </c>
      <c r="D45" s="15">
        <v>22846.124489409758</v>
      </c>
      <c r="E45" s="82">
        <f>_xlfn.FORECAST.LINEAR(Table15[[#This Row],[Date]],Table15[Units_Sold],Table15[Date])</f>
        <v>98.969255061020249</v>
      </c>
      <c r="F45" s="138">
        <f>Table15[[#This Row],[Average_Price]]/Table15[[#This Row],[Units_Sold]]</f>
        <v>228.46124489409758</v>
      </c>
      <c r="G45" cm="1">
        <f t="array" ref="G45">_xlfn.IFS(Table15[[#This Row],[Vehicle_Type]]="SUV",250,Table15[[#This Row],[Vehicle_Type]]="Sedan",200,Table15[[#This Row],[Vehicle_Type]]="Hatchback",185,Table15[[#This Row],[Vehicle_Type]]="Electric",190,Table15[[#This Row],[Vehicle_Type]]="Truck",150)</f>
        <v>200</v>
      </c>
      <c r="H45">
        <f t="shared" ca="1" si="0"/>
        <v>23</v>
      </c>
      <c r="I45">
        <f t="shared" ca="1" si="1"/>
        <v>11</v>
      </c>
      <c r="J45" s="81">
        <f ca="1">24/Table15[[#This Row],[Production_Hours]]</f>
        <v>2.1818181818181817</v>
      </c>
      <c r="K45" s="82">
        <f ca="1">(Table15[[#This Row],[Daily_Production]]*Table15[[#This Row],[Working_Days]]) -Table15[[#This Row],[Maintenance_Downtime]]</f>
        <v>4597.818181818182</v>
      </c>
    </row>
    <row r="46" spans="1:11">
      <c r="A46" s="53">
        <v>43325</v>
      </c>
      <c r="B46" s="14" t="s">
        <v>14</v>
      </c>
      <c r="C46" s="14">
        <v>94</v>
      </c>
      <c r="D46" s="14">
        <v>30640.522074553948</v>
      </c>
      <c r="E46" s="82">
        <f>_xlfn.FORECAST.LINEAR(Table15[[#This Row],[Date]],Table15[Units_Sold],Table15[Date])</f>
        <v>98.970856731426935</v>
      </c>
      <c r="F46" s="138">
        <f>Table15[[#This Row],[Average_Price]]/Table15[[#This Row],[Units_Sold]]</f>
        <v>325.96300079312709</v>
      </c>
      <c r="G46" cm="1">
        <f t="array" ref="G46">_xlfn.IFS(Table15[[#This Row],[Vehicle_Type]]="SUV",250,Table15[[#This Row],[Vehicle_Type]]="Sedan",200,Table15[[#This Row],[Vehicle_Type]]="Hatchback",185,Table15[[#This Row],[Vehicle_Type]]="Electric",190,Table15[[#This Row],[Vehicle_Type]]="Truck",150)</f>
        <v>150</v>
      </c>
      <c r="H46">
        <f t="shared" ca="1" si="0"/>
        <v>23</v>
      </c>
      <c r="I46">
        <f t="shared" ca="1" si="1"/>
        <v>11</v>
      </c>
      <c r="J46" s="81">
        <f ca="1">24/Table15[[#This Row],[Production_Hours]]</f>
        <v>2.1818181818181817</v>
      </c>
      <c r="K46" s="82">
        <f ca="1">(Table15[[#This Row],[Daily_Production]]*Table15[[#This Row],[Working_Days]]) -Table15[[#This Row],[Maintenance_Downtime]]</f>
        <v>3447.818181818182</v>
      </c>
    </row>
    <row r="47" spans="1:11">
      <c r="A47" s="54">
        <v>43355</v>
      </c>
      <c r="B47" s="15" t="s">
        <v>13</v>
      </c>
      <c r="C47" s="15">
        <v>118</v>
      </c>
      <c r="D47" s="15">
        <v>26594.741712625597</v>
      </c>
      <c r="E47" s="82">
        <f>_xlfn.FORECAST.LINEAR(Table15[[#This Row],[Date]],Table15[Units_Sold],Table15[Date])</f>
        <v>98.972458401833606</v>
      </c>
      <c r="F47" s="138">
        <f>Table15[[#This Row],[Average_Price]]/Table15[[#This Row],[Units_Sold]]</f>
        <v>225.37916705614913</v>
      </c>
      <c r="G47" cm="1">
        <f t="array" ref="G47">_xlfn.IFS(Table15[[#This Row],[Vehicle_Type]]="SUV",250,Table15[[#This Row],[Vehicle_Type]]="Sedan",200,Table15[[#This Row],[Vehicle_Type]]="Hatchback",185,Table15[[#This Row],[Vehicle_Type]]="Electric",190,Table15[[#This Row],[Vehicle_Type]]="Truck",150)</f>
        <v>190</v>
      </c>
      <c r="H47">
        <f t="shared" ca="1" si="0"/>
        <v>25</v>
      </c>
      <c r="I47">
        <f t="shared" ca="1" si="1"/>
        <v>10</v>
      </c>
      <c r="J47" s="81">
        <f ca="1">24/Table15[[#This Row],[Production_Hours]]</f>
        <v>2.4</v>
      </c>
      <c r="K47" s="82">
        <f ca="1">(Table15[[#This Row],[Daily_Production]]*Table15[[#This Row],[Working_Days]]) -Table15[[#This Row],[Maintenance_Downtime]]</f>
        <v>4747.6000000000004</v>
      </c>
    </row>
    <row r="48" spans="1:11">
      <c r="A48" s="53">
        <v>43385</v>
      </c>
      <c r="B48" s="14" t="s">
        <v>10</v>
      </c>
      <c r="C48" s="14">
        <v>104</v>
      </c>
      <c r="D48" s="14">
        <v>34203.21774494362</v>
      </c>
      <c r="E48" s="82">
        <f>_xlfn.FORECAST.LINEAR(Table15[[#This Row],[Date]],Table15[Units_Sold],Table15[Date])</f>
        <v>98.974060072240292</v>
      </c>
      <c r="F48" s="138">
        <f>Table15[[#This Row],[Average_Price]]/Table15[[#This Row],[Units_Sold]]</f>
        <v>328.87709370138094</v>
      </c>
      <c r="G48" cm="1">
        <f t="array" ref="G48">_xlfn.IFS(Table15[[#This Row],[Vehicle_Type]]="SUV",250,Table15[[#This Row],[Vehicle_Type]]="Sedan",200,Table15[[#This Row],[Vehicle_Type]]="Hatchback",185,Table15[[#This Row],[Vehicle_Type]]="Electric",190,Table15[[#This Row],[Vehicle_Type]]="Truck",150)</f>
        <v>200</v>
      </c>
      <c r="H48">
        <f t="shared" ca="1" si="0"/>
        <v>25</v>
      </c>
      <c r="I48">
        <f t="shared" ca="1" si="1"/>
        <v>9</v>
      </c>
      <c r="J48" s="81">
        <f ca="1">24/Table15[[#This Row],[Production_Hours]]</f>
        <v>2.6666666666666665</v>
      </c>
      <c r="K48" s="82">
        <f ca="1">(Table15[[#This Row],[Daily_Production]]*Table15[[#This Row],[Working_Days]]) -Table15[[#This Row],[Maintenance_Downtime]]</f>
        <v>4997.333333333333</v>
      </c>
    </row>
    <row r="49" spans="1:11">
      <c r="A49" s="54">
        <v>43415</v>
      </c>
      <c r="B49" s="15" t="s">
        <v>14</v>
      </c>
      <c r="C49" s="15">
        <v>100</v>
      </c>
      <c r="D49" s="15">
        <v>26736.880103488045</v>
      </c>
      <c r="E49" s="82">
        <f>_xlfn.FORECAST.LINEAR(Table15[[#This Row],[Date]],Table15[Units_Sold],Table15[Date])</f>
        <v>98.975661742646977</v>
      </c>
      <c r="F49" s="138">
        <f>Table15[[#This Row],[Average_Price]]/Table15[[#This Row],[Units_Sold]]</f>
        <v>267.36880103488045</v>
      </c>
      <c r="G49" cm="1">
        <f t="array" ref="G49">_xlfn.IFS(Table15[[#This Row],[Vehicle_Type]]="SUV",250,Table15[[#This Row],[Vehicle_Type]]="Sedan",200,Table15[[#This Row],[Vehicle_Type]]="Hatchback",185,Table15[[#This Row],[Vehicle_Type]]="Electric",190,Table15[[#This Row],[Vehicle_Type]]="Truck",150)</f>
        <v>150</v>
      </c>
      <c r="H49">
        <f t="shared" ca="1" si="0"/>
        <v>20</v>
      </c>
      <c r="I49">
        <f t="shared" ca="1" si="1"/>
        <v>8</v>
      </c>
      <c r="J49" s="81">
        <f ca="1">24/Table15[[#This Row],[Production_Hours]]</f>
        <v>3</v>
      </c>
      <c r="K49" s="82">
        <f ca="1">(Table15[[#This Row],[Daily_Production]]*Table15[[#This Row],[Working_Days]]) -Table15[[#This Row],[Maintenance_Downtime]]</f>
        <v>2997</v>
      </c>
    </row>
    <row r="50" spans="1:11">
      <c r="A50" s="53">
        <v>43445</v>
      </c>
      <c r="B50" s="14" t="s">
        <v>10</v>
      </c>
      <c r="C50" s="14">
        <v>115</v>
      </c>
      <c r="D50" s="14">
        <v>27769.082833926102</v>
      </c>
      <c r="E50" s="82">
        <f>_xlfn.FORECAST.LINEAR(Table15[[#This Row],[Date]],Table15[Units_Sold],Table15[Date])</f>
        <v>98.977263413053663</v>
      </c>
      <c r="F50" s="138">
        <f>Table15[[#This Row],[Average_Price]]/Table15[[#This Row],[Units_Sold]]</f>
        <v>241.47028551240089</v>
      </c>
      <c r="G50" cm="1">
        <f t="array" ref="G50">_xlfn.IFS(Table15[[#This Row],[Vehicle_Type]]="SUV",250,Table15[[#This Row],[Vehicle_Type]]="Sedan",200,Table15[[#This Row],[Vehicle_Type]]="Hatchback",185,Table15[[#This Row],[Vehicle_Type]]="Electric",190,Table15[[#This Row],[Vehicle_Type]]="Truck",150)</f>
        <v>200</v>
      </c>
      <c r="H50">
        <f t="shared" ca="1" si="0"/>
        <v>20</v>
      </c>
      <c r="I50">
        <f t="shared" ca="1" si="1"/>
        <v>8</v>
      </c>
      <c r="J50" s="81">
        <f ca="1">24/Table15[[#This Row],[Production_Hours]]</f>
        <v>3</v>
      </c>
      <c r="K50" s="82">
        <f ca="1">(Table15[[#This Row],[Daily_Production]]*Table15[[#This Row],[Working_Days]]) -Table15[[#This Row],[Maintenance_Downtime]]</f>
        <v>3997</v>
      </c>
    </row>
    <row r="51" spans="1:11">
      <c r="A51" s="54">
        <v>43475</v>
      </c>
      <c r="B51" s="15" t="s">
        <v>13</v>
      </c>
      <c r="C51" s="15">
        <v>94</v>
      </c>
      <c r="D51" s="15">
        <v>20552.296345272345</v>
      </c>
      <c r="E51" s="82">
        <f>_xlfn.FORECAST.LINEAR(Table15[[#This Row],[Date]],Table15[Units_Sold],Table15[Date])</f>
        <v>98.978865083460335</v>
      </c>
      <c r="F51" s="138">
        <f>Table15[[#This Row],[Average_Price]]/Table15[[#This Row],[Units_Sold]]</f>
        <v>218.64145048162069</v>
      </c>
      <c r="G51" cm="1">
        <f t="array" ref="G51">_xlfn.IFS(Table15[[#This Row],[Vehicle_Type]]="SUV",250,Table15[[#This Row],[Vehicle_Type]]="Sedan",200,Table15[[#This Row],[Vehicle_Type]]="Hatchback",185,Table15[[#This Row],[Vehicle_Type]]="Electric",190,Table15[[#This Row],[Vehicle_Type]]="Truck",150)</f>
        <v>190</v>
      </c>
      <c r="H51">
        <f t="shared" ca="1" si="0"/>
        <v>24</v>
      </c>
      <c r="I51">
        <f t="shared" ca="1" si="1"/>
        <v>11</v>
      </c>
      <c r="J51" s="81">
        <f ca="1">24/Table15[[#This Row],[Production_Hours]]</f>
        <v>2.1818181818181817</v>
      </c>
      <c r="K51" s="82">
        <f ca="1">(Table15[[#This Row],[Daily_Production]]*Table15[[#This Row],[Working_Days]]) -Table15[[#This Row],[Maintenance_Downtime]]</f>
        <v>4557.818181818182</v>
      </c>
    </row>
    <row r="52" spans="1:11">
      <c r="A52" s="53">
        <v>43505</v>
      </c>
      <c r="B52" s="14" t="s">
        <v>11</v>
      </c>
      <c r="C52" s="14">
        <v>91</v>
      </c>
      <c r="D52" s="14">
        <v>27738.468403754618</v>
      </c>
      <c r="E52" s="82">
        <f>_xlfn.FORECAST.LINEAR(Table15[[#This Row],[Date]],Table15[Units_Sold],Table15[Date])</f>
        <v>98.98046675386702</v>
      </c>
      <c r="F52" s="138">
        <f>Table15[[#This Row],[Average_Price]]/Table15[[#This Row],[Units_Sold]]</f>
        <v>304.81833410719361</v>
      </c>
      <c r="G52" cm="1">
        <f t="array" ref="G52">_xlfn.IFS(Table15[[#This Row],[Vehicle_Type]]="SUV",250,Table15[[#This Row],[Vehicle_Type]]="Sedan",200,Table15[[#This Row],[Vehicle_Type]]="Hatchback",185,Table15[[#This Row],[Vehicle_Type]]="Electric",190,Table15[[#This Row],[Vehicle_Type]]="Truck",150)</f>
        <v>185</v>
      </c>
      <c r="H52">
        <f t="shared" ca="1" si="0"/>
        <v>25</v>
      </c>
      <c r="I52">
        <f t="shared" ca="1" si="1"/>
        <v>8</v>
      </c>
      <c r="J52" s="81">
        <f ca="1">24/Table15[[#This Row],[Production_Hours]]</f>
        <v>3</v>
      </c>
      <c r="K52" s="82">
        <f ca="1">(Table15[[#This Row],[Daily_Production]]*Table15[[#This Row],[Working_Days]]) -Table15[[#This Row],[Maintenance_Downtime]]</f>
        <v>4622</v>
      </c>
    </row>
    <row r="53" spans="1:11">
      <c r="A53" s="54">
        <v>43535</v>
      </c>
      <c r="B53" s="15" t="s">
        <v>13</v>
      </c>
      <c r="C53" s="15">
        <v>110</v>
      </c>
      <c r="D53" s="15">
        <v>17880.603366855219</v>
      </c>
      <c r="E53" s="82">
        <f>_xlfn.FORECAST.LINEAR(Table15[[#This Row],[Date]],Table15[Units_Sold],Table15[Date])</f>
        <v>98.982068424273706</v>
      </c>
      <c r="F53" s="138">
        <f>Table15[[#This Row],[Average_Price]]/Table15[[#This Row],[Units_Sold]]</f>
        <v>162.55093969868381</v>
      </c>
      <c r="G53" cm="1">
        <f t="array" ref="G53">_xlfn.IFS(Table15[[#This Row],[Vehicle_Type]]="SUV",250,Table15[[#This Row],[Vehicle_Type]]="Sedan",200,Table15[[#This Row],[Vehicle_Type]]="Hatchback",185,Table15[[#This Row],[Vehicle_Type]]="Electric",190,Table15[[#This Row],[Vehicle_Type]]="Truck",150)</f>
        <v>190</v>
      </c>
      <c r="H53">
        <f t="shared" ca="1" si="0"/>
        <v>23</v>
      </c>
      <c r="I53">
        <f t="shared" ca="1" si="1"/>
        <v>11</v>
      </c>
      <c r="J53" s="81">
        <f ca="1">24/Table15[[#This Row],[Production_Hours]]</f>
        <v>2.1818181818181817</v>
      </c>
      <c r="K53" s="82">
        <f ca="1">(Table15[[#This Row],[Daily_Production]]*Table15[[#This Row],[Working_Days]]) -Table15[[#This Row],[Maintenance_Downtime]]</f>
        <v>4367.818181818182</v>
      </c>
    </row>
    <row r="54" spans="1:11">
      <c r="A54" s="53">
        <v>43565</v>
      </c>
      <c r="B54" s="14" t="s">
        <v>11</v>
      </c>
      <c r="C54" s="14">
        <v>98</v>
      </c>
      <c r="D54" s="14">
        <v>22080.485882571382</v>
      </c>
      <c r="E54" s="82">
        <f>_xlfn.FORECAST.LINEAR(Table15[[#This Row],[Date]],Table15[Units_Sold],Table15[Date])</f>
        <v>98.983670094680377</v>
      </c>
      <c r="F54" s="138">
        <f>Table15[[#This Row],[Average_Price]]/Table15[[#This Row],[Units_Sold]]</f>
        <v>225.31108043440184</v>
      </c>
      <c r="G54" cm="1">
        <f t="array" ref="G54">_xlfn.IFS(Table15[[#This Row],[Vehicle_Type]]="SUV",250,Table15[[#This Row],[Vehicle_Type]]="Sedan",200,Table15[[#This Row],[Vehicle_Type]]="Hatchback",185,Table15[[#This Row],[Vehicle_Type]]="Electric",190,Table15[[#This Row],[Vehicle_Type]]="Truck",150)</f>
        <v>185</v>
      </c>
      <c r="H54">
        <f t="shared" ca="1" si="0"/>
        <v>21</v>
      </c>
      <c r="I54">
        <f t="shared" ca="1" si="1"/>
        <v>9</v>
      </c>
      <c r="J54" s="81">
        <f ca="1">24/Table15[[#This Row],[Production_Hours]]</f>
        <v>2.6666666666666665</v>
      </c>
      <c r="K54" s="82">
        <f ca="1">(Table15[[#This Row],[Daily_Production]]*Table15[[#This Row],[Working_Days]]) -Table15[[#This Row],[Maintenance_Downtime]]</f>
        <v>3882.3333333333335</v>
      </c>
    </row>
    <row r="55" spans="1:11">
      <c r="A55" s="54">
        <v>43595</v>
      </c>
      <c r="B55" s="15" t="s">
        <v>13</v>
      </c>
      <c r="C55" s="15">
        <v>86</v>
      </c>
      <c r="D55" s="15">
        <v>33802.073280721488</v>
      </c>
      <c r="E55" s="82">
        <f>_xlfn.FORECAST.LINEAR(Table15[[#This Row],[Date]],Table15[Units_Sold],Table15[Date])</f>
        <v>98.985271765087063</v>
      </c>
      <c r="F55" s="138">
        <f>Table15[[#This Row],[Average_Price]]/Table15[[#This Row],[Units_Sold]]</f>
        <v>393.04736372931961</v>
      </c>
      <c r="G55" cm="1">
        <f t="array" ref="G55">_xlfn.IFS(Table15[[#This Row],[Vehicle_Type]]="SUV",250,Table15[[#This Row],[Vehicle_Type]]="Sedan",200,Table15[[#This Row],[Vehicle_Type]]="Hatchback",185,Table15[[#This Row],[Vehicle_Type]]="Electric",190,Table15[[#This Row],[Vehicle_Type]]="Truck",150)</f>
        <v>190</v>
      </c>
      <c r="H55">
        <f t="shared" ca="1" si="0"/>
        <v>24</v>
      </c>
      <c r="I55">
        <f t="shared" ca="1" si="1"/>
        <v>10</v>
      </c>
      <c r="J55" s="81">
        <f ca="1">24/Table15[[#This Row],[Production_Hours]]</f>
        <v>2.4</v>
      </c>
      <c r="K55" s="82">
        <f ca="1">(Table15[[#This Row],[Daily_Production]]*Table15[[#This Row],[Working_Days]]) -Table15[[#This Row],[Maintenance_Downtime]]</f>
        <v>4557.6000000000004</v>
      </c>
    </row>
    <row r="56" spans="1:11">
      <c r="A56" s="53">
        <v>43625</v>
      </c>
      <c r="B56" s="14" t="s">
        <v>12</v>
      </c>
      <c r="C56" s="14">
        <v>121</v>
      </c>
      <c r="D56" s="14">
        <v>38106.295579999998</v>
      </c>
      <c r="E56" s="82">
        <f>_xlfn.FORECAST.LINEAR(Table15[[#This Row],[Date]],Table15[Units_Sold],Table15[Date])</f>
        <v>98.986873435493749</v>
      </c>
      <c r="F56" s="138">
        <f>Table15[[#This Row],[Average_Price]]/Table15[[#This Row],[Units_Sold]]</f>
        <v>314.92806264462808</v>
      </c>
      <c r="G56" cm="1">
        <f t="array" ref="G56">_xlfn.IFS(Table15[[#This Row],[Vehicle_Type]]="SUV",250,Table15[[#This Row],[Vehicle_Type]]="Sedan",200,Table15[[#This Row],[Vehicle_Type]]="Hatchback",185,Table15[[#This Row],[Vehicle_Type]]="Electric",190,Table15[[#This Row],[Vehicle_Type]]="Truck",150)</f>
        <v>250</v>
      </c>
      <c r="H56">
        <f t="shared" ca="1" si="0"/>
        <v>24</v>
      </c>
      <c r="I56">
        <f t="shared" ca="1" si="1"/>
        <v>11</v>
      </c>
      <c r="J56" s="81">
        <f ca="1">24/Table15[[#This Row],[Production_Hours]]</f>
        <v>2.1818181818181817</v>
      </c>
      <c r="K56" s="82">
        <f ca="1">(Table15[[#This Row],[Daily_Production]]*Table15[[#This Row],[Working_Days]]) -Table15[[#This Row],[Maintenance_Downtime]]</f>
        <v>5997.818181818182</v>
      </c>
    </row>
    <row r="57" spans="1:11">
      <c r="A57" s="54">
        <v>43655</v>
      </c>
      <c r="B57" s="15" t="s">
        <v>10</v>
      </c>
      <c r="C57" s="15">
        <v>100</v>
      </c>
      <c r="D57" s="15">
        <v>32127.287808924822</v>
      </c>
      <c r="E57" s="82">
        <f>_xlfn.FORECAST.LINEAR(Table15[[#This Row],[Date]],Table15[Units_Sold],Table15[Date])</f>
        <v>98.988475105900434</v>
      </c>
      <c r="F57" s="138">
        <f>Table15[[#This Row],[Average_Price]]/Table15[[#This Row],[Units_Sold]]</f>
        <v>321.27287808924825</v>
      </c>
      <c r="G57" cm="1">
        <f t="array" ref="G57">_xlfn.IFS(Table15[[#This Row],[Vehicle_Type]]="SUV",250,Table15[[#This Row],[Vehicle_Type]]="Sedan",200,Table15[[#This Row],[Vehicle_Type]]="Hatchback",185,Table15[[#This Row],[Vehicle_Type]]="Electric",190,Table15[[#This Row],[Vehicle_Type]]="Truck",150)</f>
        <v>200</v>
      </c>
      <c r="H57">
        <f t="shared" ca="1" si="0"/>
        <v>24</v>
      </c>
      <c r="I57">
        <f t="shared" ca="1" si="1"/>
        <v>12</v>
      </c>
      <c r="J57" s="81">
        <f ca="1">24/Table15[[#This Row],[Production_Hours]]</f>
        <v>2</v>
      </c>
      <c r="K57" s="82">
        <f ca="1">(Table15[[#This Row],[Daily_Production]]*Table15[[#This Row],[Working_Days]]) -Table15[[#This Row],[Maintenance_Downtime]]</f>
        <v>4798</v>
      </c>
    </row>
    <row r="58" spans="1:11">
      <c r="A58" s="53">
        <v>43685</v>
      </c>
      <c r="B58" s="14" t="s">
        <v>10</v>
      </c>
      <c r="C58" s="14">
        <v>96</v>
      </c>
      <c r="D58" s="14">
        <v>25165.119284353936</v>
      </c>
      <c r="E58" s="82">
        <f>_xlfn.FORECAST.LINEAR(Table15[[#This Row],[Date]],Table15[Units_Sold],Table15[Date])</f>
        <v>98.990076776307106</v>
      </c>
      <c r="F58" s="138">
        <f>Table15[[#This Row],[Average_Price]]/Table15[[#This Row],[Units_Sold]]</f>
        <v>262.13665921202016</v>
      </c>
      <c r="G58" cm="1">
        <f t="array" ref="G58">_xlfn.IFS(Table15[[#This Row],[Vehicle_Type]]="SUV",250,Table15[[#This Row],[Vehicle_Type]]="Sedan",200,Table15[[#This Row],[Vehicle_Type]]="Hatchback",185,Table15[[#This Row],[Vehicle_Type]]="Electric",190,Table15[[#This Row],[Vehicle_Type]]="Truck",150)</f>
        <v>200</v>
      </c>
      <c r="H58">
        <f t="shared" ca="1" si="0"/>
        <v>20</v>
      </c>
      <c r="I58">
        <f t="shared" ca="1" si="1"/>
        <v>8</v>
      </c>
      <c r="J58" s="81">
        <f ca="1">24/Table15[[#This Row],[Production_Hours]]</f>
        <v>3</v>
      </c>
      <c r="K58" s="82">
        <f ca="1">(Table15[[#This Row],[Daily_Production]]*Table15[[#This Row],[Working_Days]]) -Table15[[#This Row],[Maintenance_Downtime]]</f>
        <v>3997</v>
      </c>
    </row>
    <row r="59" spans="1:11">
      <c r="A59" s="54">
        <v>43715</v>
      </c>
      <c r="B59" s="15" t="s">
        <v>12</v>
      </c>
      <c r="C59" s="15">
        <v>100</v>
      </c>
      <c r="D59" s="15">
        <v>29761.4432192901</v>
      </c>
      <c r="E59" s="82">
        <f>_xlfn.FORECAST.LINEAR(Table15[[#This Row],[Date]],Table15[Units_Sold],Table15[Date])</f>
        <v>98.991678446713792</v>
      </c>
      <c r="F59" s="138">
        <f>Table15[[#This Row],[Average_Price]]/Table15[[#This Row],[Units_Sold]]</f>
        <v>297.61443219290101</v>
      </c>
      <c r="G59" cm="1">
        <f t="array" ref="G59">_xlfn.IFS(Table15[[#This Row],[Vehicle_Type]]="SUV",250,Table15[[#This Row],[Vehicle_Type]]="Sedan",200,Table15[[#This Row],[Vehicle_Type]]="Hatchback",185,Table15[[#This Row],[Vehicle_Type]]="Electric",190,Table15[[#This Row],[Vehicle_Type]]="Truck",150)</f>
        <v>250</v>
      </c>
      <c r="H59">
        <f t="shared" ca="1" si="0"/>
        <v>21</v>
      </c>
      <c r="I59">
        <f t="shared" ca="1" si="1"/>
        <v>9</v>
      </c>
      <c r="J59" s="81">
        <f ca="1">24/Table15[[#This Row],[Production_Hours]]</f>
        <v>2.6666666666666665</v>
      </c>
      <c r="K59" s="82">
        <f ca="1">(Table15[[#This Row],[Daily_Production]]*Table15[[#This Row],[Working_Days]]) -Table15[[#This Row],[Maintenance_Downtime]]</f>
        <v>5247.333333333333</v>
      </c>
    </row>
    <row r="60" spans="1:11">
      <c r="A60" s="53">
        <v>43745</v>
      </c>
      <c r="B60" s="14" t="s">
        <v>11</v>
      </c>
      <c r="C60" s="14">
        <v>100</v>
      </c>
      <c r="D60" s="14">
        <v>29981.987304547158</v>
      </c>
      <c r="E60" s="82">
        <f>_xlfn.FORECAST.LINEAR(Table15[[#This Row],[Date]],Table15[Units_Sold],Table15[Date])</f>
        <v>98.993280117120477</v>
      </c>
      <c r="F60" s="138">
        <f>Table15[[#This Row],[Average_Price]]/Table15[[#This Row],[Units_Sold]]</f>
        <v>299.81987304547158</v>
      </c>
      <c r="G60" cm="1">
        <f t="array" ref="G60">_xlfn.IFS(Table15[[#This Row],[Vehicle_Type]]="SUV",250,Table15[[#This Row],[Vehicle_Type]]="Sedan",200,Table15[[#This Row],[Vehicle_Type]]="Hatchback",185,Table15[[#This Row],[Vehicle_Type]]="Electric",190,Table15[[#This Row],[Vehicle_Type]]="Truck",150)</f>
        <v>185</v>
      </c>
      <c r="H60">
        <f t="shared" ca="1" si="0"/>
        <v>21</v>
      </c>
      <c r="I60">
        <f t="shared" ca="1" si="1"/>
        <v>11</v>
      </c>
      <c r="J60" s="81">
        <f ca="1">24/Table15[[#This Row],[Production_Hours]]</f>
        <v>2.1818181818181817</v>
      </c>
      <c r="K60" s="82">
        <f ca="1">(Table15[[#This Row],[Daily_Production]]*Table15[[#This Row],[Working_Days]]) -Table15[[#This Row],[Maintenance_Downtime]]</f>
        <v>3882.818181818182</v>
      </c>
    </row>
    <row r="61" spans="1:11">
      <c r="A61" s="54">
        <v>43775</v>
      </c>
      <c r="B61" s="15" t="s">
        <v>10</v>
      </c>
      <c r="C61" s="15">
        <v>93</v>
      </c>
      <c r="D61" s="15">
        <v>24208.176554037287</v>
      </c>
      <c r="E61" s="82">
        <f>_xlfn.FORECAST.LINEAR(Table15[[#This Row],[Date]],Table15[Units_Sold],Table15[Date])</f>
        <v>98.994881787527149</v>
      </c>
      <c r="F61" s="138">
        <f>Table15[[#This Row],[Average_Price]]/Table15[[#This Row],[Units_Sold]]</f>
        <v>260.30297369932566</v>
      </c>
      <c r="G61" cm="1">
        <f t="array" ref="G61">_xlfn.IFS(Table15[[#This Row],[Vehicle_Type]]="SUV",250,Table15[[#This Row],[Vehicle_Type]]="Sedan",200,Table15[[#This Row],[Vehicle_Type]]="Hatchback",185,Table15[[#This Row],[Vehicle_Type]]="Electric",190,Table15[[#This Row],[Vehicle_Type]]="Truck",150)</f>
        <v>200</v>
      </c>
      <c r="H61">
        <f t="shared" ca="1" si="0"/>
        <v>23</v>
      </c>
      <c r="I61">
        <f t="shared" ca="1" si="1"/>
        <v>11</v>
      </c>
      <c r="J61" s="81">
        <f ca="1">24/Table15[[#This Row],[Production_Hours]]</f>
        <v>2.1818181818181817</v>
      </c>
      <c r="K61" s="82">
        <f ca="1">(Table15[[#This Row],[Daily_Production]]*Table15[[#This Row],[Working_Days]]) -Table15[[#This Row],[Maintenance_Downtime]]</f>
        <v>4597.818181818182</v>
      </c>
    </row>
    <row r="62" spans="1:11">
      <c r="A62" s="53">
        <v>43805</v>
      </c>
      <c r="B62" s="14" t="s">
        <v>12</v>
      </c>
      <c r="C62" s="14">
        <v>103</v>
      </c>
      <c r="D62" s="14">
        <v>37516.991508835752</v>
      </c>
      <c r="E62" s="82">
        <f>_xlfn.FORECAST.LINEAR(Table15[[#This Row],[Date]],Table15[Units_Sold],Table15[Date])</f>
        <v>98.996483457933834</v>
      </c>
      <c r="F62" s="138">
        <f>Table15[[#This Row],[Average_Price]]/Table15[[#This Row],[Units_Sold]]</f>
        <v>364.24263600811412</v>
      </c>
      <c r="G62" cm="1">
        <f t="array" ref="G62">_xlfn.IFS(Table15[[#This Row],[Vehicle_Type]]="SUV",250,Table15[[#This Row],[Vehicle_Type]]="Sedan",200,Table15[[#This Row],[Vehicle_Type]]="Hatchback",185,Table15[[#This Row],[Vehicle_Type]]="Electric",190,Table15[[#This Row],[Vehicle_Type]]="Truck",150)</f>
        <v>250</v>
      </c>
      <c r="H62">
        <f t="shared" ca="1" si="0"/>
        <v>20</v>
      </c>
      <c r="I62">
        <f t="shared" ca="1" si="1"/>
        <v>9</v>
      </c>
      <c r="J62" s="81">
        <f ca="1">24/Table15[[#This Row],[Production_Hours]]</f>
        <v>2.6666666666666665</v>
      </c>
      <c r="K62" s="82">
        <f ca="1">(Table15[[#This Row],[Daily_Production]]*Table15[[#This Row],[Working_Days]]) -Table15[[#This Row],[Maintenance_Downtime]]</f>
        <v>4997.333333333333</v>
      </c>
    </row>
    <row r="63" spans="1:11">
      <c r="A63" s="54">
        <v>43835</v>
      </c>
      <c r="B63" s="15" t="s">
        <v>10</v>
      </c>
      <c r="C63" s="15">
        <v>78</v>
      </c>
      <c r="D63" s="15">
        <v>34386.811452878355</v>
      </c>
      <c r="E63" s="82">
        <f>_xlfn.FORECAST.LINEAR(Table15[[#This Row],[Date]],Table15[Units_Sold],Table15[Date])</f>
        <v>98.99808512834052</v>
      </c>
      <c r="F63" s="138">
        <f>Table15[[#This Row],[Average_Price]]/Table15[[#This Row],[Units_Sold]]</f>
        <v>440.85655708818405</v>
      </c>
      <c r="G63" cm="1">
        <f t="array" ref="G63">_xlfn.IFS(Table15[[#This Row],[Vehicle_Type]]="SUV",250,Table15[[#This Row],[Vehicle_Type]]="Sedan",200,Table15[[#This Row],[Vehicle_Type]]="Hatchback",185,Table15[[#This Row],[Vehicle_Type]]="Electric",190,Table15[[#This Row],[Vehicle_Type]]="Truck",150)</f>
        <v>200</v>
      </c>
      <c r="H63">
        <f t="shared" ca="1" si="0"/>
        <v>20</v>
      </c>
      <c r="I63">
        <f t="shared" ca="1" si="1"/>
        <v>10</v>
      </c>
      <c r="J63" s="81">
        <f ca="1">24/Table15[[#This Row],[Production_Hours]]</f>
        <v>2.4</v>
      </c>
      <c r="K63" s="82">
        <f ca="1">(Table15[[#This Row],[Daily_Production]]*Table15[[#This Row],[Working_Days]]) -Table15[[#This Row],[Maintenance_Downtime]]</f>
        <v>3997.6</v>
      </c>
    </row>
    <row r="64" spans="1:11">
      <c r="A64" s="53">
        <v>43865</v>
      </c>
      <c r="B64" s="14" t="s">
        <v>14</v>
      </c>
      <c r="C64" s="14">
        <v>116</v>
      </c>
      <c r="D64" s="14">
        <v>30949.702720000001</v>
      </c>
      <c r="E64" s="82">
        <f>_xlfn.FORECAST.LINEAR(Table15[[#This Row],[Date]],Table15[Units_Sold],Table15[Date])</f>
        <v>98.999686798747206</v>
      </c>
      <c r="F64" s="138">
        <f>Table15[[#This Row],[Average_Price]]/Table15[[#This Row],[Units_Sold]]</f>
        <v>266.80778206896554</v>
      </c>
      <c r="G64" cm="1">
        <f t="array" ref="G64">_xlfn.IFS(Table15[[#This Row],[Vehicle_Type]]="SUV",250,Table15[[#This Row],[Vehicle_Type]]="Sedan",200,Table15[[#This Row],[Vehicle_Type]]="Hatchback",185,Table15[[#This Row],[Vehicle_Type]]="Electric",190,Table15[[#This Row],[Vehicle_Type]]="Truck",150)</f>
        <v>150</v>
      </c>
      <c r="H64">
        <f t="shared" ca="1" si="0"/>
        <v>25</v>
      </c>
      <c r="I64">
        <f t="shared" ca="1" si="1"/>
        <v>11</v>
      </c>
      <c r="J64" s="81">
        <f ca="1">24/Table15[[#This Row],[Production_Hours]]</f>
        <v>2.1818181818181817</v>
      </c>
      <c r="K64" s="82">
        <f ca="1">(Table15[[#This Row],[Daily_Production]]*Table15[[#This Row],[Working_Days]]) -Table15[[#This Row],[Maintenance_Downtime]]</f>
        <v>3747.818181818182</v>
      </c>
    </row>
    <row r="65" spans="1:11">
      <c r="A65" s="54">
        <v>43895</v>
      </c>
      <c r="B65" s="15" t="s">
        <v>11</v>
      </c>
      <c r="C65" s="15">
        <v>88</v>
      </c>
      <c r="D65" s="15">
        <v>30134.429194972654</v>
      </c>
      <c r="E65" s="82">
        <f>_xlfn.FORECAST.LINEAR(Table15[[#This Row],[Date]],Table15[Units_Sold],Table15[Date])</f>
        <v>99.001288469153877</v>
      </c>
      <c r="F65" s="138">
        <f>Table15[[#This Row],[Average_Price]]/Table15[[#This Row],[Units_Sold]]</f>
        <v>342.43669539741654</v>
      </c>
      <c r="G65" cm="1">
        <f t="array" ref="G65">_xlfn.IFS(Table15[[#This Row],[Vehicle_Type]]="SUV",250,Table15[[#This Row],[Vehicle_Type]]="Sedan",200,Table15[[#This Row],[Vehicle_Type]]="Hatchback",185,Table15[[#This Row],[Vehicle_Type]]="Electric",190,Table15[[#This Row],[Vehicle_Type]]="Truck",150)</f>
        <v>185</v>
      </c>
      <c r="H65">
        <f t="shared" ca="1" si="0"/>
        <v>25</v>
      </c>
      <c r="I65">
        <f t="shared" ca="1" si="1"/>
        <v>9</v>
      </c>
      <c r="J65" s="81">
        <f ca="1">24/Table15[[#This Row],[Production_Hours]]</f>
        <v>2.6666666666666665</v>
      </c>
      <c r="K65" s="82">
        <f ca="1">(Table15[[#This Row],[Daily_Production]]*Table15[[#This Row],[Working_Days]]) -Table15[[#This Row],[Maintenance_Downtime]]</f>
        <v>4622.333333333333</v>
      </c>
    </row>
    <row r="66" spans="1:11">
      <c r="A66" s="53">
        <v>43925</v>
      </c>
      <c r="B66" s="14" t="s">
        <v>14</v>
      </c>
      <c r="C66" s="14">
        <v>105</v>
      </c>
      <c r="D66" s="14">
        <v>31041.914039737763</v>
      </c>
      <c r="E66" s="82">
        <f>_xlfn.FORECAST.LINEAR(Table15[[#This Row],[Date]],Table15[Units_Sold],Table15[Date])</f>
        <v>99.002890139560563</v>
      </c>
      <c r="F66" s="138">
        <f>Table15[[#This Row],[Average_Price]]/Table15[[#This Row],[Units_Sold]]</f>
        <v>295.6372765689311</v>
      </c>
      <c r="G66" cm="1">
        <f t="array" ref="G66">_xlfn.IFS(Table15[[#This Row],[Vehicle_Type]]="SUV",250,Table15[[#This Row],[Vehicle_Type]]="Sedan",200,Table15[[#This Row],[Vehicle_Type]]="Hatchback",185,Table15[[#This Row],[Vehicle_Type]]="Electric",190,Table15[[#This Row],[Vehicle_Type]]="Truck",150)</f>
        <v>150</v>
      </c>
      <c r="H66">
        <f t="shared" ref="H66:H129" ca="1" si="2">RANDBETWEEN(20,25)</f>
        <v>23</v>
      </c>
      <c r="I66">
        <f t="shared" ref="I66:I129" ca="1" si="3">RANDBETWEEN(8,12)</f>
        <v>10</v>
      </c>
      <c r="J66" s="81">
        <f ca="1">24/Table15[[#This Row],[Production_Hours]]</f>
        <v>2.4</v>
      </c>
      <c r="K66" s="82">
        <f ca="1">(Table15[[#This Row],[Daily_Production]]*Table15[[#This Row],[Working_Days]]) -Table15[[#This Row],[Maintenance_Downtime]]</f>
        <v>3447.6</v>
      </c>
    </row>
    <row r="67" spans="1:11">
      <c r="A67" s="54">
        <v>43955</v>
      </c>
      <c r="B67" s="15" t="s">
        <v>11</v>
      </c>
      <c r="C67" s="15">
        <v>92</v>
      </c>
      <c r="D67" s="15">
        <v>19791.325657878548</v>
      </c>
      <c r="E67" s="82">
        <f>_xlfn.FORECAST.LINEAR(Table15[[#This Row],[Date]],Table15[Units_Sold],Table15[Date])</f>
        <v>99.004491809967249</v>
      </c>
      <c r="F67" s="138">
        <f>Table15[[#This Row],[Average_Price]]/Table15[[#This Row],[Units_Sold]]</f>
        <v>215.12310497694074</v>
      </c>
      <c r="G67" cm="1">
        <f t="array" ref="G67">_xlfn.IFS(Table15[[#This Row],[Vehicle_Type]]="SUV",250,Table15[[#This Row],[Vehicle_Type]]="Sedan",200,Table15[[#This Row],[Vehicle_Type]]="Hatchback",185,Table15[[#This Row],[Vehicle_Type]]="Electric",190,Table15[[#This Row],[Vehicle_Type]]="Truck",150)</f>
        <v>185</v>
      </c>
      <c r="H67">
        <f t="shared" ca="1" si="2"/>
        <v>21</v>
      </c>
      <c r="I67">
        <f t="shared" ca="1" si="3"/>
        <v>12</v>
      </c>
      <c r="J67" s="81">
        <f ca="1">24/Table15[[#This Row],[Production_Hours]]</f>
        <v>2</v>
      </c>
      <c r="K67" s="82">
        <f ca="1">(Table15[[#This Row],[Daily_Production]]*Table15[[#This Row],[Working_Days]]) -Table15[[#This Row],[Maintenance_Downtime]]</f>
        <v>3883</v>
      </c>
    </row>
    <row r="68" spans="1:11">
      <c r="A68" s="53">
        <v>43985</v>
      </c>
      <c r="B68" s="14" t="s">
        <v>12</v>
      </c>
      <c r="C68" s="14">
        <v>96</v>
      </c>
      <c r="D68" s="14">
        <v>28764.113087397014</v>
      </c>
      <c r="E68" s="82">
        <f>_xlfn.FORECAST.LINEAR(Table15[[#This Row],[Date]],Table15[Units_Sold],Table15[Date])</f>
        <v>99.00609348037392</v>
      </c>
      <c r="F68" s="138">
        <f>Table15[[#This Row],[Average_Price]]/Table15[[#This Row],[Units_Sold]]</f>
        <v>299.6261779937189</v>
      </c>
      <c r="G68" cm="1">
        <f t="array" ref="G68">_xlfn.IFS(Table15[[#This Row],[Vehicle_Type]]="SUV",250,Table15[[#This Row],[Vehicle_Type]]="Sedan",200,Table15[[#This Row],[Vehicle_Type]]="Hatchback",185,Table15[[#This Row],[Vehicle_Type]]="Electric",190,Table15[[#This Row],[Vehicle_Type]]="Truck",150)</f>
        <v>250</v>
      </c>
      <c r="H68">
        <f t="shared" ca="1" si="2"/>
        <v>23</v>
      </c>
      <c r="I68">
        <f t="shared" ca="1" si="3"/>
        <v>12</v>
      </c>
      <c r="J68" s="81">
        <f ca="1">24/Table15[[#This Row],[Production_Hours]]</f>
        <v>2</v>
      </c>
      <c r="K68" s="82">
        <f ca="1">(Table15[[#This Row],[Daily_Production]]*Table15[[#This Row],[Working_Days]]) -Table15[[#This Row],[Maintenance_Downtime]]</f>
        <v>5748</v>
      </c>
    </row>
    <row r="69" spans="1:11">
      <c r="A69" s="54">
        <v>44015</v>
      </c>
      <c r="B69" s="15" t="s">
        <v>11</v>
      </c>
      <c r="C69" s="15">
        <v>104</v>
      </c>
      <c r="D69" s="15">
        <v>26590.078760011005</v>
      </c>
      <c r="E69" s="82">
        <f>_xlfn.FORECAST.LINEAR(Table15[[#This Row],[Date]],Table15[Units_Sold],Table15[Date])</f>
        <v>99.007695150780606</v>
      </c>
      <c r="F69" s="138">
        <f>Table15[[#This Row],[Average_Price]]/Table15[[#This Row],[Units_Sold]]</f>
        <v>255.67383423087506</v>
      </c>
      <c r="G69" cm="1">
        <f t="array" ref="G69">_xlfn.IFS(Table15[[#This Row],[Vehicle_Type]]="SUV",250,Table15[[#This Row],[Vehicle_Type]]="Sedan",200,Table15[[#This Row],[Vehicle_Type]]="Hatchback",185,Table15[[#This Row],[Vehicle_Type]]="Electric",190,Table15[[#This Row],[Vehicle_Type]]="Truck",150)</f>
        <v>185</v>
      </c>
      <c r="H69">
        <f t="shared" ca="1" si="2"/>
        <v>24</v>
      </c>
      <c r="I69">
        <f t="shared" ca="1" si="3"/>
        <v>10</v>
      </c>
      <c r="J69" s="81">
        <f ca="1">24/Table15[[#This Row],[Production_Hours]]</f>
        <v>2.4</v>
      </c>
      <c r="K69" s="82">
        <f ca="1">(Table15[[#This Row],[Daily_Production]]*Table15[[#This Row],[Working_Days]]) -Table15[[#This Row],[Maintenance_Downtime]]</f>
        <v>4437.6000000000004</v>
      </c>
    </row>
    <row r="70" spans="1:11">
      <c r="A70" s="53">
        <v>44045</v>
      </c>
      <c r="B70" s="14" t="s">
        <v>11</v>
      </c>
      <c r="C70" s="14">
        <v>84</v>
      </c>
      <c r="D70" s="14">
        <v>30949.702720000001</v>
      </c>
      <c r="E70" s="82">
        <f>_xlfn.FORECAST.LINEAR(Table15[[#This Row],[Date]],Table15[Units_Sold],Table15[Date])</f>
        <v>99.009296821187291</v>
      </c>
      <c r="F70" s="138">
        <f>Table15[[#This Row],[Average_Price]]/Table15[[#This Row],[Units_Sold]]</f>
        <v>368.44884190476193</v>
      </c>
      <c r="G70" cm="1">
        <f t="array" ref="G70">_xlfn.IFS(Table15[[#This Row],[Vehicle_Type]]="SUV",250,Table15[[#This Row],[Vehicle_Type]]="Sedan",200,Table15[[#This Row],[Vehicle_Type]]="Hatchback",185,Table15[[#This Row],[Vehicle_Type]]="Electric",190,Table15[[#This Row],[Vehicle_Type]]="Truck",150)</f>
        <v>185</v>
      </c>
      <c r="H70">
        <f t="shared" ca="1" si="2"/>
        <v>21</v>
      </c>
      <c r="I70">
        <f t="shared" ca="1" si="3"/>
        <v>12</v>
      </c>
      <c r="J70" s="81">
        <f ca="1">24/Table15[[#This Row],[Production_Hours]]</f>
        <v>2</v>
      </c>
      <c r="K70" s="82">
        <f ca="1">(Table15[[#This Row],[Daily_Production]]*Table15[[#This Row],[Working_Days]]) -Table15[[#This Row],[Maintenance_Downtime]]</f>
        <v>3883</v>
      </c>
    </row>
    <row r="71" spans="1:11">
      <c r="A71" s="54">
        <v>44075</v>
      </c>
      <c r="B71" s="15" t="s">
        <v>12</v>
      </c>
      <c r="C71" s="15">
        <v>95</v>
      </c>
      <c r="D71" s="15">
        <v>28594.498535570227</v>
      </c>
      <c r="E71" s="82">
        <f>_xlfn.FORECAST.LINEAR(Table15[[#This Row],[Date]],Table15[Units_Sold],Table15[Date])</f>
        <v>99.010898491593977</v>
      </c>
      <c r="F71" s="138">
        <f>Table15[[#This Row],[Average_Price]]/Table15[[#This Row],[Units_Sold]]</f>
        <v>300.99472142705503</v>
      </c>
      <c r="G71" cm="1">
        <f t="array" ref="G71">_xlfn.IFS(Table15[[#This Row],[Vehicle_Type]]="SUV",250,Table15[[#This Row],[Vehicle_Type]]="Sedan",200,Table15[[#This Row],[Vehicle_Type]]="Hatchback",185,Table15[[#This Row],[Vehicle_Type]]="Electric",190,Table15[[#This Row],[Vehicle_Type]]="Truck",150)</f>
        <v>250</v>
      </c>
      <c r="H71">
        <f t="shared" ca="1" si="2"/>
        <v>23</v>
      </c>
      <c r="I71">
        <f t="shared" ca="1" si="3"/>
        <v>8</v>
      </c>
      <c r="J71" s="81">
        <f ca="1">24/Table15[[#This Row],[Production_Hours]]</f>
        <v>3</v>
      </c>
      <c r="K71" s="82">
        <f ca="1">(Table15[[#This Row],[Daily_Production]]*Table15[[#This Row],[Working_Days]]) -Table15[[#This Row],[Maintenance_Downtime]]</f>
        <v>5747</v>
      </c>
    </row>
    <row r="72" spans="1:11">
      <c r="A72" s="53">
        <v>44105</v>
      </c>
      <c r="B72" s="14" t="s">
        <v>11</v>
      </c>
      <c r="C72" s="14">
        <v>105</v>
      </c>
      <c r="D72" s="14">
        <v>38988.432634247612</v>
      </c>
      <c r="E72" s="82">
        <f>_xlfn.FORECAST.LINEAR(Table15[[#This Row],[Date]],Table15[Units_Sold],Table15[Date])</f>
        <v>99.012500162000649</v>
      </c>
      <c r="F72" s="138">
        <f>Table15[[#This Row],[Average_Price]]/Table15[[#This Row],[Units_Sold]]</f>
        <v>371.31840604045345</v>
      </c>
      <c r="G72" cm="1">
        <f t="array" ref="G72">_xlfn.IFS(Table15[[#This Row],[Vehicle_Type]]="SUV",250,Table15[[#This Row],[Vehicle_Type]]="Sedan",200,Table15[[#This Row],[Vehicle_Type]]="Hatchback",185,Table15[[#This Row],[Vehicle_Type]]="Electric",190,Table15[[#This Row],[Vehicle_Type]]="Truck",150)</f>
        <v>185</v>
      </c>
      <c r="H72">
        <f t="shared" ca="1" si="2"/>
        <v>22</v>
      </c>
      <c r="I72">
        <f t="shared" ca="1" si="3"/>
        <v>12</v>
      </c>
      <c r="J72" s="81">
        <f ca="1">24/Table15[[#This Row],[Production_Hours]]</f>
        <v>2</v>
      </c>
      <c r="K72" s="82">
        <f ca="1">(Table15[[#This Row],[Daily_Production]]*Table15[[#This Row],[Working_Days]]) -Table15[[#This Row],[Maintenance_Downtime]]</f>
        <v>4068</v>
      </c>
    </row>
    <row r="73" spans="1:11">
      <c r="A73" s="54">
        <v>44135</v>
      </c>
      <c r="B73" s="15" t="s">
        <v>10</v>
      </c>
      <c r="C73" s="15">
        <v>100</v>
      </c>
      <c r="D73" s="15">
        <v>33204.214306335052</v>
      </c>
      <c r="E73" s="82">
        <f>_xlfn.FORECAST.LINEAR(Table15[[#This Row],[Date]],Table15[Units_Sold],Table15[Date])</f>
        <v>99.014101832407334</v>
      </c>
      <c r="F73" s="138">
        <f>Table15[[#This Row],[Average_Price]]/Table15[[#This Row],[Units_Sold]]</f>
        <v>332.04214306335052</v>
      </c>
      <c r="G73" cm="1">
        <f t="array" ref="G73">_xlfn.IFS(Table15[[#This Row],[Vehicle_Type]]="SUV",250,Table15[[#This Row],[Vehicle_Type]]="Sedan",200,Table15[[#This Row],[Vehicle_Type]]="Hatchback",185,Table15[[#This Row],[Vehicle_Type]]="Electric",190,Table15[[#This Row],[Vehicle_Type]]="Truck",150)</f>
        <v>200</v>
      </c>
      <c r="H73">
        <f t="shared" ca="1" si="2"/>
        <v>22</v>
      </c>
      <c r="I73">
        <f t="shared" ca="1" si="3"/>
        <v>9</v>
      </c>
      <c r="J73" s="81">
        <f ca="1">24/Table15[[#This Row],[Production_Hours]]</f>
        <v>2.6666666666666665</v>
      </c>
      <c r="K73" s="82">
        <f ca="1">(Table15[[#This Row],[Daily_Production]]*Table15[[#This Row],[Working_Days]]) -Table15[[#This Row],[Maintenance_Downtime]]</f>
        <v>4397.333333333333</v>
      </c>
    </row>
    <row r="74" spans="1:11">
      <c r="A74" s="53">
        <v>44165</v>
      </c>
      <c r="B74" s="14" t="s">
        <v>13</v>
      </c>
      <c r="C74" s="14">
        <v>104</v>
      </c>
      <c r="D74" s="14">
        <v>27144.105051086015</v>
      </c>
      <c r="E74" s="82">
        <f>_xlfn.FORECAST.LINEAR(Table15[[#This Row],[Date]],Table15[Units_Sold],Table15[Date])</f>
        <v>99.01570350281402</v>
      </c>
      <c r="F74" s="138">
        <f>Table15[[#This Row],[Average_Price]]/Table15[[#This Row],[Units_Sold]]</f>
        <v>261.00101010659631</v>
      </c>
      <c r="G74" cm="1">
        <f t="array" ref="G74">_xlfn.IFS(Table15[[#This Row],[Vehicle_Type]]="SUV",250,Table15[[#This Row],[Vehicle_Type]]="Sedan",200,Table15[[#This Row],[Vehicle_Type]]="Hatchback",185,Table15[[#This Row],[Vehicle_Type]]="Electric",190,Table15[[#This Row],[Vehicle_Type]]="Truck",150)</f>
        <v>190</v>
      </c>
      <c r="H74">
        <f t="shared" ca="1" si="2"/>
        <v>25</v>
      </c>
      <c r="I74">
        <f t="shared" ca="1" si="3"/>
        <v>12</v>
      </c>
      <c r="J74" s="81">
        <f ca="1">24/Table15[[#This Row],[Production_Hours]]</f>
        <v>2</v>
      </c>
      <c r="K74" s="82">
        <f ca="1">(Table15[[#This Row],[Daily_Production]]*Table15[[#This Row],[Working_Days]]) -Table15[[#This Row],[Maintenance_Downtime]]</f>
        <v>4748</v>
      </c>
    </row>
    <row r="75" spans="1:11">
      <c r="A75" s="54">
        <v>44195</v>
      </c>
      <c r="B75" s="15" t="s">
        <v>12</v>
      </c>
      <c r="C75" s="15">
        <v>106</v>
      </c>
      <c r="D75" s="15">
        <v>32862.913906780792</v>
      </c>
      <c r="E75" s="82">
        <f>_xlfn.FORECAST.LINEAR(Table15[[#This Row],[Date]],Table15[Units_Sold],Table15[Date])</f>
        <v>99.017305173220691</v>
      </c>
      <c r="F75" s="138">
        <f>Table15[[#This Row],[Average_Price]]/Table15[[#This Row],[Units_Sold]]</f>
        <v>310.02748968661126</v>
      </c>
      <c r="G75" cm="1">
        <f t="array" ref="G75">_xlfn.IFS(Table15[[#This Row],[Vehicle_Type]]="SUV",250,Table15[[#This Row],[Vehicle_Type]]="Sedan",200,Table15[[#This Row],[Vehicle_Type]]="Hatchback",185,Table15[[#This Row],[Vehicle_Type]]="Electric",190,Table15[[#This Row],[Vehicle_Type]]="Truck",150)</f>
        <v>250</v>
      </c>
      <c r="H75">
        <f t="shared" ca="1" si="2"/>
        <v>23</v>
      </c>
      <c r="I75">
        <f t="shared" ca="1" si="3"/>
        <v>9</v>
      </c>
      <c r="J75" s="81">
        <f ca="1">24/Table15[[#This Row],[Production_Hours]]</f>
        <v>2.6666666666666665</v>
      </c>
      <c r="K75" s="82">
        <f ca="1">(Table15[[#This Row],[Daily_Production]]*Table15[[#This Row],[Working_Days]]) -Table15[[#This Row],[Maintenance_Downtime]]</f>
        <v>5747.333333333333</v>
      </c>
    </row>
    <row r="76" spans="1:11">
      <c r="A76" s="53">
        <v>44225</v>
      </c>
      <c r="B76" s="14" t="s">
        <v>13</v>
      </c>
      <c r="C76" s="14">
        <v>120</v>
      </c>
      <c r="D76" s="14">
        <v>36996.777182930011</v>
      </c>
      <c r="E76" s="82">
        <f>_xlfn.FORECAST.LINEAR(Table15[[#This Row],[Date]],Table15[Units_Sold],Table15[Date])</f>
        <v>99.018906843627377</v>
      </c>
      <c r="F76" s="138">
        <f>Table15[[#This Row],[Average_Price]]/Table15[[#This Row],[Units_Sold]]</f>
        <v>308.30647652441678</v>
      </c>
      <c r="G76" cm="1">
        <f t="array" ref="G76">_xlfn.IFS(Table15[[#This Row],[Vehicle_Type]]="SUV",250,Table15[[#This Row],[Vehicle_Type]]="Sedan",200,Table15[[#This Row],[Vehicle_Type]]="Hatchback",185,Table15[[#This Row],[Vehicle_Type]]="Electric",190,Table15[[#This Row],[Vehicle_Type]]="Truck",150)</f>
        <v>190</v>
      </c>
      <c r="H76">
        <f t="shared" ca="1" si="2"/>
        <v>21</v>
      </c>
      <c r="I76">
        <f t="shared" ca="1" si="3"/>
        <v>10</v>
      </c>
      <c r="J76" s="81">
        <f ca="1">24/Table15[[#This Row],[Production_Hours]]</f>
        <v>2.4</v>
      </c>
      <c r="K76" s="82">
        <f ca="1">(Table15[[#This Row],[Daily_Production]]*Table15[[#This Row],[Working_Days]]) -Table15[[#This Row],[Maintenance_Downtime]]</f>
        <v>3987.6</v>
      </c>
    </row>
    <row r="77" spans="1:11">
      <c r="A77" s="54">
        <v>44255</v>
      </c>
      <c r="B77" s="15" t="s">
        <v>12</v>
      </c>
      <c r="C77" s="15">
        <v>100</v>
      </c>
      <c r="D77" s="15">
        <v>38106.295579999998</v>
      </c>
      <c r="E77" s="82">
        <f>_xlfn.FORECAST.LINEAR(Table15[[#This Row],[Date]],Table15[Units_Sold],Table15[Date])</f>
        <v>99.020508514034063</v>
      </c>
      <c r="F77" s="138">
        <f>Table15[[#This Row],[Average_Price]]/Table15[[#This Row],[Units_Sold]]</f>
        <v>381.0629558</v>
      </c>
      <c r="G77" cm="1">
        <f t="array" ref="G77">_xlfn.IFS(Table15[[#This Row],[Vehicle_Type]]="SUV",250,Table15[[#This Row],[Vehicle_Type]]="Sedan",200,Table15[[#This Row],[Vehicle_Type]]="Hatchback",185,Table15[[#This Row],[Vehicle_Type]]="Electric",190,Table15[[#This Row],[Vehicle_Type]]="Truck",150)</f>
        <v>250</v>
      </c>
      <c r="H77">
        <f t="shared" ca="1" si="2"/>
        <v>23</v>
      </c>
      <c r="I77">
        <f t="shared" ca="1" si="3"/>
        <v>12</v>
      </c>
      <c r="J77" s="81">
        <f ca="1">24/Table15[[#This Row],[Production_Hours]]</f>
        <v>2</v>
      </c>
      <c r="K77" s="82">
        <f ca="1">(Table15[[#This Row],[Daily_Production]]*Table15[[#This Row],[Working_Days]]) -Table15[[#This Row],[Maintenance_Downtime]]</f>
        <v>5748</v>
      </c>
    </row>
    <row r="78" spans="1:11">
      <c r="A78" s="53">
        <v>44285</v>
      </c>
      <c r="B78" s="14" t="s">
        <v>12</v>
      </c>
      <c r="C78" s="14">
        <v>118</v>
      </c>
      <c r="D78" s="14">
        <v>30298.151849600872</v>
      </c>
      <c r="E78" s="82">
        <f>_xlfn.FORECAST.LINEAR(Table15[[#This Row],[Date]],Table15[Units_Sold],Table15[Date])</f>
        <v>99.022110184440749</v>
      </c>
      <c r="F78" s="138">
        <f>Table15[[#This Row],[Average_Price]]/Table15[[#This Row],[Units_Sold]]</f>
        <v>256.76399872543112</v>
      </c>
      <c r="G78" cm="1">
        <f t="array" ref="G78">_xlfn.IFS(Table15[[#This Row],[Vehicle_Type]]="SUV",250,Table15[[#This Row],[Vehicle_Type]]="Sedan",200,Table15[[#This Row],[Vehicle_Type]]="Hatchback",185,Table15[[#This Row],[Vehicle_Type]]="Electric",190,Table15[[#This Row],[Vehicle_Type]]="Truck",150)</f>
        <v>250</v>
      </c>
      <c r="H78">
        <f t="shared" ca="1" si="2"/>
        <v>21</v>
      </c>
      <c r="I78">
        <f t="shared" ca="1" si="3"/>
        <v>10</v>
      </c>
      <c r="J78" s="81">
        <f ca="1">24/Table15[[#This Row],[Production_Hours]]</f>
        <v>2.4</v>
      </c>
      <c r="K78" s="82">
        <f ca="1">(Table15[[#This Row],[Daily_Production]]*Table15[[#This Row],[Working_Days]]) -Table15[[#This Row],[Maintenance_Downtime]]</f>
        <v>5247.6</v>
      </c>
    </row>
    <row r="79" spans="1:11">
      <c r="A79" s="54">
        <v>44315</v>
      </c>
      <c r="B79" s="15" t="s">
        <v>14</v>
      </c>
      <c r="C79" s="15">
        <v>92</v>
      </c>
      <c r="D79" s="15">
        <v>26765.31611147213</v>
      </c>
      <c r="E79" s="82">
        <f>_xlfn.FORECAST.LINEAR(Table15[[#This Row],[Date]],Table15[Units_Sold],Table15[Date])</f>
        <v>99.02371185484742</v>
      </c>
      <c r="F79" s="138">
        <f>Table15[[#This Row],[Average_Price]]/Table15[[#This Row],[Units_Sold]]</f>
        <v>290.92734903774056</v>
      </c>
      <c r="G79" cm="1">
        <f t="array" ref="G79">_xlfn.IFS(Table15[[#This Row],[Vehicle_Type]]="SUV",250,Table15[[#This Row],[Vehicle_Type]]="Sedan",200,Table15[[#This Row],[Vehicle_Type]]="Hatchback",185,Table15[[#This Row],[Vehicle_Type]]="Electric",190,Table15[[#This Row],[Vehicle_Type]]="Truck",150)</f>
        <v>150</v>
      </c>
      <c r="H79">
        <f t="shared" ca="1" si="2"/>
        <v>23</v>
      </c>
      <c r="I79">
        <f t="shared" ca="1" si="3"/>
        <v>12</v>
      </c>
      <c r="J79" s="81">
        <f ca="1">24/Table15[[#This Row],[Production_Hours]]</f>
        <v>2</v>
      </c>
      <c r="K79" s="82">
        <f ca="1">(Table15[[#This Row],[Daily_Production]]*Table15[[#This Row],[Working_Days]]) -Table15[[#This Row],[Maintenance_Downtime]]</f>
        <v>3448</v>
      </c>
    </row>
    <row r="80" spans="1:11">
      <c r="A80" s="53">
        <v>44345</v>
      </c>
      <c r="B80" s="14" t="s">
        <v>14</v>
      </c>
      <c r="C80" s="14">
        <v>110</v>
      </c>
      <c r="D80" s="14">
        <v>33491.116568067948</v>
      </c>
      <c r="E80" s="82">
        <f>_xlfn.FORECAST.LINEAR(Table15[[#This Row],[Date]],Table15[Units_Sold],Table15[Date])</f>
        <v>99.025313525254106</v>
      </c>
      <c r="F80" s="138">
        <f>Table15[[#This Row],[Average_Price]]/Table15[[#This Row],[Units_Sold]]</f>
        <v>304.46469607334495</v>
      </c>
      <c r="G80" cm="1">
        <f t="array" ref="G80">_xlfn.IFS(Table15[[#This Row],[Vehicle_Type]]="SUV",250,Table15[[#This Row],[Vehicle_Type]]="Sedan",200,Table15[[#This Row],[Vehicle_Type]]="Hatchback",185,Table15[[#This Row],[Vehicle_Type]]="Electric",190,Table15[[#This Row],[Vehicle_Type]]="Truck",150)</f>
        <v>150</v>
      </c>
      <c r="H80">
        <f t="shared" ca="1" si="2"/>
        <v>20</v>
      </c>
      <c r="I80">
        <f t="shared" ca="1" si="3"/>
        <v>11</v>
      </c>
      <c r="J80" s="81">
        <f ca="1">24/Table15[[#This Row],[Production_Hours]]</f>
        <v>2.1818181818181817</v>
      </c>
      <c r="K80" s="82">
        <f ca="1">(Table15[[#This Row],[Daily_Production]]*Table15[[#This Row],[Working_Days]]) -Table15[[#This Row],[Maintenance_Downtime]]</f>
        <v>2997.818181818182</v>
      </c>
    </row>
    <row r="81" spans="1:11">
      <c r="A81" s="54">
        <v>44375</v>
      </c>
      <c r="B81" s="15" t="s">
        <v>11</v>
      </c>
      <c r="C81" s="15">
        <v>101</v>
      </c>
      <c r="D81" s="15">
        <v>31967.426927108747</v>
      </c>
      <c r="E81" s="82">
        <f>_xlfn.FORECAST.LINEAR(Table15[[#This Row],[Date]],Table15[Units_Sold],Table15[Date])</f>
        <v>99.026915195660791</v>
      </c>
      <c r="F81" s="138">
        <f>Table15[[#This Row],[Average_Price]]/Table15[[#This Row],[Units_Sold]]</f>
        <v>316.5091774961262</v>
      </c>
      <c r="G81" cm="1">
        <f t="array" ref="G81">_xlfn.IFS(Table15[[#This Row],[Vehicle_Type]]="SUV",250,Table15[[#This Row],[Vehicle_Type]]="Sedan",200,Table15[[#This Row],[Vehicle_Type]]="Hatchback",185,Table15[[#This Row],[Vehicle_Type]]="Electric",190,Table15[[#This Row],[Vehicle_Type]]="Truck",150)</f>
        <v>185</v>
      </c>
      <c r="H81">
        <f t="shared" ca="1" si="2"/>
        <v>20</v>
      </c>
      <c r="I81">
        <f t="shared" ca="1" si="3"/>
        <v>9</v>
      </c>
      <c r="J81" s="81">
        <f ca="1">24/Table15[[#This Row],[Production_Hours]]</f>
        <v>2.6666666666666665</v>
      </c>
      <c r="K81" s="82">
        <f ca="1">(Table15[[#This Row],[Daily_Production]]*Table15[[#This Row],[Working_Days]]) -Table15[[#This Row],[Maintenance_Downtime]]</f>
        <v>3697.3333333333335</v>
      </c>
    </row>
    <row r="82" spans="1:11">
      <c r="A82" s="53">
        <v>44405</v>
      </c>
      <c r="B82" s="14" t="s">
        <v>13</v>
      </c>
      <c r="C82" s="14">
        <v>84</v>
      </c>
      <c r="D82" s="14">
        <v>34475.966100138663</v>
      </c>
      <c r="E82" s="82">
        <f>_xlfn.FORECAST.LINEAR(Table15[[#This Row],[Date]],Table15[Units_Sold],Table15[Date])</f>
        <v>99.028516866067463</v>
      </c>
      <c r="F82" s="138">
        <f>Table15[[#This Row],[Average_Price]]/Table15[[#This Row],[Units_Sold]]</f>
        <v>410.42816785879359</v>
      </c>
      <c r="G82" cm="1">
        <f t="array" ref="G82">_xlfn.IFS(Table15[[#This Row],[Vehicle_Type]]="SUV",250,Table15[[#This Row],[Vehicle_Type]]="Sedan",200,Table15[[#This Row],[Vehicle_Type]]="Hatchback",185,Table15[[#This Row],[Vehicle_Type]]="Electric",190,Table15[[#This Row],[Vehicle_Type]]="Truck",150)</f>
        <v>190</v>
      </c>
      <c r="H82">
        <f t="shared" ca="1" si="2"/>
        <v>22</v>
      </c>
      <c r="I82">
        <f t="shared" ca="1" si="3"/>
        <v>8</v>
      </c>
      <c r="J82" s="81">
        <f ca="1">24/Table15[[#This Row],[Production_Hours]]</f>
        <v>3</v>
      </c>
      <c r="K82" s="82">
        <f ca="1">(Table15[[#This Row],[Daily_Production]]*Table15[[#This Row],[Working_Days]]) -Table15[[#This Row],[Maintenance_Downtime]]</f>
        <v>4177</v>
      </c>
    </row>
    <row r="83" spans="1:11">
      <c r="A83" s="54">
        <v>44435</v>
      </c>
      <c r="B83" s="15" t="s">
        <v>12</v>
      </c>
      <c r="C83" s="15">
        <v>115</v>
      </c>
      <c r="D83" s="15">
        <v>33175.859008409847</v>
      </c>
      <c r="E83" s="82">
        <f>_xlfn.FORECAST.LINEAR(Table15[[#This Row],[Date]],Table15[Units_Sold],Table15[Date])</f>
        <v>99.030118536474149</v>
      </c>
      <c r="F83" s="138">
        <f>Table15[[#This Row],[Average_Price]]/Table15[[#This Row],[Units_Sold]]</f>
        <v>288.48573050791174</v>
      </c>
      <c r="G83" cm="1">
        <f t="array" ref="G83">_xlfn.IFS(Table15[[#This Row],[Vehicle_Type]]="SUV",250,Table15[[#This Row],[Vehicle_Type]]="Sedan",200,Table15[[#This Row],[Vehicle_Type]]="Hatchback",185,Table15[[#This Row],[Vehicle_Type]]="Electric",190,Table15[[#This Row],[Vehicle_Type]]="Truck",150)</f>
        <v>250</v>
      </c>
      <c r="H83">
        <f t="shared" ca="1" si="2"/>
        <v>22</v>
      </c>
      <c r="I83">
        <f t="shared" ca="1" si="3"/>
        <v>9</v>
      </c>
      <c r="J83" s="81">
        <f ca="1">24/Table15[[#This Row],[Production_Hours]]</f>
        <v>2.6666666666666665</v>
      </c>
      <c r="K83" s="82">
        <f ca="1">(Table15[[#This Row],[Daily_Production]]*Table15[[#This Row],[Working_Days]]) -Table15[[#This Row],[Maintenance_Downtime]]</f>
        <v>5497.333333333333</v>
      </c>
    </row>
    <row r="84" spans="1:11">
      <c r="A84" s="53">
        <v>44465</v>
      </c>
      <c r="B84" s="14" t="s">
        <v>11</v>
      </c>
      <c r="C84" s="14">
        <v>95</v>
      </c>
      <c r="D84" s="14">
        <v>35247.763576596677</v>
      </c>
      <c r="E84" s="82">
        <f>_xlfn.FORECAST.LINEAR(Table15[[#This Row],[Date]],Table15[Units_Sold],Table15[Date])</f>
        <v>99.031720206880834</v>
      </c>
      <c r="F84" s="138">
        <f>Table15[[#This Row],[Average_Price]]/Table15[[#This Row],[Units_Sold]]</f>
        <v>371.02909027996503</v>
      </c>
      <c r="G84" cm="1">
        <f t="array" ref="G84">_xlfn.IFS(Table15[[#This Row],[Vehicle_Type]]="SUV",250,Table15[[#This Row],[Vehicle_Type]]="Sedan",200,Table15[[#This Row],[Vehicle_Type]]="Hatchback",185,Table15[[#This Row],[Vehicle_Type]]="Electric",190,Table15[[#This Row],[Vehicle_Type]]="Truck",150)</f>
        <v>185</v>
      </c>
      <c r="H84">
        <f t="shared" ca="1" si="2"/>
        <v>23</v>
      </c>
      <c r="I84">
        <f t="shared" ca="1" si="3"/>
        <v>9</v>
      </c>
      <c r="J84" s="81">
        <f ca="1">24/Table15[[#This Row],[Production_Hours]]</f>
        <v>2.6666666666666665</v>
      </c>
      <c r="K84" s="82">
        <f ca="1">(Table15[[#This Row],[Daily_Production]]*Table15[[#This Row],[Working_Days]]) -Table15[[#This Row],[Maintenance_Downtime]]</f>
        <v>4252.333333333333</v>
      </c>
    </row>
    <row r="85" spans="1:11">
      <c r="A85" s="54">
        <v>44495</v>
      </c>
      <c r="B85" s="15" t="s">
        <v>10</v>
      </c>
      <c r="C85" s="15">
        <v>114</v>
      </c>
      <c r="D85" s="15">
        <v>27323.823942197159</v>
      </c>
      <c r="E85" s="82">
        <f>_xlfn.FORECAST.LINEAR(Table15[[#This Row],[Date]],Table15[Units_Sold],Table15[Date])</f>
        <v>99.03332187728752</v>
      </c>
      <c r="F85" s="138">
        <f>Table15[[#This Row],[Average_Price]]/Table15[[#This Row],[Units_Sold]]</f>
        <v>239.6826661596242</v>
      </c>
      <c r="G85" cm="1">
        <f t="array" ref="G85">_xlfn.IFS(Table15[[#This Row],[Vehicle_Type]]="SUV",250,Table15[[#This Row],[Vehicle_Type]]="Sedan",200,Table15[[#This Row],[Vehicle_Type]]="Hatchback",185,Table15[[#This Row],[Vehicle_Type]]="Electric",190,Table15[[#This Row],[Vehicle_Type]]="Truck",150)</f>
        <v>200</v>
      </c>
      <c r="H85">
        <f t="shared" ca="1" si="2"/>
        <v>24</v>
      </c>
      <c r="I85">
        <f t="shared" ca="1" si="3"/>
        <v>11</v>
      </c>
      <c r="J85" s="81">
        <f ca="1">24/Table15[[#This Row],[Production_Hours]]</f>
        <v>2.1818181818181817</v>
      </c>
      <c r="K85" s="82">
        <f ca="1">(Table15[[#This Row],[Daily_Production]]*Table15[[#This Row],[Working_Days]]) -Table15[[#This Row],[Maintenance_Downtime]]</f>
        <v>4797.818181818182</v>
      </c>
    </row>
    <row r="86" spans="1:11">
      <c r="A86" s="53">
        <v>44525</v>
      </c>
      <c r="B86" s="14" t="s">
        <v>12</v>
      </c>
      <c r="C86" s="14">
        <v>104</v>
      </c>
      <c r="D86" s="14">
        <v>36586.970328171628</v>
      </c>
      <c r="E86" s="82">
        <f>_xlfn.FORECAST.LINEAR(Table15[[#This Row],[Date]],Table15[Units_Sold],Table15[Date])</f>
        <v>99.034923547694191</v>
      </c>
      <c r="F86" s="138">
        <f>Table15[[#This Row],[Average_Price]]/Table15[[#This Row],[Units_Sold]]</f>
        <v>351.79779161703487</v>
      </c>
      <c r="G86" cm="1">
        <f t="array" ref="G86">_xlfn.IFS(Table15[[#This Row],[Vehicle_Type]]="SUV",250,Table15[[#This Row],[Vehicle_Type]]="Sedan",200,Table15[[#This Row],[Vehicle_Type]]="Hatchback",185,Table15[[#This Row],[Vehicle_Type]]="Electric",190,Table15[[#This Row],[Vehicle_Type]]="Truck",150)</f>
        <v>250</v>
      </c>
      <c r="H86">
        <f t="shared" ca="1" si="2"/>
        <v>24</v>
      </c>
      <c r="I86">
        <f t="shared" ca="1" si="3"/>
        <v>10</v>
      </c>
      <c r="J86" s="81">
        <f ca="1">24/Table15[[#This Row],[Production_Hours]]</f>
        <v>2.4</v>
      </c>
      <c r="K86" s="82">
        <f ca="1">(Table15[[#This Row],[Daily_Production]]*Table15[[#This Row],[Working_Days]]) -Table15[[#This Row],[Maintenance_Downtime]]</f>
        <v>5997.6</v>
      </c>
    </row>
    <row r="87" spans="1:11">
      <c r="A87" s="54">
        <v>44555</v>
      </c>
      <c r="B87" s="15" t="s">
        <v>10</v>
      </c>
      <c r="C87" s="15">
        <v>89</v>
      </c>
      <c r="D87" s="15">
        <v>30987.998023461998</v>
      </c>
      <c r="E87" s="82">
        <f>_xlfn.FORECAST.LINEAR(Table15[[#This Row],[Date]],Table15[Units_Sold],Table15[Date])</f>
        <v>99.036525218100877</v>
      </c>
      <c r="F87" s="138">
        <f>Table15[[#This Row],[Average_Price]]/Table15[[#This Row],[Units_Sold]]</f>
        <v>348.17975307260673</v>
      </c>
      <c r="G87" cm="1">
        <f t="array" ref="G87">_xlfn.IFS(Table15[[#This Row],[Vehicle_Type]]="SUV",250,Table15[[#This Row],[Vehicle_Type]]="Sedan",200,Table15[[#This Row],[Vehicle_Type]]="Hatchback",185,Table15[[#This Row],[Vehicle_Type]]="Electric",190,Table15[[#This Row],[Vehicle_Type]]="Truck",150)</f>
        <v>200</v>
      </c>
      <c r="H87">
        <f t="shared" ca="1" si="2"/>
        <v>25</v>
      </c>
      <c r="I87">
        <f t="shared" ca="1" si="3"/>
        <v>11</v>
      </c>
      <c r="J87" s="81">
        <f ca="1">24/Table15[[#This Row],[Production_Hours]]</f>
        <v>2.1818181818181817</v>
      </c>
      <c r="K87" s="82">
        <f ca="1">(Table15[[#This Row],[Daily_Production]]*Table15[[#This Row],[Working_Days]]) -Table15[[#This Row],[Maintenance_Downtime]]</f>
        <v>4997.818181818182</v>
      </c>
    </row>
    <row r="88" spans="1:11">
      <c r="A88" s="53">
        <v>44585</v>
      </c>
      <c r="B88" s="14" t="s">
        <v>11</v>
      </c>
      <c r="C88" s="14">
        <v>100</v>
      </c>
      <c r="D88" s="14">
        <v>40376.304363126328</v>
      </c>
      <c r="E88" s="82">
        <f>_xlfn.FORECAST.LINEAR(Table15[[#This Row],[Date]],Table15[Units_Sold],Table15[Date])</f>
        <v>99.038126888507563</v>
      </c>
      <c r="F88" s="138">
        <f>Table15[[#This Row],[Average_Price]]/Table15[[#This Row],[Units_Sold]]</f>
        <v>403.76304363126326</v>
      </c>
      <c r="G88" cm="1">
        <f t="array" ref="G88">_xlfn.IFS(Table15[[#This Row],[Vehicle_Type]]="SUV",250,Table15[[#This Row],[Vehicle_Type]]="Sedan",200,Table15[[#This Row],[Vehicle_Type]]="Hatchback",185,Table15[[#This Row],[Vehicle_Type]]="Electric",190,Table15[[#This Row],[Vehicle_Type]]="Truck",150)</f>
        <v>185</v>
      </c>
      <c r="H88">
        <f t="shared" ca="1" si="2"/>
        <v>24</v>
      </c>
      <c r="I88">
        <f t="shared" ca="1" si="3"/>
        <v>9</v>
      </c>
      <c r="J88" s="81">
        <f ca="1">24/Table15[[#This Row],[Production_Hours]]</f>
        <v>2.6666666666666665</v>
      </c>
      <c r="K88" s="82">
        <f ca="1">(Table15[[#This Row],[Daily_Production]]*Table15[[#This Row],[Working_Days]]) -Table15[[#This Row],[Maintenance_Downtime]]</f>
        <v>4437.333333333333</v>
      </c>
    </row>
    <row r="89" spans="1:11">
      <c r="A89" s="54">
        <v>44615</v>
      </c>
      <c r="B89" s="15" t="s">
        <v>14</v>
      </c>
      <c r="C89" s="15">
        <v>85</v>
      </c>
      <c r="D89" s="15">
        <v>26554.060909552161</v>
      </c>
      <c r="E89" s="82">
        <f>_xlfn.FORECAST.LINEAR(Table15[[#This Row],[Date]],Table15[Units_Sold],Table15[Date])</f>
        <v>99.039728558914234</v>
      </c>
      <c r="F89" s="138">
        <f>Table15[[#This Row],[Average_Price]]/Table15[[#This Row],[Units_Sold]]</f>
        <v>312.4007165829666</v>
      </c>
      <c r="G89" cm="1">
        <f t="array" ref="G89">_xlfn.IFS(Table15[[#This Row],[Vehicle_Type]]="SUV",250,Table15[[#This Row],[Vehicle_Type]]="Sedan",200,Table15[[#This Row],[Vehicle_Type]]="Hatchback",185,Table15[[#This Row],[Vehicle_Type]]="Electric",190,Table15[[#This Row],[Vehicle_Type]]="Truck",150)</f>
        <v>150</v>
      </c>
      <c r="H89">
        <f t="shared" ca="1" si="2"/>
        <v>20</v>
      </c>
      <c r="I89">
        <f t="shared" ca="1" si="3"/>
        <v>8</v>
      </c>
      <c r="J89" s="81">
        <f ca="1">24/Table15[[#This Row],[Production_Hours]]</f>
        <v>3</v>
      </c>
      <c r="K89" s="82">
        <f ca="1">(Table15[[#This Row],[Daily_Production]]*Table15[[#This Row],[Working_Days]]) -Table15[[#This Row],[Maintenance_Downtime]]</f>
        <v>2997</v>
      </c>
    </row>
    <row r="90" spans="1:11">
      <c r="A90" s="53">
        <v>44645</v>
      </c>
      <c r="B90" s="14" t="s">
        <v>11</v>
      </c>
      <c r="C90" s="14">
        <v>101</v>
      </c>
      <c r="D90" s="14">
        <v>38679.819015826244</v>
      </c>
      <c r="E90" s="82">
        <f>_xlfn.FORECAST.LINEAR(Table15[[#This Row],[Date]],Table15[Units_Sold],Table15[Date])</f>
        <v>99.04133022932092</v>
      </c>
      <c r="F90" s="138">
        <f>Table15[[#This Row],[Average_Price]]/Table15[[#This Row],[Units_Sold]]</f>
        <v>382.96850510719054</v>
      </c>
      <c r="G90" cm="1">
        <f t="array" ref="G90">_xlfn.IFS(Table15[[#This Row],[Vehicle_Type]]="SUV",250,Table15[[#This Row],[Vehicle_Type]]="Sedan",200,Table15[[#This Row],[Vehicle_Type]]="Hatchback",185,Table15[[#This Row],[Vehicle_Type]]="Electric",190,Table15[[#This Row],[Vehicle_Type]]="Truck",150)</f>
        <v>185</v>
      </c>
      <c r="H90">
        <f t="shared" ca="1" si="2"/>
        <v>23</v>
      </c>
      <c r="I90">
        <f t="shared" ca="1" si="3"/>
        <v>8</v>
      </c>
      <c r="J90" s="81">
        <f ca="1">24/Table15[[#This Row],[Production_Hours]]</f>
        <v>3</v>
      </c>
      <c r="K90" s="82">
        <f ca="1">(Table15[[#This Row],[Daily_Production]]*Table15[[#This Row],[Working_Days]]) -Table15[[#This Row],[Maintenance_Downtime]]</f>
        <v>4252</v>
      </c>
    </row>
    <row r="91" spans="1:11">
      <c r="A91" s="54">
        <v>44675</v>
      </c>
      <c r="B91" s="15" t="s">
        <v>10</v>
      </c>
      <c r="C91" s="15">
        <v>104</v>
      </c>
      <c r="D91" s="15">
        <v>30989.553917313238</v>
      </c>
      <c r="E91" s="82">
        <f>_xlfn.FORECAST.LINEAR(Table15[[#This Row],[Date]],Table15[Units_Sold],Table15[Date])</f>
        <v>99.042931899727606</v>
      </c>
      <c r="F91" s="138">
        <f>Table15[[#This Row],[Average_Price]]/Table15[[#This Row],[Units_Sold]]</f>
        <v>297.97647997416573</v>
      </c>
      <c r="G91" cm="1">
        <f t="array" ref="G91">_xlfn.IFS(Table15[[#This Row],[Vehicle_Type]]="SUV",250,Table15[[#This Row],[Vehicle_Type]]="Sedan",200,Table15[[#This Row],[Vehicle_Type]]="Hatchback",185,Table15[[#This Row],[Vehicle_Type]]="Electric",190,Table15[[#This Row],[Vehicle_Type]]="Truck",150)</f>
        <v>200</v>
      </c>
      <c r="H91">
        <f t="shared" ca="1" si="2"/>
        <v>24</v>
      </c>
      <c r="I91">
        <f t="shared" ca="1" si="3"/>
        <v>12</v>
      </c>
      <c r="J91" s="81">
        <f ca="1">24/Table15[[#This Row],[Production_Hours]]</f>
        <v>2</v>
      </c>
      <c r="K91" s="82">
        <f ca="1">(Table15[[#This Row],[Daily_Production]]*Table15[[#This Row],[Working_Days]]) -Table15[[#This Row],[Maintenance_Downtime]]</f>
        <v>4798</v>
      </c>
    </row>
    <row r="92" spans="1:11">
      <c r="A92" s="53">
        <v>44705</v>
      </c>
      <c r="B92" s="14" t="s">
        <v>12</v>
      </c>
      <c r="C92" s="14">
        <v>106</v>
      </c>
      <c r="D92" s="14">
        <v>38106.295579999998</v>
      </c>
      <c r="E92" s="82">
        <f>_xlfn.FORECAST.LINEAR(Table15[[#This Row],[Date]],Table15[Units_Sold],Table15[Date])</f>
        <v>99.044533570134291</v>
      </c>
      <c r="F92" s="138">
        <f>Table15[[#This Row],[Average_Price]]/Table15[[#This Row],[Units_Sold]]</f>
        <v>359.49335452830189</v>
      </c>
      <c r="G92" cm="1">
        <f t="array" ref="G92">_xlfn.IFS(Table15[[#This Row],[Vehicle_Type]]="SUV",250,Table15[[#This Row],[Vehicle_Type]]="Sedan",200,Table15[[#This Row],[Vehicle_Type]]="Hatchback",185,Table15[[#This Row],[Vehicle_Type]]="Electric",190,Table15[[#This Row],[Vehicle_Type]]="Truck",150)</f>
        <v>250</v>
      </c>
      <c r="H92">
        <f t="shared" ca="1" si="2"/>
        <v>20</v>
      </c>
      <c r="I92">
        <f t="shared" ca="1" si="3"/>
        <v>10</v>
      </c>
      <c r="J92" s="81">
        <f ca="1">24/Table15[[#This Row],[Production_Hours]]</f>
        <v>2.4</v>
      </c>
      <c r="K92" s="82">
        <f ca="1">(Table15[[#This Row],[Daily_Production]]*Table15[[#This Row],[Working_Days]]) -Table15[[#This Row],[Maintenance_Downtime]]</f>
        <v>4997.6000000000004</v>
      </c>
    </row>
    <row r="93" spans="1:11">
      <c r="A93" s="54">
        <v>44735</v>
      </c>
      <c r="B93" s="15" t="s">
        <v>13</v>
      </c>
      <c r="C93" s="15">
        <v>95</v>
      </c>
      <c r="D93" s="15">
        <v>27580.570829728393</v>
      </c>
      <c r="E93" s="82">
        <f>_xlfn.FORECAST.LINEAR(Table15[[#This Row],[Date]],Table15[Units_Sold],Table15[Date])</f>
        <v>99.046135240540963</v>
      </c>
      <c r="F93" s="138">
        <f>Table15[[#This Row],[Average_Price]]/Table15[[#This Row],[Units_Sold]]</f>
        <v>290.32179820766731</v>
      </c>
      <c r="G93" cm="1">
        <f t="array" ref="G93">_xlfn.IFS(Table15[[#This Row],[Vehicle_Type]]="SUV",250,Table15[[#This Row],[Vehicle_Type]]="Sedan",200,Table15[[#This Row],[Vehicle_Type]]="Hatchback",185,Table15[[#This Row],[Vehicle_Type]]="Electric",190,Table15[[#This Row],[Vehicle_Type]]="Truck",150)</f>
        <v>190</v>
      </c>
      <c r="H93">
        <f t="shared" ca="1" si="2"/>
        <v>21</v>
      </c>
      <c r="I93">
        <f t="shared" ca="1" si="3"/>
        <v>11</v>
      </c>
      <c r="J93" s="81">
        <f ca="1">24/Table15[[#This Row],[Production_Hours]]</f>
        <v>2.1818181818181817</v>
      </c>
      <c r="K93" s="82">
        <f ca="1">(Table15[[#This Row],[Daily_Production]]*Table15[[#This Row],[Working_Days]]) -Table15[[#This Row],[Maintenance_Downtime]]</f>
        <v>3987.818181818182</v>
      </c>
    </row>
    <row r="94" spans="1:11">
      <c r="A94" s="53">
        <v>44765</v>
      </c>
      <c r="B94" s="14" t="s">
        <v>11</v>
      </c>
      <c r="C94" s="14">
        <v>104</v>
      </c>
      <c r="D94" s="14">
        <v>28398.2634590284</v>
      </c>
      <c r="E94" s="82">
        <f>_xlfn.FORECAST.LINEAR(Table15[[#This Row],[Date]],Table15[Units_Sold],Table15[Date])</f>
        <v>99.047736910947648</v>
      </c>
      <c r="F94" s="138">
        <f>Table15[[#This Row],[Average_Price]]/Table15[[#This Row],[Units_Sold]]</f>
        <v>273.06022556758074</v>
      </c>
      <c r="G94" cm="1">
        <f t="array" ref="G94">_xlfn.IFS(Table15[[#This Row],[Vehicle_Type]]="SUV",250,Table15[[#This Row],[Vehicle_Type]]="Sedan",200,Table15[[#This Row],[Vehicle_Type]]="Hatchback",185,Table15[[#This Row],[Vehicle_Type]]="Electric",190,Table15[[#This Row],[Vehicle_Type]]="Truck",150)</f>
        <v>185</v>
      </c>
      <c r="H94">
        <f t="shared" ca="1" si="2"/>
        <v>22</v>
      </c>
      <c r="I94">
        <f t="shared" ca="1" si="3"/>
        <v>10</v>
      </c>
      <c r="J94" s="81">
        <f ca="1">24/Table15[[#This Row],[Production_Hours]]</f>
        <v>2.4</v>
      </c>
      <c r="K94" s="82">
        <f ca="1">(Table15[[#This Row],[Daily_Production]]*Table15[[#This Row],[Working_Days]]) -Table15[[#This Row],[Maintenance_Downtime]]</f>
        <v>4067.6</v>
      </c>
    </row>
    <row r="95" spans="1:11">
      <c r="A95" s="54">
        <v>44795</v>
      </c>
      <c r="B95" s="15" t="s">
        <v>12</v>
      </c>
      <c r="C95" s="15">
        <v>105</v>
      </c>
      <c r="D95" s="15">
        <v>32120.829732009581</v>
      </c>
      <c r="E95" s="82">
        <f>_xlfn.FORECAST.LINEAR(Table15[[#This Row],[Date]],Table15[Units_Sold],Table15[Date])</f>
        <v>99.049338581354334</v>
      </c>
      <c r="F95" s="138">
        <f>Table15[[#This Row],[Average_Price]]/Table15[[#This Row],[Units_Sold]]</f>
        <v>305.91266411437698</v>
      </c>
      <c r="G95" cm="1">
        <f t="array" ref="G95">_xlfn.IFS(Table15[[#This Row],[Vehicle_Type]]="SUV",250,Table15[[#This Row],[Vehicle_Type]]="Sedan",200,Table15[[#This Row],[Vehicle_Type]]="Hatchback",185,Table15[[#This Row],[Vehicle_Type]]="Electric",190,Table15[[#This Row],[Vehicle_Type]]="Truck",150)</f>
        <v>250</v>
      </c>
      <c r="H95">
        <f t="shared" ca="1" si="2"/>
        <v>24</v>
      </c>
      <c r="I95">
        <f t="shared" ca="1" si="3"/>
        <v>12</v>
      </c>
      <c r="J95" s="81">
        <f ca="1">24/Table15[[#This Row],[Production_Hours]]</f>
        <v>2</v>
      </c>
      <c r="K95" s="82">
        <f ca="1">(Table15[[#This Row],[Daily_Production]]*Table15[[#This Row],[Working_Days]]) -Table15[[#This Row],[Maintenance_Downtime]]</f>
        <v>5998</v>
      </c>
    </row>
    <row r="96" spans="1:11">
      <c r="A96" s="53">
        <v>44825</v>
      </c>
      <c r="B96" s="14" t="s">
        <v>14</v>
      </c>
      <c r="C96" s="14">
        <v>84</v>
      </c>
      <c r="D96" s="14">
        <v>32614.177440177496</v>
      </c>
      <c r="E96" s="82">
        <f>_xlfn.FORECAST.LINEAR(Table15[[#This Row],[Date]],Table15[Units_Sold],Table15[Date])</f>
        <v>99.050940251761006</v>
      </c>
      <c r="F96" s="138">
        <f>Table15[[#This Row],[Average_Price]]/Table15[[#This Row],[Units_Sold]]</f>
        <v>388.26401714497018</v>
      </c>
      <c r="G96" cm="1">
        <f t="array" ref="G96">_xlfn.IFS(Table15[[#This Row],[Vehicle_Type]]="SUV",250,Table15[[#This Row],[Vehicle_Type]]="Sedan",200,Table15[[#This Row],[Vehicle_Type]]="Hatchback",185,Table15[[#This Row],[Vehicle_Type]]="Electric",190,Table15[[#This Row],[Vehicle_Type]]="Truck",150)</f>
        <v>150</v>
      </c>
      <c r="H96">
        <f t="shared" ca="1" si="2"/>
        <v>21</v>
      </c>
      <c r="I96">
        <f t="shared" ca="1" si="3"/>
        <v>8</v>
      </c>
      <c r="J96" s="81">
        <f ca="1">24/Table15[[#This Row],[Production_Hours]]</f>
        <v>3</v>
      </c>
      <c r="K96" s="82">
        <f ca="1">(Table15[[#This Row],[Daily_Production]]*Table15[[#This Row],[Working_Days]]) -Table15[[#This Row],[Maintenance_Downtime]]</f>
        <v>3147</v>
      </c>
    </row>
    <row r="97" spans="1:11">
      <c r="A97" s="54">
        <v>44855</v>
      </c>
      <c r="B97" s="15" t="s">
        <v>14</v>
      </c>
      <c r="C97" s="15">
        <v>93</v>
      </c>
      <c r="D97" s="15">
        <v>27131.499980307104</v>
      </c>
      <c r="E97" s="82">
        <f>_xlfn.FORECAST.LINEAR(Table15[[#This Row],[Date]],Table15[Units_Sold],Table15[Date])</f>
        <v>99.052541922167691</v>
      </c>
      <c r="F97" s="138">
        <f>Table15[[#This Row],[Average_Price]]/Table15[[#This Row],[Units_Sold]]</f>
        <v>291.73655892803339</v>
      </c>
      <c r="G97" cm="1">
        <f t="array" ref="G97">_xlfn.IFS(Table15[[#This Row],[Vehicle_Type]]="SUV",250,Table15[[#This Row],[Vehicle_Type]]="Sedan",200,Table15[[#This Row],[Vehicle_Type]]="Hatchback",185,Table15[[#This Row],[Vehicle_Type]]="Electric",190,Table15[[#This Row],[Vehicle_Type]]="Truck",150)</f>
        <v>150</v>
      </c>
      <c r="H97">
        <f t="shared" ca="1" si="2"/>
        <v>25</v>
      </c>
      <c r="I97">
        <f t="shared" ca="1" si="3"/>
        <v>11</v>
      </c>
      <c r="J97" s="81">
        <f ca="1">24/Table15[[#This Row],[Production_Hours]]</f>
        <v>2.1818181818181817</v>
      </c>
      <c r="K97" s="82">
        <f ca="1">(Table15[[#This Row],[Daily_Production]]*Table15[[#This Row],[Working_Days]]) -Table15[[#This Row],[Maintenance_Downtime]]</f>
        <v>3747.818181818182</v>
      </c>
    </row>
    <row r="98" spans="1:11">
      <c r="A98" s="53">
        <v>44885</v>
      </c>
      <c r="B98" s="14" t="s">
        <v>14</v>
      </c>
      <c r="C98" s="14">
        <v>115</v>
      </c>
      <c r="D98" s="14">
        <v>29878.227038695084</v>
      </c>
      <c r="E98" s="82">
        <f>_xlfn.FORECAST.LINEAR(Table15[[#This Row],[Date]],Table15[Units_Sold],Table15[Date])</f>
        <v>99.054143592574377</v>
      </c>
      <c r="F98" s="138">
        <f>Table15[[#This Row],[Average_Price]]/Table15[[#This Row],[Units_Sold]]</f>
        <v>259.81066990169637</v>
      </c>
      <c r="G98" cm="1">
        <f t="array" ref="G98">_xlfn.IFS(Table15[[#This Row],[Vehicle_Type]]="SUV",250,Table15[[#This Row],[Vehicle_Type]]="Sedan",200,Table15[[#This Row],[Vehicle_Type]]="Hatchback",185,Table15[[#This Row],[Vehicle_Type]]="Electric",190,Table15[[#This Row],[Vehicle_Type]]="Truck",150)</f>
        <v>150</v>
      </c>
      <c r="H98">
        <f t="shared" ca="1" si="2"/>
        <v>22</v>
      </c>
      <c r="I98">
        <f t="shared" ca="1" si="3"/>
        <v>10</v>
      </c>
      <c r="J98" s="81">
        <f ca="1">24/Table15[[#This Row],[Production_Hours]]</f>
        <v>2.4</v>
      </c>
      <c r="K98" s="82">
        <f ca="1">(Table15[[#This Row],[Daily_Production]]*Table15[[#This Row],[Working_Days]]) -Table15[[#This Row],[Maintenance_Downtime]]</f>
        <v>3297.6</v>
      </c>
    </row>
    <row r="99" spans="1:11">
      <c r="A99" s="54">
        <v>44915</v>
      </c>
      <c r="B99" s="15" t="s">
        <v>12</v>
      </c>
      <c r="C99" s="15">
        <v>109</v>
      </c>
      <c r="D99" s="15">
        <v>40711.351793059323</v>
      </c>
      <c r="E99" s="82">
        <f>_xlfn.FORECAST.LINEAR(Table15[[#This Row],[Date]],Table15[Units_Sold],Table15[Date])</f>
        <v>99.055745262981063</v>
      </c>
      <c r="F99" s="138">
        <f>Table15[[#This Row],[Average_Price]]/Table15[[#This Row],[Units_Sold]]</f>
        <v>373.49864030329655</v>
      </c>
      <c r="G99" cm="1">
        <f t="array" ref="G99">_xlfn.IFS(Table15[[#This Row],[Vehicle_Type]]="SUV",250,Table15[[#This Row],[Vehicle_Type]]="Sedan",200,Table15[[#This Row],[Vehicle_Type]]="Hatchback",185,Table15[[#This Row],[Vehicle_Type]]="Electric",190,Table15[[#This Row],[Vehicle_Type]]="Truck",150)</f>
        <v>250</v>
      </c>
      <c r="H99">
        <f t="shared" ca="1" si="2"/>
        <v>21</v>
      </c>
      <c r="I99">
        <f t="shared" ca="1" si="3"/>
        <v>9</v>
      </c>
      <c r="J99" s="81">
        <f ca="1">24/Table15[[#This Row],[Production_Hours]]</f>
        <v>2.6666666666666665</v>
      </c>
      <c r="K99" s="82">
        <f ca="1">(Table15[[#This Row],[Daily_Production]]*Table15[[#This Row],[Working_Days]]) -Table15[[#This Row],[Maintenance_Downtime]]</f>
        <v>5247.333333333333</v>
      </c>
    </row>
    <row r="100" spans="1:11">
      <c r="A100" s="53">
        <v>44945</v>
      </c>
      <c r="B100" s="14" t="s">
        <v>11</v>
      </c>
      <c r="C100" s="14">
        <v>102</v>
      </c>
      <c r="D100" s="14">
        <v>38637.715850503555</v>
      </c>
      <c r="E100" s="82">
        <f>_xlfn.FORECAST.LINEAR(Table15[[#This Row],[Date]],Table15[Units_Sold],Table15[Date])</f>
        <v>99.057346933387734</v>
      </c>
      <c r="F100" s="138">
        <f>Table15[[#This Row],[Average_Price]]/Table15[[#This Row],[Units_Sold]]</f>
        <v>378.80113578925057</v>
      </c>
      <c r="G100" cm="1">
        <f t="array" ref="G100">_xlfn.IFS(Table15[[#This Row],[Vehicle_Type]]="SUV",250,Table15[[#This Row],[Vehicle_Type]]="Sedan",200,Table15[[#This Row],[Vehicle_Type]]="Hatchback",185,Table15[[#This Row],[Vehicle_Type]]="Electric",190,Table15[[#This Row],[Vehicle_Type]]="Truck",150)</f>
        <v>185</v>
      </c>
      <c r="H100">
        <f t="shared" ca="1" si="2"/>
        <v>22</v>
      </c>
      <c r="I100">
        <f t="shared" ca="1" si="3"/>
        <v>9</v>
      </c>
      <c r="J100" s="81">
        <f ca="1">24/Table15[[#This Row],[Production_Hours]]</f>
        <v>2.6666666666666665</v>
      </c>
      <c r="K100" s="82">
        <f ca="1">(Table15[[#This Row],[Daily_Production]]*Table15[[#This Row],[Working_Days]]) -Table15[[#This Row],[Maintenance_Downtime]]</f>
        <v>4067.3333333333335</v>
      </c>
    </row>
    <row r="101" spans="1:11">
      <c r="A101" s="54">
        <v>44975</v>
      </c>
      <c r="B101" s="15" t="s">
        <v>12</v>
      </c>
      <c r="C101" s="15">
        <v>100</v>
      </c>
      <c r="D101" s="15">
        <v>32181.618348370161</v>
      </c>
      <c r="E101" s="82">
        <f>_xlfn.FORECAST.LINEAR(Table15[[#This Row],[Date]],Table15[Units_Sold],Table15[Date])</f>
        <v>99.05894860379442</v>
      </c>
      <c r="F101" s="138">
        <f>Table15[[#This Row],[Average_Price]]/Table15[[#This Row],[Units_Sold]]</f>
        <v>321.81618348370159</v>
      </c>
      <c r="G101" cm="1">
        <f t="array" ref="G101">_xlfn.IFS(Table15[[#This Row],[Vehicle_Type]]="SUV",250,Table15[[#This Row],[Vehicle_Type]]="Sedan",200,Table15[[#This Row],[Vehicle_Type]]="Hatchback",185,Table15[[#This Row],[Vehicle_Type]]="Electric",190,Table15[[#This Row],[Vehicle_Type]]="Truck",150)</f>
        <v>250</v>
      </c>
      <c r="H101">
        <f t="shared" ca="1" si="2"/>
        <v>23</v>
      </c>
      <c r="I101">
        <f t="shared" ca="1" si="3"/>
        <v>10</v>
      </c>
      <c r="J101" s="81">
        <f ca="1">24/Table15[[#This Row],[Production_Hours]]</f>
        <v>2.4</v>
      </c>
      <c r="K101" s="82">
        <f ca="1">(Table15[[#This Row],[Daily_Production]]*Table15[[#This Row],[Working_Days]]) -Table15[[#This Row],[Maintenance_Downtime]]</f>
        <v>5747.6</v>
      </c>
    </row>
    <row r="102" spans="1:11">
      <c r="A102" s="53">
        <v>45005</v>
      </c>
      <c r="B102" s="14" t="s">
        <v>12</v>
      </c>
      <c r="C102" s="14">
        <v>93</v>
      </c>
      <c r="D102" s="14">
        <v>30190.017390841</v>
      </c>
      <c r="E102" s="82">
        <f>_xlfn.FORECAST.LINEAR(Table15[[#This Row],[Date]],Table15[Units_Sold],Table15[Date])</f>
        <v>99.060550274201105</v>
      </c>
      <c r="F102" s="138">
        <f>Table15[[#This Row],[Average_Price]]/Table15[[#This Row],[Units_Sold]]</f>
        <v>324.6238429122688</v>
      </c>
      <c r="G102" cm="1">
        <f t="array" ref="G102">_xlfn.IFS(Table15[[#This Row],[Vehicle_Type]]="SUV",250,Table15[[#This Row],[Vehicle_Type]]="Sedan",200,Table15[[#This Row],[Vehicle_Type]]="Hatchback",185,Table15[[#This Row],[Vehicle_Type]]="Electric",190,Table15[[#This Row],[Vehicle_Type]]="Truck",150)</f>
        <v>250</v>
      </c>
      <c r="H102">
        <f t="shared" ca="1" si="2"/>
        <v>22</v>
      </c>
      <c r="I102">
        <f t="shared" ca="1" si="3"/>
        <v>11</v>
      </c>
      <c r="J102" s="81">
        <f ca="1">24/Table15[[#This Row],[Production_Hours]]</f>
        <v>2.1818181818181817</v>
      </c>
      <c r="K102" s="82">
        <f ca="1">(Table15[[#This Row],[Daily_Production]]*Table15[[#This Row],[Working_Days]]) -Table15[[#This Row],[Maintenance_Downtime]]</f>
        <v>5497.818181818182</v>
      </c>
    </row>
    <row r="103" spans="1:11">
      <c r="A103" s="54">
        <v>45035</v>
      </c>
      <c r="B103" s="15" t="s">
        <v>13</v>
      </c>
      <c r="C103" s="15">
        <v>100</v>
      </c>
      <c r="D103" s="15">
        <v>30600.156633591305</v>
      </c>
      <c r="E103" s="82">
        <f>_xlfn.FORECAST.LINEAR(Table15[[#This Row],[Date]],Table15[Units_Sold],Table15[Date])</f>
        <v>99.062151944607777</v>
      </c>
      <c r="F103" s="138">
        <f>Table15[[#This Row],[Average_Price]]/Table15[[#This Row],[Units_Sold]]</f>
        <v>306.00156633591303</v>
      </c>
      <c r="G103" cm="1">
        <f t="array" ref="G103">_xlfn.IFS(Table15[[#This Row],[Vehicle_Type]]="SUV",250,Table15[[#This Row],[Vehicle_Type]]="Sedan",200,Table15[[#This Row],[Vehicle_Type]]="Hatchback",185,Table15[[#This Row],[Vehicle_Type]]="Electric",190,Table15[[#This Row],[Vehicle_Type]]="Truck",150)</f>
        <v>190</v>
      </c>
      <c r="H103">
        <f t="shared" ca="1" si="2"/>
        <v>24</v>
      </c>
      <c r="I103">
        <f t="shared" ca="1" si="3"/>
        <v>11</v>
      </c>
      <c r="J103" s="81">
        <f ca="1">24/Table15[[#This Row],[Production_Hours]]</f>
        <v>2.1818181818181817</v>
      </c>
      <c r="K103" s="82">
        <f ca="1">(Table15[[#This Row],[Daily_Production]]*Table15[[#This Row],[Working_Days]]) -Table15[[#This Row],[Maintenance_Downtime]]</f>
        <v>4557.818181818182</v>
      </c>
    </row>
    <row r="104" spans="1:11">
      <c r="A104" s="53">
        <v>45065</v>
      </c>
      <c r="B104" s="14" t="s">
        <v>13</v>
      </c>
      <c r="C104" s="14">
        <v>117</v>
      </c>
      <c r="D104" s="14">
        <v>33067.589863652087</v>
      </c>
      <c r="E104" s="82">
        <f>_xlfn.FORECAST.LINEAR(Table15[[#This Row],[Date]],Table15[Units_Sold],Table15[Date])</f>
        <v>99.063753615014463</v>
      </c>
      <c r="F104" s="138">
        <f>Table15[[#This Row],[Average_Price]]/Table15[[#This Row],[Units_Sold]]</f>
        <v>282.62897319360758</v>
      </c>
      <c r="G104" cm="1">
        <f t="array" ref="G104">_xlfn.IFS(Table15[[#This Row],[Vehicle_Type]]="SUV",250,Table15[[#This Row],[Vehicle_Type]]="Sedan",200,Table15[[#This Row],[Vehicle_Type]]="Hatchback",185,Table15[[#This Row],[Vehicle_Type]]="Electric",190,Table15[[#This Row],[Vehicle_Type]]="Truck",150)</f>
        <v>190</v>
      </c>
      <c r="H104">
        <f t="shared" ca="1" si="2"/>
        <v>23</v>
      </c>
      <c r="I104">
        <f t="shared" ca="1" si="3"/>
        <v>9</v>
      </c>
      <c r="J104" s="81">
        <f ca="1">24/Table15[[#This Row],[Production_Hours]]</f>
        <v>2.6666666666666665</v>
      </c>
      <c r="K104" s="82">
        <f ca="1">(Table15[[#This Row],[Daily_Production]]*Table15[[#This Row],[Working_Days]]) -Table15[[#This Row],[Maintenance_Downtime]]</f>
        <v>4367.333333333333</v>
      </c>
    </row>
    <row r="105" spans="1:11">
      <c r="A105" s="54">
        <v>45095</v>
      </c>
      <c r="B105" s="15" t="s">
        <v>11</v>
      </c>
      <c r="C105" s="15">
        <v>98</v>
      </c>
      <c r="D105" s="15">
        <v>24886.037174007972</v>
      </c>
      <c r="E105" s="82">
        <f>_xlfn.FORECAST.LINEAR(Table15[[#This Row],[Date]],Table15[Units_Sold],Table15[Date])</f>
        <v>99.065355285421148</v>
      </c>
      <c r="F105" s="138">
        <f>Table15[[#This Row],[Average_Price]]/Table15[[#This Row],[Units_Sold]]</f>
        <v>253.93915483681604</v>
      </c>
      <c r="G105" cm="1">
        <f t="array" ref="G105">_xlfn.IFS(Table15[[#This Row],[Vehicle_Type]]="SUV",250,Table15[[#This Row],[Vehicle_Type]]="Sedan",200,Table15[[#This Row],[Vehicle_Type]]="Hatchback",185,Table15[[#This Row],[Vehicle_Type]]="Electric",190,Table15[[#This Row],[Vehicle_Type]]="Truck",150)</f>
        <v>185</v>
      </c>
      <c r="H105">
        <f t="shared" ca="1" si="2"/>
        <v>25</v>
      </c>
      <c r="I105">
        <f t="shared" ca="1" si="3"/>
        <v>8</v>
      </c>
      <c r="J105" s="81">
        <f ca="1">24/Table15[[#This Row],[Production_Hours]]</f>
        <v>3</v>
      </c>
      <c r="K105" s="82">
        <f ca="1">(Table15[[#This Row],[Daily_Production]]*Table15[[#This Row],[Working_Days]]) -Table15[[#This Row],[Maintenance_Downtime]]</f>
        <v>4622</v>
      </c>
    </row>
    <row r="106" spans="1:11">
      <c r="A106" s="53">
        <v>45125</v>
      </c>
      <c r="B106" s="14" t="s">
        <v>13</v>
      </c>
      <c r="C106" s="14">
        <v>94</v>
      </c>
      <c r="D106" s="14">
        <v>28713.117312883274</v>
      </c>
      <c r="E106" s="82">
        <f>_xlfn.FORECAST.LINEAR(Table15[[#This Row],[Date]],Table15[Units_Sold],Table15[Date])</f>
        <v>99.066956955827834</v>
      </c>
      <c r="F106" s="138">
        <f>Table15[[#This Row],[Average_Price]]/Table15[[#This Row],[Units_Sold]]</f>
        <v>305.4586948179072</v>
      </c>
      <c r="G106" cm="1">
        <f t="array" ref="G106">_xlfn.IFS(Table15[[#This Row],[Vehicle_Type]]="SUV",250,Table15[[#This Row],[Vehicle_Type]]="Sedan",200,Table15[[#This Row],[Vehicle_Type]]="Hatchback",185,Table15[[#This Row],[Vehicle_Type]]="Electric",190,Table15[[#This Row],[Vehicle_Type]]="Truck",150)</f>
        <v>190</v>
      </c>
      <c r="H106">
        <f t="shared" ca="1" si="2"/>
        <v>20</v>
      </c>
      <c r="I106">
        <f t="shared" ca="1" si="3"/>
        <v>8</v>
      </c>
      <c r="J106" s="81">
        <f ca="1">24/Table15[[#This Row],[Production_Hours]]</f>
        <v>3</v>
      </c>
      <c r="K106" s="82">
        <f ca="1">(Table15[[#This Row],[Daily_Production]]*Table15[[#This Row],[Working_Days]]) -Table15[[#This Row],[Maintenance_Downtime]]</f>
        <v>3797</v>
      </c>
    </row>
    <row r="107" spans="1:11">
      <c r="A107" s="54">
        <v>45155</v>
      </c>
      <c r="B107" s="15" t="s">
        <v>14</v>
      </c>
      <c r="C107" s="15">
        <v>112</v>
      </c>
      <c r="D107" s="15">
        <v>21657.079630612054</v>
      </c>
      <c r="E107" s="82">
        <f>_xlfn.FORECAST.LINEAR(Table15[[#This Row],[Date]],Table15[Units_Sold],Table15[Date])</f>
        <v>99.068558626234505</v>
      </c>
      <c r="F107" s="138">
        <f>Table15[[#This Row],[Average_Price]]/Table15[[#This Row],[Units_Sold]]</f>
        <v>193.36678241617906</v>
      </c>
      <c r="G107" cm="1">
        <f t="array" ref="G107">_xlfn.IFS(Table15[[#This Row],[Vehicle_Type]]="SUV",250,Table15[[#This Row],[Vehicle_Type]]="Sedan",200,Table15[[#This Row],[Vehicle_Type]]="Hatchback",185,Table15[[#This Row],[Vehicle_Type]]="Electric",190,Table15[[#This Row],[Vehicle_Type]]="Truck",150)</f>
        <v>150</v>
      </c>
      <c r="H107">
        <f t="shared" ca="1" si="2"/>
        <v>25</v>
      </c>
      <c r="I107">
        <f t="shared" ca="1" si="3"/>
        <v>11</v>
      </c>
      <c r="J107" s="81">
        <f ca="1">24/Table15[[#This Row],[Production_Hours]]</f>
        <v>2.1818181818181817</v>
      </c>
      <c r="K107" s="82">
        <f ca="1">(Table15[[#This Row],[Daily_Production]]*Table15[[#This Row],[Working_Days]]) -Table15[[#This Row],[Maintenance_Downtime]]</f>
        <v>3747.818181818182</v>
      </c>
    </row>
    <row r="108" spans="1:11">
      <c r="A108" s="53">
        <v>45185</v>
      </c>
      <c r="B108" s="14" t="s">
        <v>13</v>
      </c>
      <c r="C108" s="14">
        <v>89</v>
      </c>
      <c r="D108" s="14">
        <v>31996.115613026395</v>
      </c>
      <c r="E108" s="82">
        <f>_xlfn.FORECAST.LINEAR(Table15[[#This Row],[Date]],Table15[Units_Sold],Table15[Date])</f>
        <v>99.070160296641191</v>
      </c>
      <c r="F108" s="138">
        <f>Table15[[#This Row],[Average_Price]]/Table15[[#This Row],[Units_Sold]]</f>
        <v>359.5069170002966</v>
      </c>
      <c r="G108" cm="1">
        <f t="array" ref="G108">_xlfn.IFS(Table15[[#This Row],[Vehicle_Type]]="SUV",250,Table15[[#This Row],[Vehicle_Type]]="Sedan",200,Table15[[#This Row],[Vehicle_Type]]="Hatchback",185,Table15[[#This Row],[Vehicle_Type]]="Electric",190,Table15[[#This Row],[Vehicle_Type]]="Truck",150)</f>
        <v>190</v>
      </c>
      <c r="H108">
        <f t="shared" ca="1" si="2"/>
        <v>21</v>
      </c>
      <c r="I108">
        <f t="shared" ca="1" si="3"/>
        <v>11</v>
      </c>
      <c r="J108" s="81">
        <f ca="1">24/Table15[[#This Row],[Production_Hours]]</f>
        <v>2.1818181818181817</v>
      </c>
      <c r="K108" s="82">
        <f ca="1">(Table15[[#This Row],[Daily_Production]]*Table15[[#This Row],[Working_Days]]) -Table15[[#This Row],[Maintenance_Downtime]]</f>
        <v>3987.818181818182</v>
      </c>
    </row>
    <row r="109" spans="1:11">
      <c r="A109" s="54">
        <v>45215</v>
      </c>
      <c r="B109" s="15" t="s">
        <v>14</v>
      </c>
      <c r="C109" s="15">
        <v>119</v>
      </c>
      <c r="D109" s="15">
        <v>33235.979698513707</v>
      </c>
      <c r="E109" s="82">
        <f>_xlfn.FORECAST.LINEAR(Table15[[#This Row],[Date]],Table15[Units_Sold],Table15[Date])</f>
        <v>99.071761967047877</v>
      </c>
      <c r="F109" s="138">
        <f>Table15[[#This Row],[Average_Price]]/Table15[[#This Row],[Units_Sold]]</f>
        <v>279.2939470463337</v>
      </c>
      <c r="G109" cm="1">
        <f t="array" ref="G109">_xlfn.IFS(Table15[[#This Row],[Vehicle_Type]]="SUV",250,Table15[[#This Row],[Vehicle_Type]]="Sedan",200,Table15[[#This Row],[Vehicle_Type]]="Hatchback",185,Table15[[#This Row],[Vehicle_Type]]="Electric",190,Table15[[#This Row],[Vehicle_Type]]="Truck",150)</f>
        <v>150</v>
      </c>
      <c r="H109">
        <f t="shared" ca="1" si="2"/>
        <v>21</v>
      </c>
      <c r="I109">
        <f t="shared" ca="1" si="3"/>
        <v>12</v>
      </c>
      <c r="J109" s="81">
        <f ca="1">24/Table15[[#This Row],[Production_Hours]]</f>
        <v>2</v>
      </c>
      <c r="K109" s="82">
        <f ca="1">(Table15[[#This Row],[Daily_Production]]*Table15[[#This Row],[Working_Days]]) -Table15[[#This Row],[Maintenance_Downtime]]</f>
        <v>3148</v>
      </c>
    </row>
    <row r="110" spans="1:11">
      <c r="A110" s="53">
        <v>45245</v>
      </c>
      <c r="B110" s="14" t="s">
        <v>11</v>
      </c>
      <c r="C110" s="14">
        <v>102</v>
      </c>
      <c r="D110" s="14">
        <v>27584.067688503128</v>
      </c>
      <c r="E110" s="82">
        <f>_xlfn.FORECAST.LINEAR(Table15[[#This Row],[Date]],Table15[Units_Sold],Table15[Date])</f>
        <v>99.073363637454548</v>
      </c>
      <c r="F110" s="138">
        <f>Table15[[#This Row],[Average_Price]]/Table15[[#This Row],[Units_Sold]]</f>
        <v>270.43203616179539</v>
      </c>
      <c r="G110" cm="1">
        <f t="array" ref="G110">_xlfn.IFS(Table15[[#This Row],[Vehicle_Type]]="SUV",250,Table15[[#This Row],[Vehicle_Type]]="Sedan",200,Table15[[#This Row],[Vehicle_Type]]="Hatchback",185,Table15[[#This Row],[Vehicle_Type]]="Electric",190,Table15[[#This Row],[Vehicle_Type]]="Truck",150)</f>
        <v>185</v>
      </c>
      <c r="H110">
        <f t="shared" ca="1" si="2"/>
        <v>20</v>
      </c>
      <c r="I110">
        <f t="shared" ca="1" si="3"/>
        <v>10</v>
      </c>
      <c r="J110" s="81">
        <f ca="1">24/Table15[[#This Row],[Production_Hours]]</f>
        <v>2.4</v>
      </c>
      <c r="K110" s="82">
        <f ca="1">(Table15[[#This Row],[Daily_Production]]*Table15[[#This Row],[Working_Days]]) -Table15[[#This Row],[Maintenance_Downtime]]</f>
        <v>3697.6</v>
      </c>
    </row>
    <row r="111" spans="1:11">
      <c r="A111" s="54">
        <v>45275</v>
      </c>
      <c r="B111" s="15" t="s">
        <v>12</v>
      </c>
      <c r="C111" s="15">
        <v>87</v>
      </c>
      <c r="D111" s="15">
        <v>37869.933816450168</v>
      </c>
      <c r="E111" s="82">
        <f>_xlfn.FORECAST.LINEAR(Table15[[#This Row],[Date]],Table15[Units_Sold],Table15[Date])</f>
        <v>99.074965307861234</v>
      </c>
      <c r="F111" s="138">
        <f>Table15[[#This Row],[Average_Price]]/Table15[[#This Row],[Units_Sold]]</f>
        <v>435.28659559138123</v>
      </c>
      <c r="G111" cm="1">
        <f t="array" ref="G111">_xlfn.IFS(Table15[[#This Row],[Vehicle_Type]]="SUV",250,Table15[[#This Row],[Vehicle_Type]]="Sedan",200,Table15[[#This Row],[Vehicle_Type]]="Hatchback",185,Table15[[#This Row],[Vehicle_Type]]="Electric",190,Table15[[#This Row],[Vehicle_Type]]="Truck",150)</f>
        <v>250</v>
      </c>
      <c r="H111">
        <f t="shared" ca="1" si="2"/>
        <v>22</v>
      </c>
      <c r="I111">
        <f t="shared" ca="1" si="3"/>
        <v>9</v>
      </c>
      <c r="J111" s="81">
        <f ca="1">24/Table15[[#This Row],[Production_Hours]]</f>
        <v>2.6666666666666665</v>
      </c>
      <c r="K111" s="82">
        <f ca="1">(Table15[[#This Row],[Daily_Production]]*Table15[[#This Row],[Working_Days]]) -Table15[[#This Row],[Maintenance_Downtime]]</f>
        <v>5497.333333333333</v>
      </c>
    </row>
    <row r="112" spans="1:11">
      <c r="A112" s="53">
        <v>45305</v>
      </c>
      <c r="B112" s="14" t="s">
        <v>12</v>
      </c>
      <c r="C112" s="14">
        <v>113</v>
      </c>
      <c r="D112" s="14">
        <v>23871.171684988294</v>
      </c>
      <c r="E112" s="82">
        <f>_xlfn.FORECAST.LINEAR(Table15[[#This Row],[Date]],Table15[Units_Sold],Table15[Date])</f>
        <v>99.07656697826792</v>
      </c>
      <c r="F112" s="138">
        <f>Table15[[#This Row],[Average_Price]]/Table15[[#This Row],[Units_Sold]]</f>
        <v>211.24930694679907</v>
      </c>
      <c r="G112" cm="1">
        <f t="array" ref="G112">_xlfn.IFS(Table15[[#This Row],[Vehicle_Type]]="SUV",250,Table15[[#This Row],[Vehicle_Type]]="Sedan",200,Table15[[#This Row],[Vehicle_Type]]="Hatchback",185,Table15[[#This Row],[Vehicle_Type]]="Electric",190,Table15[[#This Row],[Vehicle_Type]]="Truck",150)</f>
        <v>250</v>
      </c>
      <c r="H112">
        <f t="shared" ca="1" si="2"/>
        <v>24</v>
      </c>
      <c r="I112">
        <f t="shared" ca="1" si="3"/>
        <v>12</v>
      </c>
      <c r="J112" s="81">
        <f ca="1">24/Table15[[#This Row],[Production_Hours]]</f>
        <v>2</v>
      </c>
      <c r="K112" s="82">
        <f ca="1">(Table15[[#This Row],[Daily_Production]]*Table15[[#This Row],[Working_Days]]) -Table15[[#This Row],[Maintenance_Downtime]]</f>
        <v>5998</v>
      </c>
    </row>
    <row r="113" spans="1:11">
      <c r="A113" s="54">
        <v>45335</v>
      </c>
      <c r="B113" s="15" t="s">
        <v>13</v>
      </c>
      <c r="C113" s="15">
        <v>106</v>
      </c>
      <c r="D113" s="15">
        <v>22678.125598950901</v>
      </c>
      <c r="E113" s="82">
        <f>_xlfn.FORECAST.LINEAR(Table15[[#This Row],[Date]],Table15[Units_Sold],Table15[Date])</f>
        <v>99.078168648674605</v>
      </c>
      <c r="F113" s="138">
        <f>Table15[[#This Row],[Average_Price]]/Table15[[#This Row],[Units_Sold]]</f>
        <v>213.94458112217831</v>
      </c>
      <c r="G113" cm="1">
        <f t="array" ref="G113">_xlfn.IFS(Table15[[#This Row],[Vehicle_Type]]="SUV",250,Table15[[#This Row],[Vehicle_Type]]="Sedan",200,Table15[[#This Row],[Vehicle_Type]]="Hatchback",185,Table15[[#This Row],[Vehicle_Type]]="Electric",190,Table15[[#This Row],[Vehicle_Type]]="Truck",150)</f>
        <v>190</v>
      </c>
      <c r="H113">
        <f t="shared" ca="1" si="2"/>
        <v>22</v>
      </c>
      <c r="I113">
        <f t="shared" ca="1" si="3"/>
        <v>9</v>
      </c>
      <c r="J113" s="81">
        <f ca="1">24/Table15[[#This Row],[Production_Hours]]</f>
        <v>2.6666666666666665</v>
      </c>
      <c r="K113" s="82">
        <f ca="1">(Table15[[#This Row],[Daily_Production]]*Table15[[#This Row],[Working_Days]]) -Table15[[#This Row],[Maintenance_Downtime]]</f>
        <v>4177.333333333333</v>
      </c>
    </row>
    <row r="114" spans="1:11">
      <c r="A114" s="53">
        <v>45365</v>
      </c>
      <c r="B114" s="14" t="s">
        <v>14</v>
      </c>
      <c r="C114" s="14">
        <v>96</v>
      </c>
      <c r="D114" s="14">
        <v>38106.295579999998</v>
      </c>
      <c r="E114" s="82">
        <f>_xlfn.FORECAST.LINEAR(Table15[[#This Row],[Date]],Table15[Units_Sold],Table15[Date])</f>
        <v>99.079770319081277</v>
      </c>
      <c r="F114" s="138">
        <f>Table15[[#This Row],[Average_Price]]/Table15[[#This Row],[Units_Sold]]</f>
        <v>396.94057895833333</v>
      </c>
      <c r="G114" cm="1">
        <f t="array" ref="G114">_xlfn.IFS(Table15[[#This Row],[Vehicle_Type]]="SUV",250,Table15[[#This Row],[Vehicle_Type]]="Sedan",200,Table15[[#This Row],[Vehicle_Type]]="Hatchback",185,Table15[[#This Row],[Vehicle_Type]]="Electric",190,Table15[[#This Row],[Vehicle_Type]]="Truck",150)</f>
        <v>150</v>
      </c>
      <c r="H114">
        <f t="shared" ca="1" si="2"/>
        <v>25</v>
      </c>
      <c r="I114">
        <f t="shared" ca="1" si="3"/>
        <v>11</v>
      </c>
      <c r="J114" s="81">
        <f ca="1">24/Table15[[#This Row],[Production_Hours]]</f>
        <v>2.1818181818181817</v>
      </c>
      <c r="K114" s="82">
        <f ca="1">(Table15[[#This Row],[Daily_Production]]*Table15[[#This Row],[Working_Days]]) -Table15[[#This Row],[Maintenance_Downtime]]</f>
        <v>3747.818181818182</v>
      </c>
    </row>
    <row r="115" spans="1:11">
      <c r="A115" s="54">
        <v>45395</v>
      </c>
      <c r="B115" s="15" t="s">
        <v>10</v>
      </c>
      <c r="C115" s="15">
        <v>110</v>
      </c>
      <c r="D115" s="15">
        <v>35235.49151306077</v>
      </c>
      <c r="E115" s="82">
        <f>_xlfn.FORECAST.LINEAR(Table15[[#This Row],[Date]],Table15[Units_Sold],Table15[Date])</f>
        <v>99.081371989487963</v>
      </c>
      <c r="F115" s="138">
        <f>Table15[[#This Row],[Average_Price]]/Table15[[#This Row],[Units_Sold]]</f>
        <v>320.32265011873426</v>
      </c>
      <c r="G115" cm="1">
        <f t="array" ref="G115">_xlfn.IFS(Table15[[#This Row],[Vehicle_Type]]="SUV",250,Table15[[#This Row],[Vehicle_Type]]="Sedan",200,Table15[[#This Row],[Vehicle_Type]]="Hatchback",185,Table15[[#This Row],[Vehicle_Type]]="Electric",190,Table15[[#This Row],[Vehicle_Type]]="Truck",150)</f>
        <v>200</v>
      </c>
      <c r="H115">
        <f t="shared" ca="1" si="2"/>
        <v>21</v>
      </c>
      <c r="I115">
        <f t="shared" ca="1" si="3"/>
        <v>11</v>
      </c>
      <c r="J115" s="81">
        <f ca="1">24/Table15[[#This Row],[Production_Hours]]</f>
        <v>2.1818181818181817</v>
      </c>
      <c r="K115" s="82">
        <f ca="1">(Table15[[#This Row],[Daily_Production]]*Table15[[#This Row],[Working_Days]]) -Table15[[#This Row],[Maintenance_Downtime]]</f>
        <v>4197.818181818182</v>
      </c>
    </row>
    <row r="116" spans="1:11">
      <c r="A116" s="53">
        <v>45425</v>
      </c>
      <c r="B116" s="14" t="s">
        <v>10</v>
      </c>
      <c r="C116" s="14">
        <v>100</v>
      </c>
      <c r="D116" s="14">
        <v>38419.638457289344</v>
      </c>
      <c r="E116" s="82">
        <f>_xlfn.FORECAST.LINEAR(Table15[[#This Row],[Date]],Table15[Units_Sold],Table15[Date])</f>
        <v>99.082973659894648</v>
      </c>
      <c r="F116" s="138">
        <f>Table15[[#This Row],[Average_Price]]/Table15[[#This Row],[Units_Sold]]</f>
        <v>384.19638457289346</v>
      </c>
      <c r="G116" cm="1">
        <f t="array" ref="G116">_xlfn.IFS(Table15[[#This Row],[Vehicle_Type]]="SUV",250,Table15[[#This Row],[Vehicle_Type]]="Sedan",200,Table15[[#This Row],[Vehicle_Type]]="Hatchback",185,Table15[[#This Row],[Vehicle_Type]]="Electric",190,Table15[[#This Row],[Vehicle_Type]]="Truck",150)</f>
        <v>200</v>
      </c>
      <c r="H116">
        <f t="shared" ca="1" si="2"/>
        <v>24</v>
      </c>
      <c r="I116">
        <f t="shared" ca="1" si="3"/>
        <v>10</v>
      </c>
      <c r="J116" s="81">
        <f ca="1">24/Table15[[#This Row],[Production_Hours]]</f>
        <v>2.4</v>
      </c>
      <c r="K116" s="82">
        <f ca="1">(Table15[[#This Row],[Daily_Production]]*Table15[[#This Row],[Working_Days]]) -Table15[[#This Row],[Maintenance_Downtime]]</f>
        <v>4797.6000000000004</v>
      </c>
    </row>
    <row r="117" spans="1:11">
      <c r="A117" s="54">
        <v>45455</v>
      </c>
      <c r="B117" s="15" t="s">
        <v>10</v>
      </c>
      <c r="C117" s="15">
        <v>100</v>
      </c>
      <c r="D117" s="15">
        <v>27705.578685655299</v>
      </c>
      <c r="E117" s="82">
        <f>_xlfn.FORECAST.LINEAR(Table15[[#This Row],[Date]],Table15[Units_Sold],Table15[Date])</f>
        <v>99.08457533030132</v>
      </c>
      <c r="F117" s="138">
        <f>Table15[[#This Row],[Average_Price]]/Table15[[#This Row],[Units_Sold]]</f>
        <v>277.05578685655297</v>
      </c>
      <c r="G117" cm="1">
        <f t="array" ref="G117">_xlfn.IFS(Table15[[#This Row],[Vehicle_Type]]="SUV",250,Table15[[#This Row],[Vehicle_Type]]="Sedan",200,Table15[[#This Row],[Vehicle_Type]]="Hatchback",185,Table15[[#This Row],[Vehicle_Type]]="Electric",190,Table15[[#This Row],[Vehicle_Type]]="Truck",150)</f>
        <v>200</v>
      </c>
      <c r="H117">
        <f t="shared" ca="1" si="2"/>
        <v>23</v>
      </c>
      <c r="I117">
        <f t="shared" ca="1" si="3"/>
        <v>11</v>
      </c>
      <c r="J117" s="81">
        <f ca="1">24/Table15[[#This Row],[Production_Hours]]</f>
        <v>2.1818181818181817</v>
      </c>
      <c r="K117" s="82">
        <f ca="1">(Table15[[#This Row],[Daily_Production]]*Table15[[#This Row],[Working_Days]]) -Table15[[#This Row],[Maintenance_Downtime]]</f>
        <v>4597.818181818182</v>
      </c>
    </row>
    <row r="118" spans="1:11">
      <c r="A118" s="53">
        <v>45485</v>
      </c>
      <c r="B118" s="14" t="s">
        <v>12</v>
      </c>
      <c r="C118" s="14">
        <v>106</v>
      </c>
      <c r="D118" s="14">
        <v>35393.404167156477</v>
      </c>
      <c r="E118" s="82">
        <f>_xlfn.FORECAST.LINEAR(Table15[[#This Row],[Date]],Table15[Units_Sold],Table15[Date])</f>
        <v>99.086177000708005</v>
      </c>
      <c r="F118" s="138">
        <f>Table15[[#This Row],[Average_Price]]/Table15[[#This Row],[Units_Sold]]</f>
        <v>333.90003931279693</v>
      </c>
      <c r="G118" cm="1">
        <f t="array" ref="G118">_xlfn.IFS(Table15[[#This Row],[Vehicle_Type]]="SUV",250,Table15[[#This Row],[Vehicle_Type]]="Sedan",200,Table15[[#This Row],[Vehicle_Type]]="Hatchback",185,Table15[[#This Row],[Vehicle_Type]]="Electric",190,Table15[[#This Row],[Vehicle_Type]]="Truck",150)</f>
        <v>250</v>
      </c>
      <c r="H118">
        <f t="shared" ca="1" si="2"/>
        <v>23</v>
      </c>
      <c r="I118">
        <f t="shared" ca="1" si="3"/>
        <v>12</v>
      </c>
      <c r="J118" s="81">
        <f ca="1">24/Table15[[#This Row],[Production_Hours]]</f>
        <v>2</v>
      </c>
      <c r="K118" s="82">
        <f ca="1">(Table15[[#This Row],[Daily_Production]]*Table15[[#This Row],[Working_Days]]) -Table15[[#This Row],[Maintenance_Downtime]]</f>
        <v>5748</v>
      </c>
    </row>
    <row r="119" spans="1:11">
      <c r="A119" s="54">
        <v>45515</v>
      </c>
      <c r="B119" s="15" t="s">
        <v>12</v>
      </c>
      <c r="C119" s="15">
        <v>114</v>
      </c>
      <c r="D119" s="15">
        <v>29807.457652496465</v>
      </c>
      <c r="E119" s="82">
        <f>_xlfn.FORECAST.LINEAR(Table15[[#This Row],[Date]],Table15[Units_Sold],Table15[Date])</f>
        <v>99.087778671114691</v>
      </c>
      <c r="F119" s="138">
        <f>Table15[[#This Row],[Average_Price]]/Table15[[#This Row],[Units_Sold]]</f>
        <v>261.46892677628477</v>
      </c>
      <c r="G119" cm="1">
        <f t="array" ref="G119">_xlfn.IFS(Table15[[#This Row],[Vehicle_Type]]="SUV",250,Table15[[#This Row],[Vehicle_Type]]="Sedan",200,Table15[[#This Row],[Vehicle_Type]]="Hatchback",185,Table15[[#This Row],[Vehicle_Type]]="Electric",190,Table15[[#This Row],[Vehicle_Type]]="Truck",150)</f>
        <v>250</v>
      </c>
      <c r="H119">
        <f t="shared" ca="1" si="2"/>
        <v>24</v>
      </c>
      <c r="I119">
        <f t="shared" ca="1" si="3"/>
        <v>12</v>
      </c>
      <c r="J119" s="81">
        <f ca="1">24/Table15[[#This Row],[Production_Hours]]</f>
        <v>2</v>
      </c>
      <c r="K119" s="82">
        <f ca="1">(Table15[[#This Row],[Daily_Production]]*Table15[[#This Row],[Working_Days]]) -Table15[[#This Row],[Maintenance_Downtime]]</f>
        <v>5998</v>
      </c>
    </row>
    <row r="120" spans="1:11">
      <c r="A120" s="53">
        <v>45545</v>
      </c>
      <c r="B120" s="14" t="s">
        <v>14</v>
      </c>
      <c r="C120" s="14">
        <v>96</v>
      </c>
      <c r="D120" s="14">
        <v>29136.863500295902</v>
      </c>
      <c r="E120" s="82">
        <f>_xlfn.FORECAST.LINEAR(Table15[[#This Row],[Date]],Table15[Units_Sold],Table15[Date])</f>
        <v>99.089380341521377</v>
      </c>
      <c r="F120" s="138">
        <f>Table15[[#This Row],[Average_Price]]/Table15[[#This Row],[Units_Sold]]</f>
        <v>303.50899479474896</v>
      </c>
      <c r="G120" cm="1">
        <f t="array" ref="G120">_xlfn.IFS(Table15[[#This Row],[Vehicle_Type]]="SUV",250,Table15[[#This Row],[Vehicle_Type]]="Sedan",200,Table15[[#This Row],[Vehicle_Type]]="Hatchback",185,Table15[[#This Row],[Vehicle_Type]]="Electric",190,Table15[[#This Row],[Vehicle_Type]]="Truck",150)</f>
        <v>150</v>
      </c>
      <c r="H120">
        <f t="shared" ca="1" si="2"/>
        <v>25</v>
      </c>
      <c r="I120">
        <f t="shared" ca="1" si="3"/>
        <v>12</v>
      </c>
      <c r="J120" s="81">
        <f ca="1">24/Table15[[#This Row],[Production_Hours]]</f>
        <v>2</v>
      </c>
      <c r="K120" s="82">
        <f ca="1">(Table15[[#This Row],[Daily_Production]]*Table15[[#This Row],[Working_Days]]) -Table15[[#This Row],[Maintenance_Downtime]]</f>
        <v>3748</v>
      </c>
    </row>
    <row r="121" spans="1:11">
      <c r="A121" s="54">
        <v>45575</v>
      </c>
      <c r="B121" s="15" t="s">
        <v>13</v>
      </c>
      <c r="C121" s="15">
        <v>102</v>
      </c>
      <c r="D121" s="15">
        <v>34418.299687433362</v>
      </c>
      <c r="E121" s="82">
        <f>_xlfn.FORECAST.LINEAR(Table15[[#This Row],[Date]],Table15[Units_Sold],Table15[Date])</f>
        <v>99.090982011928048</v>
      </c>
      <c r="F121" s="138">
        <f>Table15[[#This Row],[Average_Price]]/Table15[[#This Row],[Units_Sold]]</f>
        <v>337.4343106611114</v>
      </c>
      <c r="G121" cm="1">
        <f t="array" ref="G121">_xlfn.IFS(Table15[[#This Row],[Vehicle_Type]]="SUV",250,Table15[[#This Row],[Vehicle_Type]]="Sedan",200,Table15[[#This Row],[Vehicle_Type]]="Hatchback",185,Table15[[#This Row],[Vehicle_Type]]="Electric",190,Table15[[#This Row],[Vehicle_Type]]="Truck",150)</f>
        <v>190</v>
      </c>
      <c r="H121">
        <f t="shared" ca="1" si="2"/>
        <v>23</v>
      </c>
      <c r="I121">
        <f t="shared" ca="1" si="3"/>
        <v>12</v>
      </c>
      <c r="J121" s="81">
        <f ca="1">24/Table15[[#This Row],[Production_Hours]]</f>
        <v>2</v>
      </c>
      <c r="K121" s="82">
        <f ca="1">(Table15[[#This Row],[Daily_Production]]*Table15[[#This Row],[Working_Days]]) -Table15[[#This Row],[Maintenance_Downtime]]</f>
        <v>4368</v>
      </c>
    </row>
    <row r="122" spans="1:11">
      <c r="A122" s="53">
        <v>45605</v>
      </c>
      <c r="B122" s="14" t="s">
        <v>10</v>
      </c>
      <c r="C122" s="14">
        <v>100</v>
      </c>
      <c r="D122" s="14">
        <v>33261.614392067095</v>
      </c>
      <c r="E122" s="82">
        <f>_xlfn.FORECAST.LINEAR(Table15[[#This Row],[Date]],Table15[Units_Sold],Table15[Date])</f>
        <v>99.092583682334734</v>
      </c>
      <c r="F122" s="138">
        <f>Table15[[#This Row],[Average_Price]]/Table15[[#This Row],[Units_Sold]]</f>
        <v>332.61614392067094</v>
      </c>
      <c r="G122" cm="1">
        <f t="array" ref="G122">_xlfn.IFS(Table15[[#This Row],[Vehicle_Type]]="SUV",250,Table15[[#This Row],[Vehicle_Type]]="Sedan",200,Table15[[#This Row],[Vehicle_Type]]="Hatchback",185,Table15[[#This Row],[Vehicle_Type]]="Electric",190,Table15[[#This Row],[Vehicle_Type]]="Truck",150)</f>
        <v>200</v>
      </c>
      <c r="H122">
        <f t="shared" ca="1" si="2"/>
        <v>23</v>
      </c>
      <c r="I122">
        <f t="shared" ca="1" si="3"/>
        <v>12</v>
      </c>
      <c r="J122" s="81">
        <f ca="1">24/Table15[[#This Row],[Production_Hours]]</f>
        <v>2</v>
      </c>
      <c r="K122" s="82">
        <f ca="1">(Table15[[#This Row],[Daily_Production]]*Table15[[#This Row],[Working_Days]]) -Table15[[#This Row],[Maintenance_Downtime]]</f>
        <v>4598</v>
      </c>
    </row>
    <row r="123" spans="1:11">
      <c r="A123" s="54">
        <v>45635</v>
      </c>
      <c r="B123" s="15" t="s">
        <v>14</v>
      </c>
      <c r="C123" s="15">
        <v>93</v>
      </c>
      <c r="D123" s="15">
        <v>22118.039215078752</v>
      </c>
      <c r="E123" s="82">
        <f>_xlfn.FORECAST.LINEAR(Table15[[#This Row],[Date]],Table15[Units_Sold],Table15[Date])</f>
        <v>99.09418535274142</v>
      </c>
      <c r="F123" s="138">
        <f>Table15[[#This Row],[Average_Price]]/Table15[[#This Row],[Units_Sold]]</f>
        <v>237.82837865676078</v>
      </c>
      <c r="G123" cm="1">
        <f t="array" ref="G123">_xlfn.IFS(Table15[[#This Row],[Vehicle_Type]]="SUV",250,Table15[[#This Row],[Vehicle_Type]]="Sedan",200,Table15[[#This Row],[Vehicle_Type]]="Hatchback",185,Table15[[#This Row],[Vehicle_Type]]="Electric",190,Table15[[#This Row],[Vehicle_Type]]="Truck",150)</f>
        <v>150</v>
      </c>
      <c r="H123">
        <f t="shared" ca="1" si="2"/>
        <v>25</v>
      </c>
      <c r="I123">
        <f t="shared" ca="1" si="3"/>
        <v>9</v>
      </c>
      <c r="J123" s="81">
        <f ca="1">24/Table15[[#This Row],[Production_Hours]]</f>
        <v>2.6666666666666665</v>
      </c>
      <c r="K123" s="82">
        <f ca="1">(Table15[[#This Row],[Daily_Production]]*Table15[[#This Row],[Working_Days]]) -Table15[[#This Row],[Maintenance_Downtime]]</f>
        <v>3747.3333333333335</v>
      </c>
    </row>
    <row r="124" spans="1:11">
      <c r="A124" s="53">
        <v>45665</v>
      </c>
      <c r="B124" s="14" t="s">
        <v>14</v>
      </c>
      <c r="C124" s="14">
        <v>100</v>
      </c>
      <c r="D124" s="14">
        <v>37382.701748629479</v>
      </c>
      <c r="E124" s="82">
        <f>_xlfn.FORECAST.LINEAR(Table15[[#This Row],[Date]],Table15[Units_Sold],Table15[Date])</f>
        <v>99.095787023148091</v>
      </c>
      <c r="F124" s="138">
        <f>Table15[[#This Row],[Average_Price]]/Table15[[#This Row],[Units_Sold]]</f>
        <v>373.82701748629478</v>
      </c>
      <c r="G124" cm="1">
        <f t="array" ref="G124">_xlfn.IFS(Table15[[#This Row],[Vehicle_Type]]="SUV",250,Table15[[#This Row],[Vehicle_Type]]="Sedan",200,Table15[[#This Row],[Vehicle_Type]]="Hatchback",185,Table15[[#This Row],[Vehicle_Type]]="Electric",190,Table15[[#This Row],[Vehicle_Type]]="Truck",150)</f>
        <v>150</v>
      </c>
      <c r="H124">
        <f t="shared" ca="1" si="2"/>
        <v>25</v>
      </c>
      <c r="I124">
        <f t="shared" ca="1" si="3"/>
        <v>8</v>
      </c>
      <c r="J124" s="81">
        <f ca="1">24/Table15[[#This Row],[Production_Hours]]</f>
        <v>3</v>
      </c>
      <c r="K124" s="82">
        <f ca="1">(Table15[[#This Row],[Daily_Production]]*Table15[[#This Row],[Working_Days]]) -Table15[[#This Row],[Maintenance_Downtime]]</f>
        <v>3747</v>
      </c>
    </row>
    <row r="125" spans="1:11">
      <c r="A125" s="54">
        <v>45695</v>
      </c>
      <c r="B125" s="15" t="s">
        <v>13</v>
      </c>
      <c r="C125" s="15">
        <v>111</v>
      </c>
      <c r="D125" s="15">
        <v>36900.456770737255</v>
      </c>
      <c r="E125" s="82">
        <f>_xlfn.FORECAST.LINEAR(Table15[[#This Row],[Date]],Table15[Units_Sold],Table15[Date])</f>
        <v>99.097388693554777</v>
      </c>
      <c r="F125" s="138">
        <f>Table15[[#This Row],[Average_Price]]/Table15[[#This Row],[Units_Sold]]</f>
        <v>332.43654748411944</v>
      </c>
      <c r="G125" cm="1">
        <f t="array" ref="G125">_xlfn.IFS(Table15[[#This Row],[Vehicle_Type]]="SUV",250,Table15[[#This Row],[Vehicle_Type]]="Sedan",200,Table15[[#This Row],[Vehicle_Type]]="Hatchback",185,Table15[[#This Row],[Vehicle_Type]]="Electric",190,Table15[[#This Row],[Vehicle_Type]]="Truck",150)</f>
        <v>190</v>
      </c>
      <c r="H125">
        <f t="shared" ca="1" si="2"/>
        <v>23</v>
      </c>
      <c r="I125">
        <f t="shared" ca="1" si="3"/>
        <v>12</v>
      </c>
      <c r="J125" s="81">
        <f ca="1">24/Table15[[#This Row],[Production_Hours]]</f>
        <v>2</v>
      </c>
      <c r="K125" s="82">
        <f ca="1">(Table15[[#This Row],[Daily_Production]]*Table15[[#This Row],[Working_Days]]) -Table15[[#This Row],[Maintenance_Downtime]]</f>
        <v>4368</v>
      </c>
    </row>
    <row r="126" spans="1:11">
      <c r="A126" s="53">
        <v>45725</v>
      </c>
      <c r="B126" s="14" t="s">
        <v>14</v>
      </c>
      <c r="C126" s="14">
        <v>87</v>
      </c>
      <c r="D126" s="14">
        <v>38106.295579999998</v>
      </c>
      <c r="E126" s="82">
        <f>_xlfn.FORECAST.LINEAR(Table15[[#This Row],[Date]],Table15[Units_Sold],Table15[Date])</f>
        <v>99.098990363961462</v>
      </c>
      <c r="F126" s="138">
        <f>Table15[[#This Row],[Average_Price]]/Table15[[#This Row],[Units_Sold]]</f>
        <v>438.00339747126435</v>
      </c>
      <c r="G126" cm="1">
        <f t="array" ref="G126">_xlfn.IFS(Table15[[#This Row],[Vehicle_Type]]="SUV",250,Table15[[#This Row],[Vehicle_Type]]="Sedan",200,Table15[[#This Row],[Vehicle_Type]]="Hatchback",185,Table15[[#This Row],[Vehicle_Type]]="Electric",190,Table15[[#This Row],[Vehicle_Type]]="Truck",150)</f>
        <v>150</v>
      </c>
      <c r="H126">
        <f t="shared" ca="1" si="2"/>
        <v>20</v>
      </c>
      <c r="I126">
        <f t="shared" ca="1" si="3"/>
        <v>8</v>
      </c>
      <c r="J126" s="81">
        <f ca="1">24/Table15[[#This Row],[Production_Hours]]</f>
        <v>3</v>
      </c>
      <c r="K126" s="82">
        <f ca="1">(Table15[[#This Row],[Daily_Production]]*Table15[[#This Row],[Working_Days]]) -Table15[[#This Row],[Maintenance_Downtime]]</f>
        <v>2997</v>
      </c>
    </row>
    <row r="127" spans="1:11">
      <c r="A127" s="54">
        <v>45755</v>
      </c>
      <c r="B127" s="15" t="s">
        <v>13</v>
      </c>
      <c r="C127" s="15">
        <v>100</v>
      </c>
      <c r="D127" s="15">
        <v>31979.017667187047</v>
      </c>
      <c r="E127" s="82">
        <f>_xlfn.FORECAST.LINEAR(Table15[[#This Row],[Date]],Table15[Units_Sold],Table15[Date])</f>
        <v>99.100592034368148</v>
      </c>
      <c r="F127" s="138">
        <f>Table15[[#This Row],[Average_Price]]/Table15[[#This Row],[Units_Sold]]</f>
        <v>319.79017667187048</v>
      </c>
      <c r="G127" cm="1">
        <f t="array" ref="G127">_xlfn.IFS(Table15[[#This Row],[Vehicle_Type]]="SUV",250,Table15[[#This Row],[Vehicle_Type]]="Sedan",200,Table15[[#This Row],[Vehicle_Type]]="Hatchback",185,Table15[[#This Row],[Vehicle_Type]]="Electric",190,Table15[[#This Row],[Vehicle_Type]]="Truck",150)</f>
        <v>190</v>
      </c>
      <c r="H127">
        <f t="shared" ca="1" si="2"/>
        <v>20</v>
      </c>
      <c r="I127">
        <f t="shared" ca="1" si="3"/>
        <v>9</v>
      </c>
      <c r="J127" s="81">
        <f ca="1">24/Table15[[#This Row],[Production_Hours]]</f>
        <v>2.6666666666666665</v>
      </c>
      <c r="K127" s="82">
        <f ca="1">(Table15[[#This Row],[Daily_Production]]*Table15[[#This Row],[Working_Days]]) -Table15[[#This Row],[Maintenance_Downtime]]</f>
        <v>3797.3333333333335</v>
      </c>
    </row>
    <row r="128" spans="1:11">
      <c r="A128" s="53">
        <v>45785</v>
      </c>
      <c r="B128" s="14" t="s">
        <v>11</v>
      </c>
      <c r="C128" s="14">
        <v>104</v>
      </c>
      <c r="D128" s="14">
        <v>32470.150931413693</v>
      </c>
      <c r="E128" s="82">
        <f>_xlfn.FORECAST.LINEAR(Table15[[#This Row],[Date]],Table15[Units_Sold],Table15[Date])</f>
        <v>99.10219370477482</v>
      </c>
      <c r="F128" s="138">
        <f>Table15[[#This Row],[Average_Price]]/Table15[[#This Row],[Units_Sold]]</f>
        <v>312.21298972513165</v>
      </c>
      <c r="G128" cm="1">
        <f t="array" ref="G128">_xlfn.IFS(Table15[[#This Row],[Vehicle_Type]]="SUV",250,Table15[[#This Row],[Vehicle_Type]]="Sedan",200,Table15[[#This Row],[Vehicle_Type]]="Hatchback",185,Table15[[#This Row],[Vehicle_Type]]="Electric",190,Table15[[#This Row],[Vehicle_Type]]="Truck",150)</f>
        <v>185</v>
      </c>
      <c r="H128">
        <f t="shared" ca="1" si="2"/>
        <v>23</v>
      </c>
      <c r="I128">
        <f t="shared" ca="1" si="3"/>
        <v>9</v>
      </c>
      <c r="J128" s="81">
        <f ca="1">24/Table15[[#This Row],[Production_Hours]]</f>
        <v>2.6666666666666665</v>
      </c>
      <c r="K128" s="82">
        <f ca="1">(Table15[[#This Row],[Daily_Production]]*Table15[[#This Row],[Working_Days]]) -Table15[[#This Row],[Maintenance_Downtime]]</f>
        <v>4252.333333333333</v>
      </c>
    </row>
    <row r="129" spans="1:11">
      <c r="A129" s="54">
        <v>45815</v>
      </c>
      <c r="B129" s="15" t="s">
        <v>13</v>
      </c>
      <c r="C129" s="15">
        <v>78</v>
      </c>
      <c r="D129" s="15">
        <v>30949.702720000001</v>
      </c>
      <c r="E129" s="82">
        <f>_xlfn.FORECAST.LINEAR(Table15[[#This Row],[Date]],Table15[Units_Sold],Table15[Date])</f>
        <v>99.103795375181505</v>
      </c>
      <c r="F129" s="138">
        <f>Table15[[#This Row],[Average_Price]]/Table15[[#This Row],[Units_Sold]]</f>
        <v>396.79106051282054</v>
      </c>
      <c r="G129" cm="1">
        <f t="array" ref="G129">_xlfn.IFS(Table15[[#This Row],[Vehicle_Type]]="SUV",250,Table15[[#This Row],[Vehicle_Type]]="Sedan",200,Table15[[#This Row],[Vehicle_Type]]="Hatchback",185,Table15[[#This Row],[Vehicle_Type]]="Electric",190,Table15[[#This Row],[Vehicle_Type]]="Truck",150)</f>
        <v>190</v>
      </c>
      <c r="H129">
        <f t="shared" ca="1" si="2"/>
        <v>21</v>
      </c>
      <c r="I129">
        <f t="shared" ca="1" si="3"/>
        <v>8</v>
      </c>
      <c r="J129" s="81">
        <f ca="1">24/Table15[[#This Row],[Production_Hours]]</f>
        <v>3</v>
      </c>
      <c r="K129" s="82">
        <f ca="1">(Table15[[#This Row],[Daily_Production]]*Table15[[#This Row],[Working_Days]]) -Table15[[#This Row],[Maintenance_Downtime]]</f>
        <v>3987</v>
      </c>
    </row>
    <row r="130" spans="1:11">
      <c r="A130" s="53">
        <v>45845</v>
      </c>
      <c r="B130" s="14" t="s">
        <v>10</v>
      </c>
      <c r="C130" s="14">
        <v>101</v>
      </c>
      <c r="D130" s="14">
        <v>27248.474230772899</v>
      </c>
      <c r="E130" s="82">
        <f>_xlfn.FORECAST.LINEAR(Table15[[#This Row],[Date]],Table15[Units_Sold],Table15[Date])</f>
        <v>99.105397045588191</v>
      </c>
      <c r="F130" s="138">
        <f>Table15[[#This Row],[Average_Price]]/Table15[[#This Row],[Units_Sold]]</f>
        <v>269.78687357200891</v>
      </c>
      <c r="G130" cm="1">
        <f t="array" ref="G130">_xlfn.IFS(Table15[[#This Row],[Vehicle_Type]]="SUV",250,Table15[[#This Row],[Vehicle_Type]]="Sedan",200,Table15[[#This Row],[Vehicle_Type]]="Hatchback",185,Table15[[#This Row],[Vehicle_Type]]="Electric",190,Table15[[#This Row],[Vehicle_Type]]="Truck",150)</f>
        <v>200</v>
      </c>
      <c r="H130">
        <f t="shared" ref="H130:H193" ca="1" si="4">RANDBETWEEN(20,25)</f>
        <v>23</v>
      </c>
      <c r="I130">
        <f t="shared" ref="I130:I193" ca="1" si="5">RANDBETWEEN(8,12)</f>
        <v>10</v>
      </c>
      <c r="J130" s="81">
        <f ca="1">24/Table15[[#This Row],[Production_Hours]]</f>
        <v>2.4</v>
      </c>
      <c r="K130" s="82">
        <f ca="1">(Table15[[#This Row],[Daily_Production]]*Table15[[#This Row],[Working_Days]]) -Table15[[#This Row],[Maintenance_Downtime]]</f>
        <v>4597.6000000000004</v>
      </c>
    </row>
    <row r="131" spans="1:11">
      <c r="A131" s="54">
        <v>45875</v>
      </c>
      <c r="B131" s="15" t="s">
        <v>10</v>
      </c>
      <c r="C131" s="15">
        <v>100</v>
      </c>
      <c r="D131" s="15">
        <v>26641.883160309742</v>
      </c>
      <c r="E131" s="82">
        <f>_xlfn.FORECAST.LINEAR(Table15[[#This Row],[Date]],Table15[Units_Sold],Table15[Date])</f>
        <v>99.106998715994862</v>
      </c>
      <c r="F131" s="138">
        <f>Table15[[#This Row],[Average_Price]]/Table15[[#This Row],[Units_Sold]]</f>
        <v>266.41883160309743</v>
      </c>
      <c r="G131" cm="1">
        <f t="array" ref="G131">_xlfn.IFS(Table15[[#This Row],[Vehicle_Type]]="SUV",250,Table15[[#This Row],[Vehicle_Type]]="Sedan",200,Table15[[#This Row],[Vehicle_Type]]="Hatchback",185,Table15[[#This Row],[Vehicle_Type]]="Electric",190,Table15[[#This Row],[Vehicle_Type]]="Truck",150)</f>
        <v>200</v>
      </c>
      <c r="H131">
        <f t="shared" ca="1" si="4"/>
        <v>25</v>
      </c>
      <c r="I131">
        <f t="shared" ca="1" si="5"/>
        <v>9</v>
      </c>
      <c r="J131" s="81">
        <f ca="1">24/Table15[[#This Row],[Production_Hours]]</f>
        <v>2.6666666666666665</v>
      </c>
      <c r="K131" s="82">
        <f ca="1">(Table15[[#This Row],[Daily_Production]]*Table15[[#This Row],[Working_Days]]) -Table15[[#This Row],[Maintenance_Downtime]]</f>
        <v>4997.333333333333</v>
      </c>
    </row>
    <row r="132" spans="1:11">
      <c r="A132" s="53">
        <v>45905</v>
      </c>
      <c r="B132" s="14" t="s">
        <v>13</v>
      </c>
      <c r="C132" s="14">
        <v>109</v>
      </c>
      <c r="D132" s="14">
        <v>29872.229645042775</v>
      </c>
      <c r="E132" s="82">
        <f>_xlfn.FORECAST.LINEAR(Table15[[#This Row],[Date]],Table15[Units_Sold],Table15[Date])</f>
        <v>99.108600386401548</v>
      </c>
      <c r="F132" s="138">
        <f>Table15[[#This Row],[Average_Price]]/Table15[[#This Row],[Units_Sold]]</f>
        <v>274.05715270681446</v>
      </c>
      <c r="G132" cm="1">
        <f t="array" ref="G132">_xlfn.IFS(Table15[[#This Row],[Vehicle_Type]]="SUV",250,Table15[[#This Row],[Vehicle_Type]]="Sedan",200,Table15[[#This Row],[Vehicle_Type]]="Hatchback",185,Table15[[#This Row],[Vehicle_Type]]="Electric",190,Table15[[#This Row],[Vehicle_Type]]="Truck",150)</f>
        <v>190</v>
      </c>
      <c r="H132">
        <f t="shared" ca="1" si="4"/>
        <v>23</v>
      </c>
      <c r="I132">
        <f t="shared" ca="1" si="5"/>
        <v>11</v>
      </c>
      <c r="J132" s="81">
        <f ca="1">24/Table15[[#This Row],[Production_Hours]]</f>
        <v>2.1818181818181817</v>
      </c>
      <c r="K132" s="82">
        <f ca="1">(Table15[[#This Row],[Daily_Production]]*Table15[[#This Row],[Working_Days]]) -Table15[[#This Row],[Maintenance_Downtime]]</f>
        <v>4367.818181818182</v>
      </c>
    </row>
    <row r="133" spans="1:11">
      <c r="A133" s="54">
        <v>45935</v>
      </c>
      <c r="B133" s="15" t="s">
        <v>11</v>
      </c>
      <c r="C133" s="15">
        <v>98</v>
      </c>
      <c r="D133" s="15">
        <v>35863.645096296823</v>
      </c>
      <c r="E133" s="82">
        <f>_xlfn.FORECAST.LINEAR(Table15[[#This Row],[Date]],Table15[Units_Sold],Table15[Date])</f>
        <v>99.110202056808234</v>
      </c>
      <c r="F133" s="138">
        <f>Table15[[#This Row],[Average_Price]]/Table15[[#This Row],[Units_Sold]]</f>
        <v>365.95556220711046</v>
      </c>
      <c r="G133" cm="1">
        <f t="array" ref="G133">_xlfn.IFS(Table15[[#This Row],[Vehicle_Type]]="SUV",250,Table15[[#This Row],[Vehicle_Type]]="Sedan",200,Table15[[#This Row],[Vehicle_Type]]="Hatchback",185,Table15[[#This Row],[Vehicle_Type]]="Electric",190,Table15[[#This Row],[Vehicle_Type]]="Truck",150)</f>
        <v>185</v>
      </c>
      <c r="H133">
        <f t="shared" ca="1" si="4"/>
        <v>21</v>
      </c>
      <c r="I133">
        <f t="shared" ca="1" si="5"/>
        <v>10</v>
      </c>
      <c r="J133" s="81">
        <f ca="1">24/Table15[[#This Row],[Production_Hours]]</f>
        <v>2.4</v>
      </c>
      <c r="K133" s="82">
        <f ca="1">(Table15[[#This Row],[Daily_Production]]*Table15[[#This Row],[Working_Days]]) -Table15[[#This Row],[Maintenance_Downtime]]</f>
        <v>3882.6</v>
      </c>
    </row>
    <row r="134" spans="1:11">
      <c r="A134" s="53">
        <v>45965</v>
      </c>
      <c r="B134" s="14" t="s">
        <v>11</v>
      </c>
      <c r="C134" s="14">
        <v>111</v>
      </c>
      <c r="D134" s="14">
        <v>32718.000772972162</v>
      </c>
      <c r="E134" s="82">
        <f>_xlfn.FORECAST.LINEAR(Table15[[#This Row],[Date]],Table15[Units_Sold],Table15[Date])</f>
        <v>99.111803727214919</v>
      </c>
      <c r="F134" s="138">
        <f>Table15[[#This Row],[Average_Price]]/Table15[[#This Row],[Units_Sold]]</f>
        <v>294.75676372046991</v>
      </c>
      <c r="G134" cm="1">
        <f t="array" ref="G134">_xlfn.IFS(Table15[[#This Row],[Vehicle_Type]]="SUV",250,Table15[[#This Row],[Vehicle_Type]]="Sedan",200,Table15[[#This Row],[Vehicle_Type]]="Hatchback",185,Table15[[#This Row],[Vehicle_Type]]="Electric",190,Table15[[#This Row],[Vehicle_Type]]="Truck",150)</f>
        <v>185</v>
      </c>
      <c r="H134">
        <f t="shared" ca="1" si="4"/>
        <v>23</v>
      </c>
      <c r="I134">
        <f t="shared" ca="1" si="5"/>
        <v>10</v>
      </c>
      <c r="J134" s="81">
        <f ca="1">24/Table15[[#This Row],[Production_Hours]]</f>
        <v>2.4</v>
      </c>
      <c r="K134" s="82">
        <f ca="1">(Table15[[#This Row],[Daily_Production]]*Table15[[#This Row],[Working_Days]]) -Table15[[#This Row],[Maintenance_Downtime]]</f>
        <v>4252.6000000000004</v>
      </c>
    </row>
    <row r="135" spans="1:11">
      <c r="A135" s="54">
        <v>45995</v>
      </c>
      <c r="B135" s="15" t="s">
        <v>10</v>
      </c>
      <c r="C135" s="15">
        <v>97</v>
      </c>
      <c r="D135" s="15">
        <v>28146.928339569469</v>
      </c>
      <c r="E135" s="82">
        <f>_xlfn.FORECAST.LINEAR(Table15[[#This Row],[Date]],Table15[Units_Sold],Table15[Date])</f>
        <v>99.113405397621591</v>
      </c>
      <c r="F135" s="138">
        <f>Table15[[#This Row],[Average_Price]]/Table15[[#This Row],[Units_Sold]]</f>
        <v>290.17451896463371</v>
      </c>
      <c r="G135" cm="1">
        <f t="array" ref="G135">_xlfn.IFS(Table15[[#This Row],[Vehicle_Type]]="SUV",250,Table15[[#This Row],[Vehicle_Type]]="Sedan",200,Table15[[#This Row],[Vehicle_Type]]="Hatchback",185,Table15[[#This Row],[Vehicle_Type]]="Electric",190,Table15[[#This Row],[Vehicle_Type]]="Truck",150)</f>
        <v>200</v>
      </c>
      <c r="H135">
        <f t="shared" ca="1" si="4"/>
        <v>24</v>
      </c>
      <c r="I135">
        <f t="shared" ca="1" si="5"/>
        <v>9</v>
      </c>
      <c r="J135" s="81">
        <f ca="1">24/Table15[[#This Row],[Production_Hours]]</f>
        <v>2.6666666666666665</v>
      </c>
      <c r="K135" s="82">
        <f ca="1">(Table15[[#This Row],[Daily_Production]]*Table15[[#This Row],[Working_Days]]) -Table15[[#This Row],[Maintenance_Downtime]]</f>
        <v>4797.333333333333</v>
      </c>
    </row>
    <row r="136" spans="1:11">
      <c r="A136" s="53">
        <v>46025</v>
      </c>
      <c r="B136" s="14" t="s">
        <v>11</v>
      </c>
      <c r="C136" s="14">
        <v>88</v>
      </c>
      <c r="D136" s="14">
        <v>33858.493553241722</v>
      </c>
      <c r="E136" s="82">
        <f>_xlfn.FORECAST.LINEAR(Table15[[#This Row],[Date]],Table15[Units_Sold],Table15[Date])</f>
        <v>99.115007068028277</v>
      </c>
      <c r="F136" s="138">
        <f>Table15[[#This Row],[Average_Price]]/Table15[[#This Row],[Units_Sold]]</f>
        <v>384.75560855956502</v>
      </c>
      <c r="G136" cm="1">
        <f t="array" ref="G136">_xlfn.IFS(Table15[[#This Row],[Vehicle_Type]]="SUV",250,Table15[[#This Row],[Vehicle_Type]]="Sedan",200,Table15[[#This Row],[Vehicle_Type]]="Hatchback",185,Table15[[#This Row],[Vehicle_Type]]="Electric",190,Table15[[#This Row],[Vehicle_Type]]="Truck",150)</f>
        <v>185</v>
      </c>
      <c r="H136">
        <f t="shared" ca="1" si="4"/>
        <v>21</v>
      </c>
      <c r="I136">
        <f t="shared" ca="1" si="5"/>
        <v>11</v>
      </c>
      <c r="J136" s="81">
        <f ca="1">24/Table15[[#This Row],[Production_Hours]]</f>
        <v>2.1818181818181817</v>
      </c>
      <c r="K136" s="82">
        <f ca="1">(Table15[[#This Row],[Daily_Production]]*Table15[[#This Row],[Working_Days]]) -Table15[[#This Row],[Maintenance_Downtime]]</f>
        <v>3882.818181818182</v>
      </c>
    </row>
    <row r="137" spans="1:11">
      <c r="A137" s="54">
        <v>46055</v>
      </c>
      <c r="B137" s="15" t="s">
        <v>14</v>
      </c>
      <c r="C137" s="15">
        <v>101</v>
      </c>
      <c r="D137" s="15">
        <v>30949.702720000001</v>
      </c>
      <c r="E137" s="82">
        <f>_xlfn.FORECAST.LINEAR(Table15[[#This Row],[Date]],Table15[Units_Sold],Table15[Date])</f>
        <v>99.116608738434962</v>
      </c>
      <c r="F137" s="138">
        <f>Table15[[#This Row],[Average_Price]]/Table15[[#This Row],[Units_Sold]]</f>
        <v>306.4327001980198</v>
      </c>
      <c r="G137" cm="1">
        <f t="array" ref="G137">_xlfn.IFS(Table15[[#This Row],[Vehicle_Type]]="SUV",250,Table15[[#This Row],[Vehicle_Type]]="Sedan",200,Table15[[#This Row],[Vehicle_Type]]="Hatchback",185,Table15[[#This Row],[Vehicle_Type]]="Electric",190,Table15[[#This Row],[Vehicle_Type]]="Truck",150)</f>
        <v>150</v>
      </c>
      <c r="H137">
        <f t="shared" ca="1" si="4"/>
        <v>23</v>
      </c>
      <c r="I137">
        <f t="shared" ca="1" si="5"/>
        <v>11</v>
      </c>
      <c r="J137" s="81">
        <f ca="1">24/Table15[[#This Row],[Production_Hours]]</f>
        <v>2.1818181818181817</v>
      </c>
      <c r="K137" s="82">
        <f ca="1">(Table15[[#This Row],[Daily_Production]]*Table15[[#This Row],[Working_Days]]) -Table15[[#This Row],[Maintenance_Downtime]]</f>
        <v>3447.818181818182</v>
      </c>
    </row>
    <row r="138" spans="1:11">
      <c r="A138" s="53">
        <v>46085</v>
      </c>
      <c r="B138" s="14" t="s">
        <v>12</v>
      </c>
      <c r="C138" s="14">
        <v>105</v>
      </c>
      <c r="D138" s="14">
        <v>35743.828501860517</v>
      </c>
      <c r="E138" s="82">
        <f>_xlfn.FORECAST.LINEAR(Table15[[#This Row],[Date]],Table15[Units_Sold],Table15[Date])</f>
        <v>99.118210408841634</v>
      </c>
      <c r="F138" s="138">
        <f>Table15[[#This Row],[Average_Price]]/Table15[[#This Row],[Units_Sold]]</f>
        <v>340.41741430343347</v>
      </c>
      <c r="G138" cm="1">
        <f t="array" ref="G138">_xlfn.IFS(Table15[[#This Row],[Vehicle_Type]]="SUV",250,Table15[[#This Row],[Vehicle_Type]]="Sedan",200,Table15[[#This Row],[Vehicle_Type]]="Hatchback",185,Table15[[#This Row],[Vehicle_Type]]="Electric",190,Table15[[#This Row],[Vehicle_Type]]="Truck",150)</f>
        <v>250</v>
      </c>
      <c r="H138">
        <f t="shared" ca="1" si="4"/>
        <v>22</v>
      </c>
      <c r="I138">
        <f t="shared" ca="1" si="5"/>
        <v>9</v>
      </c>
      <c r="J138" s="81">
        <f ca="1">24/Table15[[#This Row],[Production_Hours]]</f>
        <v>2.6666666666666665</v>
      </c>
      <c r="K138" s="82">
        <f ca="1">(Table15[[#This Row],[Daily_Production]]*Table15[[#This Row],[Working_Days]]) -Table15[[#This Row],[Maintenance_Downtime]]</f>
        <v>5497.333333333333</v>
      </c>
    </row>
    <row r="139" spans="1:11">
      <c r="A139" s="54">
        <v>46115</v>
      </c>
      <c r="B139" s="15" t="s">
        <v>14</v>
      </c>
      <c r="C139" s="15">
        <v>102</v>
      </c>
      <c r="D139" s="15">
        <v>21301.4311061095</v>
      </c>
      <c r="E139" s="82">
        <f>_xlfn.FORECAST.LINEAR(Table15[[#This Row],[Date]],Table15[Units_Sold],Table15[Date])</f>
        <v>99.119812079248319</v>
      </c>
      <c r="F139" s="138">
        <f>Table15[[#This Row],[Average_Price]]/Table15[[#This Row],[Units_Sold]]</f>
        <v>208.83755986381863</v>
      </c>
      <c r="G139" cm="1">
        <f t="array" ref="G139">_xlfn.IFS(Table15[[#This Row],[Vehicle_Type]]="SUV",250,Table15[[#This Row],[Vehicle_Type]]="Sedan",200,Table15[[#This Row],[Vehicle_Type]]="Hatchback",185,Table15[[#This Row],[Vehicle_Type]]="Electric",190,Table15[[#This Row],[Vehicle_Type]]="Truck",150)</f>
        <v>150</v>
      </c>
      <c r="H139">
        <f t="shared" ca="1" si="4"/>
        <v>21</v>
      </c>
      <c r="I139">
        <f t="shared" ca="1" si="5"/>
        <v>10</v>
      </c>
      <c r="J139" s="81">
        <f ca="1">24/Table15[[#This Row],[Production_Hours]]</f>
        <v>2.4</v>
      </c>
      <c r="K139" s="82">
        <f ca="1">(Table15[[#This Row],[Daily_Production]]*Table15[[#This Row],[Working_Days]]) -Table15[[#This Row],[Maintenance_Downtime]]</f>
        <v>3147.6</v>
      </c>
    </row>
    <row r="140" spans="1:11">
      <c r="A140" s="53">
        <v>46145</v>
      </c>
      <c r="B140" s="14" t="s">
        <v>10</v>
      </c>
      <c r="C140" s="14">
        <v>98</v>
      </c>
      <c r="D140" s="14">
        <v>28187.795292984338</v>
      </c>
      <c r="E140" s="82">
        <f>_xlfn.FORECAST.LINEAR(Table15[[#This Row],[Date]],Table15[Units_Sold],Table15[Date])</f>
        <v>99.121413749655005</v>
      </c>
      <c r="F140" s="138">
        <f>Table15[[#This Row],[Average_Price]]/Table15[[#This Row],[Units_Sold]]</f>
        <v>287.63056421412591</v>
      </c>
      <c r="G140" cm="1">
        <f t="array" ref="G140">_xlfn.IFS(Table15[[#This Row],[Vehicle_Type]]="SUV",250,Table15[[#This Row],[Vehicle_Type]]="Sedan",200,Table15[[#This Row],[Vehicle_Type]]="Hatchback",185,Table15[[#This Row],[Vehicle_Type]]="Electric",190,Table15[[#This Row],[Vehicle_Type]]="Truck",150)</f>
        <v>200</v>
      </c>
      <c r="H140">
        <f t="shared" ca="1" si="4"/>
        <v>23</v>
      </c>
      <c r="I140">
        <f t="shared" ca="1" si="5"/>
        <v>9</v>
      </c>
      <c r="J140" s="81">
        <f ca="1">24/Table15[[#This Row],[Production_Hours]]</f>
        <v>2.6666666666666665</v>
      </c>
      <c r="K140" s="82">
        <f ca="1">(Table15[[#This Row],[Daily_Production]]*Table15[[#This Row],[Working_Days]]) -Table15[[#This Row],[Maintenance_Downtime]]</f>
        <v>4597.333333333333</v>
      </c>
    </row>
    <row r="141" spans="1:11">
      <c r="A141" s="54">
        <v>46175</v>
      </c>
      <c r="B141" s="15" t="s">
        <v>11</v>
      </c>
      <c r="C141" s="15">
        <v>96</v>
      </c>
      <c r="D141" s="15">
        <v>24401.650526869282</v>
      </c>
      <c r="E141" s="82">
        <f>_xlfn.FORECAST.LINEAR(Table15[[#This Row],[Date]],Table15[Units_Sold],Table15[Date])</f>
        <v>99.123015420061691</v>
      </c>
      <c r="F141" s="138">
        <f>Table15[[#This Row],[Average_Price]]/Table15[[#This Row],[Units_Sold]]</f>
        <v>254.18385965488835</v>
      </c>
      <c r="G141" cm="1">
        <f t="array" ref="G141">_xlfn.IFS(Table15[[#This Row],[Vehicle_Type]]="SUV",250,Table15[[#This Row],[Vehicle_Type]]="Sedan",200,Table15[[#This Row],[Vehicle_Type]]="Hatchback",185,Table15[[#This Row],[Vehicle_Type]]="Electric",190,Table15[[#This Row],[Vehicle_Type]]="Truck",150)</f>
        <v>185</v>
      </c>
      <c r="H141">
        <f t="shared" ca="1" si="4"/>
        <v>25</v>
      </c>
      <c r="I141">
        <f t="shared" ca="1" si="5"/>
        <v>11</v>
      </c>
      <c r="J141" s="81">
        <f ca="1">24/Table15[[#This Row],[Production_Hours]]</f>
        <v>2.1818181818181817</v>
      </c>
      <c r="K141" s="82">
        <f ca="1">(Table15[[#This Row],[Daily_Production]]*Table15[[#This Row],[Working_Days]]) -Table15[[#This Row],[Maintenance_Downtime]]</f>
        <v>4622.818181818182</v>
      </c>
    </row>
    <row r="142" spans="1:11">
      <c r="A142" s="53">
        <v>46205</v>
      </c>
      <c r="B142" s="14" t="s">
        <v>13</v>
      </c>
      <c r="C142" s="14">
        <v>76</v>
      </c>
      <c r="D142" s="14">
        <v>23526.59262139547</v>
      </c>
      <c r="E142" s="82">
        <f>_xlfn.FORECAST.LINEAR(Table15[[#This Row],[Date]],Table15[Units_Sold],Table15[Date])</f>
        <v>99.124617090468362</v>
      </c>
      <c r="F142" s="138">
        <f>Table15[[#This Row],[Average_Price]]/Table15[[#This Row],[Units_Sold]]</f>
        <v>309.56042922888776</v>
      </c>
      <c r="G142" cm="1">
        <f t="array" ref="G142">_xlfn.IFS(Table15[[#This Row],[Vehicle_Type]]="SUV",250,Table15[[#This Row],[Vehicle_Type]]="Sedan",200,Table15[[#This Row],[Vehicle_Type]]="Hatchback",185,Table15[[#This Row],[Vehicle_Type]]="Electric",190,Table15[[#This Row],[Vehicle_Type]]="Truck",150)</f>
        <v>190</v>
      </c>
      <c r="H142">
        <f t="shared" ca="1" si="4"/>
        <v>21</v>
      </c>
      <c r="I142">
        <f t="shared" ca="1" si="5"/>
        <v>8</v>
      </c>
      <c r="J142" s="81">
        <f ca="1">24/Table15[[#This Row],[Production_Hours]]</f>
        <v>3</v>
      </c>
      <c r="K142" s="82">
        <f ca="1">(Table15[[#This Row],[Daily_Production]]*Table15[[#This Row],[Working_Days]]) -Table15[[#This Row],[Maintenance_Downtime]]</f>
        <v>3987</v>
      </c>
    </row>
    <row r="143" spans="1:11">
      <c r="A143" s="54">
        <v>46235</v>
      </c>
      <c r="B143" s="15" t="s">
        <v>12</v>
      </c>
      <c r="C143" s="15">
        <v>112</v>
      </c>
      <c r="D143" s="15">
        <v>35804.133936892598</v>
      </c>
      <c r="E143" s="82">
        <f>_xlfn.FORECAST.LINEAR(Table15[[#This Row],[Date]],Table15[Units_Sold],Table15[Date])</f>
        <v>99.126218760875048</v>
      </c>
      <c r="F143" s="138">
        <f>Table15[[#This Row],[Average_Price]]/Table15[[#This Row],[Units_Sold]]</f>
        <v>319.67976729368394</v>
      </c>
      <c r="G143" cm="1">
        <f t="array" ref="G143">_xlfn.IFS(Table15[[#This Row],[Vehicle_Type]]="SUV",250,Table15[[#This Row],[Vehicle_Type]]="Sedan",200,Table15[[#This Row],[Vehicle_Type]]="Hatchback",185,Table15[[#This Row],[Vehicle_Type]]="Electric",190,Table15[[#This Row],[Vehicle_Type]]="Truck",150)</f>
        <v>250</v>
      </c>
      <c r="H143">
        <f t="shared" ca="1" si="4"/>
        <v>23</v>
      </c>
      <c r="I143">
        <f t="shared" ca="1" si="5"/>
        <v>8</v>
      </c>
      <c r="J143" s="81">
        <f ca="1">24/Table15[[#This Row],[Production_Hours]]</f>
        <v>3</v>
      </c>
      <c r="K143" s="82">
        <f ca="1">(Table15[[#This Row],[Daily_Production]]*Table15[[#This Row],[Working_Days]]) -Table15[[#This Row],[Maintenance_Downtime]]</f>
        <v>5747</v>
      </c>
    </row>
    <row r="144" spans="1:11">
      <c r="A144" s="53">
        <v>46265</v>
      </c>
      <c r="B144" s="14" t="s">
        <v>13</v>
      </c>
      <c r="C144" s="14">
        <v>99</v>
      </c>
      <c r="D144" s="14">
        <v>27661.493993440545</v>
      </c>
      <c r="E144" s="82">
        <f>_xlfn.FORECAST.LINEAR(Table15[[#This Row],[Date]],Table15[Units_Sold],Table15[Date])</f>
        <v>99.127820431281734</v>
      </c>
      <c r="F144" s="138">
        <f>Table15[[#This Row],[Average_Price]]/Table15[[#This Row],[Units_Sold]]</f>
        <v>279.40903023677316</v>
      </c>
      <c r="G144" cm="1">
        <f t="array" ref="G144">_xlfn.IFS(Table15[[#This Row],[Vehicle_Type]]="SUV",250,Table15[[#This Row],[Vehicle_Type]]="Sedan",200,Table15[[#This Row],[Vehicle_Type]]="Hatchback",185,Table15[[#This Row],[Vehicle_Type]]="Electric",190,Table15[[#This Row],[Vehicle_Type]]="Truck",150)</f>
        <v>190</v>
      </c>
      <c r="H144">
        <f t="shared" ca="1" si="4"/>
        <v>24</v>
      </c>
      <c r="I144">
        <f t="shared" ca="1" si="5"/>
        <v>10</v>
      </c>
      <c r="J144" s="81">
        <f ca="1">24/Table15[[#This Row],[Production_Hours]]</f>
        <v>2.4</v>
      </c>
      <c r="K144" s="82">
        <f ca="1">(Table15[[#This Row],[Daily_Production]]*Table15[[#This Row],[Working_Days]]) -Table15[[#This Row],[Maintenance_Downtime]]</f>
        <v>4557.6000000000004</v>
      </c>
    </row>
    <row r="145" spans="1:11">
      <c r="A145" s="54">
        <v>46295</v>
      </c>
      <c r="B145" s="15" t="s">
        <v>10</v>
      </c>
      <c r="C145" s="15">
        <v>100</v>
      </c>
      <c r="D145" s="15">
        <v>31732.519408653578</v>
      </c>
      <c r="E145" s="82">
        <f>_xlfn.FORECAST.LINEAR(Table15[[#This Row],[Date]],Table15[Units_Sold],Table15[Date])</f>
        <v>99.129422101688405</v>
      </c>
      <c r="F145" s="138">
        <f>Table15[[#This Row],[Average_Price]]/Table15[[#This Row],[Units_Sold]]</f>
        <v>317.32519408653576</v>
      </c>
      <c r="G145" cm="1">
        <f t="array" ref="G145">_xlfn.IFS(Table15[[#This Row],[Vehicle_Type]]="SUV",250,Table15[[#This Row],[Vehicle_Type]]="Sedan",200,Table15[[#This Row],[Vehicle_Type]]="Hatchback",185,Table15[[#This Row],[Vehicle_Type]]="Electric",190,Table15[[#This Row],[Vehicle_Type]]="Truck",150)</f>
        <v>200</v>
      </c>
      <c r="H145">
        <f t="shared" ca="1" si="4"/>
        <v>20</v>
      </c>
      <c r="I145">
        <f t="shared" ca="1" si="5"/>
        <v>8</v>
      </c>
      <c r="J145" s="81">
        <f ca="1">24/Table15[[#This Row],[Production_Hours]]</f>
        <v>3</v>
      </c>
      <c r="K145" s="82">
        <f ca="1">(Table15[[#This Row],[Daily_Production]]*Table15[[#This Row],[Working_Days]]) -Table15[[#This Row],[Maintenance_Downtime]]</f>
        <v>3997</v>
      </c>
    </row>
    <row r="146" spans="1:11">
      <c r="A146" s="53">
        <v>46325</v>
      </c>
      <c r="B146" s="14" t="s">
        <v>11</v>
      </c>
      <c r="C146" s="14">
        <v>89</v>
      </c>
      <c r="D146" s="14">
        <v>29765.397105604079</v>
      </c>
      <c r="E146" s="82">
        <f>_xlfn.FORECAST.LINEAR(Table15[[#This Row],[Date]],Table15[Units_Sold],Table15[Date])</f>
        <v>99.131023772095091</v>
      </c>
      <c r="F146" s="138">
        <f>Table15[[#This Row],[Average_Price]]/Table15[[#This Row],[Units_Sold]]</f>
        <v>334.44266410791101</v>
      </c>
      <c r="G146" cm="1">
        <f t="array" ref="G146">_xlfn.IFS(Table15[[#This Row],[Vehicle_Type]]="SUV",250,Table15[[#This Row],[Vehicle_Type]]="Sedan",200,Table15[[#This Row],[Vehicle_Type]]="Hatchback",185,Table15[[#This Row],[Vehicle_Type]]="Electric",190,Table15[[#This Row],[Vehicle_Type]]="Truck",150)</f>
        <v>185</v>
      </c>
      <c r="H146">
        <f t="shared" ca="1" si="4"/>
        <v>25</v>
      </c>
      <c r="I146">
        <f t="shared" ca="1" si="5"/>
        <v>9</v>
      </c>
      <c r="J146" s="81">
        <f ca="1">24/Table15[[#This Row],[Production_Hours]]</f>
        <v>2.6666666666666665</v>
      </c>
      <c r="K146" s="82">
        <f ca="1">(Table15[[#This Row],[Daily_Production]]*Table15[[#This Row],[Working_Days]]) -Table15[[#This Row],[Maintenance_Downtime]]</f>
        <v>4622.333333333333</v>
      </c>
    </row>
    <row r="147" spans="1:11">
      <c r="A147" s="54">
        <v>46355</v>
      </c>
      <c r="B147" s="15" t="s">
        <v>13</v>
      </c>
      <c r="C147" s="15">
        <v>100</v>
      </c>
      <c r="D147" s="15">
        <v>32385.204136115608</v>
      </c>
      <c r="E147" s="82">
        <f>_xlfn.FORECAST.LINEAR(Table15[[#This Row],[Date]],Table15[Units_Sold],Table15[Date])</f>
        <v>99.132625442501777</v>
      </c>
      <c r="F147" s="138">
        <f>Table15[[#This Row],[Average_Price]]/Table15[[#This Row],[Units_Sold]]</f>
        <v>323.85204136115607</v>
      </c>
      <c r="G147" cm="1">
        <f t="array" ref="G147">_xlfn.IFS(Table15[[#This Row],[Vehicle_Type]]="SUV",250,Table15[[#This Row],[Vehicle_Type]]="Sedan",200,Table15[[#This Row],[Vehicle_Type]]="Hatchback",185,Table15[[#This Row],[Vehicle_Type]]="Electric",190,Table15[[#This Row],[Vehicle_Type]]="Truck",150)</f>
        <v>190</v>
      </c>
      <c r="H147">
        <f t="shared" ca="1" si="4"/>
        <v>22</v>
      </c>
      <c r="I147">
        <f t="shared" ca="1" si="5"/>
        <v>11</v>
      </c>
      <c r="J147" s="81">
        <f ca="1">24/Table15[[#This Row],[Production_Hours]]</f>
        <v>2.1818181818181817</v>
      </c>
      <c r="K147" s="82">
        <f ca="1">(Table15[[#This Row],[Daily_Production]]*Table15[[#This Row],[Working_Days]]) -Table15[[#This Row],[Maintenance_Downtime]]</f>
        <v>4177.818181818182</v>
      </c>
    </row>
    <row r="148" spans="1:11">
      <c r="A148" s="53">
        <v>46385</v>
      </c>
      <c r="B148" s="14" t="s">
        <v>13</v>
      </c>
      <c r="C148" s="14">
        <v>104</v>
      </c>
      <c r="D148" s="14">
        <v>30384.109455301277</v>
      </c>
      <c r="E148" s="82">
        <f>_xlfn.FORECAST.LINEAR(Table15[[#This Row],[Date]],Table15[Units_Sold],Table15[Date])</f>
        <v>99.134227112908462</v>
      </c>
      <c r="F148" s="138">
        <f>Table15[[#This Row],[Average_Price]]/Table15[[#This Row],[Units_Sold]]</f>
        <v>292.15489860866614</v>
      </c>
      <c r="G148" cm="1">
        <f t="array" ref="G148">_xlfn.IFS(Table15[[#This Row],[Vehicle_Type]]="SUV",250,Table15[[#This Row],[Vehicle_Type]]="Sedan",200,Table15[[#This Row],[Vehicle_Type]]="Hatchback",185,Table15[[#This Row],[Vehicle_Type]]="Electric",190,Table15[[#This Row],[Vehicle_Type]]="Truck",150)</f>
        <v>190</v>
      </c>
      <c r="H148">
        <f t="shared" ca="1" si="4"/>
        <v>21</v>
      </c>
      <c r="I148">
        <f t="shared" ca="1" si="5"/>
        <v>11</v>
      </c>
      <c r="J148" s="81">
        <f ca="1">24/Table15[[#This Row],[Production_Hours]]</f>
        <v>2.1818181818181817</v>
      </c>
      <c r="K148" s="82">
        <f ca="1">(Table15[[#This Row],[Daily_Production]]*Table15[[#This Row],[Working_Days]]) -Table15[[#This Row],[Maintenance_Downtime]]</f>
        <v>3987.818181818182</v>
      </c>
    </row>
    <row r="149" spans="1:11">
      <c r="A149" s="54">
        <v>46415</v>
      </c>
      <c r="B149" s="15" t="s">
        <v>12</v>
      </c>
      <c r="C149" s="15">
        <v>96</v>
      </c>
      <c r="D149" s="15">
        <v>23585.038879057152</v>
      </c>
      <c r="E149" s="82">
        <f>_xlfn.FORECAST.LINEAR(Table15[[#This Row],[Date]],Table15[Units_Sold],Table15[Date])</f>
        <v>99.135828783315134</v>
      </c>
      <c r="F149" s="138">
        <f>Table15[[#This Row],[Average_Price]]/Table15[[#This Row],[Units_Sold]]</f>
        <v>245.67748832351199</v>
      </c>
      <c r="G149" cm="1">
        <f t="array" ref="G149">_xlfn.IFS(Table15[[#This Row],[Vehicle_Type]]="SUV",250,Table15[[#This Row],[Vehicle_Type]]="Sedan",200,Table15[[#This Row],[Vehicle_Type]]="Hatchback",185,Table15[[#This Row],[Vehicle_Type]]="Electric",190,Table15[[#This Row],[Vehicle_Type]]="Truck",150)</f>
        <v>250</v>
      </c>
      <c r="H149">
        <f t="shared" ca="1" si="4"/>
        <v>20</v>
      </c>
      <c r="I149">
        <f t="shared" ca="1" si="5"/>
        <v>12</v>
      </c>
      <c r="J149" s="81">
        <f ca="1">24/Table15[[#This Row],[Production_Hours]]</f>
        <v>2</v>
      </c>
      <c r="K149" s="82">
        <f ca="1">(Table15[[#This Row],[Daily_Production]]*Table15[[#This Row],[Working_Days]]) -Table15[[#This Row],[Maintenance_Downtime]]</f>
        <v>4998</v>
      </c>
    </row>
    <row r="150" spans="1:11">
      <c r="A150" s="53">
        <v>46445</v>
      </c>
      <c r="B150" s="14" t="s">
        <v>12</v>
      </c>
      <c r="C150" s="14">
        <v>100</v>
      </c>
      <c r="D150" s="14">
        <v>34981.334097235696</v>
      </c>
      <c r="E150" s="82">
        <f>_xlfn.FORECAST.LINEAR(Table15[[#This Row],[Date]],Table15[Units_Sold],Table15[Date])</f>
        <v>99.137430453721819</v>
      </c>
      <c r="F150" s="138">
        <f>Table15[[#This Row],[Average_Price]]/Table15[[#This Row],[Units_Sold]]</f>
        <v>349.81334097235697</v>
      </c>
      <c r="G150" cm="1">
        <f t="array" ref="G150">_xlfn.IFS(Table15[[#This Row],[Vehicle_Type]]="SUV",250,Table15[[#This Row],[Vehicle_Type]]="Sedan",200,Table15[[#This Row],[Vehicle_Type]]="Hatchback",185,Table15[[#This Row],[Vehicle_Type]]="Electric",190,Table15[[#This Row],[Vehicle_Type]]="Truck",150)</f>
        <v>250</v>
      </c>
      <c r="H150">
        <f t="shared" ca="1" si="4"/>
        <v>20</v>
      </c>
      <c r="I150">
        <f t="shared" ca="1" si="5"/>
        <v>8</v>
      </c>
      <c r="J150" s="81">
        <f ca="1">24/Table15[[#This Row],[Production_Hours]]</f>
        <v>3</v>
      </c>
      <c r="K150" s="82">
        <f ca="1">(Table15[[#This Row],[Daily_Production]]*Table15[[#This Row],[Working_Days]]) -Table15[[#This Row],[Maintenance_Downtime]]</f>
        <v>4997</v>
      </c>
    </row>
    <row r="151" spans="1:11">
      <c r="A151" s="54">
        <v>46475</v>
      </c>
      <c r="B151" s="15" t="s">
        <v>11</v>
      </c>
      <c r="C151" s="15">
        <v>105</v>
      </c>
      <c r="D151" s="15">
        <v>27531.217084193438</v>
      </c>
      <c r="E151" s="82">
        <f>_xlfn.FORECAST.LINEAR(Table15[[#This Row],[Date]],Table15[Units_Sold],Table15[Date])</f>
        <v>99.139032124128505</v>
      </c>
      <c r="F151" s="138">
        <f>Table15[[#This Row],[Average_Price]]/Table15[[#This Row],[Units_Sold]]</f>
        <v>262.20206746850891</v>
      </c>
      <c r="G151" cm="1">
        <f t="array" ref="G151">_xlfn.IFS(Table15[[#This Row],[Vehicle_Type]]="SUV",250,Table15[[#This Row],[Vehicle_Type]]="Sedan",200,Table15[[#This Row],[Vehicle_Type]]="Hatchback",185,Table15[[#This Row],[Vehicle_Type]]="Electric",190,Table15[[#This Row],[Vehicle_Type]]="Truck",150)</f>
        <v>185</v>
      </c>
      <c r="H151">
        <f t="shared" ca="1" si="4"/>
        <v>20</v>
      </c>
      <c r="I151">
        <f t="shared" ca="1" si="5"/>
        <v>8</v>
      </c>
      <c r="J151" s="81">
        <f ca="1">24/Table15[[#This Row],[Production_Hours]]</f>
        <v>3</v>
      </c>
      <c r="K151" s="82">
        <f ca="1">(Table15[[#This Row],[Daily_Production]]*Table15[[#This Row],[Working_Days]]) -Table15[[#This Row],[Maintenance_Downtime]]</f>
        <v>3697</v>
      </c>
    </row>
    <row r="152" spans="1:11">
      <c r="A152" s="53">
        <v>46505</v>
      </c>
      <c r="B152" s="14" t="s">
        <v>12</v>
      </c>
      <c r="C152" s="14">
        <v>81</v>
      </c>
      <c r="D152" s="14">
        <v>22217.090506701243</v>
      </c>
      <c r="E152" s="82">
        <f>_xlfn.FORECAST.LINEAR(Table15[[#This Row],[Date]],Table15[Units_Sold],Table15[Date])</f>
        <v>99.140633794535177</v>
      </c>
      <c r="F152" s="138">
        <f>Table15[[#This Row],[Average_Price]]/Table15[[#This Row],[Units_Sold]]</f>
        <v>274.28506798396597</v>
      </c>
      <c r="G152" cm="1">
        <f t="array" ref="G152">_xlfn.IFS(Table15[[#This Row],[Vehicle_Type]]="SUV",250,Table15[[#This Row],[Vehicle_Type]]="Sedan",200,Table15[[#This Row],[Vehicle_Type]]="Hatchback",185,Table15[[#This Row],[Vehicle_Type]]="Electric",190,Table15[[#This Row],[Vehicle_Type]]="Truck",150)</f>
        <v>250</v>
      </c>
      <c r="H152">
        <f t="shared" ca="1" si="4"/>
        <v>20</v>
      </c>
      <c r="I152">
        <f t="shared" ca="1" si="5"/>
        <v>8</v>
      </c>
      <c r="J152" s="81">
        <f ca="1">24/Table15[[#This Row],[Production_Hours]]</f>
        <v>3</v>
      </c>
      <c r="K152" s="82">
        <f ca="1">(Table15[[#This Row],[Daily_Production]]*Table15[[#This Row],[Working_Days]]) -Table15[[#This Row],[Maintenance_Downtime]]</f>
        <v>4997</v>
      </c>
    </row>
    <row r="153" spans="1:11">
      <c r="A153" s="54">
        <v>46535</v>
      </c>
      <c r="B153" s="15" t="s">
        <v>13</v>
      </c>
      <c r="C153" s="15">
        <v>120</v>
      </c>
      <c r="D153" s="15">
        <v>27859.424195170439</v>
      </c>
      <c r="E153" s="82">
        <f>_xlfn.FORECAST.LINEAR(Table15[[#This Row],[Date]],Table15[Units_Sold],Table15[Date])</f>
        <v>99.142235464941862</v>
      </c>
      <c r="F153" s="138">
        <f>Table15[[#This Row],[Average_Price]]/Table15[[#This Row],[Units_Sold]]</f>
        <v>232.161868293087</v>
      </c>
      <c r="G153" cm="1">
        <f t="array" ref="G153">_xlfn.IFS(Table15[[#This Row],[Vehicle_Type]]="SUV",250,Table15[[#This Row],[Vehicle_Type]]="Sedan",200,Table15[[#This Row],[Vehicle_Type]]="Hatchback",185,Table15[[#This Row],[Vehicle_Type]]="Electric",190,Table15[[#This Row],[Vehicle_Type]]="Truck",150)</f>
        <v>190</v>
      </c>
      <c r="H153">
        <f t="shared" ca="1" si="4"/>
        <v>20</v>
      </c>
      <c r="I153">
        <f t="shared" ca="1" si="5"/>
        <v>9</v>
      </c>
      <c r="J153" s="81">
        <f ca="1">24/Table15[[#This Row],[Production_Hours]]</f>
        <v>2.6666666666666665</v>
      </c>
      <c r="K153" s="82">
        <f ca="1">(Table15[[#This Row],[Daily_Production]]*Table15[[#This Row],[Working_Days]]) -Table15[[#This Row],[Maintenance_Downtime]]</f>
        <v>3797.3333333333335</v>
      </c>
    </row>
    <row r="154" spans="1:11">
      <c r="A154" s="53">
        <v>46565</v>
      </c>
      <c r="B154" s="14" t="s">
        <v>13</v>
      </c>
      <c r="C154" s="14">
        <v>97</v>
      </c>
      <c r="D154" s="14">
        <v>37503.798953171558</v>
      </c>
      <c r="E154" s="82">
        <f>_xlfn.FORECAST.LINEAR(Table15[[#This Row],[Date]],Table15[Units_Sold],Table15[Date])</f>
        <v>99.143837135348548</v>
      </c>
      <c r="F154" s="138">
        <f>Table15[[#This Row],[Average_Price]]/Table15[[#This Row],[Units_Sold]]</f>
        <v>386.63710261001603</v>
      </c>
      <c r="G154" cm="1">
        <f t="array" ref="G154">_xlfn.IFS(Table15[[#This Row],[Vehicle_Type]]="SUV",250,Table15[[#This Row],[Vehicle_Type]]="Sedan",200,Table15[[#This Row],[Vehicle_Type]]="Hatchback",185,Table15[[#This Row],[Vehicle_Type]]="Electric",190,Table15[[#This Row],[Vehicle_Type]]="Truck",150)</f>
        <v>190</v>
      </c>
      <c r="H154">
        <f t="shared" ca="1" si="4"/>
        <v>23</v>
      </c>
      <c r="I154">
        <f t="shared" ca="1" si="5"/>
        <v>12</v>
      </c>
      <c r="J154" s="81">
        <f ca="1">24/Table15[[#This Row],[Production_Hours]]</f>
        <v>2</v>
      </c>
      <c r="K154" s="82">
        <f ca="1">(Table15[[#This Row],[Daily_Production]]*Table15[[#This Row],[Working_Days]]) -Table15[[#This Row],[Maintenance_Downtime]]</f>
        <v>4368</v>
      </c>
    </row>
    <row r="155" spans="1:11">
      <c r="A155" s="54">
        <v>46595</v>
      </c>
      <c r="B155" s="15" t="s">
        <v>10</v>
      </c>
      <c r="C155" s="15">
        <v>99</v>
      </c>
      <c r="D155" s="15">
        <v>34251.108710567467</v>
      </c>
      <c r="E155" s="82">
        <f>_xlfn.FORECAST.LINEAR(Table15[[#This Row],[Date]],Table15[Units_Sold],Table15[Date])</f>
        <v>99.145438805755234</v>
      </c>
      <c r="F155" s="138">
        <f>Table15[[#This Row],[Average_Price]]/Table15[[#This Row],[Units_Sold]]</f>
        <v>345.97079505623702</v>
      </c>
      <c r="G155" cm="1">
        <f t="array" ref="G155">_xlfn.IFS(Table15[[#This Row],[Vehicle_Type]]="SUV",250,Table15[[#This Row],[Vehicle_Type]]="Sedan",200,Table15[[#This Row],[Vehicle_Type]]="Hatchback",185,Table15[[#This Row],[Vehicle_Type]]="Electric",190,Table15[[#This Row],[Vehicle_Type]]="Truck",150)</f>
        <v>200</v>
      </c>
      <c r="H155">
        <f t="shared" ca="1" si="4"/>
        <v>20</v>
      </c>
      <c r="I155">
        <f t="shared" ca="1" si="5"/>
        <v>12</v>
      </c>
      <c r="J155" s="81">
        <f ca="1">24/Table15[[#This Row],[Production_Hours]]</f>
        <v>2</v>
      </c>
      <c r="K155" s="82">
        <f ca="1">(Table15[[#This Row],[Daily_Production]]*Table15[[#This Row],[Working_Days]]) -Table15[[#This Row],[Maintenance_Downtime]]</f>
        <v>3998</v>
      </c>
    </row>
    <row r="156" spans="1:11">
      <c r="A156" s="53">
        <v>46625</v>
      </c>
      <c r="B156" s="14" t="s">
        <v>13</v>
      </c>
      <c r="C156" s="14">
        <v>120</v>
      </c>
      <c r="D156" s="14">
        <v>28256.739327960706</v>
      </c>
      <c r="E156" s="82">
        <f>_xlfn.FORECAST.LINEAR(Table15[[#This Row],[Date]],Table15[Units_Sold],Table15[Date])</f>
        <v>99.147040476161905</v>
      </c>
      <c r="F156" s="138">
        <f>Table15[[#This Row],[Average_Price]]/Table15[[#This Row],[Units_Sold]]</f>
        <v>235.47282773300589</v>
      </c>
      <c r="G156" cm="1">
        <f t="array" ref="G156">_xlfn.IFS(Table15[[#This Row],[Vehicle_Type]]="SUV",250,Table15[[#This Row],[Vehicle_Type]]="Sedan",200,Table15[[#This Row],[Vehicle_Type]]="Hatchback",185,Table15[[#This Row],[Vehicle_Type]]="Electric",190,Table15[[#This Row],[Vehicle_Type]]="Truck",150)</f>
        <v>190</v>
      </c>
      <c r="H156">
        <f t="shared" ca="1" si="4"/>
        <v>22</v>
      </c>
      <c r="I156">
        <f t="shared" ca="1" si="5"/>
        <v>12</v>
      </c>
      <c r="J156" s="81">
        <f ca="1">24/Table15[[#This Row],[Production_Hours]]</f>
        <v>2</v>
      </c>
      <c r="K156" s="82">
        <f ca="1">(Table15[[#This Row],[Daily_Production]]*Table15[[#This Row],[Working_Days]]) -Table15[[#This Row],[Maintenance_Downtime]]</f>
        <v>4178</v>
      </c>
    </row>
    <row r="157" spans="1:11">
      <c r="A157" s="54">
        <v>46655</v>
      </c>
      <c r="B157" s="15" t="s">
        <v>11</v>
      </c>
      <c r="C157" s="15">
        <v>90</v>
      </c>
      <c r="D157" s="15">
        <v>28253.711478407855</v>
      </c>
      <c r="E157" s="82">
        <f>_xlfn.FORECAST.LINEAR(Table15[[#This Row],[Date]],Table15[Units_Sold],Table15[Date])</f>
        <v>99.148642146568591</v>
      </c>
      <c r="F157" s="138">
        <f>Table15[[#This Row],[Average_Price]]/Table15[[#This Row],[Units_Sold]]</f>
        <v>313.93012753786508</v>
      </c>
      <c r="G157" cm="1">
        <f t="array" ref="G157">_xlfn.IFS(Table15[[#This Row],[Vehicle_Type]]="SUV",250,Table15[[#This Row],[Vehicle_Type]]="Sedan",200,Table15[[#This Row],[Vehicle_Type]]="Hatchback",185,Table15[[#This Row],[Vehicle_Type]]="Electric",190,Table15[[#This Row],[Vehicle_Type]]="Truck",150)</f>
        <v>185</v>
      </c>
      <c r="H157">
        <f t="shared" ca="1" si="4"/>
        <v>25</v>
      </c>
      <c r="I157">
        <f t="shared" ca="1" si="5"/>
        <v>9</v>
      </c>
      <c r="J157" s="81">
        <f ca="1">24/Table15[[#This Row],[Production_Hours]]</f>
        <v>2.6666666666666665</v>
      </c>
      <c r="K157" s="82">
        <f ca="1">(Table15[[#This Row],[Daily_Production]]*Table15[[#This Row],[Working_Days]]) -Table15[[#This Row],[Maintenance_Downtime]]</f>
        <v>4622.333333333333</v>
      </c>
    </row>
    <row r="158" spans="1:11">
      <c r="A158" s="53">
        <v>46685</v>
      </c>
      <c r="B158" s="14" t="s">
        <v>14</v>
      </c>
      <c r="C158" s="14">
        <v>85</v>
      </c>
      <c r="D158" s="14">
        <v>28391.824743913086</v>
      </c>
      <c r="E158" s="82">
        <f>_xlfn.FORECAST.LINEAR(Table15[[#This Row],[Date]],Table15[Units_Sold],Table15[Date])</f>
        <v>99.150243816975276</v>
      </c>
      <c r="F158" s="138">
        <f>Table15[[#This Row],[Average_Price]]/Table15[[#This Row],[Units_Sold]]</f>
        <v>334.02146757544807</v>
      </c>
      <c r="G158" cm="1">
        <f t="array" ref="G158">_xlfn.IFS(Table15[[#This Row],[Vehicle_Type]]="SUV",250,Table15[[#This Row],[Vehicle_Type]]="Sedan",200,Table15[[#This Row],[Vehicle_Type]]="Hatchback",185,Table15[[#This Row],[Vehicle_Type]]="Electric",190,Table15[[#This Row],[Vehicle_Type]]="Truck",150)</f>
        <v>150</v>
      </c>
      <c r="H158">
        <f t="shared" ca="1" si="4"/>
        <v>20</v>
      </c>
      <c r="I158">
        <f t="shared" ca="1" si="5"/>
        <v>8</v>
      </c>
      <c r="J158" s="81">
        <f ca="1">24/Table15[[#This Row],[Production_Hours]]</f>
        <v>3</v>
      </c>
      <c r="K158" s="82">
        <f ca="1">(Table15[[#This Row],[Daily_Production]]*Table15[[#This Row],[Working_Days]]) -Table15[[#This Row],[Maintenance_Downtime]]</f>
        <v>2997</v>
      </c>
    </row>
    <row r="159" spans="1:11">
      <c r="A159" s="54">
        <v>46715</v>
      </c>
      <c r="B159" s="15" t="s">
        <v>10</v>
      </c>
      <c r="C159" s="15">
        <v>84</v>
      </c>
      <c r="D159" s="15">
        <v>40383.739917804203</v>
      </c>
      <c r="E159" s="82">
        <f>_xlfn.FORECAST.LINEAR(Table15[[#This Row],[Date]],Table15[Units_Sold],Table15[Date])</f>
        <v>99.151845487381948</v>
      </c>
      <c r="F159" s="138">
        <f>Table15[[#This Row],[Average_Price]]/Table15[[#This Row],[Units_Sold]]</f>
        <v>480.75880854528816</v>
      </c>
      <c r="G159" cm="1">
        <f t="array" ref="G159">_xlfn.IFS(Table15[[#This Row],[Vehicle_Type]]="SUV",250,Table15[[#This Row],[Vehicle_Type]]="Sedan",200,Table15[[#This Row],[Vehicle_Type]]="Hatchback",185,Table15[[#This Row],[Vehicle_Type]]="Electric",190,Table15[[#This Row],[Vehicle_Type]]="Truck",150)</f>
        <v>200</v>
      </c>
      <c r="H159">
        <f t="shared" ca="1" si="4"/>
        <v>23</v>
      </c>
      <c r="I159">
        <f t="shared" ca="1" si="5"/>
        <v>10</v>
      </c>
      <c r="J159" s="81">
        <f ca="1">24/Table15[[#This Row],[Production_Hours]]</f>
        <v>2.4</v>
      </c>
      <c r="K159" s="82">
        <f ca="1">(Table15[[#This Row],[Daily_Production]]*Table15[[#This Row],[Working_Days]]) -Table15[[#This Row],[Maintenance_Downtime]]</f>
        <v>4597.6000000000004</v>
      </c>
    </row>
    <row r="160" spans="1:11">
      <c r="A160" s="53">
        <v>46745</v>
      </c>
      <c r="B160" s="14" t="s">
        <v>10</v>
      </c>
      <c r="C160" s="14">
        <v>100</v>
      </c>
      <c r="D160" s="14">
        <v>31909.677261157765</v>
      </c>
      <c r="E160" s="82">
        <f>_xlfn.FORECAST.LINEAR(Table15[[#This Row],[Date]],Table15[Units_Sold],Table15[Date])</f>
        <v>99.153447157788634</v>
      </c>
      <c r="F160" s="138">
        <f>Table15[[#This Row],[Average_Price]]/Table15[[#This Row],[Units_Sold]]</f>
        <v>319.09677261157765</v>
      </c>
      <c r="G160" cm="1">
        <f t="array" ref="G160">_xlfn.IFS(Table15[[#This Row],[Vehicle_Type]]="SUV",250,Table15[[#This Row],[Vehicle_Type]]="Sedan",200,Table15[[#This Row],[Vehicle_Type]]="Hatchback",185,Table15[[#This Row],[Vehicle_Type]]="Electric",190,Table15[[#This Row],[Vehicle_Type]]="Truck",150)</f>
        <v>200</v>
      </c>
      <c r="H160">
        <f t="shared" ca="1" si="4"/>
        <v>23</v>
      </c>
      <c r="I160">
        <f t="shared" ca="1" si="5"/>
        <v>12</v>
      </c>
      <c r="J160" s="81">
        <f ca="1">24/Table15[[#This Row],[Production_Hours]]</f>
        <v>2</v>
      </c>
      <c r="K160" s="82">
        <f ca="1">(Table15[[#This Row],[Daily_Production]]*Table15[[#This Row],[Working_Days]]) -Table15[[#This Row],[Maintenance_Downtime]]</f>
        <v>4598</v>
      </c>
    </row>
    <row r="161" spans="1:11">
      <c r="A161" s="54">
        <v>46775</v>
      </c>
      <c r="B161" s="15" t="s">
        <v>11</v>
      </c>
      <c r="C161" s="15">
        <v>112</v>
      </c>
      <c r="D161" s="15">
        <v>32150.20823595535</v>
      </c>
      <c r="E161" s="82">
        <f>_xlfn.FORECAST.LINEAR(Table15[[#This Row],[Date]],Table15[Units_Sold],Table15[Date])</f>
        <v>99.155048828195319</v>
      </c>
      <c r="F161" s="138">
        <f>Table15[[#This Row],[Average_Price]]/Table15[[#This Row],[Units_Sold]]</f>
        <v>287.05543067817274</v>
      </c>
      <c r="G161" cm="1">
        <f t="array" ref="G161">_xlfn.IFS(Table15[[#This Row],[Vehicle_Type]]="SUV",250,Table15[[#This Row],[Vehicle_Type]]="Sedan",200,Table15[[#This Row],[Vehicle_Type]]="Hatchback",185,Table15[[#This Row],[Vehicle_Type]]="Electric",190,Table15[[#This Row],[Vehicle_Type]]="Truck",150)</f>
        <v>185</v>
      </c>
      <c r="H161">
        <f t="shared" ca="1" si="4"/>
        <v>24</v>
      </c>
      <c r="I161">
        <f t="shared" ca="1" si="5"/>
        <v>10</v>
      </c>
      <c r="J161" s="81">
        <f ca="1">24/Table15[[#This Row],[Production_Hours]]</f>
        <v>2.4</v>
      </c>
      <c r="K161" s="82">
        <f ca="1">(Table15[[#This Row],[Daily_Production]]*Table15[[#This Row],[Working_Days]]) -Table15[[#This Row],[Maintenance_Downtime]]</f>
        <v>4437.6000000000004</v>
      </c>
    </row>
    <row r="162" spans="1:11">
      <c r="A162" s="53">
        <v>46805</v>
      </c>
      <c r="B162" s="14" t="s">
        <v>11</v>
      </c>
      <c r="C162" s="14">
        <v>110</v>
      </c>
      <c r="D162" s="14">
        <v>35151.417270159211</v>
      </c>
      <c r="E162" s="82">
        <f>_xlfn.FORECAST.LINEAR(Table15[[#This Row],[Date]],Table15[Units_Sold],Table15[Date])</f>
        <v>99.156650498602005</v>
      </c>
      <c r="F162" s="138">
        <f>Table15[[#This Row],[Average_Price]]/Table15[[#This Row],[Units_Sold]]</f>
        <v>319.55833881962917</v>
      </c>
      <c r="G162" cm="1">
        <f t="array" ref="G162">_xlfn.IFS(Table15[[#This Row],[Vehicle_Type]]="SUV",250,Table15[[#This Row],[Vehicle_Type]]="Sedan",200,Table15[[#This Row],[Vehicle_Type]]="Hatchback",185,Table15[[#This Row],[Vehicle_Type]]="Electric",190,Table15[[#This Row],[Vehicle_Type]]="Truck",150)</f>
        <v>185</v>
      </c>
      <c r="H162">
        <f t="shared" ca="1" si="4"/>
        <v>20</v>
      </c>
      <c r="I162">
        <f t="shared" ca="1" si="5"/>
        <v>11</v>
      </c>
      <c r="J162" s="81">
        <f ca="1">24/Table15[[#This Row],[Production_Hours]]</f>
        <v>2.1818181818181817</v>
      </c>
      <c r="K162" s="82">
        <f ca="1">(Table15[[#This Row],[Daily_Production]]*Table15[[#This Row],[Working_Days]]) -Table15[[#This Row],[Maintenance_Downtime]]</f>
        <v>3697.818181818182</v>
      </c>
    </row>
    <row r="163" spans="1:11">
      <c r="A163" s="54">
        <v>46835</v>
      </c>
      <c r="B163" s="15" t="s">
        <v>12</v>
      </c>
      <c r="C163" s="15">
        <v>86</v>
      </c>
      <c r="D163" s="15">
        <v>31193.945795132568</v>
      </c>
      <c r="E163" s="82">
        <f>_xlfn.FORECAST.LINEAR(Table15[[#This Row],[Date]],Table15[Units_Sold],Table15[Date])</f>
        <v>99.158252169008676</v>
      </c>
      <c r="F163" s="138">
        <f>Table15[[#This Row],[Average_Price]]/Table15[[#This Row],[Units_Sold]]</f>
        <v>362.72029994340193</v>
      </c>
      <c r="G163" cm="1">
        <f t="array" ref="G163">_xlfn.IFS(Table15[[#This Row],[Vehicle_Type]]="SUV",250,Table15[[#This Row],[Vehicle_Type]]="Sedan",200,Table15[[#This Row],[Vehicle_Type]]="Hatchback",185,Table15[[#This Row],[Vehicle_Type]]="Electric",190,Table15[[#This Row],[Vehicle_Type]]="Truck",150)</f>
        <v>250</v>
      </c>
      <c r="H163">
        <f t="shared" ca="1" si="4"/>
        <v>21</v>
      </c>
      <c r="I163">
        <f t="shared" ca="1" si="5"/>
        <v>9</v>
      </c>
      <c r="J163" s="81">
        <f ca="1">24/Table15[[#This Row],[Production_Hours]]</f>
        <v>2.6666666666666665</v>
      </c>
      <c r="K163" s="82">
        <f ca="1">(Table15[[#This Row],[Daily_Production]]*Table15[[#This Row],[Working_Days]]) -Table15[[#This Row],[Maintenance_Downtime]]</f>
        <v>5247.333333333333</v>
      </c>
    </row>
    <row r="164" spans="1:11">
      <c r="A164" s="53">
        <v>46865</v>
      </c>
      <c r="B164" s="14" t="s">
        <v>10</v>
      </c>
      <c r="C164" s="14">
        <v>104</v>
      </c>
      <c r="D164" s="14">
        <v>30949.702720000001</v>
      </c>
      <c r="E164" s="82">
        <f>_xlfn.FORECAST.LINEAR(Table15[[#This Row],[Date]],Table15[Units_Sold],Table15[Date])</f>
        <v>99.159853839415362</v>
      </c>
      <c r="F164" s="138">
        <f>Table15[[#This Row],[Average_Price]]/Table15[[#This Row],[Units_Sold]]</f>
        <v>297.59329538461537</v>
      </c>
      <c r="G164" cm="1">
        <f t="array" ref="G164">_xlfn.IFS(Table15[[#This Row],[Vehicle_Type]]="SUV",250,Table15[[#This Row],[Vehicle_Type]]="Sedan",200,Table15[[#This Row],[Vehicle_Type]]="Hatchback",185,Table15[[#This Row],[Vehicle_Type]]="Electric",190,Table15[[#This Row],[Vehicle_Type]]="Truck",150)</f>
        <v>200</v>
      </c>
      <c r="H164">
        <f t="shared" ca="1" si="4"/>
        <v>20</v>
      </c>
      <c r="I164">
        <f t="shared" ca="1" si="5"/>
        <v>11</v>
      </c>
      <c r="J164" s="81">
        <f ca="1">24/Table15[[#This Row],[Production_Hours]]</f>
        <v>2.1818181818181817</v>
      </c>
      <c r="K164" s="82">
        <f ca="1">(Table15[[#This Row],[Daily_Production]]*Table15[[#This Row],[Working_Days]]) -Table15[[#This Row],[Maintenance_Downtime]]</f>
        <v>3997.818181818182</v>
      </c>
    </row>
    <row r="165" spans="1:11">
      <c r="A165" s="54">
        <v>46895</v>
      </c>
      <c r="B165" s="15" t="s">
        <v>12</v>
      </c>
      <c r="C165" s="15">
        <v>107</v>
      </c>
      <c r="D165" s="15">
        <v>29018.250754575107</v>
      </c>
      <c r="E165" s="82">
        <f>_xlfn.FORECAST.LINEAR(Table15[[#This Row],[Date]],Table15[Units_Sold],Table15[Date])</f>
        <v>99.161455509822048</v>
      </c>
      <c r="F165" s="138">
        <f>Table15[[#This Row],[Average_Price]]/Table15[[#This Row],[Units_Sold]]</f>
        <v>271.1986051829449</v>
      </c>
      <c r="G165" cm="1">
        <f t="array" ref="G165">_xlfn.IFS(Table15[[#This Row],[Vehicle_Type]]="SUV",250,Table15[[#This Row],[Vehicle_Type]]="Sedan",200,Table15[[#This Row],[Vehicle_Type]]="Hatchback",185,Table15[[#This Row],[Vehicle_Type]]="Electric",190,Table15[[#This Row],[Vehicle_Type]]="Truck",150)</f>
        <v>250</v>
      </c>
      <c r="H165">
        <f t="shared" ca="1" si="4"/>
        <v>24</v>
      </c>
      <c r="I165">
        <f t="shared" ca="1" si="5"/>
        <v>9</v>
      </c>
      <c r="J165" s="81">
        <f ca="1">24/Table15[[#This Row],[Production_Hours]]</f>
        <v>2.6666666666666665</v>
      </c>
      <c r="K165" s="82">
        <f ca="1">(Table15[[#This Row],[Daily_Production]]*Table15[[#This Row],[Working_Days]]) -Table15[[#This Row],[Maintenance_Downtime]]</f>
        <v>5997.333333333333</v>
      </c>
    </row>
    <row r="166" spans="1:11">
      <c r="A166" s="53">
        <v>46925</v>
      </c>
      <c r="B166" s="14" t="s">
        <v>13</v>
      </c>
      <c r="C166" s="14">
        <v>93</v>
      </c>
      <c r="D166" s="14">
        <v>29641.993702929682</v>
      </c>
      <c r="E166" s="82">
        <f>_xlfn.FORECAST.LINEAR(Table15[[#This Row],[Date]],Table15[Units_Sold],Table15[Date])</f>
        <v>99.163057180228719</v>
      </c>
      <c r="F166" s="138">
        <f>Table15[[#This Row],[Average_Price]]/Table15[[#This Row],[Units_Sold]]</f>
        <v>318.7311150852654</v>
      </c>
      <c r="G166" cm="1">
        <f t="array" ref="G166">_xlfn.IFS(Table15[[#This Row],[Vehicle_Type]]="SUV",250,Table15[[#This Row],[Vehicle_Type]]="Sedan",200,Table15[[#This Row],[Vehicle_Type]]="Hatchback",185,Table15[[#This Row],[Vehicle_Type]]="Electric",190,Table15[[#This Row],[Vehicle_Type]]="Truck",150)</f>
        <v>190</v>
      </c>
      <c r="H166">
        <f t="shared" ca="1" si="4"/>
        <v>25</v>
      </c>
      <c r="I166">
        <f t="shared" ca="1" si="5"/>
        <v>9</v>
      </c>
      <c r="J166" s="81">
        <f ca="1">24/Table15[[#This Row],[Production_Hours]]</f>
        <v>2.6666666666666665</v>
      </c>
      <c r="K166" s="82">
        <f ca="1">(Table15[[#This Row],[Daily_Production]]*Table15[[#This Row],[Working_Days]]) -Table15[[#This Row],[Maintenance_Downtime]]</f>
        <v>4747.333333333333</v>
      </c>
    </row>
    <row r="167" spans="1:11">
      <c r="A167" s="54">
        <v>46955</v>
      </c>
      <c r="B167" s="15" t="s">
        <v>10</v>
      </c>
      <c r="C167" s="15">
        <v>108</v>
      </c>
      <c r="D167" s="15">
        <v>29813.888817450792</v>
      </c>
      <c r="E167" s="82">
        <f>_xlfn.FORECAST.LINEAR(Table15[[#This Row],[Date]],Table15[Units_Sold],Table15[Date])</f>
        <v>99.164658850635405</v>
      </c>
      <c r="F167" s="138">
        <f>Table15[[#This Row],[Average_Price]]/Table15[[#This Row],[Units_Sold]]</f>
        <v>276.05452608750733</v>
      </c>
      <c r="G167" cm="1">
        <f t="array" ref="G167">_xlfn.IFS(Table15[[#This Row],[Vehicle_Type]]="SUV",250,Table15[[#This Row],[Vehicle_Type]]="Sedan",200,Table15[[#This Row],[Vehicle_Type]]="Hatchback",185,Table15[[#This Row],[Vehicle_Type]]="Electric",190,Table15[[#This Row],[Vehicle_Type]]="Truck",150)</f>
        <v>200</v>
      </c>
      <c r="H167">
        <f t="shared" ca="1" si="4"/>
        <v>23</v>
      </c>
      <c r="I167">
        <f t="shared" ca="1" si="5"/>
        <v>11</v>
      </c>
      <c r="J167" s="81">
        <f ca="1">24/Table15[[#This Row],[Production_Hours]]</f>
        <v>2.1818181818181817</v>
      </c>
      <c r="K167" s="82">
        <f ca="1">(Table15[[#This Row],[Daily_Production]]*Table15[[#This Row],[Working_Days]]) -Table15[[#This Row],[Maintenance_Downtime]]</f>
        <v>4597.818181818182</v>
      </c>
    </row>
    <row r="168" spans="1:11">
      <c r="A168" s="53">
        <v>46985</v>
      </c>
      <c r="B168" s="14" t="s">
        <v>10</v>
      </c>
      <c r="C168" s="14">
        <v>96</v>
      </c>
      <c r="D168" s="14">
        <v>33638.147718184897</v>
      </c>
      <c r="E168" s="82">
        <f>_xlfn.FORECAST.LINEAR(Table15[[#This Row],[Date]],Table15[Units_Sold],Table15[Date])</f>
        <v>99.166260521042091</v>
      </c>
      <c r="F168" s="138">
        <f>Table15[[#This Row],[Average_Price]]/Table15[[#This Row],[Units_Sold]]</f>
        <v>350.39737206442601</v>
      </c>
      <c r="G168" cm="1">
        <f t="array" ref="G168">_xlfn.IFS(Table15[[#This Row],[Vehicle_Type]]="SUV",250,Table15[[#This Row],[Vehicle_Type]]="Sedan",200,Table15[[#This Row],[Vehicle_Type]]="Hatchback",185,Table15[[#This Row],[Vehicle_Type]]="Electric",190,Table15[[#This Row],[Vehicle_Type]]="Truck",150)</f>
        <v>200</v>
      </c>
      <c r="H168">
        <f t="shared" ca="1" si="4"/>
        <v>22</v>
      </c>
      <c r="I168">
        <f t="shared" ca="1" si="5"/>
        <v>10</v>
      </c>
      <c r="J168" s="81">
        <f ca="1">24/Table15[[#This Row],[Production_Hours]]</f>
        <v>2.4</v>
      </c>
      <c r="K168" s="82">
        <f ca="1">(Table15[[#This Row],[Daily_Production]]*Table15[[#This Row],[Working_Days]]) -Table15[[#This Row],[Maintenance_Downtime]]</f>
        <v>4397.6000000000004</v>
      </c>
    </row>
    <row r="169" spans="1:11">
      <c r="A169" s="54">
        <v>47015</v>
      </c>
      <c r="B169" s="15" t="s">
        <v>14</v>
      </c>
      <c r="C169" s="15">
        <v>95</v>
      </c>
      <c r="D169" s="15">
        <v>30259.729429036499</v>
      </c>
      <c r="E169" s="82">
        <f>_xlfn.FORECAST.LINEAR(Table15[[#This Row],[Date]],Table15[Units_Sold],Table15[Date])</f>
        <v>99.167862191448776</v>
      </c>
      <c r="F169" s="138">
        <f>Table15[[#This Row],[Average_Price]]/Table15[[#This Row],[Units_Sold]]</f>
        <v>318.5234676740684</v>
      </c>
      <c r="G169" cm="1">
        <f t="array" ref="G169">_xlfn.IFS(Table15[[#This Row],[Vehicle_Type]]="SUV",250,Table15[[#This Row],[Vehicle_Type]]="Sedan",200,Table15[[#This Row],[Vehicle_Type]]="Hatchback",185,Table15[[#This Row],[Vehicle_Type]]="Electric",190,Table15[[#This Row],[Vehicle_Type]]="Truck",150)</f>
        <v>150</v>
      </c>
      <c r="H169">
        <f t="shared" ca="1" si="4"/>
        <v>21</v>
      </c>
      <c r="I169">
        <f t="shared" ca="1" si="5"/>
        <v>8</v>
      </c>
      <c r="J169" s="81">
        <f ca="1">24/Table15[[#This Row],[Production_Hours]]</f>
        <v>3</v>
      </c>
      <c r="K169" s="82">
        <f ca="1">(Table15[[#This Row],[Daily_Production]]*Table15[[#This Row],[Working_Days]]) -Table15[[#This Row],[Maintenance_Downtime]]</f>
        <v>3147</v>
      </c>
    </row>
    <row r="170" spans="1:11">
      <c r="A170" s="53">
        <v>47045</v>
      </c>
      <c r="B170" s="14" t="s">
        <v>10</v>
      </c>
      <c r="C170" s="14">
        <v>112</v>
      </c>
      <c r="D170" s="14">
        <v>33663.200386077893</v>
      </c>
      <c r="E170" s="82">
        <f>_xlfn.FORECAST.LINEAR(Table15[[#This Row],[Date]],Table15[Units_Sold],Table15[Date])</f>
        <v>99.169463861855448</v>
      </c>
      <c r="F170" s="138">
        <f>Table15[[#This Row],[Average_Price]]/Table15[[#This Row],[Units_Sold]]</f>
        <v>300.56428916140976</v>
      </c>
      <c r="G170" cm="1">
        <f t="array" ref="G170">_xlfn.IFS(Table15[[#This Row],[Vehicle_Type]]="SUV",250,Table15[[#This Row],[Vehicle_Type]]="Sedan",200,Table15[[#This Row],[Vehicle_Type]]="Hatchback",185,Table15[[#This Row],[Vehicle_Type]]="Electric",190,Table15[[#This Row],[Vehicle_Type]]="Truck",150)</f>
        <v>200</v>
      </c>
      <c r="H170">
        <f t="shared" ca="1" si="4"/>
        <v>22</v>
      </c>
      <c r="I170">
        <f t="shared" ca="1" si="5"/>
        <v>10</v>
      </c>
      <c r="J170" s="81">
        <f ca="1">24/Table15[[#This Row],[Production_Hours]]</f>
        <v>2.4</v>
      </c>
      <c r="K170" s="82">
        <f ca="1">(Table15[[#This Row],[Daily_Production]]*Table15[[#This Row],[Working_Days]]) -Table15[[#This Row],[Maintenance_Downtime]]</f>
        <v>4397.6000000000004</v>
      </c>
    </row>
    <row r="171" spans="1:11">
      <c r="A171" s="54">
        <v>47075</v>
      </c>
      <c r="B171" s="15" t="s">
        <v>13</v>
      </c>
      <c r="C171" s="15">
        <v>108</v>
      </c>
      <c r="D171" s="15">
        <v>29596.417099457089</v>
      </c>
      <c r="E171" s="82">
        <f>_xlfn.FORECAST.LINEAR(Table15[[#This Row],[Date]],Table15[Units_Sold],Table15[Date])</f>
        <v>99.171065532262134</v>
      </c>
      <c r="F171" s="138">
        <f>Table15[[#This Row],[Average_Price]]/Table15[[#This Row],[Units_Sold]]</f>
        <v>274.0408990690471</v>
      </c>
      <c r="G171" cm="1">
        <f t="array" ref="G171">_xlfn.IFS(Table15[[#This Row],[Vehicle_Type]]="SUV",250,Table15[[#This Row],[Vehicle_Type]]="Sedan",200,Table15[[#This Row],[Vehicle_Type]]="Hatchback",185,Table15[[#This Row],[Vehicle_Type]]="Electric",190,Table15[[#This Row],[Vehicle_Type]]="Truck",150)</f>
        <v>190</v>
      </c>
      <c r="H171">
        <f t="shared" ca="1" si="4"/>
        <v>22</v>
      </c>
      <c r="I171">
        <f t="shared" ca="1" si="5"/>
        <v>10</v>
      </c>
      <c r="J171" s="81">
        <f ca="1">24/Table15[[#This Row],[Production_Hours]]</f>
        <v>2.4</v>
      </c>
      <c r="K171" s="82">
        <f ca="1">(Table15[[#This Row],[Daily_Production]]*Table15[[#This Row],[Working_Days]]) -Table15[[#This Row],[Maintenance_Downtime]]</f>
        <v>4177.6000000000004</v>
      </c>
    </row>
    <row r="172" spans="1:11">
      <c r="A172" s="53">
        <v>47105</v>
      </c>
      <c r="B172" s="14" t="s">
        <v>12</v>
      </c>
      <c r="C172" s="14">
        <v>85</v>
      </c>
      <c r="D172" s="14">
        <v>30393.175951580452</v>
      </c>
      <c r="E172" s="82">
        <f>_xlfn.FORECAST.LINEAR(Table15[[#This Row],[Date]],Table15[Units_Sold],Table15[Date])</f>
        <v>99.172667202668819</v>
      </c>
      <c r="F172" s="138">
        <f>Table15[[#This Row],[Average_Price]]/Table15[[#This Row],[Units_Sold]]</f>
        <v>357.56677590094648</v>
      </c>
      <c r="G172" cm="1">
        <f t="array" ref="G172">_xlfn.IFS(Table15[[#This Row],[Vehicle_Type]]="SUV",250,Table15[[#This Row],[Vehicle_Type]]="Sedan",200,Table15[[#This Row],[Vehicle_Type]]="Hatchback",185,Table15[[#This Row],[Vehicle_Type]]="Electric",190,Table15[[#This Row],[Vehicle_Type]]="Truck",150)</f>
        <v>250</v>
      </c>
      <c r="H172">
        <f t="shared" ca="1" si="4"/>
        <v>20</v>
      </c>
      <c r="I172">
        <f t="shared" ca="1" si="5"/>
        <v>10</v>
      </c>
      <c r="J172" s="81">
        <f ca="1">24/Table15[[#This Row],[Production_Hours]]</f>
        <v>2.4</v>
      </c>
      <c r="K172" s="82">
        <f ca="1">(Table15[[#This Row],[Daily_Production]]*Table15[[#This Row],[Working_Days]]) -Table15[[#This Row],[Maintenance_Downtime]]</f>
        <v>4997.6000000000004</v>
      </c>
    </row>
    <row r="173" spans="1:11">
      <c r="A173" s="54">
        <v>47135</v>
      </c>
      <c r="B173" s="15" t="s">
        <v>12</v>
      </c>
      <c r="C173" s="15">
        <v>100</v>
      </c>
      <c r="D173" s="15">
        <v>20008.996577339462</v>
      </c>
      <c r="E173" s="82">
        <f>_xlfn.FORECAST.LINEAR(Table15[[#This Row],[Date]],Table15[Units_Sold],Table15[Date])</f>
        <v>99.174268873075491</v>
      </c>
      <c r="F173" s="138">
        <f>Table15[[#This Row],[Average_Price]]/Table15[[#This Row],[Units_Sold]]</f>
        <v>200.08996577339462</v>
      </c>
      <c r="G173" cm="1">
        <f t="array" ref="G173">_xlfn.IFS(Table15[[#This Row],[Vehicle_Type]]="SUV",250,Table15[[#This Row],[Vehicle_Type]]="Sedan",200,Table15[[#This Row],[Vehicle_Type]]="Hatchback",185,Table15[[#This Row],[Vehicle_Type]]="Electric",190,Table15[[#This Row],[Vehicle_Type]]="Truck",150)</f>
        <v>250</v>
      </c>
      <c r="H173">
        <f t="shared" ca="1" si="4"/>
        <v>21</v>
      </c>
      <c r="I173">
        <f t="shared" ca="1" si="5"/>
        <v>11</v>
      </c>
      <c r="J173" s="81">
        <f ca="1">24/Table15[[#This Row],[Production_Hours]]</f>
        <v>2.1818181818181817</v>
      </c>
      <c r="K173" s="82">
        <f ca="1">(Table15[[#This Row],[Daily_Production]]*Table15[[#This Row],[Working_Days]]) -Table15[[#This Row],[Maintenance_Downtime]]</f>
        <v>5247.818181818182</v>
      </c>
    </row>
    <row r="174" spans="1:11">
      <c r="A174" s="53">
        <v>47165</v>
      </c>
      <c r="B174" s="14" t="s">
        <v>14</v>
      </c>
      <c r="C174" s="14">
        <v>95</v>
      </c>
      <c r="D174" s="14">
        <v>34581.638373512411</v>
      </c>
      <c r="E174" s="82">
        <f>_xlfn.FORECAST.LINEAR(Table15[[#This Row],[Date]],Table15[Units_Sold],Table15[Date])</f>
        <v>99.175870543482176</v>
      </c>
      <c r="F174" s="138">
        <f>Table15[[#This Row],[Average_Price]]/Table15[[#This Row],[Units_Sold]]</f>
        <v>364.01724603697272</v>
      </c>
      <c r="G174" cm="1">
        <f t="array" ref="G174">_xlfn.IFS(Table15[[#This Row],[Vehicle_Type]]="SUV",250,Table15[[#This Row],[Vehicle_Type]]="Sedan",200,Table15[[#This Row],[Vehicle_Type]]="Hatchback",185,Table15[[#This Row],[Vehicle_Type]]="Electric",190,Table15[[#This Row],[Vehicle_Type]]="Truck",150)</f>
        <v>150</v>
      </c>
      <c r="H174">
        <f t="shared" ca="1" si="4"/>
        <v>22</v>
      </c>
      <c r="I174">
        <f t="shared" ca="1" si="5"/>
        <v>9</v>
      </c>
      <c r="J174" s="81">
        <f ca="1">24/Table15[[#This Row],[Production_Hours]]</f>
        <v>2.6666666666666665</v>
      </c>
      <c r="K174" s="82">
        <f ca="1">(Table15[[#This Row],[Daily_Production]]*Table15[[#This Row],[Working_Days]]) -Table15[[#This Row],[Maintenance_Downtime]]</f>
        <v>3297.3333333333335</v>
      </c>
    </row>
    <row r="175" spans="1:11">
      <c r="A175" s="54">
        <v>47195</v>
      </c>
      <c r="B175" s="15" t="s">
        <v>13</v>
      </c>
      <c r="C175" s="15">
        <v>97</v>
      </c>
      <c r="D175" s="15">
        <v>31732.442379489963</v>
      </c>
      <c r="E175" s="82">
        <f>_xlfn.FORECAST.LINEAR(Table15[[#This Row],[Date]],Table15[Units_Sold],Table15[Date])</f>
        <v>99.177472213888862</v>
      </c>
      <c r="F175" s="138">
        <f>Table15[[#This Row],[Average_Price]]/Table15[[#This Row],[Units_Sold]]</f>
        <v>327.13858123185531</v>
      </c>
      <c r="G175" cm="1">
        <f t="array" ref="G175">_xlfn.IFS(Table15[[#This Row],[Vehicle_Type]]="SUV",250,Table15[[#This Row],[Vehicle_Type]]="Sedan",200,Table15[[#This Row],[Vehicle_Type]]="Hatchback",185,Table15[[#This Row],[Vehicle_Type]]="Electric",190,Table15[[#This Row],[Vehicle_Type]]="Truck",150)</f>
        <v>190</v>
      </c>
      <c r="H175">
        <f t="shared" ca="1" si="4"/>
        <v>21</v>
      </c>
      <c r="I175">
        <f t="shared" ca="1" si="5"/>
        <v>8</v>
      </c>
      <c r="J175" s="81">
        <f ca="1">24/Table15[[#This Row],[Production_Hours]]</f>
        <v>3</v>
      </c>
      <c r="K175" s="82">
        <f ca="1">(Table15[[#This Row],[Daily_Production]]*Table15[[#This Row],[Working_Days]]) -Table15[[#This Row],[Maintenance_Downtime]]</f>
        <v>3987</v>
      </c>
    </row>
    <row r="176" spans="1:11">
      <c r="A176" s="53">
        <v>47225</v>
      </c>
      <c r="B176" s="14" t="s">
        <v>12</v>
      </c>
      <c r="C176" s="14">
        <v>116</v>
      </c>
      <c r="D176" s="14">
        <v>34990.050549298263</v>
      </c>
      <c r="E176" s="82">
        <f>_xlfn.FORECAST.LINEAR(Table15[[#This Row],[Date]],Table15[Units_Sold],Table15[Date])</f>
        <v>99.179073884295548</v>
      </c>
      <c r="F176" s="138">
        <f>Table15[[#This Row],[Average_Price]]/Table15[[#This Row],[Units_Sold]]</f>
        <v>301.63836680429534</v>
      </c>
      <c r="G176" cm="1">
        <f t="array" ref="G176">_xlfn.IFS(Table15[[#This Row],[Vehicle_Type]]="SUV",250,Table15[[#This Row],[Vehicle_Type]]="Sedan",200,Table15[[#This Row],[Vehicle_Type]]="Hatchback",185,Table15[[#This Row],[Vehicle_Type]]="Electric",190,Table15[[#This Row],[Vehicle_Type]]="Truck",150)</f>
        <v>250</v>
      </c>
      <c r="H176">
        <f t="shared" ca="1" si="4"/>
        <v>20</v>
      </c>
      <c r="I176">
        <f t="shared" ca="1" si="5"/>
        <v>8</v>
      </c>
      <c r="J176" s="81">
        <f ca="1">24/Table15[[#This Row],[Production_Hours]]</f>
        <v>3</v>
      </c>
      <c r="K176" s="82">
        <f ca="1">(Table15[[#This Row],[Daily_Production]]*Table15[[#This Row],[Working_Days]]) -Table15[[#This Row],[Maintenance_Downtime]]</f>
        <v>4997</v>
      </c>
    </row>
    <row r="177" spans="1:11">
      <c r="A177" s="54">
        <v>47255</v>
      </c>
      <c r="B177" s="15" t="s">
        <v>11</v>
      </c>
      <c r="C177" s="15">
        <v>95</v>
      </c>
      <c r="D177" s="15">
        <v>30949.702720000001</v>
      </c>
      <c r="E177" s="82">
        <f>_xlfn.FORECAST.LINEAR(Table15[[#This Row],[Date]],Table15[Units_Sold],Table15[Date])</f>
        <v>99.180675554702219</v>
      </c>
      <c r="F177" s="138">
        <f>Table15[[#This Row],[Average_Price]]/Table15[[#This Row],[Units_Sold]]</f>
        <v>325.78634442105266</v>
      </c>
      <c r="G177" cm="1">
        <f t="array" ref="G177">_xlfn.IFS(Table15[[#This Row],[Vehicle_Type]]="SUV",250,Table15[[#This Row],[Vehicle_Type]]="Sedan",200,Table15[[#This Row],[Vehicle_Type]]="Hatchback",185,Table15[[#This Row],[Vehicle_Type]]="Electric",190,Table15[[#This Row],[Vehicle_Type]]="Truck",150)</f>
        <v>185</v>
      </c>
      <c r="H177">
        <f t="shared" ca="1" si="4"/>
        <v>24</v>
      </c>
      <c r="I177">
        <f t="shared" ca="1" si="5"/>
        <v>8</v>
      </c>
      <c r="J177" s="81">
        <f ca="1">24/Table15[[#This Row],[Production_Hours]]</f>
        <v>3</v>
      </c>
      <c r="K177" s="82">
        <f ca="1">(Table15[[#This Row],[Daily_Production]]*Table15[[#This Row],[Working_Days]]) -Table15[[#This Row],[Maintenance_Downtime]]</f>
        <v>4437</v>
      </c>
    </row>
    <row r="178" spans="1:11">
      <c r="A178" s="53">
        <v>47285</v>
      </c>
      <c r="B178" s="14" t="s">
        <v>13</v>
      </c>
      <c r="C178" s="14">
        <v>123</v>
      </c>
      <c r="D178" s="14">
        <v>40441.87352390364</v>
      </c>
      <c r="E178" s="82">
        <f>_xlfn.FORECAST.LINEAR(Table15[[#This Row],[Date]],Table15[Units_Sold],Table15[Date])</f>
        <v>99.182277225108905</v>
      </c>
      <c r="F178" s="138">
        <f>Table15[[#This Row],[Average_Price]]/Table15[[#This Row],[Units_Sold]]</f>
        <v>328.79571970653365</v>
      </c>
      <c r="G178" cm="1">
        <f t="array" ref="G178">_xlfn.IFS(Table15[[#This Row],[Vehicle_Type]]="SUV",250,Table15[[#This Row],[Vehicle_Type]]="Sedan",200,Table15[[#This Row],[Vehicle_Type]]="Hatchback",185,Table15[[#This Row],[Vehicle_Type]]="Electric",190,Table15[[#This Row],[Vehicle_Type]]="Truck",150)</f>
        <v>190</v>
      </c>
      <c r="H178">
        <f t="shared" ca="1" si="4"/>
        <v>24</v>
      </c>
      <c r="I178">
        <f t="shared" ca="1" si="5"/>
        <v>8</v>
      </c>
      <c r="J178" s="81">
        <f ca="1">24/Table15[[#This Row],[Production_Hours]]</f>
        <v>3</v>
      </c>
      <c r="K178" s="82">
        <f ca="1">(Table15[[#This Row],[Daily_Production]]*Table15[[#This Row],[Working_Days]]) -Table15[[#This Row],[Maintenance_Downtime]]</f>
        <v>4557</v>
      </c>
    </row>
    <row r="179" spans="1:11">
      <c r="A179" s="54">
        <v>47315</v>
      </c>
      <c r="B179" s="15" t="s">
        <v>13</v>
      </c>
      <c r="C179" s="15">
        <v>104</v>
      </c>
      <c r="D179" s="15">
        <v>29302.051859224131</v>
      </c>
      <c r="E179" s="82">
        <f>_xlfn.FORECAST.LINEAR(Table15[[#This Row],[Date]],Table15[Units_Sold],Table15[Date])</f>
        <v>99.183878895515591</v>
      </c>
      <c r="F179" s="138">
        <f>Table15[[#This Row],[Average_Price]]/Table15[[#This Row],[Units_Sold]]</f>
        <v>281.75049864638589</v>
      </c>
      <c r="G179" cm="1">
        <f t="array" ref="G179">_xlfn.IFS(Table15[[#This Row],[Vehicle_Type]]="SUV",250,Table15[[#This Row],[Vehicle_Type]]="Sedan",200,Table15[[#This Row],[Vehicle_Type]]="Hatchback",185,Table15[[#This Row],[Vehicle_Type]]="Electric",190,Table15[[#This Row],[Vehicle_Type]]="Truck",150)</f>
        <v>190</v>
      </c>
      <c r="H179">
        <f t="shared" ca="1" si="4"/>
        <v>25</v>
      </c>
      <c r="I179">
        <f t="shared" ca="1" si="5"/>
        <v>9</v>
      </c>
      <c r="J179" s="81">
        <f ca="1">24/Table15[[#This Row],[Production_Hours]]</f>
        <v>2.6666666666666665</v>
      </c>
      <c r="K179" s="82">
        <f ca="1">(Table15[[#This Row],[Daily_Production]]*Table15[[#This Row],[Working_Days]]) -Table15[[#This Row],[Maintenance_Downtime]]</f>
        <v>4747.333333333333</v>
      </c>
    </row>
    <row r="180" spans="1:11">
      <c r="A180" s="53">
        <v>47345</v>
      </c>
      <c r="B180" s="14" t="s">
        <v>14</v>
      </c>
      <c r="C180" s="14">
        <v>94</v>
      </c>
      <c r="D180" s="14">
        <v>35540.914083687581</v>
      </c>
      <c r="E180" s="82">
        <f>_xlfn.FORECAST.LINEAR(Table15[[#This Row],[Date]],Table15[Units_Sold],Table15[Date])</f>
        <v>99.185480565922262</v>
      </c>
      <c r="F180" s="138">
        <f>Table15[[#This Row],[Average_Price]]/Table15[[#This Row],[Units_Sold]]</f>
        <v>378.09483067752745</v>
      </c>
      <c r="G180" cm="1">
        <f t="array" ref="G180">_xlfn.IFS(Table15[[#This Row],[Vehicle_Type]]="SUV",250,Table15[[#This Row],[Vehicle_Type]]="Sedan",200,Table15[[#This Row],[Vehicle_Type]]="Hatchback",185,Table15[[#This Row],[Vehicle_Type]]="Electric",190,Table15[[#This Row],[Vehicle_Type]]="Truck",150)</f>
        <v>150</v>
      </c>
      <c r="H180">
        <f t="shared" ca="1" si="4"/>
        <v>25</v>
      </c>
      <c r="I180">
        <f t="shared" ca="1" si="5"/>
        <v>9</v>
      </c>
      <c r="J180" s="81">
        <f ca="1">24/Table15[[#This Row],[Production_Hours]]</f>
        <v>2.6666666666666665</v>
      </c>
      <c r="K180" s="82">
        <f ca="1">(Table15[[#This Row],[Daily_Production]]*Table15[[#This Row],[Working_Days]]) -Table15[[#This Row],[Maintenance_Downtime]]</f>
        <v>3747.3333333333335</v>
      </c>
    </row>
    <row r="181" spans="1:11">
      <c r="A181" s="54">
        <v>47375</v>
      </c>
      <c r="B181" s="15" t="s">
        <v>12</v>
      </c>
      <c r="C181" s="15">
        <v>105</v>
      </c>
      <c r="D181" s="15">
        <v>24800.470364372348</v>
      </c>
      <c r="E181" s="82">
        <f>_xlfn.FORECAST.LINEAR(Table15[[#This Row],[Date]],Table15[Units_Sold],Table15[Date])</f>
        <v>99.187082236328948</v>
      </c>
      <c r="F181" s="138">
        <f>Table15[[#This Row],[Average_Price]]/Table15[[#This Row],[Units_Sold]]</f>
        <v>236.19495585116522</v>
      </c>
      <c r="G181" cm="1">
        <f t="array" ref="G181">_xlfn.IFS(Table15[[#This Row],[Vehicle_Type]]="SUV",250,Table15[[#This Row],[Vehicle_Type]]="Sedan",200,Table15[[#This Row],[Vehicle_Type]]="Hatchback",185,Table15[[#This Row],[Vehicle_Type]]="Electric",190,Table15[[#This Row],[Vehicle_Type]]="Truck",150)</f>
        <v>250</v>
      </c>
      <c r="H181">
        <f t="shared" ca="1" si="4"/>
        <v>21</v>
      </c>
      <c r="I181">
        <f t="shared" ca="1" si="5"/>
        <v>8</v>
      </c>
      <c r="J181" s="81">
        <f ca="1">24/Table15[[#This Row],[Production_Hours]]</f>
        <v>3</v>
      </c>
      <c r="K181" s="82">
        <f ca="1">(Table15[[#This Row],[Daily_Production]]*Table15[[#This Row],[Working_Days]]) -Table15[[#This Row],[Maintenance_Downtime]]</f>
        <v>5247</v>
      </c>
    </row>
    <row r="182" spans="1:11">
      <c r="A182" s="53">
        <v>47405</v>
      </c>
      <c r="B182" s="14" t="s">
        <v>13</v>
      </c>
      <c r="C182" s="14">
        <v>109</v>
      </c>
      <c r="D182" s="14">
        <v>33063.869525312846</v>
      </c>
      <c r="E182" s="82">
        <f>_xlfn.FORECAST.LINEAR(Table15[[#This Row],[Date]],Table15[Units_Sold],Table15[Date])</f>
        <v>99.188683906735633</v>
      </c>
      <c r="F182" s="138">
        <f>Table15[[#This Row],[Average_Price]]/Table15[[#This Row],[Units_Sold]]</f>
        <v>303.33825252580596</v>
      </c>
      <c r="G182" cm="1">
        <f t="array" ref="G182">_xlfn.IFS(Table15[[#This Row],[Vehicle_Type]]="SUV",250,Table15[[#This Row],[Vehicle_Type]]="Sedan",200,Table15[[#This Row],[Vehicle_Type]]="Hatchback",185,Table15[[#This Row],[Vehicle_Type]]="Electric",190,Table15[[#This Row],[Vehicle_Type]]="Truck",150)</f>
        <v>190</v>
      </c>
      <c r="H182">
        <f t="shared" ca="1" si="4"/>
        <v>22</v>
      </c>
      <c r="I182">
        <f t="shared" ca="1" si="5"/>
        <v>8</v>
      </c>
      <c r="J182" s="81">
        <f ca="1">24/Table15[[#This Row],[Production_Hours]]</f>
        <v>3</v>
      </c>
      <c r="K182" s="82">
        <f ca="1">(Table15[[#This Row],[Daily_Production]]*Table15[[#This Row],[Working_Days]]) -Table15[[#This Row],[Maintenance_Downtime]]</f>
        <v>4177</v>
      </c>
    </row>
    <row r="183" spans="1:11">
      <c r="A183" s="54">
        <v>47435</v>
      </c>
      <c r="B183" s="15" t="s">
        <v>12</v>
      </c>
      <c r="C183" s="15">
        <v>84</v>
      </c>
      <c r="D183" s="15">
        <v>24732.922184131719</v>
      </c>
      <c r="E183" s="82">
        <f>_xlfn.FORECAST.LINEAR(Table15[[#This Row],[Date]],Table15[Units_Sold],Table15[Date])</f>
        <v>99.190285577142319</v>
      </c>
      <c r="F183" s="138">
        <f>Table15[[#This Row],[Average_Price]]/Table15[[#This Row],[Units_Sold]]</f>
        <v>294.43954981109192</v>
      </c>
      <c r="G183" cm="1">
        <f t="array" ref="G183">_xlfn.IFS(Table15[[#This Row],[Vehicle_Type]]="SUV",250,Table15[[#This Row],[Vehicle_Type]]="Sedan",200,Table15[[#This Row],[Vehicle_Type]]="Hatchback",185,Table15[[#This Row],[Vehicle_Type]]="Electric",190,Table15[[#This Row],[Vehicle_Type]]="Truck",150)</f>
        <v>250</v>
      </c>
      <c r="H183">
        <f t="shared" ca="1" si="4"/>
        <v>25</v>
      </c>
      <c r="I183">
        <f t="shared" ca="1" si="5"/>
        <v>10</v>
      </c>
      <c r="J183" s="81">
        <f ca="1">24/Table15[[#This Row],[Production_Hours]]</f>
        <v>2.4</v>
      </c>
      <c r="K183" s="82">
        <f ca="1">(Table15[[#This Row],[Daily_Production]]*Table15[[#This Row],[Working_Days]]) -Table15[[#This Row],[Maintenance_Downtime]]</f>
        <v>6247.6</v>
      </c>
    </row>
    <row r="184" spans="1:11">
      <c r="A184" s="53">
        <v>47465</v>
      </c>
      <c r="B184" s="14" t="s">
        <v>11</v>
      </c>
      <c r="C184" s="14">
        <v>79</v>
      </c>
      <c r="D184" s="14">
        <v>26881.155196520973</v>
      </c>
      <c r="E184" s="82">
        <f>_xlfn.FORECAST.LINEAR(Table15[[#This Row],[Date]],Table15[Units_Sold],Table15[Date])</f>
        <v>99.191887247548991</v>
      </c>
      <c r="F184" s="138">
        <f>Table15[[#This Row],[Average_Price]]/Table15[[#This Row],[Units_Sold]]</f>
        <v>340.26778729773383</v>
      </c>
      <c r="G184" cm="1">
        <f t="array" ref="G184">_xlfn.IFS(Table15[[#This Row],[Vehicle_Type]]="SUV",250,Table15[[#This Row],[Vehicle_Type]]="Sedan",200,Table15[[#This Row],[Vehicle_Type]]="Hatchback",185,Table15[[#This Row],[Vehicle_Type]]="Electric",190,Table15[[#This Row],[Vehicle_Type]]="Truck",150)</f>
        <v>185</v>
      </c>
      <c r="H184">
        <f t="shared" ca="1" si="4"/>
        <v>25</v>
      </c>
      <c r="I184">
        <f t="shared" ca="1" si="5"/>
        <v>11</v>
      </c>
      <c r="J184" s="81">
        <f ca="1">24/Table15[[#This Row],[Production_Hours]]</f>
        <v>2.1818181818181817</v>
      </c>
      <c r="K184" s="82">
        <f ca="1">(Table15[[#This Row],[Daily_Production]]*Table15[[#This Row],[Working_Days]]) -Table15[[#This Row],[Maintenance_Downtime]]</f>
        <v>4622.818181818182</v>
      </c>
    </row>
    <row r="185" spans="1:11">
      <c r="A185" s="54">
        <v>47495</v>
      </c>
      <c r="B185" s="15" t="s">
        <v>14</v>
      </c>
      <c r="C185" s="15">
        <v>98</v>
      </c>
      <c r="D185" s="15">
        <v>39570.156769333931</v>
      </c>
      <c r="E185" s="82">
        <f>_xlfn.FORECAST.LINEAR(Table15[[#This Row],[Date]],Table15[Units_Sold],Table15[Date])</f>
        <v>99.193488917955676</v>
      </c>
      <c r="F185" s="138">
        <f>Table15[[#This Row],[Average_Price]]/Table15[[#This Row],[Units_Sold]]</f>
        <v>403.77710989116258</v>
      </c>
      <c r="G185" cm="1">
        <f t="array" ref="G185">_xlfn.IFS(Table15[[#This Row],[Vehicle_Type]]="SUV",250,Table15[[#This Row],[Vehicle_Type]]="Sedan",200,Table15[[#This Row],[Vehicle_Type]]="Hatchback",185,Table15[[#This Row],[Vehicle_Type]]="Electric",190,Table15[[#This Row],[Vehicle_Type]]="Truck",150)</f>
        <v>150</v>
      </c>
      <c r="H185">
        <f t="shared" ca="1" si="4"/>
        <v>24</v>
      </c>
      <c r="I185">
        <f t="shared" ca="1" si="5"/>
        <v>8</v>
      </c>
      <c r="J185" s="81">
        <f ca="1">24/Table15[[#This Row],[Production_Hours]]</f>
        <v>3</v>
      </c>
      <c r="K185" s="82">
        <f ca="1">(Table15[[#This Row],[Daily_Production]]*Table15[[#This Row],[Working_Days]]) -Table15[[#This Row],[Maintenance_Downtime]]</f>
        <v>3597</v>
      </c>
    </row>
    <row r="186" spans="1:11">
      <c r="A186" s="53">
        <v>47525</v>
      </c>
      <c r="B186" s="14" t="s">
        <v>11</v>
      </c>
      <c r="C186" s="14">
        <v>96</v>
      </c>
      <c r="D186" s="14">
        <v>29046.587996183269</v>
      </c>
      <c r="E186" s="82">
        <f>_xlfn.FORECAST.LINEAR(Table15[[#This Row],[Date]],Table15[Units_Sold],Table15[Date])</f>
        <v>99.195090588362362</v>
      </c>
      <c r="F186" s="138">
        <f>Table15[[#This Row],[Average_Price]]/Table15[[#This Row],[Units_Sold]]</f>
        <v>302.5686249602424</v>
      </c>
      <c r="G186" cm="1">
        <f t="array" ref="G186">_xlfn.IFS(Table15[[#This Row],[Vehicle_Type]]="SUV",250,Table15[[#This Row],[Vehicle_Type]]="Sedan",200,Table15[[#This Row],[Vehicle_Type]]="Hatchback",185,Table15[[#This Row],[Vehicle_Type]]="Electric",190,Table15[[#This Row],[Vehicle_Type]]="Truck",150)</f>
        <v>185</v>
      </c>
      <c r="H186">
        <f t="shared" ca="1" si="4"/>
        <v>23</v>
      </c>
      <c r="I186">
        <f t="shared" ca="1" si="5"/>
        <v>10</v>
      </c>
      <c r="J186" s="81">
        <f ca="1">24/Table15[[#This Row],[Production_Hours]]</f>
        <v>2.4</v>
      </c>
      <c r="K186" s="82">
        <f ca="1">(Table15[[#This Row],[Daily_Production]]*Table15[[#This Row],[Working_Days]]) -Table15[[#This Row],[Maintenance_Downtime]]</f>
        <v>4252.6000000000004</v>
      </c>
    </row>
    <row r="187" spans="1:11">
      <c r="A187" s="54">
        <v>47555</v>
      </c>
      <c r="B187" s="15" t="s">
        <v>14</v>
      </c>
      <c r="C187" s="15">
        <v>88</v>
      </c>
      <c r="D187" s="15">
        <v>31087.164365898614</v>
      </c>
      <c r="E187" s="82">
        <f>_xlfn.FORECAST.LINEAR(Table15[[#This Row],[Date]],Table15[Units_Sold],Table15[Date])</f>
        <v>99.196692258769033</v>
      </c>
      <c r="F187" s="138">
        <f>Table15[[#This Row],[Average_Price]]/Table15[[#This Row],[Units_Sold]]</f>
        <v>353.26323143066605</v>
      </c>
      <c r="G187" cm="1">
        <f t="array" ref="G187">_xlfn.IFS(Table15[[#This Row],[Vehicle_Type]]="SUV",250,Table15[[#This Row],[Vehicle_Type]]="Sedan",200,Table15[[#This Row],[Vehicle_Type]]="Hatchback",185,Table15[[#This Row],[Vehicle_Type]]="Electric",190,Table15[[#This Row],[Vehicle_Type]]="Truck",150)</f>
        <v>150</v>
      </c>
      <c r="H187">
        <f t="shared" ca="1" si="4"/>
        <v>23</v>
      </c>
      <c r="I187">
        <f t="shared" ca="1" si="5"/>
        <v>8</v>
      </c>
      <c r="J187" s="81">
        <f ca="1">24/Table15[[#This Row],[Production_Hours]]</f>
        <v>3</v>
      </c>
      <c r="K187" s="82">
        <f ca="1">(Table15[[#This Row],[Daily_Production]]*Table15[[#This Row],[Working_Days]]) -Table15[[#This Row],[Maintenance_Downtime]]</f>
        <v>3447</v>
      </c>
    </row>
    <row r="188" spans="1:11">
      <c r="A188" s="53">
        <v>47585</v>
      </c>
      <c r="B188" s="14" t="s">
        <v>13</v>
      </c>
      <c r="C188" s="14">
        <v>103</v>
      </c>
      <c r="D188" s="14">
        <v>34350.338653443774</v>
      </c>
      <c r="E188" s="82">
        <f>_xlfn.FORECAST.LINEAR(Table15[[#This Row],[Date]],Table15[Units_Sold],Table15[Date])</f>
        <v>99.198293929175719</v>
      </c>
      <c r="F188" s="138">
        <f>Table15[[#This Row],[Average_Price]]/Table15[[#This Row],[Units_Sold]]</f>
        <v>333.49843352858034</v>
      </c>
      <c r="G188" cm="1">
        <f t="array" ref="G188">_xlfn.IFS(Table15[[#This Row],[Vehicle_Type]]="SUV",250,Table15[[#This Row],[Vehicle_Type]]="Sedan",200,Table15[[#This Row],[Vehicle_Type]]="Hatchback",185,Table15[[#This Row],[Vehicle_Type]]="Electric",190,Table15[[#This Row],[Vehicle_Type]]="Truck",150)</f>
        <v>190</v>
      </c>
      <c r="H188">
        <f t="shared" ca="1" si="4"/>
        <v>24</v>
      </c>
      <c r="I188">
        <f t="shared" ca="1" si="5"/>
        <v>12</v>
      </c>
      <c r="J188" s="81">
        <f ca="1">24/Table15[[#This Row],[Production_Hours]]</f>
        <v>2</v>
      </c>
      <c r="K188" s="82">
        <f ca="1">(Table15[[#This Row],[Daily_Production]]*Table15[[#This Row],[Working_Days]]) -Table15[[#This Row],[Maintenance_Downtime]]</f>
        <v>4558</v>
      </c>
    </row>
    <row r="189" spans="1:11">
      <c r="A189" s="54">
        <v>47615</v>
      </c>
      <c r="B189" s="15" t="s">
        <v>14</v>
      </c>
      <c r="C189" s="15">
        <v>83</v>
      </c>
      <c r="D189" s="15">
        <v>32478.409439863022</v>
      </c>
      <c r="E189" s="82">
        <f>_xlfn.FORECAST.LINEAR(Table15[[#This Row],[Date]],Table15[Units_Sold],Table15[Date])</f>
        <v>99.199895599582405</v>
      </c>
      <c r="F189" s="138">
        <f>Table15[[#This Row],[Average_Price]]/Table15[[#This Row],[Units_Sold]]</f>
        <v>391.30613782967498</v>
      </c>
      <c r="G189" cm="1">
        <f t="array" ref="G189">_xlfn.IFS(Table15[[#This Row],[Vehicle_Type]]="SUV",250,Table15[[#This Row],[Vehicle_Type]]="Sedan",200,Table15[[#This Row],[Vehicle_Type]]="Hatchback",185,Table15[[#This Row],[Vehicle_Type]]="Electric",190,Table15[[#This Row],[Vehicle_Type]]="Truck",150)</f>
        <v>150</v>
      </c>
      <c r="H189">
        <f t="shared" ca="1" si="4"/>
        <v>20</v>
      </c>
      <c r="I189">
        <f t="shared" ca="1" si="5"/>
        <v>8</v>
      </c>
      <c r="J189" s="81">
        <f ca="1">24/Table15[[#This Row],[Production_Hours]]</f>
        <v>3</v>
      </c>
      <c r="K189" s="82">
        <f ca="1">(Table15[[#This Row],[Daily_Production]]*Table15[[#This Row],[Working_Days]]) -Table15[[#This Row],[Maintenance_Downtime]]</f>
        <v>2997</v>
      </c>
    </row>
    <row r="190" spans="1:11">
      <c r="A190" s="53">
        <v>47645</v>
      </c>
      <c r="B190" s="14" t="s">
        <v>10</v>
      </c>
      <c r="C190" s="14">
        <v>82</v>
      </c>
      <c r="D190" s="14">
        <v>30752.094525717883</v>
      </c>
      <c r="E190" s="82">
        <f>_xlfn.FORECAST.LINEAR(Table15[[#This Row],[Date]],Table15[Units_Sold],Table15[Date])</f>
        <v>99.20149726998909</v>
      </c>
      <c r="F190" s="138">
        <f>Table15[[#This Row],[Average_Price]]/Table15[[#This Row],[Units_Sold]]</f>
        <v>375.02554299655952</v>
      </c>
      <c r="G190" cm="1">
        <f t="array" ref="G190">_xlfn.IFS(Table15[[#This Row],[Vehicle_Type]]="SUV",250,Table15[[#This Row],[Vehicle_Type]]="Sedan",200,Table15[[#This Row],[Vehicle_Type]]="Hatchback",185,Table15[[#This Row],[Vehicle_Type]]="Electric",190,Table15[[#This Row],[Vehicle_Type]]="Truck",150)</f>
        <v>200</v>
      </c>
      <c r="H190">
        <f t="shared" ca="1" si="4"/>
        <v>21</v>
      </c>
      <c r="I190">
        <f t="shared" ca="1" si="5"/>
        <v>12</v>
      </c>
      <c r="J190" s="81">
        <f ca="1">24/Table15[[#This Row],[Production_Hours]]</f>
        <v>2</v>
      </c>
      <c r="K190" s="82">
        <f ca="1">(Table15[[#This Row],[Daily_Production]]*Table15[[#This Row],[Working_Days]]) -Table15[[#This Row],[Maintenance_Downtime]]</f>
        <v>4198</v>
      </c>
    </row>
    <row r="191" spans="1:11">
      <c r="A191" s="54">
        <v>47675</v>
      </c>
      <c r="B191" s="15" t="s">
        <v>12</v>
      </c>
      <c r="C191" s="15">
        <v>106</v>
      </c>
      <c r="D191" s="15">
        <v>31824.805012331126</v>
      </c>
      <c r="E191" s="82">
        <f>_xlfn.FORECAST.LINEAR(Table15[[#This Row],[Date]],Table15[Units_Sold],Table15[Date])</f>
        <v>99.203098940395762</v>
      </c>
      <c r="F191" s="138">
        <f>Table15[[#This Row],[Average_Price]]/Table15[[#This Row],[Units_Sold]]</f>
        <v>300.23400955029365</v>
      </c>
      <c r="G191" cm="1">
        <f t="array" ref="G191">_xlfn.IFS(Table15[[#This Row],[Vehicle_Type]]="SUV",250,Table15[[#This Row],[Vehicle_Type]]="Sedan",200,Table15[[#This Row],[Vehicle_Type]]="Hatchback",185,Table15[[#This Row],[Vehicle_Type]]="Electric",190,Table15[[#This Row],[Vehicle_Type]]="Truck",150)</f>
        <v>250</v>
      </c>
      <c r="H191">
        <f t="shared" ca="1" si="4"/>
        <v>23</v>
      </c>
      <c r="I191">
        <f t="shared" ca="1" si="5"/>
        <v>9</v>
      </c>
      <c r="J191" s="81">
        <f ca="1">24/Table15[[#This Row],[Production_Hours]]</f>
        <v>2.6666666666666665</v>
      </c>
      <c r="K191" s="82">
        <f ca="1">(Table15[[#This Row],[Daily_Production]]*Table15[[#This Row],[Working_Days]]) -Table15[[#This Row],[Maintenance_Downtime]]</f>
        <v>5747.333333333333</v>
      </c>
    </row>
    <row r="192" spans="1:11">
      <c r="A192" s="53">
        <v>47705</v>
      </c>
      <c r="B192" s="14" t="s">
        <v>12</v>
      </c>
      <c r="C192" s="14">
        <v>96</v>
      </c>
      <c r="D192" s="14">
        <v>42017.077926191378</v>
      </c>
      <c r="E192" s="82">
        <f>_xlfn.FORECAST.LINEAR(Table15[[#This Row],[Date]],Table15[Units_Sold],Table15[Date])</f>
        <v>99.204700610802448</v>
      </c>
      <c r="F192" s="138">
        <f>Table15[[#This Row],[Average_Price]]/Table15[[#This Row],[Units_Sold]]</f>
        <v>437.6778950644935</v>
      </c>
      <c r="G192" cm="1">
        <f t="array" ref="G192">_xlfn.IFS(Table15[[#This Row],[Vehicle_Type]]="SUV",250,Table15[[#This Row],[Vehicle_Type]]="Sedan",200,Table15[[#This Row],[Vehicle_Type]]="Hatchback",185,Table15[[#This Row],[Vehicle_Type]]="Electric",190,Table15[[#This Row],[Vehicle_Type]]="Truck",150)</f>
        <v>250</v>
      </c>
      <c r="H192">
        <f t="shared" ca="1" si="4"/>
        <v>25</v>
      </c>
      <c r="I192">
        <f t="shared" ca="1" si="5"/>
        <v>11</v>
      </c>
      <c r="J192" s="81">
        <f ca="1">24/Table15[[#This Row],[Production_Hours]]</f>
        <v>2.1818181818181817</v>
      </c>
      <c r="K192" s="82">
        <f ca="1">(Table15[[#This Row],[Daily_Production]]*Table15[[#This Row],[Working_Days]]) -Table15[[#This Row],[Maintenance_Downtime]]</f>
        <v>6247.818181818182</v>
      </c>
    </row>
    <row r="193" spans="1:11">
      <c r="A193" s="54">
        <v>47735</v>
      </c>
      <c r="B193" s="15" t="s">
        <v>10</v>
      </c>
      <c r="C193" s="15">
        <v>96</v>
      </c>
      <c r="D193" s="15">
        <v>29711.906014832071</v>
      </c>
      <c r="E193" s="82">
        <f>_xlfn.FORECAST.LINEAR(Table15[[#This Row],[Date]],Table15[Units_Sold],Table15[Date])</f>
        <v>99.206302281209133</v>
      </c>
      <c r="F193" s="138">
        <f>Table15[[#This Row],[Average_Price]]/Table15[[#This Row],[Units_Sold]]</f>
        <v>309.49902098783406</v>
      </c>
      <c r="G193" cm="1">
        <f t="array" ref="G193">_xlfn.IFS(Table15[[#This Row],[Vehicle_Type]]="SUV",250,Table15[[#This Row],[Vehicle_Type]]="Sedan",200,Table15[[#This Row],[Vehicle_Type]]="Hatchback",185,Table15[[#This Row],[Vehicle_Type]]="Electric",190,Table15[[#This Row],[Vehicle_Type]]="Truck",150)</f>
        <v>200</v>
      </c>
      <c r="H193">
        <f t="shared" ca="1" si="4"/>
        <v>23</v>
      </c>
      <c r="I193">
        <f t="shared" ca="1" si="5"/>
        <v>10</v>
      </c>
      <c r="J193" s="81">
        <f ca="1">24/Table15[[#This Row],[Production_Hours]]</f>
        <v>2.4</v>
      </c>
      <c r="K193" s="82">
        <f ca="1">(Table15[[#This Row],[Daily_Production]]*Table15[[#This Row],[Working_Days]]) -Table15[[#This Row],[Maintenance_Downtime]]</f>
        <v>4597.6000000000004</v>
      </c>
    </row>
    <row r="194" spans="1:11">
      <c r="A194" s="53">
        <v>47765</v>
      </c>
      <c r="B194" s="14" t="s">
        <v>11</v>
      </c>
      <c r="C194" s="14">
        <v>109</v>
      </c>
      <c r="D194" s="14">
        <v>31005.495233574838</v>
      </c>
      <c r="E194" s="82">
        <f>_xlfn.FORECAST.LINEAR(Table15[[#This Row],[Date]],Table15[Units_Sold],Table15[Date])</f>
        <v>99.207903951615805</v>
      </c>
      <c r="F194" s="138">
        <f>Table15[[#This Row],[Average_Price]]/Table15[[#This Row],[Units_Sold]]</f>
        <v>284.45408471169577</v>
      </c>
      <c r="G194" cm="1">
        <f t="array" ref="G194">_xlfn.IFS(Table15[[#This Row],[Vehicle_Type]]="SUV",250,Table15[[#This Row],[Vehicle_Type]]="Sedan",200,Table15[[#This Row],[Vehicle_Type]]="Hatchback",185,Table15[[#This Row],[Vehicle_Type]]="Electric",190,Table15[[#This Row],[Vehicle_Type]]="Truck",150)</f>
        <v>185</v>
      </c>
      <c r="H194">
        <f t="shared" ref="H194:H257" ca="1" si="6">RANDBETWEEN(20,25)</f>
        <v>20</v>
      </c>
      <c r="I194">
        <f t="shared" ref="I194:I257" ca="1" si="7">RANDBETWEEN(8,12)</f>
        <v>11</v>
      </c>
      <c r="J194" s="81">
        <f ca="1">24/Table15[[#This Row],[Production_Hours]]</f>
        <v>2.1818181818181817</v>
      </c>
      <c r="K194" s="82">
        <f ca="1">(Table15[[#This Row],[Daily_Production]]*Table15[[#This Row],[Working_Days]]) -Table15[[#This Row],[Maintenance_Downtime]]</f>
        <v>3697.818181818182</v>
      </c>
    </row>
    <row r="195" spans="1:11">
      <c r="A195" s="54">
        <v>47795</v>
      </c>
      <c r="B195" s="15" t="s">
        <v>10</v>
      </c>
      <c r="C195" s="15">
        <v>98</v>
      </c>
      <c r="D195" s="15">
        <v>35253.271980038058</v>
      </c>
      <c r="E195" s="82">
        <f>_xlfn.FORECAST.LINEAR(Table15[[#This Row],[Date]],Table15[Units_Sold],Table15[Date])</f>
        <v>99.20950562202249</v>
      </c>
      <c r="F195" s="138">
        <f>Table15[[#This Row],[Average_Price]]/Table15[[#This Row],[Units_Sold]]</f>
        <v>359.72726510242916</v>
      </c>
      <c r="G195" cm="1">
        <f t="array" ref="G195">_xlfn.IFS(Table15[[#This Row],[Vehicle_Type]]="SUV",250,Table15[[#This Row],[Vehicle_Type]]="Sedan",200,Table15[[#This Row],[Vehicle_Type]]="Hatchback",185,Table15[[#This Row],[Vehicle_Type]]="Electric",190,Table15[[#This Row],[Vehicle_Type]]="Truck",150)</f>
        <v>200</v>
      </c>
      <c r="H195">
        <f t="shared" ca="1" si="6"/>
        <v>22</v>
      </c>
      <c r="I195">
        <f t="shared" ca="1" si="7"/>
        <v>9</v>
      </c>
      <c r="J195" s="81">
        <f ca="1">24/Table15[[#This Row],[Production_Hours]]</f>
        <v>2.6666666666666665</v>
      </c>
      <c r="K195" s="82">
        <f ca="1">(Table15[[#This Row],[Daily_Production]]*Table15[[#This Row],[Working_Days]]) -Table15[[#This Row],[Maintenance_Downtime]]</f>
        <v>4397.333333333333</v>
      </c>
    </row>
    <row r="196" spans="1:11">
      <c r="A196" s="53">
        <v>47825</v>
      </c>
      <c r="B196" s="14" t="s">
        <v>13</v>
      </c>
      <c r="C196" s="14">
        <v>86</v>
      </c>
      <c r="D196" s="14">
        <v>35527.629664789922</v>
      </c>
      <c r="E196" s="82">
        <f>_xlfn.FORECAST.LINEAR(Table15[[#This Row],[Date]],Table15[Units_Sold],Table15[Date])</f>
        <v>99.211107292429176</v>
      </c>
      <c r="F196" s="138">
        <f>Table15[[#This Row],[Average_Price]]/Table15[[#This Row],[Units_Sold]]</f>
        <v>413.11197284639445</v>
      </c>
      <c r="G196" cm="1">
        <f t="array" ref="G196">_xlfn.IFS(Table15[[#This Row],[Vehicle_Type]]="SUV",250,Table15[[#This Row],[Vehicle_Type]]="Sedan",200,Table15[[#This Row],[Vehicle_Type]]="Hatchback",185,Table15[[#This Row],[Vehicle_Type]]="Electric",190,Table15[[#This Row],[Vehicle_Type]]="Truck",150)</f>
        <v>190</v>
      </c>
      <c r="H196">
        <f t="shared" ca="1" si="6"/>
        <v>25</v>
      </c>
      <c r="I196">
        <f t="shared" ca="1" si="7"/>
        <v>12</v>
      </c>
      <c r="J196" s="81">
        <f ca="1">24/Table15[[#This Row],[Production_Hours]]</f>
        <v>2</v>
      </c>
      <c r="K196" s="82">
        <f ca="1">(Table15[[#This Row],[Daily_Production]]*Table15[[#This Row],[Working_Days]]) -Table15[[#This Row],[Maintenance_Downtime]]</f>
        <v>4748</v>
      </c>
    </row>
    <row r="197" spans="1:11">
      <c r="A197" s="54">
        <v>47855</v>
      </c>
      <c r="B197" s="15" t="s">
        <v>13</v>
      </c>
      <c r="C197" s="15">
        <v>79</v>
      </c>
      <c r="D197" s="15">
        <v>35935.1515278019</v>
      </c>
      <c r="E197" s="82">
        <f>_xlfn.FORECAST.LINEAR(Table15[[#This Row],[Date]],Table15[Units_Sold],Table15[Date])</f>
        <v>99.212708962835862</v>
      </c>
      <c r="F197" s="138">
        <f>Table15[[#This Row],[Average_Price]]/Table15[[#This Row],[Units_Sold]]</f>
        <v>454.87533579496073</v>
      </c>
      <c r="G197" cm="1">
        <f t="array" ref="G197">_xlfn.IFS(Table15[[#This Row],[Vehicle_Type]]="SUV",250,Table15[[#This Row],[Vehicle_Type]]="Sedan",200,Table15[[#This Row],[Vehicle_Type]]="Hatchback",185,Table15[[#This Row],[Vehicle_Type]]="Electric",190,Table15[[#This Row],[Vehicle_Type]]="Truck",150)</f>
        <v>190</v>
      </c>
      <c r="H197">
        <f t="shared" ca="1" si="6"/>
        <v>21</v>
      </c>
      <c r="I197">
        <f t="shared" ca="1" si="7"/>
        <v>10</v>
      </c>
      <c r="J197" s="81">
        <f ca="1">24/Table15[[#This Row],[Production_Hours]]</f>
        <v>2.4</v>
      </c>
      <c r="K197" s="82">
        <f ca="1">(Table15[[#This Row],[Daily_Production]]*Table15[[#This Row],[Working_Days]]) -Table15[[#This Row],[Maintenance_Downtime]]</f>
        <v>3987.6</v>
      </c>
    </row>
    <row r="198" spans="1:11">
      <c r="A198" s="53">
        <v>47885</v>
      </c>
      <c r="B198" s="14" t="s">
        <v>12</v>
      </c>
      <c r="C198" s="14">
        <v>86</v>
      </c>
      <c r="D198" s="14">
        <v>38106.295579999998</v>
      </c>
      <c r="E198" s="82">
        <f>_xlfn.FORECAST.LINEAR(Table15[[#This Row],[Date]],Table15[Units_Sold],Table15[Date])</f>
        <v>99.214310633242533</v>
      </c>
      <c r="F198" s="138">
        <f>Table15[[#This Row],[Average_Price]]/Table15[[#This Row],[Units_Sold]]</f>
        <v>443.09646023255812</v>
      </c>
      <c r="G198" cm="1">
        <f t="array" ref="G198">_xlfn.IFS(Table15[[#This Row],[Vehicle_Type]]="SUV",250,Table15[[#This Row],[Vehicle_Type]]="Sedan",200,Table15[[#This Row],[Vehicle_Type]]="Hatchback",185,Table15[[#This Row],[Vehicle_Type]]="Electric",190,Table15[[#This Row],[Vehicle_Type]]="Truck",150)</f>
        <v>250</v>
      </c>
      <c r="H198">
        <f t="shared" ca="1" si="6"/>
        <v>23</v>
      </c>
      <c r="I198">
        <f t="shared" ca="1" si="7"/>
        <v>9</v>
      </c>
      <c r="J198" s="81">
        <f ca="1">24/Table15[[#This Row],[Production_Hours]]</f>
        <v>2.6666666666666665</v>
      </c>
      <c r="K198" s="82">
        <f ca="1">(Table15[[#This Row],[Daily_Production]]*Table15[[#This Row],[Working_Days]]) -Table15[[#This Row],[Maintenance_Downtime]]</f>
        <v>5747.333333333333</v>
      </c>
    </row>
    <row r="199" spans="1:11">
      <c r="A199" s="54">
        <v>47915</v>
      </c>
      <c r="B199" s="15" t="s">
        <v>13</v>
      </c>
      <c r="C199" s="15">
        <v>108</v>
      </c>
      <c r="D199" s="15">
        <v>24284.97543634758</v>
      </c>
      <c r="E199" s="82">
        <f>_xlfn.FORECAST.LINEAR(Table15[[#This Row],[Date]],Table15[Units_Sold],Table15[Date])</f>
        <v>99.215912303649219</v>
      </c>
      <c r="F199" s="138">
        <f>Table15[[#This Row],[Average_Price]]/Table15[[#This Row],[Units_Sold]]</f>
        <v>224.860883669885</v>
      </c>
      <c r="G199" cm="1">
        <f t="array" ref="G199">_xlfn.IFS(Table15[[#This Row],[Vehicle_Type]]="SUV",250,Table15[[#This Row],[Vehicle_Type]]="Sedan",200,Table15[[#This Row],[Vehicle_Type]]="Hatchback",185,Table15[[#This Row],[Vehicle_Type]]="Electric",190,Table15[[#This Row],[Vehicle_Type]]="Truck",150)</f>
        <v>190</v>
      </c>
      <c r="H199">
        <f t="shared" ca="1" si="6"/>
        <v>25</v>
      </c>
      <c r="I199">
        <f t="shared" ca="1" si="7"/>
        <v>12</v>
      </c>
      <c r="J199" s="81">
        <f ca="1">24/Table15[[#This Row],[Production_Hours]]</f>
        <v>2</v>
      </c>
      <c r="K199" s="82">
        <f ca="1">(Table15[[#This Row],[Daily_Production]]*Table15[[#This Row],[Working_Days]]) -Table15[[#This Row],[Maintenance_Downtime]]</f>
        <v>4748</v>
      </c>
    </row>
    <row r="200" spans="1:11">
      <c r="A200" s="53">
        <v>47945</v>
      </c>
      <c r="B200" s="14" t="s">
        <v>12</v>
      </c>
      <c r="C200" s="14">
        <v>100</v>
      </c>
      <c r="D200" s="14">
        <v>38167.15766150548</v>
      </c>
      <c r="E200" s="82">
        <f>_xlfn.FORECAST.LINEAR(Table15[[#This Row],[Date]],Table15[Units_Sold],Table15[Date])</f>
        <v>99.217513974055905</v>
      </c>
      <c r="F200" s="138">
        <f>Table15[[#This Row],[Average_Price]]/Table15[[#This Row],[Units_Sold]]</f>
        <v>381.67157661505479</v>
      </c>
      <c r="G200" cm="1">
        <f t="array" ref="G200">_xlfn.IFS(Table15[[#This Row],[Vehicle_Type]]="SUV",250,Table15[[#This Row],[Vehicle_Type]]="Sedan",200,Table15[[#This Row],[Vehicle_Type]]="Hatchback",185,Table15[[#This Row],[Vehicle_Type]]="Electric",190,Table15[[#This Row],[Vehicle_Type]]="Truck",150)</f>
        <v>250</v>
      </c>
      <c r="H200">
        <f t="shared" ca="1" si="6"/>
        <v>24</v>
      </c>
      <c r="I200">
        <f t="shared" ca="1" si="7"/>
        <v>11</v>
      </c>
      <c r="J200" s="81">
        <f ca="1">24/Table15[[#This Row],[Production_Hours]]</f>
        <v>2.1818181818181817</v>
      </c>
      <c r="K200" s="82">
        <f ca="1">(Table15[[#This Row],[Daily_Production]]*Table15[[#This Row],[Working_Days]]) -Table15[[#This Row],[Maintenance_Downtime]]</f>
        <v>5997.818181818182</v>
      </c>
    </row>
    <row r="201" spans="1:11">
      <c r="A201" s="54">
        <v>47975</v>
      </c>
      <c r="B201" s="15" t="s">
        <v>10</v>
      </c>
      <c r="C201" s="15">
        <v>93</v>
      </c>
      <c r="D201" s="15">
        <v>24268.27303490656</v>
      </c>
      <c r="E201" s="82">
        <f>_xlfn.FORECAST.LINEAR(Table15[[#This Row],[Date]],Table15[Units_Sold],Table15[Date])</f>
        <v>99.219115644462576</v>
      </c>
      <c r="F201" s="138">
        <f>Table15[[#This Row],[Average_Price]]/Table15[[#This Row],[Units_Sold]]</f>
        <v>260.94917241835009</v>
      </c>
      <c r="G201" cm="1">
        <f t="array" ref="G201">_xlfn.IFS(Table15[[#This Row],[Vehicle_Type]]="SUV",250,Table15[[#This Row],[Vehicle_Type]]="Sedan",200,Table15[[#This Row],[Vehicle_Type]]="Hatchback",185,Table15[[#This Row],[Vehicle_Type]]="Electric",190,Table15[[#This Row],[Vehicle_Type]]="Truck",150)</f>
        <v>200</v>
      </c>
      <c r="H201">
        <f t="shared" ca="1" si="6"/>
        <v>20</v>
      </c>
      <c r="I201">
        <f t="shared" ca="1" si="7"/>
        <v>9</v>
      </c>
      <c r="J201" s="81">
        <f ca="1">24/Table15[[#This Row],[Production_Hours]]</f>
        <v>2.6666666666666665</v>
      </c>
      <c r="K201" s="82">
        <f ca="1">(Table15[[#This Row],[Daily_Production]]*Table15[[#This Row],[Working_Days]]) -Table15[[#This Row],[Maintenance_Downtime]]</f>
        <v>3997.3333333333335</v>
      </c>
    </row>
    <row r="202" spans="1:11">
      <c r="A202" s="53">
        <v>48005</v>
      </c>
      <c r="B202" s="14" t="s">
        <v>10</v>
      </c>
      <c r="C202" s="14">
        <v>82</v>
      </c>
      <c r="D202" s="14">
        <v>31513.177326195168</v>
      </c>
      <c r="E202" s="82">
        <f>_xlfn.FORECAST.LINEAR(Table15[[#This Row],[Date]],Table15[Units_Sold],Table15[Date])</f>
        <v>99.220717314869262</v>
      </c>
      <c r="F202" s="138">
        <f>Table15[[#This Row],[Average_Price]]/Table15[[#This Row],[Units_Sold]]</f>
        <v>384.30704056335571</v>
      </c>
      <c r="G202" cm="1">
        <f t="array" ref="G202">_xlfn.IFS(Table15[[#This Row],[Vehicle_Type]]="SUV",250,Table15[[#This Row],[Vehicle_Type]]="Sedan",200,Table15[[#This Row],[Vehicle_Type]]="Hatchback",185,Table15[[#This Row],[Vehicle_Type]]="Electric",190,Table15[[#This Row],[Vehicle_Type]]="Truck",150)</f>
        <v>200</v>
      </c>
      <c r="H202">
        <f t="shared" ca="1" si="6"/>
        <v>20</v>
      </c>
      <c r="I202">
        <f t="shared" ca="1" si="7"/>
        <v>12</v>
      </c>
      <c r="J202" s="81">
        <f ca="1">24/Table15[[#This Row],[Production_Hours]]</f>
        <v>2</v>
      </c>
      <c r="K202" s="82">
        <f ca="1">(Table15[[#This Row],[Daily_Production]]*Table15[[#This Row],[Working_Days]]) -Table15[[#This Row],[Maintenance_Downtime]]</f>
        <v>3998</v>
      </c>
    </row>
    <row r="203" spans="1:11">
      <c r="A203" s="54">
        <v>48035</v>
      </c>
      <c r="B203" s="15" t="s">
        <v>10</v>
      </c>
      <c r="C203" s="15">
        <v>104</v>
      </c>
      <c r="D203" s="15">
        <v>26228.62074990321</v>
      </c>
      <c r="E203" s="82">
        <f>_xlfn.FORECAST.LINEAR(Table15[[#This Row],[Date]],Table15[Units_Sold],Table15[Date])</f>
        <v>99.222318985275948</v>
      </c>
      <c r="F203" s="138">
        <f>Table15[[#This Row],[Average_Price]]/Table15[[#This Row],[Units_Sold]]</f>
        <v>252.198276441377</v>
      </c>
      <c r="G203" cm="1">
        <f t="array" ref="G203">_xlfn.IFS(Table15[[#This Row],[Vehicle_Type]]="SUV",250,Table15[[#This Row],[Vehicle_Type]]="Sedan",200,Table15[[#This Row],[Vehicle_Type]]="Hatchback",185,Table15[[#This Row],[Vehicle_Type]]="Electric",190,Table15[[#This Row],[Vehicle_Type]]="Truck",150)</f>
        <v>200</v>
      </c>
      <c r="H203">
        <f t="shared" ca="1" si="6"/>
        <v>24</v>
      </c>
      <c r="I203">
        <f t="shared" ca="1" si="7"/>
        <v>8</v>
      </c>
      <c r="J203" s="81">
        <f ca="1">24/Table15[[#This Row],[Production_Hours]]</f>
        <v>3</v>
      </c>
      <c r="K203" s="82">
        <f ca="1">(Table15[[#This Row],[Daily_Production]]*Table15[[#This Row],[Working_Days]]) -Table15[[#This Row],[Maintenance_Downtime]]</f>
        <v>4797</v>
      </c>
    </row>
    <row r="204" spans="1:11">
      <c r="A204" s="53">
        <v>48065</v>
      </c>
      <c r="B204" s="14" t="s">
        <v>12</v>
      </c>
      <c r="C204" s="14">
        <v>99</v>
      </c>
      <c r="D204" s="14">
        <v>29679.308267035038</v>
      </c>
      <c r="E204" s="82">
        <f>_xlfn.FORECAST.LINEAR(Table15[[#This Row],[Date]],Table15[Units_Sold],Table15[Date])</f>
        <v>99.223920655682633</v>
      </c>
      <c r="F204" s="138">
        <f>Table15[[#This Row],[Average_Price]]/Table15[[#This Row],[Units_Sold]]</f>
        <v>299.79099259631352</v>
      </c>
      <c r="G204" cm="1">
        <f t="array" ref="G204">_xlfn.IFS(Table15[[#This Row],[Vehicle_Type]]="SUV",250,Table15[[#This Row],[Vehicle_Type]]="Sedan",200,Table15[[#This Row],[Vehicle_Type]]="Hatchback",185,Table15[[#This Row],[Vehicle_Type]]="Electric",190,Table15[[#This Row],[Vehicle_Type]]="Truck",150)</f>
        <v>250</v>
      </c>
      <c r="H204">
        <f t="shared" ca="1" si="6"/>
        <v>22</v>
      </c>
      <c r="I204">
        <f t="shared" ca="1" si="7"/>
        <v>8</v>
      </c>
      <c r="J204" s="81">
        <f ca="1">24/Table15[[#This Row],[Production_Hours]]</f>
        <v>3</v>
      </c>
      <c r="K204" s="82">
        <f ca="1">(Table15[[#This Row],[Daily_Production]]*Table15[[#This Row],[Working_Days]]) -Table15[[#This Row],[Maintenance_Downtime]]</f>
        <v>5497</v>
      </c>
    </row>
    <row r="205" spans="1:11">
      <c r="A205" s="54">
        <v>48095</v>
      </c>
      <c r="B205" s="15" t="s">
        <v>10</v>
      </c>
      <c r="C205" s="15">
        <v>102</v>
      </c>
      <c r="D205" s="15">
        <v>31643.812051517401</v>
      </c>
      <c r="E205" s="82">
        <f>_xlfn.FORECAST.LINEAR(Table15[[#This Row],[Date]],Table15[Units_Sold],Table15[Date])</f>
        <v>99.225522326089305</v>
      </c>
      <c r="F205" s="138">
        <f>Table15[[#This Row],[Average_Price]]/Table15[[#This Row],[Units_Sold]]</f>
        <v>310.23345148546474</v>
      </c>
      <c r="G205" cm="1">
        <f t="array" ref="G205">_xlfn.IFS(Table15[[#This Row],[Vehicle_Type]]="SUV",250,Table15[[#This Row],[Vehicle_Type]]="Sedan",200,Table15[[#This Row],[Vehicle_Type]]="Hatchback",185,Table15[[#This Row],[Vehicle_Type]]="Electric",190,Table15[[#This Row],[Vehicle_Type]]="Truck",150)</f>
        <v>200</v>
      </c>
      <c r="H205">
        <f t="shared" ca="1" si="6"/>
        <v>22</v>
      </c>
      <c r="I205">
        <f t="shared" ca="1" si="7"/>
        <v>10</v>
      </c>
      <c r="J205" s="81">
        <f ca="1">24/Table15[[#This Row],[Production_Hours]]</f>
        <v>2.4</v>
      </c>
      <c r="K205" s="82">
        <f ca="1">(Table15[[#This Row],[Daily_Production]]*Table15[[#This Row],[Working_Days]]) -Table15[[#This Row],[Maintenance_Downtime]]</f>
        <v>4397.6000000000004</v>
      </c>
    </row>
    <row r="206" spans="1:11">
      <c r="A206" s="53">
        <v>48125</v>
      </c>
      <c r="B206" s="14" t="s">
        <v>10</v>
      </c>
      <c r="C206" s="14">
        <v>76</v>
      </c>
      <c r="D206" s="14">
        <v>38106.295579999998</v>
      </c>
      <c r="E206" s="82">
        <f>_xlfn.FORECAST.LINEAR(Table15[[#This Row],[Date]],Table15[Units_Sold],Table15[Date])</f>
        <v>99.22712399649599</v>
      </c>
      <c r="F206" s="138">
        <f>Table15[[#This Row],[Average_Price]]/Table15[[#This Row],[Units_Sold]]</f>
        <v>501.39862605263153</v>
      </c>
      <c r="G206" cm="1">
        <f t="array" ref="G206">_xlfn.IFS(Table15[[#This Row],[Vehicle_Type]]="SUV",250,Table15[[#This Row],[Vehicle_Type]]="Sedan",200,Table15[[#This Row],[Vehicle_Type]]="Hatchback",185,Table15[[#This Row],[Vehicle_Type]]="Electric",190,Table15[[#This Row],[Vehicle_Type]]="Truck",150)</f>
        <v>200</v>
      </c>
      <c r="H206">
        <f t="shared" ca="1" si="6"/>
        <v>21</v>
      </c>
      <c r="I206">
        <f t="shared" ca="1" si="7"/>
        <v>11</v>
      </c>
      <c r="J206" s="81">
        <f ca="1">24/Table15[[#This Row],[Production_Hours]]</f>
        <v>2.1818181818181817</v>
      </c>
      <c r="K206" s="82">
        <f ca="1">(Table15[[#This Row],[Daily_Production]]*Table15[[#This Row],[Working_Days]]) -Table15[[#This Row],[Maintenance_Downtime]]</f>
        <v>4197.818181818182</v>
      </c>
    </row>
    <row r="207" spans="1:11">
      <c r="A207" s="54">
        <v>48155</v>
      </c>
      <c r="B207" s="15" t="s">
        <v>11</v>
      </c>
      <c r="C207" s="15">
        <v>99</v>
      </c>
      <c r="D207" s="15">
        <v>32109.603771176422</v>
      </c>
      <c r="E207" s="82">
        <f>_xlfn.FORECAST.LINEAR(Table15[[#This Row],[Date]],Table15[Units_Sold],Table15[Date])</f>
        <v>99.228725666902676</v>
      </c>
      <c r="F207" s="138">
        <f>Table15[[#This Row],[Average_Price]]/Table15[[#This Row],[Units_Sold]]</f>
        <v>324.33943203208509</v>
      </c>
      <c r="G207" cm="1">
        <f t="array" ref="G207">_xlfn.IFS(Table15[[#This Row],[Vehicle_Type]]="SUV",250,Table15[[#This Row],[Vehicle_Type]]="Sedan",200,Table15[[#This Row],[Vehicle_Type]]="Hatchback",185,Table15[[#This Row],[Vehicle_Type]]="Electric",190,Table15[[#This Row],[Vehicle_Type]]="Truck",150)</f>
        <v>185</v>
      </c>
      <c r="H207">
        <f t="shared" ca="1" si="6"/>
        <v>22</v>
      </c>
      <c r="I207">
        <f t="shared" ca="1" si="7"/>
        <v>9</v>
      </c>
      <c r="J207" s="81">
        <f ca="1">24/Table15[[#This Row],[Production_Hours]]</f>
        <v>2.6666666666666665</v>
      </c>
      <c r="K207" s="82">
        <f ca="1">(Table15[[#This Row],[Daily_Production]]*Table15[[#This Row],[Working_Days]]) -Table15[[#This Row],[Maintenance_Downtime]]</f>
        <v>4067.3333333333335</v>
      </c>
    </row>
    <row r="208" spans="1:11">
      <c r="A208" s="53">
        <v>48185</v>
      </c>
      <c r="B208" s="14" t="s">
        <v>10</v>
      </c>
      <c r="C208" s="14">
        <v>93</v>
      </c>
      <c r="D208" s="14">
        <v>38068.556345293233</v>
      </c>
      <c r="E208" s="82">
        <f>_xlfn.FORECAST.LINEAR(Table15[[#This Row],[Date]],Table15[Units_Sold],Table15[Date])</f>
        <v>99.230327337309348</v>
      </c>
      <c r="F208" s="138">
        <f>Table15[[#This Row],[Average_Price]]/Table15[[#This Row],[Units_Sold]]</f>
        <v>409.33931554078742</v>
      </c>
      <c r="G208" cm="1">
        <f t="array" ref="G208">_xlfn.IFS(Table15[[#This Row],[Vehicle_Type]]="SUV",250,Table15[[#This Row],[Vehicle_Type]]="Sedan",200,Table15[[#This Row],[Vehicle_Type]]="Hatchback",185,Table15[[#This Row],[Vehicle_Type]]="Electric",190,Table15[[#This Row],[Vehicle_Type]]="Truck",150)</f>
        <v>200</v>
      </c>
      <c r="H208">
        <f t="shared" ca="1" si="6"/>
        <v>23</v>
      </c>
      <c r="I208">
        <f t="shared" ca="1" si="7"/>
        <v>8</v>
      </c>
      <c r="J208" s="81">
        <f ca="1">24/Table15[[#This Row],[Production_Hours]]</f>
        <v>3</v>
      </c>
      <c r="K208" s="82">
        <f ca="1">(Table15[[#This Row],[Daily_Production]]*Table15[[#This Row],[Working_Days]]) -Table15[[#This Row],[Maintenance_Downtime]]</f>
        <v>4597</v>
      </c>
    </row>
    <row r="209" spans="1:11">
      <c r="A209" s="54">
        <v>48215</v>
      </c>
      <c r="B209" s="15" t="s">
        <v>13</v>
      </c>
      <c r="C209" s="15">
        <v>99</v>
      </c>
      <c r="D209" s="15">
        <v>32267.671507569899</v>
      </c>
      <c r="E209" s="82">
        <f>_xlfn.FORECAST.LINEAR(Table15[[#This Row],[Date]],Table15[Units_Sold],Table15[Date])</f>
        <v>99.231929007716033</v>
      </c>
      <c r="F209" s="138">
        <f>Table15[[#This Row],[Average_Price]]/Table15[[#This Row],[Units_Sold]]</f>
        <v>325.9360758340394</v>
      </c>
      <c r="G209" cm="1">
        <f t="array" ref="G209">_xlfn.IFS(Table15[[#This Row],[Vehicle_Type]]="SUV",250,Table15[[#This Row],[Vehicle_Type]]="Sedan",200,Table15[[#This Row],[Vehicle_Type]]="Hatchback",185,Table15[[#This Row],[Vehicle_Type]]="Electric",190,Table15[[#This Row],[Vehicle_Type]]="Truck",150)</f>
        <v>190</v>
      </c>
      <c r="H209">
        <f t="shared" ca="1" si="6"/>
        <v>20</v>
      </c>
      <c r="I209">
        <f t="shared" ca="1" si="7"/>
        <v>11</v>
      </c>
      <c r="J209" s="81">
        <f ca="1">24/Table15[[#This Row],[Production_Hours]]</f>
        <v>2.1818181818181817</v>
      </c>
      <c r="K209" s="82">
        <f ca="1">(Table15[[#This Row],[Daily_Production]]*Table15[[#This Row],[Working_Days]]) -Table15[[#This Row],[Maintenance_Downtime]]</f>
        <v>3797.818181818182</v>
      </c>
    </row>
    <row r="210" spans="1:11">
      <c r="A210" s="53">
        <v>48245</v>
      </c>
      <c r="B210" s="14" t="s">
        <v>12</v>
      </c>
      <c r="C210" s="14">
        <v>102</v>
      </c>
      <c r="D210" s="14">
        <v>28779.216823546758</v>
      </c>
      <c r="E210" s="82">
        <f>_xlfn.FORECAST.LINEAR(Table15[[#This Row],[Date]],Table15[Units_Sold],Table15[Date])</f>
        <v>99.233530678122719</v>
      </c>
      <c r="F210" s="138">
        <f>Table15[[#This Row],[Average_Price]]/Table15[[#This Row],[Units_Sold]]</f>
        <v>282.14918454457603</v>
      </c>
      <c r="G210" cm="1">
        <f t="array" ref="G210">_xlfn.IFS(Table15[[#This Row],[Vehicle_Type]]="SUV",250,Table15[[#This Row],[Vehicle_Type]]="Sedan",200,Table15[[#This Row],[Vehicle_Type]]="Hatchback",185,Table15[[#This Row],[Vehicle_Type]]="Electric",190,Table15[[#This Row],[Vehicle_Type]]="Truck",150)</f>
        <v>250</v>
      </c>
      <c r="H210">
        <f t="shared" ca="1" si="6"/>
        <v>20</v>
      </c>
      <c r="I210">
        <f t="shared" ca="1" si="7"/>
        <v>12</v>
      </c>
      <c r="J210" s="81">
        <f ca="1">24/Table15[[#This Row],[Production_Hours]]</f>
        <v>2</v>
      </c>
      <c r="K210" s="82">
        <f ca="1">(Table15[[#This Row],[Daily_Production]]*Table15[[#This Row],[Working_Days]]) -Table15[[#This Row],[Maintenance_Downtime]]</f>
        <v>4998</v>
      </c>
    </row>
    <row r="211" spans="1:11">
      <c r="A211" s="54">
        <v>48275</v>
      </c>
      <c r="B211" s="15" t="s">
        <v>11</v>
      </c>
      <c r="C211" s="15">
        <v>106</v>
      </c>
      <c r="D211" s="15">
        <v>34820.435841441787</v>
      </c>
      <c r="E211" s="82">
        <f>_xlfn.FORECAST.LINEAR(Table15[[#This Row],[Date]],Table15[Units_Sold],Table15[Date])</f>
        <v>99.235132348529405</v>
      </c>
      <c r="F211" s="138">
        <f>Table15[[#This Row],[Average_Price]]/Table15[[#This Row],[Units_Sold]]</f>
        <v>328.49467774945083</v>
      </c>
      <c r="G211" cm="1">
        <f t="array" ref="G211">_xlfn.IFS(Table15[[#This Row],[Vehicle_Type]]="SUV",250,Table15[[#This Row],[Vehicle_Type]]="Sedan",200,Table15[[#This Row],[Vehicle_Type]]="Hatchback",185,Table15[[#This Row],[Vehicle_Type]]="Electric",190,Table15[[#This Row],[Vehicle_Type]]="Truck",150)</f>
        <v>185</v>
      </c>
      <c r="H211">
        <f t="shared" ca="1" si="6"/>
        <v>20</v>
      </c>
      <c r="I211">
        <f t="shared" ca="1" si="7"/>
        <v>12</v>
      </c>
      <c r="J211" s="81">
        <f ca="1">24/Table15[[#This Row],[Production_Hours]]</f>
        <v>2</v>
      </c>
      <c r="K211" s="82">
        <f ca="1">(Table15[[#This Row],[Daily_Production]]*Table15[[#This Row],[Working_Days]]) -Table15[[#This Row],[Maintenance_Downtime]]</f>
        <v>3698</v>
      </c>
    </row>
    <row r="212" spans="1:11">
      <c r="A212" s="53">
        <v>48305</v>
      </c>
      <c r="B212" s="14" t="s">
        <v>14</v>
      </c>
      <c r="C212" s="14">
        <v>94</v>
      </c>
      <c r="D212" s="14">
        <v>35947.352444623204</v>
      </c>
      <c r="E212" s="82">
        <f>_xlfn.FORECAST.LINEAR(Table15[[#This Row],[Date]],Table15[Units_Sold],Table15[Date])</f>
        <v>99.236734018936076</v>
      </c>
      <c r="F212" s="138">
        <f>Table15[[#This Row],[Average_Price]]/Table15[[#This Row],[Units_Sold]]</f>
        <v>382.4186430279064</v>
      </c>
      <c r="G212" cm="1">
        <f t="array" ref="G212">_xlfn.IFS(Table15[[#This Row],[Vehicle_Type]]="SUV",250,Table15[[#This Row],[Vehicle_Type]]="Sedan",200,Table15[[#This Row],[Vehicle_Type]]="Hatchback",185,Table15[[#This Row],[Vehicle_Type]]="Electric",190,Table15[[#This Row],[Vehicle_Type]]="Truck",150)</f>
        <v>150</v>
      </c>
      <c r="H212">
        <f t="shared" ca="1" si="6"/>
        <v>21</v>
      </c>
      <c r="I212">
        <f t="shared" ca="1" si="7"/>
        <v>11</v>
      </c>
      <c r="J212" s="81">
        <f ca="1">24/Table15[[#This Row],[Production_Hours]]</f>
        <v>2.1818181818181817</v>
      </c>
      <c r="K212" s="82">
        <f ca="1">(Table15[[#This Row],[Daily_Production]]*Table15[[#This Row],[Working_Days]]) -Table15[[#This Row],[Maintenance_Downtime]]</f>
        <v>3147.818181818182</v>
      </c>
    </row>
    <row r="213" spans="1:11">
      <c r="A213" s="54">
        <v>48335</v>
      </c>
      <c r="B213" s="15" t="s">
        <v>12</v>
      </c>
      <c r="C213" s="15">
        <v>105</v>
      </c>
      <c r="D213" s="15">
        <v>23861.960924315037</v>
      </c>
      <c r="E213" s="82">
        <f>_xlfn.FORECAST.LINEAR(Table15[[#This Row],[Date]],Table15[Units_Sold],Table15[Date])</f>
        <v>99.238335689342762</v>
      </c>
      <c r="F213" s="138">
        <f>Table15[[#This Row],[Average_Price]]/Table15[[#This Row],[Units_Sold]]</f>
        <v>227.25677070776226</v>
      </c>
      <c r="G213" cm="1">
        <f t="array" ref="G213">_xlfn.IFS(Table15[[#This Row],[Vehicle_Type]]="SUV",250,Table15[[#This Row],[Vehicle_Type]]="Sedan",200,Table15[[#This Row],[Vehicle_Type]]="Hatchback",185,Table15[[#This Row],[Vehicle_Type]]="Electric",190,Table15[[#This Row],[Vehicle_Type]]="Truck",150)</f>
        <v>250</v>
      </c>
      <c r="H213">
        <f t="shared" ca="1" si="6"/>
        <v>20</v>
      </c>
      <c r="I213">
        <f t="shared" ca="1" si="7"/>
        <v>10</v>
      </c>
      <c r="J213" s="81">
        <f ca="1">24/Table15[[#This Row],[Production_Hours]]</f>
        <v>2.4</v>
      </c>
      <c r="K213" s="82">
        <f ca="1">(Table15[[#This Row],[Daily_Production]]*Table15[[#This Row],[Working_Days]]) -Table15[[#This Row],[Maintenance_Downtime]]</f>
        <v>4997.6000000000004</v>
      </c>
    </row>
    <row r="214" spans="1:11">
      <c r="A214" s="53">
        <v>48365</v>
      </c>
      <c r="B214" s="14" t="s">
        <v>13</v>
      </c>
      <c r="C214" s="14">
        <v>100</v>
      </c>
      <c r="D214" s="14">
        <v>32987.000349249291</v>
      </c>
      <c r="E214" s="82">
        <f>_xlfn.FORECAST.LINEAR(Table15[[#This Row],[Date]],Table15[Units_Sold],Table15[Date])</f>
        <v>99.239937359749447</v>
      </c>
      <c r="F214" s="138">
        <f>Table15[[#This Row],[Average_Price]]/Table15[[#This Row],[Units_Sold]]</f>
        <v>329.87000349249291</v>
      </c>
      <c r="G214" cm="1">
        <f t="array" ref="G214">_xlfn.IFS(Table15[[#This Row],[Vehicle_Type]]="SUV",250,Table15[[#This Row],[Vehicle_Type]]="Sedan",200,Table15[[#This Row],[Vehicle_Type]]="Hatchback",185,Table15[[#This Row],[Vehicle_Type]]="Electric",190,Table15[[#This Row],[Vehicle_Type]]="Truck",150)</f>
        <v>190</v>
      </c>
      <c r="H214">
        <f t="shared" ca="1" si="6"/>
        <v>24</v>
      </c>
      <c r="I214">
        <f t="shared" ca="1" si="7"/>
        <v>8</v>
      </c>
      <c r="J214" s="81">
        <f ca="1">24/Table15[[#This Row],[Production_Hours]]</f>
        <v>3</v>
      </c>
      <c r="K214" s="82">
        <f ca="1">(Table15[[#This Row],[Daily_Production]]*Table15[[#This Row],[Working_Days]]) -Table15[[#This Row],[Maintenance_Downtime]]</f>
        <v>4557</v>
      </c>
    </row>
    <row r="215" spans="1:11">
      <c r="A215" s="54">
        <v>48395</v>
      </c>
      <c r="B215" s="15" t="s">
        <v>12</v>
      </c>
      <c r="C215" s="15">
        <v>122</v>
      </c>
      <c r="D215" s="15">
        <v>33505.863711554492</v>
      </c>
      <c r="E215" s="82">
        <f>_xlfn.FORECAST.LINEAR(Table15[[#This Row],[Date]],Table15[Units_Sold],Table15[Date])</f>
        <v>99.241539030156119</v>
      </c>
      <c r="F215" s="138">
        <f>Table15[[#This Row],[Average_Price]]/Table15[[#This Row],[Units_Sold]]</f>
        <v>274.63822714388925</v>
      </c>
      <c r="G215" cm="1">
        <f t="array" ref="G215">_xlfn.IFS(Table15[[#This Row],[Vehicle_Type]]="SUV",250,Table15[[#This Row],[Vehicle_Type]]="Sedan",200,Table15[[#This Row],[Vehicle_Type]]="Hatchback",185,Table15[[#This Row],[Vehicle_Type]]="Electric",190,Table15[[#This Row],[Vehicle_Type]]="Truck",150)</f>
        <v>250</v>
      </c>
      <c r="H215">
        <f t="shared" ca="1" si="6"/>
        <v>21</v>
      </c>
      <c r="I215">
        <f t="shared" ca="1" si="7"/>
        <v>12</v>
      </c>
      <c r="J215" s="81">
        <f ca="1">24/Table15[[#This Row],[Production_Hours]]</f>
        <v>2</v>
      </c>
      <c r="K215" s="82">
        <f ca="1">(Table15[[#This Row],[Daily_Production]]*Table15[[#This Row],[Working_Days]]) -Table15[[#This Row],[Maintenance_Downtime]]</f>
        <v>5248</v>
      </c>
    </row>
    <row r="216" spans="1:11">
      <c r="A216" s="53">
        <v>48425</v>
      </c>
      <c r="B216" s="14" t="s">
        <v>13</v>
      </c>
      <c r="C216" s="14">
        <v>103</v>
      </c>
      <c r="D216" s="14">
        <v>28512.182483200042</v>
      </c>
      <c r="E216" s="82">
        <f>_xlfn.FORECAST.LINEAR(Table15[[#This Row],[Date]],Table15[Units_Sold],Table15[Date])</f>
        <v>99.243140700562805</v>
      </c>
      <c r="F216" s="138">
        <f>Table15[[#This Row],[Average_Price]]/Table15[[#This Row],[Units_Sold]]</f>
        <v>276.81730566213633</v>
      </c>
      <c r="G216" cm="1">
        <f t="array" ref="G216">_xlfn.IFS(Table15[[#This Row],[Vehicle_Type]]="SUV",250,Table15[[#This Row],[Vehicle_Type]]="Sedan",200,Table15[[#This Row],[Vehicle_Type]]="Hatchback",185,Table15[[#This Row],[Vehicle_Type]]="Electric",190,Table15[[#This Row],[Vehicle_Type]]="Truck",150)</f>
        <v>190</v>
      </c>
      <c r="H216">
        <f t="shared" ca="1" si="6"/>
        <v>22</v>
      </c>
      <c r="I216">
        <f t="shared" ca="1" si="7"/>
        <v>9</v>
      </c>
      <c r="J216" s="81">
        <f ca="1">24/Table15[[#This Row],[Production_Hours]]</f>
        <v>2.6666666666666665</v>
      </c>
      <c r="K216" s="82">
        <f ca="1">(Table15[[#This Row],[Daily_Production]]*Table15[[#This Row],[Working_Days]]) -Table15[[#This Row],[Maintenance_Downtime]]</f>
        <v>4177.333333333333</v>
      </c>
    </row>
    <row r="217" spans="1:11">
      <c r="A217" s="54">
        <v>48455</v>
      </c>
      <c r="B217" s="15" t="s">
        <v>13</v>
      </c>
      <c r="C217" s="15">
        <v>119</v>
      </c>
      <c r="D217" s="15">
        <v>36878.534066558095</v>
      </c>
      <c r="E217" s="82">
        <f>_xlfn.FORECAST.LINEAR(Table15[[#This Row],[Date]],Table15[Units_Sold],Table15[Date])</f>
        <v>99.24474237096949</v>
      </c>
      <c r="F217" s="138">
        <f>Table15[[#This Row],[Average_Price]]/Table15[[#This Row],[Units_Sold]]</f>
        <v>309.90364761813527</v>
      </c>
      <c r="G217" cm="1">
        <f t="array" ref="G217">_xlfn.IFS(Table15[[#This Row],[Vehicle_Type]]="SUV",250,Table15[[#This Row],[Vehicle_Type]]="Sedan",200,Table15[[#This Row],[Vehicle_Type]]="Hatchback",185,Table15[[#This Row],[Vehicle_Type]]="Electric",190,Table15[[#This Row],[Vehicle_Type]]="Truck",150)</f>
        <v>190</v>
      </c>
      <c r="H217">
        <f t="shared" ca="1" si="6"/>
        <v>23</v>
      </c>
      <c r="I217">
        <f t="shared" ca="1" si="7"/>
        <v>10</v>
      </c>
      <c r="J217" s="81">
        <f ca="1">24/Table15[[#This Row],[Production_Hours]]</f>
        <v>2.4</v>
      </c>
      <c r="K217" s="82">
        <f ca="1">(Table15[[#This Row],[Daily_Production]]*Table15[[#This Row],[Working_Days]]) -Table15[[#This Row],[Maintenance_Downtime]]</f>
        <v>4367.6000000000004</v>
      </c>
    </row>
    <row r="218" spans="1:11">
      <c r="A218" s="53">
        <v>48485</v>
      </c>
      <c r="B218" s="14" t="s">
        <v>14</v>
      </c>
      <c r="C218" s="14">
        <v>76</v>
      </c>
      <c r="D218" s="14">
        <v>29249.722064837366</v>
      </c>
      <c r="E218" s="82">
        <f>_xlfn.FORECAST.LINEAR(Table15[[#This Row],[Date]],Table15[Units_Sold],Table15[Date])</f>
        <v>99.246344041376176</v>
      </c>
      <c r="F218" s="138">
        <f>Table15[[#This Row],[Average_Price]]/Table15[[#This Row],[Units_Sold]]</f>
        <v>384.864764011018</v>
      </c>
      <c r="G218" cm="1">
        <f t="array" ref="G218">_xlfn.IFS(Table15[[#This Row],[Vehicle_Type]]="SUV",250,Table15[[#This Row],[Vehicle_Type]]="Sedan",200,Table15[[#This Row],[Vehicle_Type]]="Hatchback",185,Table15[[#This Row],[Vehicle_Type]]="Electric",190,Table15[[#This Row],[Vehicle_Type]]="Truck",150)</f>
        <v>150</v>
      </c>
      <c r="H218">
        <f t="shared" ca="1" si="6"/>
        <v>20</v>
      </c>
      <c r="I218">
        <f t="shared" ca="1" si="7"/>
        <v>9</v>
      </c>
      <c r="J218" s="81">
        <f ca="1">24/Table15[[#This Row],[Production_Hours]]</f>
        <v>2.6666666666666665</v>
      </c>
      <c r="K218" s="82">
        <f ca="1">(Table15[[#This Row],[Daily_Production]]*Table15[[#This Row],[Working_Days]]) -Table15[[#This Row],[Maintenance_Downtime]]</f>
        <v>2997.3333333333335</v>
      </c>
    </row>
    <row r="219" spans="1:11">
      <c r="A219" s="54">
        <v>48515</v>
      </c>
      <c r="B219" s="15" t="s">
        <v>12</v>
      </c>
      <c r="C219" s="15">
        <v>96</v>
      </c>
      <c r="D219" s="15">
        <v>38106.295579999998</v>
      </c>
      <c r="E219" s="82">
        <f>_xlfn.FORECAST.LINEAR(Table15[[#This Row],[Date]],Table15[Units_Sold],Table15[Date])</f>
        <v>99.247945711782847</v>
      </c>
      <c r="F219" s="138">
        <f>Table15[[#This Row],[Average_Price]]/Table15[[#This Row],[Units_Sold]]</f>
        <v>396.94057895833333</v>
      </c>
      <c r="G219" cm="1">
        <f t="array" ref="G219">_xlfn.IFS(Table15[[#This Row],[Vehicle_Type]]="SUV",250,Table15[[#This Row],[Vehicle_Type]]="Sedan",200,Table15[[#This Row],[Vehicle_Type]]="Hatchback",185,Table15[[#This Row],[Vehicle_Type]]="Electric",190,Table15[[#This Row],[Vehicle_Type]]="Truck",150)</f>
        <v>250</v>
      </c>
      <c r="H219">
        <f t="shared" ca="1" si="6"/>
        <v>22</v>
      </c>
      <c r="I219">
        <f t="shared" ca="1" si="7"/>
        <v>12</v>
      </c>
      <c r="J219" s="81">
        <f ca="1">24/Table15[[#This Row],[Production_Hours]]</f>
        <v>2</v>
      </c>
      <c r="K219" s="82">
        <f ca="1">(Table15[[#This Row],[Daily_Production]]*Table15[[#This Row],[Working_Days]]) -Table15[[#This Row],[Maintenance_Downtime]]</f>
        <v>5498</v>
      </c>
    </row>
    <row r="220" spans="1:11">
      <c r="A220" s="53">
        <v>48545</v>
      </c>
      <c r="B220" s="14" t="s">
        <v>14</v>
      </c>
      <c r="C220" s="14">
        <v>103</v>
      </c>
      <c r="D220" s="14">
        <v>29134.640878580652</v>
      </c>
      <c r="E220" s="82">
        <f>_xlfn.FORECAST.LINEAR(Table15[[#This Row],[Date]],Table15[Units_Sold],Table15[Date])</f>
        <v>99.249547382189533</v>
      </c>
      <c r="F220" s="138">
        <f>Table15[[#This Row],[Average_Price]]/Table15[[#This Row],[Units_Sold]]</f>
        <v>282.8605910541811</v>
      </c>
      <c r="G220" cm="1">
        <f t="array" ref="G220">_xlfn.IFS(Table15[[#This Row],[Vehicle_Type]]="SUV",250,Table15[[#This Row],[Vehicle_Type]]="Sedan",200,Table15[[#This Row],[Vehicle_Type]]="Hatchback",185,Table15[[#This Row],[Vehicle_Type]]="Electric",190,Table15[[#This Row],[Vehicle_Type]]="Truck",150)</f>
        <v>150</v>
      </c>
      <c r="H220">
        <f t="shared" ca="1" si="6"/>
        <v>21</v>
      </c>
      <c r="I220">
        <f t="shared" ca="1" si="7"/>
        <v>11</v>
      </c>
      <c r="J220" s="81">
        <f ca="1">24/Table15[[#This Row],[Production_Hours]]</f>
        <v>2.1818181818181817</v>
      </c>
      <c r="K220" s="82">
        <f ca="1">(Table15[[#This Row],[Daily_Production]]*Table15[[#This Row],[Working_Days]]) -Table15[[#This Row],[Maintenance_Downtime]]</f>
        <v>3147.818181818182</v>
      </c>
    </row>
    <row r="221" spans="1:11">
      <c r="A221" s="54">
        <v>48575</v>
      </c>
      <c r="B221" s="15" t="s">
        <v>14</v>
      </c>
      <c r="C221" s="15">
        <v>111</v>
      </c>
      <c r="D221" s="15">
        <v>30077.895237907338</v>
      </c>
      <c r="E221" s="82">
        <f>_xlfn.FORECAST.LINEAR(Table15[[#This Row],[Date]],Table15[Units_Sold],Table15[Date])</f>
        <v>99.251149052596219</v>
      </c>
      <c r="F221" s="138">
        <f>Table15[[#This Row],[Average_Price]]/Table15[[#This Row],[Units_Sold]]</f>
        <v>270.97202917033638</v>
      </c>
      <c r="G221" cm="1">
        <f t="array" ref="G221">_xlfn.IFS(Table15[[#This Row],[Vehicle_Type]]="SUV",250,Table15[[#This Row],[Vehicle_Type]]="Sedan",200,Table15[[#This Row],[Vehicle_Type]]="Hatchback",185,Table15[[#This Row],[Vehicle_Type]]="Electric",190,Table15[[#This Row],[Vehicle_Type]]="Truck",150)</f>
        <v>150</v>
      </c>
      <c r="H221">
        <f t="shared" ca="1" si="6"/>
        <v>22</v>
      </c>
      <c r="I221">
        <f t="shared" ca="1" si="7"/>
        <v>8</v>
      </c>
      <c r="J221" s="81">
        <f ca="1">24/Table15[[#This Row],[Production_Hours]]</f>
        <v>3</v>
      </c>
      <c r="K221" s="82">
        <f ca="1">(Table15[[#This Row],[Daily_Production]]*Table15[[#This Row],[Working_Days]]) -Table15[[#This Row],[Maintenance_Downtime]]</f>
        <v>3297</v>
      </c>
    </row>
    <row r="222" spans="1:11">
      <c r="A222" s="53">
        <v>48605</v>
      </c>
      <c r="B222" s="14" t="s">
        <v>12</v>
      </c>
      <c r="C222" s="14">
        <v>97</v>
      </c>
      <c r="D222" s="14">
        <v>24518.624565523991</v>
      </c>
      <c r="E222" s="82">
        <f>_xlfn.FORECAST.LINEAR(Table15[[#This Row],[Date]],Table15[Units_Sold],Table15[Date])</f>
        <v>99.25275072300289</v>
      </c>
      <c r="F222" s="138">
        <f>Table15[[#This Row],[Average_Price]]/Table15[[#This Row],[Units_Sold]]</f>
        <v>252.7693254177731</v>
      </c>
      <c r="G222" cm="1">
        <f t="array" ref="G222">_xlfn.IFS(Table15[[#This Row],[Vehicle_Type]]="SUV",250,Table15[[#This Row],[Vehicle_Type]]="Sedan",200,Table15[[#This Row],[Vehicle_Type]]="Hatchback",185,Table15[[#This Row],[Vehicle_Type]]="Electric",190,Table15[[#This Row],[Vehicle_Type]]="Truck",150)</f>
        <v>250</v>
      </c>
      <c r="H222">
        <f t="shared" ca="1" si="6"/>
        <v>25</v>
      </c>
      <c r="I222">
        <f t="shared" ca="1" si="7"/>
        <v>10</v>
      </c>
      <c r="J222" s="81">
        <f ca="1">24/Table15[[#This Row],[Production_Hours]]</f>
        <v>2.4</v>
      </c>
      <c r="K222" s="82">
        <f ca="1">(Table15[[#This Row],[Daily_Production]]*Table15[[#This Row],[Working_Days]]) -Table15[[#This Row],[Maintenance_Downtime]]</f>
        <v>6247.6</v>
      </c>
    </row>
    <row r="223" spans="1:11">
      <c r="A223" s="54">
        <v>48635</v>
      </c>
      <c r="B223" s="15" t="s">
        <v>10</v>
      </c>
      <c r="C223" s="15">
        <v>112</v>
      </c>
      <c r="D223" s="15">
        <v>22799.745587028527</v>
      </c>
      <c r="E223" s="82">
        <f>_xlfn.FORECAST.LINEAR(Table15[[#This Row],[Date]],Table15[Units_Sold],Table15[Date])</f>
        <v>99.254352393409576</v>
      </c>
      <c r="F223" s="138">
        <f>Table15[[#This Row],[Average_Price]]/Table15[[#This Row],[Units_Sold]]</f>
        <v>203.5691570270404</v>
      </c>
      <c r="G223" cm="1">
        <f t="array" ref="G223">_xlfn.IFS(Table15[[#This Row],[Vehicle_Type]]="SUV",250,Table15[[#This Row],[Vehicle_Type]]="Sedan",200,Table15[[#This Row],[Vehicle_Type]]="Hatchback",185,Table15[[#This Row],[Vehicle_Type]]="Electric",190,Table15[[#This Row],[Vehicle_Type]]="Truck",150)</f>
        <v>200</v>
      </c>
      <c r="H223">
        <f t="shared" ca="1" si="6"/>
        <v>21</v>
      </c>
      <c r="I223">
        <f t="shared" ca="1" si="7"/>
        <v>12</v>
      </c>
      <c r="J223" s="81">
        <f ca="1">24/Table15[[#This Row],[Production_Hours]]</f>
        <v>2</v>
      </c>
      <c r="K223" s="82">
        <f ca="1">(Table15[[#This Row],[Daily_Production]]*Table15[[#This Row],[Working_Days]]) -Table15[[#This Row],[Maintenance_Downtime]]</f>
        <v>4198</v>
      </c>
    </row>
    <row r="224" spans="1:11">
      <c r="A224" s="53">
        <v>48665</v>
      </c>
      <c r="B224" s="14" t="s">
        <v>10</v>
      </c>
      <c r="C224" s="14">
        <v>99</v>
      </c>
      <c r="D224" s="14">
        <v>37972.525316124862</v>
      </c>
      <c r="E224" s="82">
        <f>_xlfn.FORECAST.LINEAR(Table15[[#This Row],[Date]],Table15[Units_Sold],Table15[Date])</f>
        <v>99.255954063816262</v>
      </c>
      <c r="F224" s="138">
        <f>Table15[[#This Row],[Average_Price]]/Table15[[#This Row],[Units_Sold]]</f>
        <v>383.56086177903899</v>
      </c>
      <c r="G224" cm="1">
        <f t="array" ref="G224">_xlfn.IFS(Table15[[#This Row],[Vehicle_Type]]="SUV",250,Table15[[#This Row],[Vehicle_Type]]="Sedan",200,Table15[[#This Row],[Vehicle_Type]]="Hatchback",185,Table15[[#This Row],[Vehicle_Type]]="Electric",190,Table15[[#This Row],[Vehicle_Type]]="Truck",150)</f>
        <v>200</v>
      </c>
      <c r="H224">
        <f t="shared" ca="1" si="6"/>
        <v>20</v>
      </c>
      <c r="I224">
        <f t="shared" ca="1" si="7"/>
        <v>11</v>
      </c>
      <c r="J224" s="81">
        <f ca="1">24/Table15[[#This Row],[Production_Hours]]</f>
        <v>2.1818181818181817</v>
      </c>
      <c r="K224" s="82">
        <f ca="1">(Table15[[#This Row],[Daily_Production]]*Table15[[#This Row],[Working_Days]]) -Table15[[#This Row],[Maintenance_Downtime]]</f>
        <v>3997.818181818182</v>
      </c>
    </row>
    <row r="225" spans="1:11">
      <c r="A225" s="54">
        <v>48695</v>
      </c>
      <c r="B225" s="15" t="s">
        <v>14</v>
      </c>
      <c r="C225" s="15">
        <v>124</v>
      </c>
      <c r="D225" s="15">
        <v>25765.193258408362</v>
      </c>
      <c r="E225" s="82">
        <f>_xlfn.FORECAST.LINEAR(Table15[[#This Row],[Date]],Table15[Units_Sold],Table15[Date])</f>
        <v>99.257555734222947</v>
      </c>
      <c r="F225" s="138">
        <f>Table15[[#This Row],[Average_Price]]/Table15[[#This Row],[Units_Sold]]</f>
        <v>207.78381660006744</v>
      </c>
      <c r="G225" cm="1">
        <f t="array" ref="G225">_xlfn.IFS(Table15[[#This Row],[Vehicle_Type]]="SUV",250,Table15[[#This Row],[Vehicle_Type]]="Sedan",200,Table15[[#This Row],[Vehicle_Type]]="Hatchback",185,Table15[[#This Row],[Vehicle_Type]]="Electric",190,Table15[[#This Row],[Vehicle_Type]]="Truck",150)</f>
        <v>150</v>
      </c>
      <c r="H225">
        <f t="shared" ca="1" si="6"/>
        <v>22</v>
      </c>
      <c r="I225">
        <f t="shared" ca="1" si="7"/>
        <v>12</v>
      </c>
      <c r="J225" s="81">
        <f ca="1">24/Table15[[#This Row],[Production_Hours]]</f>
        <v>2</v>
      </c>
      <c r="K225" s="82">
        <f ca="1">(Table15[[#This Row],[Daily_Production]]*Table15[[#This Row],[Working_Days]]) -Table15[[#This Row],[Maintenance_Downtime]]</f>
        <v>3298</v>
      </c>
    </row>
    <row r="226" spans="1:11">
      <c r="A226" s="53">
        <v>48725</v>
      </c>
      <c r="B226" s="14" t="s">
        <v>11</v>
      </c>
      <c r="C226" s="14">
        <v>91</v>
      </c>
      <c r="D226" s="14">
        <v>25043.038252718463</v>
      </c>
      <c r="E226" s="82">
        <f>_xlfn.FORECAST.LINEAR(Table15[[#This Row],[Date]],Table15[Units_Sold],Table15[Date])</f>
        <v>99.259157404629619</v>
      </c>
      <c r="F226" s="138">
        <f>Table15[[#This Row],[Average_Price]]/Table15[[#This Row],[Units_Sold]]</f>
        <v>275.19822255734573</v>
      </c>
      <c r="G226" cm="1">
        <f t="array" ref="G226">_xlfn.IFS(Table15[[#This Row],[Vehicle_Type]]="SUV",250,Table15[[#This Row],[Vehicle_Type]]="Sedan",200,Table15[[#This Row],[Vehicle_Type]]="Hatchback",185,Table15[[#This Row],[Vehicle_Type]]="Electric",190,Table15[[#This Row],[Vehicle_Type]]="Truck",150)</f>
        <v>185</v>
      </c>
      <c r="H226">
        <f t="shared" ca="1" si="6"/>
        <v>25</v>
      </c>
      <c r="I226">
        <f t="shared" ca="1" si="7"/>
        <v>10</v>
      </c>
      <c r="J226" s="81">
        <f ca="1">24/Table15[[#This Row],[Production_Hours]]</f>
        <v>2.4</v>
      </c>
      <c r="K226" s="82">
        <f ca="1">(Table15[[#This Row],[Daily_Production]]*Table15[[#This Row],[Working_Days]]) -Table15[[#This Row],[Maintenance_Downtime]]</f>
        <v>4622.6000000000004</v>
      </c>
    </row>
    <row r="227" spans="1:11">
      <c r="A227" s="54">
        <v>48755</v>
      </c>
      <c r="B227" s="15" t="s">
        <v>14</v>
      </c>
      <c r="C227" s="15">
        <v>103</v>
      </c>
      <c r="D227" s="15">
        <v>19233.049431981424</v>
      </c>
      <c r="E227" s="82">
        <f>_xlfn.FORECAST.LINEAR(Table15[[#This Row],[Date]],Table15[Units_Sold],Table15[Date])</f>
        <v>99.260759075036304</v>
      </c>
      <c r="F227" s="138">
        <f>Table15[[#This Row],[Average_Price]]/Table15[[#This Row],[Units_Sold]]</f>
        <v>186.72863526195559</v>
      </c>
      <c r="G227" cm="1">
        <f t="array" ref="G227">_xlfn.IFS(Table15[[#This Row],[Vehicle_Type]]="SUV",250,Table15[[#This Row],[Vehicle_Type]]="Sedan",200,Table15[[#This Row],[Vehicle_Type]]="Hatchback",185,Table15[[#This Row],[Vehicle_Type]]="Electric",190,Table15[[#This Row],[Vehicle_Type]]="Truck",150)</f>
        <v>150</v>
      </c>
      <c r="H227">
        <f t="shared" ca="1" si="6"/>
        <v>21</v>
      </c>
      <c r="I227">
        <f t="shared" ca="1" si="7"/>
        <v>10</v>
      </c>
      <c r="J227" s="81">
        <f ca="1">24/Table15[[#This Row],[Production_Hours]]</f>
        <v>2.4</v>
      </c>
      <c r="K227" s="82">
        <f ca="1">(Table15[[#This Row],[Daily_Production]]*Table15[[#This Row],[Working_Days]]) -Table15[[#This Row],[Maintenance_Downtime]]</f>
        <v>3147.6</v>
      </c>
    </row>
    <row r="228" spans="1:11">
      <c r="A228" s="53">
        <v>48785</v>
      </c>
      <c r="B228" s="14" t="s">
        <v>14</v>
      </c>
      <c r="C228" s="14">
        <v>86</v>
      </c>
      <c r="D228" s="14">
        <v>26805.191261552489</v>
      </c>
      <c r="E228" s="82">
        <f>_xlfn.FORECAST.LINEAR(Table15[[#This Row],[Date]],Table15[Units_Sold],Table15[Date])</f>
        <v>99.26236074544299</v>
      </c>
      <c r="F228" s="138">
        <f>Table15[[#This Row],[Average_Price]]/Table15[[#This Row],[Units_Sold]]</f>
        <v>311.68827048316848</v>
      </c>
      <c r="G228" cm="1">
        <f t="array" ref="G228">_xlfn.IFS(Table15[[#This Row],[Vehicle_Type]]="SUV",250,Table15[[#This Row],[Vehicle_Type]]="Sedan",200,Table15[[#This Row],[Vehicle_Type]]="Hatchback",185,Table15[[#This Row],[Vehicle_Type]]="Electric",190,Table15[[#This Row],[Vehicle_Type]]="Truck",150)</f>
        <v>150</v>
      </c>
      <c r="H228">
        <f t="shared" ca="1" si="6"/>
        <v>21</v>
      </c>
      <c r="I228">
        <f t="shared" ca="1" si="7"/>
        <v>8</v>
      </c>
      <c r="J228" s="81">
        <f ca="1">24/Table15[[#This Row],[Production_Hours]]</f>
        <v>3</v>
      </c>
      <c r="K228" s="82">
        <f ca="1">(Table15[[#This Row],[Daily_Production]]*Table15[[#This Row],[Working_Days]]) -Table15[[#This Row],[Maintenance_Downtime]]</f>
        <v>3147</v>
      </c>
    </row>
    <row r="229" spans="1:11">
      <c r="A229" s="54">
        <v>48815</v>
      </c>
      <c r="B229" s="15" t="s">
        <v>14</v>
      </c>
      <c r="C229" s="15">
        <v>101</v>
      </c>
      <c r="D229" s="15">
        <v>23384.55103296251</v>
      </c>
      <c r="E229" s="82">
        <f>_xlfn.FORECAST.LINEAR(Table15[[#This Row],[Date]],Table15[Units_Sold],Table15[Date])</f>
        <v>99.263962415849662</v>
      </c>
      <c r="F229" s="138">
        <f>Table15[[#This Row],[Average_Price]]/Table15[[#This Row],[Units_Sold]]</f>
        <v>231.53020824715358</v>
      </c>
      <c r="G229" cm="1">
        <f t="array" ref="G229">_xlfn.IFS(Table15[[#This Row],[Vehicle_Type]]="SUV",250,Table15[[#This Row],[Vehicle_Type]]="Sedan",200,Table15[[#This Row],[Vehicle_Type]]="Hatchback",185,Table15[[#This Row],[Vehicle_Type]]="Electric",190,Table15[[#This Row],[Vehicle_Type]]="Truck",150)</f>
        <v>150</v>
      </c>
      <c r="H229">
        <f t="shared" ca="1" si="6"/>
        <v>23</v>
      </c>
      <c r="I229">
        <f t="shared" ca="1" si="7"/>
        <v>10</v>
      </c>
      <c r="J229" s="81">
        <f ca="1">24/Table15[[#This Row],[Production_Hours]]</f>
        <v>2.4</v>
      </c>
      <c r="K229" s="82">
        <f ca="1">(Table15[[#This Row],[Daily_Production]]*Table15[[#This Row],[Working_Days]]) -Table15[[#This Row],[Maintenance_Downtime]]</f>
        <v>3447.6</v>
      </c>
    </row>
    <row r="230" spans="1:11">
      <c r="A230" s="53">
        <v>48845</v>
      </c>
      <c r="B230" s="14" t="s">
        <v>10</v>
      </c>
      <c r="C230" s="14">
        <v>101</v>
      </c>
      <c r="D230" s="14">
        <v>38210.075800681843</v>
      </c>
      <c r="E230" s="82">
        <f>_xlfn.FORECAST.LINEAR(Table15[[#This Row],[Date]],Table15[Units_Sold],Table15[Date])</f>
        <v>99.265564086256347</v>
      </c>
      <c r="F230" s="138">
        <f>Table15[[#This Row],[Average_Price]]/Table15[[#This Row],[Units_Sold]]</f>
        <v>378.31758218496873</v>
      </c>
      <c r="G230" cm="1">
        <f t="array" ref="G230">_xlfn.IFS(Table15[[#This Row],[Vehicle_Type]]="SUV",250,Table15[[#This Row],[Vehicle_Type]]="Sedan",200,Table15[[#This Row],[Vehicle_Type]]="Hatchback",185,Table15[[#This Row],[Vehicle_Type]]="Electric",190,Table15[[#This Row],[Vehicle_Type]]="Truck",150)</f>
        <v>200</v>
      </c>
      <c r="H230">
        <f t="shared" ca="1" si="6"/>
        <v>25</v>
      </c>
      <c r="I230">
        <f t="shared" ca="1" si="7"/>
        <v>10</v>
      </c>
      <c r="J230" s="81">
        <f ca="1">24/Table15[[#This Row],[Production_Hours]]</f>
        <v>2.4</v>
      </c>
      <c r="K230" s="82">
        <f ca="1">(Table15[[#This Row],[Daily_Production]]*Table15[[#This Row],[Working_Days]]) -Table15[[#This Row],[Maintenance_Downtime]]</f>
        <v>4997.6000000000004</v>
      </c>
    </row>
    <row r="231" spans="1:11">
      <c r="A231" s="54">
        <v>48875</v>
      </c>
      <c r="B231" s="15" t="s">
        <v>10</v>
      </c>
      <c r="C231" s="15">
        <v>101</v>
      </c>
      <c r="D231" s="15">
        <v>35049.085446713172</v>
      </c>
      <c r="E231" s="82">
        <f>_xlfn.FORECAST.LINEAR(Table15[[#This Row],[Date]],Table15[Units_Sold],Table15[Date])</f>
        <v>99.267165756663033</v>
      </c>
      <c r="F231" s="138">
        <f>Table15[[#This Row],[Average_Price]]/Table15[[#This Row],[Units_Sold]]</f>
        <v>347.02064798725911</v>
      </c>
      <c r="G231" cm="1">
        <f t="array" ref="G231">_xlfn.IFS(Table15[[#This Row],[Vehicle_Type]]="SUV",250,Table15[[#This Row],[Vehicle_Type]]="Sedan",200,Table15[[#This Row],[Vehicle_Type]]="Hatchback",185,Table15[[#This Row],[Vehicle_Type]]="Electric",190,Table15[[#This Row],[Vehicle_Type]]="Truck",150)</f>
        <v>200</v>
      </c>
      <c r="H231">
        <f t="shared" ca="1" si="6"/>
        <v>22</v>
      </c>
      <c r="I231">
        <f t="shared" ca="1" si="7"/>
        <v>9</v>
      </c>
      <c r="J231" s="81">
        <f ca="1">24/Table15[[#This Row],[Production_Hours]]</f>
        <v>2.6666666666666665</v>
      </c>
      <c r="K231" s="82">
        <f ca="1">(Table15[[#This Row],[Daily_Production]]*Table15[[#This Row],[Working_Days]]) -Table15[[#This Row],[Maintenance_Downtime]]</f>
        <v>4397.333333333333</v>
      </c>
    </row>
    <row r="232" spans="1:11">
      <c r="A232" s="53">
        <v>48905</v>
      </c>
      <c r="B232" s="14" t="s">
        <v>10</v>
      </c>
      <c r="C232" s="14">
        <v>113</v>
      </c>
      <c r="D232" s="14">
        <v>26559.248274111382</v>
      </c>
      <c r="E232" s="82">
        <f>_xlfn.FORECAST.LINEAR(Table15[[#This Row],[Date]],Table15[Units_Sold],Table15[Date])</f>
        <v>99.268767427069719</v>
      </c>
      <c r="F232" s="138">
        <f>Table15[[#This Row],[Average_Price]]/Table15[[#This Row],[Units_Sold]]</f>
        <v>235.03759534611842</v>
      </c>
      <c r="G232" cm="1">
        <f t="array" ref="G232">_xlfn.IFS(Table15[[#This Row],[Vehicle_Type]]="SUV",250,Table15[[#This Row],[Vehicle_Type]]="Sedan",200,Table15[[#This Row],[Vehicle_Type]]="Hatchback",185,Table15[[#This Row],[Vehicle_Type]]="Electric",190,Table15[[#This Row],[Vehicle_Type]]="Truck",150)</f>
        <v>200</v>
      </c>
      <c r="H232">
        <f t="shared" ca="1" si="6"/>
        <v>24</v>
      </c>
      <c r="I232">
        <f t="shared" ca="1" si="7"/>
        <v>9</v>
      </c>
      <c r="J232" s="81">
        <f ca="1">24/Table15[[#This Row],[Production_Hours]]</f>
        <v>2.6666666666666665</v>
      </c>
      <c r="K232" s="82">
        <f ca="1">(Table15[[#This Row],[Daily_Production]]*Table15[[#This Row],[Working_Days]]) -Table15[[#This Row],[Maintenance_Downtime]]</f>
        <v>4797.333333333333</v>
      </c>
    </row>
    <row r="233" spans="1:11">
      <c r="A233" s="54">
        <v>48935</v>
      </c>
      <c r="B233" s="15" t="s">
        <v>14</v>
      </c>
      <c r="C233" s="15">
        <v>87</v>
      </c>
      <c r="D233" s="15">
        <v>41262.17902672154</v>
      </c>
      <c r="E233" s="82">
        <f>_xlfn.FORECAST.LINEAR(Table15[[#This Row],[Date]],Table15[Units_Sold],Table15[Date])</f>
        <v>99.27036909747639</v>
      </c>
      <c r="F233" s="138">
        <f>Table15[[#This Row],[Average_Price]]/Table15[[#This Row],[Units_Sold]]</f>
        <v>474.27791984737405</v>
      </c>
      <c r="G233" cm="1">
        <f t="array" ref="G233">_xlfn.IFS(Table15[[#This Row],[Vehicle_Type]]="SUV",250,Table15[[#This Row],[Vehicle_Type]]="Sedan",200,Table15[[#This Row],[Vehicle_Type]]="Hatchback",185,Table15[[#This Row],[Vehicle_Type]]="Electric",190,Table15[[#This Row],[Vehicle_Type]]="Truck",150)</f>
        <v>150</v>
      </c>
      <c r="H233">
        <f t="shared" ca="1" si="6"/>
        <v>24</v>
      </c>
      <c r="I233">
        <f t="shared" ca="1" si="7"/>
        <v>9</v>
      </c>
      <c r="J233" s="81">
        <f ca="1">24/Table15[[#This Row],[Production_Hours]]</f>
        <v>2.6666666666666665</v>
      </c>
      <c r="K233" s="82">
        <f ca="1">(Table15[[#This Row],[Daily_Production]]*Table15[[#This Row],[Working_Days]]) -Table15[[#This Row],[Maintenance_Downtime]]</f>
        <v>3597.3333333333335</v>
      </c>
    </row>
    <row r="234" spans="1:11">
      <c r="A234" s="53">
        <v>48965</v>
      </c>
      <c r="B234" s="14" t="s">
        <v>11</v>
      </c>
      <c r="C234" s="14">
        <v>108</v>
      </c>
      <c r="D234" s="14">
        <v>34908.827434957973</v>
      </c>
      <c r="E234" s="82">
        <f>_xlfn.FORECAST.LINEAR(Table15[[#This Row],[Date]],Table15[Units_Sold],Table15[Date])</f>
        <v>99.271970767883076</v>
      </c>
      <c r="F234" s="138">
        <f>Table15[[#This Row],[Average_Price]]/Table15[[#This Row],[Units_Sold]]</f>
        <v>323.22988365701826</v>
      </c>
      <c r="G234" cm="1">
        <f t="array" ref="G234">_xlfn.IFS(Table15[[#This Row],[Vehicle_Type]]="SUV",250,Table15[[#This Row],[Vehicle_Type]]="Sedan",200,Table15[[#This Row],[Vehicle_Type]]="Hatchback",185,Table15[[#This Row],[Vehicle_Type]]="Electric",190,Table15[[#This Row],[Vehicle_Type]]="Truck",150)</f>
        <v>185</v>
      </c>
      <c r="H234">
        <f t="shared" ca="1" si="6"/>
        <v>21</v>
      </c>
      <c r="I234">
        <f t="shared" ca="1" si="7"/>
        <v>11</v>
      </c>
      <c r="J234" s="81">
        <f ca="1">24/Table15[[#This Row],[Production_Hours]]</f>
        <v>2.1818181818181817</v>
      </c>
      <c r="K234" s="82">
        <f ca="1">(Table15[[#This Row],[Daily_Production]]*Table15[[#This Row],[Working_Days]]) -Table15[[#This Row],[Maintenance_Downtime]]</f>
        <v>3882.818181818182</v>
      </c>
    </row>
    <row r="235" spans="1:11">
      <c r="A235" s="54">
        <v>48995</v>
      </c>
      <c r="B235" s="15" t="s">
        <v>10</v>
      </c>
      <c r="C235" s="15">
        <v>100</v>
      </c>
      <c r="D235" s="15">
        <v>30949.702720000001</v>
      </c>
      <c r="E235" s="82">
        <f>_xlfn.FORECAST.LINEAR(Table15[[#This Row],[Date]],Table15[Units_Sold],Table15[Date])</f>
        <v>99.273572438289762</v>
      </c>
      <c r="F235" s="138">
        <f>Table15[[#This Row],[Average_Price]]/Table15[[#This Row],[Units_Sold]]</f>
        <v>309.49702719999999</v>
      </c>
      <c r="G235" cm="1">
        <f t="array" ref="G235">_xlfn.IFS(Table15[[#This Row],[Vehicle_Type]]="SUV",250,Table15[[#This Row],[Vehicle_Type]]="Sedan",200,Table15[[#This Row],[Vehicle_Type]]="Hatchback",185,Table15[[#This Row],[Vehicle_Type]]="Electric",190,Table15[[#This Row],[Vehicle_Type]]="Truck",150)</f>
        <v>200</v>
      </c>
      <c r="H235">
        <f t="shared" ca="1" si="6"/>
        <v>20</v>
      </c>
      <c r="I235">
        <f t="shared" ca="1" si="7"/>
        <v>10</v>
      </c>
      <c r="J235" s="81">
        <f ca="1">24/Table15[[#This Row],[Production_Hours]]</f>
        <v>2.4</v>
      </c>
      <c r="K235" s="82">
        <f ca="1">(Table15[[#This Row],[Daily_Production]]*Table15[[#This Row],[Working_Days]]) -Table15[[#This Row],[Maintenance_Downtime]]</f>
        <v>3997.6</v>
      </c>
    </row>
    <row r="236" spans="1:11">
      <c r="A236" s="53">
        <v>49025</v>
      </c>
      <c r="B236" s="14" t="s">
        <v>12</v>
      </c>
      <c r="C236" s="14">
        <v>87</v>
      </c>
      <c r="D236" s="14">
        <v>17502.971425632135</v>
      </c>
      <c r="E236" s="82">
        <f>_xlfn.FORECAST.LINEAR(Table15[[#This Row],[Date]],Table15[Units_Sold],Table15[Date])</f>
        <v>99.275174108696433</v>
      </c>
      <c r="F236" s="138">
        <f>Table15[[#This Row],[Average_Price]]/Table15[[#This Row],[Units_Sold]]</f>
        <v>201.18357960496706</v>
      </c>
      <c r="G236" cm="1">
        <f t="array" ref="G236">_xlfn.IFS(Table15[[#This Row],[Vehicle_Type]]="SUV",250,Table15[[#This Row],[Vehicle_Type]]="Sedan",200,Table15[[#This Row],[Vehicle_Type]]="Hatchback",185,Table15[[#This Row],[Vehicle_Type]]="Electric",190,Table15[[#This Row],[Vehicle_Type]]="Truck",150)</f>
        <v>250</v>
      </c>
      <c r="H236">
        <f t="shared" ca="1" si="6"/>
        <v>25</v>
      </c>
      <c r="I236">
        <f t="shared" ca="1" si="7"/>
        <v>10</v>
      </c>
      <c r="J236" s="81">
        <f ca="1">24/Table15[[#This Row],[Production_Hours]]</f>
        <v>2.4</v>
      </c>
      <c r="K236" s="82">
        <f ca="1">(Table15[[#This Row],[Daily_Production]]*Table15[[#This Row],[Working_Days]]) -Table15[[#This Row],[Maintenance_Downtime]]</f>
        <v>6247.6</v>
      </c>
    </row>
    <row r="237" spans="1:11">
      <c r="A237" s="54">
        <v>49055</v>
      </c>
      <c r="B237" s="15" t="s">
        <v>12</v>
      </c>
      <c r="C237" s="15">
        <v>96</v>
      </c>
      <c r="D237" s="15">
        <v>41454.712862953711</v>
      </c>
      <c r="E237" s="82">
        <f>_xlfn.FORECAST.LINEAR(Table15[[#This Row],[Date]],Table15[Units_Sold],Table15[Date])</f>
        <v>99.276775779103119</v>
      </c>
      <c r="F237" s="138">
        <f>Table15[[#This Row],[Average_Price]]/Table15[[#This Row],[Units_Sold]]</f>
        <v>431.8199256557678</v>
      </c>
      <c r="G237" cm="1">
        <f t="array" ref="G237">_xlfn.IFS(Table15[[#This Row],[Vehicle_Type]]="SUV",250,Table15[[#This Row],[Vehicle_Type]]="Sedan",200,Table15[[#This Row],[Vehicle_Type]]="Hatchback",185,Table15[[#This Row],[Vehicle_Type]]="Electric",190,Table15[[#This Row],[Vehicle_Type]]="Truck",150)</f>
        <v>250</v>
      </c>
      <c r="H237">
        <f t="shared" ca="1" si="6"/>
        <v>20</v>
      </c>
      <c r="I237">
        <f t="shared" ca="1" si="7"/>
        <v>9</v>
      </c>
      <c r="J237" s="81">
        <f ca="1">24/Table15[[#This Row],[Production_Hours]]</f>
        <v>2.6666666666666665</v>
      </c>
      <c r="K237" s="82">
        <f ca="1">(Table15[[#This Row],[Daily_Production]]*Table15[[#This Row],[Working_Days]]) -Table15[[#This Row],[Maintenance_Downtime]]</f>
        <v>4997.333333333333</v>
      </c>
    </row>
    <row r="238" spans="1:11">
      <c r="A238" s="53">
        <v>49085</v>
      </c>
      <c r="B238" s="14" t="s">
        <v>12</v>
      </c>
      <c r="C238" s="14">
        <v>97</v>
      </c>
      <c r="D238" s="14">
        <v>23052.137666182018</v>
      </c>
      <c r="E238" s="82">
        <f>_xlfn.FORECAST.LINEAR(Table15[[#This Row],[Date]],Table15[Units_Sold],Table15[Date])</f>
        <v>99.278377449509804</v>
      </c>
      <c r="F238" s="138">
        <f>Table15[[#This Row],[Average_Price]]/Table15[[#This Row],[Units_Sold]]</f>
        <v>237.65090377507235</v>
      </c>
      <c r="G238" cm="1">
        <f t="array" ref="G238">_xlfn.IFS(Table15[[#This Row],[Vehicle_Type]]="SUV",250,Table15[[#This Row],[Vehicle_Type]]="Sedan",200,Table15[[#This Row],[Vehicle_Type]]="Hatchback",185,Table15[[#This Row],[Vehicle_Type]]="Electric",190,Table15[[#This Row],[Vehicle_Type]]="Truck",150)</f>
        <v>250</v>
      </c>
      <c r="H238">
        <f t="shared" ca="1" si="6"/>
        <v>22</v>
      </c>
      <c r="I238">
        <f t="shared" ca="1" si="7"/>
        <v>11</v>
      </c>
      <c r="J238" s="81">
        <f ca="1">24/Table15[[#This Row],[Production_Hours]]</f>
        <v>2.1818181818181817</v>
      </c>
      <c r="K238" s="82">
        <f ca="1">(Table15[[#This Row],[Daily_Production]]*Table15[[#This Row],[Working_Days]]) -Table15[[#This Row],[Maintenance_Downtime]]</f>
        <v>5497.818181818182</v>
      </c>
    </row>
    <row r="239" spans="1:11">
      <c r="A239" s="54">
        <v>49115</v>
      </c>
      <c r="B239" s="15" t="s">
        <v>13</v>
      </c>
      <c r="C239" s="15">
        <v>116</v>
      </c>
      <c r="D239" s="15">
        <v>38106.295579999998</v>
      </c>
      <c r="E239" s="82">
        <f>_xlfn.FORECAST.LINEAR(Table15[[#This Row],[Date]],Table15[Units_Sold],Table15[Date])</f>
        <v>99.27997911991649</v>
      </c>
      <c r="F239" s="138">
        <f>Table15[[#This Row],[Average_Price]]/Table15[[#This Row],[Units_Sold]]</f>
        <v>328.50254810344825</v>
      </c>
      <c r="G239" cm="1">
        <f t="array" ref="G239">_xlfn.IFS(Table15[[#This Row],[Vehicle_Type]]="SUV",250,Table15[[#This Row],[Vehicle_Type]]="Sedan",200,Table15[[#This Row],[Vehicle_Type]]="Hatchback",185,Table15[[#This Row],[Vehicle_Type]]="Electric",190,Table15[[#This Row],[Vehicle_Type]]="Truck",150)</f>
        <v>190</v>
      </c>
      <c r="H239">
        <f t="shared" ca="1" si="6"/>
        <v>25</v>
      </c>
      <c r="I239">
        <f t="shared" ca="1" si="7"/>
        <v>11</v>
      </c>
      <c r="J239" s="81">
        <f ca="1">24/Table15[[#This Row],[Production_Hours]]</f>
        <v>2.1818181818181817</v>
      </c>
      <c r="K239" s="82">
        <f ca="1">(Table15[[#This Row],[Daily_Production]]*Table15[[#This Row],[Working_Days]]) -Table15[[#This Row],[Maintenance_Downtime]]</f>
        <v>4747.818181818182</v>
      </c>
    </row>
    <row r="240" spans="1:11">
      <c r="A240" s="53">
        <v>49145</v>
      </c>
      <c r="B240" s="14" t="s">
        <v>14</v>
      </c>
      <c r="C240" s="14">
        <v>100</v>
      </c>
      <c r="D240" s="14">
        <v>35112.852160048198</v>
      </c>
      <c r="E240" s="82">
        <f>_xlfn.FORECAST.LINEAR(Table15[[#This Row],[Date]],Table15[Units_Sold],Table15[Date])</f>
        <v>99.281580790323162</v>
      </c>
      <c r="F240" s="138">
        <f>Table15[[#This Row],[Average_Price]]/Table15[[#This Row],[Units_Sold]]</f>
        <v>351.12852160048197</v>
      </c>
      <c r="G240" cm="1">
        <f t="array" ref="G240">_xlfn.IFS(Table15[[#This Row],[Vehicle_Type]]="SUV",250,Table15[[#This Row],[Vehicle_Type]]="Sedan",200,Table15[[#This Row],[Vehicle_Type]]="Hatchback",185,Table15[[#This Row],[Vehicle_Type]]="Electric",190,Table15[[#This Row],[Vehicle_Type]]="Truck",150)</f>
        <v>150</v>
      </c>
      <c r="H240">
        <f t="shared" ca="1" si="6"/>
        <v>21</v>
      </c>
      <c r="I240">
        <f t="shared" ca="1" si="7"/>
        <v>10</v>
      </c>
      <c r="J240" s="81">
        <f ca="1">24/Table15[[#This Row],[Production_Hours]]</f>
        <v>2.4</v>
      </c>
      <c r="K240" s="82">
        <f ca="1">(Table15[[#This Row],[Daily_Production]]*Table15[[#This Row],[Working_Days]]) -Table15[[#This Row],[Maintenance_Downtime]]</f>
        <v>3147.6</v>
      </c>
    </row>
    <row r="241" spans="1:11">
      <c r="A241" s="54">
        <v>49175</v>
      </c>
      <c r="B241" s="15" t="s">
        <v>12</v>
      </c>
      <c r="C241" s="15">
        <v>97</v>
      </c>
      <c r="D241" s="15">
        <v>42198.762031696366</v>
      </c>
      <c r="E241" s="82">
        <f>_xlfn.FORECAST.LINEAR(Table15[[#This Row],[Date]],Table15[Units_Sold],Table15[Date])</f>
        <v>99.283182460729847</v>
      </c>
      <c r="F241" s="138">
        <f>Table15[[#This Row],[Average_Price]]/Table15[[#This Row],[Units_Sold]]</f>
        <v>435.03878383192131</v>
      </c>
      <c r="G241" cm="1">
        <f t="array" ref="G241">_xlfn.IFS(Table15[[#This Row],[Vehicle_Type]]="SUV",250,Table15[[#This Row],[Vehicle_Type]]="Sedan",200,Table15[[#This Row],[Vehicle_Type]]="Hatchback",185,Table15[[#This Row],[Vehicle_Type]]="Electric",190,Table15[[#This Row],[Vehicle_Type]]="Truck",150)</f>
        <v>250</v>
      </c>
      <c r="H241">
        <f t="shared" ca="1" si="6"/>
        <v>23</v>
      </c>
      <c r="I241">
        <f t="shared" ca="1" si="7"/>
        <v>8</v>
      </c>
      <c r="J241" s="81">
        <f ca="1">24/Table15[[#This Row],[Production_Hours]]</f>
        <v>3</v>
      </c>
      <c r="K241" s="82">
        <f ca="1">(Table15[[#This Row],[Daily_Production]]*Table15[[#This Row],[Working_Days]]) -Table15[[#This Row],[Maintenance_Downtime]]</f>
        <v>5747</v>
      </c>
    </row>
    <row r="242" spans="1:11">
      <c r="A242" s="53">
        <v>49205</v>
      </c>
      <c r="B242" s="14" t="s">
        <v>14</v>
      </c>
      <c r="C242" s="14">
        <v>100</v>
      </c>
      <c r="D242" s="14">
        <v>36921.364092552591</v>
      </c>
      <c r="E242" s="82">
        <f>_xlfn.FORECAST.LINEAR(Table15[[#This Row],[Date]],Table15[Units_Sold],Table15[Date])</f>
        <v>99.284784131136533</v>
      </c>
      <c r="F242" s="138">
        <f>Table15[[#This Row],[Average_Price]]/Table15[[#This Row],[Units_Sold]]</f>
        <v>369.21364092552591</v>
      </c>
      <c r="G242" cm="1">
        <f t="array" ref="G242">_xlfn.IFS(Table15[[#This Row],[Vehicle_Type]]="SUV",250,Table15[[#This Row],[Vehicle_Type]]="Sedan",200,Table15[[#This Row],[Vehicle_Type]]="Hatchback",185,Table15[[#This Row],[Vehicle_Type]]="Electric",190,Table15[[#This Row],[Vehicle_Type]]="Truck",150)</f>
        <v>150</v>
      </c>
      <c r="H242">
        <f t="shared" ca="1" si="6"/>
        <v>24</v>
      </c>
      <c r="I242">
        <f t="shared" ca="1" si="7"/>
        <v>11</v>
      </c>
      <c r="J242" s="81">
        <f ca="1">24/Table15[[#This Row],[Production_Hours]]</f>
        <v>2.1818181818181817</v>
      </c>
      <c r="K242" s="82">
        <f ca="1">(Table15[[#This Row],[Daily_Production]]*Table15[[#This Row],[Working_Days]]) -Table15[[#This Row],[Maintenance_Downtime]]</f>
        <v>3597.818181818182</v>
      </c>
    </row>
    <row r="243" spans="1:11">
      <c r="A243" s="54">
        <v>49235</v>
      </c>
      <c r="B243" s="15" t="s">
        <v>12</v>
      </c>
      <c r="C243" s="15">
        <v>99</v>
      </c>
      <c r="D243" s="15">
        <v>32819.545600261801</v>
      </c>
      <c r="E243" s="82">
        <f>_xlfn.FORECAST.LINEAR(Table15[[#This Row],[Date]],Table15[Units_Sold],Table15[Date])</f>
        <v>99.286385801543204</v>
      </c>
      <c r="F243" s="138">
        <f>Table15[[#This Row],[Average_Price]]/Table15[[#This Row],[Units_Sold]]</f>
        <v>331.51056161880609</v>
      </c>
      <c r="G243" cm="1">
        <f t="array" ref="G243">_xlfn.IFS(Table15[[#This Row],[Vehicle_Type]]="SUV",250,Table15[[#This Row],[Vehicle_Type]]="Sedan",200,Table15[[#This Row],[Vehicle_Type]]="Hatchback",185,Table15[[#This Row],[Vehicle_Type]]="Electric",190,Table15[[#This Row],[Vehicle_Type]]="Truck",150)</f>
        <v>250</v>
      </c>
      <c r="H243">
        <f t="shared" ca="1" si="6"/>
        <v>22</v>
      </c>
      <c r="I243">
        <f t="shared" ca="1" si="7"/>
        <v>8</v>
      </c>
      <c r="J243" s="81">
        <f ca="1">24/Table15[[#This Row],[Production_Hours]]</f>
        <v>3</v>
      </c>
      <c r="K243" s="82">
        <f ca="1">(Table15[[#This Row],[Daily_Production]]*Table15[[#This Row],[Working_Days]]) -Table15[[#This Row],[Maintenance_Downtime]]</f>
        <v>5497</v>
      </c>
    </row>
    <row r="244" spans="1:11">
      <c r="A244" s="53">
        <v>49265</v>
      </c>
      <c r="B244" s="14" t="s">
        <v>11</v>
      </c>
      <c r="C244" s="14">
        <v>100</v>
      </c>
      <c r="D244" s="14">
        <v>32973.771708326429</v>
      </c>
      <c r="E244" s="82">
        <f>_xlfn.FORECAST.LINEAR(Table15[[#This Row],[Date]],Table15[Units_Sold],Table15[Date])</f>
        <v>99.28798747194989</v>
      </c>
      <c r="F244" s="138">
        <f>Table15[[#This Row],[Average_Price]]/Table15[[#This Row],[Units_Sold]]</f>
        <v>329.73771708326427</v>
      </c>
      <c r="G244" cm="1">
        <f t="array" ref="G244">_xlfn.IFS(Table15[[#This Row],[Vehicle_Type]]="SUV",250,Table15[[#This Row],[Vehicle_Type]]="Sedan",200,Table15[[#This Row],[Vehicle_Type]]="Hatchback",185,Table15[[#This Row],[Vehicle_Type]]="Electric",190,Table15[[#This Row],[Vehicle_Type]]="Truck",150)</f>
        <v>185</v>
      </c>
      <c r="H244">
        <f t="shared" ca="1" si="6"/>
        <v>22</v>
      </c>
      <c r="I244">
        <f t="shared" ca="1" si="7"/>
        <v>12</v>
      </c>
      <c r="J244" s="81">
        <f ca="1">24/Table15[[#This Row],[Production_Hours]]</f>
        <v>2</v>
      </c>
      <c r="K244" s="82">
        <f ca="1">(Table15[[#This Row],[Daily_Production]]*Table15[[#This Row],[Working_Days]]) -Table15[[#This Row],[Maintenance_Downtime]]</f>
        <v>4068</v>
      </c>
    </row>
    <row r="245" spans="1:11">
      <c r="A245" s="54">
        <v>49295</v>
      </c>
      <c r="B245" s="15" t="s">
        <v>14</v>
      </c>
      <c r="C245" s="15">
        <v>100</v>
      </c>
      <c r="D245" s="15">
        <v>34267.077793901539</v>
      </c>
      <c r="E245" s="82">
        <f>_xlfn.FORECAST.LINEAR(Table15[[#This Row],[Date]],Table15[Units_Sold],Table15[Date])</f>
        <v>99.289589142356576</v>
      </c>
      <c r="F245" s="138">
        <f>Table15[[#This Row],[Average_Price]]/Table15[[#This Row],[Units_Sold]]</f>
        <v>342.67077793901541</v>
      </c>
      <c r="G245" cm="1">
        <f t="array" ref="G245">_xlfn.IFS(Table15[[#This Row],[Vehicle_Type]]="SUV",250,Table15[[#This Row],[Vehicle_Type]]="Sedan",200,Table15[[#This Row],[Vehicle_Type]]="Hatchback",185,Table15[[#This Row],[Vehicle_Type]]="Electric",190,Table15[[#This Row],[Vehicle_Type]]="Truck",150)</f>
        <v>150</v>
      </c>
      <c r="H245">
        <f t="shared" ca="1" si="6"/>
        <v>25</v>
      </c>
      <c r="I245">
        <f t="shared" ca="1" si="7"/>
        <v>12</v>
      </c>
      <c r="J245" s="81">
        <f ca="1">24/Table15[[#This Row],[Production_Hours]]</f>
        <v>2</v>
      </c>
      <c r="K245" s="82">
        <f ca="1">(Table15[[#This Row],[Daily_Production]]*Table15[[#This Row],[Working_Days]]) -Table15[[#This Row],[Maintenance_Downtime]]</f>
        <v>3748</v>
      </c>
    </row>
    <row r="246" spans="1:11">
      <c r="A246" s="53">
        <v>49325</v>
      </c>
      <c r="B246" s="14" t="s">
        <v>12</v>
      </c>
      <c r="C246" s="14">
        <v>82</v>
      </c>
      <c r="D246" s="14">
        <v>33794.642948933826</v>
      </c>
      <c r="E246" s="82">
        <f>_xlfn.FORECAST.LINEAR(Table15[[#This Row],[Date]],Table15[Units_Sold],Table15[Date])</f>
        <v>99.291190812763261</v>
      </c>
      <c r="F246" s="138">
        <f>Table15[[#This Row],[Average_Price]]/Table15[[#This Row],[Units_Sold]]</f>
        <v>412.1297920601686</v>
      </c>
      <c r="G246" cm="1">
        <f t="array" ref="G246">_xlfn.IFS(Table15[[#This Row],[Vehicle_Type]]="SUV",250,Table15[[#This Row],[Vehicle_Type]]="Sedan",200,Table15[[#This Row],[Vehicle_Type]]="Hatchback",185,Table15[[#This Row],[Vehicle_Type]]="Electric",190,Table15[[#This Row],[Vehicle_Type]]="Truck",150)</f>
        <v>250</v>
      </c>
      <c r="H246">
        <f t="shared" ca="1" si="6"/>
        <v>25</v>
      </c>
      <c r="I246">
        <f t="shared" ca="1" si="7"/>
        <v>11</v>
      </c>
      <c r="J246" s="81">
        <f ca="1">24/Table15[[#This Row],[Production_Hours]]</f>
        <v>2.1818181818181817</v>
      </c>
      <c r="K246" s="82">
        <f ca="1">(Table15[[#This Row],[Daily_Production]]*Table15[[#This Row],[Working_Days]]) -Table15[[#This Row],[Maintenance_Downtime]]</f>
        <v>6247.818181818182</v>
      </c>
    </row>
    <row r="247" spans="1:11">
      <c r="A247" s="54">
        <v>49355</v>
      </c>
      <c r="B247" s="15" t="s">
        <v>10</v>
      </c>
      <c r="C247" s="15">
        <v>87</v>
      </c>
      <c r="D247" s="15">
        <v>31405.95711984688</v>
      </c>
      <c r="E247" s="82">
        <f>_xlfn.FORECAST.LINEAR(Table15[[#This Row],[Date]],Table15[Units_Sold],Table15[Date])</f>
        <v>99.292792483169933</v>
      </c>
      <c r="F247" s="138">
        <f>Table15[[#This Row],[Average_Price]]/Table15[[#This Row],[Units_Sold]]</f>
        <v>360.98801287180322</v>
      </c>
      <c r="G247" cm="1">
        <f t="array" ref="G247">_xlfn.IFS(Table15[[#This Row],[Vehicle_Type]]="SUV",250,Table15[[#This Row],[Vehicle_Type]]="Sedan",200,Table15[[#This Row],[Vehicle_Type]]="Hatchback",185,Table15[[#This Row],[Vehicle_Type]]="Electric",190,Table15[[#This Row],[Vehicle_Type]]="Truck",150)</f>
        <v>200</v>
      </c>
      <c r="H247">
        <f t="shared" ca="1" si="6"/>
        <v>25</v>
      </c>
      <c r="I247">
        <f t="shared" ca="1" si="7"/>
        <v>12</v>
      </c>
      <c r="J247" s="81">
        <f ca="1">24/Table15[[#This Row],[Production_Hours]]</f>
        <v>2</v>
      </c>
      <c r="K247" s="82">
        <f ca="1">(Table15[[#This Row],[Daily_Production]]*Table15[[#This Row],[Working_Days]]) -Table15[[#This Row],[Maintenance_Downtime]]</f>
        <v>4998</v>
      </c>
    </row>
    <row r="248" spans="1:11">
      <c r="A248" s="53">
        <v>49385</v>
      </c>
      <c r="B248" s="14" t="s">
        <v>14</v>
      </c>
      <c r="C248" s="14">
        <v>87</v>
      </c>
      <c r="D248" s="14">
        <v>30521.005519759379</v>
      </c>
      <c r="E248" s="82">
        <f>_xlfn.FORECAST.LINEAR(Table15[[#This Row],[Date]],Table15[Units_Sold],Table15[Date])</f>
        <v>99.294394153576619</v>
      </c>
      <c r="F248" s="138">
        <f>Table15[[#This Row],[Average_Price]]/Table15[[#This Row],[Units_Sold]]</f>
        <v>350.8161553995331</v>
      </c>
      <c r="G248" cm="1">
        <f t="array" ref="G248">_xlfn.IFS(Table15[[#This Row],[Vehicle_Type]]="SUV",250,Table15[[#This Row],[Vehicle_Type]]="Sedan",200,Table15[[#This Row],[Vehicle_Type]]="Hatchback",185,Table15[[#This Row],[Vehicle_Type]]="Electric",190,Table15[[#This Row],[Vehicle_Type]]="Truck",150)</f>
        <v>150</v>
      </c>
      <c r="H248">
        <f t="shared" ca="1" si="6"/>
        <v>21</v>
      </c>
      <c r="I248">
        <f t="shared" ca="1" si="7"/>
        <v>8</v>
      </c>
      <c r="J248" s="81">
        <f ca="1">24/Table15[[#This Row],[Production_Hours]]</f>
        <v>3</v>
      </c>
      <c r="K248" s="82">
        <f ca="1">(Table15[[#This Row],[Daily_Production]]*Table15[[#This Row],[Working_Days]]) -Table15[[#This Row],[Maintenance_Downtime]]</f>
        <v>3147</v>
      </c>
    </row>
    <row r="249" spans="1:11">
      <c r="A249" s="54">
        <v>49415</v>
      </c>
      <c r="B249" s="15" t="s">
        <v>13</v>
      </c>
      <c r="C249" s="15">
        <v>90</v>
      </c>
      <c r="D249" s="15">
        <v>29687.034360502388</v>
      </c>
      <c r="E249" s="82">
        <f>_xlfn.FORECAST.LINEAR(Table15[[#This Row],[Date]],Table15[Units_Sold],Table15[Date])</f>
        <v>99.295995823983304</v>
      </c>
      <c r="F249" s="138">
        <f>Table15[[#This Row],[Average_Price]]/Table15[[#This Row],[Units_Sold]]</f>
        <v>329.8559373389154</v>
      </c>
      <c r="G249" cm="1">
        <f t="array" ref="G249">_xlfn.IFS(Table15[[#This Row],[Vehicle_Type]]="SUV",250,Table15[[#This Row],[Vehicle_Type]]="Sedan",200,Table15[[#This Row],[Vehicle_Type]]="Hatchback",185,Table15[[#This Row],[Vehicle_Type]]="Electric",190,Table15[[#This Row],[Vehicle_Type]]="Truck",150)</f>
        <v>190</v>
      </c>
      <c r="H249">
        <f t="shared" ca="1" si="6"/>
        <v>20</v>
      </c>
      <c r="I249">
        <f t="shared" ca="1" si="7"/>
        <v>8</v>
      </c>
      <c r="J249" s="81">
        <f ca="1">24/Table15[[#This Row],[Production_Hours]]</f>
        <v>3</v>
      </c>
      <c r="K249" s="82">
        <f ca="1">(Table15[[#This Row],[Daily_Production]]*Table15[[#This Row],[Working_Days]]) -Table15[[#This Row],[Maintenance_Downtime]]</f>
        <v>3797</v>
      </c>
    </row>
    <row r="250" spans="1:11">
      <c r="A250" s="53">
        <v>49445</v>
      </c>
      <c r="B250" s="14" t="s">
        <v>10</v>
      </c>
      <c r="C250" s="14">
        <v>115</v>
      </c>
      <c r="D250" s="14">
        <v>26230.17705566662</v>
      </c>
      <c r="E250" s="82">
        <f>_xlfn.FORECAST.LINEAR(Table15[[#This Row],[Date]],Table15[Units_Sold],Table15[Date])</f>
        <v>99.297597494389976</v>
      </c>
      <c r="F250" s="138">
        <f>Table15[[#This Row],[Average_Price]]/Table15[[#This Row],[Units_Sold]]</f>
        <v>228.08849613623147</v>
      </c>
      <c r="G250" cm="1">
        <f t="array" ref="G250">_xlfn.IFS(Table15[[#This Row],[Vehicle_Type]]="SUV",250,Table15[[#This Row],[Vehicle_Type]]="Sedan",200,Table15[[#This Row],[Vehicle_Type]]="Hatchback",185,Table15[[#This Row],[Vehicle_Type]]="Electric",190,Table15[[#This Row],[Vehicle_Type]]="Truck",150)</f>
        <v>200</v>
      </c>
      <c r="H250">
        <f t="shared" ca="1" si="6"/>
        <v>24</v>
      </c>
      <c r="I250">
        <f t="shared" ca="1" si="7"/>
        <v>8</v>
      </c>
      <c r="J250" s="81">
        <f ca="1">24/Table15[[#This Row],[Production_Hours]]</f>
        <v>3</v>
      </c>
      <c r="K250" s="82">
        <f ca="1">(Table15[[#This Row],[Daily_Production]]*Table15[[#This Row],[Working_Days]]) -Table15[[#This Row],[Maintenance_Downtime]]</f>
        <v>4797</v>
      </c>
    </row>
    <row r="251" spans="1:11">
      <c r="A251" s="54">
        <v>49475</v>
      </c>
      <c r="B251" s="15" t="s">
        <v>10</v>
      </c>
      <c r="C251" s="15">
        <v>105</v>
      </c>
      <c r="D251" s="15">
        <v>28596.624615666129</v>
      </c>
      <c r="E251" s="82">
        <f>_xlfn.FORECAST.LINEAR(Table15[[#This Row],[Date]],Table15[Units_Sold],Table15[Date])</f>
        <v>99.299199164796661</v>
      </c>
      <c r="F251" s="138">
        <f>Table15[[#This Row],[Average_Price]]/Table15[[#This Row],[Units_Sold]]</f>
        <v>272.34880586348692</v>
      </c>
      <c r="G251" cm="1">
        <f t="array" ref="G251">_xlfn.IFS(Table15[[#This Row],[Vehicle_Type]]="SUV",250,Table15[[#This Row],[Vehicle_Type]]="Sedan",200,Table15[[#This Row],[Vehicle_Type]]="Hatchback",185,Table15[[#This Row],[Vehicle_Type]]="Electric",190,Table15[[#This Row],[Vehicle_Type]]="Truck",150)</f>
        <v>200</v>
      </c>
      <c r="H251">
        <f t="shared" ca="1" si="6"/>
        <v>22</v>
      </c>
      <c r="I251">
        <f t="shared" ca="1" si="7"/>
        <v>8</v>
      </c>
      <c r="J251" s="81">
        <f ca="1">24/Table15[[#This Row],[Production_Hours]]</f>
        <v>3</v>
      </c>
      <c r="K251" s="82">
        <f ca="1">(Table15[[#This Row],[Daily_Production]]*Table15[[#This Row],[Working_Days]]) -Table15[[#This Row],[Maintenance_Downtime]]</f>
        <v>4397</v>
      </c>
    </row>
    <row r="252" spans="1:11">
      <c r="A252" s="53">
        <v>49505</v>
      </c>
      <c r="B252" s="14" t="s">
        <v>13</v>
      </c>
      <c r="C252" s="14">
        <v>90</v>
      </c>
      <c r="D252" s="14">
        <v>21535.21592902307</v>
      </c>
      <c r="E252" s="82">
        <f>_xlfn.FORECAST.LINEAR(Table15[[#This Row],[Date]],Table15[Units_Sold],Table15[Date])</f>
        <v>99.300800835203347</v>
      </c>
      <c r="F252" s="138">
        <f>Table15[[#This Row],[Average_Price]]/Table15[[#This Row],[Units_Sold]]</f>
        <v>239.28017698914522</v>
      </c>
      <c r="G252" cm="1">
        <f t="array" ref="G252">_xlfn.IFS(Table15[[#This Row],[Vehicle_Type]]="SUV",250,Table15[[#This Row],[Vehicle_Type]]="Sedan",200,Table15[[#This Row],[Vehicle_Type]]="Hatchback",185,Table15[[#This Row],[Vehicle_Type]]="Electric",190,Table15[[#This Row],[Vehicle_Type]]="Truck",150)</f>
        <v>190</v>
      </c>
      <c r="H252">
        <f t="shared" ca="1" si="6"/>
        <v>25</v>
      </c>
      <c r="I252">
        <f t="shared" ca="1" si="7"/>
        <v>9</v>
      </c>
      <c r="J252" s="81">
        <f ca="1">24/Table15[[#This Row],[Production_Hours]]</f>
        <v>2.6666666666666665</v>
      </c>
      <c r="K252" s="82">
        <f ca="1">(Table15[[#This Row],[Daily_Production]]*Table15[[#This Row],[Working_Days]]) -Table15[[#This Row],[Maintenance_Downtime]]</f>
        <v>4747.333333333333</v>
      </c>
    </row>
    <row r="253" spans="1:11">
      <c r="A253" s="54">
        <v>49535</v>
      </c>
      <c r="B253" s="15" t="s">
        <v>10</v>
      </c>
      <c r="C253" s="15">
        <v>89</v>
      </c>
      <c r="D253" s="15">
        <v>29508.30186602625</v>
      </c>
      <c r="E253" s="82">
        <f>_xlfn.FORECAST.LINEAR(Table15[[#This Row],[Date]],Table15[Units_Sold],Table15[Date])</f>
        <v>99.302402505610033</v>
      </c>
      <c r="F253" s="138">
        <f>Table15[[#This Row],[Average_Price]]/Table15[[#This Row],[Units_Sold]]</f>
        <v>331.55395355085676</v>
      </c>
      <c r="G253" cm="1">
        <f t="array" ref="G253">_xlfn.IFS(Table15[[#This Row],[Vehicle_Type]]="SUV",250,Table15[[#This Row],[Vehicle_Type]]="Sedan",200,Table15[[#This Row],[Vehicle_Type]]="Hatchback",185,Table15[[#This Row],[Vehicle_Type]]="Electric",190,Table15[[#This Row],[Vehicle_Type]]="Truck",150)</f>
        <v>200</v>
      </c>
      <c r="H253">
        <f t="shared" ca="1" si="6"/>
        <v>25</v>
      </c>
      <c r="I253">
        <f t="shared" ca="1" si="7"/>
        <v>11</v>
      </c>
      <c r="J253" s="81">
        <f ca="1">24/Table15[[#This Row],[Production_Hours]]</f>
        <v>2.1818181818181817</v>
      </c>
      <c r="K253" s="82">
        <f ca="1">(Table15[[#This Row],[Daily_Production]]*Table15[[#This Row],[Working_Days]]) -Table15[[#This Row],[Maintenance_Downtime]]</f>
        <v>4997.818181818182</v>
      </c>
    </row>
    <row r="254" spans="1:11">
      <c r="A254" s="53">
        <v>49565</v>
      </c>
      <c r="B254" s="14" t="s">
        <v>10</v>
      </c>
      <c r="C254" s="14">
        <v>89</v>
      </c>
      <c r="D254" s="14">
        <v>25057.044464245413</v>
      </c>
      <c r="E254" s="82">
        <f>_xlfn.FORECAST.LINEAR(Table15[[#This Row],[Date]],Table15[Units_Sold],Table15[Date])</f>
        <v>99.304004176016704</v>
      </c>
      <c r="F254" s="138">
        <f>Table15[[#This Row],[Average_Price]]/Table15[[#This Row],[Units_Sold]]</f>
        <v>281.5398254409597</v>
      </c>
      <c r="G254" cm="1">
        <f t="array" ref="G254">_xlfn.IFS(Table15[[#This Row],[Vehicle_Type]]="SUV",250,Table15[[#This Row],[Vehicle_Type]]="Sedan",200,Table15[[#This Row],[Vehicle_Type]]="Hatchback",185,Table15[[#This Row],[Vehicle_Type]]="Electric",190,Table15[[#This Row],[Vehicle_Type]]="Truck",150)</f>
        <v>200</v>
      </c>
      <c r="H254">
        <f t="shared" ca="1" si="6"/>
        <v>23</v>
      </c>
      <c r="I254">
        <f t="shared" ca="1" si="7"/>
        <v>12</v>
      </c>
      <c r="J254" s="81">
        <f ca="1">24/Table15[[#This Row],[Production_Hours]]</f>
        <v>2</v>
      </c>
      <c r="K254" s="82">
        <f ca="1">(Table15[[#This Row],[Daily_Production]]*Table15[[#This Row],[Working_Days]]) -Table15[[#This Row],[Maintenance_Downtime]]</f>
        <v>4598</v>
      </c>
    </row>
    <row r="255" spans="1:11">
      <c r="A255" s="54">
        <v>49595</v>
      </c>
      <c r="B255" s="15" t="s">
        <v>12</v>
      </c>
      <c r="C255" s="15">
        <v>86</v>
      </c>
      <c r="D255" s="15">
        <v>38106.295579999998</v>
      </c>
      <c r="E255" s="82">
        <f>_xlfn.FORECAST.LINEAR(Table15[[#This Row],[Date]],Table15[Units_Sold],Table15[Date])</f>
        <v>99.30560584642339</v>
      </c>
      <c r="F255" s="138">
        <f>Table15[[#This Row],[Average_Price]]/Table15[[#This Row],[Units_Sold]]</f>
        <v>443.09646023255812</v>
      </c>
      <c r="G255" cm="1">
        <f t="array" ref="G255">_xlfn.IFS(Table15[[#This Row],[Vehicle_Type]]="SUV",250,Table15[[#This Row],[Vehicle_Type]]="Sedan",200,Table15[[#This Row],[Vehicle_Type]]="Hatchback",185,Table15[[#This Row],[Vehicle_Type]]="Electric",190,Table15[[#This Row],[Vehicle_Type]]="Truck",150)</f>
        <v>250</v>
      </c>
      <c r="H255">
        <f t="shared" ca="1" si="6"/>
        <v>20</v>
      </c>
      <c r="I255">
        <f t="shared" ca="1" si="7"/>
        <v>10</v>
      </c>
      <c r="J255" s="81">
        <f ca="1">24/Table15[[#This Row],[Production_Hours]]</f>
        <v>2.4</v>
      </c>
      <c r="K255" s="82">
        <f ca="1">(Table15[[#This Row],[Daily_Production]]*Table15[[#This Row],[Working_Days]]) -Table15[[#This Row],[Maintenance_Downtime]]</f>
        <v>4997.6000000000004</v>
      </c>
    </row>
    <row r="256" spans="1:11">
      <c r="A256" s="53">
        <v>49625</v>
      </c>
      <c r="B256" s="14" t="s">
        <v>12</v>
      </c>
      <c r="C256" s="14">
        <v>91</v>
      </c>
      <c r="D256" s="14">
        <v>30899.470755767394</v>
      </c>
      <c r="E256" s="82">
        <f>_xlfn.FORECAST.LINEAR(Table15[[#This Row],[Date]],Table15[Units_Sold],Table15[Date])</f>
        <v>99.307207516830076</v>
      </c>
      <c r="F256" s="138">
        <f>Table15[[#This Row],[Average_Price]]/Table15[[#This Row],[Units_Sold]]</f>
        <v>339.55462368975157</v>
      </c>
      <c r="G256" cm="1">
        <f t="array" ref="G256">_xlfn.IFS(Table15[[#This Row],[Vehicle_Type]]="SUV",250,Table15[[#This Row],[Vehicle_Type]]="Sedan",200,Table15[[#This Row],[Vehicle_Type]]="Hatchback",185,Table15[[#This Row],[Vehicle_Type]]="Electric",190,Table15[[#This Row],[Vehicle_Type]]="Truck",150)</f>
        <v>250</v>
      </c>
      <c r="H256">
        <f t="shared" ca="1" si="6"/>
        <v>21</v>
      </c>
      <c r="I256">
        <f t="shared" ca="1" si="7"/>
        <v>8</v>
      </c>
      <c r="J256" s="81">
        <f ca="1">24/Table15[[#This Row],[Production_Hours]]</f>
        <v>3</v>
      </c>
      <c r="K256" s="82">
        <f ca="1">(Table15[[#This Row],[Daily_Production]]*Table15[[#This Row],[Working_Days]]) -Table15[[#This Row],[Maintenance_Downtime]]</f>
        <v>5247</v>
      </c>
    </row>
    <row r="257" spans="1:11">
      <c r="A257" s="54">
        <v>49655</v>
      </c>
      <c r="B257" s="15" t="s">
        <v>14</v>
      </c>
      <c r="C257" s="15">
        <v>100</v>
      </c>
      <c r="D257" s="15">
        <v>36960.011431722996</v>
      </c>
      <c r="E257" s="82">
        <f>_xlfn.FORECAST.LINEAR(Table15[[#This Row],[Date]],Table15[Units_Sold],Table15[Date])</f>
        <v>99.308809187236747</v>
      </c>
      <c r="F257" s="138">
        <f>Table15[[#This Row],[Average_Price]]/Table15[[#This Row],[Units_Sold]]</f>
        <v>369.60011431722995</v>
      </c>
      <c r="G257" cm="1">
        <f t="array" ref="G257">_xlfn.IFS(Table15[[#This Row],[Vehicle_Type]]="SUV",250,Table15[[#This Row],[Vehicle_Type]]="Sedan",200,Table15[[#This Row],[Vehicle_Type]]="Hatchback",185,Table15[[#This Row],[Vehicle_Type]]="Electric",190,Table15[[#This Row],[Vehicle_Type]]="Truck",150)</f>
        <v>150</v>
      </c>
      <c r="H257">
        <f t="shared" ca="1" si="6"/>
        <v>25</v>
      </c>
      <c r="I257">
        <f t="shared" ca="1" si="7"/>
        <v>10</v>
      </c>
      <c r="J257" s="81">
        <f ca="1">24/Table15[[#This Row],[Production_Hours]]</f>
        <v>2.4</v>
      </c>
      <c r="K257" s="82">
        <f ca="1">(Table15[[#This Row],[Daily_Production]]*Table15[[#This Row],[Working_Days]]) -Table15[[#This Row],[Maintenance_Downtime]]</f>
        <v>3747.6</v>
      </c>
    </row>
    <row r="258" spans="1:11">
      <c r="A258" s="53">
        <v>49685</v>
      </c>
      <c r="B258" s="14" t="s">
        <v>14</v>
      </c>
      <c r="C258" s="14">
        <v>104</v>
      </c>
      <c r="D258" s="14">
        <v>34591.583030011563</v>
      </c>
      <c r="E258" s="82">
        <f>_xlfn.FORECAST.LINEAR(Table15[[#This Row],[Date]],Table15[Units_Sold],Table15[Date])</f>
        <v>99.310410857643433</v>
      </c>
      <c r="F258" s="138">
        <f>Table15[[#This Row],[Average_Price]]/Table15[[#This Row],[Units_Sold]]</f>
        <v>332.61137528857273</v>
      </c>
      <c r="G258" cm="1">
        <f t="array" ref="G258">_xlfn.IFS(Table15[[#This Row],[Vehicle_Type]]="SUV",250,Table15[[#This Row],[Vehicle_Type]]="Sedan",200,Table15[[#This Row],[Vehicle_Type]]="Hatchback",185,Table15[[#This Row],[Vehicle_Type]]="Electric",190,Table15[[#This Row],[Vehicle_Type]]="Truck",150)</f>
        <v>150</v>
      </c>
      <c r="H258">
        <f t="shared" ref="H258:H321" ca="1" si="8">RANDBETWEEN(20,25)</f>
        <v>20</v>
      </c>
      <c r="I258">
        <f t="shared" ref="I258:I321" ca="1" si="9">RANDBETWEEN(8,12)</f>
        <v>10</v>
      </c>
      <c r="J258" s="81">
        <f ca="1">24/Table15[[#This Row],[Production_Hours]]</f>
        <v>2.4</v>
      </c>
      <c r="K258" s="82">
        <f ca="1">(Table15[[#This Row],[Daily_Production]]*Table15[[#This Row],[Working_Days]]) -Table15[[#This Row],[Maintenance_Downtime]]</f>
        <v>2997.6</v>
      </c>
    </row>
    <row r="259" spans="1:11">
      <c r="A259" s="54">
        <v>49715</v>
      </c>
      <c r="B259" s="15" t="s">
        <v>14</v>
      </c>
      <c r="C259" s="15">
        <v>80</v>
      </c>
      <c r="D259" s="15">
        <v>22147.496981884113</v>
      </c>
      <c r="E259" s="82">
        <f>_xlfn.FORECAST.LINEAR(Table15[[#This Row],[Date]],Table15[Units_Sold],Table15[Date])</f>
        <v>99.312012528050118</v>
      </c>
      <c r="F259" s="138">
        <f>Table15[[#This Row],[Average_Price]]/Table15[[#This Row],[Units_Sold]]</f>
        <v>276.84371227355143</v>
      </c>
      <c r="G259" cm="1">
        <f t="array" ref="G259">_xlfn.IFS(Table15[[#This Row],[Vehicle_Type]]="SUV",250,Table15[[#This Row],[Vehicle_Type]]="Sedan",200,Table15[[#This Row],[Vehicle_Type]]="Hatchback",185,Table15[[#This Row],[Vehicle_Type]]="Electric",190,Table15[[#This Row],[Vehicle_Type]]="Truck",150)</f>
        <v>150</v>
      </c>
      <c r="H259">
        <f t="shared" ca="1" si="8"/>
        <v>25</v>
      </c>
      <c r="I259">
        <f t="shared" ca="1" si="9"/>
        <v>8</v>
      </c>
      <c r="J259" s="81">
        <f ca="1">24/Table15[[#This Row],[Production_Hours]]</f>
        <v>3</v>
      </c>
      <c r="K259" s="82">
        <f ca="1">(Table15[[#This Row],[Daily_Production]]*Table15[[#This Row],[Working_Days]]) -Table15[[#This Row],[Maintenance_Downtime]]</f>
        <v>3747</v>
      </c>
    </row>
    <row r="260" spans="1:11">
      <c r="A260" s="53">
        <v>49745</v>
      </c>
      <c r="B260" s="14" t="s">
        <v>12</v>
      </c>
      <c r="C260" s="14">
        <v>110</v>
      </c>
      <c r="D260" s="14">
        <v>25051.859317148312</v>
      </c>
      <c r="E260" s="82">
        <f>_xlfn.FORECAST.LINEAR(Table15[[#This Row],[Date]],Table15[Units_Sold],Table15[Date])</f>
        <v>99.313614198456804</v>
      </c>
      <c r="F260" s="138">
        <f>Table15[[#This Row],[Average_Price]]/Table15[[#This Row],[Units_Sold]]</f>
        <v>227.74417561043919</v>
      </c>
      <c r="G260" cm="1">
        <f t="array" ref="G260">_xlfn.IFS(Table15[[#This Row],[Vehicle_Type]]="SUV",250,Table15[[#This Row],[Vehicle_Type]]="Sedan",200,Table15[[#This Row],[Vehicle_Type]]="Hatchback",185,Table15[[#This Row],[Vehicle_Type]]="Electric",190,Table15[[#This Row],[Vehicle_Type]]="Truck",150)</f>
        <v>250</v>
      </c>
      <c r="H260">
        <f t="shared" ca="1" si="8"/>
        <v>20</v>
      </c>
      <c r="I260">
        <f t="shared" ca="1" si="9"/>
        <v>8</v>
      </c>
      <c r="J260" s="81">
        <f ca="1">24/Table15[[#This Row],[Production_Hours]]</f>
        <v>3</v>
      </c>
      <c r="K260" s="82">
        <f ca="1">(Table15[[#This Row],[Daily_Production]]*Table15[[#This Row],[Working_Days]]) -Table15[[#This Row],[Maintenance_Downtime]]</f>
        <v>4997</v>
      </c>
    </row>
    <row r="261" spans="1:11">
      <c r="A261" s="54">
        <v>49775</v>
      </c>
      <c r="B261" s="15" t="s">
        <v>14</v>
      </c>
      <c r="C261" s="15">
        <v>90</v>
      </c>
      <c r="D261" s="15">
        <v>34703.855939941081</v>
      </c>
      <c r="E261" s="82">
        <f>_xlfn.FORECAST.LINEAR(Table15[[#This Row],[Date]],Table15[Units_Sold],Table15[Date])</f>
        <v>99.315215868863476</v>
      </c>
      <c r="F261" s="138">
        <f>Table15[[#This Row],[Average_Price]]/Table15[[#This Row],[Units_Sold]]</f>
        <v>385.5983993326787</v>
      </c>
      <c r="G261" cm="1">
        <f t="array" ref="G261">_xlfn.IFS(Table15[[#This Row],[Vehicle_Type]]="SUV",250,Table15[[#This Row],[Vehicle_Type]]="Sedan",200,Table15[[#This Row],[Vehicle_Type]]="Hatchback",185,Table15[[#This Row],[Vehicle_Type]]="Electric",190,Table15[[#This Row],[Vehicle_Type]]="Truck",150)</f>
        <v>150</v>
      </c>
      <c r="H261">
        <f t="shared" ca="1" si="8"/>
        <v>25</v>
      </c>
      <c r="I261">
        <f t="shared" ca="1" si="9"/>
        <v>9</v>
      </c>
      <c r="J261" s="81">
        <f ca="1">24/Table15[[#This Row],[Production_Hours]]</f>
        <v>2.6666666666666665</v>
      </c>
      <c r="K261" s="82">
        <f ca="1">(Table15[[#This Row],[Daily_Production]]*Table15[[#This Row],[Working_Days]]) -Table15[[#This Row],[Maintenance_Downtime]]</f>
        <v>3747.3333333333335</v>
      </c>
    </row>
    <row r="262" spans="1:11">
      <c r="A262" s="53">
        <v>49805</v>
      </c>
      <c r="B262" s="14" t="s">
        <v>10</v>
      </c>
      <c r="C262" s="14">
        <v>96</v>
      </c>
      <c r="D262" s="14">
        <v>25087.563032308452</v>
      </c>
      <c r="E262" s="82">
        <f>_xlfn.FORECAST.LINEAR(Table15[[#This Row],[Date]],Table15[Units_Sold],Table15[Date])</f>
        <v>99.316817539270161</v>
      </c>
      <c r="F262" s="138">
        <f>Table15[[#This Row],[Average_Price]]/Table15[[#This Row],[Units_Sold]]</f>
        <v>261.32878158654637</v>
      </c>
      <c r="G262" cm="1">
        <f t="array" ref="G262">_xlfn.IFS(Table15[[#This Row],[Vehicle_Type]]="SUV",250,Table15[[#This Row],[Vehicle_Type]]="Sedan",200,Table15[[#This Row],[Vehicle_Type]]="Hatchback",185,Table15[[#This Row],[Vehicle_Type]]="Electric",190,Table15[[#This Row],[Vehicle_Type]]="Truck",150)</f>
        <v>200</v>
      </c>
      <c r="H262">
        <f t="shared" ca="1" si="8"/>
        <v>23</v>
      </c>
      <c r="I262">
        <f t="shared" ca="1" si="9"/>
        <v>10</v>
      </c>
      <c r="J262" s="81">
        <f ca="1">24/Table15[[#This Row],[Production_Hours]]</f>
        <v>2.4</v>
      </c>
      <c r="K262" s="82">
        <f ca="1">(Table15[[#This Row],[Daily_Production]]*Table15[[#This Row],[Working_Days]]) -Table15[[#This Row],[Maintenance_Downtime]]</f>
        <v>4597.6000000000004</v>
      </c>
    </row>
    <row r="263" spans="1:11">
      <c r="A263" s="54">
        <v>49835</v>
      </c>
      <c r="B263" s="15" t="s">
        <v>12</v>
      </c>
      <c r="C263" s="15">
        <v>103</v>
      </c>
      <c r="D263" s="15">
        <v>28876.834250014876</v>
      </c>
      <c r="E263" s="82">
        <f>_xlfn.FORECAST.LINEAR(Table15[[#This Row],[Date]],Table15[Units_Sold],Table15[Date])</f>
        <v>99.318419209676847</v>
      </c>
      <c r="F263" s="138">
        <f>Table15[[#This Row],[Average_Price]]/Table15[[#This Row],[Units_Sold]]</f>
        <v>280.35761407781433</v>
      </c>
      <c r="G263" cm="1">
        <f t="array" ref="G263">_xlfn.IFS(Table15[[#This Row],[Vehicle_Type]]="SUV",250,Table15[[#This Row],[Vehicle_Type]]="Sedan",200,Table15[[#This Row],[Vehicle_Type]]="Hatchback",185,Table15[[#This Row],[Vehicle_Type]]="Electric",190,Table15[[#This Row],[Vehicle_Type]]="Truck",150)</f>
        <v>250</v>
      </c>
      <c r="H263">
        <f t="shared" ca="1" si="8"/>
        <v>23</v>
      </c>
      <c r="I263">
        <f t="shared" ca="1" si="9"/>
        <v>9</v>
      </c>
      <c r="J263" s="81">
        <f ca="1">24/Table15[[#This Row],[Production_Hours]]</f>
        <v>2.6666666666666665</v>
      </c>
      <c r="K263" s="82">
        <f ca="1">(Table15[[#This Row],[Daily_Production]]*Table15[[#This Row],[Working_Days]]) -Table15[[#This Row],[Maintenance_Downtime]]</f>
        <v>5747.333333333333</v>
      </c>
    </row>
    <row r="264" spans="1:11">
      <c r="A264" s="53">
        <v>49865</v>
      </c>
      <c r="B264" s="14" t="s">
        <v>14</v>
      </c>
      <c r="C264" s="14">
        <v>99</v>
      </c>
      <c r="D264" s="14">
        <v>32750.260495122759</v>
      </c>
      <c r="E264" s="82">
        <f>_xlfn.FORECAST.LINEAR(Table15[[#This Row],[Date]],Table15[Units_Sold],Table15[Date])</f>
        <v>99.320020880083518</v>
      </c>
      <c r="F264" s="138">
        <f>Table15[[#This Row],[Average_Price]]/Table15[[#This Row],[Units_Sold]]</f>
        <v>330.81071207194708</v>
      </c>
      <c r="G264" cm="1">
        <f t="array" ref="G264">_xlfn.IFS(Table15[[#This Row],[Vehicle_Type]]="SUV",250,Table15[[#This Row],[Vehicle_Type]]="Sedan",200,Table15[[#This Row],[Vehicle_Type]]="Hatchback",185,Table15[[#This Row],[Vehicle_Type]]="Electric",190,Table15[[#This Row],[Vehicle_Type]]="Truck",150)</f>
        <v>150</v>
      </c>
      <c r="H264">
        <f t="shared" ca="1" si="8"/>
        <v>22</v>
      </c>
      <c r="I264">
        <f t="shared" ca="1" si="9"/>
        <v>11</v>
      </c>
      <c r="J264" s="81">
        <f ca="1">24/Table15[[#This Row],[Production_Hours]]</f>
        <v>2.1818181818181817</v>
      </c>
      <c r="K264" s="82">
        <f ca="1">(Table15[[#This Row],[Daily_Production]]*Table15[[#This Row],[Working_Days]]) -Table15[[#This Row],[Maintenance_Downtime]]</f>
        <v>3297.818181818182</v>
      </c>
    </row>
    <row r="265" spans="1:11">
      <c r="A265" s="54">
        <v>49895</v>
      </c>
      <c r="B265" s="15" t="s">
        <v>10</v>
      </c>
      <c r="C265" s="15">
        <v>100</v>
      </c>
      <c r="D265" s="15">
        <v>25158.277725681823</v>
      </c>
      <c r="E265" s="82">
        <f>_xlfn.FORECAST.LINEAR(Table15[[#This Row],[Date]],Table15[Units_Sold],Table15[Date])</f>
        <v>99.321622550490204</v>
      </c>
      <c r="F265" s="138">
        <f>Table15[[#This Row],[Average_Price]]/Table15[[#This Row],[Units_Sold]]</f>
        <v>251.58277725681822</v>
      </c>
      <c r="G265" cm="1">
        <f t="array" ref="G265">_xlfn.IFS(Table15[[#This Row],[Vehicle_Type]]="SUV",250,Table15[[#This Row],[Vehicle_Type]]="Sedan",200,Table15[[#This Row],[Vehicle_Type]]="Hatchback",185,Table15[[#This Row],[Vehicle_Type]]="Electric",190,Table15[[#This Row],[Vehicle_Type]]="Truck",150)</f>
        <v>200</v>
      </c>
      <c r="H265">
        <f t="shared" ca="1" si="8"/>
        <v>20</v>
      </c>
      <c r="I265">
        <f t="shared" ca="1" si="9"/>
        <v>10</v>
      </c>
      <c r="J265" s="81">
        <f ca="1">24/Table15[[#This Row],[Production_Hours]]</f>
        <v>2.4</v>
      </c>
      <c r="K265" s="82">
        <f ca="1">(Table15[[#This Row],[Daily_Production]]*Table15[[#This Row],[Working_Days]]) -Table15[[#This Row],[Maintenance_Downtime]]</f>
        <v>3997.6</v>
      </c>
    </row>
    <row r="266" spans="1:11">
      <c r="A266" s="53">
        <v>49925</v>
      </c>
      <c r="B266" s="14" t="s">
        <v>14</v>
      </c>
      <c r="C266" s="14">
        <v>106</v>
      </c>
      <c r="D266" s="14">
        <v>30526.877530729798</v>
      </c>
      <c r="E266" s="82">
        <f>_xlfn.FORECAST.LINEAR(Table15[[#This Row],[Date]],Table15[Units_Sold],Table15[Date])</f>
        <v>99.32322422089689</v>
      </c>
      <c r="F266" s="138">
        <f>Table15[[#This Row],[Average_Price]]/Table15[[#This Row],[Units_Sold]]</f>
        <v>287.98941066726223</v>
      </c>
      <c r="G266" cm="1">
        <f t="array" ref="G266">_xlfn.IFS(Table15[[#This Row],[Vehicle_Type]]="SUV",250,Table15[[#This Row],[Vehicle_Type]]="Sedan",200,Table15[[#This Row],[Vehicle_Type]]="Hatchback",185,Table15[[#This Row],[Vehicle_Type]]="Electric",190,Table15[[#This Row],[Vehicle_Type]]="Truck",150)</f>
        <v>150</v>
      </c>
      <c r="H266">
        <f t="shared" ca="1" si="8"/>
        <v>25</v>
      </c>
      <c r="I266">
        <f t="shared" ca="1" si="9"/>
        <v>12</v>
      </c>
      <c r="J266" s="81">
        <f ca="1">24/Table15[[#This Row],[Production_Hours]]</f>
        <v>2</v>
      </c>
      <c r="K266" s="82">
        <f ca="1">(Table15[[#This Row],[Daily_Production]]*Table15[[#This Row],[Working_Days]]) -Table15[[#This Row],[Maintenance_Downtime]]</f>
        <v>3748</v>
      </c>
    </row>
    <row r="267" spans="1:11">
      <c r="A267" s="54">
        <v>49955</v>
      </c>
      <c r="B267" s="15" t="s">
        <v>11</v>
      </c>
      <c r="C267" s="15">
        <v>100</v>
      </c>
      <c r="D267" s="15">
        <v>38106.295579999998</v>
      </c>
      <c r="E267" s="82">
        <f>_xlfn.FORECAST.LINEAR(Table15[[#This Row],[Date]],Table15[Units_Sold],Table15[Date])</f>
        <v>99.324825891303576</v>
      </c>
      <c r="F267" s="138">
        <f>Table15[[#This Row],[Average_Price]]/Table15[[#This Row],[Units_Sold]]</f>
        <v>381.0629558</v>
      </c>
      <c r="G267" cm="1">
        <f t="array" ref="G267">_xlfn.IFS(Table15[[#This Row],[Vehicle_Type]]="SUV",250,Table15[[#This Row],[Vehicle_Type]]="Sedan",200,Table15[[#This Row],[Vehicle_Type]]="Hatchback",185,Table15[[#This Row],[Vehicle_Type]]="Electric",190,Table15[[#This Row],[Vehicle_Type]]="Truck",150)</f>
        <v>185</v>
      </c>
      <c r="H267">
        <f t="shared" ca="1" si="8"/>
        <v>22</v>
      </c>
      <c r="I267">
        <f t="shared" ca="1" si="9"/>
        <v>12</v>
      </c>
      <c r="J267" s="81">
        <f ca="1">24/Table15[[#This Row],[Production_Hours]]</f>
        <v>2</v>
      </c>
      <c r="K267" s="82">
        <f ca="1">(Table15[[#This Row],[Daily_Production]]*Table15[[#This Row],[Working_Days]]) -Table15[[#This Row],[Maintenance_Downtime]]</f>
        <v>4068</v>
      </c>
    </row>
    <row r="268" spans="1:11">
      <c r="A268" s="53">
        <v>49985</v>
      </c>
      <c r="B268" s="14" t="s">
        <v>14</v>
      </c>
      <c r="C268" s="14">
        <v>85</v>
      </c>
      <c r="D268" s="14">
        <v>26993.161780243932</v>
      </c>
      <c r="E268" s="82">
        <f>_xlfn.FORECAST.LINEAR(Table15[[#This Row],[Date]],Table15[Units_Sold],Table15[Date])</f>
        <v>99.326427561710247</v>
      </c>
      <c r="F268" s="138">
        <f>Table15[[#This Row],[Average_Price]]/Table15[[#This Row],[Units_Sold]]</f>
        <v>317.56660917934039</v>
      </c>
      <c r="G268" cm="1">
        <f t="array" ref="G268">_xlfn.IFS(Table15[[#This Row],[Vehicle_Type]]="SUV",250,Table15[[#This Row],[Vehicle_Type]]="Sedan",200,Table15[[#This Row],[Vehicle_Type]]="Hatchback",185,Table15[[#This Row],[Vehicle_Type]]="Electric",190,Table15[[#This Row],[Vehicle_Type]]="Truck",150)</f>
        <v>150</v>
      </c>
      <c r="H268">
        <f t="shared" ca="1" si="8"/>
        <v>21</v>
      </c>
      <c r="I268">
        <f t="shared" ca="1" si="9"/>
        <v>8</v>
      </c>
      <c r="J268" s="81">
        <f ca="1">24/Table15[[#This Row],[Production_Hours]]</f>
        <v>3</v>
      </c>
      <c r="K268" s="82">
        <f ca="1">(Table15[[#This Row],[Daily_Production]]*Table15[[#This Row],[Working_Days]]) -Table15[[#This Row],[Maintenance_Downtime]]</f>
        <v>3147</v>
      </c>
    </row>
    <row r="269" spans="1:11">
      <c r="A269" s="54">
        <v>50015</v>
      </c>
      <c r="B269" s="15" t="s">
        <v>11</v>
      </c>
      <c r="C269" s="15">
        <v>101</v>
      </c>
      <c r="D269" s="15">
        <v>31598.909670712685</v>
      </c>
      <c r="E269" s="82">
        <f>_xlfn.FORECAST.LINEAR(Table15[[#This Row],[Date]],Table15[Units_Sold],Table15[Date])</f>
        <v>99.328029232116933</v>
      </c>
      <c r="F269" s="138">
        <f>Table15[[#This Row],[Average_Price]]/Table15[[#This Row],[Units_Sold]]</f>
        <v>312.86049178923452</v>
      </c>
      <c r="G269" cm="1">
        <f t="array" ref="G269">_xlfn.IFS(Table15[[#This Row],[Vehicle_Type]]="SUV",250,Table15[[#This Row],[Vehicle_Type]]="Sedan",200,Table15[[#This Row],[Vehicle_Type]]="Hatchback",185,Table15[[#This Row],[Vehicle_Type]]="Electric",190,Table15[[#This Row],[Vehicle_Type]]="Truck",150)</f>
        <v>185</v>
      </c>
      <c r="H269">
        <f t="shared" ca="1" si="8"/>
        <v>24</v>
      </c>
      <c r="I269">
        <f t="shared" ca="1" si="9"/>
        <v>12</v>
      </c>
      <c r="J269" s="81">
        <f ca="1">24/Table15[[#This Row],[Production_Hours]]</f>
        <v>2</v>
      </c>
      <c r="K269" s="82">
        <f ca="1">(Table15[[#This Row],[Daily_Production]]*Table15[[#This Row],[Working_Days]]) -Table15[[#This Row],[Maintenance_Downtime]]</f>
        <v>4438</v>
      </c>
    </row>
    <row r="270" spans="1:11">
      <c r="A270" s="53">
        <v>50045</v>
      </c>
      <c r="B270" s="14" t="s">
        <v>14</v>
      </c>
      <c r="C270" s="14">
        <v>93</v>
      </c>
      <c r="D270" s="14">
        <v>22035.031332341656</v>
      </c>
      <c r="E270" s="82">
        <f>_xlfn.FORECAST.LINEAR(Table15[[#This Row],[Date]],Table15[Units_Sold],Table15[Date])</f>
        <v>99.329630902523618</v>
      </c>
      <c r="F270" s="138">
        <f>Table15[[#This Row],[Average_Price]]/Table15[[#This Row],[Units_Sold]]</f>
        <v>236.93582077786726</v>
      </c>
      <c r="G270" cm="1">
        <f t="array" ref="G270">_xlfn.IFS(Table15[[#This Row],[Vehicle_Type]]="SUV",250,Table15[[#This Row],[Vehicle_Type]]="Sedan",200,Table15[[#This Row],[Vehicle_Type]]="Hatchback",185,Table15[[#This Row],[Vehicle_Type]]="Electric",190,Table15[[#This Row],[Vehicle_Type]]="Truck",150)</f>
        <v>150</v>
      </c>
      <c r="H270">
        <f t="shared" ca="1" si="8"/>
        <v>20</v>
      </c>
      <c r="I270">
        <f t="shared" ca="1" si="9"/>
        <v>11</v>
      </c>
      <c r="J270" s="81">
        <f ca="1">24/Table15[[#This Row],[Production_Hours]]</f>
        <v>2.1818181818181817</v>
      </c>
      <c r="K270" s="82">
        <f ca="1">(Table15[[#This Row],[Daily_Production]]*Table15[[#This Row],[Working_Days]]) -Table15[[#This Row],[Maintenance_Downtime]]</f>
        <v>2997.818181818182</v>
      </c>
    </row>
    <row r="271" spans="1:11">
      <c r="A271" s="54">
        <v>50075</v>
      </c>
      <c r="B271" s="15" t="s">
        <v>13</v>
      </c>
      <c r="C271" s="15">
        <v>91</v>
      </c>
      <c r="D271" s="15">
        <v>32202.373689801996</v>
      </c>
      <c r="E271" s="82">
        <f>_xlfn.FORECAST.LINEAR(Table15[[#This Row],[Date]],Table15[Units_Sold],Table15[Date])</f>
        <v>99.33123257293029</v>
      </c>
      <c r="F271" s="138">
        <f>Table15[[#This Row],[Average_Price]]/Table15[[#This Row],[Units_Sold]]</f>
        <v>353.87223834947247</v>
      </c>
      <c r="G271" cm="1">
        <f t="array" ref="G271">_xlfn.IFS(Table15[[#This Row],[Vehicle_Type]]="SUV",250,Table15[[#This Row],[Vehicle_Type]]="Sedan",200,Table15[[#This Row],[Vehicle_Type]]="Hatchback",185,Table15[[#This Row],[Vehicle_Type]]="Electric",190,Table15[[#This Row],[Vehicle_Type]]="Truck",150)</f>
        <v>190</v>
      </c>
      <c r="H271">
        <f t="shared" ca="1" si="8"/>
        <v>23</v>
      </c>
      <c r="I271">
        <f t="shared" ca="1" si="9"/>
        <v>12</v>
      </c>
      <c r="J271" s="81">
        <f ca="1">24/Table15[[#This Row],[Production_Hours]]</f>
        <v>2</v>
      </c>
      <c r="K271" s="82">
        <f ca="1">(Table15[[#This Row],[Daily_Production]]*Table15[[#This Row],[Working_Days]]) -Table15[[#This Row],[Maintenance_Downtime]]</f>
        <v>4368</v>
      </c>
    </row>
    <row r="272" spans="1:11">
      <c r="A272" s="53">
        <v>50105</v>
      </c>
      <c r="B272" s="14" t="s">
        <v>14</v>
      </c>
      <c r="C272" s="14">
        <v>103</v>
      </c>
      <c r="D272" s="14">
        <v>29901.811005366595</v>
      </c>
      <c r="E272" s="82">
        <f>_xlfn.FORECAST.LINEAR(Table15[[#This Row],[Date]],Table15[Units_Sold],Table15[Date])</f>
        <v>99.332834243336976</v>
      </c>
      <c r="F272" s="138">
        <f>Table15[[#This Row],[Average_Price]]/Table15[[#This Row],[Units_Sold]]</f>
        <v>290.30884471229706</v>
      </c>
      <c r="G272" cm="1">
        <f t="array" ref="G272">_xlfn.IFS(Table15[[#This Row],[Vehicle_Type]]="SUV",250,Table15[[#This Row],[Vehicle_Type]]="Sedan",200,Table15[[#This Row],[Vehicle_Type]]="Hatchback",185,Table15[[#This Row],[Vehicle_Type]]="Electric",190,Table15[[#This Row],[Vehicle_Type]]="Truck",150)</f>
        <v>150</v>
      </c>
      <c r="H272">
        <f t="shared" ca="1" si="8"/>
        <v>22</v>
      </c>
      <c r="I272">
        <f t="shared" ca="1" si="9"/>
        <v>11</v>
      </c>
      <c r="J272" s="81">
        <f ca="1">24/Table15[[#This Row],[Production_Hours]]</f>
        <v>2.1818181818181817</v>
      </c>
      <c r="K272" s="82">
        <f ca="1">(Table15[[#This Row],[Daily_Production]]*Table15[[#This Row],[Working_Days]]) -Table15[[#This Row],[Maintenance_Downtime]]</f>
        <v>3297.818181818182</v>
      </c>
    </row>
    <row r="273" spans="1:11">
      <c r="A273" s="54">
        <v>50135</v>
      </c>
      <c r="B273" s="15" t="s">
        <v>12</v>
      </c>
      <c r="C273" s="15">
        <v>109</v>
      </c>
      <c r="D273" s="15">
        <v>30949.702720000001</v>
      </c>
      <c r="E273" s="82">
        <f>_xlfn.FORECAST.LINEAR(Table15[[#This Row],[Date]],Table15[Units_Sold],Table15[Date])</f>
        <v>99.334435913743661</v>
      </c>
      <c r="F273" s="138">
        <f>Table15[[#This Row],[Average_Price]]/Table15[[#This Row],[Units_Sold]]</f>
        <v>283.94222678899081</v>
      </c>
      <c r="G273" cm="1">
        <f t="array" ref="G273">_xlfn.IFS(Table15[[#This Row],[Vehicle_Type]]="SUV",250,Table15[[#This Row],[Vehicle_Type]]="Sedan",200,Table15[[#This Row],[Vehicle_Type]]="Hatchback",185,Table15[[#This Row],[Vehicle_Type]]="Electric",190,Table15[[#This Row],[Vehicle_Type]]="Truck",150)</f>
        <v>250</v>
      </c>
      <c r="H273">
        <f t="shared" ca="1" si="8"/>
        <v>25</v>
      </c>
      <c r="I273">
        <f t="shared" ca="1" si="9"/>
        <v>9</v>
      </c>
      <c r="J273" s="81">
        <f ca="1">24/Table15[[#This Row],[Production_Hours]]</f>
        <v>2.6666666666666665</v>
      </c>
      <c r="K273" s="82">
        <f ca="1">(Table15[[#This Row],[Daily_Production]]*Table15[[#This Row],[Working_Days]]) -Table15[[#This Row],[Maintenance_Downtime]]</f>
        <v>6247.333333333333</v>
      </c>
    </row>
    <row r="274" spans="1:11">
      <c r="A274" s="53">
        <v>50165</v>
      </c>
      <c r="B274" s="14" t="s">
        <v>12</v>
      </c>
      <c r="C274" s="14">
        <v>83</v>
      </c>
      <c r="D274" s="14">
        <v>31119.570670323308</v>
      </c>
      <c r="E274" s="82">
        <f>_xlfn.FORECAST.LINEAR(Table15[[#This Row],[Date]],Table15[Units_Sold],Table15[Date])</f>
        <v>99.336037584150347</v>
      </c>
      <c r="F274" s="138">
        <f>Table15[[#This Row],[Average_Price]]/Table15[[#This Row],[Units_Sold]]</f>
        <v>374.93458638943747</v>
      </c>
      <c r="G274" cm="1">
        <f t="array" ref="G274">_xlfn.IFS(Table15[[#This Row],[Vehicle_Type]]="SUV",250,Table15[[#This Row],[Vehicle_Type]]="Sedan",200,Table15[[#This Row],[Vehicle_Type]]="Hatchback",185,Table15[[#This Row],[Vehicle_Type]]="Electric",190,Table15[[#This Row],[Vehicle_Type]]="Truck",150)</f>
        <v>250</v>
      </c>
      <c r="H274">
        <f t="shared" ca="1" si="8"/>
        <v>21</v>
      </c>
      <c r="I274">
        <f t="shared" ca="1" si="9"/>
        <v>11</v>
      </c>
      <c r="J274" s="81">
        <f ca="1">24/Table15[[#This Row],[Production_Hours]]</f>
        <v>2.1818181818181817</v>
      </c>
      <c r="K274" s="82">
        <f ca="1">(Table15[[#This Row],[Daily_Production]]*Table15[[#This Row],[Working_Days]]) -Table15[[#This Row],[Maintenance_Downtime]]</f>
        <v>5247.818181818182</v>
      </c>
    </row>
    <row r="275" spans="1:11">
      <c r="A275" s="54">
        <v>50195</v>
      </c>
      <c r="B275" s="15" t="s">
        <v>11</v>
      </c>
      <c r="C275" s="15">
        <v>102</v>
      </c>
      <c r="D275" s="15">
        <v>36820.702149869219</v>
      </c>
      <c r="E275" s="82">
        <f>_xlfn.FORECAST.LINEAR(Table15[[#This Row],[Date]],Table15[Units_Sold],Table15[Date])</f>
        <v>99.337639254557018</v>
      </c>
      <c r="F275" s="138">
        <f>Table15[[#This Row],[Average_Price]]/Table15[[#This Row],[Units_Sold]]</f>
        <v>360.98727597911</v>
      </c>
      <c r="G275" cm="1">
        <f t="array" ref="G275">_xlfn.IFS(Table15[[#This Row],[Vehicle_Type]]="SUV",250,Table15[[#This Row],[Vehicle_Type]]="Sedan",200,Table15[[#This Row],[Vehicle_Type]]="Hatchback",185,Table15[[#This Row],[Vehicle_Type]]="Electric",190,Table15[[#This Row],[Vehicle_Type]]="Truck",150)</f>
        <v>185</v>
      </c>
      <c r="H275">
        <f t="shared" ca="1" si="8"/>
        <v>23</v>
      </c>
      <c r="I275">
        <f t="shared" ca="1" si="9"/>
        <v>8</v>
      </c>
      <c r="J275" s="81">
        <f ca="1">24/Table15[[#This Row],[Production_Hours]]</f>
        <v>3</v>
      </c>
      <c r="K275" s="82">
        <f ca="1">(Table15[[#This Row],[Daily_Production]]*Table15[[#This Row],[Working_Days]]) -Table15[[#This Row],[Maintenance_Downtime]]</f>
        <v>4252</v>
      </c>
    </row>
    <row r="276" spans="1:11">
      <c r="A276" s="53">
        <v>50225</v>
      </c>
      <c r="B276" s="14" t="s">
        <v>12</v>
      </c>
      <c r="C276" s="14">
        <v>98</v>
      </c>
      <c r="D276" s="14">
        <v>30626.122513239538</v>
      </c>
      <c r="E276" s="82">
        <f>_xlfn.FORECAST.LINEAR(Table15[[#This Row],[Date]],Table15[Units_Sold],Table15[Date])</f>
        <v>99.339240924963704</v>
      </c>
      <c r="F276" s="138">
        <f>Table15[[#This Row],[Average_Price]]/Table15[[#This Row],[Units_Sold]]</f>
        <v>312.51145421672999</v>
      </c>
      <c r="G276" cm="1">
        <f t="array" ref="G276">_xlfn.IFS(Table15[[#This Row],[Vehicle_Type]]="SUV",250,Table15[[#This Row],[Vehicle_Type]]="Sedan",200,Table15[[#This Row],[Vehicle_Type]]="Hatchback",185,Table15[[#This Row],[Vehicle_Type]]="Electric",190,Table15[[#This Row],[Vehicle_Type]]="Truck",150)</f>
        <v>250</v>
      </c>
      <c r="H276">
        <f t="shared" ca="1" si="8"/>
        <v>24</v>
      </c>
      <c r="I276">
        <f t="shared" ca="1" si="9"/>
        <v>11</v>
      </c>
      <c r="J276" s="81">
        <f ca="1">24/Table15[[#This Row],[Production_Hours]]</f>
        <v>2.1818181818181817</v>
      </c>
      <c r="K276" s="82">
        <f ca="1">(Table15[[#This Row],[Daily_Production]]*Table15[[#This Row],[Working_Days]]) -Table15[[#This Row],[Maintenance_Downtime]]</f>
        <v>5997.818181818182</v>
      </c>
    </row>
    <row r="277" spans="1:11">
      <c r="A277" s="54">
        <v>50255</v>
      </c>
      <c r="B277" s="15" t="s">
        <v>10</v>
      </c>
      <c r="C277" s="15">
        <v>93</v>
      </c>
      <c r="D277" s="15">
        <v>27852.972294373736</v>
      </c>
      <c r="E277" s="82">
        <f>_xlfn.FORECAST.LINEAR(Table15[[#This Row],[Date]],Table15[Units_Sold],Table15[Date])</f>
        <v>99.34084259537039</v>
      </c>
      <c r="F277" s="138">
        <f>Table15[[#This Row],[Average_Price]]/Table15[[#This Row],[Units_Sold]]</f>
        <v>299.49432574595414</v>
      </c>
      <c r="G277" cm="1">
        <f t="array" ref="G277">_xlfn.IFS(Table15[[#This Row],[Vehicle_Type]]="SUV",250,Table15[[#This Row],[Vehicle_Type]]="Sedan",200,Table15[[#This Row],[Vehicle_Type]]="Hatchback",185,Table15[[#This Row],[Vehicle_Type]]="Electric",190,Table15[[#This Row],[Vehicle_Type]]="Truck",150)</f>
        <v>200</v>
      </c>
      <c r="H277">
        <f t="shared" ca="1" si="8"/>
        <v>20</v>
      </c>
      <c r="I277">
        <f t="shared" ca="1" si="9"/>
        <v>9</v>
      </c>
      <c r="J277" s="81">
        <f ca="1">24/Table15[[#This Row],[Production_Hours]]</f>
        <v>2.6666666666666665</v>
      </c>
      <c r="K277" s="82">
        <f ca="1">(Table15[[#This Row],[Daily_Production]]*Table15[[#This Row],[Working_Days]]) -Table15[[#This Row],[Maintenance_Downtime]]</f>
        <v>3997.3333333333335</v>
      </c>
    </row>
    <row r="278" spans="1:11">
      <c r="A278" s="53">
        <v>50285</v>
      </c>
      <c r="B278" s="14" t="s">
        <v>13</v>
      </c>
      <c r="C278" s="14">
        <v>104</v>
      </c>
      <c r="D278" s="14">
        <v>30611.487515161418</v>
      </c>
      <c r="E278" s="82">
        <f>_xlfn.FORECAST.LINEAR(Table15[[#This Row],[Date]],Table15[Units_Sold],Table15[Date])</f>
        <v>99.342444265777061</v>
      </c>
      <c r="F278" s="138">
        <f>Table15[[#This Row],[Average_Price]]/Table15[[#This Row],[Units_Sold]]</f>
        <v>294.34122610732135</v>
      </c>
      <c r="G278" cm="1">
        <f t="array" ref="G278">_xlfn.IFS(Table15[[#This Row],[Vehicle_Type]]="SUV",250,Table15[[#This Row],[Vehicle_Type]]="Sedan",200,Table15[[#This Row],[Vehicle_Type]]="Hatchback",185,Table15[[#This Row],[Vehicle_Type]]="Electric",190,Table15[[#This Row],[Vehicle_Type]]="Truck",150)</f>
        <v>190</v>
      </c>
      <c r="H278">
        <f t="shared" ca="1" si="8"/>
        <v>22</v>
      </c>
      <c r="I278">
        <f t="shared" ca="1" si="9"/>
        <v>12</v>
      </c>
      <c r="J278" s="81">
        <f ca="1">24/Table15[[#This Row],[Production_Hours]]</f>
        <v>2</v>
      </c>
      <c r="K278" s="82">
        <f ca="1">(Table15[[#This Row],[Daily_Production]]*Table15[[#This Row],[Working_Days]]) -Table15[[#This Row],[Maintenance_Downtime]]</f>
        <v>4178</v>
      </c>
    </row>
    <row r="279" spans="1:11">
      <c r="A279" s="54">
        <v>50315</v>
      </c>
      <c r="B279" s="15" t="s">
        <v>13</v>
      </c>
      <c r="C279" s="15">
        <v>96</v>
      </c>
      <c r="D279" s="15">
        <v>32716.490145181939</v>
      </c>
      <c r="E279" s="82">
        <f>_xlfn.FORECAST.LINEAR(Table15[[#This Row],[Date]],Table15[Units_Sold],Table15[Date])</f>
        <v>99.344045936183747</v>
      </c>
      <c r="F279" s="138">
        <f>Table15[[#This Row],[Average_Price]]/Table15[[#This Row],[Units_Sold]]</f>
        <v>340.79677234564519</v>
      </c>
      <c r="G279" cm="1">
        <f t="array" ref="G279">_xlfn.IFS(Table15[[#This Row],[Vehicle_Type]]="SUV",250,Table15[[#This Row],[Vehicle_Type]]="Sedan",200,Table15[[#This Row],[Vehicle_Type]]="Hatchback",185,Table15[[#This Row],[Vehicle_Type]]="Electric",190,Table15[[#This Row],[Vehicle_Type]]="Truck",150)</f>
        <v>190</v>
      </c>
      <c r="H279">
        <f t="shared" ca="1" si="8"/>
        <v>20</v>
      </c>
      <c r="I279">
        <f t="shared" ca="1" si="9"/>
        <v>11</v>
      </c>
      <c r="J279" s="81">
        <f ca="1">24/Table15[[#This Row],[Production_Hours]]</f>
        <v>2.1818181818181817</v>
      </c>
      <c r="K279" s="82">
        <f ca="1">(Table15[[#This Row],[Daily_Production]]*Table15[[#This Row],[Working_Days]]) -Table15[[#This Row],[Maintenance_Downtime]]</f>
        <v>3797.818181818182</v>
      </c>
    </row>
    <row r="280" spans="1:11">
      <c r="A280" s="53">
        <v>50345</v>
      </c>
      <c r="B280" s="14" t="s">
        <v>10</v>
      </c>
      <c r="C280" s="14">
        <v>103</v>
      </c>
      <c r="D280" s="14">
        <v>30244.300351628521</v>
      </c>
      <c r="E280" s="82">
        <f>_xlfn.FORECAST.LINEAR(Table15[[#This Row],[Date]],Table15[Units_Sold],Table15[Date])</f>
        <v>99.345647606590433</v>
      </c>
      <c r="F280" s="138">
        <f>Table15[[#This Row],[Average_Price]]/Table15[[#This Row],[Units_Sold]]</f>
        <v>293.6339839963934</v>
      </c>
      <c r="G280" cm="1">
        <f t="array" ref="G280">_xlfn.IFS(Table15[[#This Row],[Vehicle_Type]]="SUV",250,Table15[[#This Row],[Vehicle_Type]]="Sedan",200,Table15[[#This Row],[Vehicle_Type]]="Hatchback",185,Table15[[#This Row],[Vehicle_Type]]="Electric",190,Table15[[#This Row],[Vehicle_Type]]="Truck",150)</f>
        <v>200</v>
      </c>
      <c r="H280">
        <f t="shared" ca="1" si="8"/>
        <v>25</v>
      </c>
      <c r="I280">
        <f t="shared" ca="1" si="9"/>
        <v>9</v>
      </c>
      <c r="J280" s="81">
        <f ca="1">24/Table15[[#This Row],[Production_Hours]]</f>
        <v>2.6666666666666665</v>
      </c>
      <c r="K280" s="82">
        <f ca="1">(Table15[[#This Row],[Daily_Production]]*Table15[[#This Row],[Working_Days]]) -Table15[[#This Row],[Maintenance_Downtime]]</f>
        <v>4997.333333333333</v>
      </c>
    </row>
    <row r="281" spans="1:11">
      <c r="A281" s="54">
        <v>50375</v>
      </c>
      <c r="B281" s="15" t="s">
        <v>11</v>
      </c>
      <c r="C281" s="15">
        <v>85</v>
      </c>
      <c r="D281" s="15">
        <v>30202.958456019413</v>
      </c>
      <c r="E281" s="82">
        <f>_xlfn.FORECAST.LINEAR(Table15[[#This Row],[Date]],Table15[Units_Sold],Table15[Date])</f>
        <v>99.347249276997118</v>
      </c>
      <c r="F281" s="138">
        <f>Table15[[#This Row],[Average_Price]]/Table15[[#This Row],[Units_Sold]]</f>
        <v>355.32892301199308</v>
      </c>
      <c r="G281" cm="1">
        <f t="array" ref="G281">_xlfn.IFS(Table15[[#This Row],[Vehicle_Type]]="SUV",250,Table15[[#This Row],[Vehicle_Type]]="Sedan",200,Table15[[#This Row],[Vehicle_Type]]="Hatchback",185,Table15[[#This Row],[Vehicle_Type]]="Electric",190,Table15[[#This Row],[Vehicle_Type]]="Truck",150)</f>
        <v>185</v>
      </c>
      <c r="H281">
        <f t="shared" ca="1" si="8"/>
        <v>21</v>
      </c>
      <c r="I281">
        <f t="shared" ca="1" si="9"/>
        <v>8</v>
      </c>
      <c r="J281" s="81">
        <f ca="1">24/Table15[[#This Row],[Production_Hours]]</f>
        <v>3</v>
      </c>
      <c r="K281" s="82">
        <f ca="1">(Table15[[#This Row],[Daily_Production]]*Table15[[#This Row],[Working_Days]]) -Table15[[#This Row],[Maintenance_Downtime]]</f>
        <v>3882</v>
      </c>
    </row>
    <row r="282" spans="1:11">
      <c r="A282" s="53">
        <v>50405</v>
      </c>
      <c r="B282" s="14" t="s">
        <v>10</v>
      </c>
      <c r="C282" s="14">
        <v>92</v>
      </c>
      <c r="D282" s="14">
        <v>26490.041560966223</v>
      </c>
      <c r="E282" s="82">
        <f>_xlfn.FORECAST.LINEAR(Table15[[#This Row],[Date]],Table15[Units_Sold],Table15[Date])</f>
        <v>99.34885094740379</v>
      </c>
      <c r="F282" s="138">
        <f>Table15[[#This Row],[Average_Price]]/Table15[[#This Row],[Units_Sold]]</f>
        <v>287.9352343583285</v>
      </c>
      <c r="G282" cm="1">
        <f t="array" ref="G282">_xlfn.IFS(Table15[[#This Row],[Vehicle_Type]]="SUV",250,Table15[[#This Row],[Vehicle_Type]]="Sedan",200,Table15[[#This Row],[Vehicle_Type]]="Hatchback",185,Table15[[#This Row],[Vehicle_Type]]="Electric",190,Table15[[#This Row],[Vehicle_Type]]="Truck",150)</f>
        <v>200</v>
      </c>
      <c r="H282">
        <f t="shared" ca="1" si="8"/>
        <v>24</v>
      </c>
      <c r="I282">
        <f t="shared" ca="1" si="9"/>
        <v>11</v>
      </c>
      <c r="J282" s="81">
        <f ca="1">24/Table15[[#This Row],[Production_Hours]]</f>
        <v>2.1818181818181817</v>
      </c>
      <c r="K282" s="82">
        <f ca="1">(Table15[[#This Row],[Daily_Production]]*Table15[[#This Row],[Working_Days]]) -Table15[[#This Row],[Maintenance_Downtime]]</f>
        <v>4797.818181818182</v>
      </c>
    </row>
    <row r="283" spans="1:11">
      <c r="A283" s="54">
        <v>50435</v>
      </c>
      <c r="B283" s="15" t="s">
        <v>10</v>
      </c>
      <c r="C283" s="15">
        <v>90</v>
      </c>
      <c r="D283" s="15">
        <v>26685.495412245258</v>
      </c>
      <c r="E283" s="82">
        <f>_xlfn.FORECAST.LINEAR(Table15[[#This Row],[Date]],Table15[Units_Sold],Table15[Date])</f>
        <v>99.350452617810475</v>
      </c>
      <c r="F283" s="138">
        <f>Table15[[#This Row],[Average_Price]]/Table15[[#This Row],[Units_Sold]]</f>
        <v>296.50550458050287</v>
      </c>
      <c r="G283" cm="1">
        <f t="array" ref="G283">_xlfn.IFS(Table15[[#This Row],[Vehicle_Type]]="SUV",250,Table15[[#This Row],[Vehicle_Type]]="Sedan",200,Table15[[#This Row],[Vehicle_Type]]="Hatchback",185,Table15[[#This Row],[Vehicle_Type]]="Electric",190,Table15[[#This Row],[Vehicle_Type]]="Truck",150)</f>
        <v>200</v>
      </c>
      <c r="H283">
        <f t="shared" ca="1" si="8"/>
        <v>21</v>
      </c>
      <c r="I283">
        <f t="shared" ca="1" si="9"/>
        <v>9</v>
      </c>
      <c r="J283" s="81">
        <f ca="1">24/Table15[[#This Row],[Production_Hours]]</f>
        <v>2.6666666666666665</v>
      </c>
      <c r="K283" s="82">
        <f ca="1">(Table15[[#This Row],[Daily_Production]]*Table15[[#This Row],[Working_Days]]) -Table15[[#This Row],[Maintenance_Downtime]]</f>
        <v>4197.333333333333</v>
      </c>
    </row>
    <row r="284" spans="1:11">
      <c r="A284" s="53">
        <v>50465</v>
      </c>
      <c r="B284" s="14" t="s">
        <v>13</v>
      </c>
      <c r="C284" s="14">
        <v>83</v>
      </c>
      <c r="D284" s="14">
        <v>22986.973641001532</v>
      </c>
      <c r="E284" s="82">
        <f>_xlfn.FORECAST.LINEAR(Table15[[#This Row],[Date]],Table15[Units_Sold],Table15[Date])</f>
        <v>99.352054288217161</v>
      </c>
      <c r="F284" s="138">
        <f>Table15[[#This Row],[Average_Price]]/Table15[[#This Row],[Units_Sold]]</f>
        <v>276.95148965062089</v>
      </c>
      <c r="G284" cm="1">
        <f t="array" ref="G284">_xlfn.IFS(Table15[[#This Row],[Vehicle_Type]]="SUV",250,Table15[[#This Row],[Vehicle_Type]]="Sedan",200,Table15[[#This Row],[Vehicle_Type]]="Hatchback",185,Table15[[#This Row],[Vehicle_Type]]="Electric",190,Table15[[#This Row],[Vehicle_Type]]="Truck",150)</f>
        <v>190</v>
      </c>
      <c r="H284">
        <f t="shared" ca="1" si="8"/>
        <v>22</v>
      </c>
      <c r="I284">
        <f t="shared" ca="1" si="9"/>
        <v>11</v>
      </c>
      <c r="J284" s="81">
        <f ca="1">24/Table15[[#This Row],[Production_Hours]]</f>
        <v>2.1818181818181817</v>
      </c>
      <c r="K284" s="82">
        <f ca="1">(Table15[[#This Row],[Daily_Production]]*Table15[[#This Row],[Working_Days]]) -Table15[[#This Row],[Maintenance_Downtime]]</f>
        <v>4177.818181818182</v>
      </c>
    </row>
    <row r="285" spans="1:11">
      <c r="A285" s="54">
        <v>50495</v>
      </c>
      <c r="B285" s="15" t="s">
        <v>14</v>
      </c>
      <c r="C285" s="15">
        <v>86</v>
      </c>
      <c r="D285" s="15">
        <v>38747.883715934695</v>
      </c>
      <c r="E285" s="82">
        <f>_xlfn.FORECAST.LINEAR(Table15[[#This Row],[Date]],Table15[Units_Sold],Table15[Date])</f>
        <v>99.353655958623833</v>
      </c>
      <c r="F285" s="138">
        <f>Table15[[#This Row],[Average_Price]]/Table15[[#This Row],[Units_Sold]]</f>
        <v>450.55678739458949</v>
      </c>
      <c r="G285" cm="1">
        <f t="array" ref="G285">_xlfn.IFS(Table15[[#This Row],[Vehicle_Type]]="SUV",250,Table15[[#This Row],[Vehicle_Type]]="Sedan",200,Table15[[#This Row],[Vehicle_Type]]="Hatchback",185,Table15[[#This Row],[Vehicle_Type]]="Electric",190,Table15[[#This Row],[Vehicle_Type]]="Truck",150)</f>
        <v>150</v>
      </c>
      <c r="H285">
        <f t="shared" ca="1" si="8"/>
        <v>23</v>
      </c>
      <c r="I285">
        <f t="shared" ca="1" si="9"/>
        <v>12</v>
      </c>
      <c r="J285" s="81">
        <f ca="1">24/Table15[[#This Row],[Production_Hours]]</f>
        <v>2</v>
      </c>
      <c r="K285" s="82">
        <f ca="1">(Table15[[#This Row],[Daily_Production]]*Table15[[#This Row],[Working_Days]]) -Table15[[#This Row],[Maintenance_Downtime]]</f>
        <v>3448</v>
      </c>
    </row>
    <row r="286" spans="1:11">
      <c r="A286" s="53">
        <v>50525</v>
      </c>
      <c r="B286" s="14" t="s">
        <v>13</v>
      </c>
      <c r="C286" s="14">
        <v>110</v>
      </c>
      <c r="D286" s="14">
        <v>23780.683823043575</v>
      </c>
      <c r="E286" s="82">
        <f>_xlfn.FORECAST.LINEAR(Table15[[#This Row],[Date]],Table15[Units_Sold],Table15[Date])</f>
        <v>99.355257629030518</v>
      </c>
      <c r="F286" s="138">
        <f>Table15[[#This Row],[Average_Price]]/Table15[[#This Row],[Units_Sold]]</f>
        <v>216.18803475494158</v>
      </c>
      <c r="G286" cm="1">
        <f t="array" ref="G286">_xlfn.IFS(Table15[[#This Row],[Vehicle_Type]]="SUV",250,Table15[[#This Row],[Vehicle_Type]]="Sedan",200,Table15[[#This Row],[Vehicle_Type]]="Hatchback",185,Table15[[#This Row],[Vehicle_Type]]="Electric",190,Table15[[#This Row],[Vehicle_Type]]="Truck",150)</f>
        <v>190</v>
      </c>
      <c r="H286">
        <f t="shared" ca="1" si="8"/>
        <v>23</v>
      </c>
      <c r="I286">
        <f t="shared" ca="1" si="9"/>
        <v>11</v>
      </c>
      <c r="J286" s="81">
        <f ca="1">24/Table15[[#This Row],[Production_Hours]]</f>
        <v>2.1818181818181817</v>
      </c>
      <c r="K286" s="82">
        <f ca="1">(Table15[[#This Row],[Daily_Production]]*Table15[[#This Row],[Working_Days]]) -Table15[[#This Row],[Maintenance_Downtime]]</f>
        <v>4367.818181818182</v>
      </c>
    </row>
    <row r="287" spans="1:11">
      <c r="A287" s="54">
        <v>50555</v>
      </c>
      <c r="B287" s="15" t="s">
        <v>13</v>
      </c>
      <c r="C287" s="15">
        <v>89</v>
      </c>
      <c r="D287" s="15">
        <v>38106.295579999998</v>
      </c>
      <c r="E287" s="82">
        <f>_xlfn.FORECAST.LINEAR(Table15[[#This Row],[Date]],Table15[Units_Sold],Table15[Date])</f>
        <v>99.356859299437204</v>
      </c>
      <c r="F287" s="138">
        <f>Table15[[#This Row],[Average_Price]]/Table15[[#This Row],[Units_Sold]]</f>
        <v>428.16062449438198</v>
      </c>
      <c r="G287" cm="1">
        <f t="array" ref="G287">_xlfn.IFS(Table15[[#This Row],[Vehicle_Type]]="SUV",250,Table15[[#This Row],[Vehicle_Type]]="Sedan",200,Table15[[#This Row],[Vehicle_Type]]="Hatchback",185,Table15[[#This Row],[Vehicle_Type]]="Electric",190,Table15[[#This Row],[Vehicle_Type]]="Truck",150)</f>
        <v>190</v>
      </c>
      <c r="H287">
        <f t="shared" ca="1" si="8"/>
        <v>21</v>
      </c>
      <c r="I287">
        <f t="shared" ca="1" si="9"/>
        <v>10</v>
      </c>
      <c r="J287" s="81">
        <f ca="1">24/Table15[[#This Row],[Production_Hours]]</f>
        <v>2.4</v>
      </c>
      <c r="K287" s="82">
        <f ca="1">(Table15[[#This Row],[Daily_Production]]*Table15[[#This Row],[Working_Days]]) -Table15[[#This Row],[Maintenance_Downtime]]</f>
        <v>3987.6</v>
      </c>
    </row>
    <row r="288" spans="1:11">
      <c r="A288" s="53">
        <v>50585</v>
      </c>
      <c r="B288" s="14" t="s">
        <v>12</v>
      </c>
      <c r="C288" s="14">
        <v>118</v>
      </c>
      <c r="D288" s="14">
        <v>30949.702720000001</v>
      </c>
      <c r="E288" s="82">
        <f>_xlfn.FORECAST.LINEAR(Table15[[#This Row],[Date]],Table15[Units_Sold],Table15[Date])</f>
        <v>99.35846096984389</v>
      </c>
      <c r="F288" s="138">
        <f>Table15[[#This Row],[Average_Price]]/Table15[[#This Row],[Units_Sold]]</f>
        <v>262.28561627118643</v>
      </c>
      <c r="G288" cm="1">
        <f t="array" ref="G288">_xlfn.IFS(Table15[[#This Row],[Vehicle_Type]]="SUV",250,Table15[[#This Row],[Vehicle_Type]]="Sedan",200,Table15[[#This Row],[Vehicle_Type]]="Hatchback",185,Table15[[#This Row],[Vehicle_Type]]="Electric",190,Table15[[#This Row],[Vehicle_Type]]="Truck",150)</f>
        <v>250</v>
      </c>
      <c r="H288">
        <f t="shared" ca="1" si="8"/>
        <v>20</v>
      </c>
      <c r="I288">
        <f t="shared" ca="1" si="9"/>
        <v>9</v>
      </c>
      <c r="J288" s="81">
        <f ca="1">24/Table15[[#This Row],[Production_Hours]]</f>
        <v>2.6666666666666665</v>
      </c>
      <c r="K288" s="82">
        <f ca="1">(Table15[[#This Row],[Daily_Production]]*Table15[[#This Row],[Working_Days]]) -Table15[[#This Row],[Maintenance_Downtime]]</f>
        <v>4997.333333333333</v>
      </c>
    </row>
    <row r="289" spans="1:11">
      <c r="A289" s="54">
        <v>50615</v>
      </c>
      <c r="B289" s="15" t="s">
        <v>10</v>
      </c>
      <c r="C289" s="15">
        <v>102</v>
      </c>
      <c r="D289" s="15">
        <v>34474.621884722204</v>
      </c>
      <c r="E289" s="82">
        <f>_xlfn.FORECAST.LINEAR(Table15[[#This Row],[Date]],Table15[Units_Sold],Table15[Date])</f>
        <v>99.360062640250561</v>
      </c>
      <c r="F289" s="138">
        <f>Table15[[#This Row],[Average_Price]]/Table15[[#This Row],[Units_Sold]]</f>
        <v>337.98648906590398</v>
      </c>
      <c r="G289" cm="1">
        <f t="array" ref="G289">_xlfn.IFS(Table15[[#This Row],[Vehicle_Type]]="SUV",250,Table15[[#This Row],[Vehicle_Type]]="Sedan",200,Table15[[#This Row],[Vehicle_Type]]="Hatchback",185,Table15[[#This Row],[Vehicle_Type]]="Electric",190,Table15[[#This Row],[Vehicle_Type]]="Truck",150)</f>
        <v>200</v>
      </c>
      <c r="H289">
        <f t="shared" ca="1" si="8"/>
        <v>24</v>
      </c>
      <c r="I289">
        <f t="shared" ca="1" si="9"/>
        <v>8</v>
      </c>
      <c r="J289" s="81">
        <f ca="1">24/Table15[[#This Row],[Production_Hours]]</f>
        <v>3</v>
      </c>
      <c r="K289" s="82">
        <f ca="1">(Table15[[#This Row],[Daily_Production]]*Table15[[#This Row],[Working_Days]]) -Table15[[#This Row],[Maintenance_Downtime]]</f>
        <v>4797</v>
      </c>
    </row>
    <row r="290" spans="1:11">
      <c r="A290" s="53">
        <v>50645</v>
      </c>
      <c r="B290" s="14" t="s">
        <v>13</v>
      </c>
      <c r="C290" s="14">
        <v>108</v>
      </c>
      <c r="D290" s="14">
        <v>28525.25160853986</v>
      </c>
      <c r="E290" s="82">
        <f>_xlfn.FORECAST.LINEAR(Table15[[#This Row],[Date]],Table15[Units_Sold],Table15[Date])</f>
        <v>99.361664310657247</v>
      </c>
      <c r="F290" s="138">
        <f>Table15[[#This Row],[Average_Price]]/Table15[[#This Row],[Units_Sold]]</f>
        <v>264.12270007907279</v>
      </c>
      <c r="G290" cm="1">
        <f t="array" ref="G290">_xlfn.IFS(Table15[[#This Row],[Vehicle_Type]]="SUV",250,Table15[[#This Row],[Vehicle_Type]]="Sedan",200,Table15[[#This Row],[Vehicle_Type]]="Hatchback",185,Table15[[#This Row],[Vehicle_Type]]="Electric",190,Table15[[#This Row],[Vehicle_Type]]="Truck",150)</f>
        <v>190</v>
      </c>
      <c r="H290">
        <f t="shared" ca="1" si="8"/>
        <v>22</v>
      </c>
      <c r="I290">
        <f t="shared" ca="1" si="9"/>
        <v>12</v>
      </c>
      <c r="J290" s="81">
        <f ca="1">24/Table15[[#This Row],[Production_Hours]]</f>
        <v>2</v>
      </c>
      <c r="K290" s="82">
        <f ca="1">(Table15[[#This Row],[Daily_Production]]*Table15[[#This Row],[Working_Days]]) -Table15[[#This Row],[Maintenance_Downtime]]</f>
        <v>4178</v>
      </c>
    </row>
    <row r="291" spans="1:11">
      <c r="A291" s="54">
        <v>50675</v>
      </c>
      <c r="B291" s="15" t="s">
        <v>10</v>
      </c>
      <c r="C291" s="15">
        <v>95</v>
      </c>
      <c r="D291" s="15">
        <v>36238.710363368671</v>
      </c>
      <c r="E291" s="82">
        <f>_xlfn.FORECAST.LINEAR(Table15[[#This Row],[Date]],Table15[Units_Sold],Table15[Date])</f>
        <v>99.363265981063932</v>
      </c>
      <c r="F291" s="138">
        <f>Table15[[#This Row],[Average_Price]]/Table15[[#This Row],[Units_Sold]]</f>
        <v>381.46010908809126</v>
      </c>
      <c r="G291" cm="1">
        <f t="array" ref="G291">_xlfn.IFS(Table15[[#This Row],[Vehicle_Type]]="SUV",250,Table15[[#This Row],[Vehicle_Type]]="Sedan",200,Table15[[#This Row],[Vehicle_Type]]="Hatchback",185,Table15[[#This Row],[Vehicle_Type]]="Electric",190,Table15[[#This Row],[Vehicle_Type]]="Truck",150)</f>
        <v>200</v>
      </c>
      <c r="H291">
        <f t="shared" ca="1" si="8"/>
        <v>23</v>
      </c>
      <c r="I291">
        <f t="shared" ca="1" si="9"/>
        <v>11</v>
      </c>
      <c r="J291" s="81">
        <f ca="1">24/Table15[[#This Row],[Production_Hours]]</f>
        <v>2.1818181818181817</v>
      </c>
      <c r="K291" s="82">
        <f ca="1">(Table15[[#This Row],[Daily_Production]]*Table15[[#This Row],[Working_Days]]) -Table15[[#This Row],[Maintenance_Downtime]]</f>
        <v>4597.818181818182</v>
      </c>
    </row>
    <row r="292" spans="1:11">
      <c r="A292" s="53">
        <v>50705</v>
      </c>
      <c r="B292" s="14" t="s">
        <v>12</v>
      </c>
      <c r="C292" s="14">
        <v>100</v>
      </c>
      <c r="D292" s="14">
        <v>26632.546878780657</v>
      </c>
      <c r="E292" s="82">
        <f>_xlfn.FORECAST.LINEAR(Table15[[#This Row],[Date]],Table15[Units_Sold],Table15[Date])</f>
        <v>99.364867651470604</v>
      </c>
      <c r="F292" s="138">
        <f>Table15[[#This Row],[Average_Price]]/Table15[[#This Row],[Units_Sold]]</f>
        <v>266.32546878780659</v>
      </c>
      <c r="G292" cm="1">
        <f t="array" ref="G292">_xlfn.IFS(Table15[[#This Row],[Vehicle_Type]]="SUV",250,Table15[[#This Row],[Vehicle_Type]]="Sedan",200,Table15[[#This Row],[Vehicle_Type]]="Hatchback",185,Table15[[#This Row],[Vehicle_Type]]="Electric",190,Table15[[#This Row],[Vehicle_Type]]="Truck",150)</f>
        <v>250</v>
      </c>
      <c r="H292">
        <f t="shared" ca="1" si="8"/>
        <v>22</v>
      </c>
      <c r="I292">
        <f t="shared" ca="1" si="9"/>
        <v>12</v>
      </c>
      <c r="J292" s="81">
        <f ca="1">24/Table15[[#This Row],[Production_Hours]]</f>
        <v>2</v>
      </c>
      <c r="K292" s="82">
        <f ca="1">(Table15[[#This Row],[Daily_Production]]*Table15[[#This Row],[Working_Days]]) -Table15[[#This Row],[Maintenance_Downtime]]</f>
        <v>5498</v>
      </c>
    </row>
    <row r="293" spans="1:11">
      <c r="A293" s="54">
        <v>50735</v>
      </c>
      <c r="B293" s="15" t="s">
        <v>10</v>
      </c>
      <c r="C293" s="15">
        <v>86</v>
      </c>
      <c r="D293" s="15">
        <v>31394.970811119008</v>
      </c>
      <c r="E293" s="82">
        <f>_xlfn.FORECAST.LINEAR(Table15[[#This Row],[Date]],Table15[Units_Sold],Table15[Date])</f>
        <v>99.36646932187729</v>
      </c>
      <c r="F293" s="138">
        <f>Table15[[#This Row],[Average_Price]]/Table15[[#This Row],[Units_Sold]]</f>
        <v>365.0578001292908</v>
      </c>
      <c r="G293" cm="1">
        <f t="array" ref="G293">_xlfn.IFS(Table15[[#This Row],[Vehicle_Type]]="SUV",250,Table15[[#This Row],[Vehicle_Type]]="Sedan",200,Table15[[#This Row],[Vehicle_Type]]="Hatchback",185,Table15[[#This Row],[Vehicle_Type]]="Electric",190,Table15[[#This Row],[Vehicle_Type]]="Truck",150)</f>
        <v>200</v>
      </c>
      <c r="H293">
        <f t="shared" ca="1" si="8"/>
        <v>25</v>
      </c>
      <c r="I293">
        <f t="shared" ca="1" si="9"/>
        <v>9</v>
      </c>
      <c r="J293" s="81">
        <f ca="1">24/Table15[[#This Row],[Production_Hours]]</f>
        <v>2.6666666666666665</v>
      </c>
      <c r="K293" s="82">
        <f ca="1">(Table15[[#This Row],[Daily_Production]]*Table15[[#This Row],[Working_Days]]) -Table15[[#This Row],[Maintenance_Downtime]]</f>
        <v>4997.333333333333</v>
      </c>
    </row>
    <row r="294" spans="1:11">
      <c r="A294" s="53">
        <v>50765</v>
      </c>
      <c r="B294" s="14" t="s">
        <v>13</v>
      </c>
      <c r="C294" s="14">
        <v>94</v>
      </c>
      <c r="D294" s="14">
        <v>25823.264733701213</v>
      </c>
      <c r="E294" s="82">
        <f>_xlfn.FORECAST.LINEAR(Table15[[#This Row],[Date]],Table15[Units_Sold],Table15[Date])</f>
        <v>99.368070992283975</v>
      </c>
      <c r="F294" s="138">
        <f>Table15[[#This Row],[Average_Price]]/Table15[[#This Row],[Units_Sold]]</f>
        <v>274.71558227341717</v>
      </c>
      <c r="G294" cm="1">
        <f t="array" ref="G294">_xlfn.IFS(Table15[[#This Row],[Vehicle_Type]]="SUV",250,Table15[[#This Row],[Vehicle_Type]]="Sedan",200,Table15[[#This Row],[Vehicle_Type]]="Hatchback",185,Table15[[#This Row],[Vehicle_Type]]="Electric",190,Table15[[#This Row],[Vehicle_Type]]="Truck",150)</f>
        <v>190</v>
      </c>
      <c r="H294">
        <f t="shared" ca="1" si="8"/>
        <v>21</v>
      </c>
      <c r="I294">
        <f t="shared" ca="1" si="9"/>
        <v>9</v>
      </c>
      <c r="J294" s="81">
        <f ca="1">24/Table15[[#This Row],[Production_Hours]]</f>
        <v>2.6666666666666665</v>
      </c>
      <c r="K294" s="82">
        <f ca="1">(Table15[[#This Row],[Daily_Production]]*Table15[[#This Row],[Working_Days]]) -Table15[[#This Row],[Maintenance_Downtime]]</f>
        <v>3987.3333333333335</v>
      </c>
    </row>
    <row r="295" spans="1:11">
      <c r="A295" s="54">
        <v>50795</v>
      </c>
      <c r="B295" s="15" t="s">
        <v>10</v>
      </c>
      <c r="C295" s="15">
        <v>88</v>
      </c>
      <c r="D295" s="15">
        <v>40725.745638866938</v>
      </c>
      <c r="E295" s="82">
        <f>_xlfn.FORECAST.LINEAR(Table15[[#This Row],[Date]],Table15[Units_Sold],Table15[Date])</f>
        <v>99.369672662690661</v>
      </c>
      <c r="F295" s="138">
        <f>Table15[[#This Row],[Average_Price]]/Table15[[#This Row],[Units_Sold]]</f>
        <v>462.79256407803337</v>
      </c>
      <c r="G295" cm="1">
        <f t="array" ref="G295">_xlfn.IFS(Table15[[#This Row],[Vehicle_Type]]="SUV",250,Table15[[#This Row],[Vehicle_Type]]="Sedan",200,Table15[[#This Row],[Vehicle_Type]]="Hatchback",185,Table15[[#This Row],[Vehicle_Type]]="Electric",190,Table15[[#This Row],[Vehicle_Type]]="Truck",150)</f>
        <v>200</v>
      </c>
      <c r="H295">
        <f t="shared" ca="1" si="8"/>
        <v>22</v>
      </c>
      <c r="I295">
        <f t="shared" ca="1" si="9"/>
        <v>12</v>
      </c>
      <c r="J295" s="81">
        <f ca="1">24/Table15[[#This Row],[Production_Hours]]</f>
        <v>2</v>
      </c>
      <c r="K295" s="82">
        <f ca="1">(Table15[[#This Row],[Daily_Production]]*Table15[[#This Row],[Working_Days]]) -Table15[[#This Row],[Maintenance_Downtime]]</f>
        <v>4398</v>
      </c>
    </row>
    <row r="296" spans="1:11">
      <c r="A296" s="53">
        <v>50825</v>
      </c>
      <c r="B296" s="14" t="s">
        <v>12</v>
      </c>
      <c r="C296" s="14">
        <v>100</v>
      </c>
      <c r="D296" s="14">
        <v>24062.007904852435</v>
      </c>
      <c r="E296" s="82">
        <f>_xlfn.FORECAST.LINEAR(Table15[[#This Row],[Date]],Table15[Units_Sold],Table15[Date])</f>
        <v>99.371274333097332</v>
      </c>
      <c r="F296" s="138">
        <f>Table15[[#This Row],[Average_Price]]/Table15[[#This Row],[Units_Sold]]</f>
        <v>240.62007904852436</v>
      </c>
      <c r="G296" cm="1">
        <f t="array" ref="G296">_xlfn.IFS(Table15[[#This Row],[Vehicle_Type]]="SUV",250,Table15[[#This Row],[Vehicle_Type]]="Sedan",200,Table15[[#This Row],[Vehicle_Type]]="Hatchback",185,Table15[[#This Row],[Vehicle_Type]]="Electric",190,Table15[[#This Row],[Vehicle_Type]]="Truck",150)</f>
        <v>250</v>
      </c>
      <c r="H296">
        <f t="shared" ca="1" si="8"/>
        <v>22</v>
      </c>
      <c r="I296">
        <f t="shared" ca="1" si="9"/>
        <v>11</v>
      </c>
      <c r="J296" s="81">
        <f ca="1">24/Table15[[#This Row],[Production_Hours]]</f>
        <v>2.1818181818181817</v>
      </c>
      <c r="K296" s="82">
        <f ca="1">(Table15[[#This Row],[Daily_Production]]*Table15[[#This Row],[Working_Days]]) -Table15[[#This Row],[Maintenance_Downtime]]</f>
        <v>5497.818181818182</v>
      </c>
    </row>
    <row r="297" spans="1:11">
      <c r="A297" s="54">
        <v>50855</v>
      </c>
      <c r="B297" s="15" t="s">
        <v>14</v>
      </c>
      <c r="C297" s="15">
        <v>95</v>
      </c>
      <c r="D297" s="15">
        <v>31549.103551135137</v>
      </c>
      <c r="E297" s="82">
        <f>_xlfn.FORECAST.LINEAR(Table15[[#This Row],[Date]],Table15[Units_Sold],Table15[Date])</f>
        <v>99.372876003504018</v>
      </c>
      <c r="F297" s="138">
        <f>Table15[[#This Row],[Average_Price]]/Table15[[#This Row],[Units_Sold]]</f>
        <v>332.09582685405405</v>
      </c>
      <c r="G297" cm="1">
        <f t="array" ref="G297">_xlfn.IFS(Table15[[#This Row],[Vehicle_Type]]="SUV",250,Table15[[#This Row],[Vehicle_Type]]="Sedan",200,Table15[[#This Row],[Vehicle_Type]]="Hatchback",185,Table15[[#This Row],[Vehicle_Type]]="Electric",190,Table15[[#This Row],[Vehicle_Type]]="Truck",150)</f>
        <v>150</v>
      </c>
      <c r="H297">
        <f t="shared" ca="1" si="8"/>
        <v>20</v>
      </c>
      <c r="I297">
        <f t="shared" ca="1" si="9"/>
        <v>11</v>
      </c>
      <c r="J297" s="81">
        <f ca="1">24/Table15[[#This Row],[Production_Hours]]</f>
        <v>2.1818181818181817</v>
      </c>
      <c r="K297" s="82">
        <f ca="1">(Table15[[#This Row],[Daily_Production]]*Table15[[#This Row],[Working_Days]]) -Table15[[#This Row],[Maintenance_Downtime]]</f>
        <v>2997.818181818182</v>
      </c>
    </row>
    <row r="298" spans="1:11">
      <c r="A298" s="53">
        <v>50885</v>
      </c>
      <c r="B298" s="14" t="s">
        <v>10</v>
      </c>
      <c r="C298" s="14">
        <v>95</v>
      </c>
      <c r="D298" s="14">
        <v>33168.884404660494</v>
      </c>
      <c r="E298" s="82">
        <f>_xlfn.FORECAST.LINEAR(Table15[[#This Row],[Date]],Table15[Units_Sold],Table15[Date])</f>
        <v>99.374477673910704</v>
      </c>
      <c r="F298" s="138">
        <f>Table15[[#This Row],[Average_Price]]/Table15[[#This Row],[Units_Sold]]</f>
        <v>349.14615162800521</v>
      </c>
      <c r="G298" cm="1">
        <f t="array" ref="G298">_xlfn.IFS(Table15[[#This Row],[Vehicle_Type]]="SUV",250,Table15[[#This Row],[Vehicle_Type]]="Sedan",200,Table15[[#This Row],[Vehicle_Type]]="Hatchback",185,Table15[[#This Row],[Vehicle_Type]]="Electric",190,Table15[[#This Row],[Vehicle_Type]]="Truck",150)</f>
        <v>200</v>
      </c>
      <c r="H298">
        <f t="shared" ca="1" si="8"/>
        <v>24</v>
      </c>
      <c r="I298">
        <f t="shared" ca="1" si="9"/>
        <v>10</v>
      </c>
      <c r="J298" s="81">
        <f ca="1">24/Table15[[#This Row],[Production_Hours]]</f>
        <v>2.4</v>
      </c>
      <c r="K298" s="82">
        <f ca="1">(Table15[[#This Row],[Daily_Production]]*Table15[[#This Row],[Working_Days]]) -Table15[[#This Row],[Maintenance_Downtime]]</f>
        <v>4797.6000000000004</v>
      </c>
    </row>
    <row r="299" spans="1:11">
      <c r="A299" s="54">
        <v>50915</v>
      </c>
      <c r="B299" s="15" t="s">
        <v>13</v>
      </c>
      <c r="C299" s="15">
        <v>92</v>
      </c>
      <c r="D299" s="15">
        <v>32068.995487257493</v>
      </c>
      <c r="E299" s="82">
        <f>_xlfn.FORECAST.LINEAR(Table15[[#This Row],[Date]],Table15[Units_Sold],Table15[Date])</f>
        <v>99.376079344317375</v>
      </c>
      <c r="F299" s="138">
        <f>Table15[[#This Row],[Average_Price]]/Table15[[#This Row],[Units_Sold]]</f>
        <v>348.57603790497274</v>
      </c>
      <c r="G299" cm="1">
        <f t="array" ref="G299">_xlfn.IFS(Table15[[#This Row],[Vehicle_Type]]="SUV",250,Table15[[#This Row],[Vehicle_Type]]="Sedan",200,Table15[[#This Row],[Vehicle_Type]]="Hatchback",185,Table15[[#This Row],[Vehicle_Type]]="Electric",190,Table15[[#This Row],[Vehicle_Type]]="Truck",150)</f>
        <v>190</v>
      </c>
      <c r="H299">
        <f t="shared" ca="1" si="8"/>
        <v>22</v>
      </c>
      <c r="I299">
        <f t="shared" ca="1" si="9"/>
        <v>11</v>
      </c>
      <c r="J299" s="81">
        <f ca="1">24/Table15[[#This Row],[Production_Hours]]</f>
        <v>2.1818181818181817</v>
      </c>
      <c r="K299" s="82">
        <f ca="1">(Table15[[#This Row],[Daily_Production]]*Table15[[#This Row],[Working_Days]]) -Table15[[#This Row],[Maintenance_Downtime]]</f>
        <v>4177.818181818182</v>
      </c>
    </row>
    <row r="300" spans="1:11">
      <c r="A300" s="53">
        <v>50945</v>
      </c>
      <c r="B300" s="14" t="s">
        <v>12</v>
      </c>
      <c r="C300" s="14">
        <v>108</v>
      </c>
      <c r="D300" s="14">
        <v>29073.561705611457</v>
      </c>
      <c r="E300" s="82">
        <f>_xlfn.FORECAST.LINEAR(Table15[[#This Row],[Date]],Table15[Units_Sold],Table15[Date])</f>
        <v>99.377681014724061</v>
      </c>
      <c r="F300" s="138">
        <f>Table15[[#This Row],[Average_Price]]/Table15[[#This Row],[Units_Sold]]</f>
        <v>269.19964542232833</v>
      </c>
      <c r="G300" cm="1">
        <f t="array" ref="G300">_xlfn.IFS(Table15[[#This Row],[Vehicle_Type]]="SUV",250,Table15[[#This Row],[Vehicle_Type]]="Sedan",200,Table15[[#This Row],[Vehicle_Type]]="Hatchback",185,Table15[[#This Row],[Vehicle_Type]]="Electric",190,Table15[[#This Row],[Vehicle_Type]]="Truck",150)</f>
        <v>250</v>
      </c>
      <c r="H300">
        <f t="shared" ca="1" si="8"/>
        <v>20</v>
      </c>
      <c r="I300">
        <f t="shared" ca="1" si="9"/>
        <v>11</v>
      </c>
      <c r="J300" s="81">
        <f ca="1">24/Table15[[#This Row],[Production_Hours]]</f>
        <v>2.1818181818181817</v>
      </c>
      <c r="K300" s="82">
        <f ca="1">(Table15[[#This Row],[Daily_Production]]*Table15[[#This Row],[Working_Days]]) -Table15[[#This Row],[Maintenance_Downtime]]</f>
        <v>4997.818181818182</v>
      </c>
    </row>
    <row r="301" spans="1:11">
      <c r="A301" s="54">
        <v>50975</v>
      </c>
      <c r="B301" s="15" t="s">
        <v>13</v>
      </c>
      <c r="C301" s="15">
        <v>99</v>
      </c>
      <c r="D301" s="15">
        <v>29350.896501332871</v>
      </c>
      <c r="E301" s="82">
        <f>_xlfn.FORECAST.LINEAR(Table15[[#This Row],[Date]],Table15[Units_Sold],Table15[Date])</f>
        <v>99.379282685130747</v>
      </c>
      <c r="F301" s="138">
        <f>Table15[[#This Row],[Average_Price]]/Table15[[#This Row],[Units_Sold]]</f>
        <v>296.47370203366535</v>
      </c>
      <c r="G301" cm="1">
        <f t="array" ref="G301">_xlfn.IFS(Table15[[#This Row],[Vehicle_Type]]="SUV",250,Table15[[#This Row],[Vehicle_Type]]="Sedan",200,Table15[[#This Row],[Vehicle_Type]]="Hatchback",185,Table15[[#This Row],[Vehicle_Type]]="Electric",190,Table15[[#This Row],[Vehicle_Type]]="Truck",150)</f>
        <v>190</v>
      </c>
      <c r="H301">
        <f t="shared" ca="1" si="8"/>
        <v>23</v>
      </c>
      <c r="I301">
        <f t="shared" ca="1" si="9"/>
        <v>11</v>
      </c>
      <c r="J301" s="81">
        <f ca="1">24/Table15[[#This Row],[Production_Hours]]</f>
        <v>2.1818181818181817</v>
      </c>
      <c r="K301" s="82">
        <f ca="1">(Table15[[#This Row],[Daily_Production]]*Table15[[#This Row],[Working_Days]]) -Table15[[#This Row],[Maintenance_Downtime]]</f>
        <v>4367.818181818182</v>
      </c>
    </row>
    <row r="302" spans="1:11">
      <c r="A302" s="53">
        <v>51005</v>
      </c>
      <c r="B302" s="14" t="s">
        <v>13</v>
      </c>
      <c r="C302" s="14">
        <v>95</v>
      </c>
      <c r="D302" s="14">
        <v>30219.057359895549</v>
      </c>
      <c r="E302" s="82">
        <f>_xlfn.FORECAST.LINEAR(Table15[[#This Row],[Date]],Table15[Units_Sold],Table15[Date])</f>
        <v>99.380884355537432</v>
      </c>
      <c r="F302" s="138">
        <f>Table15[[#This Row],[Average_Price]]/Table15[[#This Row],[Units_Sold]]</f>
        <v>318.09534063047948</v>
      </c>
      <c r="G302" cm="1">
        <f t="array" ref="G302">_xlfn.IFS(Table15[[#This Row],[Vehicle_Type]]="SUV",250,Table15[[#This Row],[Vehicle_Type]]="Sedan",200,Table15[[#This Row],[Vehicle_Type]]="Hatchback",185,Table15[[#This Row],[Vehicle_Type]]="Electric",190,Table15[[#This Row],[Vehicle_Type]]="Truck",150)</f>
        <v>190</v>
      </c>
      <c r="H302">
        <f t="shared" ca="1" si="8"/>
        <v>23</v>
      </c>
      <c r="I302">
        <f t="shared" ca="1" si="9"/>
        <v>10</v>
      </c>
      <c r="J302" s="81">
        <f ca="1">24/Table15[[#This Row],[Production_Hours]]</f>
        <v>2.4</v>
      </c>
      <c r="K302" s="82">
        <f ca="1">(Table15[[#This Row],[Daily_Production]]*Table15[[#This Row],[Working_Days]]) -Table15[[#This Row],[Maintenance_Downtime]]</f>
        <v>4367.6000000000004</v>
      </c>
    </row>
    <row r="303" spans="1:11">
      <c r="A303" s="54">
        <v>51035</v>
      </c>
      <c r="B303" s="15" t="s">
        <v>10</v>
      </c>
      <c r="C303" s="15">
        <v>86</v>
      </c>
      <c r="D303" s="15">
        <v>29264.989991857557</v>
      </c>
      <c r="E303" s="82">
        <f>_xlfn.FORECAST.LINEAR(Table15[[#This Row],[Date]],Table15[Units_Sold],Table15[Date])</f>
        <v>99.382486025944104</v>
      </c>
      <c r="F303" s="138">
        <f>Table15[[#This Row],[Average_Price]]/Table15[[#This Row],[Units_Sold]]</f>
        <v>340.29058130066926</v>
      </c>
      <c r="G303" cm="1">
        <f t="array" ref="G303">_xlfn.IFS(Table15[[#This Row],[Vehicle_Type]]="SUV",250,Table15[[#This Row],[Vehicle_Type]]="Sedan",200,Table15[[#This Row],[Vehicle_Type]]="Hatchback",185,Table15[[#This Row],[Vehicle_Type]]="Electric",190,Table15[[#This Row],[Vehicle_Type]]="Truck",150)</f>
        <v>200</v>
      </c>
      <c r="H303">
        <f t="shared" ca="1" si="8"/>
        <v>21</v>
      </c>
      <c r="I303">
        <f t="shared" ca="1" si="9"/>
        <v>10</v>
      </c>
      <c r="J303" s="81">
        <f ca="1">24/Table15[[#This Row],[Production_Hours]]</f>
        <v>2.4</v>
      </c>
      <c r="K303" s="82">
        <f ca="1">(Table15[[#This Row],[Daily_Production]]*Table15[[#This Row],[Working_Days]]) -Table15[[#This Row],[Maintenance_Downtime]]</f>
        <v>4197.6000000000004</v>
      </c>
    </row>
    <row r="304" spans="1:11">
      <c r="A304" s="53">
        <v>51065</v>
      </c>
      <c r="B304" s="14" t="s">
        <v>13</v>
      </c>
      <c r="C304" s="14">
        <v>120</v>
      </c>
      <c r="D304" s="14">
        <v>34819.395583974547</v>
      </c>
      <c r="E304" s="82">
        <f>_xlfn.FORECAST.LINEAR(Table15[[#This Row],[Date]],Table15[Units_Sold],Table15[Date])</f>
        <v>99.38408769635079</v>
      </c>
      <c r="F304" s="138">
        <f>Table15[[#This Row],[Average_Price]]/Table15[[#This Row],[Units_Sold]]</f>
        <v>290.16162986645458</v>
      </c>
      <c r="G304" cm="1">
        <f t="array" ref="G304">_xlfn.IFS(Table15[[#This Row],[Vehicle_Type]]="SUV",250,Table15[[#This Row],[Vehicle_Type]]="Sedan",200,Table15[[#This Row],[Vehicle_Type]]="Hatchback",185,Table15[[#This Row],[Vehicle_Type]]="Electric",190,Table15[[#This Row],[Vehicle_Type]]="Truck",150)</f>
        <v>190</v>
      </c>
      <c r="H304">
        <f t="shared" ca="1" si="8"/>
        <v>25</v>
      </c>
      <c r="I304">
        <f t="shared" ca="1" si="9"/>
        <v>9</v>
      </c>
      <c r="J304" s="81">
        <f ca="1">24/Table15[[#This Row],[Production_Hours]]</f>
        <v>2.6666666666666665</v>
      </c>
      <c r="K304" s="82">
        <f ca="1">(Table15[[#This Row],[Daily_Production]]*Table15[[#This Row],[Working_Days]]) -Table15[[#This Row],[Maintenance_Downtime]]</f>
        <v>4747.333333333333</v>
      </c>
    </row>
    <row r="305" spans="1:11">
      <c r="A305" s="54">
        <v>51095</v>
      </c>
      <c r="B305" s="15" t="s">
        <v>10</v>
      </c>
      <c r="C305" s="15">
        <v>81</v>
      </c>
      <c r="D305" s="15">
        <v>41052.61500795676</v>
      </c>
      <c r="E305" s="82">
        <f>_xlfn.FORECAST.LINEAR(Table15[[#This Row],[Date]],Table15[Units_Sold],Table15[Date])</f>
        <v>99.385689366757475</v>
      </c>
      <c r="F305" s="138">
        <f>Table15[[#This Row],[Average_Price]]/Table15[[#This Row],[Units_Sold]]</f>
        <v>506.82240750563903</v>
      </c>
      <c r="G305" cm="1">
        <f t="array" ref="G305">_xlfn.IFS(Table15[[#This Row],[Vehicle_Type]]="SUV",250,Table15[[#This Row],[Vehicle_Type]]="Sedan",200,Table15[[#This Row],[Vehicle_Type]]="Hatchback",185,Table15[[#This Row],[Vehicle_Type]]="Electric",190,Table15[[#This Row],[Vehicle_Type]]="Truck",150)</f>
        <v>200</v>
      </c>
      <c r="H305">
        <f t="shared" ca="1" si="8"/>
        <v>21</v>
      </c>
      <c r="I305">
        <f t="shared" ca="1" si="9"/>
        <v>11</v>
      </c>
      <c r="J305" s="81">
        <f ca="1">24/Table15[[#This Row],[Production_Hours]]</f>
        <v>2.1818181818181817</v>
      </c>
      <c r="K305" s="82">
        <f ca="1">(Table15[[#This Row],[Daily_Production]]*Table15[[#This Row],[Working_Days]]) -Table15[[#This Row],[Maintenance_Downtime]]</f>
        <v>4197.818181818182</v>
      </c>
    </row>
    <row r="306" spans="1:11">
      <c r="A306" s="53">
        <v>51125</v>
      </c>
      <c r="B306" s="14" t="s">
        <v>14</v>
      </c>
      <c r="C306" s="14">
        <v>102</v>
      </c>
      <c r="D306" s="14">
        <v>30949.702720000001</v>
      </c>
      <c r="E306" s="82">
        <f>_xlfn.FORECAST.LINEAR(Table15[[#This Row],[Date]],Table15[Units_Sold],Table15[Date])</f>
        <v>99.387291037164147</v>
      </c>
      <c r="F306" s="138">
        <f>Table15[[#This Row],[Average_Price]]/Table15[[#This Row],[Units_Sold]]</f>
        <v>303.42845803921568</v>
      </c>
      <c r="G306" cm="1">
        <f t="array" ref="G306">_xlfn.IFS(Table15[[#This Row],[Vehicle_Type]]="SUV",250,Table15[[#This Row],[Vehicle_Type]]="Sedan",200,Table15[[#This Row],[Vehicle_Type]]="Hatchback",185,Table15[[#This Row],[Vehicle_Type]]="Electric",190,Table15[[#This Row],[Vehicle_Type]]="Truck",150)</f>
        <v>150</v>
      </c>
      <c r="H306">
        <f t="shared" ca="1" si="8"/>
        <v>22</v>
      </c>
      <c r="I306">
        <f t="shared" ca="1" si="9"/>
        <v>10</v>
      </c>
      <c r="J306" s="81">
        <f ca="1">24/Table15[[#This Row],[Production_Hours]]</f>
        <v>2.4</v>
      </c>
      <c r="K306" s="82">
        <f ca="1">(Table15[[#This Row],[Daily_Production]]*Table15[[#This Row],[Working_Days]]) -Table15[[#This Row],[Maintenance_Downtime]]</f>
        <v>3297.6</v>
      </c>
    </row>
    <row r="307" spans="1:11">
      <c r="A307" s="54">
        <v>51155</v>
      </c>
      <c r="B307" s="15" t="s">
        <v>13</v>
      </c>
      <c r="C307" s="15">
        <v>87</v>
      </c>
      <c r="D307" s="15">
        <v>23150.985102104612</v>
      </c>
      <c r="E307" s="82">
        <f>_xlfn.FORECAST.LINEAR(Table15[[#This Row],[Date]],Table15[Units_Sold],Table15[Date])</f>
        <v>99.388892707570832</v>
      </c>
      <c r="F307" s="138">
        <f>Table15[[#This Row],[Average_Price]]/Table15[[#This Row],[Units_Sold]]</f>
        <v>266.10327703568521</v>
      </c>
      <c r="G307" cm="1">
        <f t="array" ref="G307">_xlfn.IFS(Table15[[#This Row],[Vehicle_Type]]="SUV",250,Table15[[#This Row],[Vehicle_Type]]="Sedan",200,Table15[[#This Row],[Vehicle_Type]]="Hatchback",185,Table15[[#This Row],[Vehicle_Type]]="Electric",190,Table15[[#This Row],[Vehicle_Type]]="Truck",150)</f>
        <v>190</v>
      </c>
      <c r="H307">
        <f t="shared" ca="1" si="8"/>
        <v>23</v>
      </c>
      <c r="I307">
        <f t="shared" ca="1" si="9"/>
        <v>8</v>
      </c>
      <c r="J307" s="81">
        <f ca="1">24/Table15[[#This Row],[Production_Hours]]</f>
        <v>3</v>
      </c>
      <c r="K307" s="82">
        <f ca="1">(Table15[[#This Row],[Daily_Production]]*Table15[[#This Row],[Working_Days]]) -Table15[[#This Row],[Maintenance_Downtime]]</f>
        <v>4367</v>
      </c>
    </row>
    <row r="308" spans="1:11">
      <c r="A308" s="53">
        <v>51185</v>
      </c>
      <c r="B308" s="14" t="s">
        <v>13</v>
      </c>
      <c r="C308" s="14">
        <v>90</v>
      </c>
      <c r="D308" s="14">
        <v>29558.589758243725</v>
      </c>
      <c r="E308" s="82">
        <f>_xlfn.FORECAST.LINEAR(Table15[[#This Row],[Date]],Table15[Units_Sold],Table15[Date])</f>
        <v>99.390494377977518</v>
      </c>
      <c r="F308" s="138">
        <f>Table15[[#This Row],[Average_Price]]/Table15[[#This Row],[Units_Sold]]</f>
        <v>328.42877509159695</v>
      </c>
      <c r="G308" cm="1">
        <f t="array" ref="G308">_xlfn.IFS(Table15[[#This Row],[Vehicle_Type]]="SUV",250,Table15[[#This Row],[Vehicle_Type]]="Sedan",200,Table15[[#This Row],[Vehicle_Type]]="Hatchback",185,Table15[[#This Row],[Vehicle_Type]]="Electric",190,Table15[[#This Row],[Vehicle_Type]]="Truck",150)</f>
        <v>190</v>
      </c>
      <c r="H308">
        <f t="shared" ca="1" si="8"/>
        <v>22</v>
      </c>
      <c r="I308">
        <f t="shared" ca="1" si="9"/>
        <v>9</v>
      </c>
      <c r="J308" s="81">
        <f ca="1">24/Table15[[#This Row],[Production_Hours]]</f>
        <v>2.6666666666666665</v>
      </c>
      <c r="K308" s="82">
        <f ca="1">(Table15[[#This Row],[Daily_Production]]*Table15[[#This Row],[Working_Days]]) -Table15[[#This Row],[Maintenance_Downtime]]</f>
        <v>4177.333333333333</v>
      </c>
    </row>
    <row r="309" spans="1:11">
      <c r="A309" s="54">
        <v>51215</v>
      </c>
      <c r="B309" s="15" t="s">
        <v>13</v>
      </c>
      <c r="C309" s="15">
        <v>89</v>
      </c>
      <c r="D309" s="15">
        <v>42898.546688271592</v>
      </c>
      <c r="E309" s="82">
        <f>_xlfn.FORECAST.LINEAR(Table15[[#This Row],[Date]],Table15[Units_Sold],Table15[Date])</f>
        <v>99.392096048384204</v>
      </c>
      <c r="F309" s="138">
        <f>Table15[[#This Row],[Average_Price]]/Table15[[#This Row],[Units_Sold]]</f>
        <v>482.00614256484937</v>
      </c>
      <c r="G309" cm="1">
        <f t="array" ref="G309">_xlfn.IFS(Table15[[#This Row],[Vehicle_Type]]="SUV",250,Table15[[#This Row],[Vehicle_Type]]="Sedan",200,Table15[[#This Row],[Vehicle_Type]]="Hatchback",185,Table15[[#This Row],[Vehicle_Type]]="Electric",190,Table15[[#This Row],[Vehicle_Type]]="Truck",150)</f>
        <v>190</v>
      </c>
      <c r="H309">
        <f t="shared" ca="1" si="8"/>
        <v>21</v>
      </c>
      <c r="I309">
        <f t="shared" ca="1" si="9"/>
        <v>12</v>
      </c>
      <c r="J309" s="81">
        <f ca="1">24/Table15[[#This Row],[Production_Hours]]</f>
        <v>2</v>
      </c>
      <c r="K309" s="82">
        <f ca="1">(Table15[[#This Row],[Daily_Production]]*Table15[[#This Row],[Working_Days]]) -Table15[[#This Row],[Maintenance_Downtime]]</f>
        <v>3988</v>
      </c>
    </row>
    <row r="310" spans="1:11">
      <c r="A310" s="53">
        <v>51245</v>
      </c>
      <c r="B310" s="14" t="s">
        <v>11</v>
      </c>
      <c r="C310" s="14">
        <v>105</v>
      </c>
      <c r="D310" s="14">
        <v>25981.627160151347</v>
      </c>
      <c r="E310" s="82">
        <f>_xlfn.FORECAST.LINEAR(Table15[[#This Row],[Date]],Table15[Units_Sold],Table15[Date])</f>
        <v>99.393697718790875</v>
      </c>
      <c r="F310" s="138">
        <f>Table15[[#This Row],[Average_Price]]/Table15[[#This Row],[Units_Sold]]</f>
        <v>247.44406819191758</v>
      </c>
      <c r="G310" cm="1">
        <f t="array" ref="G310">_xlfn.IFS(Table15[[#This Row],[Vehicle_Type]]="SUV",250,Table15[[#This Row],[Vehicle_Type]]="Sedan",200,Table15[[#This Row],[Vehicle_Type]]="Hatchback",185,Table15[[#This Row],[Vehicle_Type]]="Electric",190,Table15[[#This Row],[Vehicle_Type]]="Truck",150)</f>
        <v>185</v>
      </c>
      <c r="H310">
        <f t="shared" ca="1" si="8"/>
        <v>20</v>
      </c>
      <c r="I310">
        <f t="shared" ca="1" si="9"/>
        <v>9</v>
      </c>
      <c r="J310" s="81">
        <f ca="1">24/Table15[[#This Row],[Production_Hours]]</f>
        <v>2.6666666666666665</v>
      </c>
      <c r="K310" s="82">
        <f ca="1">(Table15[[#This Row],[Daily_Production]]*Table15[[#This Row],[Working_Days]]) -Table15[[#This Row],[Maintenance_Downtime]]</f>
        <v>3697.3333333333335</v>
      </c>
    </row>
    <row r="311" spans="1:11">
      <c r="A311" s="54">
        <v>51275</v>
      </c>
      <c r="B311" s="15" t="s">
        <v>11</v>
      </c>
      <c r="C311" s="15">
        <v>96</v>
      </c>
      <c r="D311" s="15">
        <v>38195.584027220335</v>
      </c>
      <c r="E311" s="82">
        <f>_xlfn.FORECAST.LINEAR(Table15[[#This Row],[Date]],Table15[Units_Sold],Table15[Date])</f>
        <v>99.395299389197561</v>
      </c>
      <c r="F311" s="138">
        <f>Table15[[#This Row],[Average_Price]]/Table15[[#This Row],[Units_Sold]]</f>
        <v>397.87066695021184</v>
      </c>
      <c r="G311" cm="1">
        <f t="array" ref="G311">_xlfn.IFS(Table15[[#This Row],[Vehicle_Type]]="SUV",250,Table15[[#This Row],[Vehicle_Type]]="Sedan",200,Table15[[#This Row],[Vehicle_Type]]="Hatchback",185,Table15[[#This Row],[Vehicle_Type]]="Electric",190,Table15[[#This Row],[Vehicle_Type]]="Truck",150)</f>
        <v>185</v>
      </c>
      <c r="H311">
        <f t="shared" ca="1" si="8"/>
        <v>25</v>
      </c>
      <c r="I311">
        <f t="shared" ca="1" si="9"/>
        <v>11</v>
      </c>
      <c r="J311" s="81">
        <f ca="1">24/Table15[[#This Row],[Production_Hours]]</f>
        <v>2.1818181818181817</v>
      </c>
      <c r="K311" s="82">
        <f ca="1">(Table15[[#This Row],[Daily_Production]]*Table15[[#This Row],[Working_Days]]) -Table15[[#This Row],[Maintenance_Downtime]]</f>
        <v>4622.818181818182</v>
      </c>
    </row>
    <row r="312" spans="1:11">
      <c r="A312" s="53">
        <v>51305</v>
      </c>
      <c r="B312" s="14" t="s">
        <v>12</v>
      </c>
      <c r="C312" s="14">
        <v>97</v>
      </c>
      <c r="D312" s="14">
        <v>38388.504070382201</v>
      </c>
      <c r="E312" s="82">
        <f>_xlfn.FORECAST.LINEAR(Table15[[#This Row],[Date]],Table15[Units_Sold],Table15[Date])</f>
        <v>99.396901059604247</v>
      </c>
      <c r="F312" s="138">
        <f>Table15[[#This Row],[Average_Price]]/Table15[[#This Row],[Units_Sold]]</f>
        <v>395.75777392146597</v>
      </c>
      <c r="G312" cm="1">
        <f t="array" ref="G312">_xlfn.IFS(Table15[[#This Row],[Vehicle_Type]]="SUV",250,Table15[[#This Row],[Vehicle_Type]]="Sedan",200,Table15[[#This Row],[Vehicle_Type]]="Hatchback",185,Table15[[#This Row],[Vehicle_Type]]="Electric",190,Table15[[#This Row],[Vehicle_Type]]="Truck",150)</f>
        <v>250</v>
      </c>
      <c r="H312">
        <f t="shared" ca="1" si="8"/>
        <v>24</v>
      </c>
      <c r="I312">
        <f t="shared" ca="1" si="9"/>
        <v>10</v>
      </c>
      <c r="J312" s="81">
        <f ca="1">24/Table15[[#This Row],[Production_Hours]]</f>
        <v>2.4</v>
      </c>
      <c r="K312" s="82">
        <f ca="1">(Table15[[#This Row],[Daily_Production]]*Table15[[#This Row],[Working_Days]]) -Table15[[#This Row],[Maintenance_Downtime]]</f>
        <v>5997.6</v>
      </c>
    </row>
    <row r="313" spans="1:11">
      <c r="A313" s="54">
        <v>51335</v>
      </c>
      <c r="B313" s="15" t="s">
        <v>11</v>
      </c>
      <c r="C313" s="15">
        <v>98</v>
      </c>
      <c r="D313" s="15">
        <v>27232.058791460026</v>
      </c>
      <c r="E313" s="82">
        <f>_xlfn.FORECAST.LINEAR(Table15[[#This Row],[Date]],Table15[Units_Sold],Table15[Date])</f>
        <v>99.398502730010918</v>
      </c>
      <c r="F313" s="138">
        <f>Table15[[#This Row],[Average_Price]]/Table15[[#This Row],[Units_Sold]]</f>
        <v>277.87815093326554</v>
      </c>
      <c r="G313" cm="1">
        <f t="array" ref="G313">_xlfn.IFS(Table15[[#This Row],[Vehicle_Type]]="SUV",250,Table15[[#This Row],[Vehicle_Type]]="Sedan",200,Table15[[#This Row],[Vehicle_Type]]="Hatchback",185,Table15[[#This Row],[Vehicle_Type]]="Electric",190,Table15[[#This Row],[Vehicle_Type]]="Truck",150)</f>
        <v>185</v>
      </c>
      <c r="H313">
        <f t="shared" ca="1" si="8"/>
        <v>25</v>
      </c>
      <c r="I313">
        <f t="shared" ca="1" si="9"/>
        <v>12</v>
      </c>
      <c r="J313" s="81">
        <f ca="1">24/Table15[[#This Row],[Production_Hours]]</f>
        <v>2</v>
      </c>
      <c r="K313" s="82">
        <f ca="1">(Table15[[#This Row],[Daily_Production]]*Table15[[#This Row],[Working_Days]]) -Table15[[#This Row],[Maintenance_Downtime]]</f>
        <v>4623</v>
      </c>
    </row>
    <row r="314" spans="1:11">
      <c r="A314" s="53">
        <v>51365</v>
      </c>
      <c r="B314" s="14" t="s">
        <v>12</v>
      </c>
      <c r="C314" s="14">
        <v>100</v>
      </c>
      <c r="D314" s="14">
        <v>32844.915395926379</v>
      </c>
      <c r="E314" s="82">
        <f>_xlfn.FORECAST.LINEAR(Table15[[#This Row],[Date]],Table15[Units_Sold],Table15[Date])</f>
        <v>99.400104400417604</v>
      </c>
      <c r="F314" s="138">
        <f>Table15[[#This Row],[Average_Price]]/Table15[[#This Row],[Units_Sold]]</f>
        <v>328.44915395926381</v>
      </c>
      <c r="G314" cm="1">
        <f t="array" ref="G314">_xlfn.IFS(Table15[[#This Row],[Vehicle_Type]]="SUV",250,Table15[[#This Row],[Vehicle_Type]]="Sedan",200,Table15[[#This Row],[Vehicle_Type]]="Hatchback",185,Table15[[#This Row],[Vehicle_Type]]="Electric",190,Table15[[#This Row],[Vehicle_Type]]="Truck",150)</f>
        <v>250</v>
      </c>
      <c r="H314">
        <f t="shared" ca="1" si="8"/>
        <v>23</v>
      </c>
      <c r="I314">
        <f t="shared" ca="1" si="9"/>
        <v>11</v>
      </c>
      <c r="J314" s="81">
        <f ca="1">24/Table15[[#This Row],[Production_Hours]]</f>
        <v>2.1818181818181817</v>
      </c>
      <c r="K314" s="82">
        <f ca="1">(Table15[[#This Row],[Daily_Production]]*Table15[[#This Row],[Working_Days]]) -Table15[[#This Row],[Maintenance_Downtime]]</f>
        <v>5747.818181818182</v>
      </c>
    </row>
    <row r="315" spans="1:11">
      <c r="A315" s="54">
        <v>51395</v>
      </c>
      <c r="B315" s="15" t="s">
        <v>11</v>
      </c>
      <c r="C315" s="15">
        <v>108</v>
      </c>
      <c r="D315" s="15">
        <v>38141.983115642688</v>
      </c>
      <c r="E315" s="82">
        <f>_xlfn.FORECAST.LINEAR(Table15[[#This Row],[Date]],Table15[Units_Sold],Table15[Date])</f>
        <v>99.401706070824289</v>
      </c>
      <c r="F315" s="138">
        <f>Table15[[#This Row],[Average_Price]]/Table15[[#This Row],[Units_Sold]]</f>
        <v>353.16651033002489</v>
      </c>
      <c r="G315" cm="1">
        <f t="array" ref="G315">_xlfn.IFS(Table15[[#This Row],[Vehicle_Type]]="SUV",250,Table15[[#This Row],[Vehicle_Type]]="Sedan",200,Table15[[#This Row],[Vehicle_Type]]="Hatchback",185,Table15[[#This Row],[Vehicle_Type]]="Electric",190,Table15[[#This Row],[Vehicle_Type]]="Truck",150)</f>
        <v>185</v>
      </c>
      <c r="H315">
        <f t="shared" ca="1" si="8"/>
        <v>25</v>
      </c>
      <c r="I315">
        <f t="shared" ca="1" si="9"/>
        <v>11</v>
      </c>
      <c r="J315" s="81">
        <f ca="1">24/Table15[[#This Row],[Production_Hours]]</f>
        <v>2.1818181818181817</v>
      </c>
      <c r="K315" s="82">
        <f ca="1">(Table15[[#This Row],[Daily_Production]]*Table15[[#This Row],[Working_Days]]) -Table15[[#This Row],[Maintenance_Downtime]]</f>
        <v>4622.818181818182</v>
      </c>
    </row>
    <row r="316" spans="1:11">
      <c r="A316" s="53">
        <v>51425</v>
      </c>
      <c r="B316" s="14" t="s">
        <v>14</v>
      </c>
      <c r="C316" s="14">
        <v>92</v>
      </c>
      <c r="D316" s="14">
        <v>28104.361295062565</v>
      </c>
      <c r="E316" s="82">
        <f>_xlfn.FORECAST.LINEAR(Table15[[#This Row],[Date]],Table15[Units_Sold],Table15[Date])</f>
        <v>99.403307741230975</v>
      </c>
      <c r="F316" s="138">
        <f>Table15[[#This Row],[Average_Price]]/Table15[[#This Row],[Units_Sold]]</f>
        <v>305.48218798981048</v>
      </c>
      <c r="G316" cm="1">
        <f t="array" ref="G316">_xlfn.IFS(Table15[[#This Row],[Vehicle_Type]]="SUV",250,Table15[[#This Row],[Vehicle_Type]]="Sedan",200,Table15[[#This Row],[Vehicle_Type]]="Hatchback",185,Table15[[#This Row],[Vehicle_Type]]="Electric",190,Table15[[#This Row],[Vehicle_Type]]="Truck",150)</f>
        <v>150</v>
      </c>
      <c r="H316">
        <f t="shared" ca="1" si="8"/>
        <v>21</v>
      </c>
      <c r="I316">
        <f t="shared" ca="1" si="9"/>
        <v>12</v>
      </c>
      <c r="J316" s="81">
        <f ca="1">24/Table15[[#This Row],[Production_Hours]]</f>
        <v>2</v>
      </c>
      <c r="K316" s="82">
        <f ca="1">(Table15[[#This Row],[Daily_Production]]*Table15[[#This Row],[Working_Days]]) -Table15[[#This Row],[Maintenance_Downtime]]</f>
        <v>3148</v>
      </c>
    </row>
    <row r="317" spans="1:11">
      <c r="A317" s="54">
        <v>51455</v>
      </c>
      <c r="B317" s="15" t="s">
        <v>12</v>
      </c>
      <c r="C317" s="15">
        <v>97</v>
      </c>
      <c r="D317" s="15">
        <v>28982.098199488191</v>
      </c>
      <c r="E317" s="82">
        <f>_xlfn.FORECAST.LINEAR(Table15[[#This Row],[Date]],Table15[Units_Sold],Table15[Date])</f>
        <v>99.404909411637647</v>
      </c>
      <c r="F317" s="138">
        <f>Table15[[#This Row],[Average_Price]]/Table15[[#This Row],[Units_Sold]]</f>
        <v>298.78451752049682</v>
      </c>
      <c r="G317" cm="1">
        <f t="array" ref="G317">_xlfn.IFS(Table15[[#This Row],[Vehicle_Type]]="SUV",250,Table15[[#This Row],[Vehicle_Type]]="Sedan",200,Table15[[#This Row],[Vehicle_Type]]="Hatchback",185,Table15[[#This Row],[Vehicle_Type]]="Electric",190,Table15[[#This Row],[Vehicle_Type]]="Truck",150)</f>
        <v>250</v>
      </c>
      <c r="H317">
        <f t="shared" ca="1" si="8"/>
        <v>24</v>
      </c>
      <c r="I317">
        <f t="shared" ca="1" si="9"/>
        <v>8</v>
      </c>
      <c r="J317" s="81">
        <f ca="1">24/Table15[[#This Row],[Production_Hours]]</f>
        <v>3</v>
      </c>
      <c r="K317" s="82">
        <f ca="1">(Table15[[#This Row],[Daily_Production]]*Table15[[#This Row],[Working_Days]]) -Table15[[#This Row],[Maintenance_Downtime]]</f>
        <v>5997</v>
      </c>
    </row>
    <row r="318" spans="1:11">
      <c r="A318" s="53">
        <v>51485</v>
      </c>
      <c r="B318" s="14" t="s">
        <v>11</v>
      </c>
      <c r="C318" s="14">
        <v>116</v>
      </c>
      <c r="D318" s="14">
        <v>27091.595430256781</v>
      </c>
      <c r="E318" s="82">
        <f>_xlfn.FORECAST.LINEAR(Table15[[#This Row],[Date]],Table15[Units_Sold],Table15[Date])</f>
        <v>99.406511082044332</v>
      </c>
      <c r="F318" s="138">
        <f>Table15[[#This Row],[Average_Price]]/Table15[[#This Row],[Units_Sold]]</f>
        <v>233.54823646773087</v>
      </c>
      <c r="G318" cm="1">
        <f t="array" ref="G318">_xlfn.IFS(Table15[[#This Row],[Vehicle_Type]]="SUV",250,Table15[[#This Row],[Vehicle_Type]]="Sedan",200,Table15[[#This Row],[Vehicle_Type]]="Hatchback",185,Table15[[#This Row],[Vehicle_Type]]="Electric",190,Table15[[#This Row],[Vehicle_Type]]="Truck",150)</f>
        <v>185</v>
      </c>
      <c r="H318">
        <f t="shared" ca="1" si="8"/>
        <v>22</v>
      </c>
      <c r="I318">
        <f t="shared" ca="1" si="9"/>
        <v>12</v>
      </c>
      <c r="J318" s="81">
        <f ca="1">24/Table15[[#This Row],[Production_Hours]]</f>
        <v>2</v>
      </c>
      <c r="K318" s="82">
        <f ca="1">(Table15[[#This Row],[Daily_Production]]*Table15[[#This Row],[Working_Days]]) -Table15[[#This Row],[Maintenance_Downtime]]</f>
        <v>4068</v>
      </c>
    </row>
    <row r="319" spans="1:11">
      <c r="A319" s="54">
        <v>51515</v>
      </c>
      <c r="B319" s="15" t="s">
        <v>14</v>
      </c>
      <c r="C319" s="15">
        <v>100</v>
      </c>
      <c r="D319" s="15">
        <v>24926.216346535664</v>
      </c>
      <c r="E319" s="82">
        <f>_xlfn.FORECAST.LINEAR(Table15[[#This Row],[Date]],Table15[Units_Sold],Table15[Date])</f>
        <v>99.408112752451018</v>
      </c>
      <c r="F319" s="138">
        <f>Table15[[#This Row],[Average_Price]]/Table15[[#This Row],[Units_Sold]]</f>
        <v>249.26216346535665</v>
      </c>
      <c r="G319" cm="1">
        <f t="array" ref="G319">_xlfn.IFS(Table15[[#This Row],[Vehicle_Type]]="SUV",250,Table15[[#This Row],[Vehicle_Type]]="Sedan",200,Table15[[#This Row],[Vehicle_Type]]="Hatchback",185,Table15[[#This Row],[Vehicle_Type]]="Electric",190,Table15[[#This Row],[Vehicle_Type]]="Truck",150)</f>
        <v>150</v>
      </c>
      <c r="H319">
        <f t="shared" ca="1" si="8"/>
        <v>25</v>
      </c>
      <c r="I319">
        <f t="shared" ca="1" si="9"/>
        <v>11</v>
      </c>
      <c r="J319" s="81">
        <f ca="1">24/Table15[[#This Row],[Production_Hours]]</f>
        <v>2.1818181818181817</v>
      </c>
      <c r="K319" s="82">
        <f ca="1">(Table15[[#This Row],[Daily_Production]]*Table15[[#This Row],[Working_Days]]) -Table15[[#This Row],[Maintenance_Downtime]]</f>
        <v>3747.818181818182</v>
      </c>
    </row>
    <row r="320" spans="1:11">
      <c r="A320" s="53">
        <v>51545</v>
      </c>
      <c r="B320" s="14" t="s">
        <v>11</v>
      </c>
      <c r="C320" s="14">
        <v>87</v>
      </c>
      <c r="D320" s="14">
        <v>26753.612274669966</v>
      </c>
      <c r="E320" s="82">
        <f>_xlfn.FORECAST.LINEAR(Table15[[#This Row],[Date]],Table15[Units_Sold],Table15[Date])</f>
        <v>99.409714422857689</v>
      </c>
      <c r="F320" s="138">
        <f>Table15[[#This Row],[Average_Price]]/Table15[[#This Row],[Units_Sold]]</f>
        <v>307.51278476632143</v>
      </c>
      <c r="G320" cm="1">
        <f t="array" ref="G320">_xlfn.IFS(Table15[[#This Row],[Vehicle_Type]]="SUV",250,Table15[[#This Row],[Vehicle_Type]]="Sedan",200,Table15[[#This Row],[Vehicle_Type]]="Hatchback",185,Table15[[#This Row],[Vehicle_Type]]="Electric",190,Table15[[#This Row],[Vehicle_Type]]="Truck",150)</f>
        <v>185</v>
      </c>
      <c r="H320">
        <f t="shared" ca="1" si="8"/>
        <v>23</v>
      </c>
      <c r="I320">
        <f t="shared" ca="1" si="9"/>
        <v>10</v>
      </c>
      <c r="J320" s="81">
        <f ca="1">24/Table15[[#This Row],[Production_Hours]]</f>
        <v>2.4</v>
      </c>
      <c r="K320" s="82">
        <f ca="1">(Table15[[#This Row],[Daily_Production]]*Table15[[#This Row],[Working_Days]]) -Table15[[#This Row],[Maintenance_Downtime]]</f>
        <v>4252.6000000000004</v>
      </c>
    </row>
    <row r="321" spans="1:11">
      <c r="A321" s="54">
        <v>51575</v>
      </c>
      <c r="B321" s="15" t="s">
        <v>10</v>
      </c>
      <c r="C321" s="15">
        <v>103</v>
      </c>
      <c r="D321" s="15">
        <v>23880.298666188719</v>
      </c>
      <c r="E321" s="82">
        <f>_xlfn.FORECAST.LINEAR(Table15[[#This Row],[Date]],Table15[Units_Sold],Table15[Date])</f>
        <v>99.411316093264375</v>
      </c>
      <c r="F321" s="138">
        <f>Table15[[#This Row],[Average_Price]]/Table15[[#This Row],[Units_Sold]]</f>
        <v>231.84755986590989</v>
      </c>
      <c r="G321" cm="1">
        <f t="array" ref="G321">_xlfn.IFS(Table15[[#This Row],[Vehicle_Type]]="SUV",250,Table15[[#This Row],[Vehicle_Type]]="Sedan",200,Table15[[#This Row],[Vehicle_Type]]="Hatchback",185,Table15[[#This Row],[Vehicle_Type]]="Electric",190,Table15[[#This Row],[Vehicle_Type]]="Truck",150)</f>
        <v>200</v>
      </c>
      <c r="H321">
        <f t="shared" ca="1" si="8"/>
        <v>21</v>
      </c>
      <c r="I321">
        <f t="shared" ca="1" si="9"/>
        <v>12</v>
      </c>
      <c r="J321" s="81">
        <f ca="1">24/Table15[[#This Row],[Production_Hours]]</f>
        <v>2</v>
      </c>
      <c r="K321" s="82">
        <f ca="1">(Table15[[#This Row],[Daily_Production]]*Table15[[#This Row],[Working_Days]]) -Table15[[#This Row],[Maintenance_Downtime]]</f>
        <v>4198</v>
      </c>
    </row>
    <row r="322" spans="1:11">
      <c r="A322" s="53">
        <v>51605</v>
      </c>
      <c r="B322" s="14" t="s">
        <v>10</v>
      </c>
      <c r="C322" s="14">
        <v>115</v>
      </c>
      <c r="D322" s="14">
        <v>30170.417341296132</v>
      </c>
      <c r="E322" s="82">
        <f>_xlfn.FORECAST.LINEAR(Table15[[#This Row],[Date]],Table15[Units_Sold],Table15[Date])</f>
        <v>99.412917763671061</v>
      </c>
      <c r="F322" s="138">
        <f>Table15[[#This Row],[Average_Price]]/Table15[[#This Row],[Units_Sold]]</f>
        <v>262.35145514170551</v>
      </c>
      <c r="G322" cm="1">
        <f t="array" ref="G322">_xlfn.IFS(Table15[[#This Row],[Vehicle_Type]]="SUV",250,Table15[[#This Row],[Vehicle_Type]]="Sedan",200,Table15[[#This Row],[Vehicle_Type]]="Hatchback",185,Table15[[#This Row],[Vehicle_Type]]="Electric",190,Table15[[#This Row],[Vehicle_Type]]="Truck",150)</f>
        <v>200</v>
      </c>
      <c r="H322">
        <f t="shared" ref="H322:H385" ca="1" si="10">RANDBETWEEN(20,25)</f>
        <v>22</v>
      </c>
      <c r="I322">
        <f t="shared" ref="I322:I385" ca="1" si="11">RANDBETWEEN(8,12)</f>
        <v>12</v>
      </c>
      <c r="J322" s="81">
        <f ca="1">24/Table15[[#This Row],[Production_Hours]]</f>
        <v>2</v>
      </c>
      <c r="K322" s="82">
        <f ca="1">(Table15[[#This Row],[Daily_Production]]*Table15[[#This Row],[Working_Days]]) -Table15[[#This Row],[Maintenance_Downtime]]</f>
        <v>4398</v>
      </c>
    </row>
    <row r="323" spans="1:11">
      <c r="A323" s="54">
        <v>51635</v>
      </c>
      <c r="B323" s="15" t="s">
        <v>14</v>
      </c>
      <c r="C323" s="15">
        <v>88</v>
      </c>
      <c r="D323" s="15">
        <v>26150.13384470679</v>
      </c>
      <c r="E323" s="82">
        <f>_xlfn.FORECAST.LINEAR(Table15[[#This Row],[Date]],Table15[Units_Sold],Table15[Date])</f>
        <v>99.414519434077746</v>
      </c>
      <c r="F323" s="138">
        <f>Table15[[#This Row],[Average_Price]]/Table15[[#This Row],[Units_Sold]]</f>
        <v>297.1606118716681</v>
      </c>
      <c r="G323" cm="1">
        <f t="array" ref="G323">_xlfn.IFS(Table15[[#This Row],[Vehicle_Type]]="SUV",250,Table15[[#This Row],[Vehicle_Type]]="Sedan",200,Table15[[#This Row],[Vehicle_Type]]="Hatchback",185,Table15[[#This Row],[Vehicle_Type]]="Electric",190,Table15[[#This Row],[Vehicle_Type]]="Truck",150)</f>
        <v>150</v>
      </c>
      <c r="H323">
        <f t="shared" ca="1" si="10"/>
        <v>23</v>
      </c>
      <c r="I323">
        <f t="shared" ca="1" si="11"/>
        <v>10</v>
      </c>
      <c r="J323" s="81">
        <f ca="1">24/Table15[[#This Row],[Production_Hours]]</f>
        <v>2.4</v>
      </c>
      <c r="K323" s="82">
        <f ca="1">(Table15[[#This Row],[Daily_Production]]*Table15[[#This Row],[Working_Days]]) -Table15[[#This Row],[Maintenance_Downtime]]</f>
        <v>3447.6</v>
      </c>
    </row>
    <row r="324" spans="1:11">
      <c r="A324" s="53">
        <v>51665</v>
      </c>
      <c r="B324" s="14" t="s">
        <v>13</v>
      </c>
      <c r="C324" s="14">
        <v>100</v>
      </c>
      <c r="D324" s="14">
        <v>31168.92955895374</v>
      </c>
      <c r="E324" s="82">
        <f>_xlfn.FORECAST.LINEAR(Table15[[#This Row],[Date]],Table15[Units_Sold],Table15[Date])</f>
        <v>99.416121104484418</v>
      </c>
      <c r="F324" s="138">
        <f>Table15[[#This Row],[Average_Price]]/Table15[[#This Row],[Units_Sold]]</f>
        <v>311.68929558953738</v>
      </c>
      <c r="G324" cm="1">
        <f t="array" ref="G324">_xlfn.IFS(Table15[[#This Row],[Vehicle_Type]]="SUV",250,Table15[[#This Row],[Vehicle_Type]]="Sedan",200,Table15[[#This Row],[Vehicle_Type]]="Hatchback",185,Table15[[#This Row],[Vehicle_Type]]="Electric",190,Table15[[#This Row],[Vehicle_Type]]="Truck",150)</f>
        <v>190</v>
      </c>
      <c r="H324">
        <f t="shared" ca="1" si="10"/>
        <v>20</v>
      </c>
      <c r="I324">
        <f t="shared" ca="1" si="11"/>
        <v>10</v>
      </c>
      <c r="J324" s="81">
        <f ca="1">24/Table15[[#This Row],[Production_Hours]]</f>
        <v>2.4</v>
      </c>
      <c r="K324" s="82">
        <f ca="1">(Table15[[#This Row],[Daily_Production]]*Table15[[#This Row],[Working_Days]]) -Table15[[#This Row],[Maintenance_Downtime]]</f>
        <v>3797.6</v>
      </c>
    </row>
    <row r="325" spans="1:11">
      <c r="A325" s="54">
        <v>51695</v>
      </c>
      <c r="B325" s="15" t="s">
        <v>13</v>
      </c>
      <c r="C325" s="15">
        <v>108</v>
      </c>
      <c r="D325" s="15">
        <v>22220.521768981864</v>
      </c>
      <c r="E325" s="82">
        <f>_xlfn.FORECAST.LINEAR(Table15[[#This Row],[Date]],Table15[Units_Sold],Table15[Date])</f>
        <v>99.417722774891104</v>
      </c>
      <c r="F325" s="138">
        <f>Table15[[#This Row],[Average_Price]]/Table15[[#This Row],[Units_Sold]]</f>
        <v>205.74557193501727</v>
      </c>
      <c r="G325" cm="1">
        <f t="array" ref="G325">_xlfn.IFS(Table15[[#This Row],[Vehicle_Type]]="SUV",250,Table15[[#This Row],[Vehicle_Type]]="Sedan",200,Table15[[#This Row],[Vehicle_Type]]="Hatchback",185,Table15[[#This Row],[Vehicle_Type]]="Electric",190,Table15[[#This Row],[Vehicle_Type]]="Truck",150)</f>
        <v>190</v>
      </c>
      <c r="H325">
        <f t="shared" ca="1" si="10"/>
        <v>25</v>
      </c>
      <c r="I325">
        <f t="shared" ca="1" si="11"/>
        <v>10</v>
      </c>
      <c r="J325" s="81">
        <f ca="1">24/Table15[[#This Row],[Production_Hours]]</f>
        <v>2.4</v>
      </c>
      <c r="K325" s="82">
        <f ca="1">(Table15[[#This Row],[Daily_Production]]*Table15[[#This Row],[Working_Days]]) -Table15[[#This Row],[Maintenance_Downtime]]</f>
        <v>4747.6000000000004</v>
      </c>
    </row>
    <row r="326" spans="1:11">
      <c r="A326" s="53">
        <v>51725</v>
      </c>
      <c r="B326" s="14" t="s">
        <v>10</v>
      </c>
      <c r="C326" s="14">
        <v>100</v>
      </c>
      <c r="D326" s="14">
        <v>31654.401161072285</v>
      </c>
      <c r="E326" s="82">
        <f>_xlfn.FORECAST.LINEAR(Table15[[#This Row],[Date]],Table15[Units_Sold],Table15[Date])</f>
        <v>99.419324445297789</v>
      </c>
      <c r="F326" s="138">
        <f>Table15[[#This Row],[Average_Price]]/Table15[[#This Row],[Units_Sold]]</f>
        <v>316.54401161072286</v>
      </c>
      <c r="G326" cm="1">
        <f t="array" ref="G326">_xlfn.IFS(Table15[[#This Row],[Vehicle_Type]]="SUV",250,Table15[[#This Row],[Vehicle_Type]]="Sedan",200,Table15[[#This Row],[Vehicle_Type]]="Hatchback",185,Table15[[#This Row],[Vehicle_Type]]="Electric",190,Table15[[#This Row],[Vehicle_Type]]="Truck",150)</f>
        <v>200</v>
      </c>
      <c r="H326">
        <f t="shared" ca="1" si="10"/>
        <v>23</v>
      </c>
      <c r="I326">
        <f t="shared" ca="1" si="11"/>
        <v>9</v>
      </c>
      <c r="J326" s="81">
        <f ca="1">24/Table15[[#This Row],[Production_Hours]]</f>
        <v>2.6666666666666665</v>
      </c>
      <c r="K326" s="82">
        <f ca="1">(Table15[[#This Row],[Daily_Production]]*Table15[[#This Row],[Working_Days]]) -Table15[[#This Row],[Maintenance_Downtime]]</f>
        <v>4597.333333333333</v>
      </c>
    </row>
    <row r="327" spans="1:11">
      <c r="A327" s="54">
        <v>51755</v>
      </c>
      <c r="B327" s="15" t="s">
        <v>10</v>
      </c>
      <c r="C327" s="15">
        <v>86</v>
      </c>
      <c r="D327" s="15">
        <v>34167.644808044621</v>
      </c>
      <c r="E327" s="82">
        <f>_xlfn.FORECAST.LINEAR(Table15[[#This Row],[Date]],Table15[Units_Sold],Table15[Date])</f>
        <v>99.420926115704461</v>
      </c>
      <c r="F327" s="138">
        <f>Table15[[#This Row],[Average_Price]]/Table15[[#This Row],[Units_Sold]]</f>
        <v>397.29819544237932</v>
      </c>
      <c r="G327" cm="1">
        <f t="array" ref="G327">_xlfn.IFS(Table15[[#This Row],[Vehicle_Type]]="SUV",250,Table15[[#This Row],[Vehicle_Type]]="Sedan",200,Table15[[#This Row],[Vehicle_Type]]="Hatchback",185,Table15[[#This Row],[Vehicle_Type]]="Electric",190,Table15[[#This Row],[Vehicle_Type]]="Truck",150)</f>
        <v>200</v>
      </c>
      <c r="H327">
        <f t="shared" ca="1" si="10"/>
        <v>20</v>
      </c>
      <c r="I327">
        <f t="shared" ca="1" si="11"/>
        <v>9</v>
      </c>
      <c r="J327" s="81">
        <f ca="1">24/Table15[[#This Row],[Production_Hours]]</f>
        <v>2.6666666666666665</v>
      </c>
      <c r="K327" s="82">
        <f ca="1">(Table15[[#This Row],[Daily_Production]]*Table15[[#This Row],[Working_Days]]) -Table15[[#This Row],[Maintenance_Downtime]]</f>
        <v>3997.3333333333335</v>
      </c>
    </row>
    <row r="328" spans="1:11">
      <c r="A328" s="53">
        <v>51785</v>
      </c>
      <c r="B328" s="14" t="s">
        <v>13</v>
      </c>
      <c r="C328" s="14">
        <v>87</v>
      </c>
      <c r="D328" s="14">
        <v>20031.321787142722</v>
      </c>
      <c r="E328" s="82">
        <f>_xlfn.FORECAST.LINEAR(Table15[[#This Row],[Date]],Table15[Units_Sold],Table15[Date])</f>
        <v>99.422527786111146</v>
      </c>
      <c r="F328" s="138">
        <f>Table15[[#This Row],[Average_Price]]/Table15[[#This Row],[Units_Sold]]</f>
        <v>230.24507801313473</v>
      </c>
      <c r="G328" cm="1">
        <f t="array" ref="G328">_xlfn.IFS(Table15[[#This Row],[Vehicle_Type]]="SUV",250,Table15[[#This Row],[Vehicle_Type]]="Sedan",200,Table15[[#This Row],[Vehicle_Type]]="Hatchback",185,Table15[[#This Row],[Vehicle_Type]]="Electric",190,Table15[[#This Row],[Vehicle_Type]]="Truck",150)</f>
        <v>190</v>
      </c>
      <c r="H328">
        <f t="shared" ca="1" si="10"/>
        <v>21</v>
      </c>
      <c r="I328">
        <f t="shared" ca="1" si="11"/>
        <v>11</v>
      </c>
      <c r="J328" s="81">
        <f ca="1">24/Table15[[#This Row],[Production_Hours]]</f>
        <v>2.1818181818181817</v>
      </c>
      <c r="K328" s="82">
        <f ca="1">(Table15[[#This Row],[Daily_Production]]*Table15[[#This Row],[Working_Days]]) -Table15[[#This Row],[Maintenance_Downtime]]</f>
        <v>3987.818181818182</v>
      </c>
    </row>
    <row r="329" spans="1:11">
      <c r="A329" s="54">
        <v>51815</v>
      </c>
      <c r="B329" s="15" t="s">
        <v>12</v>
      </c>
      <c r="C329" s="15">
        <v>109</v>
      </c>
      <c r="D329" s="15">
        <v>31870.282849237861</v>
      </c>
      <c r="E329" s="82">
        <f>_xlfn.FORECAST.LINEAR(Table15[[#This Row],[Date]],Table15[Units_Sold],Table15[Date])</f>
        <v>99.424129456517832</v>
      </c>
      <c r="F329" s="138">
        <f>Table15[[#This Row],[Average_Price]]/Table15[[#This Row],[Units_Sold]]</f>
        <v>292.3879160480538</v>
      </c>
      <c r="G329" cm="1">
        <f t="array" ref="G329">_xlfn.IFS(Table15[[#This Row],[Vehicle_Type]]="SUV",250,Table15[[#This Row],[Vehicle_Type]]="Sedan",200,Table15[[#This Row],[Vehicle_Type]]="Hatchback",185,Table15[[#This Row],[Vehicle_Type]]="Electric",190,Table15[[#This Row],[Vehicle_Type]]="Truck",150)</f>
        <v>250</v>
      </c>
      <c r="H329">
        <f t="shared" ca="1" si="10"/>
        <v>25</v>
      </c>
      <c r="I329">
        <f t="shared" ca="1" si="11"/>
        <v>11</v>
      </c>
      <c r="J329" s="81">
        <f ca="1">24/Table15[[#This Row],[Production_Hours]]</f>
        <v>2.1818181818181817</v>
      </c>
      <c r="K329" s="82">
        <f ca="1">(Table15[[#This Row],[Daily_Production]]*Table15[[#This Row],[Working_Days]]) -Table15[[#This Row],[Maintenance_Downtime]]</f>
        <v>6247.818181818182</v>
      </c>
    </row>
    <row r="330" spans="1:11">
      <c r="A330" s="53">
        <v>51845</v>
      </c>
      <c r="B330" s="14" t="s">
        <v>13</v>
      </c>
      <c r="C330" s="14">
        <v>91</v>
      </c>
      <c r="D330" s="14">
        <v>36138.344962366464</v>
      </c>
      <c r="E330" s="82">
        <f>_xlfn.FORECAST.LINEAR(Table15[[#This Row],[Date]],Table15[Units_Sold],Table15[Date])</f>
        <v>99.425731126924518</v>
      </c>
      <c r="F330" s="138">
        <f>Table15[[#This Row],[Average_Price]]/Table15[[#This Row],[Units_Sold]]</f>
        <v>397.12466991611501</v>
      </c>
      <c r="G330" cm="1">
        <f t="array" ref="G330">_xlfn.IFS(Table15[[#This Row],[Vehicle_Type]]="SUV",250,Table15[[#This Row],[Vehicle_Type]]="Sedan",200,Table15[[#This Row],[Vehicle_Type]]="Hatchback",185,Table15[[#This Row],[Vehicle_Type]]="Electric",190,Table15[[#This Row],[Vehicle_Type]]="Truck",150)</f>
        <v>190</v>
      </c>
      <c r="H330">
        <f t="shared" ca="1" si="10"/>
        <v>22</v>
      </c>
      <c r="I330">
        <f t="shared" ca="1" si="11"/>
        <v>10</v>
      </c>
      <c r="J330" s="81">
        <f ca="1">24/Table15[[#This Row],[Production_Hours]]</f>
        <v>2.4</v>
      </c>
      <c r="K330" s="82">
        <f ca="1">(Table15[[#This Row],[Daily_Production]]*Table15[[#This Row],[Working_Days]]) -Table15[[#This Row],[Maintenance_Downtime]]</f>
        <v>4177.6000000000004</v>
      </c>
    </row>
    <row r="331" spans="1:11">
      <c r="A331" s="54">
        <v>51875</v>
      </c>
      <c r="B331" s="15" t="s">
        <v>11</v>
      </c>
      <c r="C331" s="15">
        <v>107</v>
      </c>
      <c r="D331" s="15">
        <v>23951.794906543972</v>
      </c>
      <c r="E331" s="82">
        <f>_xlfn.FORECAST.LINEAR(Table15[[#This Row],[Date]],Table15[Units_Sold],Table15[Date])</f>
        <v>99.427332797331189</v>
      </c>
      <c r="F331" s="138">
        <f>Table15[[#This Row],[Average_Price]]/Table15[[#This Row],[Units_Sold]]</f>
        <v>223.84855052844833</v>
      </c>
      <c r="G331" cm="1">
        <f t="array" ref="G331">_xlfn.IFS(Table15[[#This Row],[Vehicle_Type]]="SUV",250,Table15[[#This Row],[Vehicle_Type]]="Sedan",200,Table15[[#This Row],[Vehicle_Type]]="Hatchback",185,Table15[[#This Row],[Vehicle_Type]]="Electric",190,Table15[[#This Row],[Vehicle_Type]]="Truck",150)</f>
        <v>185</v>
      </c>
      <c r="H331">
        <f t="shared" ca="1" si="10"/>
        <v>21</v>
      </c>
      <c r="I331">
        <f t="shared" ca="1" si="11"/>
        <v>8</v>
      </c>
      <c r="J331" s="81">
        <f ca="1">24/Table15[[#This Row],[Production_Hours]]</f>
        <v>3</v>
      </c>
      <c r="K331" s="82">
        <f ca="1">(Table15[[#This Row],[Daily_Production]]*Table15[[#This Row],[Working_Days]]) -Table15[[#This Row],[Maintenance_Downtime]]</f>
        <v>3882</v>
      </c>
    </row>
    <row r="332" spans="1:11">
      <c r="A332" s="53">
        <v>51905</v>
      </c>
      <c r="B332" s="14" t="s">
        <v>12</v>
      </c>
      <c r="C332" s="14">
        <v>106</v>
      </c>
      <c r="D332" s="14">
        <v>38362.861934188521</v>
      </c>
      <c r="E332" s="82">
        <f>_xlfn.FORECAST.LINEAR(Table15[[#This Row],[Date]],Table15[Units_Sold],Table15[Date])</f>
        <v>99.428934467737875</v>
      </c>
      <c r="F332" s="138">
        <f>Table15[[#This Row],[Average_Price]]/Table15[[#This Row],[Units_Sold]]</f>
        <v>361.91379183196716</v>
      </c>
      <c r="G332" cm="1">
        <f t="array" ref="G332">_xlfn.IFS(Table15[[#This Row],[Vehicle_Type]]="SUV",250,Table15[[#This Row],[Vehicle_Type]]="Sedan",200,Table15[[#This Row],[Vehicle_Type]]="Hatchback",185,Table15[[#This Row],[Vehicle_Type]]="Electric",190,Table15[[#This Row],[Vehicle_Type]]="Truck",150)</f>
        <v>250</v>
      </c>
      <c r="H332">
        <f t="shared" ca="1" si="10"/>
        <v>20</v>
      </c>
      <c r="I332">
        <f t="shared" ca="1" si="11"/>
        <v>10</v>
      </c>
      <c r="J332" s="81">
        <f ca="1">24/Table15[[#This Row],[Production_Hours]]</f>
        <v>2.4</v>
      </c>
      <c r="K332" s="82">
        <f ca="1">(Table15[[#This Row],[Daily_Production]]*Table15[[#This Row],[Working_Days]]) -Table15[[#This Row],[Maintenance_Downtime]]</f>
        <v>4997.6000000000004</v>
      </c>
    </row>
    <row r="333" spans="1:11">
      <c r="A333" s="54">
        <v>51935</v>
      </c>
      <c r="B333" s="15" t="s">
        <v>11</v>
      </c>
      <c r="C333" s="15">
        <v>92</v>
      </c>
      <c r="D333" s="15">
        <v>32095.095046830225</v>
      </c>
      <c r="E333" s="82">
        <f>_xlfn.FORECAST.LINEAR(Table15[[#This Row],[Date]],Table15[Units_Sold],Table15[Date])</f>
        <v>99.430536138144561</v>
      </c>
      <c r="F333" s="138">
        <f>Table15[[#This Row],[Average_Price]]/Table15[[#This Row],[Units_Sold]]</f>
        <v>348.85972876989376</v>
      </c>
      <c r="G333" cm="1">
        <f t="array" ref="G333">_xlfn.IFS(Table15[[#This Row],[Vehicle_Type]]="SUV",250,Table15[[#This Row],[Vehicle_Type]]="Sedan",200,Table15[[#This Row],[Vehicle_Type]]="Hatchback",185,Table15[[#This Row],[Vehicle_Type]]="Electric",190,Table15[[#This Row],[Vehicle_Type]]="Truck",150)</f>
        <v>185</v>
      </c>
      <c r="H333">
        <f t="shared" ca="1" si="10"/>
        <v>24</v>
      </c>
      <c r="I333">
        <f t="shared" ca="1" si="11"/>
        <v>8</v>
      </c>
      <c r="J333" s="81">
        <f ca="1">24/Table15[[#This Row],[Production_Hours]]</f>
        <v>3</v>
      </c>
      <c r="K333" s="82">
        <f ca="1">(Table15[[#This Row],[Daily_Production]]*Table15[[#This Row],[Working_Days]]) -Table15[[#This Row],[Maintenance_Downtime]]</f>
        <v>4437</v>
      </c>
    </row>
    <row r="334" spans="1:11">
      <c r="A334" s="53">
        <v>51965</v>
      </c>
      <c r="B334" s="14" t="s">
        <v>10</v>
      </c>
      <c r="C334" s="14">
        <v>90</v>
      </c>
      <c r="D334" s="14">
        <v>26474.940721207957</v>
      </c>
      <c r="E334" s="82">
        <f>_xlfn.FORECAST.LINEAR(Table15[[#This Row],[Date]],Table15[Units_Sold],Table15[Date])</f>
        <v>99.432137808551232</v>
      </c>
      <c r="F334" s="138">
        <f>Table15[[#This Row],[Average_Price]]/Table15[[#This Row],[Units_Sold]]</f>
        <v>294.16600801342173</v>
      </c>
      <c r="G334" cm="1">
        <f t="array" ref="G334">_xlfn.IFS(Table15[[#This Row],[Vehicle_Type]]="SUV",250,Table15[[#This Row],[Vehicle_Type]]="Sedan",200,Table15[[#This Row],[Vehicle_Type]]="Hatchback",185,Table15[[#This Row],[Vehicle_Type]]="Electric",190,Table15[[#This Row],[Vehicle_Type]]="Truck",150)</f>
        <v>200</v>
      </c>
      <c r="H334">
        <f t="shared" ca="1" si="10"/>
        <v>25</v>
      </c>
      <c r="I334">
        <f t="shared" ca="1" si="11"/>
        <v>10</v>
      </c>
      <c r="J334" s="81">
        <f ca="1">24/Table15[[#This Row],[Production_Hours]]</f>
        <v>2.4</v>
      </c>
      <c r="K334" s="82">
        <f ca="1">(Table15[[#This Row],[Daily_Production]]*Table15[[#This Row],[Working_Days]]) -Table15[[#This Row],[Maintenance_Downtime]]</f>
        <v>4997.6000000000004</v>
      </c>
    </row>
    <row r="335" spans="1:11">
      <c r="A335" s="54">
        <v>51995</v>
      </c>
      <c r="B335" s="15" t="s">
        <v>12</v>
      </c>
      <c r="C335" s="15">
        <v>102</v>
      </c>
      <c r="D335" s="15">
        <v>29721.15461171147</v>
      </c>
      <c r="E335" s="82">
        <f>_xlfn.FORECAST.LINEAR(Table15[[#This Row],[Date]],Table15[Units_Sold],Table15[Date])</f>
        <v>99.433739478957918</v>
      </c>
      <c r="F335" s="138">
        <f>Table15[[#This Row],[Average_Price]]/Table15[[#This Row],[Units_Sold]]</f>
        <v>291.38386874226933</v>
      </c>
      <c r="G335" cm="1">
        <f t="array" ref="G335">_xlfn.IFS(Table15[[#This Row],[Vehicle_Type]]="SUV",250,Table15[[#This Row],[Vehicle_Type]]="Sedan",200,Table15[[#This Row],[Vehicle_Type]]="Hatchback",185,Table15[[#This Row],[Vehicle_Type]]="Electric",190,Table15[[#This Row],[Vehicle_Type]]="Truck",150)</f>
        <v>250</v>
      </c>
      <c r="H335">
        <f t="shared" ca="1" si="10"/>
        <v>23</v>
      </c>
      <c r="I335">
        <f t="shared" ca="1" si="11"/>
        <v>10</v>
      </c>
      <c r="J335" s="81">
        <f ca="1">24/Table15[[#This Row],[Production_Hours]]</f>
        <v>2.4</v>
      </c>
      <c r="K335" s="82">
        <f ca="1">(Table15[[#This Row],[Daily_Production]]*Table15[[#This Row],[Working_Days]]) -Table15[[#This Row],[Maintenance_Downtime]]</f>
        <v>5747.6</v>
      </c>
    </row>
    <row r="336" spans="1:11">
      <c r="A336" s="53">
        <v>52025</v>
      </c>
      <c r="B336" s="14" t="s">
        <v>11</v>
      </c>
      <c r="C336" s="14">
        <v>99</v>
      </c>
      <c r="D336" s="14">
        <v>32791.634562608611</v>
      </c>
      <c r="E336" s="82">
        <f>_xlfn.FORECAST.LINEAR(Table15[[#This Row],[Date]],Table15[Units_Sold],Table15[Date])</f>
        <v>99.435341149364604</v>
      </c>
      <c r="F336" s="138">
        <f>Table15[[#This Row],[Average_Price]]/Table15[[#This Row],[Units_Sold]]</f>
        <v>331.22863194554151</v>
      </c>
      <c r="G336" cm="1">
        <f t="array" ref="G336">_xlfn.IFS(Table15[[#This Row],[Vehicle_Type]]="SUV",250,Table15[[#This Row],[Vehicle_Type]]="Sedan",200,Table15[[#This Row],[Vehicle_Type]]="Hatchback",185,Table15[[#This Row],[Vehicle_Type]]="Electric",190,Table15[[#This Row],[Vehicle_Type]]="Truck",150)</f>
        <v>185</v>
      </c>
      <c r="H336">
        <f t="shared" ca="1" si="10"/>
        <v>25</v>
      </c>
      <c r="I336">
        <f t="shared" ca="1" si="11"/>
        <v>9</v>
      </c>
      <c r="J336" s="81">
        <f ca="1">24/Table15[[#This Row],[Production_Hours]]</f>
        <v>2.6666666666666665</v>
      </c>
      <c r="K336" s="82">
        <f ca="1">(Table15[[#This Row],[Daily_Production]]*Table15[[#This Row],[Working_Days]]) -Table15[[#This Row],[Maintenance_Downtime]]</f>
        <v>4622.333333333333</v>
      </c>
    </row>
    <row r="337" spans="1:11">
      <c r="A337" s="54">
        <v>52055</v>
      </c>
      <c r="B337" s="15" t="s">
        <v>11</v>
      </c>
      <c r="C337" s="15">
        <v>88</v>
      </c>
      <c r="D337" s="15">
        <v>38106.295579999998</v>
      </c>
      <c r="E337" s="82">
        <f>_xlfn.FORECAST.LINEAR(Table15[[#This Row],[Date]],Table15[Units_Sold],Table15[Date])</f>
        <v>99.436942819771289</v>
      </c>
      <c r="F337" s="138">
        <f>Table15[[#This Row],[Average_Price]]/Table15[[#This Row],[Units_Sold]]</f>
        <v>433.02608613636363</v>
      </c>
      <c r="G337" cm="1">
        <f t="array" ref="G337">_xlfn.IFS(Table15[[#This Row],[Vehicle_Type]]="SUV",250,Table15[[#This Row],[Vehicle_Type]]="Sedan",200,Table15[[#This Row],[Vehicle_Type]]="Hatchback",185,Table15[[#This Row],[Vehicle_Type]]="Electric",190,Table15[[#This Row],[Vehicle_Type]]="Truck",150)</f>
        <v>185</v>
      </c>
      <c r="H337">
        <f t="shared" ca="1" si="10"/>
        <v>22</v>
      </c>
      <c r="I337">
        <f t="shared" ca="1" si="11"/>
        <v>9</v>
      </c>
      <c r="J337" s="81">
        <f ca="1">24/Table15[[#This Row],[Production_Hours]]</f>
        <v>2.6666666666666665</v>
      </c>
      <c r="K337" s="82">
        <f ca="1">(Table15[[#This Row],[Daily_Production]]*Table15[[#This Row],[Working_Days]]) -Table15[[#This Row],[Maintenance_Downtime]]</f>
        <v>4067.3333333333335</v>
      </c>
    </row>
    <row r="338" spans="1:11">
      <c r="A338" s="53">
        <v>52085</v>
      </c>
      <c r="B338" s="14" t="s">
        <v>12</v>
      </c>
      <c r="C338" s="14">
        <v>100</v>
      </c>
      <c r="D338" s="14">
        <v>32693.779962231845</v>
      </c>
      <c r="E338" s="82">
        <f>_xlfn.FORECAST.LINEAR(Table15[[#This Row],[Date]],Table15[Units_Sold],Table15[Date])</f>
        <v>99.438544490177961</v>
      </c>
      <c r="F338" s="138">
        <f>Table15[[#This Row],[Average_Price]]/Table15[[#This Row],[Units_Sold]]</f>
        <v>326.93779962231844</v>
      </c>
      <c r="G338" cm="1">
        <f t="array" ref="G338">_xlfn.IFS(Table15[[#This Row],[Vehicle_Type]]="SUV",250,Table15[[#This Row],[Vehicle_Type]]="Sedan",200,Table15[[#This Row],[Vehicle_Type]]="Hatchback",185,Table15[[#This Row],[Vehicle_Type]]="Electric",190,Table15[[#This Row],[Vehicle_Type]]="Truck",150)</f>
        <v>250</v>
      </c>
      <c r="H338">
        <f t="shared" ca="1" si="10"/>
        <v>25</v>
      </c>
      <c r="I338">
        <f t="shared" ca="1" si="11"/>
        <v>8</v>
      </c>
      <c r="J338" s="81">
        <f ca="1">24/Table15[[#This Row],[Production_Hours]]</f>
        <v>3</v>
      </c>
      <c r="K338" s="82">
        <f ca="1">(Table15[[#This Row],[Daily_Production]]*Table15[[#This Row],[Working_Days]]) -Table15[[#This Row],[Maintenance_Downtime]]</f>
        <v>6247</v>
      </c>
    </row>
    <row r="339" spans="1:11">
      <c r="A339" s="54">
        <v>52115</v>
      </c>
      <c r="B339" s="15" t="s">
        <v>14</v>
      </c>
      <c r="C339" s="15">
        <v>100</v>
      </c>
      <c r="D339" s="15">
        <v>25396.632034603168</v>
      </c>
      <c r="E339" s="82">
        <f>_xlfn.FORECAST.LINEAR(Table15[[#This Row],[Date]],Table15[Units_Sold],Table15[Date])</f>
        <v>99.440146160584646</v>
      </c>
      <c r="F339" s="138">
        <f>Table15[[#This Row],[Average_Price]]/Table15[[#This Row],[Units_Sold]]</f>
        <v>253.96632034603169</v>
      </c>
      <c r="G339" cm="1">
        <f t="array" ref="G339">_xlfn.IFS(Table15[[#This Row],[Vehicle_Type]]="SUV",250,Table15[[#This Row],[Vehicle_Type]]="Sedan",200,Table15[[#This Row],[Vehicle_Type]]="Hatchback",185,Table15[[#This Row],[Vehicle_Type]]="Electric",190,Table15[[#This Row],[Vehicle_Type]]="Truck",150)</f>
        <v>150</v>
      </c>
      <c r="H339">
        <f t="shared" ca="1" si="10"/>
        <v>25</v>
      </c>
      <c r="I339">
        <f t="shared" ca="1" si="11"/>
        <v>10</v>
      </c>
      <c r="J339" s="81">
        <f ca="1">24/Table15[[#This Row],[Production_Hours]]</f>
        <v>2.4</v>
      </c>
      <c r="K339" s="82">
        <f ca="1">(Table15[[#This Row],[Daily_Production]]*Table15[[#This Row],[Working_Days]]) -Table15[[#This Row],[Maintenance_Downtime]]</f>
        <v>3747.6</v>
      </c>
    </row>
    <row r="340" spans="1:11">
      <c r="A340" s="53">
        <v>52145</v>
      </c>
      <c r="B340" s="14" t="s">
        <v>13</v>
      </c>
      <c r="C340" s="14">
        <v>106</v>
      </c>
      <c r="D340" s="14">
        <v>30846.80412018039</v>
      </c>
      <c r="E340" s="82">
        <f>_xlfn.FORECAST.LINEAR(Table15[[#This Row],[Date]],Table15[Units_Sold],Table15[Date])</f>
        <v>99.441747830991332</v>
      </c>
      <c r="F340" s="138">
        <f>Table15[[#This Row],[Average_Price]]/Table15[[#This Row],[Units_Sold]]</f>
        <v>291.00758603943763</v>
      </c>
      <c r="G340" cm="1">
        <f t="array" ref="G340">_xlfn.IFS(Table15[[#This Row],[Vehicle_Type]]="SUV",250,Table15[[#This Row],[Vehicle_Type]]="Sedan",200,Table15[[#This Row],[Vehicle_Type]]="Hatchback",185,Table15[[#This Row],[Vehicle_Type]]="Electric",190,Table15[[#This Row],[Vehicle_Type]]="Truck",150)</f>
        <v>190</v>
      </c>
      <c r="H340">
        <f t="shared" ca="1" si="10"/>
        <v>23</v>
      </c>
      <c r="I340">
        <f t="shared" ca="1" si="11"/>
        <v>11</v>
      </c>
      <c r="J340" s="81">
        <f ca="1">24/Table15[[#This Row],[Production_Hours]]</f>
        <v>2.1818181818181817</v>
      </c>
      <c r="K340" s="82">
        <f ca="1">(Table15[[#This Row],[Daily_Production]]*Table15[[#This Row],[Working_Days]]) -Table15[[#This Row],[Maintenance_Downtime]]</f>
        <v>4367.818181818182</v>
      </c>
    </row>
    <row r="341" spans="1:11">
      <c r="A341" s="54">
        <v>52175</v>
      </c>
      <c r="B341" s="15" t="s">
        <v>11</v>
      </c>
      <c r="C341" s="15">
        <v>100</v>
      </c>
      <c r="D341" s="15">
        <v>22931.427515475101</v>
      </c>
      <c r="E341" s="82">
        <f>_xlfn.FORECAST.LINEAR(Table15[[#This Row],[Date]],Table15[Units_Sold],Table15[Date])</f>
        <v>99.443349501398004</v>
      </c>
      <c r="F341" s="138">
        <f>Table15[[#This Row],[Average_Price]]/Table15[[#This Row],[Units_Sold]]</f>
        <v>229.31427515475102</v>
      </c>
      <c r="G341" cm="1">
        <f t="array" ref="G341">_xlfn.IFS(Table15[[#This Row],[Vehicle_Type]]="SUV",250,Table15[[#This Row],[Vehicle_Type]]="Sedan",200,Table15[[#This Row],[Vehicle_Type]]="Hatchback",185,Table15[[#This Row],[Vehicle_Type]]="Electric",190,Table15[[#This Row],[Vehicle_Type]]="Truck",150)</f>
        <v>185</v>
      </c>
      <c r="H341">
        <f t="shared" ca="1" si="10"/>
        <v>22</v>
      </c>
      <c r="I341">
        <f t="shared" ca="1" si="11"/>
        <v>8</v>
      </c>
      <c r="J341" s="81">
        <f ca="1">24/Table15[[#This Row],[Production_Hours]]</f>
        <v>3</v>
      </c>
      <c r="K341" s="82">
        <f ca="1">(Table15[[#This Row],[Daily_Production]]*Table15[[#This Row],[Working_Days]]) -Table15[[#This Row],[Maintenance_Downtime]]</f>
        <v>4067</v>
      </c>
    </row>
    <row r="342" spans="1:11">
      <c r="A342" s="53">
        <v>52205</v>
      </c>
      <c r="B342" s="14" t="s">
        <v>13</v>
      </c>
      <c r="C342" s="14">
        <v>98</v>
      </c>
      <c r="D342" s="14">
        <v>29443.8696932565</v>
      </c>
      <c r="E342" s="82">
        <f>_xlfn.FORECAST.LINEAR(Table15[[#This Row],[Date]],Table15[Units_Sold],Table15[Date])</f>
        <v>99.444951171804689</v>
      </c>
      <c r="F342" s="138">
        <f>Table15[[#This Row],[Average_Price]]/Table15[[#This Row],[Units_Sold]]</f>
        <v>300.44764993118878</v>
      </c>
      <c r="G342" cm="1">
        <f t="array" ref="G342">_xlfn.IFS(Table15[[#This Row],[Vehicle_Type]]="SUV",250,Table15[[#This Row],[Vehicle_Type]]="Sedan",200,Table15[[#This Row],[Vehicle_Type]]="Hatchback",185,Table15[[#This Row],[Vehicle_Type]]="Electric",190,Table15[[#This Row],[Vehicle_Type]]="Truck",150)</f>
        <v>190</v>
      </c>
      <c r="H342">
        <f t="shared" ca="1" si="10"/>
        <v>21</v>
      </c>
      <c r="I342">
        <f t="shared" ca="1" si="11"/>
        <v>11</v>
      </c>
      <c r="J342" s="81">
        <f ca="1">24/Table15[[#This Row],[Production_Hours]]</f>
        <v>2.1818181818181817</v>
      </c>
      <c r="K342" s="82">
        <f ca="1">(Table15[[#This Row],[Daily_Production]]*Table15[[#This Row],[Working_Days]]) -Table15[[#This Row],[Maintenance_Downtime]]</f>
        <v>3987.818181818182</v>
      </c>
    </row>
    <row r="343" spans="1:11">
      <c r="A343" s="54">
        <v>52235</v>
      </c>
      <c r="B343" s="15" t="s">
        <v>13</v>
      </c>
      <c r="C343" s="15">
        <v>119</v>
      </c>
      <c r="D343" s="15">
        <v>30949.702720000001</v>
      </c>
      <c r="E343" s="82">
        <f>_xlfn.FORECAST.LINEAR(Table15[[#This Row],[Date]],Table15[Units_Sold],Table15[Date])</f>
        <v>99.446552842211375</v>
      </c>
      <c r="F343" s="138">
        <f>Table15[[#This Row],[Average_Price]]/Table15[[#This Row],[Units_Sold]]</f>
        <v>260.08153546218489</v>
      </c>
      <c r="G343" cm="1">
        <f t="array" ref="G343">_xlfn.IFS(Table15[[#This Row],[Vehicle_Type]]="SUV",250,Table15[[#This Row],[Vehicle_Type]]="Sedan",200,Table15[[#This Row],[Vehicle_Type]]="Hatchback",185,Table15[[#This Row],[Vehicle_Type]]="Electric",190,Table15[[#This Row],[Vehicle_Type]]="Truck",150)</f>
        <v>190</v>
      </c>
      <c r="H343">
        <f t="shared" ca="1" si="10"/>
        <v>20</v>
      </c>
      <c r="I343">
        <f t="shared" ca="1" si="11"/>
        <v>12</v>
      </c>
      <c r="J343" s="81">
        <f ca="1">24/Table15[[#This Row],[Production_Hours]]</f>
        <v>2</v>
      </c>
      <c r="K343" s="82">
        <f ca="1">(Table15[[#This Row],[Daily_Production]]*Table15[[#This Row],[Working_Days]]) -Table15[[#This Row],[Maintenance_Downtime]]</f>
        <v>3798</v>
      </c>
    </row>
    <row r="344" spans="1:11">
      <c r="A344" s="53">
        <v>52265</v>
      </c>
      <c r="B344" s="14" t="s">
        <v>10</v>
      </c>
      <c r="C344" s="14">
        <v>99</v>
      </c>
      <c r="D344" s="14">
        <v>26322.350287051166</v>
      </c>
      <c r="E344" s="82">
        <f>_xlfn.FORECAST.LINEAR(Table15[[#This Row],[Date]],Table15[Units_Sold],Table15[Date])</f>
        <v>99.448154512618061</v>
      </c>
      <c r="F344" s="138">
        <f>Table15[[#This Row],[Average_Price]]/Table15[[#This Row],[Units_Sold]]</f>
        <v>265.88232613182998</v>
      </c>
      <c r="G344" cm="1">
        <f t="array" ref="G344">_xlfn.IFS(Table15[[#This Row],[Vehicle_Type]]="SUV",250,Table15[[#This Row],[Vehicle_Type]]="Sedan",200,Table15[[#This Row],[Vehicle_Type]]="Hatchback",185,Table15[[#This Row],[Vehicle_Type]]="Electric",190,Table15[[#This Row],[Vehicle_Type]]="Truck",150)</f>
        <v>200</v>
      </c>
      <c r="H344">
        <f t="shared" ca="1" si="10"/>
        <v>23</v>
      </c>
      <c r="I344">
        <f t="shared" ca="1" si="11"/>
        <v>8</v>
      </c>
      <c r="J344" s="81">
        <f ca="1">24/Table15[[#This Row],[Production_Hours]]</f>
        <v>3</v>
      </c>
      <c r="K344" s="82">
        <f ca="1">(Table15[[#This Row],[Daily_Production]]*Table15[[#This Row],[Working_Days]]) -Table15[[#This Row],[Maintenance_Downtime]]</f>
        <v>4597</v>
      </c>
    </row>
    <row r="345" spans="1:11">
      <c r="A345" s="54">
        <v>52295</v>
      </c>
      <c r="B345" s="15" t="s">
        <v>13</v>
      </c>
      <c r="C345" s="15">
        <v>87</v>
      </c>
      <c r="D345" s="15">
        <v>36180.465876052185</v>
      </c>
      <c r="E345" s="82">
        <f>_xlfn.FORECAST.LINEAR(Table15[[#This Row],[Date]],Table15[Units_Sold],Table15[Date])</f>
        <v>99.449756183024732</v>
      </c>
      <c r="F345" s="138">
        <f>Table15[[#This Row],[Average_Price]]/Table15[[#This Row],[Units_Sold]]</f>
        <v>415.86742386266877</v>
      </c>
      <c r="G345" cm="1">
        <f t="array" ref="G345">_xlfn.IFS(Table15[[#This Row],[Vehicle_Type]]="SUV",250,Table15[[#This Row],[Vehicle_Type]]="Sedan",200,Table15[[#This Row],[Vehicle_Type]]="Hatchback",185,Table15[[#This Row],[Vehicle_Type]]="Electric",190,Table15[[#This Row],[Vehicle_Type]]="Truck",150)</f>
        <v>190</v>
      </c>
      <c r="H345">
        <f t="shared" ca="1" si="10"/>
        <v>25</v>
      </c>
      <c r="I345">
        <f t="shared" ca="1" si="11"/>
        <v>10</v>
      </c>
      <c r="J345" s="81">
        <f ca="1">24/Table15[[#This Row],[Production_Hours]]</f>
        <v>2.4</v>
      </c>
      <c r="K345" s="82">
        <f ca="1">(Table15[[#This Row],[Daily_Production]]*Table15[[#This Row],[Working_Days]]) -Table15[[#This Row],[Maintenance_Downtime]]</f>
        <v>4747.6000000000004</v>
      </c>
    </row>
    <row r="346" spans="1:11">
      <c r="A346" s="53">
        <v>52325</v>
      </c>
      <c r="B346" s="14" t="s">
        <v>11</v>
      </c>
      <c r="C346" s="14">
        <v>100</v>
      </c>
      <c r="D346" s="14">
        <v>35456.550602971343</v>
      </c>
      <c r="E346" s="82">
        <f>_xlfn.FORECAST.LINEAR(Table15[[#This Row],[Date]],Table15[Units_Sold],Table15[Date])</f>
        <v>99.451357853431418</v>
      </c>
      <c r="F346" s="138">
        <f>Table15[[#This Row],[Average_Price]]/Table15[[#This Row],[Units_Sold]]</f>
        <v>354.56550602971345</v>
      </c>
      <c r="G346" cm="1">
        <f t="array" ref="G346">_xlfn.IFS(Table15[[#This Row],[Vehicle_Type]]="SUV",250,Table15[[#This Row],[Vehicle_Type]]="Sedan",200,Table15[[#This Row],[Vehicle_Type]]="Hatchback",185,Table15[[#This Row],[Vehicle_Type]]="Electric",190,Table15[[#This Row],[Vehicle_Type]]="Truck",150)</f>
        <v>185</v>
      </c>
      <c r="H346">
        <f t="shared" ca="1" si="10"/>
        <v>21</v>
      </c>
      <c r="I346">
        <f t="shared" ca="1" si="11"/>
        <v>10</v>
      </c>
      <c r="J346" s="81">
        <f ca="1">24/Table15[[#This Row],[Production_Hours]]</f>
        <v>2.4</v>
      </c>
      <c r="K346" s="82">
        <f ca="1">(Table15[[#This Row],[Daily_Production]]*Table15[[#This Row],[Working_Days]]) -Table15[[#This Row],[Maintenance_Downtime]]</f>
        <v>3882.6</v>
      </c>
    </row>
    <row r="347" spans="1:11">
      <c r="A347" s="54">
        <v>52355</v>
      </c>
      <c r="B347" s="15" t="s">
        <v>10</v>
      </c>
      <c r="C347" s="15">
        <v>103</v>
      </c>
      <c r="D347" s="15">
        <v>33045.690604535885</v>
      </c>
      <c r="E347" s="82">
        <f>_xlfn.FORECAST.LINEAR(Table15[[#This Row],[Date]],Table15[Units_Sold],Table15[Date])</f>
        <v>99.452959523838103</v>
      </c>
      <c r="F347" s="138">
        <f>Table15[[#This Row],[Average_Price]]/Table15[[#This Row],[Units_Sold]]</f>
        <v>320.83194761685326</v>
      </c>
      <c r="G347" cm="1">
        <f t="array" ref="G347">_xlfn.IFS(Table15[[#This Row],[Vehicle_Type]]="SUV",250,Table15[[#This Row],[Vehicle_Type]]="Sedan",200,Table15[[#This Row],[Vehicle_Type]]="Hatchback",185,Table15[[#This Row],[Vehicle_Type]]="Electric",190,Table15[[#This Row],[Vehicle_Type]]="Truck",150)</f>
        <v>200</v>
      </c>
      <c r="H347">
        <f t="shared" ca="1" si="10"/>
        <v>21</v>
      </c>
      <c r="I347">
        <f t="shared" ca="1" si="11"/>
        <v>8</v>
      </c>
      <c r="J347" s="81">
        <f ca="1">24/Table15[[#This Row],[Production_Hours]]</f>
        <v>3</v>
      </c>
      <c r="K347" s="82">
        <f ca="1">(Table15[[#This Row],[Daily_Production]]*Table15[[#This Row],[Working_Days]]) -Table15[[#This Row],[Maintenance_Downtime]]</f>
        <v>4197</v>
      </c>
    </row>
    <row r="348" spans="1:11">
      <c r="A348" s="53">
        <v>52385</v>
      </c>
      <c r="B348" s="14" t="s">
        <v>12</v>
      </c>
      <c r="C348" s="14">
        <v>79</v>
      </c>
      <c r="D348" s="14">
        <v>24538.436176637104</v>
      </c>
      <c r="E348" s="82">
        <f>_xlfn.FORECAST.LINEAR(Table15[[#This Row],[Date]],Table15[Units_Sold],Table15[Date])</f>
        <v>99.454561194244775</v>
      </c>
      <c r="F348" s="138">
        <f>Table15[[#This Row],[Average_Price]]/Table15[[#This Row],[Units_Sold]]</f>
        <v>310.61311615996334</v>
      </c>
      <c r="G348" cm="1">
        <f t="array" ref="G348">_xlfn.IFS(Table15[[#This Row],[Vehicle_Type]]="SUV",250,Table15[[#This Row],[Vehicle_Type]]="Sedan",200,Table15[[#This Row],[Vehicle_Type]]="Hatchback",185,Table15[[#This Row],[Vehicle_Type]]="Electric",190,Table15[[#This Row],[Vehicle_Type]]="Truck",150)</f>
        <v>250</v>
      </c>
      <c r="H348">
        <f t="shared" ca="1" si="10"/>
        <v>25</v>
      </c>
      <c r="I348">
        <f t="shared" ca="1" si="11"/>
        <v>10</v>
      </c>
      <c r="J348" s="81">
        <f ca="1">24/Table15[[#This Row],[Production_Hours]]</f>
        <v>2.4</v>
      </c>
      <c r="K348" s="82">
        <f ca="1">(Table15[[#This Row],[Daily_Production]]*Table15[[#This Row],[Working_Days]]) -Table15[[#This Row],[Maintenance_Downtime]]</f>
        <v>6247.6</v>
      </c>
    </row>
    <row r="349" spans="1:11">
      <c r="A349" s="54">
        <v>52415</v>
      </c>
      <c r="B349" s="15" t="s">
        <v>11</v>
      </c>
      <c r="C349" s="15">
        <v>110</v>
      </c>
      <c r="D349" s="15">
        <v>28417.957751525992</v>
      </c>
      <c r="E349" s="82">
        <f>_xlfn.FORECAST.LINEAR(Table15[[#This Row],[Date]],Table15[Units_Sold],Table15[Date])</f>
        <v>99.456162864651461</v>
      </c>
      <c r="F349" s="138">
        <f>Table15[[#This Row],[Average_Price]]/Table15[[#This Row],[Units_Sold]]</f>
        <v>258.3450704684181</v>
      </c>
      <c r="G349" cm="1">
        <f t="array" ref="G349">_xlfn.IFS(Table15[[#This Row],[Vehicle_Type]]="SUV",250,Table15[[#This Row],[Vehicle_Type]]="Sedan",200,Table15[[#This Row],[Vehicle_Type]]="Hatchback",185,Table15[[#This Row],[Vehicle_Type]]="Electric",190,Table15[[#This Row],[Vehicle_Type]]="Truck",150)</f>
        <v>185</v>
      </c>
      <c r="H349">
        <f t="shared" ca="1" si="10"/>
        <v>23</v>
      </c>
      <c r="I349">
        <f t="shared" ca="1" si="11"/>
        <v>10</v>
      </c>
      <c r="J349" s="81">
        <f ca="1">24/Table15[[#This Row],[Production_Hours]]</f>
        <v>2.4</v>
      </c>
      <c r="K349" s="82">
        <f ca="1">(Table15[[#This Row],[Daily_Production]]*Table15[[#This Row],[Working_Days]]) -Table15[[#This Row],[Maintenance_Downtime]]</f>
        <v>4252.6000000000004</v>
      </c>
    </row>
    <row r="350" spans="1:11">
      <c r="A350" s="53">
        <v>52445</v>
      </c>
      <c r="B350" s="14" t="s">
        <v>10</v>
      </c>
      <c r="C350" s="14">
        <v>95</v>
      </c>
      <c r="D350" s="14">
        <v>36065.488499895917</v>
      </c>
      <c r="E350" s="82">
        <f>_xlfn.FORECAST.LINEAR(Table15[[#This Row],[Date]],Table15[Units_Sold],Table15[Date])</f>
        <v>99.457764535058146</v>
      </c>
      <c r="F350" s="138">
        <f>Table15[[#This Row],[Average_Price]]/Table15[[#This Row],[Units_Sold]]</f>
        <v>379.63672105153597</v>
      </c>
      <c r="G350" cm="1">
        <f t="array" ref="G350">_xlfn.IFS(Table15[[#This Row],[Vehicle_Type]]="SUV",250,Table15[[#This Row],[Vehicle_Type]]="Sedan",200,Table15[[#This Row],[Vehicle_Type]]="Hatchback",185,Table15[[#This Row],[Vehicle_Type]]="Electric",190,Table15[[#This Row],[Vehicle_Type]]="Truck",150)</f>
        <v>200</v>
      </c>
      <c r="H350">
        <f t="shared" ca="1" si="10"/>
        <v>21</v>
      </c>
      <c r="I350">
        <f t="shared" ca="1" si="11"/>
        <v>11</v>
      </c>
      <c r="J350" s="81">
        <f ca="1">24/Table15[[#This Row],[Production_Hours]]</f>
        <v>2.1818181818181817</v>
      </c>
      <c r="K350" s="82">
        <f ca="1">(Table15[[#This Row],[Daily_Production]]*Table15[[#This Row],[Working_Days]]) -Table15[[#This Row],[Maintenance_Downtime]]</f>
        <v>4197.818181818182</v>
      </c>
    </row>
    <row r="351" spans="1:11">
      <c r="A351" s="54">
        <v>52475</v>
      </c>
      <c r="B351" s="15" t="s">
        <v>10</v>
      </c>
      <c r="C351" s="15">
        <v>101</v>
      </c>
      <c r="D351" s="15">
        <v>30708.584568199523</v>
      </c>
      <c r="E351" s="82">
        <f>_xlfn.FORECAST.LINEAR(Table15[[#This Row],[Date]],Table15[Units_Sold],Table15[Date])</f>
        <v>99.459366205464832</v>
      </c>
      <c r="F351" s="138">
        <f>Table15[[#This Row],[Average_Price]]/Table15[[#This Row],[Units_Sold]]</f>
        <v>304.04539176435173</v>
      </c>
      <c r="G351" cm="1">
        <f t="array" ref="G351">_xlfn.IFS(Table15[[#This Row],[Vehicle_Type]]="SUV",250,Table15[[#This Row],[Vehicle_Type]]="Sedan",200,Table15[[#This Row],[Vehicle_Type]]="Hatchback",185,Table15[[#This Row],[Vehicle_Type]]="Electric",190,Table15[[#This Row],[Vehicle_Type]]="Truck",150)</f>
        <v>200</v>
      </c>
      <c r="H351">
        <f t="shared" ca="1" si="10"/>
        <v>25</v>
      </c>
      <c r="I351">
        <f t="shared" ca="1" si="11"/>
        <v>9</v>
      </c>
      <c r="J351" s="81">
        <f ca="1">24/Table15[[#This Row],[Production_Hours]]</f>
        <v>2.6666666666666665</v>
      </c>
      <c r="K351" s="82">
        <f ca="1">(Table15[[#This Row],[Daily_Production]]*Table15[[#This Row],[Working_Days]]) -Table15[[#This Row],[Maintenance_Downtime]]</f>
        <v>4997.333333333333</v>
      </c>
    </row>
    <row r="352" spans="1:11">
      <c r="A352" s="53">
        <v>52505</v>
      </c>
      <c r="B352" s="14" t="s">
        <v>13</v>
      </c>
      <c r="C352" s="14">
        <v>95</v>
      </c>
      <c r="D352" s="14">
        <v>41596.64769990847</v>
      </c>
      <c r="E352" s="82">
        <f>_xlfn.FORECAST.LINEAR(Table15[[#This Row],[Date]],Table15[Units_Sold],Table15[Date])</f>
        <v>99.460967875871503</v>
      </c>
      <c r="F352" s="138">
        <f>Table15[[#This Row],[Average_Price]]/Table15[[#This Row],[Units_Sold]]</f>
        <v>437.85944947272071</v>
      </c>
      <c r="G352" cm="1">
        <f t="array" ref="G352">_xlfn.IFS(Table15[[#This Row],[Vehicle_Type]]="SUV",250,Table15[[#This Row],[Vehicle_Type]]="Sedan",200,Table15[[#This Row],[Vehicle_Type]]="Hatchback",185,Table15[[#This Row],[Vehicle_Type]]="Electric",190,Table15[[#This Row],[Vehicle_Type]]="Truck",150)</f>
        <v>190</v>
      </c>
      <c r="H352">
        <f t="shared" ca="1" si="10"/>
        <v>20</v>
      </c>
      <c r="I352">
        <f t="shared" ca="1" si="11"/>
        <v>8</v>
      </c>
      <c r="J352" s="81">
        <f ca="1">24/Table15[[#This Row],[Production_Hours]]</f>
        <v>3</v>
      </c>
      <c r="K352" s="82">
        <f ca="1">(Table15[[#This Row],[Daily_Production]]*Table15[[#This Row],[Working_Days]]) -Table15[[#This Row],[Maintenance_Downtime]]</f>
        <v>3797</v>
      </c>
    </row>
    <row r="353" spans="1:11">
      <c r="A353" s="54">
        <v>52535</v>
      </c>
      <c r="B353" s="15" t="s">
        <v>12</v>
      </c>
      <c r="C353" s="15">
        <v>107</v>
      </c>
      <c r="D353" s="15">
        <v>31966.589196971858</v>
      </c>
      <c r="E353" s="82">
        <f>_xlfn.FORECAST.LINEAR(Table15[[#This Row],[Date]],Table15[Units_Sold],Table15[Date])</f>
        <v>99.462569546278189</v>
      </c>
      <c r="F353" s="138">
        <f>Table15[[#This Row],[Average_Price]]/Table15[[#This Row],[Units_Sold]]</f>
        <v>298.75317006515758</v>
      </c>
      <c r="G353" cm="1">
        <f t="array" ref="G353">_xlfn.IFS(Table15[[#This Row],[Vehicle_Type]]="SUV",250,Table15[[#This Row],[Vehicle_Type]]="Sedan",200,Table15[[#This Row],[Vehicle_Type]]="Hatchback",185,Table15[[#This Row],[Vehicle_Type]]="Electric",190,Table15[[#This Row],[Vehicle_Type]]="Truck",150)</f>
        <v>250</v>
      </c>
      <c r="H353">
        <f t="shared" ca="1" si="10"/>
        <v>25</v>
      </c>
      <c r="I353">
        <f t="shared" ca="1" si="11"/>
        <v>10</v>
      </c>
      <c r="J353" s="81">
        <f ca="1">24/Table15[[#This Row],[Production_Hours]]</f>
        <v>2.4</v>
      </c>
      <c r="K353" s="82">
        <f ca="1">(Table15[[#This Row],[Daily_Production]]*Table15[[#This Row],[Working_Days]]) -Table15[[#This Row],[Maintenance_Downtime]]</f>
        <v>6247.6</v>
      </c>
    </row>
    <row r="354" spans="1:11">
      <c r="A354" s="53">
        <v>52565</v>
      </c>
      <c r="B354" s="14" t="s">
        <v>11</v>
      </c>
      <c r="C354" s="14">
        <v>91</v>
      </c>
      <c r="D354" s="14">
        <v>38106.295579999998</v>
      </c>
      <c r="E354" s="82">
        <f>_xlfn.FORECAST.LINEAR(Table15[[#This Row],[Date]],Table15[Units_Sold],Table15[Date])</f>
        <v>99.464171216684875</v>
      </c>
      <c r="F354" s="138">
        <f>Table15[[#This Row],[Average_Price]]/Table15[[#This Row],[Units_Sold]]</f>
        <v>418.75050087912086</v>
      </c>
      <c r="G354" cm="1">
        <f t="array" ref="G354">_xlfn.IFS(Table15[[#This Row],[Vehicle_Type]]="SUV",250,Table15[[#This Row],[Vehicle_Type]]="Sedan",200,Table15[[#This Row],[Vehicle_Type]]="Hatchback",185,Table15[[#This Row],[Vehicle_Type]]="Electric",190,Table15[[#This Row],[Vehicle_Type]]="Truck",150)</f>
        <v>185</v>
      </c>
      <c r="H354">
        <f t="shared" ca="1" si="10"/>
        <v>25</v>
      </c>
      <c r="I354">
        <f t="shared" ca="1" si="11"/>
        <v>9</v>
      </c>
      <c r="J354" s="81">
        <f ca="1">24/Table15[[#This Row],[Production_Hours]]</f>
        <v>2.6666666666666665</v>
      </c>
      <c r="K354" s="82">
        <f ca="1">(Table15[[#This Row],[Daily_Production]]*Table15[[#This Row],[Working_Days]]) -Table15[[#This Row],[Maintenance_Downtime]]</f>
        <v>4622.333333333333</v>
      </c>
    </row>
    <row r="355" spans="1:11">
      <c r="A355" s="54">
        <v>52595</v>
      </c>
      <c r="B355" s="15" t="s">
        <v>11</v>
      </c>
      <c r="C355" s="15">
        <v>87</v>
      </c>
      <c r="D355" s="15">
        <v>28454.417678987495</v>
      </c>
      <c r="E355" s="82">
        <f>_xlfn.FORECAST.LINEAR(Table15[[#This Row],[Date]],Table15[Units_Sold],Table15[Date])</f>
        <v>99.465772887091546</v>
      </c>
      <c r="F355" s="138">
        <f>Table15[[#This Row],[Average_Price]]/Table15[[#This Row],[Units_Sold]]</f>
        <v>327.06227217227007</v>
      </c>
      <c r="G355" cm="1">
        <f t="array" ref="G355">_xlfn.IFS(Table15[[#This Row],[Vehicle_Type]]="SUV",250,Table15[[#This Row],[Vehicle_Type]]="Sedan",200,Table15[[#This Row],[Vehicle_Type]]="Hatchback",185,Table15[[#This Row],[Vehicle_Type]]="Electric",190,Table15[[#This Row],[Vehicle_Type]]="Truck",150)</f>
        <v>185</v>
      </c>
      <c r="H355">
        <f t="shared" ca="1" si="10"/>
        <v>24</v>
      </c>
      <c r="I355">
        <f t="shared" ca="1" si="11"/>
        <v>8</v>
      </c>
      <c r="J355" s="81">
        <f ca="1">24/Table15[[#This Row],[Production_Hours]]</f>
        <v>3</v>
      </c>
      <c r="K355" s="82">
        <f ca="1">(Table15[[#This Row],[Daily_Production]]*Table15[[#This Row],[Working_Days]]) -Table15[[#This Row],[Maintenance_Downtime]]</f>
        <v>4437</v>
      </c>
    </row>
    <row r="356" spans="1:11">
      <c r="A356" s="53">
        <v>52625</v>
      </c>
      <c r="B356" s="14" t="s">
        <v>13</v>
      </c>
      <c r="C356" s="14">
        <v>100</v>
      </c>
      <c r="D356" s="14">
        <v>30667.704523911412</v>
      </c>
      <c r="E356" s="82">
        <f>_xlfn.FORECAST.LINEAR(Table15[[#This Row],[Date]],Table15[Units_Sold],Table15[Date])</f>
        <v>99.467374557498232</v>
      </c>
      <c r="F356" s="138">
        <f>Table15[[#This Row],[Average_Price]]/Table15[[#This Row],[Units_Sold]]</f>
        <v>306.67704523911414</v>
      </c>
      <c r="G356" cm="1">
        <f t="array" ref="G356">_xlfn.IFS(Table15[[#This Row],[Vehicle_Type]]="SUV",250,Table15[[#This Row],[Vehicle_Type]]="Sedan",200,Table15[[#This Row],[Vehicle_Type]]="Hatchback",185,Table15[[#This Row],[Vehicle_Type]]="Electric",190,Table15[[#This Row],[Vehicle_Type]]="Truck",150)</f>
        <v>190</v>
      </c>
      <c r="H356">
        <f t="shared" ca="1" si="10"/>
        <v>25</v>
      </c>
      <c r="I356">
        <f t="shared" ca="1" si="11"/>
        <v>9</v>
      </c>
      <c r="J356" s="81">
        <f ca="1">24/Table15[[#This Row],[Production_Hours]]</f>
        <v>2.6666666666666665</v>
      </c>
      <c r="K356" s="82">
        <f ca="1">(Table15[[#This Row],[Daily_Production]]*Table15[[#This Row],[Working_Days]]) -Table15[[#This Row],[Maintenance_Downtime]]</f>
        <v>4747.333333333333</v>
      </c>
    </row>
    <row r="357" spans="1:11">
      <c r="A357" s="54">
        <v>52655</v>
      </c>
      <c r="B357" s="15" t="s">
        <v>12</v>
      </c>
      <c r="C357" s="15">
        <v>117</v>
      </c>
      <c r="D357" s="15">
        <v>29237.650818097281</v>
      </c>
      <c r="E357" s="82">
        <f>_xlfn.FORECAST.LINEAR(Table15[[#This Row],[Date]],Table15[Units_Sold],Table15[Date])</f>
        <v>99.468976227904918</v>
      </c>
      <c r="F357" s="138">
        <f>Table15[[#This Row],[Average_Price]]/Table15[[#This Row],[Units_Sold]]</f>
        <v>249.8944514367289</v>
      </c>
      <c r="G357" cm="1">
        <f t="array" ref="G357">_xlfn.IFS(Table15[[#This Row],[Vehicle_Type]]="SUV",250,Table15[[#This Row],[Vehicle_Type]]="Sedan",200,Table15[[#This Row],[Vehicle_Type]]="Hatchback",185,Table15[[#This Row],[Vehicle_Type]]="Electric",190,Table15[[#This Row],[Vehicle_Type]]="Truck",150)</f>
        <v>250</v>
      </c>
      <c r="H357">
        <f t="shared" ca="1" si="10"/>
        <v>21</v>
      </c>
      <c r="I357">
        <f t="shared" ca="1" si="11"/>
        <v>11</v>
      </c>
      <c r="J357" s="81">
        <f ca="1">24/Table15[[#This Row],[Production_Hours]]</f>
        <v>2.1818181818181817</v>
      </c>
      <c r="K357" s="82">
        <f ca="1">(Table15[[#This Row],[Daily_Production]]*Table15[[#This Row],[Working_Days]]) -Table15[[#This Row],[Maintenance_Downtime]]</f>
        <v>5247.818181818182</v>
      </c>
    </row>
    <row r="358" spans="1:11">
      <c r="A358" s="53">
        <v>52685</v>
      </c>
      <c r="B358" s="14" t="s">
        <v>11</v>
      </c>
      <c r="C358" s="14">
        <v>102</v>
      </c>
      <c r="D358" s="14">
        <v>38106.295579999998</v>
      </c>
      <c r="E358" s="82">
        <f>_xlfn.FORECAST.LINEAR(Table15[[#This Row],[Date]],Table15[Units_Sold],Table15[Date])</f>
        <v>99.470577898311603</v>
      </c>
      <c r="F358" s="138">
        <f>Table15[[#This Row],[Average_Price]]/Table15[[#This Row],[Units_Sold]]</f>
        <v>373.59113313725487</v>
      </c>
      <c r="G358" cm="1">
        <f t="array" ref="G358">_xlfn.IFS(Table15[[#This Row],[Vehicle_Type]]="SUV",250,Table15[[#This Row],[Vehicle_Type]]="Sedan",200,Table15[[#This Row],[Vehicle_Type]]="Hatchback",185,Table15[[#This Row],[Vehicle_Type]]="Electric",190,Table15[[#This Row],[Vehicle_Type]]="Truck",150)</f>
        <v>185</v>
      </c>
      <c r="H358">
        <f t="shared" ca="1" si="10"/>
        <v>22</v>
      </c>
      <c r="I358">
        <f t="shared" ca="1" si="11"/>
        <v>10</v>
      </c>
      <c r="J358" s="81">
        <f ca="1">24/Table15[[#This Row],[Production_Hours]]</f>
        <v>2.4</v>
      </c>
      <c r="K358" s="82">
        <f ca="1">(Table15[[#This Row],[Daily_Production]]*Table15[[#This Row],[Working_Days]]) -Table15[[#This Row],[Maintenance_Downtime]]</f>
        <v>4067.6</v>
      </c>
    </row>
    <row r="359" spans="1:11">
      <c r="A359" s="54">
        <v>52715</v>
      </c>
      <c r="B359" s="15" t="s">
        <v>12</v>
      </c>
      <c r="C359" s="15">
        <v>88</v>
      </c>
      <c r="D359" s="15">
        <v>34783.511583972919</v>
      </c>
      <c r="E359" s="82">
        <f>_xlfn.FORECAST.LINEAR(Table15[[#This Row],[Date]],Table15[Units_Sold],Table15[Date])</f>
        <v>99.472179568718275</v>
      </c>
      <c r="F359" s="138">
        <f>Table15[[#This Row],[Average_Price]]/Table15[[#This Row],[Units_Sold]]</f>
        <v>395.26717709060136</v>
      </c>
      <c r="G359" cm="1">
        <f t="array" ref="G359">_xlfn.IFS(Table15[[#This Row],[Vehicle_Type]]="SUV",250,Table15[[#This Row],[Vehicle_Type]]="Sedan",200,Table15[[#This Row],[Vehicle_Type]]="Hatchback",185,Table15[[#This Row],[Vehicle_Type]]="Electric",190,Table15[[#This Row],[Vehicle_Type]]="Truck",150)</f>
        <v>250</v>
      </c>
      <c r="H359">
        <f t="shared" ca="1" si="10"/>
        <v>22</v>
      </c>
      <c r="I359">
        <f t="shared" ca="1" si="11"/>
        <v>12</v>
      </c>
      <c r="J359" s="81">
        <f ca="1">24/Table15[[#This Row],[Production_Hours]]</f>
        <v>2</v>
      </c>
      <c r="K359" s="82">
        <f ca="1">(Table15[[#This Row],[Daily_Production]]*Table15[[#This Row],[Working_Days]]) -Table15[[#This Row],[Maintenance_Downtime]]</f>
        <v>5498</v>
      </c>
    </row>
    <row r="360" spans="1:11">
      <c r="A360" s="53">
        <v>52745</v>
      </c>
      <c r="B360" s="14" t="s">
        <v>11</v>
      </c>
      <c r="C360" s="14">
        <v>100</v>
      </c>
      <c r="D360" s="14">
        <v>26070.052697460254</v>
      </c>
      <c r="E360" s="82">
        <f>_xlfn.FORECAST.LINEAR(Table15[[#This Row],[Date]],Table15[Units_Sold],Table15[Date])</f>
        <v>99.473781239124961</v>
      </c>
      <c r="F360" s="138">
        <f>Table15[[#This Row],[Average_Price]]/Table15[[#This Row],[Units_Sold]]</f>
        <v>260.70052697460255</v>
      </c>
      <c r="G360" cm="1">
        <f t="array" ref="G360">_xlfn.IFS(Table15[[#This Row],[Vehicle_Type]]="SUV",250,Table15[[#This Row],[Vehicle_Type]]="Sedan",200,Table15[[#This Row],[Vehicle_Type]]="Hatchback",185,Table15[[#This Row],[Vehicle_Type]]="Electric",190,Table15[[#This Row],[Vehicle_Type]]="Truck",150)</f>
        <v>185</v>
      </c>
      <c r="H360">
        <f t="shared" ca="1" si="10"/>
        <v>24</v>
      </c>
      <c r="I360">
        <f t="shared" ca="1" si="11"/>
        <v>9</v>
      </c>
      <c r="J360" s="81">
        <f ca="1">24/Table15[[#This Row],[Production_Hours]]</f>
        <v>2.6666666666666665</v>
      </c>
      <c r="K360" s="82">
        <f ca="1">(Table15[[#This Row],[Daily_Production]]*Table15[[#This Row],[Working_Days]]) -Table15[[#This Row],[Maintenance_Downtime]]</f>
        <v>4437.333333333333</v>
      </c>
    </row>
    <row r="361" spans="1:11">
      <c r="A361" s="54">
        <v>52775</v>
      </c>
      <c r="B361" s="15" t="s">
        <v>13</v>
      </c>
      <c r="C361" s="15">
        <v>81</v>
      </c>
      <c r="D361" s="15">
        <v>23343.83523221111</v>
      </c>
      <c r="E361" s="82">
        <f>_xlfn.FORECAST.LINEAR(Table15[[#This Row],[Date]],Table15[Units_Sold],Table15[Date])</f>
        <v>99.475382909531646</v>
      </c>
      <c r="F361" s="138">
        <f>Table15[[#This Row],[Average_Price]]/Table15[[#This Row],[Units_Sold]]</f>
        <v>288.19549669396429</v>
      </c>
      <c r="G361" cm="1">
        <f t="array" ref="G361">_xlfn.IFS(Table15[[#This Row],[Vehicle_Type]]="SUV",250,Table15[[#This Row],[Vehicle_Type]]="Sedan",200,Table15[[#This Row],[Vehicle_Type]]="Hatchback",185,Table15[[#This Row],[Vehicle_Type]]="Electric",190,Table15[[#This Row],[Vehicle_Type]]="Truck",150)</f>
        <v>190</v>
      </c>
      <c r="H361">
        <f t="shared" ca="1" si="10"/>
        <v>21</v>
      </c>
      <c r="I361">
        <f t="shared" ca="1" si="11"/>
        <v>9</v>
      </c>
      <c r="J361" s="81">
        <f ca="1">24/Table15[[#This Row],[Production_Hours]]</f>
        <v>2.6666666666666665</v>
      </c>
      <c r="K361" s="82">
        <f ca="1">(Table15[[#This Row],[Daily_Production]]*Table15[[#This Row],[Working_Days]]) -Table15[[#This Row],[Maintenance_Downtime]]</f>
        <v>3987.3333333333335</v>
      </c>
    </row>
    <row r="362" spans="1:11">
      <c r="A362" s="53">
        <v>52805</v>
      </c>
      <c r="B362" s="14" t="s">
        <v>14</v>
      </c>
      <c r="C362" s="14">
        <v>91</v>
      </c>
      <c r="D362" s="14">
        <v>20818.973134483516</v>
      </c>
      <c r="E362" s="82">
        <f>_xlfn.FORECAST.LINEAR(Table15[[#This Row],[Date]],Table15[Units_Sold],Table15[Date])</f>
        <v>99.476984579938318</v>
      </c>
      <c r="F362" s="138">
        <f>Table15[[#This Row],[Average_Price]]/Table15[[#This Row],[Units_Sold]]</f>
        <v>228.77992455476391</v>
      </c>
      <c r="G362" cm="1">
        <f t="array" ref="G362">_xlfn.IFS(Table15[[#This Row],[Vehicle_Type]]="SUV",250,Table15[[#This Row],[Vehicle_Type]]="Sedan",200,Table15[[#This Row],[Vehicle_Type]]="Hatchback",185,Table15[[#This Row],[Vehicle_Type]]="Electric",190,Table15[[#This Row],[Vehicle_Type]]="Truck",150)</f>
        <v>150</v>
      </c>
      <c r="H362">
        <f t="shared" ca="1" si="10"/>
        <v>25</v>
      </c>
      <c r="I362">
        <f t="shared" ca="1" si="11"/>
        <v>9</v>
      </c>
      <c r="J362" s="81">
        <f ca="1">24/Table15[[#This Row],[Production_Hours]]</f>
        <v>2.6666666666666665</v>
      </c>
      <c r="K362" s="82">
        <f ca="1">(Table15[[#This Row],[Daily_Production]]*Table15[[#This Row],[Working_Days]]) -Table15[[#This Row],[Maintenance_Downtime]]</f>
        <v>3747.3333333333335</v>
      </c>
    </row>
    <row r="363" spans="1:11">
      <c r="A363" s="54">
        <v>52835</v>
      </c>
      <c r="B363" s="15" t="s">
        <v>11</v>
      </c>
      <c r="C363" s="15">
        <v>90</v>
      </c>
      <c r="D363" s="15">
        <v>32539.956634562717</v>
      </c>
      <c r="E363" s="82">
        <f>_xlfn.FORECAST.LINEAR(Table15[[#This Row],[Date]],Table15[Units_Sold],Table15[Date])</f>
        <v>99.478586250345003</v>
      </c>
      <c r="F363" s="138">
        <f>Table15[[#This Row],[Average_Price]]/Table15[[#This Row],[Units_Sold]]</f>
        <v>361.55507371736354</v>
      </c>
      <c r="G363" cm="1">
        <f t="array" ref="G363">_xlfn.IFS(Table15[[#This Row],[Vehicle_Type]]="SUV",250,Table15[[#This Row],[Vehicle_Type]]="Sedan",200,Table15[[#This Row],[Vehicle_Type]]="Hatchback",185,Table15[[#This Row],[Vehicle_Type]]="Electric",190,Table15[[#This Row],[Vehicle_Type]]="Truck",150)</f>
        <v>185</v>
      </c>
      <c r="H363">
        <f t="shared" ca="1" si="10"/>
        <v>24</v>
      </c>
      <c r="I363">
        <f t="shared" ca="1" si="11"/>
        <v>12</v>
      </c>
      <c r="J363" s="81">
        <f ca="1">24/Table15[[#This Row],[Production_Hours]]</f>
        <v>2</v>
      </c>
      <c r="K363" s="82">
        <f ca="1">(Table15[[#This Row],[Daily_Production]]*Table15[[#This Row],[Working_Days]]) -Table15[[#This Row],[Maintenance_Downtime]]</f>
        <v>4438</v>
      </c>
    </row>
    <row r="364" spans="1:11">
      <c r="A364" s="53">
        <v>52865</v>
      </c>
      <c r="B364" s="14" t="s">
        <v>10</v>
      </c>
      <c r="C364" s="14">
        <v>102</v>
      </c>
      <c r="D364" s="14">
        <v>24483.166969130631</v>
      </c>
      <c r="E364" s="82">
        <f>_xlfn.FORECAST.LINEAR(Table15[[#This Row],[Date]],Table15[Units_Sold],Table15[Date])</f>
        <v>99.480187920751689</v>
      </c>
      <c r="F364" s="138">
        <f>Table15[[#This Row],[Average_Price]]/Table15[[#This Row],[Units_Sold]]</f>
        <v>240.03104871696698</v>
      </c>
      <c r="G364" cm="1">
        <f t="array" ref="G364">_xlfn.IFS(Table15[[#This Row],[Vehicle_Type]]="SUV",250,Table15[[#This Row],[Vehicle_Type]]="Sedan",200,Table15[[#This Row],[Vehicle_Type]]="Hatchback",185,Table15[[#This Row],[Vehicle_Type]]="Electric",190,Table15[[#This Row],[Vehicle_Type]]="Truck",150)</f>
        <v>200</v>
      </c>
      <c r="H364">
        <f t="shared" ca="1" si="10"/>
        <v>23</v>
      </c>
      <c r="I364">
        <f t="shared" ca="1" si="11"/>
        <v>12</v>
      </c>
      <c r="J364" s="81">
        <f ca="1">24/Table15[[#This Row],[Production_Hours]]</f>
        <v>2</v>
      </c>
      <c r="K364" s="82">
        <f ca="1">(Table15[[#This Row],[Daily_Production]]*Table15[[#This Row],[Working_Days]]) -Table15[[#This Row],[Maintenance_Downtime]]</f>
        <v>4598</v>
      </c>
    </row>
    <row r="365" spans="1:11">
      <c r="A365" s="54">
        <v>52895</v>
      </c>
      <c r="B365" s="15" t="s">
        <v>10</v>
      </c>
      <c r="C365" s="15">
        <v>109</v>
      </c>
      <c r="D365" s="15">
        <v>19235.547035237585</v>
      </c>
      <c r="E365" s="82">
        <f>_xlfn.FORECAST.LINEAR(Table15[[#This Row],[Date]],Table15[Units_Sold],Table15[Date])</f>
        <v>99.481789591158375</v>
      </c>
      <c r="F365" s="138">
        <f>Table15[[#This Row],[Average_Price]]/Table15[[#This Row],[Units_Sold]]</f>
        <v>176.47290858016135</v>
      </c>
      <c r="G365" cm="1">
        <f t="array" ref="G365">_xlfn.IFS(Table15[[#This Row],[Vehicle_Type]]="SUV",250,Table15[[#This Row],[Vehicle_Type]]="Sedan",200,Table15[[#This Row],[Vehicle_Type]]="Hatchback",185,Table15[[#This Row],[Vehicle_Type]]="Electric",190,Table15[[#This Row],[Vehicle_Type]]="Truck",150)</f>
        <v>200</v>
      </c>
      <c r="H365">
        <f t="shared" ca="1" si="10"/>
        <v>22</v>
      </c>
      <c r="I365">
        <f t="shared" ca="1" si="11"/>
        <v>12</v>
      </c>
      <c r="J365" s="81">
        <f ca="1">24/Table15[[#This Row],[Production_Hours]]</f>
        <v>2</v>
      </c>
      <c r="K365" s="82">
        <f ca="1">(Table15[[#This Row],[Daily_Production]]*Table15[[#This Row],[Working_Days]]) -Table15[[#This Row],[Maintenance_Downtime]]</f>
        <v>4398</v>
      </c>
    </row>
    <row r="366" spans="1:11">
      <c r="A366" s="53">
        <v>52925</v>
      </c>
      <c r="B366" s="14" t="s">
        <v>14</v>
      </c>
      <c r="C366" s="14">
        <v>101</v>
      </c>
      <c r="D366" s="14">
        <v>31942.893022654822</v>
      </c>
      <c r="E366" s="82">
        <f>_xlfn.FORECAST.LINEAR(Table15[[#This Row],[Date]],Table15[Units_Sold],Table15[Date])</f>
        <v>99.483391261565046</v>
      </c>
      <c r="F366" s="138">
        <f>Table15[[#This Row],[Average_Price]]/Table15[[#This Row],[Units_Sold]]</f>
        <v>316.26626755103786</v>
      </c>
      <c r="G366" cm="1">
        <f t="array" ref="G366">_xlfn.IFS(Table15[[#This Row],[Vehicle_Type]]="SUV",250,Table15[[#This Row],[Vehicle_Type]]="Sedan",200,Table15[[#This Row],[Vehicle_Type]]="Hatchback",185,Table15[[#This Row],[Vehicle_Type]]="Electric",190,Table15[[#This Row],[Vehicle_Type]]="Truck",150)</f>
        <v>150</v>
      </c>
      <c r="H366">
        <f t="shared" ca="1" si="10"/>
        <v>20</v>
      </c>
      <c r="I366">
        <f t="shared" ca="1" si="11"/>
        <v>8</v>
      </c>
      <c r="J366" s="81">
        <f ca="1">24/Table15[[#This Row],[Production_Hours]]</f>
        <v>3</v>
      </c>
      <c r="K366" s="82">
        <f ca="1">(Table15[[#This Row],[Daily_Production]]*Table15[[#This Row],[Working_Days]]) -Table15[[#This Row],[Maintenance_Downtime]]</f>
        <v>2997</v>
      </c>
    </row>
    <row r="367" spans="1:11">
      <c r="A367" s="54">
        <v>52955</v>
      </c>
      <c r="B367" s="15" t="s">
        <v>11</v>
      </c>
      <c r="C367" s="15">
        <v>97</v>
      </c>
      <c r="D367" s="15">
        <v>42464.997587163954</v>
      </c>
      <c r="E367" s="82">
        <f>_xlfn.FORECAST.LINEAR(Table15[[#This Row],[Date]],Table15[Units_Sold],Table15[Date])</f>
        <v>99.484992931971732</v>
      </c>
      <c r="F367" s="138">
        <f>Table15[[#This Row],[Average_Price]]/Table15[[#This Row],[Units_Sold]]</f>
        <v>437.78348028004075</v>
      </c>
      <c r="G367" cm="1">
        <f t="array" ref="G367">_xlfn.IFS(Table15[[#This Row],[Vehicle_Type]]="SUV",250,Table15[[#This Row],[Vehicle_Type]]="Sedan",200,Table15[[#This Row],[Vehicle_Type]]="Hatchback",185,Table15[[#This Row],[Vehicle_Type]]="Electric",190,Table15[[#This Row],[Vehicle_Type]]="Truck",150)</f>
        <v>185</v>
      </c>
      <c r="H367">
        <f t="shared" ca="1" si="10"/>
        <v>22</v>
      </c>
      <c r="I367">
        <f t="shared" ca="1" si="11"/>
        <v>10</v>
      </c>
      <c r="J367" s="81">
        <f ca="1">24/Table15[[#This Row],[Production_Hours]]</f>
        <v>2.4</v>
      </c>
      <c r="K367" s="82">
        <f ca="1">(Table15[[#This Row],[Daily_Production]]*Table15[[#This Row],[Working_Days]]) -Table15[[#This Row],[Maintenance_Downtime]]</f>
        <v>4067.6</v>
      </c>
    </row>
    <row r="368" spans="1:11">
      <c r="A368" s="53">
        <v>52985</v>
      </c>
      <c r="B368" s="14" t="s">
        <v>10</v>
      </c>
      <c r="C368" s="14">
        <v>88</v>
      </c>
      <c r="D368" s="14">
        <v>29969.645442300534</v>
      </c>
      <c r="E368" s="82">
        <f>_xlfn.FORECAST.LINEAR(Table15[[#This Row],[Date]],Table15[Units_Sold],Table15[Date])</f>
        <v>99.486594602378418</v>
      </c>
      <c r="F368" s="138">
        <f>Table15[[#This Row],[Average_Price]]/Table15[[#This Row],[Units_Sold]]</f>
        <v>340.56415275341516</v>
      </c>
      <c r="G368" cm="1">
        <f t="array" ref="G368">_xlfn.IFS(Table15[[#This Row],[Vehicle_Type]]="SUV",250,Table15[[#This Row],[Vehicle_Type]]="Sedan",200,Table15[[#This Row],[Vehicle_Type]]="Hatchback",185,Table15[[#This Row],[Vehicle_Type]]="Electric",190,Table15[[#This Row],[Vehicle_Type]]="Truck",150)</f>
        <v>200</v>
      </c>
      <c r="H368">
        <f t="shared" ca="1" si="10"/>
        <v>25</v>
      </c>
      <c r="I368">
        <f t="shared" ca="1" si="11"/>
        <v>9</v>
      </c>
      <c r="J368" s="81">
        <f ca="1">24/Table15[[#This Row],[Production_Hours]]</f>
        <v>2.6666666666666665</v>
      </c>
      <c r="K368" s="82">
        <f ca="1">(Table15[[#This Row],[Daily_Production]]*Table15[[#This Row],[Working_Days]]) -Table15[[#This Row],[Maintenance_Downtime]]</f>
        <v>4997.333333333333</v>
      </c>
    </row>
    <row r="369" spans="1:11">
      <c r="A369" s="54">
        <v>53015</v>
      </c>
      <c r="B369" s="15" t="s">
        <v>10</v>
      </c>
      <c r="C369" s="15">
        <v>100</v>
      </c>
      <c r="D369" s="15">
        <v>34192.453872258207</v>
      </c>
      <c r="E369" s="82">
        <f>_xlfn.FORECAST.LINEAR(Table15[[#This Row],[Date]],Table15[Units_Sold],Table15[Date])</f>
        <v>99.488196272785089</v>
      </c>
      <c r="F369" s="138">
        <f>Table15[[#This Row],[Average_Price]]/Table15[[#This Row],[Units_Sold]]</f>
        <v>341.9245387225821</v>
      </c>
      <c r="G369" cm="1">
        <f t="array" ref="G369">_xlfn.IFS(Table15[[#This Row],[Vehicle_Type]]="SUV",250,Table15[[#This Row],[Vehicle_Type]]="Sedan",200,Table15[[#This Row],[Vehicle_Type]]="Hatchback",185,Table15[[#This Row],[Vehicle_Type]]="Electric",190,Table15[[#This Row],[Vehicle_Type]]="Truck",150)</f>
        <v>200</v>
      </c>
      <c r="H369">
        <f t="shared" ca="1" si="10"/>
        <v>22</v>
      </c>
      <c r="I369">
        <f t="shared" ca="1" si="11"/>
        <v>11</v>
      </c>
      <c r="J369" s="81">
        <f ca="1">24/Table15[[#This Row],[Production_Hours]]</f>
        <v>2.1818181818181817</v>
      </c>
      <c r="K369" s="82">
        <f ca="1">(Table15[[#This Row],[Daily_Production]]*Table15[[#This Row],[Working_Days]]) -Table15[[#This Row],[Maintenance_Downtime]]</f>
        <v>4397.818181818182</v>
      </c>
    </row>
    <row r="370" spans="1:11">
      <c r="A370" s="53">
        <v>53045</v>
      </c>
      <c r="B370" s="14" t="s">
        <v>11</v>
      </c>
      <c r="C370" s="14">
        <v>104</v>
      </c>
      <c r="D370" s="14">
        <v>30409.146792737825</v>
      </c>
      <c r="E370" s="82">
        <f>_xlfn.FORECAST.LINEAR(Table15[[#This Row],[Date]],Table15[Units_Sold],Table15[Date])</f>
        <v>99.489797943191775</v>
      </c>
      <c r="F370" s="138">
        <f>Table15[[#This Row],[Average_Price]]/Table15[[#This Row],[Units_Sold]]</f>
        <v>292.39564223786368</v>
      </c>
      <c r="G370" cm="1">
        <f t="array" ref="G370">_xlfn.IFS(Table15[[#This Row],[Vehicle_Type]]="SUV",250,Table15[[#This Row],[Vehicle_Type]]="Sedan",200,Table15[[#This Row],[Vehicle_Type]]="Hatchback",185,Table15[[#This Row],[Vehicle_Type]]="Electric",190,Table15[[#This Row],[Vehicle_Type]]="Truck",150)</f>
        <v>185</v>
      </c>
      <c r="H370">
        <f t="shared" ca="1" si="10"/>
        <v>22</v>
      </c>
      <c r="I370">
        <f t="shared" ca="1" si="11"/>
        <v>8</v>
      </c>
      <c r="J370" s="81">
        <f ca="1">24/Table15[[#This Row],[Production_Hours]]</f>
        <v>3</v>
      </c>
      <c r="K370" s="82">
        <f ca="1">(Table15[[#This Row],[Daily_Production]]*Table15[[#This Row],[Working_Days]]) -Table15[[#This Row],[Maintenance_Downtime]]</f>
        <v>4067</v>
      </c>
    </row>
    <row r="371" spans="1:11">
      <c r="A371" s="54">
        <v>53075</v>
      </c>
      <c r="B371" s="15" t="s">
        <v>12</v>
      </c>
      <c r="C371" s="15">
        <v>106</v>
      </c>
      <c r="D371" s="15">
        <v>29505.551734044286</v>
      </c>
      <c r="E371" s="82">
        <f>_xlfn.FORECAST.LINEAR(Table15[[#This Row],[Date]],Table15[Units_Sold],Table15[Date])</f>
        <v>99.49139961359846</v>
      </c>
      <c r="F371" s="138">
        <f>Table15[[#This Row],[Average_Price]]/Table15[[#This Row],[Units_Sold]]</f>
        <v>278.35426164192722</v>
      </c>
      <c r="G371" cm="1">
        <f t="array" ref="G371">_xlfn.IFS(Table15[[#This Row],[Vehicle_Type]]="SUV",250,Table15[[#This Row],[Vehicle_Type]]="Sedan",200,Table15[[#This Row],[Vehicle_Type]]="Hatchback",185,Table15[[#This Row],[Vehicle_Type]]="Electric",190,Table15[[#This Row],[Vehicle_Type]]="Truck",150)</f>
        <v>250</v>
      </c>
      <c r="H371">
        <f t="shared" ca="1" si="10"/>
        <v>22</v>
      </c>
      <c r="I371">
        <f t="shared" ca="1" si="11"/>
        <v>8</v>
      </c>
      <c r="J371" s="81">
        <f ca="1">24/Table15[[#This Row],[Production_Hours]]</f>
        <v>3</v>
      </c>
      <c r="K371" s="82">
        <f ca="1">(Table15[[#This Row],[Daily_Production]]*Table15[[#This Row],[Working_Days]]) -Table15[[#This Row],[Maintenance_Downtime]]</f>
        <v>5497</v>
      </c>
    </row>
    <row r="372" spans="1:11">
      <c r="A372" s="53">
        <v>53105</v>
      </c>
      <c r="B372" s="14" t="s">
        <v>11</v>
      </c>
      <c r="C372" s="14">
        <v>91</v>
      </c>
      <c r="D372" s="14">
        <v>34595.382414938846</v>
      </c>
      <c r="E372" s="82">
        <f>_xlfn.FORECAST.LINEAR(Table15[[#This Row],[Date]],Table15[Units_Sold],Table15[Date])</f>
        <v>99.493001284005146</v>
      </c>
      <c r="F372" s="138">
        <f>Table15[[#This Row],[Average_Price]]/Table15[[#This Row],[Units_Sold]]</f>
        <v>380.16903752680048</v>
      </c>
      <c r="G372" cm="1">
        <f t="array" ref="G372">_xlfn.IFS(Table15[[#This Row],[Vehicle_Type]]="SUV",250,Table15[[#This Row],[Vehicle_Type]]="Sedan",200,Table15[[#This Row],[Vehicle_Type]]="Hatchback",185,Table15[[#This Row],[Vehicle_Type]]="Electric",190,Table15[[#This Row],[Vehicle_Type]]="Truck",150)</f>
        <v>185</v>
      </c>
      <c r="H372">
        <f t="shared" ca="1" si="10"/>
        <v>20</v>
      </c>
      <c r="I372">
        <f t="shared" ca="1" si="11"/>
        <v>8</v>
      </c>
      <c r="J372" s="81">
        <f ca="1">24/Table15[[#This Row],[Production_Hours]]</f>
        <v>3</v>
      </c>
      <c r="K372" s="82">
        <f ca="1">(Table15[[#This Row],[Daily_Production]]*Table15[[#This Row],[Working_Days]]) -Table15[[#This Row],[Maintenance_Downtime]]</f>
        <v>3697</v>
      </c>
    </row>
    <row r="373" spans="1:11">
      <c r="A373" s="54">
        <v>53135</v>
      </c>
      <c r="B373" s="15" t="s">
        <v>12</v>
      </c>
      <c r="C373" s="15">
        <v>110</v>
      </c>
      <c r="D373" s="15">
        <v>28548.627279056742</v>
      </c>
      <c r="E373" s="82">
        <f>_xlfn.FORECAST.LINEAR(Table15[[#This Row],[Date]],Table15[Units_Sold],Table15[Date])</f>
        <v>99.494602954411818</v>
      </c>
      <c r="F373" s="138">
        <f>Table15[[#This Row],[Average_Price]]/Table15[[#This Row],[Units_Sold]]</f>
        <v>259.53297526415218</v>
      </c>
      <c r="G373" cm="1">
        <f t="array" ref="G373">_xlfn.IFS(Table15[[#This Row],[Vehicle_Type]]="SUV",250,Table15[[#This Row],[Vehicle_Type]]="Sedan",200,Table15[[#This Row],[Vehicle_Type]]="Hatchback",185,Table15[[#This Row],[Vehicle_Type]]="Electric",190,Table15[[#This Row],[Vehicle_Type]]="Truck",150)</f>
        <v>250</v>
      </c>
      <c r="H373">
        <f t="shared" ca="1" si="10"/>
        <v>21</v>
      </c>
      <c r="I373">
        <f t="shared" ca="1" si="11"/>
        <v>8</v>
      </c>
      <c r="J373" s="81">
        <f ca="1">24/Table15[[#This Row],[Production_Hours]]</f>
        <v>3</v>
      </c>
      <c r="K373" s="82">
        <f ca="1">(Table15[[#This Row],[Daily_Production]]*Table15[[#This Row],[Working_Days]]) -Table15[[#This Row],[Maintenance_Downtime]]</f>
        <v>5247</v>
      </c>
    </row>
    <row r="374" spans="1:11">
      <c r="A374" s="53">
        <v>53165</v>
      </c>
      <c r="B374" s="14" t="s">
        <v>14</v>
      </c>
      <c r="C374" s="14">
        <v>104</v>
      </c>
      <c r="D374" s="14">
        <v>31336.961570359515</v>
      </c>
      <c r="E374" s="82">
        <f>_xlfn.FORECAST.LINEAR(Table15[[#This Row],[Date]],Table15[Units_Sold],Table15[Date])</f>
        <v>99.496204624818503</v>
      </c>
      <c r="F374" s="138">
        <f>Table15[[#This Row],[Average_Price]]/Table15[[#This Row],[Units_Sold]]</f>
        <v>301.31693817653382</v>
      </c>
      <c r="G374" cm="1">
        <f t="array" ref="G374">_xlfn.IFS(Table15[[#This Row],[Vehicle_Type]]="SUV",250,Table15[[#This Row],[Vehicle_Type]]="Sedan",200,Table15[[#This Row],[Vehicle_Type]]="Hatchback",185,Table15[[#This Row],[Vehicle_Type]]="Electric",190,Table15[[#This Row],[Vehicle_Type]]="Truck",150)</f>
        <v>150</v>
      </c>
      <c r="H374">
        <f t="shared" ca="1" si="10"/>
        <v>25</v>
      </c>
      <c r="I374">
        <f t="shared" ca="1" si="11"/>
        <v>12</v>
      </c>
      <c r="J374" s="81">
        <f ca="1">24/Table15[[#This Row],[Production_Hours]]</f>
        <v>2</v>
      </c>
      <c r="K374" s="82">
        <f ca="1">(Table15[[#This Row],[Daily_Production]]*Table15[[#This Row],[Working_Days]]) -Table15[[#This Row],[Maintenance_Downtime]]</f>
        <v>3748</v>
      </c>
    </row>
    <row r="375" spans="1:11">
      <c r="A375" s="54">
        <v>53195</v>
      </c>
      <c r="B375" s="15" t="s">
        <v>13</v>
      </c>
      <c r="C375" s="15">
        <v>85</v>
      </c>
      <c r="D375" s="15">
        <v>31608.489030980068</v>
      </c>
      <c r="E375" s="82">
        <f>_xlfn.FORECAST.LINEAR(Table15[[#This Row],[Date]],Table15[Units_Sold],Table15[Date])</f>
        <v>99.497806295225189</v>
      </c>
      <c r="F375" s="138">
        <f>Table15[[#This Row],[Average_Price]]/Table15[[#This Row],[Units_Sold]]</f>
        <v>371.86457683505961</v>
      </c>
      <c r="G375" cm="1">
        <f t="array" ref="G375">_xlfn.IFS(Table15[[#This Row],[Vehicle_Type]]="SUV",250,Table15[[#This Row],[Vehicle_Type]]="Sedan",200,Table15[[#This Row],[Vehicle_Type]]="Hatchback",185,Table15[[#This Row],[Vehicle_Type]]="Electric",190,Table15[[#This Row],[Vehicle_Type]]="Truck",150)</f>
        <v>190</v>
      </c>
      <c r="H375">
        <f t="shared" ca="1" si="10"/>
        <v>20</v>
      </c>
      <c r="I375">
        <f t="shared" ca="1" si="11"/>
        <v>11</v>
      </c>
      <c r="J375" s="81">
        <f ca="1">24/Table15[[#This Row],[Production_Hours]]</f>
        <v>2.1818181818181817</v>
      </c>
      <c r="K375" s="82">
        <f ca="1">(Table15[[#This Row],[Daily_Production]]*Table15[[#This Row],[Working_Days]]) -Table15[[#This Row],[Maintenance_Downtime]]</f>
        <v>3797.818181818182</v>
      </c>
    </row>
    <row r="376" spans="1:11">
      <c r="A376" s="53">
        <v>53225</v>
      </c>
      <c r="B376" s="14" t="s">
        <v>14</v>
      </c>
      <c r="C376" s="14">
        <v>107</v>
      </c>
      <c r="D376" s="14">
        <v>26659.547731784754</v>
      </c>
      <c r="E376" s="82">
        <f>_xlfn.FORECAST.LINEAR(Table15[[#This Row],[Date]],Table15[Units_Sold],Table15[Date])</f>
        <v>99.49940796563186</v>
      </c>
      <c r="F376" s="138">
        <f>Table15[[#This Row],[Average_Price]]/Table15[[#This Row],[Units_Sold]]</f>
        <v>249.15465169892295</v>
      </c>
      <c r="G376" cm="1">
        <f t="array" ref="G376">_xlfn.IFS(Table15[[#This Row],[Vehicle_Type]]="SUV",250,Table15[[#This Row],[Vehicle_Type]]="Sedan",200,Table15[[#This Row],[Vehicle_Type]]="Hatchback",185,Table15[[#This Row],[Vehicle_Type]]="Electric",190,Table15[[#This Row],[Vehicle_Type]]="Truck",150)</f>
        <v>150</v>
      </c>
      <c r="H376">
        <f t="shared" ca="1" si="10"/>
        <v>24</v>
      </c>
      <c r="I376">
        <f t="shared" ca="1" si="11"/>
        <v>11</v>
      </c>
      <c r="J376" s="81">
        <f ca="1">24/Table15[[#This Row],[Production_Hours]]</f>
        <v>2.1818181818181817</v>
      </c>
      <c r="K376" s="82">
        <f ca="1">(Table15[[#This Row],[Daily_Production]]*Table15[[#This Row],[Working_Days]]) -Table15[[#This Row],[Maintenance_Downtime]]</f>
        <v>3597.818181818182</v>
      </c>
    </row>
    <row r="377" spans="1:11">
      <c r="A377" s="54">
        <v>53255</v>
      </c>
      <c r="B377" s="15" t="s">
        <v>13</v>
      </c>
      <c r="C377" s="15">
        <v>111</v>
      </c>
      <c r="D377" s="15">
        <v>34960.211747682617</v>
      </c>
      <c r="E377" s="82">
        <f>_xlfn.FORECAST.LINEAR(Table15[[#This Row],[Date]],Table15[Units_Sold],Table15[Date])</f>
        <v>99.501009636038546</v>
      </c>
      <c r="F377" s="138">
        <f>Table15[[#This Row],[Average_Price]]/Table15[[#This Row],[Units_Sold]]</f>
        <v>314.95686259173527</v>
      </c>
      <c r="G377" cm="1">
        <f t="array" ref="G377">_xlfn.IFS(Table15[[#This Row],[Vehicle_Type]]="SUV",250,Table15[[#This Row],[Vehicle_Type]]="Sedan",200,Table15[[#This Row],[Vehicle_Type]]="Hatchback",185,Table15[[#This Row],[Vehicle_Type]]="Electric",190,Table15[[#This Row],[Vehicle_Type]]="Truck",150)</f>
        <v>190</v>
      </c>
      <c r="H377">
        <f t="shared" ca="1" si="10"/>
        <v>24</v>
      </c>
      <c r="I377">
        <f t="shared" ca="1" si="11"/>
        <v>9</v>
      </c>
      <c r="J377" s="81">
        <f ca="1">24/Table15[[#This Row],[Production_Hours]]</f>
        <v>2.6666666666666665</v>
      </c>
      <c r="K377" s="82">
        <f ca="1">(Table15[[#This Row],[Daily_Production]]*Table15[[#This Row],[Working_Days]]) -Table15[[#This Row],[Maintenance_Downtime]]</f>
        <v>4557.333333333333</v>
      </c>
    </row>
    <row r="378" spans="1:11">
      <c r="A378" s="53">
        <v>53285</v>
      </c>
      <c r="B378" s="14" t="s">
        <v>10</v>
      </c>
      <c r="C378" s="14">
        <v>100</v>
      </c>
      <c r="D378" s="14">
        <v>29125.201216522957</v>
      </c>
      <c r="E378" s="82">
        <f>_xlfn.FORECAST.LINEAR(Table15[[#This Row],[Date]],Table15[Units_Sold],Table15[Date])</f>
        <v>99.502611306445232</v>
      </c>
      <c r="F378" s="138">
        <f>Table15[[#This Row],[Average_Price]]/Table15[[#This Row],[Units_Sold]]</f>
        <v>291.25201216522959</v>
      </c>
      <c r="G378" cm="1">
        <f t="array" ref="G378">_xlfn.IFS(Table15[[#This Row],[Vehicle_Type]]="SUV",250,Table15[[#This Row],[Vehicle_Type]]="Sedan",200,Table15[[#This Row],[Vehicle_Type]]="Hatchback",185,Table15[[#This Row],[Vehicle_Type]]="Electric",190,Table15[[#This Row],[Vehicle_Type]]="Truck",150)</f>
        <v>200</v>
      </c>
      <c r="H378">
        <f t="shared" ca="1" si="10"/>
        <v>25</v>
      </c>
      <c r="I378">
        <f t="shared" ca="1" si="11"/>
        <v>10</v>
      </c>
      <c r="J378" s="81">
        <f ca="1">24/Table15[[#This Row],[Production_Hours]]</f>
        <v>2.4</v>
      </c>
      <c r="K378" s="82">
        <f ca="1">(Table15[[#This Row],[Daily_Production]]*Table15[[#This Row],[Working_Days]]) -Table15[[#This Row],[Maintenance_Downtime]]</f>
        <v>4997.6000000000004</v>
      </c>
    </row>
    <row r="379" spans="1:11">
      <c r="A379" s="54">
        <v>53315</v>
      </c>
      <c r="B379" s="15" t="s">
        <v>10</v>
      </c>
      <c r="C379" s="15">
        <v>94</v>
      </c>
      <c r="D379" s="15">
        <v>26221.274202535777</v>
      </c>
      <c r="E379" s="82">
        <f>_xlfn.FORECAST.LINEAR(Table15[[#This Row],[Date]],Table15[Units_Sold],Table15[Date])</f>
        <v>99.504212976851917</v>
      </c>
      <c r="F379" s="138">
        <f>Table15[[#This Row],[Average_Price]]/Table15[[#This Row],[Units_Sold]]</f>
        <v>278.94972555889126</v>
      </c>
      <c r="G379" cm="1">
        <f t="array" ref="G379">_xlfn.IFS(Table15[[#This Row],[Vehicle_Type]]="SUV",250,Table15[[#This Row],[Vehicle_Type]]="Sedan",200,Table15[[#This Row],[Vehicle_Type]]="Hatchback",185,Table15[[#This Row],[Vehicle_Type]]="Electric",190,Table15[[#This Row],[Vehicle_Type]]="Truck",150)</f>
        <v>200</v>
      </c>
      <c r="H379">
        <f t="shared" ca="1" si="10"/>
        <v>22</v>
      </c>
      <c r="I379">
        <f t="shared" ca="1" si="11"/>
        <v>11</v>
      </c>
      <c r="J379" s="81">
        <f ca="1">24/Table15[[#This Row],[Production_Hours]]</f>
        <v>2.1818181818181817</v>
      </c>
      <c r="K379" s="82">
        <f ca="1">(Table15[[#This Row],[Daily_Production]]*Table15[[#This Row],[Working_Days]]) -Table15[[#This Row],[Maintenance_Downtime]]</f>
        <v>4397.818181818182</v>
      </c>
    </row>
    <row r="380" spans="1:11">
      <c r="A380" s="53">
        <v>53345</v>
      </c>
      <c r="B380" s="14" t="s">
        <v>10</v>
      </c>
      <c r="C380" s="14">
        <v>91</v>
      </c>
      <c r="D380" s="14">
        <v>32682.549217852018</v>
      </c>
      <c r="E380" s="82">
        <f>_xlfn.FORECAST.LINEAR(Table15[[#This Row],[Date]],Table15[Units_Sold],Table15[Date])</f>
        <v>99.505814647258589</v>
      </c>
      <c r="F380" s="138">
        <f>Table15[[#This Row],[Average_Price]]/Table15[[#This Row],[Units_Sold]]</f>
        <v>359.14889250386835</v>
      </c>
      <c r="G380" cm="1">
        <f t="array" ref="G380">_xlfn.IFS(Table15[[#This Row],[Vehicle_Type]]="SUV",250,Table15[[#This Row],[Vehicle_Type]]="Sedan",200,Table15[[#This Row],[Vehicle_Type]]="Hatchback",185,Table15[[#This Row],[Vehicle_Type]]="Electric",190,Table15[[#This Row],[Vehicle_Type]]="Truck",150)</f>
        <v>200</v>
      </c>
      <c r="H380">
        <f t="shared" ca="1" si="10"/>
        <v>21</v>
      </c>
      <c r="I380">
        <f t="shared" ca="1" si="11"/>
        <v>11</v>
      </c>
      <c r="J380" s="81">
        <f ca="1">24/Table15[[#This Row],[Production_Hours]]</f>
        <v>2.1818181818181817</v>
      </c>
      <c r="K380" s="82">
        <f ca="1">(Table15[[#This Row],[Daily_Production]]*Table15[[#This Row],[Working_Days]]) -Table15[[#This Row],[Maintenance_Downtime]]</f>
        <v>4197.818181818182</v>
      </c>
    </row>
    <row r="381" spans="1:11">
      <c r="A381" s="54">
        <v>53375</v>
      </c>
      <c r="B381" s="15" t="s">
        <v>12</v>
      </c>
      <c r="C381" s="15">
        <v>89</v>
      </c>
      <c r="D381" s="15">
        <v>25507.660091044814</v>
      </c>
      <c r="E381" s="82">
        <f>_xlfn.FORECAST.LINEAR(Table15[[#This Row],[Date]],Table15[Units_Sold],Table15[Date])</f>
        <v>99.507416317665275</v>
      </c>
      <c r="F381" s="138">
        <f>Table15[[#This Row],[Average_Price]]/Table15[[#This Row],[Units_Sold]]</f>
        <v>286.60292237129005</v>
      </c>
      <c r="G381" cm="1">
        <f t="array" ref="G381">_xlfn.IFS(Table15[[#This Row],[Vehicle_Type]]="SUV",250,Table15[[#This Row],[Vehicle_Type]]="Sedan",200,Table15[[#This Row],[Vehicle_Type]]="Hatchback",185,Table15[[#This Row],[Vehicle_Type]]="Electric",190,Table15[[#This Row],[Vehicle_Type]]="Truck",150)</f>
        <v>250</v>
      </c>
      <c r="H381">
        <f t="shared" ca="1" si="10"/>
        <v>21</v>
      </c>
      <c r="I381">
        <f t="shared" ca="1" si="11"/>
        <v>8</v>
      </c>
      <c r="J381" s="81">
        <f ca="1">24/Table15[[#This Row],[Production_Hours]]</f>
        <v>3</v>
      </c>
      <c r="K381" s="82">
        <f ca="1">(Table15[[#This Row],[Daily_Production]]*Table15[[#This Row],[Working_Days]]) -Table15[[#This Row],[Maintenance_Downtime]]</f>
        <v>5247</v>
      </c>
    </row>
    <row r="382" spans="1:11">
      <c r="A382" s="53">
        <v>53405</v>
      </c>
      <c r="B382" s="14" t="s">
        <v>13</v>
      </c>
      <c r="C382" s="14">
        <v>98</v>
      </c>
      <c r="D382" s="14">
        <v>30140.90578684564</v>
      </c>
      <c r="E382" s="82">
        <f>_xlfn.FORECAST.LINEAR(Table15[[#This Row],[Date]],Table15[Units_Sold],Table15[Date])</f>
        <v>99.50901798807196</v>
      </c>
      <c r="F382" s="138">
        <f>Table15[[#This Row],[Average_Price]]/Table15[[#This Row],[Units_Sold]]</f>
        <v>307.56026313107799</v>
      </c>
      <c r="G382" cm="1">
        <f t="array" ref="G382">_xlfn.IFS(Table15[[#This Row],[Vehicle_Type]]="SUV",250,Table15[[#This Row],[Vehicle_Type]]="Sedan",200,Table15[[#This Row],[Vehicle_Type]]="Hatchback",185,Table15[[#This Row],[Vehicle_Type]]="Electric",190,Table15[[#This Row],[Vehicle_Type]]="Truck",150)</f>
        <v>190</v>
      </c>
      <c r="H382">
        <f t="shared" ca="1" si="10"/>
        <v>22</v>
      </c>
      <c r="I382">
        <f t="shared" ca="1" si="11"/>
        <v>11</v>
      </c>
      <c r="J382" s="81">
        <f ca="1">24/Table15[[#This Row],[Production_Hours]]</f>
        <v>2.1818181818181817</v>
      </c>
      <c r="K382" s="82">
        <f ca="1">(Table15[[#This Row],[Daily_Production]]*Table15[[#This Row],[Working_Days]]) -Table15[[#This Row],[Maintenance_Downtime]]</f>
        <v>4177.818181818182</v>
      </c>
    </row>
    <row r="383" spans="1:11">
      <c r="A383" s="54">
        <v>53435</v>
      </c>
      <c r="B383" s="15" t="s">
        <v>10</v>
      </c>
      <c r="C383" s="15">
        <v>110</v>
      </c>
      <c r="D383" s="15">
        <v>29954.405016778983</v>
      </c>
      <c r="E383" s="82">
        <f>_xlfn.FORECAST.LINEAR(Table15[[#This Row],[Date]],Table15[Units_Sold],Table15[Date])</f>
        <v>99.510619658478632</v>
      </c>
      <c r="F383" s="138">
        <f>Table15[[#This Row],[Average_Price]]/Table15[[#This Row],[Units_Sold]]</f>
        <v>272.31277287980896</v>
      </c>
      <c r="G383" cm="1">
        <f t="array" ref="G383">_xlfn.IFS(Table15[[#This Row],[Vehicle_Type]]="SUV",250,Table15[[#This Row],[Vehicle_Type]]="Sedan",200,Table15[[#This Row],[Vehicle_Type]]="Hatchback",185,Table15[[#This Row],[Vehicle_Type]]="Electric",190,Table15[[#This Row],[Vehicle_Type]]="Truck",150)</f>
        <v>200</v>
      </c>
      <c r="H383">
        <f t="shared" ca="1" si="10"/>
        <v>23</v>
      </c>
      <c r="I383">
        <f t="shared" ca="1" si="11"/>
        <v>8</v>
      </c>
      <c r="J383" s="81">
        <f ca="1">24/Table15[[#This Row],[Production_Hours]]</f>
        <v>3</v>
      </c>
      <c r="K383" s="82">
        <f ca="1">(Table15[[#This Row],[Daily_Production]]*Table15[[#This Row],[Working_Days]]) -Table15[[#This Row],[Maintenance_Downtime]]</f>
        <v>4597</v>
      </c>
    </row>
    <row r="384" spans="1:11">
      <c r="A384" s="53">
        <v>53465</v>
      </c>
      <c r="B384" s="14" t="s">
        <v>11</v>
      </c>
      <c r="C384" s="14">
        <v>93</v>
      </c>
      <c r="D384" s="14">
        <v>35429.477829157891</v>
      </c>
      <c r="E384" s="82">
        <f>_xlfn.FORECAST.LINEAR(Table15[[#This Row],[Date]],Table15[Units_Sold],Table15[Date])</f>
        <v>99.512221328885317</v>
      </c>
      <c r="F384" s="138">
        <f>Table15[[#This Row],[Average_Price]]/Table15[[#This Row],[Units_Sold]]</f>
        <v>380.96212719524613</v>
      </c>
      <c r="G384" cm="1">
        <f t="array" ref="G384">_xlfn.IFS(Table15[[#This Row],[Vehicle_Type]]="SUV",250,Table15[[#This Row],[Vehicle_Type]]="Sedan",200,Table15[[#This Row],[Vehicle_Type]]="Hatchback",185,Table15[[#This Row],[Vehicle_Type]]="Electric",190,Table15[[#This Row],[Vehicle_Type]]="Truck",150)</f>
        <v>185</v>
      </c>
      <c r="H384">
        <f t="shared" ca="1" si="10"/>
        <v>25</v>
      </c>
      <c r="I384">
        <f t="shared" ca="1" si="11"/>
        <v>12</v>
      </c>
      <c r="J384" s="81">
        <f ca="1">24/Table15[[#This Row],[Production_Hours]]</f>
        <v>2</v>
      </c>
      <c r="K384" s="82">
        <f ca="1">(Table15[[#This Row],[Daily_Production]]*Table15[[#This Row],[Working_Days]]) -Table15[[#This Row],[Maintenance_Downtime]]</f>
        <v>4623</v>
      </c>
    </row>
    <row r="385" spans="1:11">
      <c r="A385" s="54">
        <v>53495</v>
      </c>
      <c r="B385" s="15" t="s">
        <v>13</v>
      </c>
      <c r="C385" s="15">
        <v>103</v>
      </c>
      <c r="D385" s="15">
        <v>32373.491164399762</v>
      </c>
      <c r="E385" s="82">
        <f>_xlfn.FORECAST.LINEAR(Table15[[#This Row],[Date]],Table15[Units_Sold],Table15[Date])</f>
        <v>99.513822999292003</v>
      </c>
      <c r="F385" s="138">
        <f>Table15[[#This Row],[Average_Price]]/Table15[[#This Row],[Units_Sold]]</f>
        <v>314.30573946019189</v>
      </c>
      <c r="G385" cm="1">
        <f t="array" ref="G385">_xlfn.IFS(Table15[[#This Row],[Vehicle_Type]]="SUV",250,Table15[[#This Row],[Vehicle_Type]]="Sedan",200,Table15[[#This Row],[Vehicle_Type]]="Hatchback",185,Table15[[#This Row],[Vehicle_Type]]="Electric",190,Table15[[#This Row],[Vehicle_Type]]="Truck",150)</f>
        <v>190</v>
      </c>
      <c r="H385">
        <f t="shared" ca="1" si="10"/>
        <v>25</v>
      </c>
      <c r="I385">
        <f t="shared" ca="1" si="11"/>
        <v>9</v>
      </c>
      <c r="J385" s="81">
        <f ca="1">24/Table15[[#This Row],[Production_Hours]]</f>
        <v>2.6666666666666665</v>
      </c>
      <c r="K385" s="82">
        <f ca="1">(Table15[[#This Row],[Daily_Production]]*Table15[[#This Row],[Working_Days]]) -Table15[[#This Row],[Maintenance_Downtime]]</f>
        <v>4747.333333333333</v>
      </c>
    </row>
    <row r="386" spans="1:11">
      <c r="A386" s="53">
        <v>53525</v>
      </c>
      <c r="B386" s="14" t="s">
        <v>13</v>
      </c>
      <c r="C386" s="14">
        <v>100</v>
      </c>
      <c r="D386" s="14">
        <v>38106.295579999998</v>
      </c>
      <c r="E386" s="82">
        <f>_xlfn.FORECAST.LINEAR(Table15[[#This Row],[Date]],Table15[Units_Sold],Table15[Date])</f>
        <v>99.515424669698689</v>
      </c>
      <c r="F386" s="138">
        <f>Table15[[#This Row],[Average_Price]]/Table15[[#This Row],[Units_Sold]]</f>
        <v>381.0629558</v>
      </c>
      <c r="G386" cm="1">
        <f t="array" ref="G386">_xlfn.IFS(Table15[[#This Row],[Vehicle_Type]]="SUV",250,Table15[[#This Row],[Vehicle_Type]]="Sedan",200,Table15[[#This Row],[Vehicle_Type]]="Hatchback",185,Table15[[#This Row],[Vehicle_Type]]="Electric",190,Table15[[#This Row],[Vehicle_Type]]="Truck",150)</f>
        <v>190</v>
      </c>
      <c r="H386">
        <f t="shared" ref="H386:H449" ca="1" si="12">RANDBETWEEN(20,25)</f>
        <v>23</v>
      </c>
      <c r="I386">
        <f t="shared" ref="I386:I449" ca="1" si="13">RANDBETWEEN(8,12)</f>
        <v>9</v>
      </c>
      <c r="J386" s="81">
        <f ca="1">24/Table15[[#This Row],[Production_Hours]]</f>
        <v>2.6666666666666665</v>
      </c>
      <c r="K386" s="82">
        <f ca="1">(Table15[[#This Row],[Daily_Production]]*Table15[[#This Row],[Working_Days]]) -Table15[[#This Row],[Maintenance_Downtime]]</f>
        <v>4367.333333333333</v>
      </c>
    </row>
    <row r="387" spans="1:11">
      <c r="A387" s="54">
        <v>53555</v>
      </c>
      <c r="B387" s="15" t="s">
        <v>12</v>
      </c>
      <c r="C387" s="15">
        <v>101</v>
      </c>
      <c r="D387" s="15">
        <v>34088.831496001432</v>
      </c>
      <c r="E387" s="82">
        <f>_xlfn.FORECAST.LINEAR(Table15[[#This Row],[Date]],Table15[Units_Sold],Table15[Date])</f>
        <v>99.51702634010536</v>
      </c>
      <c r="F387" s="138">
        <f>Table15[[#This Row],[Average_Price]]/Table15[[#This Row],[Units_Sold]]</f>
        <v>337.51318312872706</v>
      </c>
      <c r="G387" cm="1">
        <f t="array" ref="G387">_xlfn.IFS(Table15[[#This Row],[Vehicle_Type]]="SUV",250,Table15[[#This Row],[Vehicle_Type]]="Sedan",200,Table15[[#This Row],[Vehicle_Type]]="Hatchback",185,Table15[[#This Row],[Vehicle_Type]]="Electric",190,Table15[[#This Row],[Vehicle_Type]]="Truck",150)</f>
        <v>250</v>
      </c>
      <c r="H387">
        <f t="shared" ca="1" si="12"/>
        <v>20</v>
      </c>
      <c r="I387">
        <f t="shared" ca="1" si="13"/>
        <v>9</v>
      </c>
      <c r="J387" s="81">
        <f ca="1">24/Table15[[#This Row],[Production_Hours]]</f>
        <v>2.6666666666666665</v>
      </c>
      <c r="K387" s="82">
        <f ca="1">(Table15[[#This Row],[Daily_Production]]*Table15[[#This Row],[Working_Days]]) -Table15[[#This Row],[Maintenance_Downtime]]</f>
        <v>4997.333333333333</v>
      </c>
    </row>
    <row r="388" spans="1:11">
      <c r="A388" s="53">
        <v>53585</v>
      </c>
      <c r="B388" s="14" t="s">
        <v>14</v>
      </c>
      <c r="C388" s="14">
        <v>94</v>
      </c>
      <c r="D388" s="14">
        <v>30949.702720000001</v>
      </c>
      <c r="E388" s="82">
        <f>_xlfn.FORECAST.LINEAR(Table15[[#This Row],[Date]],Table15[Units_Sold],Table15[Date])</f>
        <v>99.518628010512046</v>
      </c>
      <c r="F388" s="138">
        <f>Table15[[#This Row],[Average_Price]]/Table15[[#This Row],[Units_Sold]]</f>
        <v>329.25215659574468</v>
      </c>
      <c r="G388" cm="1">
        <f t="array" ref="G388">_xlfn.IFS(Table15[[#This Row],[Vehicle_Type]]="SUV",250,Table15[[#This Row],[Vehicle_Type]]="Sedan",200,Table15[[#This Row],[Vehicle_Type]]="Hatchback",185,Table15[[#This Row],[Vehicle_Type]]="Electric",190,Table15[[#This Row],[Vehicle_Type]]="Truck",150)</f>
        <v>150</v>
      </c>
      <c r="H388">
        <f t="shared" ca="1" si="12"/>
        <v>23</v>
      </c>
      <c r="I388">
        <f t="shared" ca="1" si="13"/>
        <v>11</v>
      </c>
      <c r="J388" s="81">
        <f ca="1">24/Table15[[#This Row],[Production_Hours]]</f>
        <v>2.1818181818181817</v>
      </c>
      <c r="K388" s="82">
        <f ca="1">(Table15[[#This Row],[Daily_Production]]*Table15[[#This Row],[Working_Days]]) -Table15[[#This Row],[Maintenance_Downtime]]</f>
        <v>3447.818181818182</v>
      </c>
    </row>
    <row r="389" spans="1:11">
      <c r="A389" s="54">
        <v>53615</v>
      </c>
      <c r="B389" s="15" t="s">
        <v>12</v>
      </c>
      <c r="C389" s="15">
        <v>108</v>
      </c>
      <c r="D389" s="15">
        <v>32789.051531759309</v>
      </c>
      <c r="E389" s="82">
        <f>_xlfn.FORECAST.LINEAR(Table15[[#This Row],[Date]],Table15[Units_Sold],Table15[Date])</f>
        <v>99.520229680918732</v>
      </c>
      <c r="F389" s="138">
        <f>Table15[[#This Row],[Average_Price]]/Table15[[#This Row],[Units_Sold]]</f>
        <v>303.60232899777139</v>
      </c>
      <c r="G389" cm="1">
        <f t="array" ref="G389">_xlfn.IFS(Table15[[#This Row],[Vehicle_Type]]="SUV",250,Table15[[#This Row],[Vehicle_Type]]="Sedan",200,Table15[[#This Row],[Vehicle_Type]]="Hatchback",185,Table15[[#This Row],[Vehicle_Type]]="Electric",190,Table15[[#This Row],[Vehicle_Type]]="Truck",150)</f>
        <v>250</v>
      </c>
      <c r="H389">
        <f t="shared" ca="1" si="12"/>
        <v>23</v>
      </c>
      <c r="I389">
        <f t="shared" ca="1" si="13"/>
        <v>8</v>
      </c>
      <c r="J389" s="81">
        <f ca="1">24/Table15[[#This Row],[Production_Hours]]</f>
        <v>3</v>
      </c>
      <c r="K389" s="82">
        <f ca="1">(Table15[[#This Row],[Daily_Production]]*Table15[[#This Row],[Working_Days]]) -Table15[[#This Row],[Maintenance_Downtime]]</f>
        <v>5747</v>
      </c>
    </row>
    <row r="390" spans="1:11">
      <c r="A390" s="53">
        <v>53645</v>
      </c>
      <c r="B390" s="14" t="s">
        <v>10</v>
      </c>
      <c r="C390" s="14">
        <v>113</v>
      </c>
      <c r="D390" s="14">
        <v>30051.763099216903</v>
      </c>
      <c r="E390" s="82">
        <f>_xlfn.FORECAST.LINEAR(Table15[[#This Row],[Date]],Table15[Units_Sold],Table15[Date])</f>
        <v>99.521831351325403</v>
      </c>
      <c r="F390" s="138">
        <f>Table15[[#This Row],[Average_Price]]/Table15[[#This Row],[Units_Sold]]</f>
        <v>265.94480618776021</v>
      </c>
      <c r="G390" cm="1">
        <f t="array" ref="G390">_xlfn.IFS(Table15[[#This Row],[Vehicle_Type]]="SUV",250,Table15[[#This Row],[Vehicle_Type]]="Sedan",200,Table15[[#This Row],[Vehicle_Type]]="Hatchback",185,Table15[[#This Row],[Vehicle_Type]]="Electric",190,Table15[[#This Row],[Vehicle_Type]]="Truck",150)</f>
        <v>200</v>
      </c>
      <c r="H390">
        <f t="shared" ca="1" si="12"/>
        <v>22</v>
      </c>
      <c r="I390">
        <f t="shared" ca="1" si="13"/>
        <v>9</v>
      </c>
      <c r="J390" s="81">
        <f ca="1">24/Table15[[#This Row],[Production_Hours]]</f>
        <v>2.6666666666666665</v>
      </c>
      <c r="K390" s="82">
        <f ca="1">(Table15[[#This Row],[Daily_Production]]*Table15[[#This Row],[Working_Days]]) -Table15[[#This Row],[Maintenance_Downtime]]</f>
        <v>4397.333333333333</v>
      </c>
    </row>
    <row r="391" spans="1:11">
      <c r="A391" s="54">
        <v>53675</v>
      </c>
      <c r="B391" s="15" t="s">
        <v>11</v>
      </c>
      <c r="C391" s="15">
        <v>115</v>
      </c>
      <c r="D391" s="15">
        <v>23440.818838249201</v>
      </c>
      <c r="E391" s="82">
        <f>_xlfn.FORECAST.LINEAR(Table15[[#This Row],[Date]],Table15[Units_Sold],Table15[Date])</f>
        <v>99.523433021732089</v>
      </c>
      <c r="F391" s="138">
        <f>Table15[[#This Row],[Average_Price]]/Table15[[#This Row],[Units_Sold]]</f>
        <v>203.83320728912349</v>
      </c>
      <c r="G391" cm="1">
        <f t="array" ref="G391">_xlfn.IFS(Table15[[#This Row],[Vehicle_Type]]="SUV",250,Table15[[#This Row],[Vehicle_Type]]="Sedan",200,Table15[[#This Row],[Vehicle_Type]]="Hatchback",185,Table15[[#This Row],[Vehicle_Type]]="Electric",190,Table15[[#This Row],[Vehicle_Type]]="Truck",150)</f>
        <v>185</v>
      </c>
      <c r="H391">
        <f t="shared" ca="1" si="12"/>
        <v>23</v>
      </c>
      <c r="I391">
        <f t="shared" ca="1" si="13"/>
        <v>11</v>
      </c>
      <c r="J391" s="81">
        <f ca="1">24/Table15[[#This Row],[Production_Hours]]</f>
        <v>2.1818181818181817</v>
      </c>
      <c r="K391" s="82">
        <f ca="1">(Table15[[#This Row],[Daily_Production]]*Table15[[#This Row],[Working_Days]]) -Table15[[#This Row],[Maintenance_Downtime]]</f>
        <v>4252.818181818182</v>
      </c>
    </row>
    <row r="392" spans="1:11">
      <c r="A392" s="53">
        <v>53705</v>
      </c>
      <c r="B392" s="14" t="s">
        <v>11</v>
      </c>
      <c r="C392" s="14">
        <v>98</v>
      </c>
      <c r="D392" s="14">
        <v>24674.431684623138</v>
      </c>
      <c r="E392" s="82">
        <f>_xlfn.FORECAST.LINEAR(Table15[[#This Row],[Date]],Table15[Units_Sold],Table15[Date])</f>
        <v>99.525034692138775</v>
      </c>
      <c r="F392" s="138">
        <f>Table15[[#This Row],[Average_Price]]/Table15[[#This Row],[Units_Sold]]</f>
        <v>251.7799151492157</v>
      </c>
      <c r="G392" cm="1">
        <f t="array" ref="G392">_xlfn.IFS(Table15[[#This Row],[Vehicle_Type]]="SUV",250,Table15[[#This Row],[Vehicle_Type]]="Sedan",200,Table15[[#This Row],[Vehicle_Type]]="Hatchback",185,Table15[[#This Row],[Vehicle_Type]]="Electric",190,Table15[[#This Row],[Vehicle_Type]]="Truck",150)</f>
        <v>185</v>
      </c>
      <c r="H392">
        <f t="shared" ca="1" si="12"/>
        <v>24</v>
      </c>
      <c r="I392">
        <f t="shared" ca="1" si="13"/>
        <v>12</v>
      </c>
      <c r="J392" s="81">
        <f ca="1">24/Table15[[#This Row],[Production_Hours]]</f>
        <v>2</v>
      </c>
      <c r="K392" s="82">
        <f ca="1">(Table15[[#This Row],[Daily_Production]]*Table15[[#This Row],[Working_Days]]) -Table15[[#This Row],[Maintenance_Downtime]]</f>
        <v>4438</v>
      </c>
    </row>
    <row r="393" spans="1:11">
      <c r="A393" s="54">
        <v>53735</v>
      </c>
      <c r="B393" s="15" t="s">
        <v>10</v>
      </c>
      <c r="C393" s="15">
        <v>93</v>
      </c>
      <c r="D393" s="15">
        <v>28473.876478226663</v>
      </c>
      <c r="E393" s="82">
        <f>_xlfn.FORECAST.LINEAR(Table15[[#This Row],[Date]],Table15[Units_Sold],Table15[Date])</f>
        <v>99.52663636254546</v>
      </c>
      <c r="F393" s="138">
        <f>Table15[[#This Row],[Average_Price]]/Table15[[#This Row],[Units_Sold]]</f>
        <v>306.17071481964155</v>
      </c>
      <c r="G393" cm="1">
        <f t="array" ref="G393">_xlfn.IFS(Table15[[#This Row],[Vehicle_Type]]="SUV",250,Table15[[#This Row],[Vehicle_Type]]="Sedan",200,Table15[[#This Row],[Vehicle_Type]]="Hatchback",185,Table15[[#This Row],[Vehicle_Type]]="Electric",190,Table15[[#This Row],[Vehicle_Type]]="Truck",150)</f>
        <v>200</v>
      </c>
      <c r="H393">
        <f t="shared" ca="1" si="12"/>
        <v>23</v>
      </c>
      <c r="I393">
        <f t="shared" ca="1" si="13"/>
        <v>9</v>
      </c>
      <c r="J393" s="81">
        <f ca="1">24/Table15[[#This Row],[Production_Hours]]</f>
        <v>2.6666666666666665</v>
      </c>
      <c r="K393" s="82">
        <f ca="1">(Table15[[#This Row],[Daily_Production]]*Table15[[#This Row],[Working_Days]]) -Table15[[#This Row],[Maintenance_Downtime]]</f>
        <v>4597.333333333333</v>
      </c>
    </row>
    <row r="394" spans="1:11">
      <c r="A394" s="53">
        <v>53765</v>
      </c>
      <c r="B394" s="14" t="s">
        <v>11</v>
      </c>
      <c r="C394" s="14">
        <v>104</v>
      </c>
      <c r="D394" s="14">
        <v>26952.438989203583</v>
      </c>
      <c r="E394" s="82">
        <f>_xlfn.FORECAST.LINEAR(Table15[[#This Row],[Date]],Table15[Units_Sold],Table15[Date])</f>
        <v>99.528238032952132</v>
      </c>
      <c r="F394" s="138">
        <f>Table15[[#This Row],[Average_Price]]/Table15[[#This Row],[Units_Sold]]</f>
        <v>259.15806720388059</v>
      </c>
      <c r="G394" cm="1">
        <f t="array" ref="G394">_xlfn.IFS(Table15[[#This Row],[Vehicle_Type]]="SUV",250,Table15[[#This Row],[Vehicle_Type]]="Sedan",200,Table15[[#This Row],[Vehicle_Type]]="Hatchback",185,Table15[[#This Row],[Vehicle_Type]]="Electric",190,Table15[[#This Row],[Vehicle_Type]]="Truck",150)</f>
        <v>185</v>
      </c>
      <c r="H394">
        <f t="shared" ca="1" si="12"/>
        <v>20</v>
      </c>
      <c r="I394">
        <f t="shared" ca="1" si="13"/>
        <v>9</v>
      </c>
      <c r="J394" s="81">
        <f ca="1">24/Table15[[#This Row],[Production_Hours]]</f>
        <v>2.6666666666666665</v>
      </c>
      <c r="K394" s="82">
        <f ca="1">(Table15[[#This Row],[Daily_Production]]*Table15[[#This Row],[Working_Days]]) -Table15[[#This Row],[Maintenance_Downtime]]</f>
        <v>3697.3333333333335</v>
      </c>
    </row>
    <row r="395" spans="1:11">
      <c r="A395" s="54">
        <v>53795</v>
      </c>
      <c r="B395" s="15" t="s">
        <v>12</v>
      </c>
      <c r="C395" s="15">
        <v>100</v>
      </c>
      <c r="D395" s="15">
        <v>29065.143485072771</v>
      </c>
      <c r="E395" s="82">
        <f>_xlfn.FORECAST.LINEAR(Table15[[#This Row],[Date]],Table15[Units_Sold],Table15[Date])</f>
        <v>99.529839703358817</v>
      </c>
      <c r="F395" s="138">
        <f>Table15[[#This Row],[Average_Price]]/Table15[[#This Row],[Units_Sold]]</f>
        <v>290.6514348507277</v>
      </c>
      <c r="G395" cm="1">
        <f t="array" ref="G395">_xlfn.IFS(Table15[[#This Row],[Vehicle_Type]]="SUV",250,Table15[[#This Row],[Vehicle_Type]]="Sedan",200,Table15[[#This Row],[Vehicle_Type]]="Hatchback",185,Table15[[#This Row],[Vehicle_Type]]="Electric",190,Table15[[#This Row],[Vehicle_Type]]="Truck",150)</f>
        <v>250</v>
      </c>
      <c r="H395">
        <f t="shared" ca="1" si="12"/>
        <v>25</v>
      </c>
      <c r="I395">
        <f t="shared" ca="1" si="13"/>
        <v>8</v>
      </c>
      <c r="J395" s="81">
        <f ca="1">24/Table15[[#This Row],[Production_Hours]]</f>
        <v>3</v>
      </c>
      <c r="K395" s="82">
        <f ca="1">(Table15[[#This Row],[Daily_Production]]*Table15[[#This Row],[Working_Days]]) -Table15[[#This Row],[Maintenance_Downtime]]</f>
        <v>6247</v>
      </c>
    </row>
    <row r="396" spans="1:11">
      <c r="A396" s="53">
        <v>53825</v>
      </c>
      <c r="B396" s="14" t="s">
        <v>12</v>
      </c>
      <c r="C396" s="14">
        <v>89</v>
      </c>
      <c r="D396" s="14">
        <v>38106.295579999998</v>
      </c>
      <c r="E396" s="82">
        <f>_xlfn.FORECAST.LINEAR(Table15[[#This Row],[Date]],Table15[Units_Sold],Table15[Date])</f>
        <v>99.531441373765503</v>
      </c>
      <c r="F396" s="138">
        <f>Table15[[#This Row],[Average_Price]]/Table15[[#This Row],[Units_Sold]]</f>
        <v>428.16062449438198</v>
      </c>
      <c r="G396" cm="1">
        <f t="array" ref="G396">_xlfn.IFS(Table15[[#This Row],[Vehicle_Type]]="SUV",250,Table15[[#This Row],[Vehicle_Type]]="Sedan",200,Table15[[#This Row],[Vehicle_Type]]="Hatchback",185,Table15[[#This Row],[Vehicle_Type]]="Electric",190,Table15[[#This Row],[Vehicle_Type]]="Truck",150)</f>
        <v>250</v>
      </c>
      <c r="H396">
        <f t="shared" ca="1" si="12"/>
        <v>24</v>
      </c>
      <c r="I396">
        <f t="shared" ca="1" si="13"/>
        <v>12</v>
      </c>
      <c r="J396" s="81">
        <f ca="1">24/Table15[[#This Row],[Production_Hours]]</f>
        <v>2</v>
      </c>
      <c r="K396" s="82">
        <f ca="1">(Table15[[#This Row],[Daily_Production]]*Table15[[#This Row],[Working_Days]]) -Table15[[#This Row],[Maintenance_Downtime]]</f>
        <v>5998</v>
      </c>
    </row>
    <row r="397" spans="1:11">
      <c r="A397" s="54">
        <v>53855</v>
      </c>
      <c r="B397" s="15" t="s">
        <v>10</v>
      </c>
      <c r="C397" s="15">
        <v>86</v>
      </c>
      <c r="D397" s="15">
        <v>32648.463771783652</v>
      </c>
      <c r="E397" s="82">
        <f>_xlfn.FORECAST.LINEAR(Table15[[#This Row],[Date]],Table15[Units_Sold],Table15[Date])</f>
        <v>99.533043044172175</v>
      </c>
      <c r="F397" s="138">
        <f>Table15[[#This Row],[Average_Price]]/Table15[[#This Row],[Units_Sold]]</f>
        <v>379.63329967190293</v>
      </c>
      <c r="G397" cm="1">
        <f t="array" ref="G397">_xlfn.IFS(Table15[[#This Row],[Vehicle_Type]]="SUV",250,Table15[[#This Row],[Vehicle_Type]]="Sedan",200,Table15[[#This Row],[Vehicle_Type]]="Hatchback",185,Table15[[#This Row],[Vehicle_Type]]="Electric",190,Table15[[#This Row],[Vehicle_Type]]="Truck",150)</f>
        <v>200</v>
      </c>
      <c r="H397">
        <f t="shared" ca="1" si="12"/>
        <v>25</v>
      </c>
      <c r="I397">
        <f t="shared" ca="1" si="13"/>
        <v>9</v>
      </c>
      <c r="J397" s="81">
        <f ca="1">24/Table15[[#This Row],[Production_Hours]]</f>
        <v>2.6666666666666665</v>
      </c>
      <c r="K397" s="82">
        <f ca="1">(Table15[[#This Row],[Daily_Production]]*Table15[[#This Row],[Working_Days]]) -Table15[[#This Row],[Maintenance_Downtime]]</f>
        <v>4997.333333333333</v>
      </c>
    </row>
    <row r="398" spans="1:11">
      <c r="A398" s="53">
        <v>53885</v>
      </c>
      <c r="B398" s="14" t="s">
        <v>11</v>
      </c>
      <c r="C398" s="14">
        <v>93</v>
      </c>
      <c r="D398" s="14">
        <v>29647.506109704544</v>
      </c>
      <c r="E398" s="82">
        <f>_xlfn.FORECAST.LINEAR(Table15[[#This Row],[Date]],Table15[Units_Sold],Table15[Date])</f>
        <v>99.53464471457886</v>
      </c>
      <c r="F398" s="138">
        <f>Table15[[#This Row],[Average_Price]]/Table15[[#This Row],[Units_Sold]]</f>
        <v>318.79038827639295</v>
      </c>
      <c r="G398" cm="1">
        <f t="array" ref="G398">_xlfn.IFS(Table15[[#This Row],[Vehicle_Type]]="SUV",250,Table15[[#This Row],[Vehicle_Type]]="Sedan",200,Table15[[#This Row],[Vehicle_Type]]="Hatchback",185,Table15[[#This Row],[Vehicle_Type]]="Electric",190,Table15[[#This Row],[Vehicle_Type]]="Truck",150)</f>
        <v>185</v>
      </c>
      <c r="H398">
        <f t="shared" ca="1" si="12"/>
        <v>25</v>
      </c>
      <c r="I398">
        <f t="shared" ca="1" si="13"/>
        <v>9</v>
      </c>
      <c r="J398" s="81">
        <f ca="1">24/Table15[[#This Row],[Production_Hours]]</f>
        <v>2.6666666666666665</v>
      </c>
      <c r="K398" s="82">
        <f ca="1">(Table15[[#This Row],[Daily_Production]]*Table15[[#This Row],[Working_Days]]) -Table15[[#This Row],[Maintenance_Downtime]]</f>
        <v>4622.333333333333</v>
      </c>
    </row>
    <row r="399" spans="1:11">
      <c r="A399" s="54">
        <v>53915</v>
      </c>
      <c r="B399" s="15" t="s">
        <v>13</v>
      </c>
      <c r="C399" s="15">
        <v>104</v>
      </c>
      <c r="D399" s="15">
        <v>32432.50821913101</v>
      </c>
      <c r="E399" s="82">
        <f>_xlfn.FORECAST.LINEAR(Table15[[#This Row],[Date]],Table15[Units_Sold],Table15[Date])</f>
        <v>99.536246384985546</v>
      </c>
      <c r="F399" s="138">
        <f>Table15[[#This Row],[Average_Price]]/Table15[[#This Row],[Units_Sold]]</f>
        <v>311.85104056856738</v>
      </c>
      <c r="G399" cm="1">
        <f t="array" ref="G399">_xlfn.IFS(Table15[[#This Row],[Vehicle_Type]]="SUV",250,Table15[[#This Row],[Vehicle_Type]]="Sedan",200,Table15[[#This Row],[Vehicle_Type]]="Hatchback",185,Table15[[#This Row],[Vehicle_Type]]="Electric",190,Table15[[#This Row],[Vehicle_Type]]="Truck",150)</f>
        <v>190</v>
      </c>
      <c r="H399">
        <f t="shared" ca="1" si="12"/>
        <v>24</v>
      </c>
      <c r="I399">
        <f t="shared" ca="1" si="13"/>
        <v>12</v>
      </c>
      <c r="J399" s="81">
        <f ca="1">24/Table15[[#This Row],[Production_Hours]]</f>
        <v>2</v>
      </c>
      <c r="K399" s="82">
        <f ca="1">(Table15[[#This Row],[Daily_Production]]*Table15[[#This Row],[Working_Days]]) -Table15[[#This Row],[Maintenance_Downtime]]</f>
        <v>4558</v>
      </c>
    </row>
    <row r="400" spans="1:11">
      <c r="A400" s="53">
        <v>53945</v>
      </c>
      <c r="B400" s="14" t="s">
        <v>14</v>
      </c>
      <c r="C400" s="14">
        <v>91</v>
      </c>
      <c r="D400" s="14">
        <v>38106.295579999998</v>
      </c>
      <c r="E400" s="82">
        <f>_xlfn.FORECAST.LINEAR(Table15[[#This Row],[Date]],Table15[Units_Sold],Table15[Date])</f>
        <v>99.537848055392232</v>
      </c>
      <c r="F400" s="138">
        <f>Table15[[#This Row],[Average_Price]]/Table15[[#This Row],[Units_Sold]]</f>
        <v>418.75050087912086</v>
      </c>
      <c r="G400" cm="1">
        <f t="array" ref="G400">_xlfn.IFS(Table15[[#This Row],[Vehicle_Type]]="SUV",250,Table15[[#This Row],[Vehicle_Type]]="Sedan",200,Table15[[#This Row],[Vehicle_Type]]="Hatchback",185,Table15[[#This Row],[Vehicle_Type]]="Electric",190,Table15[[#This Row],[Vehicle_Type]]="Truck",150)</f>
        <v>150</v>
      </c>
      <c r="H400">
        <f t="shared" ca="1" si="12"/>
        <v>22</v>
      </c>
      <c r="I400">
        <f t="shared" ca="1" si="13"/>
        <v>11</v>
      </c>
      <c r="J400" s="81">
        <f ca="1">24/Table15[[#This Row],[Production_Hours]]</f>
        <v>2.1818181818181817</v>
      </c>
      <c r="K400" s="82">
        <f ca="1">(Table15[[#This Row],[Daily_Production]]*Table15[[#This Row],[Working_Days]]) -Table15[[#This Row],[Maintenance_Downtime]]</f>
        <v>3297.818181818182</v>
      </c>
    </row>
    <row r="401" spans="1:11">
      <c r="A401" s="54">
        <v>53975</v>
      </c>
      <c r="B401" s="15" t="s">
        <v>13</v>
      </c>
      <c r="C401" s="15">
        <v>113</v>
      </c>
      <c r="D401" s="15">
        <v>20122.667168230644</v>
      </c>
      <c r="E401" s="82">
        <f>_xlfn.FORECAST.LINEAR(Table15[[#This Row],[Date]],Table15[Units_Sold],Table15[Date])</f>
        <v>99.539449725798903</v>
      </c>
      <c r="F401" s="138">
        <f>Table15[[#This Row],[Average_Price]]/Table15[[#This Row],[Units_Sold]]</f>
        <v>178.07670060381102</v>
      </c>
      <c r="G401" cm="1">
        <f t="array" ref="G401">_xlfn.IFS(Table15[[#This Row],[Vehicle_Type]]="SUV",250,Table15[[#This Row],[Vehicle_Type]]="Sedan",200,Table15[[#This Row],[Vehicle_Type]]="Hatchback",185,Table15[[#This Row],[Vehicle_Type]]="Electric",190,Table15[[#This Row],[Vehicle_Type]]="Truck",150)</f>
        <v>190</v>
      </c>
      <c r="H401">
        <f t="shared" ca="1" si="12"/>
        <v>20</v>
      </c>
      <c r="I401">
        <f t="shared" ca="1" si="13"/>
        <v>10</v>
      </c>
      <c r="J401" s="81">
        <f ca="1">24/Table15[[#This Row],[Production_Hours]]</f>
        <v>2.4</v>
      </c>
      <c r="K401" s="82">
        <f ca="1">(Table15[[#This Row],[Daily_Production]]*Table15[[#This Row],[Working_Days]]) -Table15[[#This Row],[Maintenance_Downtime]]</f>
        <v>3797.6</v>
      </c>
    </row>
    <row r="402" spans="1:11">
      <c r="A402" s="53">
        <v>54005</v>
      </c>
      <c r="B402" s="14" t="s">
        <v>12</v>
      </c>
      <c r="C402" s="14">
        <v>103</v>
      </c>
      <c r="D402" s="14">
        <v>25303.323030906227</v>
      </c>
      <c r="E402" s="82">
        <f>_xlfn.FORECAST.LINEAR(Table15[[#This Row],[Date]],Table15[Units_Sold],Table15[Date])</f>
        <v>99.541051396205589</v>
      </c>
      <c r="F402" s="138">
        <f>Table15[[#This Row],[Average_Price]]/Table15[[#This Row],[Units_Sold]]</f>
        <v>245.66333039714783</v>
      </c>
      <c r="G402" cm="1">
        <f t="array" ref="G402">_xlfn.IFS(Table15[[#This Row],[Vehicle_Type]]="SUV",250,Table15[[#This Row],[Vehicle_Type]]="Sedan",200,Table15[[#This Row],[Vehicle_Type]]="Hatchback",185,Table15[[#This Row],[Vehicle_Type]]="Electric",190,Table15[[#This Row],[Vehicle_Type]]="Truck",150)</f>
        <v>250</v>
      </c>
      <c r="H402">
        <f t="shared" ca="1" si="12"/>
        <v>22</v>
      </c>
      <c r="I402">
        <f t="shared" ca="1" si="13"/>
        <v>10</v>
      </c>
      <c r="J402" s="81">
        <f ca="1">24/Table15[[#This Row],[Production_Hours]]</f>
        <v>2.4</v>
      </c>
      <c r="K402" s="82">
        <f ca="1">(Table15[[#This Row],[Daily_Production]]*Table15[[#This Row],[Working_Days]]) -Table15[[#This Row],[Maintenance_Downtime]]</f>
        <v>5497.6</v>
      </c>
    </row>
    <row r="403" spans="1:11">
      <c r="A403" s="54">
        <v>54035</v>
      </c>
      <c r="B403" s="15" t="s">
        <v>12</v>
      </c>
      <c r="C403" s="15">
        <v>98</v>
      </c>
      <c r="D403" s="15">
        <v>29279.562221391923</v>
      </c>
      <c r="E403" s="82">
        <f>_xlfn.FORECAST.LINEAR(Table15[[#This Row],[Date]],Table15[Units_Sold],Table15[Date])</f>
        <v>99.542653066612274</v>
      </c>
      <c r="F403" s="138">
        <f>Table15[[#This Row],[Average_Price]]/Table15[[#This Row],[Units_Sold]]</f>
        <v>298.77104307542777</v>
      </c>
      <c r="G403" cm="1">
        <f t="array" ref="G403">_xlfn.IFS(Table15[[#This Row],[Vehicle_Type]]="SUV",250,Table15[[#This Row],[Vehicle_Type]]="Sedan",200,Table15[[#This Row],[Vehicle_Type]]="Hatchback",185,Table15[[#This Row],[Vehicle_Type]]="Electric",190,Table15[[#This Row],[Vehicle_Type]]="Truck",150)</f>
        <v>250</v>
      </c>
      <c r="H403">
        <f t="shared" ca="1" si="12"/>
        <v>25</v>
      </c>
      <c r="I403">
        <f t="shared" ca="1" si="13"/>
        <v>10</v>
      </c>
      <c r="J403" s="81">
        <f ca="1">24/Table15[[#This Row],[Production_Hours]]</f>
        <v>2.4</v>
      </c>
      <c r="K403" s="82">
        <f ca="1">(Table15[[#This Row],[Daily_Production]]*Table15[[#This Row],[Working_Days]]) -Table15[[#This Row],[Maintenance_Downtime]]</f>
        <v>6247.6</v>
      </c>
    </row>
    <row r="404" spans="1:11">
      <c r="A404" s="53">
        <v>54065</v>
      </c>
      <c r="B404" s="14" t="s">
        <v>12</v>
      </c>
      <c r="C404" s="14">
        <v>100</v>
      </c>
      <c r="D404" s="14">
        <v>23951.526285794462</v>
      </c>
      <c r="E404" s="82">
        <f>_xlfn.FORECAST.LINEAR(Table15[[#This Row],[Date]],Table15[Units_Sold],Table15[Date])</f>
        <v>99.544254737018946</v>
      </c>
      <c r="F404" s="138">
        <f>Table15[[#This Row],[Average_Price]]/Table15[[#This Row],[Units_Sold]]</f>
        <v>239.51526285794461</v>
      </c>
      <c r="G404" cm="1">
        <f t="array" ref="G404">_xlfn.IFS(Table15[[#This Row],[Vehicle_Type]]="SUV",250,Table15[[#This Row],[Vehicle_Type]]="Sedan",200,Table15[[#This Row],[Vehicle_Type]]="Hatchback",185,Table15[[#This Row],[Vehicle_Type]]="Electric",190,Table15[[#This Row],[Vehicle_Type]]="Truck",150)</f>
        <v>250</v>
      </c>
      <c r="H404">
        <f t="shared" ca="1" si="12"/>
        <v>21</v>
      </c>
      <c r="I404">
        <f t="shared" ca="1" si="13"/>
        <v>12</v>
      </c>
      <c r="J404" s="81">
        <f ca="1">24/Table15[[#This Row],[Production_Hours]]</f>
        <v>2</v>
      </c>
      <c r="K404" s="82">
        <f ca="1">(Table15[[#This Row],[Daily_Production]]*Table15[[#This Row],[Working_Days]]) -Table15[[#This Row],[Maintenance_Downtime]]</f>
        <v>5248</v>
      </c>
    </row>
    <row r="405" spans="1:11">
      <c r="A405" s="54">
        <v>54095</v>
      </c>
      <c r="B405" s="15" t="s">
        <v>12</v>
      </c>
      <c r="C405" s="15">
        <v>89</v>
      </c>
      <c r="D405" s="15">
        <v>32999.643649981022</v>
      </c>
      <c r="E405" s="82">
        <f>_xlfn.FORECAST.LINEAR(Table15[[#This Row],[Date]],Table15[Units_Sold],Table15[Date])</f>
        <v>99.545856407425632</v>
      </c>
      <c r="F405" s="138">
        <f>Table15[[#This Row],[Average_Price]]/Table15[[#This Row],[Units_Sold]]</f>
        <v>370.78251292113509</v>
      </c>
      <c r="G405" cm="1">
        <f t="array" ref="G405">_xlfn.IFS(Table15[[#This Row],[Vehicle_Type]]="SUV",250,Table15[[#This Row],[Vehicle_Type]]="Sedan",200,Table15[[#This Row],[Vehicle_Type]]="Hatchback",185,Table15[[#This Row],[Vehicle_Type]]="Electric",190,Table15[[#This Row],[Vehicle_Type]]="Truck",150)</f>
        <v>250</v>
      </c>
      <c r="H405">
        <f t="shared" ca="1" si="12"/>
        <v>24</v>
      </c>
      <c r="I405">
        <f t="shared" ca="1" si="13"/>
        <v>8</v>
      </c>
      <c r="J405" s="81">
        <f ca="1">24/Table15[[#This Row],[Production_Hours]]</f>
        <v>3</v>
      </c>
      <c r="K405" s="82">
        <f ca="1">(Table15[[#This Row],[Daily_Production]]*Table15[[#This Row],[Working_Days]]) -Table15[[#This Row],[Maintenance_Downtime]]</f>
        <v>5997</v>
      </c>
    </row>
    <row r="406" spans="1:11">
      <c r="A406" s="53">
        <v>54125</v>
      </c>
      <c r="B406" s="14" t="s">
        <v>14</v>
      </c>
      <c r="C406" s="14">
        <v>83</v>
      </c>
      <c r="D406" s="14">
        <v>37653.754161718491</v>
      </c>
      <c r="E406" s="82">
        <f>_xlfn.FORECAST.LINEAR(Table15[[#This Row],[Date]],Table15[Units_Sold],Table15[Date])</f>
        <v>99.547458077832317</v>
      </c>
      <c r="F406" s="138">
        <f>Table15[[#This Row],[Average_Price]]/Table15[[#This Row],[Units_Sold]]</f>
        <v>453.65968869540347</v>
      </c>
      <c r="G406" cm="1">
        <f t="array" ref="G406">_xlfn.IFS(Table15[[#This Row],[Vehicle_Type]]="SUV",250,Table15[[#This Row],[Vehicle_Type]]="Sedan",200,Table15[[#This Row],[Vehicle_Type]]="Hatchback",185,Table15[[#This Row],[Vehicle_Type]]="Electric",190,Table15[[#This Row],[Vehicle_Type]]="Truck",150)</f>
        <v>150</v>
      </c>
      <c r="H406">
        <f t="shared" ca="1" si="12"/>
        <v>24</v>
      </c>
      <c r="I406">
        <f t="shared" ca="1" si="13"/>
        <v>8</v>
      </c>
      <c r="J406" s="81">
        <f ca="1">24/Table15[[#This Row],[Production_Hours]]</f>
        <v>3</v>
      </c>
      <c r="K406" s="82">
        <f ca="1">(Table15[[#This Row],[Daily_Production]]*Table15[[#This Row],[Working_Days]]) -Table15[[#This Row],[Maintenance_Downtime]]</f>
        <v>3597</v>
      </c>
    </row>
    <row r="407" spans="1:11">
      <c r="A407" s="54">
        <v>54155</v>
      </c>
      <c r="B407" s="15" t="s">
        <v>10</v>
      </c>
      <c r="C407" s="15">
        <v>92</v>
      </c>
      <c r="D407" s="15">
        <v>36093.809258486581</v>
      </c>
      <c r="E407" s="82">
        <f>_xlfn.FORECAST.LINEAR(Table15[[#This Row],[Date]],Table15[Units_Sold],Table15[Date])</f>
        <v>99.549059748239003</v>
      </c>
      <c r="F407" s="138">
        <f>Table15[[#This Row],[Average_Price]]/Table15[[#This Row],[Units_Sold]]</f>
        <v>392.32401367920198</v>
      </c>
      <c r="G407" cm="1">
        <f t="array" ref="G407">_xlfn.IFS(Table15[[#This Row],[Vehicle_Type]]="SUV",250,Table15[[#This Row],[Vehicle_Type]]="Sedan",200,Table15[[#This Row],[Vehicle_Type]]="Hatchback",185,Table15[[#This Row],[Vehicle_Type]]="Electric",190,Table15[[#This Row],[Vehicle_Type]]="Truck",150)</f>
        <v>200</v>
      </c>
      <c r="H407">
        <f t="shared" ca="1" si="12"/>
        <v>20</v>
      </c>
      <c r="I407">
        <f t="shared" ca="1" si="13"/>
        <v>9</v>
      </c>
      <c r="J407" s="81">
        <f ca="1">24/Table15[[#This Row],[Production_Hours]]</f>
        <v>2.6666666666666665</v>
      </c>
      <c r="K407" s="82">
        <f ca="1">(Table15[[#This Row],[Daily_Production]]*Table15[[#This Row],[Working_Days]]) -Table15[[#This Row],[Maintenance_Downtime]]</f>
        <v>3997.3333333333335</v>
      </c>
    </row>
    <row r="408" spans="1:11">
      <c r="A408" s="53">
        <v>54185</v>
      </c>
      <c r="B408" s="14" t="s">
        <v>12</v>
      </c>
      <c r="C408" s="14">
        <v>100</v>
      </c>
      <c r="D408" s="14">
        <v>28932.785645348958</v>
      </c>
      <c r="E408" s="82">
        <f>_xlfn.FORECAST.LINEAR(Table15[[#This Row],[Date]],Table15[Units_Sold],Table15[Date])</f>
        <v>99.550661418645674</v>
      </c>
      <c r="F408" s="138">
        <f>Table15[[#This Row],[Average_Price]]/Table15[[#This Row],[Units_Sold]]</f>
        <v>289.32785645348957</v>
      </c>
      <c r="G408" cm="1">
        <f t="array" ref="G408">_xlfn.IFS(Table15[[#This Row],[Vehicle_Type]]="SUV",250,Table15[[#This Row],[Vehicle_Type]]="Sedan",200,Table15[[#This Row],[Vehicle_Type]]="Hatchback",185,Table15[[#This Row],[Vehicle_Type]]="Electric",190,Table15[[#This Row],[Vehicle_Type]]="Truck",150)</f>
        <v>250</v>
      </c>
      <c r="H408">
        <f t="shared" ca="1" si="12"/>
        <v>23</v>
      </c>
      <c r="I408">
        <f t="shared" ca="1" si="13"/>
        <v>8</v>
      </c>
      <c r="J408" s="81">
        <f ca="1">24/Table15[[#This Row],[Production_Hours]]</f>
        <v>3</v>
      </c>
      <c r="K408" s="82">
        <f ca="1">(Table15[[#This Row],[Daily_Production]]*Table15[[#This Row],[Working_Days]]) -Table15[[#This Row],[Maintenance_Downtime]]</f>
        <v>5747</v>
      </c>
    </row>
    <row r="409" spans="1:11">
      <c r="A409" s="54">
        <v>54215</v>
      </c>
      <c r="B409" s="15" t="s">
        <v>11</v>
      </c>
      <c r="C409" s="15">
        <v>100</v>
      </c>
      <c r="D409" s="15">
        <v>37453.630684249758</v>
      </c>
      <c r="E409" s="82">
        <f>_xlfn.FORECAST.LINEAR(Table15[[#This Row],[Date]],Table15[Units_Sold],Table15[Date])</f>
        <v>99.55226308905236</v>
      </c>
      <c r="F409" s="138">
        <f>Table15[[#This Row],[Average_Price]]/Table15[[#This Row],[Units_Sold]]</f>
        <v>374.53630684249759</v>
      </c>
      <c r="G409" cm="1">
        <f t="array" ref="G409">_xlfn.IFS(Table15[[#This Row],[Vehicle_Type]]="SUV",250,Table15[[#This Row],[Vehicle_Type]]="Sedan",200,Table15[[#This Row],[Vehicle_Type]]="Hatchback",185,Table15[[#This Row],[Vehicle_Type]]="Electric",190,Table15[[#This Row],[Vehicle_Type]]="Truck",150)</f>
        <v>185</v>
      </c>
      <c r="H409">
        <f t="shared" ca="1" si="12"/>
        <v>21</v>
      </c>
      <c r="I409">
        <f t="shared" ca="1" si="13"/>
        <v>12</v>
      </c>
      <c r="J409" s="81">
        <f ca="1">24/Table15[[#This Row],[Production_Hours]]</f>
        <v>2</v>
      </c>
      <c r="K409" s="82">
        <f ca="1">(Table15[[#This Row],[Daily_Production]]*Table15[[#This Row],[Working_Days]]) -Table15[[#This Row],[Maintenance_Downtime]]</f>
        <v>3883</v>
      </c>
    </row>
    <row r="410" spans="1:11">
      <c r="A410" s="53">
        <v>54245</v>
      </c>
      <c r="B410" s="14" t="s">
        <v>14</v>
      </c>
      <c r="C410" s="14">
        <v>102</v>
      </c>
      <c r="D410" s="14">
        <v>30743.337286010559</v>
      </c>
      <c r="E410" s="82">
        <f>_xlfn.FORECAST.LINEAR(Table15[[#This Row],[Date]],Table15[Units_Sold],Table15[Date])</f>
        <v>99.553864759459046</v>
      </c>
      <c r="F410" s="138">
        <f>Table15[[#This Row],[Average_Price]]/Table15[[#This Row],[Units_Sold]]</f>
        <v>301.40526750990745</v>
      </c>
      <c r="G410" cm="1">
        <f t="array" ref="G410">_xlfn.IFS(Table15[[#This Row],[Vehicle_Type]]="SUV",250,Table15[[#This Row],[Vehicle_Type]]="Sedan",200,Table15[[#This Row],[Vehicle_Type]]="Hatchback",185,Table15[[#This Row],[Vehicle_Type]]="Electric",190,Table15[[#This Row],[Vehicle_Type]]="Truck",150)</f>
        <v>150</v>
      </c>
      <c r="H410">
        <f t="shared" ca="1" si="12"/>
        <v>21</v>
      </c>
      <c r="I410">
        <f t="shared" ca="1" si="13"/>
        <v>11</v>
      </c>
      <c r="J410" s="81">
        <f ca="1">24/Table15[[#This Row],[Production_Hours]]</f>
        <v>2.1818181818181817</v>
      </c>
      <c r="K410" s="82">
        <f ca="1">(Table15[[#This Row],[Daily_Production]]*Table15[[#This Row],[Working_Days]]) -Table15[[#This Row],[Maintenance_Downtime]]</f>
        <v>3147.818181818182</v>
      </c>
    </row>
    <row r="411" spans="1:11">
      <c r="A411" s="54">
        <v>54275</v>
      </c>
      <c r="B411" s="15" t="s">
        <v>12</v>
      </c>
      <c r="C411" s="15">
        <v>107</v>
      </c>
      <c r="D411" s="15">
        <v>28314.570144409805</v>
      </c>
      <c r="E411" s="82">
        <f>_xlfn.FORECAST.LINEAR(Table15[[#This Row],[Date]],Table15[Units_Sold],Table15[Date])</f>
        <v>99.555466429865717</v>
      </c>
      <c r="F411" s="138">
        <f>Table15[[#This Row],[Average_Price]]/Table15[[#This Row],[Units_Sold]]</f>
        <v>264.62215088233461</v>
      </c>
      <c r="G411" cm="1">
        <f t="array" ref="G411">_xlfn.IFS(Table15[[#This Row],[Vehicle_Type]]="SUV",250,Table15[[#This Row],[Vehicle_Type]]="Sedan",200,Table15[[#This Row],[Vehicle_Type]]="Hatchback",185,Table15[[#This Row],[Vehicle_Type]]="Electric",190,Table15[[#This Row],[Vehicle_Type]]="Truck",150)</f>
        <v>250</v>
      </c>
      <c r="H411">
        <f t="shared" ca="1" si="12"/>
        <v>22</v>
      </c>
      <c r="I411">
        <f t="shared" ca="1" si="13"/>
        <v>11</v>
      </c>
      <c r="J411" s="81">
        <f ca="1">24/Table15[[#This Row],[Production_Hours]]</f>
        <v>2.1818181818181817</v>
      </c>
      <c r="K411" s="82">
        <f ca="1">(Table15[[#This Row],[Daily_Production]]*Table15[[#This Row],[Working_Days]]) -Table15[[#This Row],[Maintenance_Downtime]]</f>
        <v>5497.818181818182</v>
      </c>
    </row>
    <row r="412" spans="1:11">
      <c r="A412" s="53">
        <v>54305</v>
      </c>
      <c r="B412" s="14" t="s">
        <v>11</v>
      </c>
      <c r="C412" s="14">
        <v>103</v>
      </c>
      <c r="D412" s="14">
        <v>30949.702720000001</v>
      </c>
      <c r="E412" s="82">
        <f>_xlfn.FORECAST.LINEAR(Table15[[#This Row],[Date]],Table15[Units_Sold],Table15[Date])</f>
        <v>99.557068100272403</v>
      </c>
      <c r="F412" s="138">
        <f>Table15[[#This Row],[Average_Price]]/Table15[[#This Row],[Units_Sold]]</f>
        <v>300.48255067961168</v>
      </c>
      <c r="G412" cm="1">
        <f t="array" ref="G412">_xlfn.IFS(Table15[[#This Row],[Vehicle_Type]]="SUV",250,Table15[[#This Row],[Vehicle_Type]]="Sedan",200,Table15[[#This Row],[Vehicle_Type]]="Hatchback",185,Table15[[#This Row],[Vehicle_Type]]="Electric",190,Table15[[#This Row],[Vehicle_Type]]="Truck",150)</f>
        <v>185</v>
      </c>
      <c r="H412">
        <f t="shared" ca="1" si="12"/>
        <v>20</v>
      </c>
      <c r="I412">
        <f t="shared" ca="1" si="13"/>
        <v>9</v>
      </c>
      <c r="J412" s="81">
        <f ca="1">24/Table15[[#This Row],[Production_Hours]]</f>
        <v>2.6666666666666665</v>
      </c>
      <c r="K412" s="82">
        <f ca="1">(Table15[[#This Row],[Daily_Production]]*Table15[[#This Row],[Working_Days]]) -Table15[[#This Row],[Maintenance_Downtime]]</f>
        <v>3697.3333333333335</v>
      </c>
    </row>
    <row r="413" spans="1:11">
      <c r="A413" s="54">
        <v>54335</v>
      </c>
      <c r="B413" s="15" t="s">
        <v>12</v>
      </c>
      <c r="C413" s="15">
        <v>100</v>
      </c>
      <c r="D413" s="15">
        <v>38106.295579999998</v>
      </c>
      <c r="E413" s="82">
        <f>_xlfn.FORECAST.LINEAR(Table15[[#This Row],[Date]],Table15[Units_Sold],Table15[Date])</f>
        <v>99.558669770679089</v>
      </c>
      <c r="F413" s="138">
        <f>Table15[[#This Row],[Average_Price]]/Table15[[#This Row],[Units_Sold]]</f>
        <v>381.0629558</v>
      </c>
      <c r="G413" cm="1">
        <f t="array" ref="G413">_xlfn.IFS(Table15[[#This Row],[Vehicle_Type]]="SUV",250,Table15[[#This Row],[Vehicle_Type]]="Sedan",200,Table15[[#This Row],[Vehicle_Type]]="Hatchback",185,Table15[[#This Row],[Vehicle_Type]]="Electric",190,Table15[[#This Row],[Vehicle_Type]]="Truck",150)</f>
        <v>250</v>
      </c>
      <c r="H413">
        <f t="shared" ca="1" si="12"/>
        <v>21</v>
      </c>
      <c r="I413">
        <f t="shared" ca="1" si="13"/>
        <v>10</v>
      </c>
      <c r="J413" s="81">
        <f ca="1">24/Table15[[#This Row],[Production_Hours]]</f>
        <v>2.4</v>
      </c>
      <c r="K413" s="82">
        <f ca="1">(Table15[[#This Row],[Daily_Production]]*Table15[[#This Row],[Working_Days]]) -Table15[[#This Row],[Maintenance_Downtime]]</f>
        <v>5247.6</v>
      </c>
    </row>
    <row r="414" spans="1:11">
      <c r="A414" s="53">
        <v>54365</v>
      </c>
      <c r="B414" s="14" t="s">
        <v>10</v>
      </c>
      <c r="C414" s="14">
        <v>100</v>
      </c>
      <c r="D414" s="14">
        <v>28059.115907293857</v>
      </c>
      <c r="E414" s="82">
        <f>_xlfn.FORECAST.LINEAR(Table15[[#This Row],[Date]],Table15[Units_Sold],Table15[Date])</f>
        <v>99.560271441085774</v>
      </c>
      <c r="F414" s="138">
        <f>Table15[[#This Row],[Average_Price]]/Table15[[#This Row],[Units_Sold]]</f>
        <v>280.59115907293858</v>
      </c>
      <c r="G414" cm="1">
        <f t="array" ref="G414">_xlfn.IFS(Table15[[#This Row],[Vehicle_Type]]="SUV",250,Table15[[#This Row],[Vehicle_Type]]="Sedan",200,Table15[[#This Row],[Vehicle_Type]]="Hatchback",185,Table15[[#This Row],[Vehicle_Type]]="Electric",190,Table15[[#This Row],[Vehicle_Type]]="Truck",150)</f>
        <v>200</v>
      </c>
      <c r="H414">
        <f t="shared" ca="1" si="12"/>
        <v>21</v>
      </c>
      <c r="I414">
        <f t="shared" ca="1" si="13"/>
        <v>10</v>
      </c>
      <c r="J414" s="81">
        <f ca="1">24/Table15[[#This Row],[Production_Hours]]</f>
        <v>2.4</v>
      </c>
      <c r="K414" s="82">
        <f ca="1">(Table15[[#This Row],[Daily_Production]]*Table15[[#This Row],[Working_Days]]) -Table15[[#This Row],[Maintenance_Downtime]]</f>
        <v>4197.6000000000004</v>
      </c>
    </row>
    <row r="415" spans="1:11">
      <c r="A415" s="54">
        <v>54395</v>
      </c>
      <c r="B415" s="15" t="s">
        <v>14</v>
      </c>
      <c r="C415" s="15">
        <v>85</v>
      </c>
      <c r="D415" s="15">
        <v>30852.08111187744</v>
      </c>
      <c r="E415" s="82">
        <f>_xlfn.FORECAST.LINEAR(Table15[[#This Row],[Date]],Table15[Units_Sold],Table15[Date])</f>
        <v>99.561873111492446</v>
      </c>
      <c r="F415" s="138">
        <f>Table15[[#This Row],[Average_Price]]/Table15[[#This Row],[Units_Sold]]</f>
        <v>362.96566013973461</v>
      </c>
      <c r="G415" cm="1">
        <f t="array" ref="G415">_xlfn.IFS(Table15[[#This Row],[Vehicle_Type]]="SUV",250,Table15[[#This Row],[Vehicle_Type]]="Sedan",200,Table15[[#This Row],[Vehicle_Type]]="Hatchback",185,Table15[[#This Row],[Vehicle_Type]]="Electric",190,Table15[[#This Row],[Vehicle_Type]]="Truck",150)</f>
        <v>150</v>
      </c>
      <c r="H415">
        <f t="shared" ca="1" si="12"/>
        <v>20</v>
      </c>
      <c r="I415">
        <f t="shared" ca="1" si="13"/>
        <v>12</v>
      </c>
      <c r="J415" s="81">
        <f ca="1">24/Table15[[#This Row],[Production_Hours]]</f>
        <v>2</v>
      </c>
      <c r="K415" s="82">
        <f ca="1">(Table15[[#This Row],[Daily_Production]]*Table15[[#This Row],[Working_Days]]) -Table15[[#This Row],[Maintenance_Downtime]]</f>
        <v>2998</v>
      </c>
    </row>
    <row r="416" spans="1:11">
      <c r="A416" s="53">
        <v>54425</v>
      </c>
      <c r="B416" s="14" t="s">
        <v>10</v>
      </c>
      <c r="C416" s="14">
        <v>107</v>
      </c>
      <c r="D416" s="14">
        <v>30802.869905249325</v>
      </c>
      <c r="E416" s="82">
        <f>_xlfn.FORECAST.LINEAR(Table15[[#This Row],[Date]],Table15[Units_Sold],Table15[Date])</f>
        <v>99.563474781899131</v>
      </c>
      <c r="F416" s="138">
        <f>Table15[[#This Row],[Average_Price]]/Table15[[#This Row],[Units_Sold]]</f>
        <v>287.87728883410585</v>
      </c>
      <c r="G416" cm="1">
        <f t="array" ref="G416">_xlfn.IFS(Table15[[#This Row],[Vehicle_Type]]="SUV",250,Table15[[#This Row],[Vehicle_Type]]="Sedan",200,Table15[[#This Row],[Vehicle_Type]]="Hatchback",185,Table15[[#This Row],[Vehicle_Type]]="Electric",190,Table15[[#This Row],[Vehicle_Type]]="Truck",150)</f>
        <v>200</v>
      </c>
      <c r="H416">
        <f t="shared" ca="1" si="12"/>
        <v>20</v>
      </c>
      <c r="I416">
        <f t="shared" ca="1" si="13"/>
        <v>8</v>
      </c>
      <c r="J416" s="81">
        <f ca="1">24/Table15[[#This Row],[Production_Hours]]</f>
        <v>3</v>
      </c>
      <c r="K416" s="82">
        <f ca="1">(Table15[[#This Row],[Daily_Production]]*Table15[[#This Row],[Working_Days]]) -Table15[[#This Row],[Maintenance_Downtime]]</f>
        <v>3997</v>
      </c>
    </row>
    <row r="417" spans="1:11">
      <c r="A417" s="54">
        <v>54455</v>
      </c>
      <c r="B417" s="15" t="s">
        <v>14</v>
      </c>
      <c r="C417" s="15">
        <v>106</v>
      </c>
      <c r="D417" s="15">
        <v>30015.230100767072</v>
      </c>
      <c r="E417" s="82">
        <f>_xlfn.FORECAST.LINEAR(Table15[[#This Row],[Date]],Table15[Units_Sold],Table15[Date])</f>
        <v>99.565076452305817</v>
      </c>
      <c r="F417" s="138">
        <f>Table15[[#This Row],[Average_Price]]/Table15[[#This Row],[Units_Sold]]</f>
        <v>283.16254812044406</v>
      </c>
      <c r="G417" cm="1">
        <f t="array" ref="G417">_xlfn.IFS(Table15[[#This Row],[Vehicle_Type]]="SUV",250,Table15[[#This Row],[Vehicle_Type]]="Sedan",200,Table15[[#This Row],[Vehicle_Type]]="Hatchback",185,Table15[[#This Row],[Vehicle_Type]]="Electric",190,Table15[[#This Row],[Vehicle_Type]]="Truck",150)</f>
        <v>150</v>
      </c>
      <c r="H417">
        <f t="shared" ca="1" si="12"/>
        <v>25</v>
      </c>
      <c r="I417">
        <f t="shared" ca="1" si="13"/>
        <v>8</v>
      </c>
      <c r="J417" s="81">
        <f ca="1">24/Table15[[#This Row],[Production_Hours]]</f>
        <v>3</v>
      </c>
      <c r="K417" s="82">
        <f ca="1">(Table15[[#This Row],[Daily_Production]]*Table15[[#This Row],[Working_Days]]) -Table15[[#This Row],[Maintenance_Downtime]]</f>
        <v>3747</v>
      </c>
    </row>
    <row r="418" spans="1:11">
      <c r="A418" s="53">
        <v>54485</v>
      </c>
      <c r="B418" s="14" t="s">
        <v>12</v>
      </c>
      <c r="C418" s="14">
        <v>92</v>
      </c>
      <c r="D418" s="14">
        <v>32184.690848731749</v>
      </c>
      <c r="E418" s="82">
        <f>_xlfn.FORECAST.LINEAR(Table15[[#This Row],[Date]],Table15[Units_Sold],Table15[Date])</f>
        <v>99.566678122712489</v>
      </c>
      <c r="F418" s="138">
        <f>Table15[[#This Row],[Average_Price]]/Table15[[#This Row],[Units_Sold]]</f>
        <v>349.83359618186682</v>
      </c>
      <c r="G418" cm="1">
        <f t="array" ref="G418">_xlfn.IFS(Table15[[#This Row],[Vehicle_Type]]="SUV",250,Table15[[#This Row],[Vehicle_Type]]="Sedan",200,Table15[[#This Row],[Vehicle_Type]]="Hatchback",185,Table15[[#This Row],[Vehicle_Type]]="Electric",190,Table15[[#This Row],[Vehicle_Type]]="Truck",150)</f>
        <v>250</v>
      </c>
      <c r="H418">
        <f t="shared" ca="1" si="12"/>
        <v>21</v>
      </c>
      <c r="I418">
        <f t="shared" ca="1" si="13"/>
        <v>9</v>
      </c>
      <c r="J418" s="81">
        <f ca="1">24/Table15[[#This Row],[Production_Hours]]</f>
        <v>2.6666666666666665</v>
      </c>
      <c r="K418" s="82">
        <f ca="1">(Table15[[#This Row],[Daily_Production]]*Table15[[#This Row],[Working_Days]]) -Table15[[#This Row],[Maintenance_Downtime]]</f>
        <v>5247.333333333333</v>
      </c>
    </row>
    <row r="419" spans="1:11">
      <c r="A419" s="54">
        <v>54515</v>
      </c>
      <c r="B419" s="15" t="s">
        <v>12</v>
      </c>
      <c r="C419" s="15">
        <v>110</v>
      </c>
      <c r="D419" s="15">
        <v>35953.231373931703</v>
      </c>
      <c r="E419" s="82">
        <f>_xlfn.FORECAST.LINEAR(Table15[[#This Row],[Date]],Table15[Units_Sold],Table15[Date])</f>
        <v>99.568279793119174</v>
      </c>
      <c r="F419" s="138">
        <f>Table15[[#This Row],[Average_Price]]/Table15[[#This Row],[Units_Sold]]</f>
        <v>326.84755794483368</v>
      </c>
      <c r="G419" cm="1">
        <f t="array" ref="G419">_xlfn.IFS(Table15[[#This Row],[Vehicle_Type]]="SUV",250,Table15[[#This Row],[Vehicle_Type]]="Sedan",200,Table15[[#This Row],[Vehicle_Type]]="Hatchback",185,Table15[[#This Row],[Vehicle_Type]]="Electric",190,Table15[[#This Row],[Vehicle_Type]]="Truck",150)</f>
        <v>250</v>
      </c>
      <c r="H419">
        <f t="shared" ca="1" si="12"/>
        <v>23</v>
      </c>
      <c r="I419">
        <f t="shared" ca="1" si="13"/>
        <v>10</v>
      </c>
      <c r="J419" s="81">
        <f ca="1">24/Table15[[#This Row],[Production_Hours]]</f>
        <v>2.4</v>
      </c>
      <c r="K419" s="82">
        <f ca="1">(Table15[[#This Row],[Daily_Production]]*Table15[[#This Row],[Working_Days]]) -Table15[[#This Row],[Maintenance_Downtime]]</f>
        <v>5747.6</v>
      </c>
    </row>
    <row r="420" spans="1:11">
      <c r="A420" s="53">
        <v>54545</v>
      </c>
      <c r="B420" s="14" t="s">
        <v>14</v>
      </c>
      <c r="C420" s="14">
        <v>93</v>
      </c>
      <c r="D420" s="14">
        <v>34747.770677206616</v>
      </c>
      <c r="E420" s="82">
        <f>_xlfn.FORECAST.LINEAR(Table15[[#This Row],[Date]],Table15[Units_Sold],Table15[Date])</f>
        <v>99.56988146352586</v>
      </c>
      <c r="F420" s="138">
        <f>Table15[[#This Row],[Average_Price]]/Table15[[#This Row],[Units_Sold]]</f>
        <v>373.63194276566253</v>
      </c>
      <c r="G420" cm="1">
        <f t="array" ref="G420">_xlfn.IFS(Table15[[#This Row],[Vehicle_Type]]="SUV",250,Table15[[#This Row],[Vehicle_Type]]="Sedan",200,Table15[[#This Row],[Vehicle_Type]]="Hatchback",185,Table15[[#This Row],[Vehicle_Type]]="Electric",190,Table15[[#This Row],[Vehicle_Type]]="Truck",150)</f>
        <v>150</v>
      </c>
      <c r="H420">
        <f t="shared" ca="1" si="12"/>
        <v>21</v>
      </c>
      <c r="I420">
        <f t="shared" ca="1" si="13"/>
        <v>8</v>
      </c>
      <c r="J420" s="81">
        <f ca="1">24/Table15[[#This Row],[Production_Hours]]</f>
        <v>3</v>
      </c>
      <c r="K420" s="82">
        <f ca="1">(Table15[[#This Row],[Daily_Production]]*Table15[[#This Row],[Working_Days]]) -Table15[[#This Row],[Maintenance_Downtime]]</f>
        <v>3147</v>
      </c>
    </row>
    <row r="421" spans="1:11">
      <c r="A421" s="54">
        <v>54575</v>
      </c>
      <c r="B421" s="15" t="s">
        <v>11</v>
      </c>
      <c r="C421" s="15">
        <v>100</v>
      </c>
      <c r="D421" s="15">
        <v>22575.510157750483</v>
      </c>
      <c r="E421" s="82">
        <f>_xlfn.FORECAST.LINEAR(Table15[[#This Row],[Date]],Table15[Units_Sold],Table15[Date])</f>
        <v>99.571483133932546</v>
      </c>
      <c r="F421" s="138">
        <f>Table15[[#This Row],[Average_Price]]/Table15[[#This Row],[Units_Sold]]</f>
        <v>225.75510157750483</v>
      </c>
      <c r="G421" cm="1">
        <f t="array" ref="G421">_xlfn.IFS(Table15[[#This Row],[Vehicle_Type]]="SUV",250,Table15[[#This Row],[Vehicle_Type]]="Sedan",200,Table15[[#This Row],[Vehicle_Type]]="Hatchback",185,Table15[[#This Row],[Vehicle_Type]]="Electric",190,Table15[[#This Row],[Vehicle_Type]]="Truck",150)</f>
        <v>185</v>
      </c>
      <c r="H421">
        <f t="shared" ca="1" si="12"/>
        <v>25</v>
      </c>
      <c r="I421">
        <f t="shared" ca="1" si="13"/>
        <v>12</v>
      </c>
      <c r="J421" s="81">
        <f ca="1">24/Table15[[#This Row],[Production_Hours]]</f>
        <v>2</v>
      </c>
      <c r="K421" s="82">
        <f ca="1">(Table15[[#This Row],[Daily_Production]]*Table15[[#This Row],[Working_Days]]) -Table15[[#This Row],[Maintenance_Downtime]]</f>
        <v>4623</v>
      </c>
    </row>
    <row r="422" spans="1:11">
      <c r="A422" s="53">
        <v>54605</v>
      </c>
      <c r="B422" s="14" t="s">
        <v>11</v>
      </c>
      <c r="C422" s="14">
        <v>117</v>
      </c>
      <c r="D422" s="14">
        <v>17230.394325490226</v>
      </c>
      <c r="E422" s="82">
        <f>_xlfn.FORECAST.LINEAR(Table15[[#This Row],[Date]],Table15[Units_Sold],Table15[Date])</f>
        <v>99.573084804339217</v>
      </c>
      <c r="F422" s="138">
        <f>Table15[[#This Row],[Average_Price]]/Table15[[#This Row],[Units_Sold]]</f>
        <v>147.26832756829253</v>
      </c>
      <c r="G422" cm="1">
        <f t="array" ref="G422">_xlfn.IFS(Table15[[#This Row],[Vehicle_Type]]="SUV",250,Table15[[#This Row],[Vehicle_Type]]="Sedan",200,Table15[[#This Row],[Vehicle_Type]]="Hatchback",185,Table15[[#This Row],[Vehicle_Type]]="Electric",190,Table15[[#This Row],[Vehicle_Type]]="Truck",150)</f>
        <v>185</v>
      </c>
      <c r="H422">
        <f t="shared" ca="1" si="12"/>
        <v>22</v>
      </c>
      <c r="I422">
        <f t="shared" ca="1" si="13"/>
        <v>11</v>
      </c>
      <c r="J422" s="81">
        <f ca="1">24/Table15[[#This Row],[Production_Hours]]</f>
        <v>2.1818181818181817</v>
      </c>
      <c r="K422" s="82">
        <f ca="1">(Table15[[#This Row],[Daily_Production]]*Table15[[#This Row],[Working_Days]]) -Table15[[#This Row],[Maintenance_Downtime]]</f>
        <v>4067.818181818182</v>
      </c>
    </row>
    <row r="423" spans="1:11">
      <c r="A423" s="54">
        <v>54635</v>
      </c>
      <c r="B423" s="15" t="s">
        <v>12</v>
      </c>
      <c r="C423" s="15">
        <v>122</v>
      </c>
      <c r="D423" s="15">
        <v>34671.599556196365</v>
      </c>
      <c r="E423" s="82">
        <f>_xlfn.FORECAST.LINEAR(Table15[[#This Row],[Date]],Table15[Units_Sold],Table15[Date])</f>
        <v>99.574686474745903</v>
      </c>
      <c r="F423" s="138">
        <f>Table15[[#This Row],[Average_Price]]/Table15[[#This Row],[Units_Sold]]</f>
        <v>284.19343898521612</v>
      </c>
      <c r="G423" cm="1">
        <f t="array" ref="G423">_xlfn.IFS(Table15[[#This Row],[Vehicle_Type]]="SUV",250,Table15[[#This Row],[Vehicle_Type]]="Sedan",200,Table15[[#This Row],[Vehicle_Type]]="Hatchback",185,Table15[[#This Row],[Vehicle_Type]]="Electric",190,Table15[[#This Row],[Vehicle_Type]]="Truck",150)</f>
        <v>250</v>
      </c>
      <c r="H423">
        <f t="shared" ca="1" si="12"/>
        <v>24</v>
      </c>
      <c r="I423">
        <f t="shared" ca="1" si="13"/>
        <v>10</v>
      </c>
      <c r="J423" s="81">
        <f ca="1">24/Table15[[#This Row],[Production_Hours]]</f>
        <v>2.4</v>
      </c>
      <c r="K423" s="82">
        <f ca="1">(Table15[[#This Row],[Daily_Production]]*Table15[[#This Row],[Working_Days]]) -Table15[[#This Row],[Maintenance_Downtime]]</f>
        <v>5997.6</v>
      </c>
    </row>
    <row r="424" spans="1:11">
      <c r="A424" s="53">
        <v>54665</v>
      </c>
      <c r="B424" s="14" t="s">
        <v>12</v>
      </c>
      <c r="C424" s="14">
        <v>90</v>
      </c>
      <c r="D424" s="14">
        <v>23165.606507922894</v>
      </c>
      <c r="E424" s="82">
        <f>_xlfn.FORECAST.LINEAR(Table15[[#This Row],[Date]],Table15[Units_Sold],Table15[Date])</f>
        <v>99.576288145152589</v>
      </c>
      <c r="F424" s="138">
        <f>Table15[[#This Row],[Average_Price]]/Table15[[#This Row],[Units_Sold]]</f>
        <v>257.39562786580996</v>
      </c>
      <c r="G424" cm="1">
        <f t="array" ref="G424">_xlfn.IFS(Table15[[#This Row],[Vehicle_Type]]="SUV",250,Table15[[#This Row],[Vehicle_Type]]="Sedan",200,Table15[[#This Row],[Vehicle_Type]]="Hatchback",185,Table15[[#This Row],[Vehicle_Type]]="Electric",190,Table15[[#This Row],[Vehicle_Type]]="Truck",150)</f>
        <v>250</v>
      </c>
      <c r="H424">
        <f t="shared" ca="1" si="12"/>
        <v>21</v>
      </c>
      <c r="I424">
        <f t="shared" ca="1" si="13"/>
        <v>11</v>
      </c>
      <c r="J424" s="81">
        <f ca="1">24/Table15[[#This Row],[Production_Hours]]</f>
        <v>2.1818181818181817</v>
      </c>
      <c r="K424" s="82">
        <f ca="1">(Table15[[#This Row],[Daily_Production]]*Table15[[#This Row],[Working_Days]]) -Table15[[#This Row],[Maintenance_Downtime]]</f>
        <v>5247.818181818182</v>
      </c>
    </row>
    <row r="425" spans="1:11">
      <c r="A425" s="54">
        <v>54695</v>
      </c>
      <c r="B425" s="15" t="s">
        <v>10</v>
      </c>
      <c r="C425" s="15">
        <v>113</v>
      </c>
      <c r="D425" s="15">
        <v>28876.172990536583</v>
      </c>
      <c r="E425" s="82">
        <f>_xlfn.FORECAST.LINEAR(Table15[[#This Row],[Date]],Table15[Units_Sold],Table15[Date])</f>
        <v>99.57788981555926</v>
      </c>
      <c r="F425" s="138">
        <f>Table15[[#This Row],[Average_Price]]/Table15[[#This Row],[Units_Sold]]</f>
        <v>255.54135389855384</v>
      </c>
      <c r="G425" cm="1">
        <f t="array" ref="G425">_xlfn.IFS(Table15[[#This Row],[Vehicle_Type]]="SUV",250,Table15[[#This Row],[Vehicle_Type]]="Sedan",200,Table15[[#This Row],[Vehicle_Type]]="Hatchback",185,Table15[[#This Row],[Vehicle_Type]]="Electric",190,Table15[[#This Row],[Vehicle_Type]]="Truck",150)</f>
        <v>200</v>
      </c>
      <c r="H425">
        <f t="shared" ca="1" si="12"/>
        <v>23</v>
      </c>
      <c r="I425">
        <f t="shared" ca="1" si="13"/>
        <v>9</v>
      </c>
      <c r="J425" s="81">
        <f ca="1">24/Table15[[#This Row],[Production_Hours]]</f>
        <v>2.6666666666666665</v>
      </c>
      <c r="K425" s="82">
        <f ca="1">(Table15[[#This Row],[Daily_Production]]*Table15[[#This Row],[Working_Days]]) -Table15[[#This Row],[Maintenance_Downtime]]</f>
        <v>4597.333333333333</v>
      </c>
    </row>
    <row r="426" spans="1:11">
      <c r="A426" s="53">
        <v>54725</v>
      </c>
      <c r="B426" s="14" t="s">
        <v>12</v>
      </c>
      <c r="C426" s="14">
        <v>110</v>
      </c>
      <c r="D426" s="14">
        <v>24149.434869703204</v>
      </c>
      <c r="E426" s="82">
        <f>_xlfn.FORECAST.LINEAR(Table15[[#This Row],[Date]],Table15[Units_Sold],Table15[Date])</f>
        <v>99.579491485965946</v>
      </c>
      <c r="F426" s="138">
        <f>Table15[[#This Row],[Average_Price]]/Table15[[#This Row],[Units_Sold]]</f>
        <v>219.54031699730186</v>
      </c>
      <c r="G426" cm="1">
        <f t="array" ref="G426">_xlfn.IFS(Table15[[#This Row],[Vehicle_Type]]="SUV",250,Table15[[#This Row],[Vehicle_Type]]="Sedan",200,Table15[[#This Row],[Vehicle_Type]]="Hatchback",185,Table15[[#This Row],[Vehicle_Type]]="Electric",190,Table15[[#This Row],[Vehicle_Type]]="Truck",150)</f>
        <v>250</v>
      </c>
      <c r="H426">
        <f t="shared" ca="1" si="12"/>
        <v>22</v>
      </c>
      <c r="I426">
        <f t="shared" ca="1" si="13"/>
        <v>9</v>
      </c>
      <c r="J426" s="81">
        <f ca="1">24/Table15[[#This Row],[Production_Hours]]</f>
        <v>2.6666666666666665</v>
      </c>
      <c r="K426" s="82">
        <f ca="1">(Table15[[#This Row],[Daily_Production]]*Table15[[#This Row],[Working_Days]]) -Table15[[#This Row],[Maintenance_Downtime]]</f>
        <v>5497.333333333333</v>
      </c>
    </row>
    <row r="427" spans="1:11">
      <c r="A427" s="54">
        <v>54755</v>
      </c>
      <c r="B427" s="15" t="s">
        <v>14</v>
      </c>
      <c r="C427" s="15">
        <v>106</v>
      </c>
      <c r="D427" s="15">
        <v>20990.097812099899</v>
      </c>
      <c r="E427" s="82">
        <f>_xlfn.FORECAST.LINEAR(Table15[[#This Row],[Date]],Table15[Units_Sold],Table15[Date])</f>
        <v>99.581093156372631</v>
      </c>
      <c r="F427" s="138">
        <f>Table15[[#This Row],[Average_Price]]/Table15[[#This Row],[Units_Sold]]</f>
        <v>198.01979068018773</v>
      </c>
      <c r="G427" cm="1">
        <f t="array" ref="G427">_xlfn.IFS(Table15[[#This Row],[Vehicle_Type]]="SUV",250,Table15[[#This Row],[Vehicle_Type]]="Sedan",200,Table15[[#This Row],[Vehicle_Type]]="Hatchback",185,Table15[[#This Row],[Vehicle_Type]]="Electric",190,Table15[[#This Row],[Vehicle_Type]]="Truck",150)</f>
        <v>150</v>
      </c>
      <c r="H427">
        <f t="shared" ca="1" si="12"/>
        <v>23</v>
      </c>
      <c r="I427">
        <f t="shared" ca="1" si="13"/>
        <v>10</v>
      </c>
      <c r="J427" s="81">
        <f ca="1">24/Table15[[#This Row],[Production_Hours]]</f>
        <v>2.4</v>
      </c>
      <c r="K427" s="82">
        <f ca="1">(Table15[[#This Row],[Daily_Production]]*Table15[[#This Row],[Working_Days]]) -Table15[[#This Row],[Maintenance_Downtime]]</f>
        <v>3447.6</v>
      </c>
    </row>
    <row r="428" spans="1:11">
      <c r="A428" s="53">
        <v>54785</v>
      </c>
      <c r="B428" s="14" t="s">
        <v>11</v>
      </c>
      <c r="C428" s="14">
        <v>92</v>
      </c>
      <c r="D428" s="14">
        <v>32707.313641023939</v>
      </c>
      <c r="E428" s="82">
        <f>_xlfn.FORECAST.LINEAR(Table15[[#This Row],[Date]],Table15[Units_Sold],Table15[Date])</f>
        <v>99.582694826779317</v>
      </c>
      <c r="F428" s="138">
        <f>Table15[[#This Row],[Average_Price]]/Table15[[#This Row],[Units_Sold]]</f>
        <v>355.51427870678197</v>
      </c>
      <c r="G428" cm="1">
        <f t="array" ref="G428">_xlfn.IFS(Table15[[#This Row],[Vehicle_Type]]="SUV",250,Table15[[#This Row],[Vehicle_Type]]="Sedan",200,Table15[[#This Row],[Vehicle_Type]]="Hatchback",185,Table15[[#This Row],[Vehicle_Type]]="Electric",190,Table15[[#This Row],[Vehicle_Type]]="Truck",150)</f>
        <v>185</v>
      </c>
      <c r="H428">
        <f t="shared" ca="1" si="12"/>
        <v>22</v>
      </c>
      <c r="I428">
        <f t="shared" ca="1" si="13"/>
        <v>10</v>
      </c>
      <c r="J428" s="81">
        <f ca="1">24/Table15[[#This Row],[Production_Hours]]</f>
        <v>2.4</v>
      </c>
      <c r="K428" s="82">
        <f ca="1">(Table15[[#This Row],[Daily_Production]]*Table15[[#This Row],[Working_Days]]) -Table15[[#This Row],[Maintenance_Downtime]]</f>
        <v>4067.6</v>
      </c>
    </row>
    <row r="429" spans="1:11">
      <c r="A429" s="54">
        <v>54815</v>
      </c>
      <c r="B429" s="15" t="s">
        <v>11</v>
      </c>
      <c r="C429" s="15">
        <v>121</v>
      </c>
      <c r="D429" s="15">
        <v>33795.775801513235</v>
      </c>
      <c r="E429" s="82">
        <f>_xlfn.FORECAST.LINEAR(Table15[[#This Row],[Date]],Table15[Units_Sold],Table15[Date])</f>
        <v>99.584296497185989</v>
      </c>
      <c r="F429" s="138">
        <f>Table15[[#This Row],[Average_Price]]/Table15[[#This Row],[Units_Sold]]</f>
        <v>279.30393224391105</v>
      </c>
      <c r="G429" cm="1">
        <f t="array" ref="G429">_xlfn.IFS(Table15[[#This Row],[Vehicle_Type]]="SUV",250,Table15[[#This Row],[Vehicle_Type]]="Sedan",200,Table15[[#This Row],[Vehicle_Type]]="Hatchback",185,Table15[[#This Row],[Vehicle_Type]]="Electric",190,Table15[[#This Row],[Vehicle_Type]]="Truck",150)</f>
        <v>185</v>
      </c>
      <c r="H429">
        <f t="shared" ca="1" si="12"/>
        <v>22</v>
      </c>
      <c r="I429">
        <f t="shared" ca="1" si="13"/>
        <v>10</v>
      </c>
      <c r="J429" s="81">
        <f ca="1">24/Table15[[#This Row],[Production_Hours]]</f>
        <v>2.4</v>
      </c>
      <c r="K429" s="82">
        <f ca="1">(Table15[[#This Row],[Daily_Production]]*Table15[[#This Row],[Working_Days]]) -Table15[[#This Row],[Maintenance_Downtime]]</f>
        <v>4067.6</v>
      </c>
    </row>
    <row r="430" spans="1:11">
      <c r="A430" s="53">
        <v>54845</v>
      </c>
      <c r="B430" s="14" t="s">
        <v>10</v>
      </c>
      <c r="C430" s="14">
        <v>89</v>
      </c>
      <c r="D430" s="14">
        <v>27117.447996366402</v>
      </c>
      <c r="E430" s="82">
        <f>_xlfn.FORECAST.LINEAR(Table15[[#This Row],[Date]],Table15[Units_Sold],Table15[Date])</f>
        <v>99.585898167592674</v>
      </c>
      <c r="F430" s="138">
        <f>Table15[[#This Row],[Average_Price]]/Table15[[#This Row],[Units_Sold]]</f>
        <v>304.6904269254652</v>
      </c>
      <c r="G430" cm="1">
        <f t="array" ref="G430">_xlfn.IFS(Table15[[#This Row],[Vehicle_Type]]="SUV",250,Table15[[#This Row],[Vehicle_Type]]="Sedan",200,Table15[[#This Row],[Vehicle_Type]]="Hatchback",185,Table15[[#This Row],[Vehicle_Type]]="Electric",190,Table15[[#This Row],[Vehicle_Type]]="Truck",150)</f>
        <v>200</v>
      </c>
      <c r="H430">
        <f t="shared" ca="1" si="12"/>
        <v>24</v>
      </c>
      <c r="I430">
        <f t="shared" ca="1" si="13"/>
        <v>9</v>
      </c>
      <c r="J430" s="81">
        <f ca="1">24/Table15[[#This Row],[Production_Hours]]</f>
        <v>2.6666666666666665</v>
      </c>
      <c r="K430" s="82">
        <f ca="1">(Table15[[#This Row],[Daily_Production]]*Table15[[#This Row],[Working_Days]]) -Table15[[#This Row],[Maintenance_Downtime]]</f>
        <v>4797.333333333333</v>
      </c>
    </row>
    <row r="431" spans="1:11">
      <c r="A431" s="54">
        <v>54875</v>
      </c>
      <c r="B431" s="15" t="s">
        <v>11</v>
      </c>
      <c r="C431" s="15">
        <v>117</v>
      </c>
      <c r="D431" s="15">
        <v>30949.702720000001</v>
      </c>
      <c r="E431" s="82">
        <f>_xlfn.FORECAST.LINEAR(Table15[[#This Row],[Date]],Table15[Units_Sold],Table15[Date])</f>
        <v>99.58749983799936</v>
      </c>
      <c r="F431" s="138">
        <f>Table15[[#This Row],[Average_Price]]/Table15[[#This Row],[Units_Sold]]</f>
        <v>264.52737367521371</v>
      </c>
      <c r="G431" cm="1">
        <f t="array" ref="G431">_xlfn.IFS(Table15[[#This Row],[Vehicle_Type]]="SUV",250,Table15[[#This Row],[Vehicle_Type]]="Sedan",200,Table15[[#This Row],[Vehicle_Type]]="Hatchback",185,Table15[[#This Row],[Vehicle_Type]]="Electric",190,Table15[[#This Row],[Vehicle_Type]]="Truck",150)</f>
        <v>185</v>
      </c>
      <c r="H431">
        <f t="shared" ca="1" si="12"/>
        <v>25</v>
      </c>
      <c r="I431">
        <f t="shared" ca="1" si="13"/>
        <v>12</v>
      </c>
      <c r="J431" s="81">
        <f ca="1">24/Table15[[#This Row],[Production_Hours]]</f>
        <v>2</v>
      </c>
      <c r="K431" s="82">
        <f ca="1">(Table15[[#This Row],[Daily_Production]]*Table15[[#This Row],[Working_Days]]) -Table15[[#This Row],[Maintenance_Downtime]]</f>
        <v>4623</v>
      </c>
    </row>
    <row r="432" spans="1:11">
      <c r="A432" s="53">
        <v>54905</v>
      </c>
      <c r="B432" s="14" t="s">
        <v>11</v>
      </c>
      <c r="C432" s="14">
        <v>106</v>
      </c>
      <c r="D432" s="14">
        <v>27268.777758737586</v>
      </c>
      <c r="E432" s="82">
        <f>_xlfn.FORECAST.LINEAR(Table15[[#This Row],[Date]],Table15[Units_Sold],Table15[Date])</f>
        <v>99.589101508406031</v>
      </c>
      <c r="F432" s="138">
        <f>Table15[[#This Row],[Average_Price]]/Table15[[#This Row],[Units_Sold]]</f>
        <v>257.25262036544893</v>
      </c>
      <c r="G432" cm="1">
        <f t="array" ref="G432">_xlfn.IFS(Table15[[#This Row],[Vehicle_Type]]="SUV",250,Table15[[#This Row],[Vehicle_Type]]="Sedan",200,Table15[[#This Row],[Vehicle_Type]]="Hatchback",185,Table15[[#This Row],[Vehicle_Type]]="Electric",190,Table15[[#This Row],[Vehicle_Type]]="Truck",150)</f>
        <v>185</v>
      </c>
      <c r="H432">
        <f t="shared" ca="1" si="12"/>
        <v>21</v>
      </c>
      <c r="I432">
        <f t="shared" ca="1" si="13"/>
        <v>10</v>
      </c>
      <c r="J432" s="81">
        <f ca="1">24/Table15[[#This Row],[Production_Hours]]</f>
        <v>2.4</v>
      </c>
      <c r="K432" s="82">
        <f ca="1">(Table15[[#This Row],[Daily_Production]]*Table15[[#This Row],[Working_Days]]) -Table15[[#This Row],[Maintenance_Downtime]]</f>
        <v>3882.6</v>
      </c>
    </row>
    <row r="433" spans="1:11">
      <c r="A433" s="54">
        <v>54935</v>
      </c>
      <c r="B433" s="15" t="s">
        <v>13</v>
      </c>
      <c r="C433" s="15">
        <v>121</v>
      </c>
      <c r="D433" s="15">
        <v>31959.020027012732</v>
      </c>
      <c r="E433" s="82">
        <f>_xlfn.FORECAST.LINEAR(Table15[[#This Row],[Date]],Table15[Units_Sold],Table15[Date])</f>
        <v>99.590703178812717</v>
      </c>
      <c r="F433" s="138">
        <f>Table15[[#This Row],[Average_Price]]/Table15[[#This Row],[Units_Sold]]</f>
        <v>264.12413245465069</v>
      </c>
      <c r="G433" cm="1">
        <f t="array" ref="G433">_xlfn.IFS(Table15[[#This Row],[Vehicle_Type]]="SUV",250,Table15[[#This Row],[Vehicle_Type]]="Sedan",200,Table15[[#This Row],[Vehicle_Type]]="Hatchback",185,Table15[[#This Row],[Vehicle_Type]]="Electric",190,Table15[[#This Row],[Vehicle_Type]]="Truck",150)</f>
        <v>190</v>
      </c>
      <c r="H433">
        <f t="shared" ca="1" si="12"/>
        <v>24</v>
      </c>
      <c r="I433">
        <f t="shared" ca="1" si="13"/>
        <v>11</v>
      </c>
      <c r="J433" s="81">
        <f ca="1">24/Table15[[#This Row],[Production_Hours]]</f>
        <v>2.1818181818181817</v>
      </c>
      <c r="K433" s="82">
        <f ca="1">(Table15[[#This Row],[Daily_Production]]*Table15[[#This Row],[Working_Days]]) -Table15[[#This Row],[Maintenance_Downtime]]</f>
        <v>4557.818181818182</v>
      </c>
    </row>
    <row r="434" spans="1:11">
      <c r="A434" s="53">
        <v>54965</v>
      </c>
      <c r="B434" s="14" t="s">
        <v>14</v>
      </c>
      <c r="C434" s="14">
        <v>95</v>
      </c>
      <c r="D434" s="14">
        <v>22605.442156129357</v>
      </c>
      <c r="E434" s="82">
        <f>_xlfn.FORECAST.LINEAR(Table15[[#This Row],[Date]],Table15[Units_Sold],Table15[Date])</f>
        <v>99.592304849219403</v>
      </c>
      <c r="F434" s="138">
        <f>Table15[[#This Row],[Average_Price]]/Table15[[#This Row],[Units_Sold]]</f>
        <v>237.95202269609848</v>
      </c>
      <c r="G434" cm="1">
        <f t="array" ref="G434">_xlfn.IFS(Table15[[#This Row],[Vehicle_Type]]="SUV",250,Table15[[#This Row],[Vehicle_Type]]="Sedan",200,Table15[[#This Row],[Vehicle_Type]]="Hatchback",185,Table15[[#This Row],[Vehicle_Type]]="Electric",190,Table15[[#This Row],[Vehicle_Type]]="Truck",150)</f>
        <v>150</v>
      </c>
      <c r="H434">
        <f t="shared" ca="1" si="12"/>
        <v>23</v>
      </c>
      <c r="I434">
        <f t="shared" ca="1" si="13"/>
        <v>9</v>
      </c>
      <c r="J434" s="81">
        <f ca="1">24/Table15[[#This Row],[Production_Hours]]</f>
        <v>2.6666666666666665</v>
      </c>
      <c r="K434" s="82">
        <f ca="1">(Table15[[#This Row],[Daily_Production]]*Table15[[#This Row],[Working_Days]]) -Table15[[#This Row],[Maintenance_Downtime]]</f>
        <v>3447.3333333333335</v>
      </c>
    </row>
    <row r="435" spans="1:11">
      <c r="A435" s="54">
        <v>54995</v>
      </c>
      <c r="B435" s="15" t="s">
        <v>13</v>
      </c>
      <c r="C435" s="15">
        <v>91</v>
      </c>
      <c r="D435" s="15">
        <v>30916.799598895777</v>
      </c>
      <c r="E435" s="82">
        <f>_xlfn.FORECAST.LINEAR(Table15[[#This Row],[Date]],Table15[Units_Sold],Table15[Date])</f>
        <v>99.593906519626088</v>
      </c>
      <c r="F435" s="138">
        <f>Table15[[#This Row],[Average_Price]]/Table15[[#This Row],[Units_Sold]]</f>
        <v>339.74505053731622</v>
      </c>
      <c r="G435" cm="1">
        <f t="array" ref="G435">_xlfn.IFS(Table15[[#This Row],[Vehicle_Type]]="SUV",250,Table15[[#This Row],[Vehicle_Type]]="Sedan",200,Table15[[#This Row],[Vehicle_Type]]="Hatchback",185,Table15[[#This Row],[Vehicle_Type]]="Electric",190,Table15[[#This Row],[Vehicle_Type]]="Truck",150)</f>
        <v>190</v>
      </c>
      <c r="H435">
        <f t="shared" ca="1" si="12"/>
        <v>22</v>
      </c>
      <c r="I435">
        <f t="shared" ca="1" si="13"/>
        <v>12</v>
      </c>
      <c r="J435" s="81">
        <f ca="1">24/Table15[[#This Row],[Production_Hours]]</f>
        <v>2</v>
      </c>
      <c r="K435" s="82">
        <f ca="1">(Table15[[#This Row],[Daily_Production]]*Table15[[#This Row],[Working_Days]]) -Table15[[#This Row],[Maintenance_Downtime]]</f>
        <v>4178</v>
      </c>
    </row>
    <row r="436" spans="1:11">
      <c r="A436" s="53">
        <v>55025</v>
      </c>
      <c r="B436" s="14" t="s">
        <v>11</v>
      </c>
      <c r="C436" s="14">
        <v>82</v>
      </c>
      <c r="D436" s="14">
        <v>30949.702720000001</v>
      </c>
      <c r="E436" s="82">
        <f>_xlfn.FORECAST.LINEAR(Table15[[#This Row],[Date]],Table15[Units_Sold],Table15[Date])</f>
        <v>99.59550819003276</v>
      </c>
      <c r="F436" s="138">
        <f>Table15[[#This Row],[Average_Price]]/Table15[[#This Row],[Units_Sold]]</f>
        <v>377.43539902439028</v>
      </c>
      <c r="G436" cm="1">
        <f t="array" ref="G436">_xlfn.IFS(Table15[[#This Row],[Vehicle_Type]]="SUV",250,Table15[[#This Row],[Vehicle_Type]]="Sedan",200,Table15[[#This Row],[Vehicle_Type]]="Hatchback",185,Table15[[#This Row],[Vehicle_Type]]="Electric",190,Table15[[#This Row],[Vehicle_Type]]="Truck",150)</f>
        <v>185</v>
      </c>
      <c r="H436">
        <f t="shared" ca="1" si="12"/>
        <v>21</v>
      </c>
      <c r="I436">
        <f t="shared" ca="1" si="13"/>
        <v>10</v>
      </c>
      <c r="J436" s="81">
        <f ca="1">24/Table15[[#This Row],[Production_Hours]]</f>
        <v>2.4</v>
      </c>
      <c r="K436" s="82">
        <f ca="1">(Table15[[#This Row],[Daily_Production]]*Table15[[#This Row],[Working_Days]]) -Table15[[#This Row],[Maintenance_Downtime]]</f>
        <v>3882.6</v>
      </c>
    </row>
    <row r="437" spans="1:11">
      <c r="A437" s="54">
        <v>55055</v>
      </c>
      <c r="B437" s="15" t="s">
        <v>10</v>
      </c>
      <c r="C437" s="15">
        <v>100</v>
      </c>
      <c r="D437" s="15">
        <v>32896.457498005439</v>
      </c>
      <c r="E437" s="82">
        <f>_xlfn.FORECAST.LINEAR(Table15[[#This Row],[Date]],Table15[Units_Sold],Table15[Date])</f>
        <v>99.597109860439446</v>
      </c>
      <c r="F437" s="138">
        <f>Table15[[#This Row],[Average_Price]]/Table15[[#This Row],[Units_Sold]]</f>
        <v>328.96457498005441</v>
      </c>
      <c r="G437" cm="1">
        <f t="array" ref="G437">_xlfn.IFS(Table15[[#This Row],[Vehicle_Type]]="SUV",250,Table15[[#This Row],[Vehicle_Type]]="Sedan",200,Table15[[#This Row],[Vehicle_Type]]="Hatchback",185,Table15[[#This Row],[Vehicle_Type]]="Electric",190,Table15[[#This Row],[Vehicle_Type]]="Truck",150)</f>
        <v>200</v>
      </c>
      <c r="H437">
        <f t="shared" ca="1" si="12"/>
        <v>25</v>
      </c>
      <c r="I437">
        <f t="shared" ca="1" si="13"/>
        <v>12</v>
      </c>
      <c r="J437" s="81">
        <f ca="1">24/Table15[[#This Row],[Production_Hours]]</f>
        <v>2</v>
      </c>
      <c r="K437" s="82">
        <f ca="1">(Table15[[#This Row],[Daily_Production]]*Table15[[#This Row],[Working_Days]]) -Table15[[#This Row],[Maintenance_Downtime]]</f>
        <v>4998</v>
      </c>
    </row>
    <row r="438" spans="1:11">
      <c r="A438" s="53">
        <v>55085</v>
      </c>
      <c r="B438" s="14" t="s">
        <v>10</v>
      </c>
      <c r="C438" s="14">
        <v>81</v>
      </c>
      <c r="D438" s="14">
        <v>30597.901842070765</v>
      </c>
      <c r="E438" s="82">
        <f>_xlfn.FORECAST.LINEAR(Table15[[#This Row],[Date]],Table15[Units_Sold],Table15[Date])</f>
        <v>99.598711530846131</v>
      </c>
      <c r="F438" s="138">
        <f>Table15[[#This Row],[Average_Price]]/Table15[[#This Row],[Units_Sold]]</f>
        <v>377.75187459346625</v>
      </c>
      <c r="G438" cm="1">
        <f t="array" ref="G438">_xlfn.IFS(Table15[[#This Row],[Vehicle_Type]]="SUV",250,Table15[[#This Row],[Vehicle_Type]]="Sedan",200,Table15[[#This Row],[Vehicle_Type]]="Hatchback",185,Table15[[#This Row],[Vehicle_Type]]="Electric",190,Table15[[#This Row],[Vehicle_Type]]="Truck",150)</f>
        <v>200</v>
      </c>
      <c r="H438">
        <f t="shared" ca="1" si="12"/>
        <v>24</v>
      </c>
      <c r="I438">
        <f t="shared" ca="1" si="13"/>
        <v>12</v>
      </c>
      <c r="J438" s="81">
        <f ca="1">24/Table15[[#This Row],[Production_Hours]]</f>
        <v>2</v>
      </c>
      <c r="K438" s="82">
        <f ca="1">(Table15[[#This Row],[Daily_Production]]*Table15[[#This Row],[Working_Days]]) -Table15[[#This Row],[Maintenance_Downtime]]</f>
        <v>4798</v>
      </c>
    </row>
    <row r="439" spans="1:11">
      <c r="A439" s="54">
        <v>55115</v>
      </c>
      <c r="B439" s="15" t="s">
        <v>11</v>
      </c>
      <c r="C439" s="15">
        <v>101</v>
      </c>
      <c r="D439" s="15">
        <v>25134.655295592223</v>
      </c>
      <c r="E439" s="82">
        <f>_xlfn.FORECAST.LINEAR(Table15[[#This Row],[Date]],Table15[Units_Sold],Table15[Date])</f>
        <v>99.600313201252803</v>
      </c>
      <c r="F439" s="138">
        <f>Table15[[#This Row],[Average_Price]]/Table15[[#This Row],[Units_Sold]]</f>
        <v>248.85797322368538</v>
      </c>
      <c r="G439" cm="1">
        <f t="array" ref="G439">_xlfn.IFS(Table15[[#This Row],[Vehicle_Type]]="SUV",250,Table15[[#This Row],[Vehicle_Type]]="Sedan",200,Table15[[#This Row],[Vehicle_Type]]="Hatchback",185,Table15[[#This Row],[Vehicle_Type]]="Electric",190,Table15[[#This Row],[Vehicle_Type]]="Truck",150)</f>
        <v>185</v>
      </c>
      <c r="H439">
        <f t="shared" ca="1" si="12"/>
        <v>25</v>
      </c>
      <c r="I439">
        <f t="shared" ca="1" si="13"/>
        <v>9</v>
      </c>
      <c r="J439" s="81">
        <f ca="1">24/Table15[[#This Row],[Production_Hours]]</f>
        <v>2.6666666666666665</v>
      </c>
      <c r="K439" s="82">
        <f ca="1">(Table15[[#This Row],[Daily_Production]]*Table15[[#This Row],[Working_Days]]) -Table15[[#This Row],[Maintenance_Downtime]]</f>
        <v>4622.333333333333</v>
      </c>
    </row>
    <row r="440" spans="1:11">
      <c r="A440" s="53">
        <v>55145</v>
      </c>
      <c r="B440" s="14" t="s">
        <v>12</v>
      </c>
      <c r="C440" s="14">
        <v>95</v>
      </c>
      <c r="D440" s="14">
        <v>35982.857508322457</v>
      </c>
      <c r="E440" s="82">
        <f>_xlfn.FORECAST.LINEAR(Table15[[#This Row],[Date]],Table15[Units_Sold],Table15[Date])</f>
        <v>99.601914871659488</v>
      </c>
      <c r="F440" s="138">
        <f>Table15[[#This Row],[Average_Price]]/Table15[[#This Row],[Units_Sold]]</f>
        <v>378.76692114023638</v>
      </c>
      <c r="G440" cm="1">
        <f t="array" ref="G440">_xlfn.IFS(Table15[[#This Row],[Vehicle_Type]]="SUV",250,Table15[[#This Row],[Vehicle_Type]]="Sedan",200,Table15[[#This Row],[Vehicle_Type]]="Hatchback",185,Table15[[#This Row],[Vehicle_Type]]="Electric",190,Table15[[#This Row],[Vehicle_Type]]="Truck",150)</f>
        <v>250</v>
      </c>
      <c r="H440">
        <f t="shared" ca="1" si="12"/>
        <v>20</v>
      </c>
      <c r="I440">
        <f t="shared" ca="1" si="13"/>
        <v>10</v>
      </c>
      <c r="J440" s="81">
        <f ca="1">24/Table15[[#This Row],[Production_Hours]]</f>
        <v>2.4</v>
      </c>
      <c r="K440" s="82">
        <f ca="1">(Table15[[#This Row],[Daily_Production]]*Table15[[#This Row],[Working_Days]]) -Table15[[#This Row],[Maintenance_Downtime]]</f>
        <v>4997.6000000000004</v>
      </c>
    </row>
    <row r="441" spans="1:11">
      <c r="A441" s="54">
        <v>55175</v>
      </c>
      <c r="B441" s="15" t="s">
        <v>13</v>
      </c>
      <c r="C441" s="15">
        <v>114</v>
      </c>
      <c r="D441" s="15">
        <v>29207.352134865148</v>
      </c>
      <c r="E441" s="82">
        <f>_xlfn.FORECAST.LINEAR(Table15[[#This Row],[Date]],Table15[Units_Sold],Table15[Date])</f>
        <v>99.603516542066174</v>
      </c>
      <c r="F441" s="138">
        <f>Table15[[#This Row],[Average_Price]]/Table15[[#This Row],[Units_Sold]]</f>
        <v>256.20484328829076</v>
      </c>
      <c r="G441" cm="1">
        <f t="array" ref="G441">_xlfn.IFS(Table15[[#This Row],[Vehicle_Type]]="SUV",250,Table15[[#This Row],[Vehicle_Type]]="Sedan",200,Table15[[#This Row],[Vehicle_Type]]="Hatchback",185,Table15[[#This Row],[Vehicle_Type]]="Electric",190,Table15[[#This Row],[Vehicle_Type]]="Truck",150)</f>
        <v>190</v>
      </c>
      <c r="H441">
        <f t="shared" ca="1" si="12"/>
        <v>21</v>
      </c>
      <c r="I441">
        <f t="shared" ca="1" si="13"/>
        <v>10</v>
      </c>
      <c r="J441" s="81">
        <f ca="1">24/Table15[[#This Row],[Production_Hours]]</f>
        <v>2.4</v>
      </c>
      <c r="K441" s="82">
        <f ca="1">(Table15[[#This Row],[Daily_Production]]*Table15[[#This Row],[Working_Days]]) -Table15[[#This Row],[Maintenance_Downtime]]</f>
        <v>3987.6</v>
      </c>
    </row>
    <row r="442" spans="1:11">
      <c r="A442" s="53">
        <v>55205</v>
      </c>
      <c r="B442" s="14" t="s">
        <v>11</v>
      </c>
      <c r="C442" s="14">
        <v>92</v>
      </c>
      <c r="D442" s="14">
        <v>38106.295579999998</v>
      </c>
      <c r="E442" s="82">
        <f>_xlfn.FORECAST.LINEAR(Table15[[#This Row],[Date]],Table15[Units_Sold],Table15[Date])</f>
        <v>99.60511821247286</v>
      </c>
      <c r="F442" s="138">
        <f>Table15[[#This Row],[Average_Price]]/Table15[[#This Row],[Units_Sold]]</f>
        <v>414.19886499999996</v>
      </c>
      <c r="G442" cm="1">
        <f t="array" ref="G442">_xlfn.IFS(Table15[[#This Row],[Vehicle_Type]]="SUV",250,Table15[[#This Row],[Vehicle_Type]]="Sedan",200,Table15[[#This Row],[Vehicle_Type]]="Hatchback",185,Table15[[#This Row],[Vehicle_Type]]="Electric",190,Table15[[#This Row],[Vehicle_Type]]="Truck",150)</f>
        <v>185</v>
      </c>
      <c r="H442">
        <f t="shared" ca="1" si="12"/>
        <v>21</v>
      </c>
      <c r="I442">
        <f t="shared" ca="1" si="13"/>
        <v>8</v>
      </c>
      <c r="J442" s="81">
        <f ca="1">24/Table15[[#This Row],[Production_Hours]]</f>
        <v>3</v>
      </c>
      <c r="K442" s="82">
        <f ca="1">(Table15[[#This Row],[Daily_Production]]*Table15[[#This Row],[Working_Days]]) -Table15[[#This Row],[Maintenance_Downtime]]</f>
        <v>3882</v>
      </c>
    </row>
    <row r="443" spans="1:11">
      <c r="A443" s="54">
        <v>55235</v>
      </c>
      <c r="B443" s="15" t="s">
        <v>10</v>
      </c>
      <c r="C443" s="15">
        <v>113</v>
      </c>
      <c r="D443" s="15">
        <v>25333.660204634019</v>
      </c>
      <c r="E443" s="82">
        <f>_xlfn.FORECAST.LINEAR(Table15[[#This Row],[Date]],Table15[Units_Sold],Table15[Date])</f>
        <v>99.606719882879531</v>
      </c>
      <c r="F443" s="138">
        <f>Table15[[#This Row],[Average_Price]]/Table15[[#This Row],[Units_Sold]]</f>
        <v>224.19168322684973</v>
      </c>
      <c r="G443" cm="1">
        <f t="array" ref="G443">_xlfn.IFS(Table15[[#This Row],[Vehicle_Type]]="SUV",250,Table15[[#This Row],[Vehicle_Type]]="Sedan",200,Table15[[#This Row],[Vehicle_Type]]="Hatchback",185,Table15[[#This Row],[Vehicle_Type]]="Electric",190,Table15[[#This Row],[Vehicle_Type]]="Truck",150)</f>
        <v>200</v>
      </c>
      <c r="H443">
        <f t="shared" ca="1" si="12"/>
        <v>22</v>
      </c>
      <c r="I443">
        <f t="shared" ca="1" si="13"/>
        <v>12</v>
      </c>
      <c r="J443" s="81">
        <f ca="1">24/Table15[[#This Row],[Production_Hours]]</f>
        <v>2</v>
      </c>
      <c r="K443" s="82">
        <f ca="1">(Table15[[#This Row],[Daily_Production]]*Table15[[#This Row],[Working_Days]]) -Table15[[#This Row],[Maintenance_Downtime]]</f>
        <v>4398</v>
      </c>
    </row>
    <row r="444" spans="1:11">
      <c r="A444" s="53">
        <v>55265</v>
      </c>
      <c r="B444" s="14" t="s">
        <v>10</v>
      </c>
      <c r="C444" s="14">
        <v>113</v>
      </c>
      <c r="D444" s="14">
        <v>27783.588744042449</v>
      </c>
      <c r="E444" s="82">
        <f>_xlfn.FORECAST.LINEAR(Table15[[#This Row],[Date]],Table15[Units_Sold],Table15[Date])</f>
        <v>99.608321553286217</v>
      </c>
      <c r="F444" s="138">
        <f>Table15[[#This Row],[Average_Price]]/Table15[[#This Row],[Units_Sold]]</f>
        <v>245.87246676143761</v>
      </c>
      <c r="G444" cm="1">
        <f t="array" ref="G444">_xlfn.IFS(Table15[[#This Row],[Vehicle_Type]]="SUV",250,Table15[[#This Row],[Vehicle_Type]]="Sedan",200,Table15[[#This Row],[Vehicle_Type]]="Hatchback",185,Table15[[#This Row],[Vehicle_Type]]="Electric",190,Table15[[#This Row],[Vehicle_Type]]="Truck",150)</f>
        <v>200</v>
      </c>
      <c r="H444">
        <f t="shared" ca="1" si="12"/>
        <v>23</v>
      </c>
      <c r="I444">
        <f t="shared" ca="1" si="13"/>
        <v>8</v>
      </c>
      <c r="J444" s="81">
        <f ca="1">24/Table15[[#This Row],[Production_Hours]]</f>
        <v>3</v>
      </c>
      <c r="K444" s="82">
        <f ca="1">(Table15[[#This Row],[Daily_Production]]*Table15[[#This Row],[Working_Days]]) -Table15[[#This Row],[Maintenance_Downtime]]</f>
        <v>4597</v>
      </c>
    </row>
    <row r="445" spans="1:11">
      <c r="A445" s="54">
        <v>55295</v>
      </c>
      <c r="B445" s="15" t="s">
        <v>13</v>
      </c>
      <c r="C445" s="15">
        <v>120</v>
      </c>
      <c r="D445" s="15">
        <v>25575.986429865494</v>
      </c>
      <c r="E445" s="82">
        <f>_xlfn.FORECAST.LINEAR(Table15[[#This Row],[Date]],Table15[Units_Sold],Table15[Date])</f>
        <v>99.609923223692903</v>
      </c>
      <c r="F445" s="138">
        <f>Table15[[#This Row],[Average_Price]]/Table15[[#This Row],[Units_Sold]]</f>
        <v>213.13322024887913</v>
      </c>
      <c r="G445" cm="1">
        <f t="array" ref="G445">_xlfn.IFS(Table15[[#This Row],[Vehicle_Type]]="SUV",250,Table15[[#This Row],[Vehicle_Type]]="Sedan",200,Table15[[#This Row],[Vehicle_Type]]="Hatchback",185,Table15[[#This Row],[Vehicle_Type]]="Electric",190,Table15[[#This Row],[Vehicle_Type]]="Truck",150)</f>
        <v>190</v>
      </c>
      <c r="H445">
        <f t="shared" ca="1" si="12"/>
        <v>23</v>
      </c>
      <c r="I445">
        <f t="shared" ca="1" si="13"/>
        <v>9</v>
      </c>
      <c r="J445" s="81">
        <f ca="1">24/Table15[[#This Row],[Production_Hours]]</f>
        <v>2.6666666666666665</v>
      </c>
      <c r="K445" s="82">
        <f ca="1">(Table15[[#This Row],[Daily_Production]]*Table15[[#This Row],[Working_Days]]) -Table15[[#This Row],[Maintenance_Downtime]]</f>
        <v>4367.333333333333</v>
      </c>
    </row>
    <row r="446" spans="1:11">
      <c r="A446" s="53">
        <v>55325</v>
      </c>
      <c r="B446" s="14" t="s">
        <v>14</v>
      </c>
      <c r="C446" s="14">
        <v>108</v>
      </c>
      <c r="D446" s="14">
        <v>29135.269700382883</v>
      </c>
      <c r="E446" s="82">
        <f>_xlfn.FORECAST.LINEAR(Table15[[#This Row],[Date]],Table15[Units_Sold],Table15[Date])</f>
        <v>99.611524894099574</v>
      </c>
      <c r="F446" s="138">
        <f>Table15[[#This Row],[Average_Price]]/Table15[[#This Row],[Units_Sold]]</f>
        <v>269.77101574428593</v>
      </c>
      <c r="G446" cm="1">
        <f t="array" ref="G446">_xlfn.IFS(Table15[[#This Row],[Vehicle_Type]]="SUV",250,Table15[[#This Row],[Vehicle_Type]]="Sedan",200,Table15[[#This Row],[Vehicle_Type]]="Hatchback",185,Table15[[#This Row],[Vehicle_Type]]="Electric",190,Table15[[#This Row],[Vehicle_Type]]="Truck",150)</f>
        <v>150</v>
      </c>
      <c r="H446">
        <f t="shared" ca="1" si="12"/>
        <v>24</v>
      </c>
      <c r="I446">
        <f t="shared" ca="1" si="13"/>
        <v>10</v>
      </c>
      <c r="J446" s="81">
        <f ca="1">24/Table15[[#This Row],[Production_Hours]]</f>
        <v>2.4</v>
      </c>
      <c r="K446" s="82">
        <f ca="1">(Table15[[#This Row],[Daily_Production]]*Table15[[#This Row],[Working_Days]]) -Table15[[#This Row],[Maintenance_Downtime]]</f>
        <v>3597.6</v>
      </c>
    </row>
    <row r="447" spans="1:11">
      <c r="A447" s="54">
        <v>55355</v>
      </c>
      <c r="B447" s="15" t="s">
        <v>11</v>
      </c>
      <c r="C447" s="15">
        <v>99</v>
      </c>
      <c r="D447" s="15">
        <v>38558.542400711718</v>
      </c>
      <c r="E447" s="82">
        <f>_xlfn.FORECAST.LINEAR(Table15[[#This Row],[Date]],Table15[Units_Sold],Table15[Date])</f>
        <v>99.61312656450626</v>
      </c>
      <c r="F447" s="138">
        <f>Table15[[#This Row],[Average_Price]]/Table15[[#This Row],[Units_Sold]]</f>
        <v>389.48022626981532</v>
      </c>
      <c r="G447" cm="1">
        <f t="array" ref="G447">_xlfn.IFS(Table15[[#This Row],[Vehicle_Type]]="SUV",250,Table15[[#This Row],[Vehicle_Type]]="Sedan",200,Table15[[#This Row],[Vehicle_Type]]="Hatchback",185,Table15[[#This Row],[Vehicle_Type]]="Electric",190,Table15[[#This Row],[Vehicle_Type]]="Truck",150)</f>
        <v>185</v>
      </c>
      <c r="H447">
        <f t="shared" ca="1" si="12"/>
        <v>22</v>
      </c>
      <c r="I447">
        <f t="shared" ca="1" si="13"/>
        <v>11</v>
      </c>
      <c r="J447" s="81">
        <f ca="1">24/Table15[[#This Row],[Production_Hours]]</f>
        <v>2.1818181818181817</v>
      </c>
      <c r="K447" s="82">
        <f ca="1">(Table15[[#This Row],[Daily_Production]]*Table15[[#This Row],[Working_Days]]) -Table15[[#This Row],[Maintenance_Downtime]]</f>
        <v>4067.818181818182</v>
      </c>
    </row>
    <row r="448" spans="1:11">
      <c r="A448" s="53">
        <v>55385</v>
      </c>
      <c r="B448" s="14" t="s">
        <v>11</v>
      </c>
      <c r="C448" s="14">
        <v>108</v>
      </c>
      <c r="D448" s="14">
        <v>23140.494285343219</v>
      </c>
      <c r="E448" s="82">
        <f>_xlfn.FORECAST.LINEAR(Table15[[#This Row],[Date]],Table15[Units_Sold],Table15[Date])</f>
        <v>99.614728234912945</v>
      </c>
      <c r="F448" s="138">
        <f>Table15[[#This Row],[Average_Price]]/Table15[[#This Row],[Units_Sold]]</f>
        <v>214.26383597540018</v>
      </c>
      <c r="G448" cm="1">
        <f t="array" ref="G448">_xlfn.IFS(Table15[[#This Row],[Vehicle_Type]]="SUV",250,Table15[[#This Row],[Vehicle_Type]]="Sedan",200,Table15[[#This Row],[Vehicle_Type]]="Hatchback",185,Table15[[#This Row],[Vehicle_Type]]="Electric",190,Table15[[#This Row],[Vehicle_Type]]="Truck",150)</f>
        <v>185</v>
      </c>
      <c r="H448">
        <f t="shared" ca="1" si="12"/>
        <v>23</v>
      </c>
      <c r="I448">
        <f t="shared" ca="1" si="13"/>
        <v>9</v>
      </c>
      <c r="J448" s="81">
        <f ca="1">24/Table15[[#This Row],[Production_Hours]]</f>
        <v>2.6666666666666665</v>
      </c>
      <c r="K448" s="82">
        <f ca="1">(Table15[[#This Row],[Daily_Production]]*Table15[[#This Row],[Working_Days]]) -Table15[[#This Row],[Maintenance_Downtime]]</f>
        <v>4252.333333333333</v>
      </c>
    </row>
    <row r="449" spans="1:11">
      <c r="A449" s="54">
        <v>55415</v>
      </c>
      <c r="B449" s="15" t="s">
        <v>14</v>
      </c>
      <c r="C449" s="15">
        <v>98</v>
      </c>
      <c r="D449" s="15">
        <v>21932.193010616294</v>
      </c>
      <c r="E449" s="82">
        <f>_xlfn.FORECAST.LINEAR(Table15[[#This Row],[Date]],Table15[Units_Sold],Table15[Date])</f>
        <v>99.616329905319631</v>
      </c>
      <c r="F449" s="138">
        <f>Table15[[#This Row],[Average_Price]]/Table15[[#This Row],[Units_Sold]]</f>
        <v>223.79788786343158</v>
      </c>
      <c r="G449" cm="1">
        <f t="array" ref="G449">_xlfn.IFS(Table15[[#This Row],[Vehicle_Type]]="SUV",250,Table15[[#This Row],[Vehicle_Type]]="Sedan",200,Table15[[#This Row],[Vehicle_Type]]="Hatchback",185,Table15[[#This Row],[Vehicle_Type]]="Electric",190,Table15[[#This Row],[Vehicle_Type]]="Truck",150)</f>
        <v>150</v>
      </c>
      <c r="H449">
        <f t="shared" ca="1" si="12"/>
        <v>22</v>
      </c>
      <c r="I449">
        <f t="shared" ca="1" si="13"/>
        <v>12</v>
      </c>
      <c r="J449" s="81">
        <f ca="1">24/Table15[[#This Row],[Production_Hours]]</f>
        <v>2</v>
      </c>
      <c r="K449" s="82">
        <f ca="1">(Table15[[#This Row],[Daily_Production]]*Table15[[#This Row],[Working_Days]]) -Table15[[#This Row],[Maintenance_Downtime]]</f>
        <v>3298</v>
      </c>
    </row>
    <row r="450" spans="1:11">
      <c r="A450" s="53">
        <v>55445</v>
      </c>
      <c r="B450" s="14" t="s">
        <v>13</v>
      </c>
      <c r="C450" s="14">
        <v>92</v>
      </c>
      <c r="D450" s="14">
        <v>37355.85163746804</v>
      </c>
      <c r="E450" s="82">
        <f>_xlfn.FORECAST.LINEAR(Table15[[#This Row],[Date]],Table15[Units_Sold],Table15[Date])</f>
        <v>99.617931575726303</v>
      </c>
      <c r="F450" s="138">
        <f>Table15[[#This Row],[Average_Price]]/Table15[[#This Row],[Units_Sold]]</f>
        <v>406.04186562465259</v>
      </c>
      <c r="G450" cm="1">
        <f t="array" ref="G450">_xlfn.IFS(Table15[[#This Row],[Vehicle_Type]]="SUV",250,Table15[[#This Row],[Vehicle_Type]]="Sedan",200,Table15[[#This Row],[Vehicle_Type]]="Hatchback",185,Table15[[#This Row],[Vehicle_Type]]="Electric",190,Table15[[#This Row],[Vehicle_Type]]="Truck",150)</f>
        <v>190</v>
      </c>
      <c r="H450">
        <f t="shared" ref="H450:H501" ca="1" si="14">RANDBETWEEN(20,25)</f>
        <v>22</v>
      </c>
      <c r="I450">
        <f t="shared" ref="I450:I501" ca="1" si="15">RANDBETWEEN(8,12)</f>
        <v>12</v>
      </c>
      <c r="J450" s="81">
        <f ca="1">24/Table15[[#This Row],[Production_Hours]]</f>
        <v>2</v>
      </c>
      <c r="K450" s="82">
        <f ca="1">(Table15[[#This Row],[Daily_Production]]*Table15[[#This Row],[Working_Days]]) -Table15[[#This Row],[Maintenance_Downtime]]</f>
        <v>4178</v>
      </c>
    </row>
    <row r="451" spans="1:11">
      <c r="A451" s="54">
        <v>55475</v>
      </c>
      <c r="B451" s="15" t="s">
        <v>13</v>
      </c>
      <c r="C451" s="15">
        <v>96</v>
      </c>
      <c r="D451" s="15">
        <v>28953.381614240669</v>
      </c>
      <c r="E451" s="82">
        <f>_xlfn.FORECAST.LINEAR(Table15[[#This Row],[Date]],Table15[Units_Sold],Table15[Date])</f>
        <v>99.619533246132988</v>
      </c>
      <c r="F451" s="138">
        <f>Table15[[#This Row],[Average_Price]]/Table15[[#This Row],[Units_Sold]]</f>
        <v>301.59772514834032</v>
      </c>
      <c r="G451" cm="1">
        <f t="array" ref="G451">_xlfn.IFS(Table15[[#This Row],[Vehicle_Type]]="SUV",250,Table15[[#This Row],[Vehicle_Type]]="Sedan",200,Table15[[#This Row],[Vehicle_Type]]="Hatchback",185,Table15[[#This Row],[Vehicle_Type]]="Electric",190,Table15[[#This Row],[Vehicle_Type]]="Truck",150)</f>
        <v>190</v>
      </c>
      <c r="H451">
        <f t="shared" ca="1" si="14"/>
        <v>20</v>
      </c>
      <c r="I451">
        <f t="shared" ca="1" si="15"/>
        <v>12</v>
      </c>
      <c r="J451" s="81">
        <f ca="1">24/Table15[[#This Row],[Production_Hours]]</f>
        <v>2</v>
      </c>
      <c r="K451" s="82">
        <f ca="1">(Table15[[#This Row],[Daily_Production]]*Table15[[#This Row],[Working_Days]]) -Table15[[#This Row],[Maintenance_Downtime]]</f>
        <v>3798</v>
      </c>
    </row>
    <row r="452" spans="1:11">
      <c r="A452" s="53">
        <v>55505</v>
      </c>
      <c r="B452" s="14" t="s">
        <v>10</v>
      </c>
      <c r="C452" s="14">
        <v>94</v>
      </c>
      <c r="D452" s="14">
        <v>26654.636306700417</v>
      </c>
      <c r="E452" s="82">
        <f>_xlfn.FORECAST.LINEAR(Table15[[#This Row],[Date]],Table15[Units_Sold],Table15[Date])</f>
        <v>99.621134916539674</v>
      </c>
      <c r="F452" s="138">
        <f>Table15[[#This Row],[Average_Price]]/Table15[[#This Row],[Units_Sold]]</f>
        <v>283.55996070957889</v>
      </c>
      <c r="G452" cm="1">
        <f t="array" ref="G452">_xlfn.IFS(Table15[[#This Row],[Vehicle_Type]]="SUV",250,Table15[[#This Row],[Vehicle_Type]]="Sedan",200,Table15[[#This Row],[Vehicle_Type]]="Hatchback",185,Table15[[#This Row],[Vehicle_Type]]="Electric",190,Table15[[#This Row],[Vehicle_Type]]="Truck",150)</f>
        <v>200</v>
      </c>
      <c r="H452">
        <f t="shared" ca="1" si="14"/>
        <v>25</v>
      </c>
      <c r="I452">
        <f t="shared" ca="1" si="15"/>
        <v>8</v>
      </c>
      <c r="J452" s="81">
        <f ca="1">24/Table15[[#This Row],[Production_Hours]]</f>
        <v>3</v>
      </c>
      <c r="K452" s="82">
        <f ca="1">(Table15[[#This Row],[Daily_Production]]*Table15[[#This Row],[Working_Days]]) -Table15[[#This Row],[Maintenance_Downtime]]</f>
        <v>4997</v>
      </c>
    </row>
    <row r="453" spans="1:11">
      <c r="A453" s="54">
        <v>55535</v>
      </c>
      <c r="B453" s="15" t="s">
        <v>14</v>
      </c>
      <c r="C453" s="15">
        <v>75</v>
      </c>
      <c r="D453" s="15">
        <v>35199.52343698038</v>
      </c>
      <c r="E453" s="82">
        <f>_xlfn.FORECAST.LINEAR(Table15[[#This Row],[Date]],Table15[Units_Sold],Table15[Date])</f>
        <v>99.622736586946345</v>
      </c>
      <c r="F453" s="138">
        <f>Table15[[#This Row],[Average_Price]]/Table15[[#This Row],[Units_Sold]]</f>
        <v>469.32697915973841</v>
      </c>
      <c r="G453" cm="1">
        <f t="array" ref="G453">_xlfn.IFS(Table15[[#This Row],[Vehicle_Type]]="SUV",250,Table15[[#This Row],[Vehicle_Type]]="Sedan",200,Table15[[#This Row],[Vehicle_Type]]="Hatchback",185,Table15[[#This Row],[Vehicle_Type]]="Electric",190,Table15[[#This Row],[Vehicle_Type]]="Truck",150)</f>
        <v>150</v>
      </c>
      <c r="H453">
        <f t="shared" ca="1" si="14"/>
        <v>23</v>
      </c>
      <c r="I453">
        <f t="shared" ca="1" si="15"/>
        <v>10</v>
      </c>
      <c r="J453" s="81">
        <f ca="1">24/Table15[[#This Row],[Production_Hours]]</f>
        <v>2.4</v>
      </c>
      <c r="K453" s="82">
        <f ca="1">(Table15[[#This Row],[Daily_Production]]*Table15[[#This Row],[Working_Days]]) -Table15[[#This Row],[Maintenance_Downtime]]</f>
        <v>3447.6</v>
      </c>
    </row>
    <row r="454" spans="1:11">
      <c r="A454" s="53">
        <v>55565</v>
      </c>
      <c r="B454" s="14" t="s">
        <v>13</v>
      </c>
      <c r="C454" s="14">
        <v>97</v>
      </c>
      <c r="D454" s="14">
        <v>26971.922301315681</v>
      </c>
      <c r="E454" s="82">
        <f>_xlfn.FORECAST.LINEAR(Table15[[#This Row],[Date]],Table15[Units_Sold],Table15[Date])</f>
        <v>99.624338257353031</v>
      </c>
      <c r="F454" s="138">
        <f>Table15[[#This Row],[Average_Price]]/Table15[[#This Row],[Units_Sold]]</f>
        <v>278.06105465273896</v>
      </c>
      <c r="G454" cm="1">
        <f t="array" ref="G454">_xlfn.IFS(Table15[[#This Row],[Vehicle_Type]]="SUV",250,Table15[[#This Row],[Vehicle_Type]]="Sedan",200,Table15[[#This Row],[Vehicle_Type]]="Hatchback",185,Table15[[#This Row],[Vehicle_Type]]="Electric",190,Table15[[#This Row],[Vehicle_Type]]="Truck",150)</f>
        <v>190</v>
      </c>
      <c r="H454">
        <f t="shared" ca="1" si="14"/>
        <v>23</v>
      </c>
      <c r="I454">
        <f t="shared" ca="1" si="15"/>
        <v>10</v>
      </c>
      <c r="J454" s="81">
        <f ca="1">24/Table15[[#This Row],[Production_Hours]]</f>
        <v>2.4</v>
      </c>
      <c r="K454" s="82">
        <f ca="1">(Table15[[#This Row],[Daily_Production]]*Table15[[#This Row],[Working_Days]]) -Table15[[#This Row],[Maintenance_Downtime]]</f>
        <v>4367.6000000000004</v>
      </c>
    </row>
    <row r="455" spans="1:11">
      <c r="A455" s="54">
        <v>55595</v>
      </c>
      <c r="B455" s="15" t="s">
        <v>12</v>
      </c>
      <c r="C455" s="15">
        <v>100</v>
      </c>
      <c r="D455" s="15">
        <v>38106.295579999998</v>
      </c>
      <c r="E455" s="82">
        <f>_xlfn.FORECAST.LINEAR(Table15[[#This Row],[Date]],Table15[Units_Sold],Table15[Date])</f>
        <v>99.625939927759717</v>
      </c>
      <c r="F455" s="138">
        <f>Table15[[#This Row],[Average_Price]]/Table15[[#This Row],[Units_Sold]]</f>
        <v>381.0629558</v>
      </c>
      <c r="G455" cm="1">
        <f t="array" ref="G455">_xlfn.IFS(Table15[[#This Row],[Vehicle_Type]]="SUV",250,Table15[[#This Row],[Vehicle_Type]]="Sedan",200,Table15[[#This Row],[Vehicle_Type]]="Hatchback",185,Table15[[#This Row],[Vehicle_Type]]="Electric",190,Table15[[#This Row],[Vehicle_Type]]="Truck",150)</f>
        <v>250</v>
      </c>
      <c r="H455">
        <f t="shared" ca="1" si="14"/>
        <v>25</v>
      </c>
      <c r="I455">
        <f t="shared" ca="1" si="15"/>
        <v>11</v>
      </c>
      <c r="J455" s="81">
        <f ca="1">24/Table15[[#This Row],[Production_Hours]]</f>
        <v>2.1818181818181817</v>
      </c>
      <c r="K455" s="82">
        <f ca="1">(Table15[[#This Row],[Daily_Production]]*Table15[[#This Row],[Working_Days]]) -Table15[[#This Row],[Maintenance_Downtime]]</f>
        <v>6247.818181818182</v>
      </c>
    </row>
    <row r="456" spans="1:11">
      <c r="A456" s="53">
        <v>55625</v>
      </c>
      <c r="B456" s="14" t="s">
        <v>11</v>
      </c>
      <c r="C456" s="14">
        <v>98</v>
      </c>
      <c r="D456" s="14">
        <v>33389.629356696343</v>
      </c>
      <c r="E456" s="82">
        <f>_xlfn.FORECAST.LINEAR(Table15[[#This Row],[Date]],Table15[Units_Sold],Table15[Date])</f>
        <v>99.627541598166403</v>
      </c>
      <c r="F456" s="138">
        <f>Table15[[#This Row],[Average_Price]]/Table15[[#This Row],[Units_Sold]]</f>
        <v>340.7105036397586</v>
      </c>
      <c r="G456" cm="1">
        <f t="array" ref="G456">_xlfn.IFS(Table15[[#This Row],[Vehicle_Type]]="SUV",250,Table15[[#This Row],[Vehicle_Type]]="Sedan",200,Table15[[#This Row],[Vehicle_Type]]="Hatchback",185,Table15[[#This Row],[Vehicle_Type]]="Electric",190,Table15[[#This Row],[Vehicle_Type]]="Truck",150)</f>
        <v>185</v>
      </c>
      <c r="H456">
        <f t="shared" ca="1" si="14"/>
        <v>23</v>
      </c>
      <c r="I456">
        <f t="shared" ca="1" si="15"/>
        <v>10</v>
      </c>
      <c r="J456" s="81">
        <f ca="1">24/Table15[[#This Row],[Production_Hours]]</f>
        <v>2.4</v>
      </c>
      <c r="K456" s="82">
        <f ca="1">(Table15[[#This Row],[Daily_Production]]*Table15[[#This Row],[Working_Days]]) -Table15[[#This Row],[Maintenance_Downtime]]</f>
        <v>4252.6000000000004</v>
      </c>
    </row>
    <row r="457" spans="1:11">
      <c r="A457" s="54">
        <v>55655</v>
      </c>
      <c r="B457" s="15" t="s">
        <v>10</v>
      </c>
      <c r="C457" s="15">
        <v>121</v>
      </c>
      <c r="D457" s="15">
        <v>27560.442959271488</v>
      </c>
      <c r="E457" s="82">
        <f>_xlfn.FORECAST.LINEAR(Table15[[#This Row],[Date]],Table15[Units_Sold],Table15[Date])</f>
        <v>99.629143268573074</v>
      </c>
      <c r="F457" s="138">
        <f>Table15[[#This Row],[Average_Price]]/Table15[[#This Row],[Units_Sold]]</f>
        <v>227.77225586174782</v>
      </c>
      <c r="G457" cm="1">
        <f t="array" ref="G457">_xlfn.IFS(Table15[[#This Row],[Vehicle_Type]]="SUV",250,Table15[[#This Row],[Vehicle_Type]]="Sedan",200,Table15[[#This Row],[Vehicle_Type]]="Hatchback",185,Table15[[#This Row],[Vehicle_Type]]="Electric",190,Table15[[#This Row],[Vehicle_Type]]="Truck",150)</f>
        <v>200</v>
      </c>
      <c r="H457">
        <f t="shared" ca="1" si="14"/>
        <v>21</v>
      </c>
      <c r="I457">
        <f t="shared" ca="1" si="15"/>
        <v>10</v>
      </c>
      <c r="J457" s="81">
        <f ca="1">24/Table15[[#This Row],[Production_Hours]]</f>
        <v>2.4</v>
      </c>
      <c r="K457" s="82">
        <f ca="1">(Table15[[#This Row],[Daily_Production]]*Table15[[#This Row],[Working_Days]]) -Table15[[#This Row],[Maintenance_Downtime]]</f>
        <v>4197.6000000000004</v>
      </c>
    </row>
    <row r="458" spans="1:11">
      <c r="A458" s="53">
        <v>55685</v>
      </c>
      <c r="B458" s="14" t="s">
        <v>14</v>
      </c>
      <c r="C458" s="14">
        <v>103</v>
      </c>
      <c r="D458" s="14">
        <v>40786.541066327518</v>
      </c>
      <c r="E458" s="82">
        <f>_xlfn.FORECAST.LINEAR(Table15[[#This Row],[Date]],Table15[Units_Sold],Table15[Date])</f>
        <v>99.63074493897976</v>
      </c>
      <c r="F458" s="138">
        <f>Table15[[#This Row],[Average_Price]]/Table15[[#This Row],[Units_Sold]]</f>
        <v>395.98583559541282</v>
      </c>
      <c r="G458" cm="1">
        <f t="array" ref="G458">_xlfn.IFS(Table15[[#This Row],[Vehicle_Type]]="SUV",250,Table15[[#This Row],[Vehicle_Type]]="Sedan",200,Table15[[#This Row],[Vehicle_Type]]="Hatchback",185,Table15[[#This Row],[Vehicle_Type]]="Electric",190,Table15[[#This Row],[Vehicle_Type]]="Truck",150)</f>
        <v>150</v>
      </c>
      <c r="H458">
        <f t="shared" ca="1" si="14"/>
        <v>20</v>
      </c>
      <c r="I458">
        <f t="shared" ca="1" si="15"/>
        <v>12</v>
      </c>
      <c r="J458" s="81">
        <f ca="1">24/Table15[[#This Row],[Production_Hours]]</f>
        <v>2</v>
      </c>
      <c r="K458" s="82">
        <f ca="1">(Table15[[#This Row],[Daily_Production]]*Table15[[#This Row],[Working_Days]]) -Table15[[#This Row],[Maintenance_Downtime]]</f>
        <v>2998</v>
      </c>
    </row>
    <row r="459" spans="1:11">
      <c r="A459" s="54">
        <v>55715</v>
      </c>
      <c r="B459" s="15" t="s">
        <v>10</v>
      </c>
      <c r="C459" s="15">
        <v>121</v>
      </c>
      <c r="D459" s="15">
        <v>38106.295579999998</v>
      </c>
      <c r="E459" s="82">
        <f>_xlfn.FORECAST.LINEAR(Table15[[#This Row],[Date]],Table15[Units_Sold],Table15[Date])</f>
        <v>99.632346609386445</v>
      </c>
      <c r="F459" s="138">
        <f>Table15[[#This Row],[Average_Price]]/Table15[[#This Row],[Units_Sold]]</f>
        <v>314.92806264462808</v>
      </c>
      <c r="G459" cm="1">
        <f t="array" ref="G459">_xlfn.IFS(Table15[[#This Row],[Vehicle_Type]]="SUV",250,Table15[[#This Row],[Vehicle_Type]]="Sedan",200,Table15[[#This Row],[Vehicle_Type]]="Hatchback",185,Table15[[#This Row],[Vehicle_Type]]="Electric",190,Table15[[#This Row],[Vehicle_Type]]="Truck",150)</f>
        <v>200</v>
      </c>
      <c r="H459">
        <f t="shared" ca="1" si="14"/>
        <v>25</v>
      </c>
      <c r="I459">
        <f t="shared" ca="1" si="15"/>
        <v>8</v>
      </c>
      <c r="J459" s="81">
        <f ca="1">24/Table15[[#This Row],[Production_Hours]]</f>
        <v>3</v>
      </c>
      <c r="K459" s="82">
        <f ca="1">(Table15[[#This Row],[Daily_Production]]*Table15[[#This Row],[Working_Days]]) -Table15[[#This Row],[Maintenance_Downtime]]</f>
        <v>4997</v>
      </c>
    </row>
    <row r="460" spans="1:11">
      <c r="A460" s="53">
        <v>55745</v>
      </c>
      <c r="B460" s="14" t="s">
        <v>13</v>
      </c>
      <c r="C460" s="14">
        <v>103</v>
      </c>
      <c r="D460" s="14">
        <v>33710.476860046532</v>
      </c>
      <c r="E460" s="82">
        <f>_xlfn.FORECAST.LINEAR(Table15[[#This Row],[Date]],Table15[Units_Sold],Table15[Date])</f>
        <v>99.633948279793117</v>
      </c>
      <c r="F460" s="138">
        <f>Table15[[#This Row],[Average_Price]]/Table15[[#This Row],[Units_Sold]]</f>
        <v>327.28618310724789</v>
      </c>
      <c r="G460" cm="1">
        <f t="array" ref="G460">_xlfn.IFS(Table15[[#This Row],[Vehicle_Type]]="SUV",250,Table15[[#This Row],[Vehicle_Type]]="Sedan",200,Table15[[#This Row],[Vehicle_Type]]="Hatchback",185,Table15[[#This Row],[Vehicle_Type]]="Electric",190,Table15[[#This Row],[Vehicle_Type]]="Truck",150)</f>
        <v>190</v>
      </c>
      <c r="H460">
        <f t="shared" ca="1" si="14"/>
        <v>22</v>
      </c>
      <c r="I460">
        <f t="shared" ca="1" si="15"/>
        <v>10</v>
      </c>
      <c r="J460" s="81">
        <f ca="1">24/Table15[[#This Row],[Production_Hours]]</f>
        <v>2.4</v>
      </c>
      <c r="K460" s="82">
        <f ca="1">(Table15[[#This Row],[Daily_Production]]*Table15[[#This Row],[Working_Days]]) -Table15[[#This Row],[Maintenance_Downtime]]</f>
        <v>4177.6000000000004</v>
      </c>
    </row>
    <row r="461" spans="1:11">
      <c r="A461" s="54">
        <v>55775</v>
      </c>
      <c r="B461" s="15" t="s">
        <v>13</v>
      </c>
      <c r="C461" s="15">
        <v>91</v>
      </c>
      <c r="D461" s="15">
        <v>31496.462902032461</v>
      </c>
      <c r="E461" s="82">
        <f>_xlfn.FORECAST.LINEAR(Table15[[#This Row],[Date]],Table15[Units_Sold],Table15[Date])</f>
        <v>99.635549950199803</v>
      </c>
      <c r="F461" s="138">
        <f>Table15[[#This Row],[Average_Price]]/Table15[[#This Row],[Units_Sold]]</f>
        <v>346.11497694541168</v>
      </c>
      <c r="G461" cm="1">
        <f t="array" ref="G461">_xlfn.IFS(Table15[[#This Row],[Vehicle_Type]]="SUV",250,Table15[[#This Row],[Vehicle_Type]]="Sedan",200,Table15[[#This Row],[Vehicle_Type]]="Hatchback",185,Table15[[#This Row],[Vehicle_Type]]="Electric",190,Table15[[#This Row],[Vehicle_Type]]="Truck",150)</f>
        <v>190</v>
      </c>
      <c r="H461">
        <f t="shared" ca="1" si="14"/>
        <v>22</v>
      </c>
      <c r="I461">
        <f t="shared" ca="1" si="15"/>
        <v>12</v>
      </c>
      <c r="J461" s="81">
        <f ca="1">24/Table15[[#This Row],[Production_Hours]]</f>
        <v>2</v>
      </c>
      <c r="K461" s="82">
        <f ca="1">(Table15[[#This Row],[Daily_Production]]*Table15[[#This Row],[Working_Days]]) -Table15[[#This Row],[Maintenance_Downtime]]</f>
        <v>4178</v>
      </c>
    </row>
    <row r="462" spans="1:11">
      <c r="A462" s="53">
        <v>55805</v>
      </c>
      <c r="B462" s="14" t="s">
        <v>12</v>
      </c>
      <c r="C462" s="14">
        <v>91</v>
      </c>
      <c r="D462" s="14">
        <v>36508.706446993994</v>
      </c>
      <c r="E462" s="82">
        <f>_xlfn.FORECAST.LINEAR(Table15[[#This Row],[Date]],Table15[Units_Sold],Table15[Date])</f>
        <v>99.637151620606488</v>
      </c>
      <c r="F462" s="138">
        <f>Table15[[#This Row],[Average_Price]]/Table15[[#This Row],[Units_Sold]]</f>
        <v>401.19457634059336</v>
      </c>
      <c r="G462" cm="1">
        <f t="array" ref="G462">_xlfn.IFS(Table15[[#This Row],[Vehicle_Type]]="SUV",250,Table15[[#This Row],[Vehicle_Type]]="Sedan",200,Table15[[#This Row],[Vehicle_Type]]="Hatchback",185,Table15[[#This Row],[Vehicle_Type]]="Electric",190,Table15[[#This Row],[Vehicle_Type]]="Truck",150)</f>
        <v>250</v>
      </c>
      <c r="H462">
        <f t="shared" ca="1" si="14"/>
        <v>23</v>
      </c>
      <c r="I462">
        <f t="shared" ca="1" si="15"/>
        <v>11</v>
      </c>
      <c r="J462" s="81">
        <f ca="1">24/Table15[[#This Row],[Production_Hours]]</f>
        <v>2.1818181818181817</v>
      </c>
      <c r="K462" s="82">
        <f ca="1">(Table15[[#This Row],[Daily_Production]]*Table15[[#This Row],[Working_Days]]) -Table15[[#This Row],[Maintenance_Downtime]]</f>
        <v>5747.818181818182</v>
      </c>
    </row>
    <row r="463" spans="1:11">
      <c r="A463" s="54">
        <v>55835</v>
      </c>
      <c r="B463" s="15" t="s">
        <v>11</v>
      </c>
      <c r="C463" s="15">
        <v>100</v>
      </c>
      <c r="D463" s="15">
        <v>37807.555983634265</v>
      </c>
      <c r="E463" s="82">
        <f>_xlfn.FORECAST.LINEAR(Table15[[#This Row],[Date]],Table15[Units_Sold],Table15[Date])</f>
        <v>99.638753291013174</v>
      </c>
      <c r="F463" s="138">
        <f>Table15[[#This Row],[Average_Price]]/Table15[[#This Row],[Units_Sold]]</f>
        <v>378.07555983634268</v>
      </c>
      <c r="G463" cm="1">
        <f t="array" ref="G463">_xlfn.IFS(Table15[[#This Row],[Vehicle_Type]]="SUV",250,Table15[[#This Row],[Vehicle_Type]]="Sedan",200,Table15[[#This Row],[Vehicle_Type]]="Hatchback",185,Table15[[#This Row],[Vehicle_Type]]="Electric",190,Table15[[#This Row],[Vehicle_Type]]="Truck",150)</f>
        <v>185</v>
      </c>
      <c r="H463">
        <f t="shared" ca="1" si="14"/>
        <v>25</v>
      </c>
      <c r="I463">
        <f t="shared" ca="1" si="15"/>
        <v>12</v>
      </c>
      <c r="J463" s="81">
        <f ca="1">24/Table15[[#This Row],[Production_Hours]]</f>
        <v>2</v>
      </c>
      <c r="K463" s="82">
        <f ca="1">(Table15[[#This Row],[Daily_Production]]*Table15[[#This Row],[Working_Days]]) -Table15[[#This Row],[Maintenance_Downtime]]</f>
        <v>4623</v>
      </c>
    </row>
    <row r="464" spans="1:11">
      <c r="A464" s="53">
        <v>55865</v>
      </c>
      <c r="B464" s="14" t="s">
        <v>14</v>
      </c>
      <c r="C464" s="14">
        <v>97</v>
      </c>
      <c r="D464" s="14">
        <v>30160.020745328835</v>
      </c>
      <c r="E464" s="82">
        <f>_xlfn.FORECAST.LINEAR(Table15[[#This Row],[Date]],Table15[Units_Sold],Table15[Date])</f>
        <v>99.640354961419845</v>
      </c>
      <c r="F464" s="138">
        <f>Table15[[#This Row],[Average_Price]]/Table15[[#This Row],[Units_Sold]]</f>
        <v>310.92804892091584</v>
      </c>
      <c r="G464" cm="1">
        <f t="array" ref="G464">_xlfn.IFS(Table15[[#This Row],[Vehicle_Type]]="SUV",250,Table15[[#This Row],[Vehicle_Type]]="Sedan",200,Table15[[#This Row],[Vehicle_Type]]="Hatchback",185,Table15[[#This Row],[Vehicle_Type]]="Electric",190,Table15[[#This Row],[Vehicle_Type]]="Truck",150)</f>
        <v>150</v>
      </c>
      <c r="H464">
        <f t="shared" ca="1" si="14"/>
        <v>23</v>
      </c>
      <c r="I464">
        <f t="shared" ca="1" si="15"/>
        <v>12</v>
      </c>
      <c r="J464" s="81">
        <f ca="1">24/Table15[[#This Row],[Production_Hours]]</f>
        <v>2</v>
      </c>
      <c r="K464" s="82">
        <f ca="1">(Table15[[#This Row],[Daily_Production]]*Table15[[#This Row],[Working_Days]]) -Table15[[#This Row],[Maintenance_Downtime]]</f>
        <v>3448</v>
      </c>
    </row>
    <row r="465" spans="1:11">
      <c r="A465" s="54">
        <v>55895</v>
      </c>
      <c r="B465" s="15" t="s">
        <v>10</v>
      </c>
      <c r="C465" s="15">
        <v>106</v>
      </c>
      <c r="D465" s="15">
        <v>26232.910648269084</v>
      </c>
      <c r="E465" s="82">
        <f>_xlfn.FORECAST.LINEAR(Table15[[#This Row],[Date]],Table15[Units_Sold],Table15[Date])</f>
        <v>99.641956631826531</v>
      </c>
      <c r="F465" s="138">
        <f>Table15[[#This Row],[Average_Price]]/Table15[[#This Row],[Units_Sold]]</f>
        <v>247.480289134614</v>
      </c>
      <c r="G465" cm="1">
        <f t="array" ref="G465">_xlfn.IFS(Table15[[#This Row],[Vehicle_Type]]="SUV",250,Table15[[#This Row],[Vehicle_Type]]="Sedan",200,Table15[[#This Row],[Vehicle_Type]]="Hatchback",185,Table15[[#This Row],[Vehicle_Type]]="Electric",190,Table15[[#This Row],[Vehicle_Type]]="Truck",150)</f>
        <v>200</v>
      </c>
      <c r="H465">
        <f t="shared" ca="1" si="14"/>
        <v>21</v>
      </c>
      <c r="I465">
        <f t="shared" ca="1" si="15"/>
        <v>8</v>
      </c>
      <c r="J465" s="81">
        <f ca="1">24/Table15[[#This Row],[Production_Hours]]</f>
        <v>3</v>
      </c>
      <c r="K465" s="82">
        <f ca="1">(Table15[[#This Row],[Daily_Production]]*Table15[[#This Row],[Working_Days]]) -Table15[[#This Row],[Maintenance_Downtime]]</f>
        <v>4197</v>
      </c>
    </row>
    <row r="466" spans="1:11">
      <c r="A466" s="53">
        <v>55925</v>
      </c>
      <c r="B466" s="14" t="s">
        <v>11</v>
      </c>
      <c r="C466" s="14">
        <v>110</v>
      </c>
      <c r="D466" s="14">
        <v>32299.860714695584</v>
      </c>
      <c r="E466" s="82">
        <f>_xlfn.FORECAST.LINEAR(Table15[[#This Row],[Date]],Table15[Units_Sold],Table15[Date])</f>
        <v>99.643558302233217</v>
      </c>
      <c r="F466" s="138">
        <f>Table15[[#This Row],[Average_Price]]/Table15[[#This Row],[Units_Sold]]</f>
        <v>293.6350974063235</v>
      </c>
      <c r="G466" cm="1">
        <f t="array" ref="G466">_xlfn.IFS(Table15[[#This Row],[Vehicle_Type]]="SUV",250,Table15[[#This Row],[Vehicle_Type]]="Sedan",200,Table15[[#This Row],[Vehicle_Type]]="Hatchback",185,Table15[[#This Row],[Vehicle_Type]]="Electric",190,Table15[[#This Row],[Vehicle_Type]]="Truck",150)</f>
        <v>185</v>
      </c>
      <c r="H466">
        <f t="shared" ca="1" si="14"/>
        <v>25</v>
      </c>
      <c r="I466">
        <f t="shared" ca="1" si="15"/>
        <v>12</v>
      </c>
      <c r="J466" s="81">
        <f ca="1">24/Table15[[#This Row],[Production_Hours]]</f>
        <v>2</v>
      </c>
      <c r="K466" s="82">
        <f ca="1">(Table15[[#This Row],[Daily_Production]]*Table15[[#This Row],[Working_Days]]) -Table15[[#This Row],[Maintenance_Downtime]]</f>
        <v>4623</v>
      </c>
    </row>
    <row r="467" spans="1:11">
      <c r="A467" s="54">
        <v>55955</v>
      </c>
      <c r="B467" s="15" t="s">
        <v>13</v>
      </c>
      <c r="C467" s="15">
        <v>91</v>
      </c>
      <c r="D467" s="15">
        <v>26611.423151239469</v>
      </c>
      <c r="E467" s="82">
        <f>_xlfn.FORECAST.LINEAR(Table15[[#This Row],[Date]],Table15[Units_Sold],Table15[Date])</f>
        <v>99.645159972639888</v>
      </c>
      <c r="F467" s="138">
        <f>Table15[[#This Row],[Average_Price]]/Table15[[#This Row],[Units_Sold]]</f>
        <v>292.43322144219195</v>
      </c>
      <c r="G467" cm="1">
        <f t="array" ref="G467">_xlfn.IFS(Table15[[#This Row],[Vehicle_Type]]="SUV",250,Table15[[#This Row],[Vehicle_Type]]="Sedan",200,Table15[[#This Row],[Vehicle_Type]]="Hatchback",185,Table15[[#This Row],[Vehicle_Type]]="Electric",190,Table15[[#This Row],[Vehicle_Type]]="Truck",150)</f>
        <v>190</v>
      </c>
      <c r="H467">
        <f t="shared" ca="1" si="14"/>
        <v>22</v>
      </c>
      <c r="I467">
        <f t="shared" ca="1" si="15"/>
        <v>11</v>
      </c>
      <c r="J467" s="81">
        <f ca="1">24/Table15[[#This Row],[Production_Hours]]</f>
        <v>2.1818181818181817</v>
      </c>
      <c r="K467" s="82">
        <f ca="1">(Table15[[#This Row],[Daily_Production]]*Table15[[#This Row],[Working_Days]]) -Table15[[#This Row],[Maintenance_Downtime]]</f>
        <v>4177.818181818182</v>
      </c>
    </row>
    <row r="468" spans="1:11">
      <c r="A468" s="53">
        <v>55985</v>
      </c>
      <c r="B468" s="14" t="s">
        <v>11</v>
      </c>
      <c r="C468" s="14">
        <v>103</v>
      </c>
      <c r="D468" s="14">
        <v>40066.936237633112</v>
      </c>
      <c r="E468" s="82">
        <f>_xlfn.FORECAST.LINEAR(Table15[[#This Row],[Date]],Table15[Units_Sold],Table15[Date])</f>
        <v>99.646761643046574</v>
      </c>
      <c r="F468" s="138">
        <f>Table15[[#This Row],[Average_Price]]/Table15[[#This Row],[Units_Sold]]</f>
        <v>388.99938094789428</v>
      </c>
      <c r="G468" cm="1">
        <f t="array" ref="G468">_xlfn.IFS(Table15[[#This Row],[Vehicle_Type]]="SUV",250,Table15[[#This Row],[Vehicle_Type]]="Sedan",200,Table15[[#This Row],[Vehicle_Type]]="Hatchback",185,Table15[[#This Row],[Vehicle_Type]]="Electric",190,Table15[[#This Row],[Vehicle_Type]]="Truck",150)</f>
        <v>185</v>
      </c>
      <c r="H468">
        <f t="shared" ca="1" si="14"/>
        <v>24</v>
      </c>
      <c r="I468">
        <f t="shared" ca="1" si="15"/>
        <v>10</v>
      </c>
      <c r="J468" s="81">
        <f ca="1">24/Table15[[#This Row],[Production_Hours]]</f>
        <v>2.4</v>
      </c>
      <c r="K468" s="82">
        <f ca="1">(Table15[[#This Row],[Daily_Production]]*Table15[[#This Row],[Working_Days]]) -Table15[[#This Row],[Maintenance_Downtime]]</f>
        <v>4437.6000000000004</v>
      </c>
    </row>
    <row r="469" spans="1:11">
      <c r="A469" s="54">
        <v>56015</v>
      </c>
      <c r="B469" s="15" t="s">
        <v>10</v>
      </c>
      <c r="C469" s="15">
        <v>84</v>
      </c>
      <c r="D469" s="15">
        <v>30682.676655413688</v>
      </c>
      <c r="E469" s="82">
        <f>_xlfn.FORECAST.LINEAR(Table15[[#This Row],[Date]],Table15[Units_Sold],Table15[Date])</f>
        <v>99.64836331345326</v>
      </c>
      <c r="F469" s="138">
        <f>Table15[[#This Row],[Average_Price]]/Table15[[#This Row],[Units_Sold]]</f>
        <v>365.26996018349627</v>
      </c>
      <c r="G469" cm="1">
        <f t="array" ref="G469">_xlfn.IFS(Table15[[#This Row],[Vehicle_Type]]="SUV",250,Table15[[#This Row],[Vehicle_Type]]="Sedan",200,Table15[[#This Row],[Vehicle_Type]]="Hatchback",185,Table15[[#This Row],[Vehicle_Type]]="Electric",190,Table15[[#This Row],[Vehicle_Type]]="Truck",150)</f>
        <v>200</v>
      </c>
      <c r="H469">
        <f t="shared" ca="1" si="14"/>
        <v>24</v>
      </c>
      <c r="I469">
        <f t="shared" ca="1" si="15"/>
        <v>12</v>
      </c>
      <c r="J469" s="81">
        <f ca="1">24/Table15[[#This Row],[Production_Hours]]</f>
        <v>2</v>
      </c>
      <c r="K469" s="82">
        <f ca="1">(Table15[[#This Row],[Daily_Production]]*Table15[[#This Row],[Working_Days]]) -Table15[[#This Row],[Maintenance_Downtime]]</f>
        <v>4798</v>
      </c>
    </row>
    <row r="470" spans="1:11">
      <c r="A470" s="53">
        <v>56045</v>
      </c>
      <c r="B470" s="14" t="s">
        <v>11</v>
      </c>
      <c r="C470" s="14">
        <v>93</v>
      </c>
      <c r="D470" s="14">
        <v>28173.392243439455</v>
      </c>
      <c r="E470" s="82">
        <f>_xlfn.FORECAST.LINEAR(Table15[[#This Row],[Date]],Table15[Units_Sold],Table15[Date])</f>
        <v>99.649964983859945</v>
      </c>
      <c r="F470" s="138">
        <f>Table15[[#This Row],[Average_Price]]/Table15[[#This Row],[Units_Sold]]</f>
        <v>302.93970154235973</v>
      </c>
      <c r="G470" cm="1">
        <f t="array" ref="G470">_xlfn.IFS(Table15[[#This Row],[Vehicle_Type]]="SUV",250,Table15[[#This Row],[Vehicle_Type]]="Sedan",200,Table15[[#This Row],[Vehicle_Type]]="Hatchback",185,Table15[[#This Row],[Vehicle_Type]]="Electric",190,Table15[[#This Row],[Vehicle_Type]]="Truck",150)</f>
        <v>185</v>
      </c>
      <c r="H470">
        <f t="shared" ca="1" si="14"/>
        <v>25</v>
      </c>
      <c r="I470">
        <f t="shared" ca="1" si="15"/>
        <v>8</v>
      </c>
      <c r="J470" s="81">
        <f ca="1">24/Table15[[#This Row],[Production_Hours]]</f>
        <v>3</v>
      </c>
      <c r="K470" s="82">
        <f ca="1">(Table15[[#This Row],[Daily_Production]]*Table15[[#This Row],[Working_Days]]) -Table15[[#This Row],[Maintenance_Downtime]]</f>
        <v>4622</v>
      </c>
    </row>
    <row r="471" spans="1:11">
      <c r="A471" s="54">
        <v>56075</v>
      </c>
      <c r="B471" s="15" t="s">
        <v>13</v>
      </c>
      <c r="C471" s="15">
        <v>113</v>
      </c>
      <c r="D471" s="15">
        <v>30949.702720000001</v>
      </c>
      <c r="E471" s="82">
        <f>_xlfn.FORECAST.LINEAR(Table15[[#This Row],[Date]],Table15[Units_Sold],Table15[Date])</f>
        <v>99.651566654266617</v>
      </c>
      <c r="F471" s="138">
        <f>Table15[[#This Row],[Average_Price]]/Table15[[#This Row],[Units_Sold]]</f>
        <v>273.89117451327434</v>
      </c>
      <c r="G471" cm="1">
        <f t="array" ref="G471">_xlfn.IFS(Table15[[#This Row],[Vehicle_Type]]="SUV",250,Table15[[#This Row],[Vehicle_Type]]="Sedan",200,Table15[[#This Row],[Vehicle_Type]]="Hatchback",185,Table15[[#This Row],[Vehicle_Type]]="Electric",190,Table15[[#This Row],[Vehicle_Type]]="Truck",150)</f>
        <v>190</v>
      </c>
      <c r="H471">
        <f t="shared" ca="1" si="14"/>
        <v>23</v>
      </c>
      <c r="I471">
        <f t="shared" ca="1" si="15"/>
        <v>11</v>
      </c>
      <c r="J471" s="81">
        <f ca="1">24/Table15[[#This Row],[Production_Hours]]</f>
        <v>2.1818181818181817</v>
      </c>
      <c r="K471" s="82">
        <f ca="1">(Table15[[#This Row],[Daily_Production]]*Table15[[#This Row],[Working_Days]]) -Table15[[#This Row],[Maintenance_Downtime]]</f>
        <v>4367.818181818182</v>
      </c>
    </row>
    <row r="472" spans="1:11">
      <c r="A472" s="53">
        <v>56105</v>
      </c>
      <c r="B472" s="14" t="s">
        <v>11</v>
      </c>
      <c r="C472" s="14">
        <v>105</v>
      </c>
      <c r="D472" s="14">
        <v>23264.368552351516</v>
      </c>
      <c r="E472" s="82">
        <f>_xlfn.FORECAST.LINEAR(Table15[[#This Row],[Date]],Table15[Units_Sold],Table15[Date])</f>
        <v>99.653168324673302</v>
      </c>
      <c r="F472" s="138">
        <f>Table15[[#This Row],[Average_Price]]/Table15[[#This Row],[Units_Sold]]</f>
        <v>221.56541478430015</v>
      </c>
      <c r="G472" cm="1">
        <f t="array" ref="G472">_xlfn.IFS(Table15[[#This Row],[Vehicle_Type]]="SUV",250,Table15[[#This Row],[Vehicle_Type]]="Sedan",200,Table15[[#This Row],[Vehicle_Type]]="Hatchback",185,Table15[[#This Row],[Vehicle_Type]]="Electric",190,Table15[[#This Row],[Vehicle_Type]]="Truck",150)</f>
        <v>185</v>
      </c>
      <c r="H472">
        <f t="shared" ca="1" si="14"/>
        <v>25</v>
      </c>
      <c r="I472">
        <f t="shared" ca="1" si="15"/>
        <v>9</v>
      </c>
      <c r="J472" s="81">
        <f ca="1">24/Table15[[#This Row],[Production_Hours]]</f>
        <v>2.6666666666666665</v>
      </c>
      <c r="K472" s="82">
        <f ca="1">(Table15[[#This Row],[Daily_Production]]*Table15[[#This Row],[Working_Days]]) -Table15[[#This Row],[Maintenance_Downtime]]</f>
        <v>4622.333333333333</v>
      </c>
    </row>
    <row r="473" spans="1:11">
      <c r="A473" s="54">
        <v>56135</v>
      </c>
      <c r="B473" s="15" t="s">
        <v>14</v>
      </c>
      <c r="C473" s="15">
        <v>83</v>
      </c>
      <c r="D473" s="15">
        <v>25141.929807446744</v>
      </c>
      <c r="E473" s="82">
        <f>_xlfn.FORECAST.LINEAR(Table15[[#This Row],[Date]],Table15[Units_Sold],Table15[Date])</f>
        <v>99.654769995079988</v>
      </c>
      <c r="F473" s="138">
        <f>Table15[[#This Row],[Average_Price]]/Table15[[#This Row],[Units_Sold]]</f>
        <v>302.91481695718971</v>
      </c>
      <c r="G473" cm="1">
        <f t="array" ref="G473">_xlfn.IFS(Table15[[#This Row],[Vehicle_Type]]="SUV",250,Table15[[#This Row],[Vehicle_Type]]="Sedan",200,Table15[[#This Row],[Vehicle_Type]]="Hatchback",185,Table15[[#This Row],[Vehicle_Type]]="Electric",190,Table15[[#This Row],[Vehicle_Type]]="Truck",150)</f>
        <v>150</v>
      </c>
      <c r="H473">
        <f t="shared" ca="1" si="14"/>
        <v>22</v>
      </c>
      <c r="I473">
        <f t="shared" ca="1" si="15"/>
        <v>9</v>
      </c>
      <c r="J473" s="81">
        <f ca="1">24/Table15[[#This Row],[Production_Hours]]</f>
        <v>2.6666666666666665</v>
      </c>
      <c r="K473" s="82">
        <f ca="1">(Table15[[#This Row],[Daily_Production]]*Table15[[#This Row],[Working_Days]]) -Table15[[#This Row],[Maintenance_Downtime]]</f>
        <v>3297.3333333333335</v>
      </c>
    </row>
    <row r="474" spans="1:11">
      <c r="A474" s="53">
        <v>56165</v>
      </c>
      <c r="B474" s="14" t="s">
        <v>11</v>
      </c>
      <c r="C474" s="14">
        <v>96</v>
      </c>
      <c r="D474" s="14">
        <v>36002.069539722128</v>
      </c>
      <c r="E474" s="82">
        <f>_xlfn.FORECAST.LINEAR(Table15[[#This Row],[Date]],Table15[Units_Sold],Table15[Date])</f>
        <v>99.65637166548666</v>
      </c>
      <c r="F474" s="138">
        <f>Table15[[#This Row],[Average_Price]]/Table15[[#This Row],[Units_Sold]]</f>
        <v>375.02155770543885</v>
      </c>
      <c r="G474" cm="1">
        <f t="array" ref="G474">_xlfn.IFS(Table15[[#This Row],[Vehicle_Type]]="SUV",250,Table15[[#This Row],[Vehicle_Type]]="Sedan",200,Table15[[#This Row],[Vehicle_Type]]="Hatchback",185,Table15[[#This Row],[Vehicle_Type]]="Electric",190,Table15[[#This Row],[Vehicle_Type]]="Truck",150)</f>
        <v>185</v>
      </c>
      <c r="H474">
        <f t="shared" ca="1" si="14"/>
        <v>24</v>
      </c>
      <c r="I474">
        <f t="shared" ca="1" si="15"/>
        <v>11</v>
      </c>
      <c r="J474" s="81">
        <f ca="1">24/Table15[[#This Row],[Production_Hours]]</f>
        <v>2.1818181818181817</v>
      </c>
      <c r="K474" s="82">
        <f ca="1">(Table15[[#This Row],[Daily_Production]]*Table15[[#This Row],[Working_Days]]) -Table15[[#This Row],[Maintenance_Downtime]]</f>
        <v>4437.818181818182</v>
      </c>
    </row>
    <row r="475" spans="1:11">
      <c r="A475" s="54">
        <v>56195</v>
      </c>
      <c r="B475" s="15" t="s">
        <v>14</v>
      </c>
      <c r="C475" s="15">
        <v>107</v>
      </c>
      <c r="D475" s="15">
        <v>26715.528605143023</v>
      </c>
      <c r="E475" s="82">
        <f>_xlfn.FORECAST.LINEAR(Table15[[#This Row],[Date]],Table15[Units_Sold],Table15[Date])</f>
        <v>99.657973335893345</v>
      </c>
      <c r="F475" s="138">
        <f>Table15[[#This Row],[Average_Price]]/Table15[[#This Row],[Units_Sold]]</f>
        <v>249.6778374312432</v>
      </c>
      <c r="G475" cm="1">
        <f t="array" ref="G475">_xlfn.IFS(Table15[[#This Row],[Vehicle_Type]]="SUV",250,Table15[[#This Row],[Vehicle_Type]]="Sedan",200,Table15[[#This Row],[Vehicle_Type]]="Hatchback",185,Table15[[#This Row],[Vehicle_Type]]="Electric",190,Table15[[#This Row],[Vehicle_Type]]="Truck",150)</f>
        <v>150</v>
      </c>
      <c r="H475">
        <f t="shared" ca="1" si="14"/>
        <v>24</v>
      </c>
      <c r="I475">
        <f t="shared" ca="1" si="15"/>
        <v>10</v>
      </c>
      <c r="J475" s="81">
        <f ca="1">24/Table15[[#This Row],[Production_Hours]]</f>
        <v>2.4</v>
      </c>
      <c r="K475" s="82">
        <f ca="1">(Table15[[#This Row],[Daily_Production]]*Table15[[#This Row],[Working_Days]]) -Table15[[#This Row],[Maintenance_Downtime]]</f>
        <v>3597.6</v>
      </c>
    </row>
    <row r="476" spans="1:11">
      <c r="A476" s="53">
        <v>56225</v>
      </c>
      <c r="B476" s="14" t="s">
        <v>11</v>
      </c>
      <c r="C476" s="14">
        <v>83</v>
      </c>
      <c r="D476" s="14">
        <v>24765.445086590302</v>
      </c>
      <c r="E476" s="82">
        <f>_xlfn.FORECAST.LINEAR(Table15[[#This Row],[Date]],Table15[Units_Sold],Table15[Date])</f>
        <v>99.659575006300031</v>
      </c>
      <c r="F476" s="138">
        <f>Table15[[#This Row],[Average_Price]]/Table15[[#This Row],[Units_Sold]]</f>
        <v>298.3788564649434</v>
      </c>
      <c r="G476" cm="1">
        <f t="array" ref="G476">_xlfn.IFS(Table15[[#This Row],[Vehicle_Type]]="SUV",250,Table15[[#This Row],[Vehicle_Type]]="Sedan",200,Table15[[#This Row],[Vehicle_Type]]="Hatchback",185,Table15[[#This Row],[Vehicle_Type]]="Electric",190,Table15[[#This Row],[Vehicle_Type]]="Truck",150)</f>
        <v>185</v>
      </c>
      <c r="H476">
        <f t="shared" ca="1" si="14"/>
        <v>22</v>
      </c>
      <c r="I476">
        <f t="shared" ca="1" si="15"/>
        <v>10</v>
      </c>
      <c r="J476" s="81">
        <f ca="1">24/Table15[[#This Row],[Production_Hours]]</f>
        <v>2.4</v>
      </c>
      <c r="K476" s="82">
        <f ca="1">(Table15[[#This Row],[Daily_Production]]*Table15[[#This Row],[Working_Days]]) -Table15[[#This Row],[Maintenance_Downtime]]</f>
        <v>4067.6</v>
      </c>
    </row>
    <row r="477" spans="1:11">
      <c r="A477" s="54">
        <v>56255</v>
      </c>
      <c r="B477" s="15" t="s">
        <v>13</v>
      </c>
      <c r="C477" s="15">
        <v>105</v>
      </c>
      <c r="D477" s="15">
        <v>32683.26376263643</v>
      </c>
      <c r="E477" s="82">
        <f>_xlfn.FORECAST.LINEAR(Table15[[#This Row],[Date]],Table15[Units_Sold],Table15[Date])</f>
        <v>99.661176676706717</v>
      </c>
      <c r="F477" s="138">
        <f>Table15[[#This Row],[Average_Price]]/Table15[[#This Row],[Units_Sold]]</f>
        <v>311.26917869177555</v>
      </c>
      <c r="G477" cm="1">
        <f t="array" ref="G477">_xlfn.IFS(Table15[[#This Row],[Vehicle_Type]]="SUV",250,Table15[[#This Row],[Vehicle_Type]]="Sedan",200,Table15[[#This Row],[Vehicle_Type]]="Hatchback",185,Table15[[#This Row],[Vehicle_Type]]="Electric",190,Table15[[#This Row],[Vehicle_Type]]="Truck",150)</f>
        <v>190</v>
      </c>
      <c r="H477">
        <f t="shared" ca="1" si="14"/>
        <v>22</v>
      </c>
      <c r="I477">
        <f t="shared" ca="1" si="15"/>
        <v>8</v>
      </c>
      <c r="J477" s="81">
        <f ca="1">24/Table15[[#This Row],[Production_Hours]]</f>
        <v>3</v>
      </c>
      <c r="K477" s="82">
        <f ca="1">(Table15[[#This Row],[Daily_Production]]*Table15[[#This Row],[Working_Days]]) -Table15[[#This Row],[Maintenance_Downtime]]</f>
        <v>4177</v>
      </c>
    </row>
    <row r="478" spans="1:11">
      <c r="A478" s="53">
        <v>56285</v>
      </c>
      <c r="B478" s="14" t="s">
        <v>12</v>
      </c>
      <c r="C478" s="14">
        <v>112</v>
      </c>
      <c r="D478" s="14">
        <v>35928.520773314987</v>
      </c>
      <c r="E478" s="82">
        <f>_xlfn.FORECAST.LINEAR(Table15[[#This Row],[Date]],Table15[Units_Sold],Table15[Date])</f>
        <v>99.662778347113388</v>
      </c>
      <c r="F478" s="138">
        <f>Table15[[#This Row],[Average_Price]]/Table15[[#This Row],[Units_Sold]]</f>
        <v>320.79036404745523</v>
      </c>
      <c r="G478" cm="1">
        <f t="array" ref="G478">_xlfn.IFS(Table15[[#This Row],[Vehicle_Type]]="SUV",250,Table15[[#This Row],[Vehicle_Type]]="Sedan",200,Table15[[#This Row],[Vehicle_Type]]="Hatchback",185,Table15[[#This Row],[Vehicle_Type]]="Electric",190,Table15[[#This Row],[Vehicle_Type]]="Truck",150)</f>
        <v>250</v>
      </c>
      <c r="H478">
        <f t="shared" ca="1" si="14"/>
        <v>24</v>
      </c>
      <c r="I478">
        <f t="shared" ca="1" si="15"/>
        <v>11</v>
      </c>
      <c r="J478" s="81">
        <f ca="1">24/Table15[[#This Row],[Production_Hours]]</f>
        <v>2.1818181818181817</v>
      </c>
      <c r="K478" s="82">
        <f ca="1">(Table15[[#This Row],[Daily_Production]]*Table15[[#This Row],[Working_Days]]) -Table15[[#This Row],[Maintenance_Downtime]]</f>
        <v>5997.818181818182</v>
      </c>
    </row>
    <row r="479" spans="1:11">
      <c r="A479" s="54">
        <v>56315</v>
      </c>
      <c r="B479" s="15" t="s">
        <v>12</v>
      </c>
      <c r="C479" s="15">
        <v>99</v>
      </c>
      <c r="D479" s="15">
        <v>33594.766553325331</v>
      </c>
      <c r="E479" s="82">
        <f>_xlfn.FORECAST.LINEAR(Table15[[#This Row],[Date]],Table15[Units_Sold],Table15[Date])</f>
        <v>99.664380017520074</v>
      </c>
      <c r="F479" s="138">
        <f>Table15[[#This Row],[Average_Price]]/Table15[[#This Row],[Units_Sold]]</f>
        <v>339.34107629621548</v>
      </c>
      <c r="G479" cm="1">
        <f t="array" ref="G479">_xlfn.IFS(Table15[[#This Row],[Vehicle_Type]]="SUV",250,Table15[[#This Row],[Vehicle_Type]]="Sedan",200,Table15[[#This Row],[Vehicle_Type]]="Hatchback",185,Table15[[#This Row],[Vehicle_Type]]="Electric",190,Table15[[#This Row],[Vehicle_Type]]="Truck",150)</f>
        <v>250</v>
      </c>
      <c r="H479">
        <f t="shared" ca="1" si="14"/>
        <v>23</v>
      </c>
      <c r="I479">
        <f t="shared" ca="1" si="15"/>
        <v>8</v>
      </c>
      <c r="J479" s="81">
        <f ca="1">24/Table15[[#This Row],[Production_Hours]]</f>
        <v>3</v>
      </c>
      <c r="K479" s="82">
        <f ca="1">(Table15[[#This Row],[Daily_Production]]*Table15[[#This Row],[Working_Days]]) -Table15[[#This Row],[Maintenance_Downtime]]</f>
        <v>5747</v>
      </c>
    </row>
    <row r="480" spans="1:11">
      <c r="A480" s="53">
        <v>56345</v>
      </c>
      <c r="B480" s="14" t="s">
        <v>14</v>
      </c>
      <c r="C480" s="14">
        <v>111</v>
      </c>
      <c r="D480" s="14">
        <v>34980.238429029079</v>
      </c>
      <c r="E480" s="82">
        <f>_xlfn.FORECAST.LINEAR(Table15[[#This Row],[Date]],Table15[Units_Sold],Table15[Date])</f>
        <v>99.665981687926759</v>
      </c>
      <c r="F480" s="138">
        <f>Table15[[#This Row],[Average_Price]]/Table15[[#This Row],[Units_Sold]]</f>
        <v>315.13728314440613</v>
      </c>
      <c r="G480" cm="1">
        <f t="array" ref="G480">_xlfn.IFS(Table15[[#This Row],[Vehicle_Type]]="SUV",250,Table15[[#This Row],[Vehicle_Type]]="Sedan",200,Table15[[#This Row],[Vehicle_Type]]="Hatchback",185,Table15[[#This Row],[Vehicle_Type]]="Electric",190,Table15[[#This Row],[Vehicle_Type]]="Truck",150)</f>
        <v>150</v>
      </c>
      <c r="H480">
        <f t="shared" ca="1" si="14"/>
        <v>24</v>
      </c>
      <c r="I480">
        <f t="shared" ca="1" si="15"/>
        <v>11</v>
      </c>
      <c r="J480" s="81">
        <f ca="1">24/Table15[[#This Row],[Production_Hours]]</f>
        <v>2.1818181818181817</v>
      </c>
      <c r="K480" s="82">
        <f ca="1">(Table15[[#This Row],[Daily_Production]]*Table15[[#This Row],[Working_Days]]) -Table15[[#This Row],[Maintenance_Downtime]]</f>
        <v>3597.818181818182</v>
      </c>
    </row>
    <row r="481" spans="1:11">
      <c r="A481" s="54">
        <v>56375</v>
      </c>
      <c r="B481" s="15" t="s">
        <v>14</v>
      </c>
      <c r="C481" s="15">
        <v>105</v>
      </c>
      <c r="D481" s="15">
        <v>26216.024557152698</v>
      </c>
      <c r="E481" s="82">
        <f>_xlfn.FORECAST.LINEAR(Table15[[#This Row],[Date]],Table15[Units_Sold],Table15[Date])</f>
        <v>99.667583358333431</v>
      </c>
      <c r="F481" s="138">
        <f>Table15[[#This Row],[Average_Price]]/Table15[[#This Row],[Units_Sold]]</f>
        <v>249.67642435383522</v>
      </c>
      <c r="G481" cm="1">
        <f t="array" ref="G481">_xlfn.IFS(Table15[[#This Row],[Vehicle_Type]]="SUV",250,Table15[[#This Row],[Vehicle_Type]]="Sedan",200,Table15[[#This Row],[Vehicle_Type]]="Hatchback",185,Table15[[#This Row],[Vehicle_Type]]="Electric",190,Table15[[#This Row],[Vehicle_Type]]="Truck",150)</f>
        <v>150</v>
      </c>
      <c r="H481">
        <f t="shared" ca="1" si="14"/>
        <v>25</v>
      </c>
      <c r="I481">
        <f t="shared" ca="1" si="15"/>
        <v>10</v>
      </c>
      <c r="J481" s="81">
        <f ca="1">24/Table15[[#This Row],[Production_Hours]]</f>
        <v>2.4</v>
      </c>
      <c r="K481" s="82">
        <f ca="1">(Table15[[#This Row],[Daily_Production]]*Table15[[#This Row],[Working_Days]]) -Table15[[#This Row],[Maintenance_Downtime]]</f>
        <v>3747.6</v>
      </c>
    </row>
    <row r="482" spans="1:11">
      <c r="A482" s="53">
        <v>56405</v>
      </c>
      <c r="B482" s="14" t="s">
        <v>12</v>
      </c>
      <c r="C482" s="14">
        <v>93</v>
      </c>
      <c r="D482" s="14">
        <v>22890.94666629078</v>
      </c>
      <c r="E482" s="82">
        <f>_xlfn.FORECAST.LINEAR(Table15[[#This Row],[Date]],Table15[Units_Sold],Table15[Date])</f>
        <v>99.669185028740117</v>
      </c>
      <c r="F482" s="138">
        <f>Table15[[#This Row],[Average_Price]]/Table15[[#This Row],[Units_Sold]]</f>
        <v>246.13921146549225</v>
      </c>
      <c r="G482" cm="1">
        <f t="array" ref="G482">_xlfn.IFS(Table15[[#This Row],[Vehicle_Type]]="SUV",250,Table15[[#This Row],[Vehicle_Type]]="Sedan",200,Table15[[#This Row],[Vehicle_Type]]="Hatchback",185,Table15[[#This Row],[Vehicle_Type]]="Electric",190,Table15[[#This Row],[Vehicle_Type]]="Truck",150)</f>
        <v>250</v>
      </c>
      <c r="H482">
        <f t="shared" ca="1" si="14"/>
        <v>22</v>
      </c>
      <c r="I482">
        <f t="shared" ca="1" si="15"/>
        <v>11</v>
      </c>
      <c r="J482" s="81">
        <f ca="1">24/Table15[[#This Row],[Production_Hours]]</f>
        <v>2.1818181818181817</v>
      </c>
      <c r="K482" s="82">
        <f ca="1">(Table15[[#This Row],[Daily_Production]]*Table15[[#This Row],[Working_Days]]) -Table15[[#This Row],[Maintenance_Downtime]]</f>
        <v>5497.818181818182</v>
      </c>
    </row>
    <row r="483" spans="1:11">
      <c r="A483" s="54">
        <v>56435</v>
      </c>
      <c r="B483" s="15" t="s">
        <v>13</v>
      </c>
      <c r="C483" s="15">
        <v>109</v>
      </c>
      <c r="D483" s="15">
        <v>37506.668259777434</v>
      </c>
      <c r="E483" s="82">
        <f>_xlfn.FORECAST.LINEAR(Table15[[#This Row],[Date]],Table15[Units_Sold],Table15[Date])</f>
        <v>99.670786699146802</v>
      </c>
      <c r="F483" s="138">
        <f>Table15[[#This Row],[Average_Price]]/Table15[[#This Row],[Units_Sold]]</f>
        <v>344.09787394291226</v>
      </c>
      <c r="G483" cm="1">
        <f t="array" ref="G483">_xlfn.IFS(Table15[[#This Row],[Vehicle_Type]]="SUV",250,Table15[[#This Row],[Vehicle_Type]]="Sedan",200,Table15[[#This Row],[Vehicle_Type]]="Hatchback",185,Table15[[#This Row],[Vehicle_Type]]="Electric",190,Table15[[#This Row],[Vehicle_Type]]="Truck",150)</f>
        <v>190</v>
      </c>
      <c r="H483">
        <f t="shared" ca="1" si="14"/>
        <v>21</v>
      </c>
      <c r="I483">
        <f t="shared" ca="1" si="15"/>
        <v>11</v>
      </c>
      <c r="J483" s="81">
        <f ca="1">24/Table15[[#This Row],[Production_Hours]]</f>
        <v>2.1818181818181817</v>
      </c>
      <c r="K483" s="82">
        <f ca="1">(Table15[[#This Row],[Daily_Production]]*Table15[[#This Row],[Working_Days]]) -Table15[[#This Row],[Maintenance_Downtime]]</f>
        <v>3987.818181818182</v>
      </c>
    </row>
    <row r="484" spans="1:11">
      <c r="A484" s="53">
        <v>56465</v>
      </c>
      <c r="B484" s="14" t="s">
        <v>13</v>
      </c>
      <c r="C484" s="14">
        <v>106</v>
      </c>
      <c r="D484" s="14">
        <v>28386.60080578932</v>
      </c>
      <c r="E484" s="82">
        <f>_xlfn.FORECAST.LINEAR(Table15[[#This Row],[Date]],Table15[Units_Sold],Table15[Date])</f>
        <v>99.672388369553488</v>
      </c>
      <c r="F484" s="138">
        <f>Table15[[#This Row],[Average_Price]]/Table15[[#This Row],[Units_Sold]]</f>
        <v>267.79812080933323</v>
      </c>
      <c r="G484" cm="1">
        <f t="array" ref="G484">_xlfn.IFS(Table15[[#This Row],[Vehicle_Type]]="SUV",250,Table15[[#This Row],[Vehicle_Type]]="Sedan",200,Table15[[#This Row],[Vehicle_Type]]="Hatchback",185,Table15[[#This Row],[Vehicle_Type]]="Electric",190,Table15[[#This Row],[Vehicle_Type]]="Truck",150)</f>
        <v>190</v>
      </c>
      <c r="H484">
        <f t="shared" ca="1" si="14"/>
        <v>23</v>
      </c>
      <c r="I484">
        <f t="shared" ca="1" si="15"/>
        <v>8</v>
      </c>
      <c r="J484" s="81">
        <f ca="1">24/Table15[[#This Row],[Production_Hours]]</f>
        <v>3</v>
      </c>
      <c r="K484" s="82">
        <f ca="1">(Table15[[#This Row],[Daily_Production]]*Table15[[#This Row],[Working_Days]]) -Table15[[#This Row],[Maintenance_Downtime]]</f>
        <v>4367</v>
      </c>
    </row>
    <row r="485" spans="1:11">
      <c r="A485" s="54">
        <v>56495</v>
      </c>
      <c r="B485" s="15" t="s">
        <v>11</v>
      </c>
      <c r="C485" s="15">
        <v>106</v>
      </c>
      <c r="D485" s="15">
        <v>28745.834917724762</v>
      </c>
      <c r="E485" s="82">
        <f>_xlfn.FORECAST.LINEAR(Table15[[#This Row],[Date]],Table15[Units_Sold],Table15[Date])</f>
        <v>99.673990039960159</v>
      </c>
      <c r="F485" s="138">
        <f>Table15[[#This Row],[Average_Price]]/Table15[[#This Row],[Units_Sold]]</f>
        <v>271.18712186532792</v>
      </c>
      <c r="G485" cm="1">
        <f t="array" ref="G485">_xlfn.IFS(Table15[[#This Row],[Vehicle_Type]]="SUV",250,Table15[[#This Row],[Vehicle_Type]]="Sedan",200,Table15[[#This Row],[Vehicle_Type]]="Hatchback",185,Table15[[#This Row],[Vehicle_Type]]="Electric",190,Table15[[#This Row],[Vehicle_Type]]="Truck",150)</f>
        <v>185</v>
      </c>
      <c r="H485">
        <f t="shared" ca="1" si="14"/>
        <v>25</v>
      </c>
      <c r="I485">
        <f t="shared" ca="1" si="15"/>
        <v>12</v>
      </c>
      <c r="J485" s="81">
        <f ca="1">24/Table15[[#This Row],[Production_Hours]]</f>
        <v>2</v>
      </c>
      <c r="K485" s="82">
        <f ca="1">(Table15[[#This Row],[Daily_Production]]*Table15[[#This Row],[Working_Days]]) -Table15[[#This Row],[Maintenance_Downtime]]</f>
        <v>4623</v>
      </c>
    </row>
    <row r="486" spans="1:11">
      <c r="A486" s="53">
        <v>56525</v>
      </c>
      <c r="B486" s="14" t="s">
        <v>14</v>
      </c>
      <c r="C486" s="14">
        <v>103</v>
      </c>
      <c r="D486" s="14">
        <v>36640.970709245288</v>
      </c>
      <c r="E486" s="82">
        <f>_xlfn.FORECAST.LINEAR(Table15[[#This Row],[Date]],Table15[Units_Sold],Table15[Date])</f>
        <v>99.675591710366845</v>
      </c>
      <c r="F486" s="138">
        <f>Table15[[#This Row],[Average_Price]]/Table15[[#This Row],[Units_Sold]]</f>
        <v>355.73757970141054</v>
      </c>
      <c r="G486" cm="1">
        <f t="array" ref="G486">_xlfn.IFS(Table15[[#This Row],[Vehicle_Type]]="SUV",250,Table15[[#This Row],[Vehicle_Type]]="Sedan",200,Table15[[#This Row],[Vehicle_Type]]="Hatchback",185,Table15[[#This Row],[Vehicle_Type]]="Electric",190,Table15[[#This Row],[Vehicle_Type]]="Truck",150)</f>
        <v>150</v>
      </c>
      <c r="H486">
        <f t="shared" ca="1" si="14"/>
        <v>24</v>
      </c>
      <c r="I486">
        <f t="shared" ca="1" si="15"/>
        <v>12</v>
      </c>
      <c r="J486" s="81">
        <f ca="1">24/Table15[[#This Row],[Production_Hours]]</f>
        <v>2</v>
      </c>
      <c r="K486" s="82">
        <f ca="1">(Table15[[#This Row],[Daily_Production]]*Table15[[#This Row],[Working_Days]]) -Table15[[#This Row],[Maintenance_Downtime]]</f>
        <v>3598</v>
      </c>
    </row>
    <row r="487" spans="1:11">
      <c r="A487" s="54">
        <v>56555</v>
      </c>
      <c r="B487" s="15" t="s">
        <v>13</v>
      </c>
      <c r="C487" s="15">
        <v>113</v>
      </c>
      <c r="D487" s="15">
        <v>32781.150047003299</v>
      </c>
      <c r="E487" s="82">
        <f>_xlfn.FORECAST.LINEAR(Table15[[#This Row],[Date]],Table15[Units_Sold],Table15[Date])</f>
        <v>99.677193380773531</v>
      </c>
      <c r="F487" s="138">
        <f>Table15[[#This Row],[Average_Price]]/Table15[[#This Row],[Units_Sold]]</f>
        <v>290.09867298233007</v>
      </c>
      <c r="G487" cm="1">
        <f t="array" ref="G487">_xlfn.IFS(Table15[[#This Row],[Vehicle_Type]]="SUV",250,Table15[[#This Row],[Vehicle_Type]]="Sedan",200,Table15[[#This Row],[Vehicle_Type]]="Hatchback",185,Table15[[#This Row],[Vehicle_Type]]="Electric",190,Table15[[#This Row],[Vehicle_Type]]="Truck",150)</f>
        <v>190</v>
      </c>
      <c r="H487">
        <f t="shared" ca="1" si="14"/>
        <v>25</v>
      </c>
      <c r="I487">
        <f t="shared" ca="1" si="15"/>
        <v>11</v>
      </c>
      <c r="J487" s="81">
        <f ca="1">24/Table15[[#This Row],[Production_Hours]]</f>
        <v>2.1818181818181817</v>
      </c>
      <c r="K487" s="82">
        <f ca="1">(Table15[[#This Row],[Daily_Production]]*Table15[[#This Row],[Working_Days]]) -Table15[[#This Row],[Maintenance_Downtime]]</f>
        <v>4747.818181818182</v>
      </c>
    </row>
    <row r="488" spans="1:11">
      <c r="A488" s="53">
        <v>56585</v>
      </c>
      <c r="B488" s="14" t="s">
        <v>10</v>
      </c>
      <c r="C488" s="14">
        <v>111</v>
      </c>
      <c r="D488" s="14">
        <v>30949.702720000001</v>
      </c>
      <c r="E488" s="82">
        <f>_xlfn.FORECAST.LINEAR(Table15[[#This Row],[Date]],Table15[Units_Sold],Table15[Date])</f>
        <v>99.678795051180202</v>
      </c>
      <c r="F488" s="138">
        <f>Table15[[#This Row],[Average_Price]]/Table15[[#This Row],[Units_Sold]]</f>
        <v>278.82615063063065</v>
      </c>
      <c r="G488" cm="1">
        <f t="array" ref="G488">_xlfn.IFS(Table15[[#This Row],[Vehicle_Type]]="SUV",250,Table15[[#This Row],[Vehicle_Type]]="Sedan",200,Table15[[#This Row],[Vehicle_Type]]="Hatchback",185,Table15[[#This Row],[Vehicle_Type]]="Electric",190,Table15[[#This Row],[Vehicle_Type]]="Truck",150)</f>
        <v>200</v>
      </c>
      <c r="H488">
        <f t="shared" ca="1" si="14"/>
        <v>25</v>
      </c>
      <c r="I488">
        <f t="shared" ca="1" si="15"/>
        <v>11</v>
      </c>
      <c r="J488" s="81">
        <f ca="1">24/Table15[[#This Row],[Production_Hours]]</f>
        <v>2.1818181818181817</v>
      </c>
      <c r="K488" s="82">
        <f ca="1">(Table15[[#This Row],[Daily_Production]]*Table15[[#This Row],[Working_Days]]) -Table15[[#This Row],[Maintenance_Downtime]]</f>
        <v>4997.818181818182</v>
      </c>
    </row>
    <row r="489" spans="1:11">
      <c r="A489" s="54">
        <v>56615</v>
      </c>
      <c r="B489" s="15" t="s">
        <v>11</v>
      </c>
      <c r="C489" s="15">
        <v>100</v>
      </c>
      <c r="D489" s="15">
        <v>40825.011724505421</v>
      </c>
      <c r="E489" s="82">
        <f>_xlfn.FORECAST.LINEAR(Table15[[#This Row],[Date]],Table15[Units_Sold],Table15[Date])</f>
        <v>99.680396721586888</v>
      </c>
      <c r="F489" s="138">
        <f>Table15[[#This Row],[Average_Price]]/Table15[[#This Row],[Units_Sold]]</f>
        <v>408.25011724505418</v>
      </c>
      <c r="G489" cm="1">
        <f t="array" ref="G489">_xlfn.IFS(Table15[[#This Row],[Vehicle_Type]]="SUV",250,Table15[[#This Row],[Vehicle_Type]]="Sedan",200,Table15[[#This Row],[Vehicle_Type]]="Hatchback",185,Table15[[#This Row],[Vehicle_Type]]="Electric",190,Table15[[#This Row],[Vehicle_Type]]="Truck",150)</f>
        <v>185</v>
      </c>
      <c r="H489">
        <f t="shared" ca="1" si="14"/>
        <v>25</v>
      </c>
      <c r="I489">
        <f t="shared" ca="1" si="15"/>
        <v>8</v>
      </c>
      <c r="J489" s="81">
        <f ca="1">24/Table15[[#This Row],[Production_Hours]]</f>
        <v>3</v>
      </c>
      <c r="K489" s="82">
        <f ca="1">(Table15[[#This Row],[Daily_Production]]*Table15[[#This Row],[Working_Days]]) -Table15[[#This Row],[Maintenance_Downtime]]</f>
        <v>4622</v>
      </c>
    </row>
    <row r="490" spans="1:11">
      <c r="A490" s="53">
        <v>56645</v>
      </c>
      <c r="B490" s="14" t="s">
        <v>11</v>
      </c>
      <c r="C490" s="14">
        <v>89</v>
      </c>
      <c r="D490" s="14">
        <v>26782.408848099287</v>
      </c>
      <c r="E490" s="82">
        <f>_xlfn.FORECAST.LINEAR(Table15[[#This Row],[Date]],Table15[Units_Sold],Table15[Date])</f>
        <v>99.681998391993574</v>
      </c>
      <c r="F490" s="138">
        <f>Table15[[#This Row],[Average_Price]]/Table15[[#This Row],[Units_Sold]]</f>
        <v>300.92594211347512</v>
      </c>
      <c r="G490" cm="1">
        <f t="array" ref="G490">_xlfn.IFS(Table15[[#This Row],[Vehicle_Type]]="SUV",250,Table15[[#This Row],[Vehicle_Type]]="Sedan",200,Table15[[#This Row],[Vehicle_Type]]="Hatchback",185,Table15[[#This Row],[Vehicle_Type]]="Electric",190,Table15[[#This Row],[Vehicle_Type]]="Truck",150)</f>
        <v>185</v>
      </c>
      <c r="H490">
        <f t="shared" ca="1" si="14"/>
        <v>25</v>
      </c>
      <c r="I490">
        <f t="shared" ca="1" si="15"/>
        <v>12</v>
      </c>
      <c r="J490" s="81">
        <f ca="1">24/Table15[[#This Row],[Production_Hours]]</f>
        <v>2</v>
      </c>
      <c r="K490" s="82">
        <f ca="1">(Table15[[#This Row],[Daily_Production]]*Table15[[#This Row],[Working_Days]]) -Table15[[#This Row],[Maintenance_Downtime]]</f>
        <v>4623</v>
      </c>
    </row>
    <row r="491" spans="1:11">
      <c r="A491" s="54">
        <v>56675</v>
      </c>
      <c r="B491" s="15" t="s">
        <v>12</v>
      </c>
      <c r="C491" s="15">
        <v>111</v>
      </c>
      <c r="D491" s="15">
        <v>34639.200640406183</v>
      </c>
      <c r="E491" s="82">
        <f>_xlfn.FORECAST.LINEAR(Table15[[#This Row],[Date]],Table15[Units_Sold],Table15[Date])</f>
        <v>99.683600062400259</v>
      </c>
      <c r="F491" s="138">
        <f>Table15[[#This Row],[Average_Price]]/Table15[[#This Row],[Units_Sold]]</f>
        <v>312.06487063428995</v>
      </c>
      <c r="G491" cm="1">
        <f t="array" ref="G491">_xlfn.IFS(Table15[[#This Row],[Vehicle_Type]]="SUV",250,Table15[[#This Row],[Vehicle_Type]]="Sedan",200,Table15[[#This Row],[Vehicle_Type]]="Hatchback",185,Table15[[#This Row],[Vehicle_Type]]="Electric",190,Table15[[#This Row],[Vehicle_Type]]="Truck",150)</f>
        <v>250</v>
      </c>
      <c r="H491">
        <f t="shared" ca="1" si="14"/>
        <v>21</v>
      </c>
      <c r="I491">
        <f t="shared" ca="1" si="15"/>
        <v>10</v>
      </c>
      <c r="J491" s="81">
        <f ca="1">24/Table15[[#This Row],[Production_Hours]]</f>
        <v>2.4</v>
      </c>
      <c r="K491" s="82">
        <f ca="1">(Table15[[#This Row],[Daily_Production]]*Table15[[#This Row],[Working_Days]]) -Table15[[#This Row],[Maintenance_Downtime]]</f>
        <v>5247.6</v>
      </c>
    </row>
    <row r="492" spans="1:11">
      <c r="A492" s="53">
        <v>56705</v>
      </c>
      <c r="B492" s="14" t="s">
        <v>14</v>
      </c>
      <c r="C492" s="14">
        <v>104</v>
      </c>
      <c r="D492" s="14">
        <v>38106.295579999998</v>
      </c>
      <c r="E492" s="82">
        <f>_xlfn.FORECAST.LINEAR(Table15[[#This Row],[Date]],Table15[Units_Sold],Table15[Date])</f>
        <v>99.685201732806931</v>
      </c>
      <c r="F492" s="138">
        <f>Table15[[#This Row],[Average_Price]]/Table15[[#This Row],[Units_Sold]]</f>
        <v>366.40668826923076</v>
      </c>
      <c r="G492" cm="1">
        <f t="array" ref="G492">_xlfn.IFS(Table15[[#This Row],[Vehicle_Type]]="SUV",250,Table15[[#This Row],[Vehicle_Type]]="Sedan",200,Table15[[#This Row],[Vehicle_Type]]="Hatchback",185,Table15[[#This Row],[Vehicle_Type]]="Electric",190,Table15[[#This Row],[Vehicle_Type]]="Truck",150)</f>
        <v>150</v>
      </c>
      <c r="H492">
        <f t="shared" ca="1" si="14"/>
        <v>23</v>
      </c>
      <c r="I492">
        <f t="shared" ca="1" si="15"/>
        <v>9</v>
      </c>
      <c r="J492" s="81">
        <f ca="1">24/Table15[[#This Row],[Production_Hours]]</f>
        <v>2.6666666666666665</v>
      </c>
      <c r="K492" s="82">
        <f ca="1">(Table15[[#This Row],[Daily_Production]]*Table15[[#This Row],[Working_Days]]) -Table15[[#This Row],[Maintenance_Downtime]]</f>
        <v>3447.3333333333335</v>
      </c>
    </row>
    <row r="493" spans="1:11">
      <c r="A493" s="54">
        <v>56735</v>
      </c>
      <c r="B493" s="15" t="s">
        <v>13</v>
      </c>
      <c r="C493" s="15">
        <v>100</v>
      </c>
      <c r="D493" s="15">
        <v>31342.961394316284</v>
      </c>
      <c r="E493" s="82">
        <f>_xlfn.FORECAST.LINEAR(Table15[[#This Row],[Date]],Table15[Units_Sold],Table15[Date])</f>
        <v>99.686803403213617</v>
      </c>
      <c r="F493" s="138">
        <f>Table15[[#This Row],[Average_Price]]/Table15[[#This Row],[Units_Sold]]</f>
        <v>313.42961394316285</v>
      </c>
      <c r="G493" cm="1">
        <f t="array" ref="G493">_xlfn.IFS(Table15[[#This Row],[Vehicle_Type]]="SUV",250,Table15[[#This Row],[Vehicle_Type]]="Sedan",200,Table15[[#This Row],[Vehicle_Type]]="Hatchback",185,Table15[[#This Row],[Vehicle_Type]]="Electric",190,Table15[[#This Row],[Vehicle_Type]]="Truck",150)</f>
        <v>190</v>
      </c>
      <c r="H493">
        <f t="shared" ca="1" si="14"/>
        <v>24</v>
      </c>
      <c r="I493">
        <f t="shared" ca="1" si="15"/>
        <v>9</v>
      </c>
      <c r="J493" s="81">
        <f ca="1">24/Table15[[#This Row],[Production_Hours]]</f>
        <v>2.6666666666666665</v>
      </c>
      <c r="K493" s="82">
        <f ca="1">(Table15[[#This Row],[Daily_Production]]*Table15[[#This Row],[Working_Days]]) -Table15[[#This Row],[Maintenance_Downtime]]</f>
        <v>4557.333333333333</v>
      </c>
    </row>
    <row r="494" spans="1:11">
      <c r="A494" s="53">
        <v>56765</v>
      </c>
      <c r="B494" s="14" t="s">
        <v>13</v>
      </c>
      <c r="C494" s="14">
        <v>109</v>
      </c>
      <c r="D494" s="14">
        <v>37642.342132062658</v>
      </c>
      <c r="E494" s="82">
        <f>_xlfn.FORECAST.LINEAR(Table15[[#This Row],[Date]],Table15[Units_Sold],Table15[Date])</f>
        <v>99.688405073620302</v>
      </c>
      <c r="F494" s="138">
        <f>Table15[[#This Row],[Average_Price]]/Table15[[#This Row],[Units_Sold]]</f>
        <v>345.34258836754731</v>
      </c>
      <c r="G494" cm="1">
        <f t="array" ref="G494">_xlfn.IFS(Table15[[#This Row],[Vehicle_Type]]="SUV",250,Table15[[#This Row],[Vehicle_Type]]="Sedan",200,Table15[[#This Row],[Vehicle_Type]]="Hatchback",185,Table15[[#This Row],[Vehicle_Type]]="Electric",190,Table15[[#This Row],[Vehicle_Type]]="Truck",150)</f>
        <v>190</v>
      </c>
      <c r="H494">
        <f t="shared" ca="1" si="14"/>
        <v>20</v>
      </c>
      <c r="I494">
        <f t="shared" ca="1" si="15"/>
        <v>10</v>
      </c>
      <c r="J494" s="81">
        <f ca="1">24/Table15[[#This Row],[Production_Hours]]</f>
        <v>2.4</v>
      </c>
      <c r="K494" s="82">
        <f ca="1">(Table15[[#This Row],[Daily_Production]]*Table15[[#This Row],[Working_Days]]) -Table15[[#This Row],[Maintenance_Downtime]]</f>
        <v>3797.6</v>
      </c>
    </row>
    <row r="495" spans="1:11">
      <c r="A495" s="54">
        <v>56795</v>
      </c>
      <c r="B495" s="15" t="s">
        <v>11</v>
      </c>
      <c r="C495" s="15">
        <v>108</v>
      </c>
      <c r="D495" s="15">
        <v>32539.178781448118</v>
      </c>
      <c r="E495" s="82">
        <f>_xlfn.FORECAST.LINEAR(Table15[[#This Row],[Date]],Table15[Units_Sold],Table15[Date])</f>
        <v>99.690006744026974</v>
      </c>
      <c r="F495" s="138">
        <f>Table15[[#This Row],[Average_Price]]/Table15[[#This Row],[Units_Sold]]</f>
        <v>301.28869242081589</v>
      </c>
      <c r="G495" cm="1">
        <f t="array" ref="G495">_xlfn.IFS(Table15[[#This Row],[Vehicle_Type]]="SUV",250,Table15[[#This Row],[Vehicle_Type]]="Sedan",200,Table15[[#This Row],[Vehicle_Type]]="Hatchback",185,Table15[[#This Row],[Vehicle_Type]]="Electric",190,Table15[[#This Row],[Vehicle_Type]]="Truck",150)</f>
        <v>185</v>
      </c>
      <c r="H495">
        <f t="shared" ca="1" si="14"/>
        <v>25</v>
      </c>
      <c r="I495">
        <f t="shared" ca="1" si="15"/>
        <v>9</v>
      </c>
      <c r="J495" s="81">
        <f ca="1">24/Table15[[#This Row],[Production_Hours]]</f>
        <v>2.6666666666666665</v>
      </c>
      <c r="K495" s="82">
        <f ca="1">(Table15[[#This Row],[Daily_Production]]*Table15[[#This Row],[Working_Days]]) -Table15[[#This Row],[Maintenance_Downtime]]</f>
        <v>4622.333333333333</v>
      </c>
    </row>
    <row r="496" spans="1:11">
      <c r="A496" s="53">
        <v>56825</v>
      </c>
      <c r="B496" s="14" t="s">
        <v>14</v>
      </c>
      <c r="C496" s="14">
        <v>100</v>
      </c>
      <c r="D496" s="14">
        <v>32691.480395248163</v>
      </c>
      <c r="E496" s="82">
        <f>_xlfn.FORECAST.LINEAR(Table15[[#This Row],[Date]],Table15[Units_Sold],Table15[Date])</f>
        <v>99.691608414433659</v>
      </c>
      <c r="F496" s="138">
        <f>Table15[[#This Row],[Average_Price]]/Table15[[#This Row],[Units_Sold]]</f>
        <v>326.91480395248163</v>
      </c>
      <c r="G496" cm="1">
        <f t="array" ref="G496">_xlfn.IFS(Table15[[#This Row],[Vehicle_Type]]="SUV",250,Table15[[#This Row],[Vehicle_Type]]="Sedan",200,Table15[[#This Row],[Vehicle_Type]]="Hatchback",185,Table15[[#This Row],[Vehicle_Type]]="Electric",190,Table15[[#This Row],[Vehicle_Type]]="Truck",150)</f>
        <v>150</v>
      </c>
      <c r="H496">
        <f t="shared" ca="1" si="14"/>
        <v>25</v>
      </c>
      <c r="I496">
        <f t="shared" ca="1" si="15"/>
        <v>9</v>
      </c>
      <c r="J496" s="81">
        <f ca="1">24/Table15[[#This Row],[Production_Hours]]</f>
        <v>2.6666666666666665</v>
      </c>
      <c r="K496" s="82">
        <f ca="1">(Table15[[#This Row],[Daily_Production]]*Table15[[#This Row],[Working_Days]]) -Table15[[#This Row],[Maintenance_Downtime]]</f>
        <v>3747.3333333333335</v>
      </c>
    </row>
    <row r="497" spans="1:11">
      <c r="A497" s="54">
        <v>56855</v>
      </c>
      <c r="B497" s="15" t="s">
        <v>14</v>
      </c>
      <c r="C497" s="15">
        <v>104</v>
      </c>
      <c r="D497" s="15">
        <v>35362.536686549014</v>
      </c>
      <c r="E497" s="82">
        <f>_xlfn.FORECAST.LINEAR(Table15[[#This Row],[Date]],Table15[Units_Sold],Table15[Date])</f>
        <v>99.693210084840345</v>
      </c>
      <c r="F497" s="138">
        <f>Table15[[#This Row],[Average_Price]]/Table15[[#This Row],[Units_Sold]]</f>
        <v>340.02439121681743</v>
      </c>
      <c r="G497" cm="1">
        <f t="array" ref="G497">_xlfn.IFS(Table15[[#This Row],[Vehicle_Type]]="SUV",250,Table15[[#This Row],[Vehicle_Type]]="Sedan",200,Table15[[#This Row],[Vehicle_Type]]="Hatchback",185,Table15[[#This Row],[Vehicle_Type]]="Electric",190,Table15[[#This Row],[Vehicle_Type]]="Truck",150)</f>
        <v>150</v>
      </c>
      <c r="H497">
        <f t="shared" ca="1" si="14"/>
        <v>20</v>
      </c>
      <c r="I497">
        <f t="shared" ca="1" si="15"/>
        <v>8</v>
      </c>
      <c r="J497" s="81">
        <f ca="1">24/Table15[[#This Row],[Production_Hours]]</f>
        <v>3</v>
      </c>
      <c r="K497" s="82">
        <f ca="1">(Table15[[#This Row],[Daily_Production]]*Table15[[#This Row],[Working_Days]]) -Table15[[#This Row],[Maintenance_Downtime]]</f>
        <v>2997</v>
      </c>
    </row>
    <row r="498" spans="1:11">
      <c r="A498" s="53">
        <v>56885</v>
      </c>
      <c r="B498" s="14" t="s">
        <v>14</v>
      </c>
      <c r="C498" s="14">
        <v>106</v>
      </c>
      <c r="D498" s="14">
        <v>28175.236352285574</v>
      </c>
      <c r="E498" s="82">
        <f>_xlfn.FORECAST.LINEAR(Table15[[#This Row],[Date]],Table15[Units_Sold],Table15[Date])</f>
        <v>99.694811755247031</v>
      </c>
      <c r="F498" s="138">
        <f>Table15[[#This Row],[Average_Price]]/Table15[[#This Row],[Units_Sold]]</f>
        <v>265.804116530996</v>
      </c>
      <c r="G498" cm="1">
        <f t="array" ref="G498">_xlfn.IFS(Table15[[#This Row],[Vehicle_Type]]="SUV",250,Table15[[#This Row],[Vehicle_Type]]="Sedan",200,Table15[[#This Row],[Vehicle_Type]]="Hatchback",185,Table15[[#This Row],[Vehicle_Type]]="Electric",190,Table15[[#This Row],[Vehicle_Type]]="Truck",150)</f>
        <v>150</v>
      </c>
      <c r="H498">
        <f t="shared" ca="1" si="14"/>
        <v>25</v>
      </c>
      <c r="I498">
        <f t="shared" ca="1" si="15"/>
        <v>8</v>
      </c>
      <c r="J498" s="81">
        <f ca="1">24/Table15[[#This Row],[Production_Hours]]</f>
        <v>3</v>
      </c>
      <c r="K498" s="82">
        <f ca="1">(Table15[[#This Row],[Daily_Production]]*Table15[[#This Row],[Working_Days]]) -Table15[[#This Row],[Maintenance_Downtime]]</f>
        <v>3747</v>
      </c>
    </row>
    <row r="499" spans="1:11">
      <c r="A499" s="54">
        <v>56915</v>
      </c>
      <c r="B499" s="15" t="s">
        <v>12</v>
      </c>
      <c r="C499" s="15">
        <v>94</v>
      </c>
      <c r="D499" s="15">
        <v>25803.951663304968</v>
      </c>
      <c r="E499" s="82">
        <f>_xlfn.FORECAST.LINEAR(Table15[[#This Row],[Date]],Table15[Units_Sold],Table15[Date])</f>
        <v>99.696413425653702</v>
      </c>
      <c r="F499" s="138">
        <f>Table15[[#This Row],[Average_Price]]/Table15[[#This Row],[Units_Sold]]</f>
        <v>274.51012407771242</v>
      </c>
      <c r="G499" cm="1">
        <f t="array" ref="G499">_xlfn.IFS(Table15[[#This Row],[Vehicle_Type]]="SUV",250,Table15[[#This Row],[Vehicle_Type]]="Sedan",200,Table15[[#This Row],[Vehicle_Type]]="Hatchback",185,Table15[[#This Row],[Vehicle_Type]]="Electric",190,Table15[[#This Row],[Vehicle_Type]]="Truck",150)</f>
        <v>250</v>
      </c>
      <c r="H499">
        <f t="shared" ca="1" si="14"/>
        <v>22</v>
      </c>
      <c r="I499">
        <f t="shared" ca="1" si="15"/>
        <v>12</v>
      </c>
      <c r="J499" s="81">
        <f ca="1">24/Table15[[#This Row],[Production_Hours]]</f>
        <v>2</v>
      </c>
      <c r="K499" s="82">
        <f ca="1">(Table15[[#This Row],[Daily_Production]]*Table15[[#This Row],[Working_Days]]) -Table15[[#This Row],[Maintenance_Downtime]]</f>
        <v>5498</v>
      </c>
    </row>
    <row r="500" spans="1:11">
      <c r="A500" s="53">
        <v>56945</v>
      </c>
      <c r="B500" s="14" t="s">
        <v>13</v>
      </c>
      <c r="C500" s="14">
        <v>81</v>
      </c>
      <c r="D500" s="14">
        <v>24775.954029894834</v>
      </c>
      <c r="E500" s="82">
        <f>_xlfn.FORECAST.LINEAR(Table15[[#This Row],[Date]],Table15[Units_Sold],Table15[Date])</f>
        <v>99.698015096060388</v>
      </c>
      <c r="F500" s="138">
        <f>Table15[[#This Row],[Average_Price]]/Table15[[#This Row],[Units_Sold]]</f>
        <v>305.875975677714</v>
      </c>
      <c r="G500" cm="1">
        <f t="array" ref="G500">_xlfn.IFS(Table15[[#This Row],[Vehicle_Type]]="SUV",250,Table15[[#This Row],[Vehicle_Type]]="Sedan",200,Table15[[#This Row],[Vehicle_Type]]="Hatchback",185,Table15[[#This Row],[Vehicle_Type]]="Electric",190,Table15[[#This Row],[Vehicle_Type]]="Truck",150)</f>
        <v>190</v>
      </c>
      <c r="H500">
        <f t="shared" ca="1" si="14"/>
        <v>22</v>
      </c>
      <c r="I500">
        <f t="shared" ca="1" si="15"/>
        <v>10</v>
      </c>
      <c r="J500" s="81">
        <f ca="1">24/Table15[[#This Row],[Production_Hours]]</f>
        <v>2.4</v>
      </c>
      <c r="K500" s="82">
        <f ca="1">(Table15[[#This Row],[Daily_Production]]*Table15[[#This Row],[Working_Days]]) -Table15[[#This Row],[Maintenance_Downtime]]</f>
        <v>4177.6000000000004</v>
      </c>
    </row>
    <row r="501" spans="1:11">
      <c r="A501" s="54">
        <v>56975</v>
      </c>
      <c r="B501" s="15" t="s">
        <v>14</v>
      </c>
      <c r="C501" s="15">
        <v>95</v>
      </c>
      <c r="D501" s="15">
        <v>20168.217053119992</v>
      </c>
      <c r="E501" s="82">
        <f>_xlfn.FORECAST.LINEAR(Table15[[#This Row],[Date]],Table15[Units_Sold],Table15[Date])</f>
        <v>99.699616766467074</v>
      </c>
      <c r="F501" s="138">
        <f>Table15[[#This Row],[Average_Price]]/Table15[[#This Row],[Units_Sold]]</f>
        <v>212.29702161178938</v>
      </c>
      <c r="G501" cm="1">
        <f t="array" ref="G501">_xlfn.IFS(Table15[[#This Row],[Vehicle_Type]]="SUV",250,Table15[[#This Row],[Vehicle_Type]]="Sedan",200,Table15[[#This Row],[Vehicle_Type]]="Hatchback",185,Table15[[#This Row],[Vehicle_Type]]="Electric",190,Table15[[#This Row],[Vehicle_Type]]="Truck",150)</f>
        <v>150</v>
      </c>
      <c r="H501">
        <f t="shared" ca="1" si="14"/>
        <v>25</v>
      </c>
      <c r="I501">
        <f t="shared" ca="1" si="15"/>
        <v>12</v>
      </c>
      <c r="J501" s="81">
        <f ca="1">24/Table15[[#This Row],[Production_Hours]]</f>
        <v>2</v>
      </c>
      <c r="K501" s="82">
        <f ca="1">(Table15[[#This Row],[Daily_Production]]*Table15[[#This Row],[Working_Days]]) -Table15[[#This Row],[Maintenance_Downtime]]</f>
        <v>3748</v>
      </c>
    </row>
  </sheetData>
  <conditionalFormatting sqref="A1:A501">
    <cfRule type="containsBlanks" dxfId="41" priority="9">
      <formula>LEN(TRIM(A1))=0</formula>
    </cfRule>
  </conditionalFormatting>
  <conditionalFormatting sqref="B1:B501">
    <cfRule type="containsBlanks" dxfId="40" priority="8">
      <formula>LEN(TRIM(B1))=0</formula>
    </cfRule>
  </conditionalFormatting>
  <conditionalFormatting sqref="C1:C501">
    <cfRule type="cellIs" dxfId="39" priority="6" operator="greaterThan">
      <formula>127</formula>
    </cfRule>
    <cfRule type="containsBlanks" dxfId="38" priority="7">
      <formula>LEN(TRIM(C1))=0</formula>
    </cfRule>
  </conditionalFormatting>
  <conditionalFormatting sqref="C2:C501">
    <cfRule type="cellIs" dxfId="37" priority="5" operator="notBetween">
      <formula>75</formula>
      <formula>127</formula>
    </cfRule>
  </conditionalFormatting>
  <conditionalFormatting sqref="D1:D501">
    <cfRule type="containsBlanks" dxfId="36" priority="4">
      <formula>LEN(TRIM(D1))=0</formula>
    </cfRule>
  </conditionalFormatting>
  <conditionalFormatting sqref="D2:D501">
    <cfRule type="cellIs" dxfId="35" priority="1" operator="notBetween">
      <formula>17044.78854</formula>
      <formula>42898.54669</formula>
    </cfRule>
    <cfRule type="cellIs" dxfId="34" priority="2" operator="lessThan">
      <formula>15575.63284</formula>
    </cfRule>
    <cfRule type="cellIs" dxfId="33" priority="3" operator="greaterThan">
      <formula>45475.55713</formula>
    </cfRule>
  </conditionalFormatting>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2AF3E-34E5-45FD-B3B1-9E800FE4DF0D}">
  <sheetPr codeName="Sheet74"/>
  <dimension ref="A3:B534"/>
  <sheetViews>
    <sheetView workbookViewId="0">
      <selection activeCell="L14" sqref="L14"/>
    </sheetView>
  </sheetViews>
  <sheetFormatPr defaultRowHeight="14.4"/>
  <cols>
    <col min="1" max="1" width="12.5546875" bestFit="1" customWidth="1"/>
    <col min="2" max="2" width="16.5546875" bestFit="1" customWidth="1"/>
    <col min="3" max="3" width="9.88671875" bestFit="1" customWidth="1"/>
    <col min="4" max="4" width="6.21875" bestFit="1" customWidth="1"/>
    <col min="5" max="5" width="6" bestFit="1" customWidth="1"/>
    <col min="6" max="6" width="5.6640625" bestFit="1" customWidth="1"/>
    <col min="7" max="7" width="10.77734375" bestFit="1" customWidth="1"/>
  </cols>
  <sheetData>
    <row r="3" spans="1:2">
      <c r="A3" s="3" t="s">
        <v>37</v>
      </c>
      <c r="B3" t="s">
        <v>39</v>
      </c>
    </row>
    <row r="4" spans="1:2">
      <c r="A4" s="4" t="s">
        <v>343</v>
      </c>
      <c r="B4">
        <v>1273</v>
      </c>
    </row>
    <row r="5" spans="1:2">
      <c r="A5" s="143" t="s">
        <v>100</v>
      </c>
      <c r="B5">
        <v>203</v>
      </c>
    </row>
    <row r="6" spans="1:2">
      <c r="A6" s="143" t="s">
        <v>102</v>
      </c>
      <c r="B6">
        <v>88</v>
      </c>
    </row>
    <row r="7" spans="1:2">
      <c r="A7" s="143" t="s">
        <v>103</v>
      </c>
      <c r="B7">
        <v>103</v>
      </c>
    </row>
    <row r="8" spans="1:2">
      <c r="A8" s="143" t="s">
        <v>65</v>
      </c>
      <c r="B8">
        <v>201</v>
      </c>
    </row>
    <row r="9" spans="1:2">
      <c r="A9" s="143" t="s">
        <v>104</v>
      </c>
      <c r="B9">
        <v>94</v>
      </c>
    </row>
    <row r="10" spans="1:2">
      <c r="A10" s="143" t="s">
        <v>105</v>
      </c>
      <c r="B10">
        <v>98</v>
      </c>
    </row>
    <row r="11" spans="1:2">
      <c r="A11" s="143" t="s">
        <v>106</v>
      </c>
      <c r="B11">
        <v>103</v>
      </c>
    </row>
    <row r="12" spans="1:2">
      <c r="A12" s="143" t="s">
        <v>107</v>
      </c>
      <c r="B12">
        <v>94</v>
      </c>
    </row>
    <row r="13" spans="1:2">
      <c r="A13" s="143" t="s">
        <v>108</v>
      </c>
      <c r="B13">
        <v>99</v>
      </c>
    </row>
    <row r="14" spans="1:2">
      <c r="A14" s="143" t="s">
        <v>109</v>
      </c>
      <c r="B14">
        <v>90</v>
      </c>
    </row>
    <row r="15" spans="1:2">
      <c r="A15" s="143" t="s">
        <v>110</v>
      </c>
      <c r="B15">
        <v>100</v>
      </c>
    </row>
    <row r="16" spans="1:2">
      <c r="A16" s="4" t="s">
        <v>344</v>
      </c>
      <c r="B16">
        <v>1149</v>
      </c>
    </row>
    <row r="17" spans="1:2">
      <c r="A17" s="143" t="s">
        <v>100</v>
      </c>
      <c r="B17">
        <v>103</v>
      </c>
    </row>
    <row r="18" spans="1:2">
      <c r="A18" s="143" t="s">
        <v>101</v>
      </c>
      <c r="B18">
        <v>94</v>
      </c>
    </row>
    <row r="19" spans="1:2">
      <c r="A19" s="143" t="s">
        <v>102</v>
      </c>
      <c r="B19">
        <v>105</v>
      </c>
    </row>
    <row r="20" spans="1:2">
      <c r="A20" s="143" t="s">
        <v>103</v>
      </c>
      <c r="B20">
        <v>86</v>
      </c>
    </row>
    <row r="21" spans="1:2">
      <c r="A21" s="143" t="s">
        <v>65</v>
      </c>
      <c r="B21">
        <v>92</v>
      </c>
    </row>
    <row r="22" spans="1:2">
      <c r="A22" s="143" t="s">
        <v>104</v>
      </c>
      <c r="B22">
        <v>94</v>
      </c>
    </row>
    <row r="23" spans="1:2">
      <c r="A23" s="143" t="s">
        <v>105</v>
      </c>
      <c r="B23">
        <v>101</v>
      </c>
    </row>
    <row r="24" spans="1:2">
      <c r="A24" s="143" t="s">
        <v>106</v>
      </c>
      <c r="B24">
        <v>103</v>
      </c>
    </row>
    <row r="25" spans="1:2">
      <c r="A25" s="143" t="s">
        <v>107</v>
      </c>
      <c r="B25">
        <v>84</v>
      </c>
    </row>
    <row r="26" spans="1:2">
      <c r="A26" s="143" t="s">
        <v>108</v>
      </c>
      <c r="B26">
        <v>76</v>
      </c>
    </row>
    <row r="27" spans="1:2">
      <c r="A27" s="143" t="s">
        <v>109</v>
      </c>
      <c r="B27">
        <v>100</v>
      </c>
    </row>
    <row r="28" spans="1:2">
      <c r="A28" s="143" t="s">
        <v>110</v>
      </c>
      <c r="B28">
        <v>111</v>
      </c>
    </row>
    <row r="29" spans="1:2">
      <c r="A29" s="4" t="s">
        <v>345</v>
      </c>
      <c r="B29">
        <v>1207</v>
      </c>
    </row>
    <row r="30" spans="1:2">
      <c r="A30" s="143" t="s">
        <v>100</v>
      </c>
      <c r="B30">
        <v>93</v>
      </c>
    </row>
    <row r="31" spans="1:2">
      <c r="A31" s="143" t="s">
        <v>101</v>
      </c>
      <c r="B31">
        <v>87</v>
      </c>
    </row>
    <row r="32" spans="1:2">
      <c r="A32" s="143" t="s">
        <v>102</v>
      </c>
      <c r="B32">
        <v>108</v>
      </c>
    </row>
    <row r="33" spans="1:2">
      <c r="A33" s="143" t="s">
        <v>103</v>
      </c>
      <c r="B33">
        <v>106</v>
      </c>
    </row>
    <row r="34" spans="1:2">
      <c r="A34" s="143" t="s">
        <v>65</v>
      </c>
      <c r="B34">
        <v>108</v>
      </c>
    </row>
    <row r="35" spans="1:2">
      <c r="A35" s="143" t="s">
        <v>104</v>
      </c>
      <c r="B35">
        <v>96</v>
      </c>
    </row>
    <row r="36" spans="1:2">
      <c r="A36" s="143" t="s">
        <v>105</v>
      </c>
      <c r="B36">
        <v>113</v>
      </c>
    </row>
    <row r="37" spans="1:2">
      <c r="A37" s="143" t="s">
        <v>106</v>
      </c>
      <c r="B37">
        <v>95</v>
      </c>
    </row>
    <row r="38" spans="1:2">
      <c r="A38" s="143" t="s">
        <v>107</v>
      </c>
      <c r="B38">
        <v>94</v>
      </c>
    </row>
    <row r="39" spans="1:2">
      <c r="A39" s="143" t="s">
        <v>108</v>
      </c>
      <c r="B39">
        <v>107</v>
      </c>
    </row>
    <row r="40" spans="1:2">
      <c r="A40" s="143" t="s">
        <v>109</v>
      </c>
      <c r="B40">
        <v>114</v>
      </c>
    </row>
    <row r="41" spans="1:2">
      <c r="A41" s="143" t="s">
        <v>110</v>
      </c>
      <c r="B41">
        <v>86</v>
      </c>
    </row>
    <row r="42" spans="1:2">
      <c r="A42" s="4" t="s">
        <v>346</v>
      </c>
      <c r="B42">
        <v>1247</v>
      </c>
    </row>
    <row r="43" spans="1:2">
      <c r="A43" s="143" t="s">
        <v>100</v>
      </c>
      <c r="B43">
        <v>100</v>
      </c>
    </row>
    <row r="44" spans="1:2">
      <c r="A44" s="143" t="s">
        <v>101</v>
      </c>
      <c r="B44">
        <v>108</v>
      </c>
    </row>
    <row r="45" spans="1:2">
      <c r="A45" s="143" t="s">
        <v>102</v>
      </c>
      <c r="B45">
        <v>101</v>
      </c>
    </row>
    <row r="46" spans="1:2">
      <c r="A46" s="143" t="s">
        <v>103</v>
      </c>
      <c r="B46">
        <v>94</v>
      </c>
    </row>
    <row r="47" spans="1:2">
      <c r="A47" s="143" t="s">
        <v>65</v>
      </c>
      <c r="B47">
        <v>116</v>
      </c>
    </row>
    <row r="48" spans="1:2">
      <c r="A48" s="143" t="s">
        <v>104</v>
      </c>
      <c r="B48">
        <v>97</v>
      </c>
    </row>
    <row r="49" spans="1:2">
      <c r="A49" s="143" t="s">
        <v>105</v>
      </c>
      <c r="B49">
        <v>100</v>
      </c>
    </row>
    <row r="50" spans="1:2">
      <c r="A50" s="143" t="s">
        <v>106</v>
      </c>
      <c r="B50">
        <v>94</v>
      </c>
    </row>
    <row r="51" spans="1:2">
      <c r="A51" s="143" t="s">
        <v>107</v>
      </c>
      <c r="B51">
        <v>118</v>
      </c>
    </row>
    <row r="52" spans="1:2">
      <c r="A52" s="143" t="s">
        <v>108</v>
      </c>
      <c r="B52">
        <v>104</v>
      </c>
    </row>
    <row r="53" spans="1:2">
      <c r="A53" s="143" t="s">
        <v>109</v>
      </c>
      <c r="B53">
        <v>100</v>
      </c>
    </row>
    <row r="54" spans="1:2">
      <c r="A54" s="143" t="s">
        <v>110</v>
      </c>
      <c r="B54">
        <v>115</v>
      </c>
    </row>
    <row r="55" spans="1:2">
      <c r="A55" s="4" t="s">
        <v>347</v>
      </c>
      <c r="B55">
        <v>1192</v>
      </c>
    </row>
    <row r="56" spans="1:2">
      <c r="A56" s="143" t="s">
        <v>100</v>
      </c>
      <c r="B56">
        <v>94</v>
      </c>
    </row>
    <row r="57" spans="1:2">
      <c r="A57" s="143" t="s">
        <v>101</v>
      </c>
      <c r="B57">
        <v>91</v>
      </c>
    </row>
    <row r="58" spans="1:2">
      <c r="A58" s="143" t="s">
        <v>102</v>
      </c>
      <c r="B58">
        <v>110</v>
      </c>
    </row>
    <row r="59" spans="1:2">
      <c r="A59" s="143" t="s">
        <v>103</v>
      </c>
      <c r="B59">
        <v>98</v>
      </c>
    </row>
    <row r="60" spans="1:2">
      <c r="A60" s="143" t="s">
        <v>65</v>
      </c>
      <c r="B60">
        <v>86</v>
      </c>
    </row>
    <row r="61" spans="1:2">
      <c r="A61" s="143" t="s">
        <v>104</v>
      </c>
      <c r="B61">
        <v>121</v>
      </c>
    </row>
    <row r="62" spans="1:2">
      <c r="A62" s="143" t="s">
        <v>105</v>
      </c>
      <c r="B62">
        <v>100</v>
      </c>
    </row>
    <row r="63" spans="1:2">
      <c r="A63" s="143" t="s">
        <v>106</v>
      </c>
      <c r="B63">
        <v>96</v>
      </c>
    </row>
    <row r="64" spans="1:2">
      <c r="A64" s="143" t="s">
        <v>107</v>
      </c>
      <c r="B64">
        <v>100</v>
      </c>
    </row>
    <row r="65" spans="1:2">
      <c r="A65" s="143" t="s">
        <v>108</v>
      </c>
      <c r="B65">
        <v>100</v>
      </c>
    </row>
    <row r="66" spans="1:2">
      <c r="A66" s="143" t="s">
        <v>109</v>
      </c>
      <c r="B66">
        <v>93</v>
      </c>
    </row>
    <row r="67" spans="1:2">
      <c r="A67" s="143" t="s">
        <v>110</v>
      </c>
      <c r="B67">
        <v>103</v>
      </c>
    </row>
    <row r="68" spans="1:2">
      <c r="A68" s="4" t="s">
        <v>348</v>
      </c>
      <c r="B68">
        <v>1273</v>
      </c>
    </row>
    <row r="69" spans="1:2">
      <c r="A69" s="143" t="s">
        <v>100</v>
      </c>
      <c r="B69">
        <v>78</v>
      </c>
    </row>
    <row r="70" spans="1:2">
      <c r="A70" s="143" t="s">
        <v>101</v>
      </c>
      <c r="B70">
        <v>116</v>
      </c>
    </row>
    <row r="71" spans="1:2">
      <c r="A71" s="143" t="s">
        <v>102</v>
      </c>
      <c r="B71">
        <v>88</v>
      </c>
    </row>
    <row r="72" spans="1:2">
      <c r="A72" s="143" t="s">
        <v>103</v>
      </c>
      <c r="B72">
        <v>105</v>
      </c>
    </row>
    <row r="73" spans="1:2">
      <c r="A73" s="143" t="s">
        <v>65</v>
      </c>
      <c r="B73">
        <v>92</v>
      </c>
    </row>
    <row r="74" spans="1:2">
      <c r="A74" s="143" t="s">
        <v>104</v>
      </c>
      <c r="B74">
        <v>96</v>
      </c>
    </row>
    <row r="75" spans="1:2">
      <c r="A75" s="143" t="s">
        <v>105</v>
      </c>
      <c r="B75">
        <v>104</v>
      </c>
    </row>
    <row r="76" spans="1:2">
      <c r="A76" s="143" t="s">
        <v>106</v>
      </c>
      <c r="B76">
        <v>84</v>
      </c>
    </row>
    <row r="77" spans="1:2">
      <c r="A77" s="143" t="s">
        <v>107</v>
      </c>
      <c r="B77">
        <v>95</v>
      </c>
    </row>
    <row r="78" spans="1:2">
      <c r="A78" s="143" t="s">
        <v>108</v>
      </c>
      <c r="B78">
        <v>205</v>
      </c>
    </row>
    <row r="79" spans="1:2">
      <c r="A79" s="143" t="s">
        <v>109</v>
      </c>
      <c r="B79">
        <v>104</v>
      </c>
    </row>
    <row r="80" spans="1:2">
      <c r="A80" s="143" t="s">
        <v>110</v>
      </c>
      <c r="B80">
        <v>106</v>
      </c>
    </row>
    <row r="81" spans="1:2">
      <c r="A81" s="4" t="s">
        <v>349</v>
      </c>
      <c r="B81">
        <v>1242</v>
      </c>
    </row>
    <row r="82" spans="1:2">
      <c r="A82" s="143" t="s">
        <v>100</v>
      </c>
      <c r="B82">
        <v>120</v>
      </c>
    </row>
    <row r="83" spans="1:2">
      <c r="A83" s="143" t="s">
        <v>101</v>
      </c>
      <c r="B83">
        <v>100</v>
      </c>
    </row>
    <row r="84" spans="1:2">
      <c r="A84" s="143" t="s">
        <v>102</v>
      </c>
      <c r="B84">
        <v>118</v>
      </c>
    </row>
    <row r="85" spans="1:2">
      <c r="A85" s="143" t="s">
        <v>103</v>
      </c>
      <c r="B85">
        <v>92</v>
      </c>
    </row>
    <row r="86" spans="1:2">
      <c r="A86" s="143" t="s">
        <v>65</v>
      </c>
      <c r="B86">
        <v>110</v>
      </c>
    </row>
    <row r="87" spans="1:2">
      <c r="A87" s="143" t="s">
        <v>104</v>
      </c>
      <c r="B87">
        <v>101</v>
      </c>
    </row>
    <row r="88" spans="1:2">
      <c r="A88" s="143" t="s">
        <v>105</v>
      </c>
      <c r="B88">
        <v>84</v>
      </c>
    </row>
    <row r="89" spans="1:2">
      <c r="A89" s="143" t="s">
        <v>106</v>
      </c>
      <c r="B89">
        <v>115</v>
      </c>
    </row>
    <row r="90" spans="1:2">
      <c r="A90" s="143" t="s">
        <v>107</v>
      </c>
      <c r="B90">
        <v>95</v>
      </c>
    </row>
    <row r="91" spans="1:2">
      <c r="A91" s="143" t="s">
        <v>108</v>
      </c>
      <c r="B91">
        <v>114</v>
      </c>
    </row>
    <row r="92" spans="1:2">
      <c r="A92" s="143" t="s">
        <v>109</v>
      </c>
      <c r="B92">
        <v>104</v>
      </c>
    </row>
    <row r="93" spans="1:2">
      <c r="A93" s="143" t="s">
        <v>110</v>
      </c>
      <c r="B93">
        <v>89</v>
      </c>
    </row>
    <row r="94" spans="1:2">
      <c r="A94" s="4" t="s">
        <v>350</v>
      </c>
      <c r="B94">
        <v>1201</v>
      </c>
    </row>
    <row r="95" spans="1:2">
      <c r="A95" s="143" t="s">
        <v>100</v>
      </c>
      <c r="B95">
        <v>100</v>
      </c>
    </row>
    <row r="96" spans="1:2">
      <c r="A96" s="143" t="s">
        <v>101</v>
      </c>
      <c r="B96">
        <v>85</v>
      </c>
    </row>
    <row r="97" spans="1:2">
      <c r="A97" s="143" t="s">
        <v>102</v>
      </c>
      <c r="B97">
        <v>101</v>
      </c>
    </row>
    <row r="98" spans="1:2">
      <c r="A98" s="143" t="s">
        <v>103</v>
      </c>
      <c r="B98">
        <v>104</v>
      </c>
    </row>
    <row r="99" spans="1:2">
      <c r="A99" s="143" t="s">
        <v>65</v>
      </c>
      <c r="B99">
        <v>106</v>
      </c>
    </row>
    <row r="100" spans="1:2">
      <c r="A100" s="143" t="s">
        <v>104</v>
      </c>
      <c r="B100">
        <v>95</v>
      </c>
    </row>
    <row r="101" spans="1:2">
      <c r="A101" s="143" t="s">
        <v>105</v>
      </c>
      <c r="B101">
        <v>104</v>
      </c>
    </row>
    <row r="102" spans="1:2">
      <c r="A102" s="143" t="s">
        <v>106</v>
      </c>
      <c r="B102">
        <v>105</v>
      </c>
    </row>
    <row r="103" spans="1:2">
      <c r="A103" s="143" t="s">
        <v>107</v>
      </c>
      <c r="B103">
        <v>84</v>
      </c>
    </row>
    <row r="104" spans="1:2">
      <c r="A104" s="143" t="s">
        <v>108</v>
      </c>
      <c r="B104">
        <v>93</v>
      </c>
    </row>
    <row r="105" spans="1:2">
      <c r="A105" s="143" t="s">
        <v>109</v>
      </c>
      <c r="B105">
        <v>115</v>
      </c>
    </row>
    <row r="106" spans="1:2">
      <c r="A106" s="143" t="s">
        <v>110</v>
      </c>
      <c r="B106">
        <v>109</v>
      </c>
    </row>
    <row r="107" spans="1:2">
      <c r="A107" s="4" t="s">
        <v>351</v>
      </c>
      <c r="B107">
        <v>1213</v>
      </c>
    </row>
    <row r="108" spans="1:2">
      <c r="A108" s="143" t="s">
        <v>100</v>
      </c>
      <c r="B108">
        <v>102</v>
      </c>
    </row>
    <row r="109" spans="1:2">
      <c r="A109" s="143" t="s">
        <v>101</v>
      </c>
      <c r="B109">
        <v>100</v>
      </c>
    </row>
    <row r="110" spans="1:2">
      <c r="A110" s="143" t="s">
        <v>102</v>
      </c>
      <c r="B110">
        <v>93</v>
      </c>
    </row>
    <row r="111" spans="1:2">
      <c r="A111" s="143" t="s">
        <v>103</v>
      </c>
      <c r="B111">
        <v>100</v>
      </c>
    </row>
    <row r="112" spans="1:2">
      <c r="A112" s="143" t="s">
        <v>65</v>
      </c>
      <c r="B112">
        <v>117</v>
      </c>
    </row>
    <row r="113" spans="1:2">
      <c r="A113" s="143" t="s">
        <v>104</v>
      </c>
      <c r="B113">
        <v>98</v>
      </c>
    </row>
    <row r="114" spans="1:2">
      <c r="A114" s="143" t="s">
        <v>105</v>
      </c>
      <c r="B114">
        <v>94</v>
      </c>
    </row>
    <row r="115" spans="1:2">
      <c r="A115" s="143" t="s">
        <v>106</v>
      </c>
      <c r="B115">
        <v>112</v>
      </c>
    </row>
    <row r="116" spans="1:2">
      <c r="A116" s="143" t="s">
        <v>107</v>
      </c>
      <c r="B116">
        <v>89</v>
      </c>
    </row>
    <row r="117" spans="1:2">
      <c r="A117" s="143" t="s">
        <v>108</v>
      </c>
      <c r="B117">
        <v>119</v>
      </c>
    </row>
    <row r="118" spans="1:2">
      <c r="A118" s="143" t="s">
        <v>109</v>
      </c>
      <c r="B118">
        <v>102</v>
      </c>
    </row>
    <row r="119" spans="1:2">
      <c r="A119" s="143" t="s">
        <v>110</v>
      </c>
      <c r="B119">
        <v>87</v>
      </c>
    </row>
    <row r="120" spans="1:2">
      <c r="A120" s="4" t="s">
        <v>352</v>
      </c>
      <c r="B120">
        <v>1236</v>
      </c>
    </row>
    <row r="121" spans="1:2">
      <c r="A121" s="143" t="s">
        <v>100</v>
      </c>
      <c r="B121">
        <v>113</v>
      </c>
    </row>
    <row r="122" spans="1:2">
      <c r="A122" s="143" t="s">
        <v>101</v>
      </c>
      <c r="B122">
        <v>106</v>
      </c>
    </row>
    <row r="123" spans="1:2">
      <c r="A123" s="143" t="s">
        <v>102</v>
      </c>
      <c r="B123">
        <v>96</v>
      </c>
    </row>
    <row r="124" spans="1:2">
      <c r="A124" s="143" t="s">
        <v>103</v>
      </c>
      <c r="B124">
        <v>110</v>
      </c>
    </row>
    <row r="125" spans="1:2">
      <c r="A125" s="143" t="s">
        <v>65</v>
      </c>
      <c r="B125">
        <v>100</v>
      </c>
    </row>
    <row r="126" spans="1:2">
      <c r="A126" s="143" t="s">
        <v>104</v>
      </c>
      <c r="B126">
        <v>100</v>
      </c>
    </row>
    <row r="127" spans="1:2">
      <c r="A127" s="143" t="s">
        <v>105</v>
      </c>
      <c r="B127">
        <v>106</v>
      </c>
    </row>
    <row r="128" spans="1:2">
      <c r="A128" s="143" t="s">
        <v>106</v>
      </c>
      <c r="B128">
        <v>114</v>
      </c>
    </row>
    <row r="129" spans="1:2">
      <c r="A129" s="143" t="s">
        <v>107</v>
      </c>
      <c r="B129">
        <v>96</v>
      </c>
    </row>
    <row r="130" spans="1:2">
      <c r="A130" s="143" t="s">
        <v>108</v>
      </c>
      <c r="B130">
        <v>102</v>
      </c>
    </row>
    <row r="131" spans="1:2">
      <c r="A131" s="143" t="s">
        <v>109</v>
      </c>
      <c r="B131">
        <v>100</v>
      </c>
    </row>
    <row r="132" spans="1:2">
      <c r="A132" s="143" t="s">
        <v>110</v>
      </c>
      <c r="B132">
        <v>93</v>
      </c>
    </row>
    <row r="133" spans="1:2">
      <c r="A133" s="4" t="s">
        <v>353</v>
      </c>
      <c r="B133">
        <v>1196</v>
      </c>
    </row>
    <row r="134" spans="1:2">
      <c r="A134" s="143" t="s">
        <v>100</v>
      </c>
      <c r="B134">
        <v>100</v>
      </c>
    </row>
    <row r="135" spans="1:2">
      <c r="A135" s="143" t="s">
        <v>101</v>
      </c>
      <c r="B135">
        <v>111</v>
      </c>
    </row>
    <row r="136" spans="1:2">
      <c r="A136" s="143" t="s">
        <v>102</v>
      </c>
      <c r="B136">
        <v>87</v>
      </c>
    </row>
    <row r="137" spans="1:2">
      <c r="A137" s="143" t="s">
        <v>103</v>
      </c>
      <c r="B137">
        <v>100</v>
      </c>
    </row>
    <row r="138" spans="1:2">
      <c r="A138" s="143" t="s">
        <v>65</v>
      </c>
      <c r="B138">
        <v>104</v>
      </c>
    </row>
    <row r="139" spans="1:2">
      <c r="A139" s="143" t="s">
        <v>104</v>
      </c>
      <c r="B139">
        <v>78</v>
      </c>
    </row>
    <row r="140" spans="1:2">
      <c r="A140" s="143" t="s">
        <v>105</v>
      </c>
      <c r="B140">
        <v>101</v>
      </c>
    </row>
    <row r="141" spans="1:2">
      <c r="A141" s="143" t="s">
        <v>106</v>
      </c>
      <c r="B141">
        <v>100</v>
      </c>
    </row>
    <row r="142" spans="1:2">
      <c r="A142" s="143" t="s">
        <v>107</v>
      </c>
      <c r="B142">
        <v>109</v>
      </c>
    </row>
    <row r="143" spans="1:2">
      <c r="A143" s="143" t="s">
        <v>108</v>
      </c>
      <c r="B143">
        <v>98</v>
      </c>
    </row>
    <row r="144" spans="1:2">
      <c r="A144" s="143" t="s">
        <v>109</v>
      </c>
      <c r="B144">
        <v>111</v>
      </c>
    </row>
    <row r="145" spans="1:2">
      <c r="A145" s="143" t="s">
        <v>110</v>
      </c>
      <c r="B145">
        <v>97</v>
      </c>
    </row>
    <row r="146" spans="1:2">
      <c r="A146" s="4" t="s">
        <v>354</v>
      </c>
      <c r="B146">
        <v>1270</v>
      </c>
    </row>
    <row r="147" spans="1:2">
      <c r="A147" s="143" t="s">
        <v>100</v>
      </c>
      <c r="B147">
        <v>88</v>
      </c>
    </row>
    <row r="148" spans="1:2">
      <c r="A148" s="143" t="s">
        <v>101</v>
      </c>
      <c r="B148">
        <v>101</v>
      </c>
    </row>
    <row r="149" spans="1:2">
      <c r="A149" s="143" t="s">
        <v>102</v>
      </c>
      <c r="B149">
        <v>105</v>
      </c>
    </row>
    <row r="150" spans="1:2">
      <c r="A150" s="143" t="s">
        <v>103</v>
      </c>
      <c r="B150">
        <v>102</v>
      </c>
    </row>
    <row r="151" spans="1:2">
      <c r="A151" s="143" t="s">
        <v>65</v>
      </c>
      <c r="B151">
        <v>98</v>
      </c>
    </row>
    <row r="152" spans="1:2">
      <c r="A152" s="143" t="s">
        <v>104</v>
      </c>
      <c r="B152">
        <v>96</v>
      </c>
    </row>
    <row r="153" spans="1:2">
      <c r="A153" s="143" t="s">
        <v>105</v>
      </c>
      <c r="B153">
        <v>76</v>
      </c>
    </row>
    <row r="154" spans="1:2">
      <c r="A154" s="143" t="s">
        <v>106</v>
      </c>
      <c r="B154">
        <v>211</v>
      </c>
    </row>
    <row r="155" spans="1:2">
      <c r="A155" s="143" t="s">
        <v>107</v>
      </c>
      <c r="B155">
        <v>100</v>
      </c>
    </row>
    <row r="156" spans="1:2">
      <c r="A156" s="143" t="s">
        <v>108</v>
      </c>
      <c r="B156">
        <v>89</v>
      </c>
    </row>
    <row r="157" spans="1:2">
      <c r="A157" s="143" t="s">
        <v>109</v>
      </c>
      <c r="B157">
        <v>100</v>
      </c>
    </row>
    <row r="158" spans="1:2">
      <c r="A158" s="143" t="s">
        <v>110</v>
      </c>
      <c r="B158">
        <v>104</v>
      </c>
    </row>
    <row r="159" spans="1:2">
      <c r="A159" s="4" t="s">
        <v>355</v>
      </c>
      <c r="B159">
        <v>1177</v>
      </c>
    </row>
    <row r="160" spans="1:2">
      <c r="A160" s="143" t="s">
        <v>100</v>
      </c>
      <c r="B160">
        <v>96</v>
      </c>
    </row>
    <row r="161" spans="1:2">
      <c r="A161" s="143" t="s">
        <v>101</v>
      </c>
      <c r="B161">
        <v>100</v>
      </c>
    </row>
    <row r="162" spans="1:2">
      <c r="A162" s="143" t="s">
        <v>102</v>
      </c>
      <c r="B162">
        <v>105</v>
      </c>
    </row>
    <row r="163" spans="1:2">
      <c r="A163" s="143" t="s">
        <v>103</v>
      </c>
      <c r="B163">
        <v>81</v>
      </c>
    </row>
    <row r="164" spans="1:2">
      <c r="A164" s="143" t="s">
        <v>65</v>
      </c>
      <c r="B164">
        <v>120</v>
      </c>
    </row>
    <row r="165" spans="1:2">
      <c r="A165" s="143" t="s">
        <v>104</v>
      </c>
      <c r="B165">
        <v>97</v>
      </c>
    </row>
    <row r="166" spans="1:2">
      <c r="A166" s="143" t="s">
        <v>105</v>
      </c>
      <c r="B166">
        <v>99</v>
      </c>
    </row>
    <row r="167" spans="1:2">
      <c r="A167" s="143" t="s">
        <v>106</v>
      </c>
      <c r="B167">
        <v>120</v>
      </c>
    </row>
    <row r="168" spans="1:2">
      <c r="A168" s="143" t="s">
        <v>107</v>
      </c>
      <c r="B168">
        <v>90</v>
      </c>
    </row>
    <row r="169" spans="1:2">
      <c r="A169" s="143" t="s">
        <v>108</v>
      </c>
      <c r="B169">
        <v>85</v>
      </c>
    </row>
    <row r="170" spans="1:2">
      <c r="A170" s="143" t="s">
        <v>109</v>
      </c>
      <c r="B170">
        <v>84</v>
      </c>
    </row>
    <row r="171" spans="1:2">
      <c r="A171" s="143" t="s">
        <v>110</v>
      </c>
      <c r="B171">
        <v>100</v>
      </c>
    </row>
    <row r="172" spans="1:2">
      <c r="A172" s="4" t="s">
        <v>356</v>
      </c>
      <c r="B172">
        <v>1216</v>
      </c>
    </row>
    <row r="173" spans="1:2">
      <c r="A173" s="143" t="s">
        <v>100</v>
      </c>
      <c r="B173">
        <v>112</v>
      </c>
    </row>
    <row r="174" spans="1:2">
      <c r="A174" s="143" t="s">
        <v>101</v>
      </c>
      <c r="B174">
        <v>110</v>
      </c>
    </row>
    <row r="175" spans="1:2">
      <c r="A175" s="143" t="s">
        <v>102</v>
      </c>
      <c r="B175">
        <v>86</v>
      </c>
    </row>
    <row r="176" spans="1:2">
      <c r="A176" s="143" t="s">
        <v>103</v>
      </c>
      <c r="B176">
        <v>104</v>
      </c>
    </row>
    <row r="177" spans="1:2">
      <c r="A177" s="143" t="s">
        <v>65</v>
      </c>
      <c r="B177">
        <v>107</v>
      </c>
    </row>
    <row r="178" spans="1:2">
      <c r="A178" s="143" t="s">
        <v>104</v>
      </c>
      <c r="B178">
        <v>93</v>
      </c>
    </row>
    <row r="179" spans="1:2">
      <c r="A179" s="143" t="s">
        <v>105</v>
      </c>
      <c r="B179">
        <v>108</v>
      </c>
    </row>
    <row r="180" spans="1:2">
      <c r="A180" s="143" t="s">
        <v>106</v>
      </c>
      <c r="B180">
        <v>96</v>
      </c>
    </row>
    <row r="181" spans="1:2">
      <c r="A181" s="143" t="s">
        <v>107</v>
      </c>
      <c r="B181">
        <v>95</v>
      </c>
    </row>
    <row r="182" spans="1:2">
      <c r="A182" s="143" t="s">
        <v>108</v>
      </c>
      <c r="B182">
        <v>112</v>
      </c>
    </row>
    <row r="183" spans="1:2">
      <c r="A183" s="143" t="s">
        <v>109</v>
      </c>
      <c r="B183">
        <v>108</v>
      </c>
    </row>
    <row r="184" spans="1:2">
      <c r="A184" s="143" t="s">
        <v>110</v>
      </c>
      <c r="B184">
        <v>85</v>
      </c>
    </row>
    <row r="185" spans="1:2">
      <c r="A185" s="4" t="s">
        <v>357</v>
      </c>
      <c r="B185">
        <v>1201</v>
      </c>
    </row>
    <row r="186" spans="1:2">
      <c r="A186" s="143" t="s">
        <v>100</v>
      </c>
      <c r="B186">
        <v>100</v>
      </c>
    </row>
    <row r="187" spans="1:2">
      <c r="A187" s="143" t="s">
        <v>101</v>
      </c>
      <c r="B187">
        <v>95</v>
      </c>
    </row>
    <row r="188" spans="1:2">
      <c r="A188" s="143" t="s">
        <v>102</v>
      </c>
      <c r="B188">
        <v>97</v>
      </c>
    </row>
    <row r="189" spans="1:2">
      <c r="A189" s="143" t="s">
        <v>103</v>
      </c>
      <c r="B189">
        <v>116</v>
      </c>
    </row>
    <row r="190" spans="1:2">
      <c r="A190" s="143" t="s">
        <v>65</v>
      </c>
      <c r="B190">
        <v>95</v>
      </c>
    </row>
    <row r="191" spans="1:2">
      <c r="A191" s="143" t="s">
        <v>104</v>
      </c>
      <c r="B191">
        <v>123</v>
      </c>
    </row>
    <row r="192" spans="1:2">
      <c r="A192" s="143" t="s">
        <v>105</v>
      </c>
      <c r="B192">
        <v>104</v>
      </c>
    </row>
    <row r="193" spans="1:2">
      <c r="A193" s="143" t="s">
        <v>106</v>
      </c>
      <c r="B193">
        <v>94</v>
      </c>
    </row>
    <row r="194" spans="1:2">
      <c r="A194" s="143" t="s">
        <v>107</v>
      </c>
      <c r="B194">
        <v>105</v>
      </c>
    </row>
    <row r="195" spans="1:2">
      <c r="A195" s="143" t="s">
        <v>108</v>
      </c>
      <c r="B195">
        <v>109</v>
      </c>
    </row>
    <row r="196" spans="1:2">
      <c r="A196" s="143" t="s">
        <v>109</v>
      </c>
      <c r="B196">
        <v>84</v>
      </c>
    </row>
    <row r="197" spans="1:2">
      <c r="A197" s="143" t="s">
        <v>110</v>
      </c>
      <c r="B197">
        <v>79</v>
      </c>
    </row>
    <row r="198" spans="1:2">
      <c r="A198" s="4" t="s">
        <v>358</v>
      </c>
      <c r="B198">
        <v>1141</v>
      </c>
    </row>
    <row r="199" spans="1:2">
      <c r="A199" s="143" t="s">
        <v>100</v>
      </c>
      <c r="B199">
        <v>98</v>
      </c>
    </row>
    <row r="200" spans="1:2">
      <c r="A200" s="143" t="s">
        <v>101</v>
      </c>
      <c r="B200">
        <v>96</v>
      </c>
    </row>
    <row r="201" spans="1:2">
      <c r="A201" s="143" t="s">
        <v>102</v>
      </c>
      <c r="B201">
        <v>88</v>
      </c>
    </row>
    <row r="202" spans="1:2">
      <c r="A202" s="143" t="s">
        <v>103</v>
      </c>
      <c r="B202">
        <v>103</v>
      </c>
    </row>
    <row r="203" spans="1:2">
      <c r="A203" s="143" t="s">
        <v>65</v>
      </c>
      <c r="B203">
        <v>83</v>
      </c>
    </row>
    <row r="204" spans="1:2">
      <c r="A204" s="143" t="s">
        <v>104</v>
      </c>
      <c r="B204">
        <v>82</v>
      </c>
    </row>
    <row r="205" spans="1:2">
      <c r="A205" s="143" t="s">
        <v>105</v>
      </c>
      <c r="B205">
        <v>106</v>
      </c>
    </row>
    <row r="206" spans="1:2">
      <c r="A206" s="143" t="s">
        <v>106</v>
      </c>
      <c r="B206">
        <v>96</v>
      </c>
    </row>
    <row r="207" spans="1:2">
      <c r="A207" s="143" t="s">
        <v>107</v>
      </c>
      <c r="B207">
        <v>96</v>
      </c>
    </row>
    <row r="208" spans="1:2">
      <c r="A208" s="143" t="s">
        <v>108</v>
      </c>
      <c r="B208">
        <v>109</v>
      </c>
    </row>
    <row r="209" spans="1:2">
      <c r="A209" s="143" t="s">
        <v>109</v>
      </c>
      <c r="B209">
        <v>98</v>
      </c>
    </row>
    <row r="210" spans="1:2">
      <c r="A210" s="143" t="s">
        <v>110</v>
      </c>
      <c r="B210">
        <v>86</v>
      </c>
    </row>
    <row r="211" spans="1:2">
      <c r="A211" s="4" t="s">
        <v>359</v>
      </c>
      <c r="B211">
        <v>1121</v>
      </c>
    </row>
    <row r="212" spans="1:2">
      <c r="A212" s="143" t="s">
        <v>100</v>
      </c>
      <c r="B212">
        <v>79</v>
      </c>
    </row>
    <row r="213" spans="1:2">
      <c r="A213" s="143" t="s">
        <v>101</v>
      </c>
      <c r="B213">
        <v>86</v>
      </c>
    </row>
    <row r="214" spans="1:2">
      <c r="A214" s="143" t="s">
        <v>102</v>
      </c>
      <c r="B214">
        <v>108</v>
      </c>
    </row>
    <row r="215" spans="1:2">
      <c r="A215" s="143" t="s">
        <v>103</v>
      </c>
      <c r="B215">
        <v>100</v>
      </c>
    </row>
    <row r="216" spans="1:2">
      <c r="A216" s="143" t="s">
        <v>65</v>
      </c>
      <c r="B216">
        <v>93</v>
      </c>
    </row>
    <row r="217" spans="1:2">
      <c r="A217" s="143" t="s">
        <v>104</v>
      </c>
      <c r="B217">
        <v>82</v>
      </c>
    </row>
    <row r="218" spans="1:2">
      <c r="A218" s="143" t="s">
        <v>105</v>
      </c>
      <c r="B218">
        <v>104</v>
      </c>
    </row>
    <row r="219" spans="1:2">
      <c r="A219" s="143" t="s">
        <v>106</v>
      </c>
      <c r="B219">
        <v>99</v>
      </c>
    </row>
    <row r="220" spans="1:2">
      <c r="A220" s="143" t="s">
        <v>107</v>
      </c>
      <c r="B220">
        <v>102</v>
      </c>
    </row>
    <row r="221" spans="1:2">
      <c r="A221" s="143" t="s">
        <v>108</v>
      </c>
      <c r="B221">
        <v>76</v>
      </c>
    </row>
    <row r="222" spans="1:2">
      <c r="A222" s="143" t="s">
        <v>109</v>
      </c>
      <c r="B222">
        <v>99</v>
      </c>
    </row>
    <row r="223" spans="1:2">
      <c r="A223" s="143" t="s">
        <v>110</v>
      </c>
      <c r="B223">
        <v>93</v>
      </c>
    </row>
    <row r="224" spans="1:2">
      <c r="A224" s="4" t="s">
        <v>360</v>
      </c>
      <c r="B224">
        <v>1336</v>
      </c>
    </row>
    <row r="225" spans="1:2">
      <c r="A225" s="143" t="s">
        <v>100</v>
      </c>
      <c r="B225">
        <v>99</v>
      </c>
    </row>
    <row r="226" spans="1:2">
      <c r="A226" s="143" t="s">
        <v>101</v>
      </c>
      <c r="B226">
        <v>102</v>
      </c>
    </row>
    <row r="227" spans="1:2">
      <c r="A227" s="143" t="s">
        <v>102</v>
      </c>
      <c r="B227">
        <v>106</v>
      </c>
    </row>
    <row r="228" spans="1:2">
      <c r="A228" s="143" t="s">
        <v>103</v>
      </c>
      <c r="B228">
        <v>94</v>
      </c>
    </row>
    <row r="229" spans="1:2">
      <c r="A229" s="143" t="s">
        <v>65</v>
      </c>
      <c r="B229">
        <v>205</v>
      </c>
    </row>
    <row r="230" spans="1:2">
      <c r="A230" s="143" t="s">
        <v>104</v>
      </c>
      <c r="B230">
        <v>122</v>
      </c>
    </row>
    <row r="231" spans="1:2">
      <c r="A231" s="143" t="s">
        <v>105</v>
      </c>
      <c r="B231">
        <v>103</v>
      </c>
    </row>
    <row r="232" spans="1:2">
      <c r="A232" s="143" t="s">
        <v>106</v>
      </c>
      <c r="B232">
        <v>119</v>
      </c>
    </row>
    <row r="233" spans="1:2">
      <c r="A233" s="143" t="s">
        <v>107</v>
      </c>
      <c r="B233">
        <v>76</v>
      </c>
    </row>
    <row r="234" spans="1:2">
      <c r="A234" s="143" t="s">
        <v>108</v>
      </c>
      <c r="B234">
        <v>96</v>
      </c>
    </row>
    <row r="235" spans="1:2">
      <c r="A235" s="143" t="s">
        <v>109</v>
      </c>
      <c r="B235">
        <v>103</v>
      </c>
    </row>
    <row r="236" spans="1:2">
      <c r="A236" s="143" t="s">
        <v>110</v>
      </c>
      <c r="B236">
        <v>111</v>
      </c>
    </row>
    <row r="237" spans="1:2">
      <c r="A237" s="4" t="s">
        <v>361</v>
      </c>
      <c r="B237">
        <v>1215</v>
      </c>
    </row>
    <row r="238" spans="1:2">
      <c r="A238" s="143" t="s">
        <v>100</v>
      </c>
      <c r="B238">
        <v>97</v>
      </c>
    </row>
    <row r="239" spans="1:2">
      <c r="A239" s="143" t="s">
        <v>101</v>
      </c>
      <c r="B239">
        <v>112</v>
      </c>
    </row>
    <row r="240" spans="1:2">
      <c r="A240" s="143" t="s">
        <v>102</v>
      </c>
      <c r="B240">
        <v>99</v>
      </c>
    </row>
    <row r="241" spans="1:2">
      <c r="A241" s="143" t="s">
        <v>103</v>
      </c>
      <c r="B241">
        <v>124</v>
      </c>
    </row>
    <row r="242" spans="1:2">
      <c r="A242" s="143" t="s">
        <v>65</v>
      </c>
      <c r="B242">
        <v>91</v>
      </c>
    </row>
    <row r="243" spans="1:2">
      <c r="A243" s="143" t="s">
        <v>104</v>
      </c>
      <c r="B243">
        <v>103</v>
      </c>
    </row>
    <row r="244" spans="1:2">
      <c r="A244" s="143" t="s">
        <v>105</v>
      </c>
      <c r="B244">
        <v>86</v>
      </c>
    </row>
    <row r="245" spans="1:2">
      <c r="A245" s="143" t="s">
        <v>106</v>
      </c>
      <c r="B245">
        <v>101</v>
      </c>
    </row>
    <row r="246" spans="1:2">
      <c r="A246" s="143" t="s">
        <v>107</v>
      </c>
      <c r="B246">
        <v>101</v>
      </c>
    </row>
    <row r="247" spans="1:2">
      <c r="A247" s="143" t="s">
        <v>108</v>
      </c>
      <c r="B247">
        <v>101</v>
      </c>
    </row>
    <row r="248" spans="1:2">
      <c r="A248" s="143" t="s">
        <v>109</v>
      </c>
      <c r="B248">
        <v>113</v>
      </c>
    </row>
    <row r="249" spans="1:2">
      <c r="A249" s="143" t="s">
        <v>110</v>
      </c>
      <c r="B249">
        <v>87</v>
      </c>
    </row>
    <row r="250" spans="1:2">
      <c r="A250" s="4" t="s">
        <v>362</v>
      </c>
      <c r="B250">
        <v>1200</v>
      </c>
    </row>
    <row r="251" spans="1:2">
      <c r="A251" s="143" t="s">
        <v>100</v>
      </c>
      <c r="B251">
        <v>108</v>
      </c>
    </row>
    <row r="252" spans="1:2">
      <c r="A252" s="143" t="s">
        <v>101</v>
      </c>
      <c r="B252">
        <v>100</v>
      </c>
    </row>
    <row r="253" spans="1:2">
      <c r="A253" s="143" t="s">
        <v>102</v>
      </c>
      <c r="B253">
        <v>87</v>
      </c>
    </row>
    <row r="254" spans="1:2">
      <c r="A254" s="143" t="s">
        <v>103</v>
      </c>
      <c r="B254">
        <v>96</v>
      </c>
    </row>
    <row r="255" spans="1:2">
      <c r="A255" s="143" t="s">
        <v>65</v>
      </c>
      <c r="B255">
        <v>97</v>
      </c>
    </row>
    <row r="256" spans="1:2">
      <c r="A256" s="143" t="s">
        <v>104</v>
      </c>
      <c r="B256">
        <v>116</v>
      </c>
    </row>
    <row r="257" spans="1:2">
      <c r="A257" s="143" t="s">
        <v>105</v>
      </c>
      <c r="B257">
        <v>100</v>
      </c>
    </row>
    <row r="258" spans="1:2">
      <c r="A258" s="143" t="s">
        <v>106</v>
      </c>
      <c r="B258">
        <v>97</v>
      </c>
    </row>
    <row r="259" spans="1:2">
      <c r="A259" s="143" t="s">
        <v>107</v>
      </c>
      <c r="B259">
        <v>100</v>
      </c>
    </row>
    <row r="260" spans="1:2">
      <c r="A260" s="143" t="s">
        <v>108</v>
      </c>
      <c r="B260">
        <v>99</v>
      </c>
    </row>
    <row r="261" spans="1:2">
      <c r="A261" s="143" t="s">
        <v>109</v>
      </c>
      <c r="B261">
        <v>100</v>
      </c>
    </row>
    <row r="262" spans="1:2">
      <c r="A262" s="143" t="s">
        <v>110</v>
      </c>
      <c r="B262">
        <v>100</v>
      </c>
    </row>
    <row r="263" spans="1:2">
      <c r="A263" s="4" t="s">
        <v>363</v>
      </c>
      <c r="B263">
        <v>1111</v>
      </c>
    </row>
    <row r="264" spans="1:2">
      <c r="A264" s="143" t="s">
        <v>100</v>
      </c>
      <c r="B264">
        <v>82</v>
      </c>
    </row>
    <row r="265" spans="1:2">
      <c r="A265" s="143" t="s">
        <v>101</v>
      </c>
      <c r="B265">
        <v>87</v>
      </c>
    </row>
    <row r="266" spans="1:2">
      <c r="A266" s="143" t="s">
        <v>102</v>
      </c>
      <c r="B266">
        <v>87</v>
      </c>
    </row>
    <row r="267" spans="1:2">
      <c r="A267" s="143" t="s">
        <v>103</v>
      </c>
      <c r="B267">
        <v>90</v>
      </c>
    </row>
    <row r="268" spans="1:2">
      <c r="A268" s="143" t="s">
        <v>65</v>
      </c>
      <c r="B268">
        <v>115</v>
      </c>
    </row>
    <row r="269" spans="1:2">
      <c r="A269" s="143" t="s">
        <v>104</v>
      </c>
      <c r="B269">
        <v>105</v>
      </c>
    </row>
    <row r="270" spans="1:2">
      <c r="A270" s="143" t="s">
        <v>105</v>
      </c>
      <c r="B270">
        <v>90</v>
      </c>
    </row>
    <row r="271" spans="1:2">
      <c r="A271" s="143" t="s">
        <v>106</v>
      </c>
      <c r="B271">
        <v>89</v>
      </c>
    </row>
    <row r="272" spans="1:2">
      <c r="A272" s="143" t="s">
        <v>107</v>
      </c>
      <c r="B272">
        <v>89</v>
      </c>
    </row>
    <row r="273" spans="1:2">
      <c r="A273" s="143" t="s">
        <v>108</v>
      </c>
      <c r="B273">
        <v>86</v>
      </c>
    </row>
    <row r="274" spans="1:2">
      <c r="A274" s="143" t="s">
        <v>109</v>
      </c>
      <c r="B274">
        <v>91</v>
      </c>
    </row>
    <row r="275" spans="1:2">
      <c r="A275" s="143" t="s">
        <v>110</v>
      </c>
      <c r="B275">
        <v>100</v>
      </c>
    </row>
    <row r="276" spans="1:2">
      <c r="A276" s="4" t="s">
        <v>364</v>
      </c>
      <c r="B276">
        <v>1174</v>
      </c>
    </row>
    <row r="277" spans="1:2">
      <c r="A277" s="143" t="s">
        <v>100</v>
      </c>
      <c r="B277">
        <v>104</v>
      </c>
    </row>
    <row r="278" spans="1:2">
      <c r="A278" s="143" t="s">
        <v>101</v>
      </c>
      <c r="B278">
        <v>80</v>
      </c>
    </row>
    <row r="279" spans="1:2">
      <c r="A279" s="143" t="s">
        <v>102</v>
      </c>
      <c r="B279">
        <v>110</v>
      </c>
    </row>
    <row r="280" spans="1:2">
      <c r="A280" s="143" t="s">
        <v>103</v>
      </c>
      <c r="B280">
        <v>90</v>
      </c>
    </row>
    <row r="281" spans="1:2">
      <c r="A281" s="143" t="s">
        <v>65</v>
      </c>
      <c r="B281">
        <v>96</v>
      </c>
    </row>
    <row r="282" spans="1:2">
      <c r="A282" s="143" t="s">
        <v>104</v>
      </c>
      <c r="B282">
        <v>103</v>
      </c>
    </row>
    <row r="283" spans="1:2">
      <c r="A283" s="143" t="s">
        <v>105</v>
      </c>
      <c r="B283">
        <v>99</v>
      </c>
    </row>
    <row r="284" spans="1:2">
      <c r="A284" s="143" t="s">
        <v>106</v>
      </c>
      <c r="B284">
        <v>100</v>
      </c>
    </row>
    <row r="285" spans="1:2">
      <c r="A285" s="143" t="s">
        <v>107</v>
      </c>
      <c r="B285">
        <v>106</v>
      </c>
    </row>
    <row r="286" spans="1:2">
      <c r="A286" s="143" t="s">
        <v>108</v>
      </c>
      <c r="B286">
        <v>100</v>
      </c>
    </row>
    <row r="287" spans="1:2">
      <c r="A287" s="143" t="s">
        <v>109</v>
      </c>
      <c r="B287">
        <v>85</v>
      </c>
    </row>
    <row r="288" spans="1:2">
      <c r="A288" s="143" t="s">
        <v>110</v>
      </c>
      <c r="B288">
        <v>101</v>
      </c>
    </row>
    <row r="289" spans="1:2">
      <c r="A289" s="4" t="s">
        <v>365</v>
      </c>
      <c r="B289">
        <v>1252</v>
      </c>
    </row>
    <row r="290" spans="1:2">
      <c r="A290" s="143" t="s">
        <v>100</v>
      </c>
      <c r="B290">
        <v>93</v>
      </c>
    </row>
    <row r="291" spans="1:2">
      <c r="A291" s="143" t="s">
        <v>101</v>
      </c>
      <c r="B291">
        <v>91</v>
      </c>
    </row>
    <row r="292" spans="1:2">
      <c r="A292" s="143" t="s">
        <v>102</v>
      </c>
      <c r="B292">
        <v>103</v>
      </c>
    </row>
    <row r="293" spans="1:2">
      <c r="A293" s="143" t="s">
        <v>103</v>
      </c>
      <c r="B293">
        <v>109</v>
      </c>
    </row>
    <row r="294" spans="1:2">
      <c r="A294" s="143" t="s">
        <v>65</v>
      </c>
      <c r="B294">
        <v>83</v>
      </c>
    </row>
    <row r="295" spans="1:2">
      <c r="A295" s="143" t="s">
        <v>104</v>
      </c>
      <c r="B295">
        <v>102</v>
      </c>
    </row>
    <row r="296" spans="1:2">
      <c r="A296" s="143" t="s">
        <v>105</v>
      </c>
      <c r="B296">
        <v>98</v>
      </c>
    </row>
    <row r="297" spans="1:2">
      <c r="A297" s="143" t="s">
        <v>106</v>
      </c>
      <c r="B297">
        <v>93</v>
      </c>
    </row>
    <row r="298" spans="1:2">
      <c r="A298" s="143" t="s">
        <v>107</v>
      </c>
      <c r="B298">
        <v>104</v>
      </c>
    </row>
    <row r="299" spans="1:2">
      <c r="A299" s="143" t="s">
        <v>108</v>
      </c>
      <c r="B299">
        <v>96</v>
      </c>
    </row>
    <row r="300" spans="1:2">
      <c r="A300" s="143" t="s">
        <v>109</v>
      </c>
      <c r="B300">
        <v>103</v>
      </c>
    </row>
    <row r="301" spans="1:2">
      <c r="A301" s="143" t="s">
        <v>110</v>
      </c>
      <c r="B301">
        <v>177</v>
      </c>
    </row>
    <row r="302" spans="1:2">
      <c r="A302" s="4" t="s">
        <v>366</v>
      </c>
      <c r="B302">
        <v>1161</v>
      </c>
    </row>
    <row r="303" spans="1:2">
      <c r="A303" s="143" t="s">
        <v>100</v>
      </c>
      <c r="B303">
        <v>90</v>
      </c>
    </row>
    <row r="304" spans="1:2">
      <c r="A304" s="143" t="s">
        <v>102</v>
      </c>
      <c r="B304">
        <v>169</v>
      </c>
    </row>
    <row r="305" spans="1:2">
      <c r="A305" s="143" t="s">
        <v>103</v>
      </c>
      <c r="B305">
        <v>110</v>
      </c>
    </row>
    <row r="306" spans="1:2">
      <c r="A306" s="143" t="s">
        <v>65</v>
      </c>
      <c r="B306">
        <v>89</v>
      </c>
    </row>
    <row r="307" spans="1:2">
      <c r="A307" s="143" t="s">
        <v>104</v>
      </c>
      <c r="B307">
        <v>118</v>
      </c>
    </row>
    <row r="308" spans="1:2">
      <c r="A308" s="143" t="s">
        <v>105</v>
      </c>
      <c r="B308">
        <v>102</v>
      </c>
    </row>
    <row r="309" spans="1:2">
      <c r="A309" s="143" t="s">
        <v>106</v>
      </c>
      <c r="B309">
        <v>108</v>
      </c>
    </row>
    <row r="310" spans="1:2">
      <c r="A310" s="143" t="s">
        <v>107</v>
      </c>
      <c r="B310">
        <v>95</v>
      </c>
    </row>
    <row r="311" spans="1:2">
      <c r="A311" s="143" t="s">
        <v>108</v>
      </c>
      <c r="B311">
        <v>100</v>
      </c>
    </row>
    <row r="312" spans="1:2">
      <c r="A312" s="143" t="s">
        <v>109</v>
      </c>
      <c r="B312">
        <v>86</v>
      </c>
    </row>
    <row r="313" spans="1:2">
      <c r="A313" s="143" t="s">
        <v>110</v>
      </c>
      <c r="B313">
        <v>94</v>
      </c>
    </row>
    <row r="314" spans="1:2">
      <c r="A314" s="4" t="s">
        <v>367</v>
      </c>
      <c r="B314">
        <v>1161</v>
      </c>
    </row>
    <row r="315" spans="1:2">
      <c r="A315" s="143" t="s">
        <v>100</v>
      </c>
      <c r="B315">
        <v>88</v>
      </c>
    </row>
    <row r="316" spans="1:2">
      <c r="A316" s="143" t="s">
        <v>101</v>
      </c>
      <c r="B316">
        <v>100</v>
      </c>
    </row>
    <row r="317" spans="1:2">
      <c r="A317" s="143" t="s">
        <v>102</v>
      </c>
      <c r="B317">
        <v>95</v>
      </c>
    </row>
    <row r="318" spans="1:2">
      <c r="A318" s="143" t="s">
        <v>103</v>
      </c>
      <c r="B318">
        <v>95</v>
      </c>
    </row>
    <row r="319" spans="1:2">
      <c r="A319" s="143" t="s">
        <v>65</v>
      </c>
      <c r="B319">
        <v>92</v>
      </c>
    </row>
    <row r="320" spans="1:2">
      <c r="A320" s="143" t="s">
        <v>104</v>
      </c>
      <c r="B320">
        <v>108</v>
      </c>
    </row>
    <row r="321" spans="1:2">
      <c r="A321" s="143" t="s">
        <v>105</v>
      </c>
      <c r="B321">
        <v>99</v>
      </c>
    </row>
    <row r="322" spans="1:2">
      <c r="A322" s="143" t="s">
        <v>106</v>
      </c>
      <c r="B322">
        <v>95</v>
      </c>
    </row>
    <row r="323" spans="1:2">
      <c r="A323" s="143" t="s">
        <v>107</v>
      </c>
      <c r="B323">
        <v>86</v>
      </c>
    </row>
    <row r="324" spans="1:2">
      <c r="A324" s="143" t="s">
        <v>108</v>
      </c>
      <c r="B324">
        <v>120</v>
      </c>
    </row>
    <row r="325" spans="1:2">
      <c r="A325" s="143" t="s">
        <v>109</v>
      </c>
      <c r="B325">
        <v>81</v>
      </c>
    </row>
    <row r="326" spans="1:2">
      <c r="A326" s="143" t="s">
        <v>110</v>
      </c>
      <c r="B326">
        <v>102</v>
      </c>
    </row>
    <row r="327" spans="1:2">
      <c r="A327" s="4" t="s">
        <v>368</v>
      </c>
      <c r="B327">
        <v>1175</v>
      </c>
    </row>
    <row r="328" spans="1:2">
      <c r="A328" s="143" t="s">
        <v>100</v>
      </c>
      <c r="B328">
        <v>87</v>
      </c>
    </row>
    <row r="329" spans="1:2">
      <c r="A329" s="143" t="s">
        <v>101</v>
      </c>
      <c r="B329">
        <v>90</v>
      </c>
    </row>
    <row r="330" spans="1:2">
      <c r="A330" s="143" t="s">
        <v>102</v>
      </c>
      <c r="B330">
        <v>89</v>
      </c>
    </row>
    <row r="331" spans="1:2">
      <c r="A331" s="143" t="s">
        <v>103</v>
      </c>
      <c r="B331">
        <v>105</v>
      </c>
    </row>
    <row r="332" spans="1:2">
      <c r="A332" s="143" t="s">
        <v>65</v>
      </c>
      <c r="B332">
        <v>96</v>
      </c>
    </row>
    <row r="333" spans="1:2">
      <c r="A333" s="143" t="s">
        <v>104</v>
      </c>
      <c r="B333">
        <v>97</v>
      </c>
    </row>
    <row r="334" spans="1:2">
      <c r="A334" s="143" t="s">
        <v>105</v>
      </c>
      <c r="B334">
        <v>98</v>
      </c>
    </row>
    <row r="335" spans="1:2">
      <c r="A335" s="143" t="s">
        <v>106</v>
      </c>
      <c r="B335">
        <v>100</v>
      </c>
    </row>
    <row r="336" spans="1:2">
      <c r="A336" s="143" t="s">
        <v>107</v>
      </c>
      <c r="B336">
        <v>108</v>
      </c>
    </row>
    <row r="337" spans="1:2">
      <c r="A337" s="143" t="s">
        <v>108</v>
      </c>
      <c r="B337">
        <v>92</v>
      </c>
    </row>
    <row r="338" spans="1:2">
      <c r="A338" s="143" t="s">
        <v>109</v>
      </c>
      <c r="B338">
        <v>97</v>
      </c>
    </row>
    <row r="339" spans="1:2">
      <c r="A339" s="143" t="s">
        <v>110</v>
      </c>
      <c r="B339">
        <v>116</v>
      </c>
    </row>
    <row r="340" spans="1:2">
      <c r="A340" s="4" t="s">
        <v>369</v>
      </c>
      <c r="B340">
        <v>1174</v>
      </c>
    </row>
    <row r="341" spans="1:2">
      <c r="A341" s="143" t="s">
        <v>100</v>
      </c>
      <c r="B341">
        <v>100</v>
      </c>
    </row>
    <row r="342" spans="1:2">
      <c r="A342" s="143" t="s">
        <v>101</v>
      </c>
      <c r="B342">
        <v>87</v>
      </c>
    </row>
    <row r="343" spans="1:2">
      <c r="A343" s="143" t="s">
        <v>102</v>
      </c>
      <c r="B343">
        <v>103</v>
      </c>
    </row>
    <row r="344" spans="1:2">
      <c r="A344" s="143" t="s">
        <v>103</v>
      </c>
      <c r="B344">
        <v>115</v>
      </c>
    </row>
    <row r="345" spans="1:2">
      <c r="A345" s="143" t="s">
        <v>65</v>
      </c>
      <c r="B345">
        <v>88</v>
      </c>
    </row>
    <row r="346" spans="1:2">
      <c r="A346" s="143" t="s">
        <v>104</v>
      </c>
      <c r="B346">
        <v>100</v>
      </c>
    </row>
    <row r="347" spans="1:2">
      <c r="A347" s="143" t="s">
        <v>105</v>
      </c>
      <c r="B347">
        <v>108</v>
      </c>
    </row>
    <row r="348" spans="1:2">
      <c r="A348" s="143" t="s">
        <v>106</v>
      </c>
      <c r="B348">
        <v>100</v>
      </c>
    </row>
    <row r="349" spans="1:2">
      <c r="A349" s="143" t="s">
        <v>107</v>
      </c>
      <c r="B349">
        <v>86</v>
      </c>
    </row>
    <row r="350" spans="1:2">
      <c r="A350" s="143" t="s">
        <v>108</v>
      </c>
      <c r="B350">
        <v>87</v>
      </c>
    </row>
    <row r="351" spans="1:2">
      <c r="A351" s="143" t="s">
        <v>109</v>
      </c>
      <c r="B351">
        <v>109</v>
      </c>
    </row>
    <row r="352" spans="1:2">
      <c r="A352" s="143" t="s">
        <v>110</v>
      </c>
      <c r="B352">
        <v>91</v>
      </c>
    </row>
    <row r="353" spans="1:2">
      <c r="A353" s="4" t="s">
        <v>370</v>
      </c>
      <c r="B353">
        <v>1188</v>
      </c>
    </row>
    <row r="354" spans="1:2">
      <c r="A354" s="143" t="s">
        <v>100</v>
      </c>
      <c r="B354">
        <v>107</v>
      </c>
    </row>
    <row r="355" spans="1:2">
      <c r="A355" s="143" t="s">
        <v>101</v>
      </c>
      <c r="B355">
        <v>106</v>
      </c>
    </row>
    <row r="356" spans="1:2">
      <c r="A356" s="143" t="s">
        <v>102</v>
      </c>
      <c r="B356">
        <v>92</v>
      </c>
    </row>
    <row r="357" spans="1:2">
      <c r="A357" s="143" t="s">
        <v>103</v>
      </c>
      <c r="B357">
        <v>90</v>
      </c>
    </row>
    <row r="358" spans="1:2">
      <c r="A358" s="143" t="s">
        <v>65</v>
      </c>
      <c r="B358">
        <v>102</v>
      </c>
    </row>
    <row r="359" spans="1:2">
      <c r="A359" s="143" t="s">
        <v>104</v>
      </c>
      <c r="B359">
        <v>99</v>
      </c>
    </row>
    <row r="360" spans="1:2">
      <c r="A360" s="143" t="s">
        <v>105</v>
      </c>
      <c r="B360">
        <v>88</v>
      </c>
    </row>
    <row r="361" spans="1:2">
      <c r="A361" s="143" t="s">
        <v>106</v>
      </c>
      <c r="B361">
        <v>100</v>
      </c>
    </row>
    <row r="362" spans="1:2">
      <c r="A362" s="143" t="s">
        <v>107</v>
      </c>
      <c r="B362">
        <v>100</v>
      </c>
    </row>
    <row r="363" spans="1:2">
      <c r="A363" s="143" t="s">
        <v>108</v>
      </c>
      <c r="B363">
        <v>106</v>
      </c>
    </row>
    <row r="364" spans="1:2">
      <c r="A364" s="143" t="s">
        <v>109</v>
      </c>
      <c r="B364">
        <v>100</v>
      </c>
    </row>
    <row r="365" spans="1:2">
      <c r="A365" s="143" t="s">
        <v>110</v>
      </c>
      <c r="B365">
        <v>98</v>
      </c>
    </row>
    <row r="366" spans="1:2">
      <c r="A366" s="4" t="s">
        <v>371</v>
      </c>
      <c r="B366">
        <v>1273</v>
      </c>
    </row>
    <row r="367" spans="1:2">
      <c r="A367" s="143" t="s">
        <v>100</v>
      </c>
      <c r="B367">
        <v>119</v>
      </c>
    </row>
    <row r="368" spans="1:2">
      <c r="A368" s="143" t="s">
        <v>101</v>
      </c>
      <c r="B368">
        <v>99</v>
      </c>
    </row>
    <row r="369" spans="1:2">
      <c r="A369" s="143" t="s">
        <v>102</v>
      </c>
      <c r="B369">
        <v>87</v>
      </c>
    </row>
    <row r="370" spans="1:2">
      <c r="A370" s="143" t="s">
        <v>103</v>
      </c>
      <c r="B370">
        <v>100</v>
      </c>
    </row>
    <row r="371" spans="1:2">
      <c r="A371" s="143" t="s">
        <v>65</v>
      </c>
      <c r="B371">
        <v>103</v>
      </c>
    </row>
    <row r="372" spans="1:2">
      <c r="A372" s="143" t="s">
        <v>104</v>
      </c>
      <c r="B372">
        <v>79</v>
      </c>
    </row>
    <row r="373" spans="1:2">
      <c r="A373" s="143" t="s">
        <v>105</v>
      </c>
      <c r="B373">
        <v>110</v>
      </c>
    </row>
    <row r="374" spans="1:2">
      <c r="A374" s="143" t="s">
        <v>106</v>
      </c>
      <c r="B374">
        <v>95</v>
      </c>
    </row>
    <row r="375" spans="1:2">
      <c r="A375" s="143" t="s">
        <v>107</v>
      </c>
      <c r="B375">
        <v>101</v>
      </c>
    </row>
    <row r="376" spans="1:2">
      <c r="A376" s="143" t="s">
        <v>108</v>
      </c>
      <c r="B376">
        <v>202</v>
      </c>
    </row>
    <row r="377" spans="1:2">
      <c r="A377" s="143" t="s">
        <v>109</v>
      </c>
      <c r="B377">
        <v>91</v>
      </c>
    </row>
    <row r="378" spans="1:2">
      <c r="A378" s="143" t="s">
        <v>110</v>
      </c>
      <c r="B378">
        <v>87</v>
      </c>
    </row>
    <row r="379" spans="1:2">
      <c r="A379" s="4" t="s">
        <v>372</v>
      </c>
      <c r="B379">
        <v>1178</v>
      </c>
    </row>
    <row r="380" spans="1:2">
      <c r="A380" s="143" t="s">
        <v>100</v>
      </c>
      <c r="B380">
        <v>100</v>
      </c>
    </row>
    <row r="381" spans="1:2">
      <c r="A381" s="143" t="s">
        <v>101</v>
      </c>
      <c r="B381">
        <v>117</v>
      </c>
    </row>
    <row r="382" spans="1:2">
      <c r="A382" s="143" t="s">
        <v>102</v>
      </c>
      <c r="B382">
        <v>102</v>
      </c>
    </row>
    <row r="383" spans="1:2">
      <c r="A383" s="143" t="s">
        <v>103</v>
      </c>
      <c r="B383">
        <v>88</v>
      </c>
    </row>
    <row r="384" spans="1:2">
      <c r="A384" s="143" t="s">
        <v>65</v>
      </c>
      <c r="B384">
        <v>100</v>
      </c>
    </row>
    <row r="385" spans="1:2">
      <c r="A385" s="143" t="s">
        <v>104</v>
      </c>
      <c r="B385">
        <v>81</v>
      </c>
    </row>
    <row r="386" spans="1:2">
      <c r="A386" s="143" t="s">
        <v>105</v>
      </c>
      <c r="B386">
        <v>91</v>
      </c>
    </row>
    <row r="387" spans="1:2">
      <c r="A387" s="143" t="s">
        <v>106</v>
      </c>
      <c r="B387">
        <v>90</v>
      </c>
    </row>
    <row r="388" spans="1:2">
      <c r="A388" s="143" t="s">
        <v>107</v>
      </c>
      <c r="B388">
        <v>102</v>
      </c>
    </row>
    <row r="389" spans="1:2">
      <c r="A389" s="143" t="s">
        <v>108</v>
      </c>
      <c r="B389">
        <v>109</v>
      </c>
    </row>
    <row r="390" spans="1:2">
      <c r="A390" s="143" t="s">
        <v>109</v>
      </c>
      <c r="B390">
        <v>101</v>
      </c>
    </row>
    <row r="391" spans="1:2">
      <c r="A391" s="143" t="s">
        <v>110</v>
      </c>
      <c r="B391">
        <v>97</v>
      </c>
    </row>
    <row r="392" spans="1:2">
      <c r="A392" s="4" t="s">
        <v>373</v>
      </c>
      <c r="B392">
        <v>1200</v>
      </c>
    </row>
    <row r="393" spans="1:2">
      <c r="A393" s="143" t="s">
        <v>100</v>
      </c>
      <c r="B393">
        <v>88</v>
      </c>
    </row>
    <row r="394" spans="1:2">
      <c r="A394" s="143" t="s">
        <v>101</v>
      </c>
      <c r="B394">
        <v>100</v>
      </c>
    </row>
    <row r="395" spans="1:2">
      <c r="A395" s="143" t="s">
        <v>102</v>
      </c>
      <c r="B395">
        <v>104</v>
      </c>
    </row>
    <row r="396" spans="1:2">
      <c r="A396" s="143" t="s">
        <v>103</v>
      </c>
      <c r="B396">
        <v>106</v>
      </c>
    </row>
    <row r="397" spans="1:2">
      <c r="A397" s="143" t="s">
        <v>65</v>
      </c>
      <c r="B397">
        <v>91</v>
      </c>
    </row>
    <row r="398" spans="1:2">
      <c r="A398" s="143" t="s">
        <v>104</v>
      </c>
      <c r="B398">
        <v>110</v>
      </c>
    </row>
    <row r="399" spans="1:2">
      <c r="A399" s="143" t="s">
        <v>105</v>
      </c>
      <c r="B399">
        <v>104</v>
      </c>
    </row>
    <row r="400" spans="1:2">
      <c r="A400" s="143" t="s">
        <v>106</v>
      </c>
      <c r="B400">
        <v>85</v>
      </c>
    </row>
    <row r="401" spans="1:2">
      <c r="A401" s="143" t="s">
        <v>107</v>
      </c>
      <c r="B401">
        <v>107</v>
      </c>
    </row>
    <row r="402" spans="1:2">
      <c r="A402" s="143" t="s">
        <v>108</v>
      </c>
      <c r="B402">
        <v>111</v>
      </c>
    </row>
    <row r="403" spans="1:2">
      <c r="A403" s="143" t="s">
        <v>109</v>
      </c>
      <c r="B403">
        <v>100</v>
      </c>
    </row>
    <row r="404" spans="1:2">
      <c r="A404" s="143" t="s">
        <v>110</v>
      </c>
      <c r="B404">
        <v>94</v>
      </c>
    </row>
    <row r="405" spans="1:2">
      <c r="A405" s="4" t="s">
        <v>374</v>
      </c>
      <c r="B405">
        <v>1215</v>
      </c>
    </row>
    <row r="406" spans="1:2">
      <c r="A406" s="143" t="s">
        <v>100</v>
      </c>
      <c r="B406">
        <v>91</v>
      </c>
    </row>
    <row r="407" spans="1:2">
      <c r="A407" s="143" t="s">
        <v>101</v>
      </c>
      <c r="B407">
        <v>89</v>
      </c>
    </row>
    <row r="408" spans="1:2">
      <c r="A408" s="143" t="s">
        <v>102</v>
      </c>
      <c r="B408">
        <v>98</v>
      </c>
    </row>
    <row r="409" spans="1:2">
      <c r="A409" s="143" t="s">
        <v>103</v>
      </c>
      <c r="B409">
        <v>110</v>
      </c>
    </row>
    <row r="410" spans="1:2">
      <c r="A410" s="143" t="s">
        <v>65</v>
      </c>
      <c r="B410">
        <v>93</v>
      </c>
    </row>
    <row r="411" spans="1:2">
      <c r="A411" s="143" t="s">
        <v>104</v>
      </c>
      <c r="B411">
        <v>103</v>
      </c>
    </row>
    <row r="412" spans="1:2">
      <c r="A412" s="143" t="s">
        <v>105</v>
      </c>
      <c r="B412">
        <v>100</v>
      </c>
    </row>
    <row r="413" spans="1:2">
      <c r="A413" s="143" t="s">
        <v>106</v>
      </c>
      <c r="B413">
        <v>101</v>
      </c>
    </row>
    <row r="414" spans="1:2">
      <c r="A414" s="143" t="s">
        <v>107</v>
      </c>
      <c r="B414">
        <v>94</v>
      </c>
    </row>
    <row r="415" spans="1:2">
      <c r="A415" s="143" t="s">
        <v>108</v>
      </c>
      <c r="B415">
        <v>108</v>
      </c>
    </row>
    <row r="416" spans="1:2">
      <c r="A416" s="143" t="s">
        <v>109</v>
      </c>
      <c r="B416">
        <v>113</v>
      </c>
    </row>
    <row r="417" spans="1:2">
      <c r="A417" s="143" t="s">
        <v>110</v>
      </c>
      <c r="B417">
        <v>115</v>
      </c>
    </row>
    <row r="418" spans="1:2">
      <c r="A418" s="4" t="s">
        <v>375</v>
      </c>
      <c r="B418">
        <v>1172</v>
      </c>
    </row>
    <row r="419" spans="1:2">
      <c r="A419" s="143" t="s">
        <v>100</v>
      </c>
      <c r="B419">
        <v>98</v>
      </c>
    </row>
    <row r="420" spans="1:2">
      <c r="A420" s="143" t="s">
        <v>101</v>
      </c>
      <c r="B420">
        <v>93</v>
      </c>
    </row>
    <row r="421" spans="1:2">
      <c r="A421" s="143" t="s">
        <v>102</v>
      </c>
      <c r="B421">
        <v>104</v>
      </c>
    </row>
    <row r="422" spans="1:2">
      <c r="A422" s="143" t="s">
        <v>103</v>
      </c>
      <c r="B422">
        <v>100</v>
      </c>
    </row>
    <row r="423" spans="1:2">
      <c r="A423" s="143" t="s">
        <v>65</v>
      </c>
      <c r="B423">
        <v>89</v>
      </c>
    </row>
    <row r="424" spans="1:2">
      <c r="A424" s="143" t="s">
        <v>104</v>
      </c>
      <c r="B424">
        <v>86</v>
      </c>
    </row>
    <row r="425" spans="1:2">
      <c r="A425" s="143" t="s">
        <v>105</v>
      </c>
      <c r="B425">
        <v>93</v>
      </c>
    </row>
    <row r="426" spans="1:2">
      <c r="A426" s="143" t="s">
        <v>106</v>
      </c>
      <c r="B426">
        <v>104</v>
      </c>
    </row>
    <row r="427" spans="1:2">
      <c r="A427" s="143" t="s">
        <v>107</v>
      </c>
      <c r="B427">
        <v>91</v>
      </c>
    </row>
    <row r="428" spans="1:2">
      <c r="A428" s="143" t="s">
        <v>108</v>
      </c>
      <c r="B428">
        <v>113</v>
      </c>
    </row>
    <row r="429" spans="1:2">
      <c r="A429" s="143" t="s">
        <v>109</v>
      </c>
      <c r="B429">
        <v>103</v>
      </c>
    </row>
    <row r="430" spans="1:2">
      <c r="A430" s="143" t="s">
        <v>110</v>
      </c>
      <c r="B430">
        <v>98</v>
      </c>
    </row>
    <row r="431" spans="1:2">
      <c r="A431" s="4" t="s">
        <v>376</v>
      </c>
      <c r="B431">
        <v>1161</v>
      </c>
    </row>
    <row r="432" spans="1:2">
      <c r="A432" s="143" t="s">
        <v>100</v>
      </c>
      <c r="B432">
        <v>100</v>
      </c>
    </row>
    <row r="433" spans="1:2">
      <c r="A433" s="143" t="s">
        <v>101</v>
      </c>
      <c r="B433">
        <v>89</v>
      </c>
    </row>
    <row r="434" spans="1:2">
      <c r="A434" s="143" t="s">
        <v>102</v>
      </c>
      <c r="B434">
        <v>83</v>
      </c>
    </row>
    <row r="435" spans="1:2">
      <c r="A435" s="143" t="s">
        <v>103</v>
      </c>
      <c r="B435">
        <v>92</v>
      </c>
    </row>
    <row r="436" spans="1:2">
      <c r="A436" s="143" t="s">
        <v>65</v>
      </c>
      <c r="B436">
        <v>100</v>
      </c>
    </row>
    <row r="437" spans="1:2">
      <c r="A437" s="143" t="s">
        <v>104</v>
      </c>
      <c r="B437">
        <v>100</v>
      </c>
    </row>
    <row r="438" spans="1:2">
      <c r="A438" s="143" t="s">
        <v>105</v>
      </c>
      <c r="B438">
        <v>102</v>
      </c>
    </row>
    <row r="439" spans="1:2">
      <c r="A439" s="143" t="s">
        <v>106</v>
      </c>
      <c r="B439">
        <v>107</v>
      </c>
    </row>
    <row r="440" spans="1:2">
      <c r="A440" s="143" t="s">
        <v>107</v>
      </c>
      <c r="B440">
        <v>103</v>
      </c>
    </row>
    <row r="441" spans="1:2">
      <c r="A441" s="143" t="s">
        <v>108</v>
      </c>
      <c r="B441">
        <v>100</v>
      </c>
    </row>
    <row r="442" spans="1:2">
      <c r="A442" s="143" t="s">
        <v>109</v>
      </c>
      <c r="B442">
        <v>100</v>
      </c>
    </row>
    <row r="443" spans="1:2">
      <c r="A443" s="143" t="s">
        <v>110</v>
      </c>
      <c r="B443">
        <v>85</v>
      </c>
    </row>
    <row r="444" spans="1:2">
      <c r="A444" s="4" t="s">
        <v>377</v>
      </c>
      <c r="B444">
        <v>1358</v>
      </c>
    </row>
    <row r="445" spans="1:2">
      <c r="A445" s="143" t="s">
        <v>100</v>
      </c>
      <c r="B445">
        <v>107</v>
      </c>
    </row>
    <row r="446" spans="1:2">
      <c r="A446" s="143" t="s">
        <v>101</v>
      </c>
      <c r="B446">
        <v>106</v>
      </c>
    </row>
    <row r="447" spans="1:2">
      <c r="A447" s="143" t="s">
        <v>102</v>
      </c>
      <c r="B447">
        <v>92</v>
      </c>
    </row>
    <row r="448" spans="1:2">
      <c r="A448" s="143" t="s">
        <v>103</v>
      </c>
      <c r="B448">
        <v>110</v>
      </c>
    </row>
    <row r="449" spans="1:2">
      <c r="A449" s="143" t="s">
        <v>65</v>
      </c>
      <c r="B449">
        <v>93</v>
      </c>
    </row>
    <row r="450" spans="1:2">
      <c r="A450" s="143" t="s">
        <v>104</v>
      </c>
      <c r="B450">
        <v>100</v>
      </c>
    </row>
    <row r="451" spans="1:2">
      <c r="A451" s="143" t="s">
        <v>105</v>
      </c>
      <c r="B451">
        <v>239</v>
      </c>
    </row>
    <row r="452" spans="1:2">
      <c r="A452" s="143" t="s">
        <v>106</v>
      </c>
      <c r="B452">
        <v>90</v>
      </c>
    </row>
    <row r="453" spans="1:2">
      <c r="A453" s="143" t="s">
        <v>107</v>
      </c>
      <c r="B453">
        <v>113</v>
      </c>
    </row>
    <row r="454" spans="1:2">
      <c r="A454" s="143" t="s">
        <v>108</v>
      </c>
      <c r="B454">
        <v>110</v>
      </c>
    </row>
    <row r="455" spans="1:2">
      <c r="A455" s="143" t="s">
        <v>109</v>
      </c>
      <c r="B455">
        <v>106</v>
      </c>
    </row>
    <row r="456" spans="1:2">
      <c r="A456" s="143" t="s">
        <v>110</v>
      </c>
      <c r="B456">
        <v>92</v>
      </c>
    </row>
    <row r="457" spans="1:2">
      <c r="A457" s="4" t="s">
        <v>378</v>
      </c>
      <c r="B457">
        <v>1199</v>
      </c>
    </row>
    <row r="458" spans="1:2">
      <c r="A458" s="143" t="s">
        <v>100</v>
      </c>
      <c r="B458">
        <v>121</v>
      </c>
    </row>
    <row r="459" spans="1:2">
      <c r="A459" s="143" t="s">
        <v>101</v>
      </c>
      <c r="B459">
        <v>89</v>
      </c>
    </row>
    <row r="460" spans="1:2">
      <c r="A460" s="143" t="s">
        <v>102</v>
      </c>
      <c r="B460">
        <v>117</v>
      </c>
    </row>
    <row r="461" spans="1:2">
      <c r="A461" s="143" t="s">
        <v>103</v>
      </c>
      <c r="B461">
        <v>106</v>
      </c>
    </row>
    <row r="462" spans="1:2">
      <c r="A462" s="143" t="s">
        <v>65</v>
      </c>
      <c r="B462">
        <v>121</v>
      </c>
    </row>
    <row r="463" spans="1:2">
      <c r="A463" s="143" t="s">
        <v>104</v>
      </c>
      <c r="B463">
        <v>95</v>
      </c>
    </row>
    <row r="464" spans="1:2">
      <c r="A464" s="143" t="s">
        <v>105</v>
      </c>
      <c r="B464">
        <v>91</v>
      </c>
    </row>
    <row r="465" spans="1:2">
      <c r="A465" s="143" t="s">
        <v>106</v>
      </c>
      <c r="B465">
        <v>82</v>
      </c>
    </row>
    <row r="466" spans="1:2">
      <c r="A466" s="143" t="s">
        <v>107</v>
      </c>
      <c r="B466">
        <v>100</v>
      </c>
    </row>
    <row r="467" spans="1:2">
      <c r="A467" s="143" t="s">
        <v>108</v>
      </c>
      <c r="B467">
        <v>81</v>
      </c>
    </row>
    <row r="468" spans="1:2">
      <c r="A468" s="143" t="s">
        <v>109</v>
      </c>
      <c r="B468">
        <v>101</v>
      </c>
    </row>
    <row r="469" spans="1:2">
      <c r="A469" s="143" t="s">
        <v>110</v>
      </c>
      <c r="B469">
        <v>95</v>
      </c>
    </row>
    <row r="470" spans="1:2">
      <c r="A470" s="4" t="s">
        <v>379</v>
      </c>
      <c r="B470">
        <v>1247</v>
      </c>
    </row>
    <row r="471" spans="1:2">
      <c r="A471" s="143" t="s">
        <v>100</v>
      </c>
      <c r="B471">
        <v>114</v>
      </c>
    </row>
    <row r="472" spans="1:2">
      <c r="A472" s="143" t="s">
        <v>101</v>
      </c>
      <c r="B472">
        <v>92</v>
      </c>
    </row>
    <row r="473" spans="1:2">
      <c r="A473" s="143" t="s">
        <v>102</v>
      </c>
      <c r="B473">
        <v>113</v>
      </c>
    </row>
    <row r="474" spans="1:2">
      <c r="A474" s="143" t="s">
        <v>103</v>
      </c>
      <c r="B474">
        <v>113</v>
      </c>
    </row>
    <row r="475" spans="1:2">
      <c r="A475" s="143" t="s">
        <v>65</v>
      </c>
      <c r="B475">
        <v>120</v>
      </c>
    </row>
    <row r="476" spans="1:2">
      <c r="A476" s="143" t="s">
        <v>104</v>
      </c>
      <c r="B476">
        <v>108</v>
      </c>
    </row>
    <row r="477" spans="1:2">
      <c r="A477" s="143" t="s">
        <v>105</v>
      </c>
      <c r="B477">
        <v>99</v>
      </c>
    </row>
    <row r="478" spans="1:2">
      <c r="A478" s="143" t="s">
        <v>106</v>
      </c>
      <c r="B478">
        <v>108</v>
      </c>
    </row>
    <row r="479" spans="1:2">
      <c r="A479" s="143" t="s">
        <v>107</v>
      </c>
      <c r="B479">
        <v>98</v>
      </c>
    </row>
    <row r="480" spans="1:2">
      <c r="A480" s="143" t="s">
        <v>108</v>
      </c>
      <c r="B480">
        <v>92</v>
      </c>
    </row>
    <row r="481" spans="1:2">
      <c r="A481" s="143" t="s">
        <v>109</v>
      </c>
      <c r="B481">
        <v>96</v>
      </c>
    </row>
    <row r="482" spans="1:2">
      <c r="A482" s="143" t="s">
        <v>110</v>
      </c>
      <c r="B482">
        <v>94</v>
      </c>
    </row>
    <row r="483" spans="1:2">
      <c r="A483" s="4" t="s">
        <v>380</v>
      </c>
      <c r="B483">
        <v>1197</v>
      </c>
    </row>
    <row r="484" spans="1:2">
      <c r="A484" s="143" t="s">
        <v>100</v>
      </c>
      <c r="B484">
        <v>75</v>
      </c>
    </row>
    <row r="485" spans="1:2">
      <c r="A485" s="143" t="s">
        <v>101</v>
      </c>
      <c r="B485">
        <v>97</v>
      </c>
    </row>
    <row r="486" spans="1:2">
      <c r="A486" s="143" t="s">
        <v>102</v>
      </c>
      <c r="B486">
        <v>100</v>
      </c>
    </row>
    <row r="487" spans="1:2">
      <c r="A487" s="143" t="s">
        <v>103</v>
      </c>
      <c r="B487">
        <v>98</v>
      </c>
    </row>
    <row r="488" spans="1:2">
      <c r="A488" s="143" t="s">
        <v>65</v>
      </c>
      <c r="B488">
        <v>121</v>
      </c>
    </row>
    <row r="489" spans="1:2">
      <c r="A489" s="143" t="s">
        <v>104</v>
      </c>
      <c r="B489">
        <v>103</v>
      </c>
    </row>
    <row r="490" spans="1:2">
      <c r="A490" s="143" t="s">
        <v>105</v>
      </c>
      <c r="B490">
        <v>121</v>
      </c>
    </row>
    <row r="491" spans="1:2">
      <c r="A491" s="143" t="s">
        <v>106</v>
      </c>
      <c r="B491">
        <v>103</v>
      </c>
    </row>
    <row r="492" spans="1:2">
      <c r="A492" s="143" t="s">
        <v>107</v>
      </c>
      <c r="B492">
        <v>91</v>
      </c>
    </row>
    <row r="493" spans="1:2">
      <c r="A493" s="143" t="s">
        <v>108</v>
      </c>
      <c r="B493">
        <v>91</v>
      </c>
    </row>
    <row r="494" spans="1:2">
      <c r="A494" s="143" t="s">
        <v>109</v>
      </c>
      <c r="B494">
        <v>100</v>
      </c>
    </row>
    <row r="495" spans="1:2">
      <c r="A495" s="143" t="s">
        <v>110</v>
      </c>
      <c r="B495">
        <v>97</v>
      </c>
    </row>
    <row r="496" spans="1:2">
      <c r="A496" s="4" t="s">
        <v>381</v>
      </c>
      <c r="B496">
        <v>1174</v>
      </c>
    </row>
    <row r="497" spans="1:2">
      <c r="A497" s="143" t="s">
        <v>100</v>
      </c>
      <c r="B497">
        <v>106</v>
      </c>
    </row>
    <row r="498" spans="1:2">
      <c r="A498" s="143" t="s">
        <v>101</v>
      </c>
      <c r="B498">
        <v>110</v>
      </c>
    </row>
    <row r="499" spans="1:2">
      <c r="A499" s="143" t="s">
        <v>102</v>
      </c>
      <c r="B499">
        <v>91</v>
      </c>
    </row>
    <row r="500" spans="1:2">
      <c r="A500" s="143" t="s">
        <v>103</v>
      </c>
      <c r="B500">
        <v>103</v>
      </c>
    </row>
    <row r="501" spans="1:2">
      <c r="A501" s="143" t="s">
        <v>65</v>
      </c>
      <c r="B501">
        <v>84</v>
      </c>
    </row>
    <row r="502" spans="1:2">
      <c r="A502" s="143" t="s">
        <v>104</v>
      </c>
      <c r="B502">
        <v>93</v>
      </c>
    </row>
    <row r="503" spans="1:2">
      <c r="A503" s="143" t="s">
        <v>105</v>
      </c>
      <c r="B503">
        <v>113</v>
      </c>
    </row>
    <row r="504" spans="1:2">
      <c r="A504" s="143" t="s">
        <v>106</v>
      </c>
      <c r="B504">
        <v>105</v>
      </c>
    </row>
    <row r="505" spans="1:2">
      <c r="A505" s="143" t="s">
        <v>107</v>
      </c>
      <c r="B505">
        <v>83</v>
      </c>
    </row>
    <row r="506" spans="1:2">
      <c r="A506" s="143" t="s">
        <v>108</v>
      </c>
      <c r="B506">
        <v>96</v>
      </c>
    </row>
    <row r="507" spans="1:2">
      <c r="A507" s="143" t="s">
        <v>109</v>
      </c>
      <c r="B507">
        <v>107</v>
      </c>
    </row>
    <row r="508" spans="1:2">
      <c r="A508" s="143" t="s">
        <v>110</v>
      </c>
      <c r="B508">
        <v>83</v>
      </c>
    </row>
    <row r="509" spans="1:2">
      <c r="A509" s="4" t="s">
        <v>382</v>
      </c>
      <c r="B509">
        <v>1273</v>
      </c>
    </row>
    <row r="510" spans="1:2">
      <c r="A510" s="143" t="s">
        <v>100</v>
      </c>
      <c r="B510">
        <v>105</v>
      </c>
    </row>
    <row r="511" spans="1:2">
      <c r="A511" s="143" t="s">
        <v>101</v>
      </c>
      <c r="B511">
        <v>112</v>
      </c>
    </row>
    <row r="512" spans="1:2">
      <c r="A512" s="143" t="s">
        <v>102</v>
      </c>
      <c r="B512">
        <v>99</v>
      </c>
    </row>
    <row r="513" spans="1:2">
      <c r="A513" s="143" t="s">
        <v>103</v>
      </c>
      <c r="B513">
        <v>111</v>
      </c>
    </row>
    <row r="514" spans="1:2">
      <c r="A514" s="143" t="s">
        <v>65</v>
      </c>
      <c r="B514">
        <v>105</v>
      </c>
    </row>
    <row r="515" spans="1:2">
      <c r="A515" s="143" t="s">
        <v>104</v>
      </c>
      <c r="B515">
        <v>93</v>
      </c>
    </row>
    <row r="516" spans="1:2">
      <c r="A516" s="143" t="s">
        <v>105</v>
      </c>
      <c r="B516">
        <v>109</v>
      </c>
    </row>
    <row r="517" spans="1:2">
      <c r="A517" s="143" t="s">
        <v>106</v>
      </c>
      <c r="B517">
        <v>106</v>
      </c>
    </row>
    <row r="518" spans="1:2">
      <c r="A518" s="143" t="s">
        <v>107</v>
      </c>
      <c r="B518">
        <v>106</v>
      </c>
    </row>
    <row r="519" spans="1:2">
      <c r="A519" s="143" t="s">
        <v>108</v>
      </c>
      <c r="B519">
        <v>103</v>
      </c>
    </row>
    <row r="520" spans="1:2">
      <c r="A520" s="143" t="s">
        <v>109</v>
      </c>
      <c r="B520">
        <v>113</v>
      </c>
    </row>
    <row r="521" spans="1:2">
      <c r="A521" s="143" t="s">
        <v>110</v>
      </c>
      <c r="B521">
        <v>111</v>
      </c>
    </row>
    <row r="522" spans="1:2">
      <c r="A522" s="4" t="s">
        <v>383</v>
      </c>
      <c r="B522">
        <v>1301</v>
      </c>
    </row>
    <row r="523" spans="1:2">
      <c r="A523" s="143" t="s">
        <v>100</v>
      </c>
      <c r="B523">
        <v>189</v>
      </c>
    </row>
    <row r="524" spans="1:2">
      <c r="A524" s="143" t="s">
        <v>102</v>
      </c>
      <c r="B524">
        <v>111</v>
      </c>
    </row>
    <row r="525" spans="1:2">
      <c r="A525" s="143" t="s">
        <v>103</v>
      </c>
      <c r="B525">
        <v>104</v>
      </c>
    </row>
    <row r="526" spans="1:2">
      <c r="A526" s="143" t="s">
        <v>65</v>
      </c>
      <c r="B526">
        <v>209</v>
      </c>
    </row>
    <row r="527" spans="1:2">
      <c r="A527" s="143" t="s">
        <v>104</v>
      </c>
      <c r="B527">
        <v>108</v>
      </c>
    </row>
    <row r="528" spans="1:2">
      <c r="A528" s="143" t="s">
        <v>105</v>
      </c>
      <c r="B528">
        <v>100</v>
      </c>
    </row>
    <row r="529" spans="1:2">
      <c r="A529" s="143" t="s">
        <v>106</v>
      </c>
      <c r="B529">
        <v>104</v>
      </c>
    </row>
    <row r="530" spans="1:2">
      <c r="A530" s="143" t="s">
        <v>107</v>
      </c>
      <c r="B530">
        <v>106</v>
      </c>
    </row>
    <row r="531" spans="1:2">
      <c r="A531" s="143" t="s">
        <v>108</v>
      </c>
      <c r="B531">
        <v>94</v>
      </c>
    </row>
    <row r="532" spans="1:2">
      <c r="A532" s="143" t="s">
        <v>109</v>
      </c>
      <c r="B532">
        <v>81</v>
      </c>
    </row>
    <row r="533" spans="1:2">
      <c r="A533" s="143" t="s">
        <v>110</v>
      </c>
      <c r="B533">
        <v>95</v>
      </c>
    </row>
    <row r="534" spans="1:2">
      <c r="A534" s="4" t="s">
        <v>38</v>
      </c>
      <c r="B534">
        <v>49650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5D864-59B9-4513-A693-F6B850EBDBA4}">
  <sheetPr codeName="Sheet61"/>
  <dimension ref="A3:B505"/>
  <sheetViews>
    <sheetView workbookViewId="0">
      <selection activeCell="L23" sqref="L23"/>
    </sheetView>
  </sheetViews>
  <sheetFormatPr defaultRowHeight="14.4"/>
  <cols>
    <col min="1" max="1" width="12.5546875" bestFit="1" customWidth="1"/>
    <col min="2" max="2" width="16.5546875" bestFit="1" customWidth="1"/>
  </cols>
  <sheetData>
    <row r="3" spans="1:2">
      <c r="A3" s="3" t="s">
        <v>37</v>
      </c>
      <c r="B3" t="s">
        <v>39</v>
      </c>
    </row>
    <row r="4" spans="1:2">
      <c r="A4" s="4" t="s">
        <v>100</v>
      </c>
      <c r="B4">
        <v>4796</v>
      </c>
    </row>
    <row r="5" spans="1:2">
      <c r="A5" s="143" t="s">
        <v>343</v>
      </c>
      <c r="B5">
        <v>203</v>
      </c>
    </row>
    <row r="6" spans="1:2">
      <c r="A6" s="143" t="s">
        <v>344</v>
      </c>
      <c r="B6">
        <v>103</v>
      </c>
    </row>
    <row r="7" spans="1:2">
      <c r="A7" s="143" t="s">
        <v>345</v>
      </c>
      <c r="B7">
        <v>93</v>
      </c>
    </row>
    <row r="8" spans="1:2">
      <c r="A8" s="143" t="s">
        <v>346</v>
      </c>
      <c r="B8">
        <v>1080</v>
      </c>
    </row>
    <row r="9" spans="1:2">
      <c r="A9" s="143" t="s">
        <v>347</v>
      </c>
      <c r="B9">
        <v>94</v>
      </c>
    </row>
    <row r="10" spans="1:2">
      <c r="A10" s="143" t="s">
        <v>348</v>
      </c>
      <c r="B10">
        <v>78</v>
      </c>
    </row>
    <row r="11" spans="1:2">
      <c r="A11" s="143" t="s">
        <v>349</v>
      </c>
      <c r="B11">
        <v>120</v>
      </c>
    </row>
    <row r="12" spans="1:2">
      <c r="A12" s="143" t="s">
        <v>350</v>
      </c>
    </row>
    <row r="13" spans="1:2">
      <c r="A13" s="143" t="s">
        <v>351</v>
      </c>
      <c r="B13">
        <v>102</v>
      </c>
    </row>
    <row r="14" spans="1:2">
      <c r="A14" s="143" t="s">
        <v>352</v>
      </c>
      <c r="B14">
        <v>113</v>
      </c>
    </row>
    <row r="15" spans="1:2">
      <c r="A15" s="143" t="s">
        <v>353</v>
      </c>
      <c r="B15">
        <v>69</v>
      </c>
    </row>
    <row r="16" spans="1:2">
      <c r="A16" s="143" t="s">
        <v>354</v>
      </c>
      <c r="B16">
        <v>88</v>
      </c>
    </row>
    <row r="17" spans="1:2">
      <c r="A17" s="143" t="s">
        <v>355</v>
      </c>
      <c r="B17">
        <v>96</v>
      </c>
    </row>
    <row r="18" spans="1:2">
      <c r="A18" s="143" t="s">
        <v>356</v>
      </c>
      <c r="B18">
        <v>112</v>
      </c>
    </row>
    <row r="19" spans="1:2">
      <c r="A19" s="143" t="s">
        <v>357</v>
      </c>
    </row>
    <row r="20" spans="1:2">
      <c r="A20" s="143" t="s">
        <v>358</v>
      </c>
      <c r="B20">
        <v>98</v>
      </c>
    </row>
    <row r="21" spans="1:2">
      <c r="A21" s="143" t="s">
        <v>359</v>
      </c>
      <c r="B21">
        <v>79</v>
      </c>
    </row>
    <row r="22" spans="1:2">
      <c r="A22" s="143" t="s">
        <v>360</v>
      </c>
      <c r="B22">
        <v>99</v>
      </c>
    </row>
    <row r="23" spans="1:2">
      <c r="A23" s="143" t="s">
        <v>361</v>
      </c>
      <c r="B23">
        <v>97</v>
      </c>
    </row>
    <row r="24" spans="1:2">
      <c r="A24" s="143" t="s">
        <v>362</v>
      </c>
      <c r="B24">
        <v>108</v>
      </c>
    </row>
    <row r="25" spans="1:2">
      <c r="A25" s="143" t="s">
        <v>363</v>
      </c>
      <c r="B25">
        <v>82</v>
      </c>
    </row>
    <row r="26" spans="1:2">
      <c r="A26" s="143" t="s">
        <v>364</v>
      </c>
      <c r="B26">
        <v>104</v>
      </c>
    </row>
    <row r="27" spans="1:2">
      <c r="A27" s="143" t="s">
        <v>365</v>
      </c>
      <c r="B27">
        <v>93</v>
      </c>
    </row>
    <row r="28" spans="1:2">
      <c r="A28" s="143" t="s">
        <v>366</v>
      </c>
      <c r="B28">
        <v>90</v>
      </c>
    </row>
    <row r="29" spans="1:2">
      <c r="A29" s="143" t="s">
        <v>367</v>
      </c>
      <c r="B29">
        <v>88</v>
      </c>
    </row>
    <row r="30" spans="1:2">
      <c r="A30" s="143" t="s">
        <v>368</v>
      </c>
      <c r="B30">
        <v>87</v>
      </c>
    </row>
    <row r="31" spans="1:2">
      <c r="A31" s="143" t="s">
        <v>369</v>
      </c>
    </row>
    <row r="32" spans="1:2">
      <c r="A32" s="143" t="s">
        <v>370</v>
      </c>
      <c r="B32">
        <v>107</v>
      </c>
    </row>
    <row r="33" spans="1:2">
      <c r="A33" s="143" t="s">
        <v>371</v>
      </c>
      <c r="B33">
        <v>119</v>
      </c>
    </row>
    <row r="34" spans="1:2">
      <c r="A34" s="143" t="s">
        <v>372</v>
      </c>
      <c r="B34">
        <v>100</v>
      </c>
    </row>
    <row r="35" spans="1:2">
      <c r="A35" s="143" t="s">
        <v>373</v>
      </c>
      <c r="B35">
        <v>88</v>
      </c>
    </row>
    <row r="36" spans="1:2">
      <c r="A36" s="143" t="s">
        <v>374</v>
      </c>
      <c r="B36">
        <v>91</v>
      </c>
    </row>
    <row r="37" spans="1:2">
      <c r="A37" s="143" t="s">
        <v>375</v>
      </c>
      <c r="B37">
        <v>98</v>
      </c>
    </row>
    <row r="38" spans="1:2">
      <c r="A38" s="143" t="s">
        <v>376</v>
      </c>
      <c r="B38">
        <v>100</v>
      </c>
    </row>
    <row r="39" spans="1:2">
      <c r="A39" s="143" t="s">
        <v>377</v>
      </c>
      <c r="B39">
        <v>107</v>
      </c>
    </row>
    <row r="40" spans="1:2">
      <c r="A40" s="143" t="s">
        <v>378</v>
      </c>
      <c r="B40">
        <v>121</v>
      </c>
    </row>
    <row r="41" spans="1:2">
      <c r="A41" s="143" t="s">
        <v>379</v>
      </c>
      <c r="B41">
        <v>114</v>
      </c>
    </row>
    <row r="42" spans="1:2">
      <c r="A42" s="143" t="s">
        <v>380</v>
      </c>
      <c r="B42">
        <v>75</v>
      </c>
    </row>
    <row r="43" spans="1:2">
      <c r="A43" s="143" t="s">
        <v>381</v>
      </c>
      <c r="B43">
        <v>106</v>
      </c>
    </row>
    <row r="44" spans="1:2">
      <c r="A44" s="143" t="s">
        <v>382</v>
      </c>
      <c r="B44">
        <v>105</v>
      </c>
    </row>
    <row r="45" spans="1:2">
      <c r="A45" s="143" t="s">
        <v>383</v>
      </c>
      <c r="B45">
        <v>89</v>
      </c>
    </row>
    <row r="46" spans="1:2">
      <c r="A46" s="4" t="s">
        <v>101</v>
      </c>
      <c r="B46">
        <v>7164</v>
      </c>
    </row>
    <row r="47" spans="1:2">
      <c r="A47" s="143" t="s">
        <v>344</v>
      </c>
      <c r="B47">
        <v>94</v>
      </c>
    </row>
    <row r="48" spans="1:2">
      <c r="A48" s="143" t="s">
        <v>345</v>
      </c>
      <c r="B48">
        <v>87</v>
      </c>
    </row>
    <row r="49" spans="1:2">
      <c r="A49" s="143" t="s">
        <v>346</v>
      </c>
      <c r="B49">
        <v>108</v>
      </c>
    </row>
    <row r="50" spans="1:2">
      <c r="A50" s="143" t="s">
        <v>347</v>
      </c>
      <c r="B50">
        <v>91</v>
      </c>
    </row>
    <row r="51" spans="1:2">
      <c r="A51" s="143" t="s">
        <v>348</v>
      </c>
      <c r="B51">
        <v>116</v>
      </c>
    </row>
    <row r="52" spans="1:2">
      <c r="A52" s="143" t="s">
        <v>349</v>
      </c>
    </row>
    <row r="53" spans="1:2">
      <c r="A53" s="143" t="s">
        <v>350</v>
      </c>
      <c r="B53">
        <v>85</v>
      </c>
    </row>
    <row r="54" spans="1:2">
      <c r="A54" s="143" t="s">
        <v>351</v>
      </c>
      <c r="B54">
        <v>900</v>
      </c>
    </row>
    <row r="55" spans="1:2">
      <c r="A55" s="143" t="s">
        <v>352</v>
      </c>
      <c r="B55">
        <v>106</v>
      </c>
    </row>
    <row r="56" spans="1:2">
      <c r="A56" s="143" t="s">
        <v>353</v>
      </c>
      <c r="B56">
        <v>111</v>
      </c>
    </row>
    <row r="57" spans="1:2">
      <c r="A57" s="143" t="s">
        <v>354</v>
      </c>
      <c r="B57">
        <v>101</v>
      </c>
    </row>
    <row r="58" spans="1:2">
      <c r="A58" s="143" t="s">
        <v>355</v>
      </c>
      <c r="B58">
        <v>100</v>
      </c>
    </row>
    <row r="59" spans="1:2">
      <c r="A59" s="143" t="s">
        <v>356</v>
      </c>
      <c r="B59">
        <v>110</v>
      </c>
    </row>
    <row r="60" spans="1:2">
      <c r="A60" s="143" t="s">
        <v>357</v>
      </c>
      <c r="B60">
        <v>95</v>
      </c>
    </row>
    <row r="61" spans="1:2">
      <c r="A61" s="143" t="s">
        <v>358</v>
      </c>
      <c r="B61">
        <v>96</v>
      </c>
    </row>
    <row r="62" spans="1:2">
      <c r="A62" s="143" t="s">
        <v>359</v>
      </c>
      <c r="B62">
        <v>86</v>
      </c>
    </row>
    <row r="63" spans="1:2">
      <c r="A63" s="143" t="s">
        <v>360</v>
      </c>
      <c r="B63">
        <v>102</v>
      </c>
    </row>
    <row r="64" spans="1:2">
      <c r="A64" s="143" t="s">
        <v>361</v>
      </c>
      <c r="B64">
        <v>112</v>
      </c>
    </row>
    <row r="65" spans="1:2">
      <c r="A65" s="143" t="s">
        <v>362</v>
      </c>
      <c r="B65">
        <v>1060</v>
      </c>
    </row>
    <row r="66" spans="1:2">
      <c r="A66" s="143" t="s">
        <v>363</v>
      </c>
      <c r="B66">
        <v>87</v>
      </c>
    </row>
    <row r="67" spans="1:2">
      <c r="A67" s="143" t="s">
        <v>364</v>
      </c>
      <c r="B67">
        <v>80</v>
      </c>
    </row>
    <row r="68" spans="1:2">
      <c r="A68" s="143" t="s">
        <v>365</v>
      </c>
      <c r="B68">
        <v>91</v>
      </c>
    </row>
    <row r="69" spans="1:2">
      <c r="A69" s="143" t="s">
        <v>367</v>
      </c>
      <c r="B69">
        <v>1010</v>
      </c>
    </row>
    <row r="70" spans="1:2">
      <c r="A70" s="143" t="s">
        <v>368</v>
      </c>
      <c r="B70">
        <v>90</v>
      </c>
    </row>
    <row r="71" spans="1:2">
      <c r="A71" s="143" t="s">
        <v>369</v>
      </c>
      <c r="B71">
        <v>87</v>
      </c>
    </row>
    <row r="72" spans="1:2">
      <c r="A72" s="143" t="s">
        <v>370</v>
      </c>
      <c r="B72">
        <v>106</v>
      </c>
    </row>
    <row r="73" spans="1:2">
      <c r="A73" s="143" t="s">
        <v>371</v>
      </c>
      <c r="B73">
        <v>99</v>
      </c>
    </row>
    <row r="74" spans="1:2">
      <c r="A74" s="143" t="s">
        <v>372</v>
      </c>
      <c r="B74">
        <v>117</v>
      </c>
    </row>
    <row r="75" spans="1:2">
      <c r="A75" s="143" t="s">
        <v>373</v>
      </c>
      <c r="B75">
        <v>960</v>
      </c>
    </row>
    <row r="76" spans="1:2">
      <c r="A76" s="143" t="s">
        <v>374</v>
      </c>
      <c r="B76">
        <v>89</v>
      </c>
    </row>
    <row r="77" spans="1:2">
      <c r="A77" s="143" t="s">
        <v>375</v>
      </c>
      <c r="B77">
        <v>93</v>
      </c>
    </row>
    <row r="78" spans="1:2">
      <c r="A78" s="143" t="s">
        <v>376</v>
      </c>
      <c r="B78">
        <v>89</v>
      </c>
    </row>
    <row r="79" spans="1:2">
      <c r="A79" s="143" t="s">
        <v>377</v>
      </c>
      <c r="B79">
        <v>106</v>
      </c>
    </row>
    <row r="80" spans="1:2">
      <c r="A80" s="143" t="s">
        <v>378</v>
      </c>
      <c r="B80">
        <v>89</v>
      </c>
    </row>
    <row r="81" spans="1:2">
      <c r="A81" s="143" t="s">
        <v>379</v>
      </c>
      <c r="B81">
        <v>92</v>
      </c>
    </row>
    <row r="82" spans="1:2">
      <c r="A82" s="143" t="s">
        <v>380</v>
      </c>
      <c r="B82">
        <v>97</v>
      </c>
    </row>
    <row r="83" spans="1:2">
      <c r="A83" s="143" t="s">
        <v>381</v>
      </c>
      <c r="B83">
        <v>110</v>
      </c>
    </row>
    <row r="84" spans="1:2">
      <c r="A84" s="143" t="s">
        <v>382</v>
      </c>
      <c r="B84">
        <v>112</v>
      </c>
    </row>
    <row r="85" spans="1:2">
      <c r="A85" s="4" t="s">
        <v>102</v>
      </c>
      <c r="B85">
        <v>5115</v>
      </c>
    </row>
    <row r="86" spans="1:2">
      <c r="A86" s="143" t="s">
        <v>343</v>
      </c>
      <c r="B86">
        <v>88</v>
      </c>
    </row>
    <row r="87" spans="1:2">
      <c r="A87" s="143" t="s">
        <v>344</v>
      </c>
      <c r="B87">
        <v>105</v>
      </c>
    </row>
    <row r="88" spans="1:2">
      <c r="A88" s="143" t="s">
        <v>345</v>
      </c>
      <c r="B88">
        <v>108</v>
      </c>
    </row>
    <row r="89" spans="1:2">
      <c r="A89" s="143" t="s">
        <v>346</v>
      </c>
      <c r="B89">
        <v>101</v>
      </c>
    </row>
    <row r="90" spans="1:2">
      <c r="A90" s="143" t="s">
        <v>347</v>
      </c>
      <c r="B90">
        <v>110</v>
      </c>
    </row>
    <row r="91" spans="1:2">
      <c r="A91" s="143" t="s">
        <v>348</v>
      </c>
      <c r="B91">
        <v>88</v>
      </c>
    </row>
    <row r="92" spans="1:2">
      <c r="A92" s="143" t="s">
        <v>349</v>
      </c>
      <c r="B92">
        <v>118</v>
      </c>
    </row>
    <row r="93" spans="1:2">
      <c r="A93" s="143" t="s">
        <v>350</v>
      </c>
      <c r="B93">
        <v>101</v>
      </c>
    </row>
    <row r="94" spans="1:2">
      <c r="A94" s="143" t="s">
        <v>351</v>
      </c>
      <c r="B94">
        <v>93</v>
      </c>
    </row>
    <row r="95" spans="1:2">
      <c r="A95" s="143" t="s">
        <v>352</v>
      </c>
      <c r="B95">
        <v>96</v>
      </c>
    </row>
    <row r="96" spans="1:2">
      <c r="A96" s="143" t="s">
        <v>353</v>
      </c>
      <c r="B96">
        <v>87</v>
      </c>
    </row>
    <row r="97" spans="1:2">
      <c r="A97" s="143" t="s">
        <v>354</v>
      </c>
      <c r="B97">
        <v>105</v>
      </c>
    </row>
    <row r="98" spans="1:2">
      <c r="A98" s="143" t="s">
        <v>355</v>
      </c>
      <c r="B98">
        <v>105</v>
      </c>
    </row>
    <row r="99" spans="1:2">
      <c r="A99" s="143" t="s">
        <v>356</v>
      </c>
      <c r="B99">
        <v>86</v>
      </c>
    </row>
    <row r="100" spans="1:2">
      <c r="A100" s="143" t="s">
        <v>357</v>
      </c>
      <c r="B100">
        <v>97</v>
      </c>
    </row>
    <row r="101" spans="1:2">
      <c r="A101" s="143" t="s">
        <v>358</v>
      </c>
      <c r="B101">
        <v>88</v>
      </c>
    </row>
    <row r="102" spans="1:2">
      <c r="A102" s="143" t="s">
        <v>359</v>
      </c>
      <c r="B102">
        <v>108</v>
      </c>
    </row>
    <row r="103" spans="1:2">
      <c r="A103" s="143" t="s">
        <v>360</v>
      </c>
      <c r="B103">
        <v>106</v>
      </c>
    </row>
    <row r="104" spans="1:2">
      <c r="A104" s="143" t="s">
        <v>361</v>
      </c>
      <c r="B104">
        <v>99</v>
      </c>
    </row>
    <row r="105" spans="1:2">
      <c r="A105" s="143" t="s">
        <v>362</v>
      </c>
      <c r="B105">
        <v>87</v>
      </c>
    </row>
    <row r="106" spans="1:2">
      <c r="A106" s="143" t="s">
        <v>363</v>
      </c>
      <c r="B106">
        <v>87</v>
      </c>
    </row>
    <row r="107" spans="1:2">
      <c r="A107" s="143" t="s">
        <v>364</v>
      </c>
      <c r="B107">
        <v>110</v>
      </c>
    </row>
    <row r="108" spans="1:2">
      <c r="A108" s="143" t="s">
        <v>365</v>
      </c>
      <c r="B108">
        <v>103</v>
      </c>
    </row>
    <row r="109" spans="1:2">
      <c r="A109" s="143" t="s">
        <v>366</v>
      </c>
      <c r="B109">
        <v>169</v>
      </c>
    </row>
    <row r="110" spans="1:2">
      <c r="A110" s="143" t="s">
        <v>367</v>
      </c>
      <c r="B110">
        <v>95</v>
      </c>
    </row>
    <row r="111" spans="1:2">
      <c r="A111" s="143" t="s">
        <v>368</v>
      </c>
      <c r="B111">
        <v>89</v>
      </c>
    </row>
    <row r="112" spans="1:2">
      <c r="A112" s="143" t="s">
        <v>369</v>
      </c>
      <c r="B112">
        <v>103</v>
      </c>
    </row>
    <row r="113" spans="1:2">
      <c r="A113" s="143" t="s">
        <v>370</v>
      </c>
      <c r="B113">
        <v>92</v>
      </c>
    </row>
    <row r="114" spans="1:2">
      <c r="A114" s="143" t="s">
        <v>371</v>
      </c>
      <c r="B114">
        <v>87</v>
      </c>
    </row>
    <row r="115" spans="1:2">
      <c r="A115" s="143" t="s">
        <v>372</v>
      </c>
      <c r="B115">
        <v>102</v>
      </c>
    </row>
    <row r="116" spans="1:2">
      <c r="A116" s="143" t="s">
        <v>373</v>
      </c>
      <c r="B116">
        <v>104</v>
      </c>
    </row>
    <row r="117" spans="1:2">
      <c r="A117" s="143" t="s">
        <v>374</v>
      </c>
      <c r="B117">
        <v>98</v>
      </c>
    </row>
    <row r="118" spans="1:2">
      <c r="A118" s="143" t="s">
        <v>375</v>
      </c>
      <c r="B118">
        <v>104</v>
      </c>
    </row>
    <row r="119" spans="1:2">
      <c r="A119" s="143" t="s">
        <v>376</v>
      </c>
      <c r="B119">
        <v>83</v>
      </c>
    </row>
    <row r="120" spans="1:2">
      <c r="A120" s="143" t="s">
        <v>377</v>
      </c>
      <c r="B120">
        <v>92</v>
      </c>
    </row>
    <row r="121" spans="1:2">
      <c r="A121" s="143" t="s">
        <v>378</v>
      </c>
      <c r="B121">
        <v>117</v>
      </c>
    </row>
    <row r="122" spans="1:2">
      <c r="A122" s="143" t="s">
        <v>379</v>
      </c>
      <c r="B122">
        <v>113</v>
      </c>
    </row>
    <row r="123" spans="1:2">
      <c r="A123" s="143" t="s">
        <v>380</v>
      </c>
      <c r="B123">
        <v>1090</v>
      </c>
    </row>
    <row r="124" spans="1:2">
      <c r="A124" s="143" t="s">
        <v>381</v>
      </c>
      <c r="B124">
        <v>91</v>
      </c>
    </row>
    <row r="125" spans="1:2">
      <c r="A125" s="143" t="s">
        <v>382</v>
      </c>
      <c r="B125">
        <v>99</v>
      </c>
    </row>
    <row r="126" spans="1:2">
      <c r="A126" s="143" t="s">
        <v>383</v>
      </c>
      <c r="B126">
        <v>111</v>
      </c>
    </row>
    <row r="127" spans="1:2">
      <c r="A127" s="4" t="s">
        <v>103</v>
      </c>
      <c r="B127">
        <v>5740</v>
      </c>
    </row>
    <row r="128" spans="1:2">
      <c r="A128" s="143" t="s">
        <v>343</v>
      </c>
      <c r="B128">
        <v>103</v>
      </c>
    </row>
    <row r="129" spans="1:2">
      <c r="A129" s="143" t="s">
        <v>344</v>
      </c>
      <c r="B129">
        <v>86</v>
      </c>
    </row>
    <row r="130" spans="1:2">
      <c r="A130" s="143" t="s">
        <v>345</v>
      </c>
      <c r="B130">
        <v>106</v>
      </c>
    </row>
    <row r="131" spans="1:2">
      <c r="A131" s="143" t="s">
        <v>346</v>
      </c>
      <c r="B131">
        <v>94</v>
      </c>
    </row>
    <row r="132" spans="1:2">
      <c r="A132" s="143" t="s">
        <v>347</v>
      </c>
      <c r="B132">
        <v>98</v>
      </c>
    </row>
    <row r="133" spans="1:2">
      <c r="A133" s="143" t="s">
        <v>348</v>
      </c>
      <c r="B133">
        <v>105</v>
      </c>
    </row>
    <row r="134" spans="1:2">
      <c r="A134" s="143" t="s">
        <v>349</v>
      </c>
      <c r="B134">
        <v>92</v>
      </c>
    </row>
    <row r="135" spans="1:2">
      <c r="A135" s="143" t="s">
        <v>350</v>
      </c>
      <c r="B135">
        <v>104</v>
      </c>
    </row>
    <row r="136" spans="1:2">
      <c r="A136" s="143" t="s">
        <v>351</v>
      </c>
    </row>
    <row r="137" spans="1:2">
      <c r="A137" s="143" t="s">
        <v>352</v>
      </c>
      <c r="B137">
        <v>110</v>
      </c>
    </row>
    <row r="138" spans="1:2">
      <c r="A138" s="143" t="s">
        <v>353</v>
      </c>
      <c r="B138">
        <v>1080</v>
      </c>
    </row>
    <row r="139" spans="1:2">
      <c r="A139" s="143" t="s">
        <v>354</v>
      </c>
      <c r="B139">
        <v>102</v>
      </c>
    </row>
    <row r="140" spans="1:2">
      <c r="A140" s="143" t="s">
        <v>355</v>
      </c>
      <c r="B140">
        <v>81</v>
      </c>
    </row>
    <row r="141" spans="1:2">
      <c r="A141" s="143" t="s">
        <v>356</v>
      </c>
      <c r="B141">
        <v>104</v>
      </c>
    </row>
    <row r="142" spans="1:2">
      <c r="A142" s="143" t="s">
        <v>357</v>
      </c>
      <c r="B142">
        <v>116</v>
      </c>
    </row>
    <row r="143" spans="1:2">
      <c r="A143" s="143" t="s">
        <v>358</v>
      </c>
      <c r="B143">
        <v>103</v>
      </c>
    </row>
    <row r="144" spans="1:2">
      <c r="A144" s="143" t="s">
        <v>359</v>
      </c>
      <c r="B144">
        <v>127</v>
      </c>
    </row>
    <row r="145" spans="1:2">
      <c r="A145" s="143" t="s">
        <v>360</v>
      </c>
      <c r="B145">
        <v>94</v>
      </c>
    </row>
    <row r="146" spans="1:2">
      <c r="A146" s="143" t="s">
        <v>361</v>
      </c>
      <c r="B146">
        <v>124</v>
      </c>
    </row>
    <row r="147" spans="1:2">
      <c r="A147" s="143" t="s">
        <v>362</v>
      </c>
      <c r="B147">
        <v>96</v>
      </c>
    </row>
    <row r="148" spans="1:2">
      <c r="A148" s="143" t="s">
        <v>363</v>
      </c>
      <c r="B148">
        <v>90</v>
      </c>
    </row>
    <row r="149" spans="1:2">
      <c r="A149" s="143" t="s">
        <v>364</v>
      </c>
      <c r="B149">
        <v>90</v>
      </c>
    </row>
    <row r="150" spans="1:2">
      <c r="A150" s="143" t="s">
        <v>365</v>
      </c>
      <c r="B150">
        <v>109</v>
      </c>
    </row>
    <row r="151" spans="1:2">
      <c r="A151" s="143" t="s">
        <v>366</v>
      </c>
      <c r="B151">
        <v>110</v>
      </c>
    </row>
    <row r="152" spans="1:2">
      <c r="A152" s="143" t="s">
        <v>367</v>
      </c>
      <c r="B152">
        <v>95</v>
      </c>
    </row>
    <row r="153" spans="1:2">
      <c r="A153" s="143" t="s">
        <v>368</v>
      </c>
      <c r="B153">
        <v>105</v>
      </c>
    </row>
    <row r="154" spans="1:2">
      <c r="A154" s="143" t="s">
        <v>369</v>
      </c>
      <c r="B154">
        <v>115</v>
      </c>
    </row>
    <row r="155" spans="1:2">
      <c r="A155" s="143" t="s">
        <v>370</v>
      </c>
      <c r="B155">
        <v>90</v>
      </c>
    </row>
    <row r="156" spans="1:2">
      <c r="A156" s="143" t="s">
        <v>371</v>
      </c>
    </row>
    <row r="157" spans="1:2">
      <c r="A157" s="143" t="s">
        <v>372</v>
      </c>
      <c r="B157">
        <v>88</v>
      </c>
    </row>
    <row r="158" spans="1:2">
      <c r="A158" s="143" t="s">
        <v>373</v>
      </c>
      <c r="B158">
        <v>106</v>
      </c>
    </row>
    <row r="159" spans="1:2">
      <c r="A159" s="143" t="s">
        <v>374</v>
      </c>
      <c r="B159">
        <v>110</v>
      </c>
    </row>
    <row r="160" spans="1:2">
      <c r="A160" s="143" t="s">
        <v>375</v>
      </c>
      <c r="B160">
        <v>870</v>
      </c>
    </row>
    <row r="161" spans="1:2">
      <c r="A161" s="143" t="s">
        <v>376</v>
      </c>
      <c r="B161">
        <v>92</v>
      </c>
    </row>
    <row r="162" spans="1:2">
      <c r="A162" s="143" t="s">
        <v>377</v>
      </c>
      <c r="B162">
        <v>110</v>
      </c>
    </row>
    <row r="163" spans="1:2">
      <c r="A163" s="143" t="s">
        <v>378</v>
      </c>
      <c r="B163">
        <v>106</v>
      </c>
    </row>
    <row r="164" spans="1:2">
      <c r="A164" s="143" t="s">
        <v>379</v>
      </c>
      <c r="B164">
        <v>113</v>
      </c>
    </row>
    <row r="165" spans="1:2">
      <c r="A165" s="143" t="s">
        <v>380</v>
      </c>
      <c r="B165">
        <v>98</v>
      </c>
    </row>
    <row r="166" spans="1:2">
      <c r="A166" s="143" t="s">
        <v>381</v>
      </c>
      <c r="B166">
        <v>103</v>
      </c>
    </row>
    <row r="167" spans="1:2">
      <c r="A167" s="143" t="s">
        <v>382</v>
      </c>
      <c r="B167">
        <v>111</v>
      </c>
    </row>
    <row r="168" spans="1:2">
      <c r="A168" s="143" t="s">
        <v>383</v>
      </c>
      <c r="B168">
        <v>104</v>
      </c>
    </row>
    <row r="169" spans="1:2">
      <c r="A169" s="4" t="s">
        <v>65</v>
      </c>
      <c r="B169">
        <v>5271</v>
      </c>
    </row>
    <row r="170" spans="1:2">
      <c r="A170" s="143" t="s">
        <v>343</v>
      </c>
      <c r="B170">
        <v>201</v>
      </c>
    </row>
    <row r="171" spans="1:2">
      <c r="A171" s="143" t="s">
        <v>344</v>
      </c>
      <c r="B171">
        <v>92</v>
      </c>
    </row>
    <row r="172" spans="1:2">
      <c r="A172" s="143" t="s">
        <v>345</v>
      </c>
      <c r="B172">
        <v>108</v>
      </c>
    </row>
    <row r="173" spans="1:2">
      <c r="A173" s="143" t="s">
        <v>346</v>
      </c>
      <c r="B173">
        <v>116</v>
      </c>
    </row>
    <row r="174" spans="1:2">
      <c r="A174" s="143" t="s">
        <v>347</v>
      </c>
      <c r="B174">
        <v>86</v>
      </c>
    </row>
    <row r="175" spans="1:2">
      <c r="A175" s="143" t="s">
        <v>348</v>
      </c>
      <c r="B175">
        <v>92</v>
      </c>
    </row>
    <row r="176" spans="1:2">
      <c r="A176" s="143" t="s">
        <v>349</v>
      </c>
      <c r="B176">
        <v>110</v>
      </c>
    </row>
    <row r="177" spans="1:2">
      <c r="A177" s="143" t="s">
        <v>350</v>
      </c>
      <c r="B177">
        <v>106</v>
      </c>
    </row>
    <row r="178" spans="1:2">
      <c r="A178" s="143" t="s">
        <v>351</v>
      </c>
      <c r="B178">
        <v>117</v>
      </c>
    </row>
    <row r="179" spans="1:2">
      <c r="A179" s="143" t="s">
        <v>352</v>
      </c>
      <c r="B179">
        <v>100</v>
      </c>
    </row>
    <row r="180" spans="1:2">
      <c r="A180" s="143" t="s">
        <v>353</v>
      </c>
      <c r="B180">
        <v>104</v>
      </c>
    </row>
    <row r="181" spans="1:2">
      <c r="A181" s="143" t="s">
        <v>354</v>
      </c>
      <c r="B181">
        <v>98</v>
      </c>
    </row>
    <row r="182" spans="1:2">
      <c r="A182" s="143" t="s">
        <v>355</v>
      </c>
      <c r="B182">
        <v>120</v>
      </c>
    </row>
    <row r="183" spans="1:2">
      <c r="A183" s="143" t="s">
        <v>356</v>
      </c>
      <c r="B183">
        <v>107</v>
      </c>
    </row>
    <row r="184" spans="1:2">
      <c r="A184" s="143" t="s">
        <v>357</v>
      </c>
      <c r="B184">
        <v>95</v>
      </c>
    </row>
    <row r="185" spans="1:2">
      <c r="A185" s="143" t="s">
        <v>358</v>
      </c>
      <c r="B185">
        <v>83</v>
      </c>
    </row>
    <row r="186" spans="1:2">
      <c r="A186" s="143" t="s">
        <v>359</v>
      </c>
      <c r="B186">
        <v>93</v>
      </c>
    </row>
    <row r="187" spans="1:2">
      <c r="A187" s="143" t="s">
        <v>360</v>
      </c>
      <c r="B187">
        <v>1265</v>
      </c>
    </row>
    <row r="188" spans="1:2">
      <c r="A188" s="143" t="s">
        <v>361</v>
      </c>
      <c r="B188">
        <v>91</v>
      </c>
    </row>
    <row r="189" spans="1:2">
      <c r="A189" s="143" t="s">
        <v>362</v>
      </c>
      <c r="B189">
        <v>97</v>
      </c>
    </row>
    <row r="190" spans="1:2">
      <c r="A190" s="143" t="s">
        <v>363</v>
      </c>
      <c r="B190">
        <v>115</v>
      </c>
    </row>
    <row r="191" spans="1:2">
      <c r="A191" s="143" t="s">
        <v>364</v>
      </c>
      <c r="B191">
        <v>96</v>
      </c>
    </row>
    <row r="192" spans="1:2">
      <c r="A192" s="143" t="s">
        <v>365</v>
      </c>
      <c r="B192">
        <v>83</v>
      </c>
    </row>
    <row r="193" spans="1:2">
      <c r="A193" s="143" t="s">
        <v>366</v>
      </c>
      <c r="B193">
        <v>89</v>
      </c>
    </row>
    <row r="194" spans="1:2">
      <c r="A194" s="143" t="s">
        <v>367</v>
      </c>
      <c r="B194">
        <v>92</v>
      </c>
    </row>
    <row r="195" spans="1:2">
      <c r="A195" s="143" t="s">
        <v>368</v>
      </c>
      <c r="B195">
        <v>96</v>
      </c>
    </row>
    <row r="196" spans="1:2">
      <c r="A196" s="143" t="s">
        <v>369</v>
      </c>
      <c r="B196">
        <v>88</v>
      </c>
    </row>
    <row r="197" spans="1:2">
      <c r="A197" s="143" t="s">
        <v>370</v>
      </c>
      <c r="B197">
        <v>102</v>
      </c>
    </row>
    <row r="198" spans="1:2">
      <c r="A198" s="143" t="s">
        <v>371</v>
      </c>
      <c r="B198">
        <v>103</v>
      </c>
    </row>
    <row r="199" spans="1:2">
      <c r="A199" s="143" t="s">
        <v>372</v>
      </c>
      <c r="B199">
        <v>100</v>
      </c>
    </row>
    <row r="200" spans="1:2">
      <c r="A200" s="143" t="s">
        <v>373</v>
      </c>
      <c r="B200">
        <v>91</v>
      </c>
    </row>
    <row r="201" spans="1:2">
      <c r="A201" s="143" t="s">
        <v>374</v>
      </c>
      <c r="B201">
        <v>93</v>
      </c>
    </row>
    <row r="202" spans="1:2">
      <c r="A202" s="143" t="s">
        <v>375</v>
      </c>
      <c r="B202">
        <v>89</v>
      </c>
    </row>
    <row r="203" spans="1:2">
      <c r="A203" s="143" t="s">
        <v>376</v>
      </c>
    </row>
    <row r="204" spans="1:2">
      <c r="A204" s="143" t="s">
        <v>377</v>
      </c>
      <c r="B204">
        <v>93</v>
      </c>
    </row>
    <row r="205" spans="1:2">
      <c r="A205" s="143" t="s">
        <v>378</v>
      </c>
      <c r="B205">
        <v>121</v>
      </c>
    </row>
    <row r="206" spans="1:2">
      <c r="A206" s="143" t="s">
        <v>379</v>
      </c>
      <c r="B206">
        <v>120</v>
      </c>
    </row>
    <row r="207" spans="1:2">
      <c r="A207" s="143" t="s">
        <v>380</v>
      </c>
      <c r="B207">
        <v>121</v>
      </c>
    </row>
    <row r="208" spans="1:2">
      <c r="A208" s="143" t="s">
        <v>381</v>
      </c>
      <c r="B208">
        <v>84</v>
      </c>
    </row>
    <row r="209" spans="1:2">
      <c r="A209" s="143" t="s">
        <v>382</v>
      </c>
      <c r="B209">
        <v>105</v>
      </c>
    </row>
    <row r="210" spans="1:2">
      <c r="A210" s="143" t="s">
        <v>383</v>
      </c>
      <c r="B210">
        <v>109</v>
      </c>
    </row>
    <row r="211" spans="1:2">
      <c r="A211" s="4" t="s">
        <v>104</v>
      </c>
      <c r="B211">
        <v>4595</v>
      </c>
    </row>
    <row r="212" spans="1:2">
      <c r="A212" s="143" t="s">
        <v>343</v>
      </c>
      <c r="B212">
        <v>94</v>
      </c>
    </row>
    <row r="213" spans="1:2">
      <c r="A213" s="143" t="s">
        <v>344</v>
      </c>
      <c r="B213">
        <v>94</v>
      </c>
    </row>
    <row r="214" spans="1:2">
      <c r="A214" s="143" t="s">
        <v>345</v>
      </c>
      <c r="B214">
        <v>96</v>
      </c>
    </row>
    <row r="215" spans="1:2">
      <c r="A215" s="143" t="s">
        <v>346</v>
      </c>
      <c r="B215">
        <v>97</v>
      </c>
    </row>
    <row r="216" spans="1:2">
      <c r="A216" s="143" t="s">
        <v>347</v>
      </c>
      <c r="B216">
        <v>121</v>
      </c>
    </row>
    <row r="217" spans="1:2">
      <c r="A217" s="143" t="s">
        <v>348</v>
      </c>
      <c r="B217">
        <v>96</v>
      </c>
    </row>
    <row r="218" spans="1:2">
      <c r="A218" s="143" t="s">
        <v>349</v>
      </c>
      <c r="B218">
        <v>101</v>
      </c>
    </row>
    <row r="219" spans="1:2">
      <c r="A219" s="143" t="s">
        <v>350</v>
      </c>
      <c r="B219">
        <v>95</v>
      </c>
    </row>
    <row r="220" spans="1:2">
      <c r="A220" s="143" t="s">
        <v>351</v>
      </c>
      <c r="B220">
        <v>98</v>
      </c>
    </row>
    <row r="221" spans="1:2">
      <c r="A221" s="143" t="s">
        <v>352</v>
      </c>
    </row>
    <row r="222" spans="1:2">
      <c r="A222" s="143" t="s">
        <v>353</v>
      </c>
      <c r="B222">
        <v>78</v>
      </c>
    </row>
    <row r="223" spans="1:2">
      <c r="A223" s="143" t="s">
        <v>354</v>
      </c>
      <c r="B223">
        <v>96</v>
      </c>
    </row>
    <row r="224" spans="1:2">
      <c r="A224" s="143" t="s">
        <v>355</v>
      </c>
      <c r="B224">
        <v>97</v>
      </c>
    </row>
    <row r="225" spans="1:2">
      <c r="A225" s="143" t="s">
        <v>356</v>
      </c>
      <c r="B225">
        <v>93</v>
      </c>
    </row>
    <row r="226" spans="1:2">
      <c r="A226" s="143" t="s">
        <v>357</v>
      </c>
      <c r="B226">
        <v>123</v>
      </c>
    </row>
    <row r="227" spans="1:2">
      <c r="A227" s="143" t="s">
        <v>358</v>
      </c>
      <c r="B227">
        <v>82</v>
      </c>
    </row>
    <row r="228" spans="1:2">
      <c r="A228" s="143" t="s">
        <v>359</v>
      </c>
      <c r="B228">
        <v>82</v>
      </c>
    </row>
    <row r="229" spans="1:2">
      <c r="A229" s="143" t="s">
        <v>360</v>
      </c>
      <c r="B229">
        <v>122</v>
      </c>
    </row>
    <row r="230" spans="1:2">
      <c r="A230" s="143" t="s">
        <v>361</v>
      </c>
      <c r="B230">
        <v>103</v>
      </c>
    </row>
    <row r="231" spans="1:2">
      <c r="A231" s="143" t="s">
        <v>362</v>
      </c>
      <c r="B231">
        <v>116</v>
      </c>
    </row>
    <row r="232" spans="1:2">
      <c r="A232" s="143" t="s">
        <v>363</v>
      </c>
      <c r="B232">
        <v>105</v>
      </c>
    </row>
    <row r="233" spans="1:2">
      <c r="A233" s="143" t="s">
        <v>364</v>
      </c>
      <c r="B233">
        <v>103</v>
      </c>
    </row>
    <row r="234" spans="1:2">
      <c r="A234" s="143" t="s">
        <v>365</v>
      </c>
      <c r="B234">
        <v>102</v>
      </c>
    </row>
    <row r="235" spans="1:2">
      <c r="A235" s="143" t="s">
        <v>366</v>
      </c>
      <c r="B235">
        <v>118</v>
      </c>
    </row>
    <row r="236" spans="1:2">
      <c r="A236" s="143" t="s">
        <v>367</v>
      </c>
      <c r="B236">
        <v>108</v>
      </c>
    </row>
    <row r="237" spans="1:2">
      <c r="A237" s="143" t="s">
        <v>368</v>
      </c>
      <c r="B237">
        <v>97</v>
      </c>
    </row>
    <row r="238" spans="1:2">
      <c r="A238" s="143" t="s">
        <v>369</v>
      </c>
      <c r="B238">
        <v>920</v>
      </c>
    </row>
    <row r="239" spans="1:2">
      <c r="A239" s="143" t="s">
        <v>370</v>
      </c>
      <c r="B239">
        <v>99</v>
      </c>
    </row>
    <row r="240" spans="1:2">
      <c r="A240" s="143" t="s">
        <v>371</v>
      </c>
      <c r="B240">
        <v>79</v>
      </c>
    </row>
    <row r="241" spans="1:2">
      <c r="A241" s="143" t="s">
        <v>372</v>
      </c>
      <c r="B241">
        <v>81</v>
      </c>
    </row>
    <row r="242" spans="1:2">
      <c r="A242" s="143" t="s">
        <v>373</v>
      </c>
      <c r="B242">
        <v>110</v>
      </c>
    </row>
    <row r="243" spans="1:2">
      <c r="A243" s="143" t="s">
        <v>374</v>
      </c>
      <c r="B243">
        <v>103</v>
      </c>
    </row>
    <row r="244" spans="1:2">
      <c r="A244" s="143" t="s">
        <v>375</v>
      </c>
      <c r="B244">
        <v>86</v>
      </c>
    </row>
    <row r="245" spans="1:2">
      <c r="A245" s="143" t="s">
        <v>376</v>
      </c>
    </row>
    <row r="246" spans="1:2">
      <c r="A246" s="143" t="s">
        <v>377</v>
      </c>
    </row>
    <row r="247" spans="1:2">
      <c r="A247" s="143" t="s">
        <v>378</v>
      </c>
      <c r="B247">
        <v>95</v>
      </c>
    </row>
    <row r="248" spans="1:2">
      <c r="A248" s="143" t="s">
        <v>379</v>
      </c>
      <c r="B248">
        <v>108</v>
      </c>
    </row>
    <row r="249" spans="1:2">
      <c r="A249" s="143" t="s">
        <v>380</v>
      </c>
      <c r="B249">
        <v>103</v>
      </c>
    </row>
    <row r="250" spans="1:2">
      <c r="A250" s="143" t="s">
        <v>381</v>
      </c>
      <c r="B250">
        <v>93</v>
      </c>
    </row>
    <row r="251" spans="1:2">
      <c r="A251" s="143" t="s">
        <v>382</v>
      </c>
      <c r="B251">
        <v>93</v>
      </c>
    </row>
    <row r="252" spans="1:2">
      <c r="A252" s="143" t="s">
        <v>383</v>
      </c>
      <c r="B252">
        <v>108</v>
      </c>
    </row>
    <row r="253" spans="1:2">
      <c r="A253" s="4" t="s">
        <v>105</v>
      </c>
      <c r="B253">
        <v>4072</v>
      </c>
    </row>
    <row r="254" spans="1:2">
      <c r="A254" s="143" t="s">
        <v>343</v>
      </c>
      <c r="B254">
        <v>98</v>
      </c>
    </row>
    <row r="255" spans="1:2">
      <c r="A255" s="143" t="s">
        <v>344</v>
      </c>
      <c r="B255">
        <v>101</v>
      </c>
    </row>
    <row r="256" spans="1:2">
      <c r="A256" s="143" t="s">
        <v>345</v>
      </c>
      <c r="B256">
        <v>113</v>
      </c>
    </row>
    <row r="257" spans="1:2">
      <c r="A257" s="143" t="s">
        <v>346</v>
      </c>
    </row>
    <row r="258" spans="1:2">
      <c r="A258" s="143" t="s">
        <v>347</v>
      </c>
      <c r="B258">
        <v>100</v>
      </c>
    </row>
    <row r="259" spans="1:2">
      <c r="A259" s="143" t="s">
        <v>348</v>
      </c>
      <c r="B259">
        <v>104</v>
      </c>
    </row>
    <row r="260" spans="1:2">
      <c r="A260" s="143" t="s">
        <v>349</v>
      </c>
      <c r="B260">
        <v>84</v>
      </c>
    </row>
    <row r="261" spans="1:2">
      <c r="A261" s="143" t="s">
        <v>350</v>
      </c>
      <c r="B261">
        <v>104</v>
      </c>
    </row>
    <row r="262" spans="1:2">
      <c r="A262" s="143" t="s">
        <v>351</v>
      </c>
      <c r="B262">
        <v>94</v>
      </c>
    </row>
    <row r="263" spans="1:2">
      <c r="A263" s="143" t="s">
        <v>352</v>
      </c>
      <c r="B263">
        <v>106</v>
      </c>
    </row>
    <row r="264" spans="1:2">
      <c r="A264" s="143" t="s">
        <v>353</v>
      </c>
      <c r="B264">
        <v>101</v>
      </c>
    </row>
    <row r="265" spans="1:2">
      <c r="A265" s="143" t="s">
        <v>354</v>
      </c>
      <c r="B265">
        <v>76</v>
      </c>
    </row>
    <row r="266" spans="1:2">
      <c r="A266" s="143" t="s">
        <v>355</v>
      </c>
      <c r="B266">
        <v>99</v>
      </c>
    </row>
    <row r="267" spans="1:2">
      <c r="A267" s="143" t="s">
        <v>356</v>
      </c>
      <c r="B267">
        <v>108</v>
      </c>
    </row>
    <row r="268" spans="1:2">
      <c r="A268" s="143" t="s">
        <v>357</v>
      </c>
      <c r="B268">
        <v>104</v>
      </c>
    </row>
    <row r="269" spans="1:2">
      <c r="A269" s="143" t="s">
        <v>358</v>
      </c>
      <c r="B269">
        <v>106</v>
      </c>
    </row>
    <row r="270" spans="1:2">
      <c r="A270" s="143" t="s">
        <v>359</v>
      </c>
      <c r="B270">
        <v>104</v>
      </c>
    </row>
    <row r="271" spans="1:2">
      <c r="A271" s="143" t="s">
        <v>360</v>
      </c>
      <c r="B271">
        <v>103</v>
      </c>
    </row>
    <row r="272" spans="1:2">
      <c r="A272" s="143" t="s">
        <v>361</v>
      </c>
      <c r="B272">
        <v>86</v>
      </c>
    </row>
    <row r="273" spans="1:2">
      <c r="A273" s="143" t="s">
        <v>362</v>
      </c>
      <c r="B273">
        <v>100</v>
      </c>
    </row>
    <row r="274" spans="1:2">
      <c r="A274" s="143" t="s">
        <v>363</v>
      </c>
      <c r="B274">
        <v>90</v>
      </c>
    </row>
    <row r="275" spans="1:2">
      <c r="A275" s="143" t="s">
        <v>364</v>
      </c>
      <c r="B275">
        <v>99</v>
      </c>
    </row>
    <row r="276" spans="1:2">
      <c r="A276" s="143" t="s">
        <v>365</v>
      </c>
      <c r="B276">
        <v>98</v>
      </c>
    </row>
    <row r="277" spans="1:2">
      <c r="A277" s="143" t="s">
        <v>366</v>
      </c>
      <c r="B277">
        <v>102</v>
      </c>
    </row>
    <row r="278" spans="1:2">
      <c r="A278" s="143" t="s">
        <v>367</v>
      </c>
      <c r="B278">
        <v>99</v>
      </c>
    </row>
    <row r="279" spans="1:2">
      <c r="A279" s="143" t="s">
        <v>368</v>
      </c>
      <c r="B279">
        <v>98</v>
      </c>
    </row>
    <row r="280" spans="1:2">
      <c r="A280" s="143" t="s">
        <v>369</v>
      </c>
      <c r="B280">
        <v>108</v>
      </c>
    </row>
    <row r="281" spans="1:2">
      <c r="A281" s="143" t="s">
        <v>370</v>
      </c>
      <c r="B281">
        <v>88</v>
      </c>
    </row>
    <row r="282" spans="1:2">
      <c r="A282" s="143" t="s">
        <v>371</v>
      </c>
      <c r="B282">
        <v>110</v>
      </c>
    </row>
    <row r="283" spans="1:2">
      <c r="A283" s="143" t="s">
        <v>372</v>
      </c>
      <c r="B283">
        <v>91</v>
      </c>
    </row>
    <row r="284" spans="1:2">
      <c r="A284" s="143" t="s">
        <v>373</v>
      </c>
      <c r="B284">
        <v>104</v>
      </c>
    </row>
    <row r="285" spans="1:2">
      <c r="A285" s="143" t="s">
        <v>374</v>
      </c>
    </row>
    <row r="286" spans="1:2">
      <c r="A286" s="143" t="s">
        <v>375</v>
      </c>
      <c r="B286">
        <v>93</v>
      </c>
    </row>
    <row r="287" spans="1:2">
      <c r="A287" s="143" t="s">
        <v>376</v>
      </c>
      <c r="B287">
        <v>102</v>
      </c>
    </row>
    <row r="288" spans="1:2">
      <c r="A288" s="143" t="s">
        <v>377</v>
      </c>
      <c r="B288">
        <v>239</v>
      </c>
    </row>
    <row r="289" spans="1:2">
      <c r="A289" s="143" t="s">
        <v>378</v>
      </c>
      <c r="B289">
        <v>91</v>
      </c>
    </row>
    <row r="290" spans="1:2">
      <c r="A290" s="143" t="s">
        <v>379</v>
      </c>
      <c r="B290">
        <v>99</v>
      </c>
    </row>
    <row r="291" spans="1:2">
      <c r="A291" s="143" t="s">
        <v>380</v>
      </c>
      <c r="B291">
        <v>121</v>
      </c>
    </row>
    <row r="292" spans="1:2">
      <c r="A292" s="143" t="s">
        <v>381</v>
      </c>
      <c r="B292">
        <v>113</v>
      </c>
    </row>
    <row r="293" spans="1:2">
      <c r="A293" s="143" t="s">
        <v>382</v>
      </c>
      <c r="B293">
        <v>109</v>
      </c>
    </row>
    <row r="294" spans="1:2">
      <c r="A294" s="143" t="s">
        <v>383</v>
      </c>
      <c r="B294">
        <v>127</v>
      </c>
    </row>
    <row r="295" spans="1:2">
      <c r="A295" s="4" t="s">
        <v>106</v>
      </c>
      <c r="B295">
        <v>4909</v>
      </c>
    </row>
    <row r="296" spans="1:2">
      <c r="A296" s="143" t="s">
        <v>343</v>
      </c>
      <c r="B296">
        <v>103</v>
      </c>
    </row>
    <row r="297" spans="1:2">
      <c r="A297" s="143" t="s">
        <v>344</v>
      </c>
      <c r="B297">
        <v>103</v>
      </c>
    </row>
    <row r="298" spans="1:2">
      <c r="A298" s="143" t="s">
        <v>345</v>
      </c>
      <c r="B298">
        <v>95</v>
      </c>
    </row>
    <row r="299" spans="1:2">
      <c r="A299" s="143" t="s">
        <v>346</v>
      </c>
      <c r="B299">
        <v>94</v>
      </c>
    </row>
    <row r="300" spans="1:2">
      <c r="A300" s="143" t="s">
        <v>347</v>
      </c>
      <c r="B300">
        <v>96</v>
      </c>
    </row>
    <row r="301" spans="1:2">
      <c r="A301" s="143" t="s">
        <v>348</v>
      </c>
      <c r="B301">
        <v>84</v>
      </c>
    </row>
    <row r="302" spans="1:2">
      <c r="A302" s="143" t="s">
        <v>349</v>
      </c>
      <c r="B302">
        <v>115</v>
      </c>
    </row>
    <row r="303" spans="1:2">
      <c r="A303" s="143" t="s">
        <v>350</v>
      </c>
      <c r="B303">
        <v>105</v>
      </c>
    </row>
    <row r="304" spans="1:2">
      <c r="A304" s="143" t="s">
        <v>351</v>
      </c>
      <c r="B304">
        <v>112</v>
      </c>
    </row>
    <row r="305" spans="1:2">
      <c r="A305" s="143" t="s">
        <v>352</v>
      </c>
      <c r="B305">
        <v>114</v>
      </c>
    </row>
    <row r="306" spans="1:2">
      <c r="A306" s="143" t="s">
        <v>353</v>
      </c>
      <c r="B306">
        <v>100</v>
      </c>
    </row>
    <row r="307" spans="1:2">
      <c r="A307" s="143" t="s">
        <v>354</v>
      </c>
      <c r="B307">
        <v>211</v>
      </c>
    </row>
    <row r="308" spans="1:2">
      <c r="A308" s="143" t="s">
        <v>355</v>
      </c>
      <c r="B308">
        <v>120</v>
      </c>
    </row>
    <row r="309" spans="1:2">
      <c r="A309" s="143" t="s">
        <v>356</v>
      </c>
      <c r="B309">
        <v>96</v>
      </c>
    </row>
    <row r="310" spans="1:2">
      <c r="A310" s="143" t="s">
        <v>357</v>
      </c>
      <c r="B310">
        <v>94</v>
      </c>
    </row>
    <row r="311" spans="1:2">
      <c r="A311" s="143" t="s">
        <v>358</v>
      </c>
      <c r="B311">
        <v>96</v>
      </c>
    </row>
    <row r="312" spans="1:2">
      <c r="A312" s="143" t="s">
        <v>359</v>
      </c>
      <c r="B312">
        <v>99</v>
      </c>
    </row>
    <row r="313" spans="1:2">
      <c r="A313" s="143" t="s">
        <v>360</v>
      </c>
      <c r="B313">
        <v>119</v>
      </c>
    </row>
    <row r="314" spans="1:2">
      <c r="A314" s="143" t="s">
        <v>361</v>
      </c>
      <c r="B314">
        <v>101</v>
      </c>
    </row>
    <row r="315" spans="1:2">
      <c r="A315" s="143" t="s">
        <v>362</v>
      </c>
      <c r="B315">
        <v>97</v>
      </c>
    </row>
    <row r="316" spans="1:2">
      <c r="A316" s="143" t="s">
        <v>363</v>
      </c>
      <c r="B316">
        <v>89</v>
      </c>
    </row>
    <row r="317" spans="1:2">
      <c r="A317" s="143" t="s">
        <v>364</v>
      </c>
    </row>
    <row r="318" spans="1:2">
      <c r="A318" s="143" t="s">
        <v>365</v>
      </c>
      <c r="B318">
        <v>93</v>
      </c>
    </row>
    <row r="319" spans="1:2">
      <c r="A319" s="143" t="s">
        <v>366</v>
      </c>
      <c r="B319">
        <v>108</v>
      </c>
    </row>
    <row r="320" spans="1:2">
      <c r="A320" s="143" t="s">
        <v>367</v>
      </c>
      <c r="B320">
        <v>95</v>
      </c>
    </row>
    <row r="321" spans="1:2">
      <c r="A321" s="143" t="s">
        <v>368</v>
      </c>
      <c r="B321">
        <v>990</v>
      </c>
    </row>
    <row r="322" spans="1:2">
      <c r="A322" s="143" t="s">
        <v>369</v>
      </c>
    </row>
    <row r="323" spans="1:2">
      <c r="A323" s="143" t="s">
        <v>370</v>
      </c>
      <c r="B323">
        <v>100</v>
      </c>
    </row>
    <row r="324" spans="1:2">
      <c r="A324" s="143" t="s">
        <v>371</v>
      </c>
      <c r="B324">
        <v>95</v>
      </c>
    </row>
    <row r="325" spans="1:2">
      <c r="A325" s="143" t="s">
        <v>372</v>
      </c>
      <c r="B325">
        <v>90</v>
      </c>
    </row>
    <row r="326" spans="1:2">
      <c r="A326" s="143" t="s">
        <v>373</v>
      </c>
      <c r="B326">
        <v>85</v>
      </c>
    </row>
    <row r="327" spans="1:2">
      <c r="A327" s="143" t="s">
        <v>374</v>
      </c>
      <c r="B327">
        <v>101</v>
      </c>
    </row>
    <row r="328" spans="1:2">
      <c r="A328" s="143" t="s">
        <v>375</v>
      </c>
      <c r="B328">
        <v>104</v>
      </c>
    </row>
    <row r="329" spans="1:2">
      <c r="A329" s="143" t="s">
        <v>376</v>
      </c>
      <c r="B329">
        <v>107</v>
      </c>
    </row>
    <row r="330" spans="1:2">
      <c r="A330" s="143" t="s">
        <v>377</v>
      </c>
      <c r="B330">
        <v>90</v>
      </c>
    </row>
    <row r="331" spans="1:2">
      <c r="A331" s="143" t="s">
        <v>378</v>
      </c>
      <c r="B331">
        <v>82</v>
      </c>
    </row>
    <row r="332" spans="1:2">
      <c r="A332" s="143" t="s">
        <v>379</v>
      </c>
      <c r="B332">
        <v>108</v>
      </c>
    </row>
    <row r="333" spans="1:2">
      <c r="A333" s="143" t="s">
        <v>380</v>
      </c>
      <c r="B333">
        <v>103</v>
      </c>
    </row>
    <row r="334" spans="1:2">
      <c r="A334" s="143" t="s">
        <v>381</v>
      </c>
      <c r="B334">
        <v>105</v>
      </c>
    </row>
    <row r="335" spans="1:2">
      <c r="A335" s="143" t="s">
        <v>382</v>
      </c>
      <c r="B335">
        <v>106</v>
      </c>
    </row>
    <row r="336" spans="1:2">
      <c r="A336" s="143" t="s">
        <v>383</v>
      </c>
      <c r="B336">
        <v>104</v>
      </c>
    </row>
    <row r="337" spans="1:2">
      <c r="A337" s="4" t="s">
        <v>107</v>
      </c>
      <c r="B337">
        <v>4769</v>
      </c>
    </row>
    <row r="338" spans="1:2">
      <c r="A338" s="143" t="s">
        <v>343</v>
      </c>
      <c r="B338">
        <v>94</v>
      </c>
    </row>
    <row r="339" spans="1:2">
      <c r="A339" s="143" t="s">
        <v>344</v>
      </c>
      <c r="B339">
        <v>84</v>
      </c>
    </row>
    <row r="340" spans="1:2">
      <c r="A340" s="143" t="s">
        <v>345</v>
      </c>
      <c r="B340">
        <v>94</v>
      </c>
    </row>
    <row r="341" spans="1:2">
      <c r="A341" s="143" t="s">
        <v>346</v>
      </c>
      <c r="B341">
        <v>118</v>
      </c>
    </row>
    <row r="342" spans="1:2">
      <c r="A342" s="143" t="s">
        <v>347</v>
      </c>
      <c r="B342">
        <v>127</v>
      </c>
    </row>
    <row r="343" spans="1:2">
      <c r="A343" s="143" t="s">
        <v>348</v>
      </c>
      <c r="B343">
        <v>95</v>
      </c>
    </row>
    <row r="344" spans="1:2">
      <c r="A344" s="143" t="s">
        <v>349</v>
      </c>
      <c r="B344">
        <v>95</v>
      </c>
    </row>
    <row r="345" spans="1:2">
      <c r="A345" s="143" t="s">
        <v>350</v>
      </c>
      <c r="B345">
        <v>84</v>
      </c>
    </row>
    <row r="346" spans="1:2">
      <c r="A346" s="143" t="s">
        <v>351</v>
      </c>
      <c r="B346">
        <v>89</v>
      </c>
    </row>
    <row r="347" spans="1:2">
      <c r="A347" s="143" t="s">
        <v>352</v>
      </c>
      <c r="B347">
        <v>96</v>
      </c>
    </row>
    <row r="348" spans="1:2">
      <c r="A348" s="143" t="s">
        <v>353</v>
      </c>
      <c r="B348">
        <v>109</v>
      </c>
    </row>
    <row r="349" spans="1:2">
      <c r="A349" s="143" t="s">
        <v>354</v>
      </c>
      <c r="B349">
        <v>100</v>
      </c>
    </row>
    <row r="350" spans="1:2">
      <c r="A350" s="143" t="s">
        <v>355</v>
      </c>
      <c r="B350">
        <v>90</v>
      </c>
    </row>
    <row r="351" spans="1:2">
      <c r="A351" s="143" t="s">
        <v>356</v>
      </c>
      <c r="B351">
        <v>95</v>
      </c>
    </row>
    <row r="352" spans="1:2">
      <c r="A352" s="143" t="s">
        <v>357</v>
      </c>
      <c r="B352">
        <v>105</v>
      </c>
    </row>
    <row r="353" spans="1:2">
      <c r="A353" s="143" t="s">
        <v>358</v>
      </c>
      <c r="B353">
        <v>96</v>
      </c>
    </row>
    <row r="354" spans="1:2">
      <c r="A354" s="143" t="s">
        <v>359</v>
      </c>
      <c r="B354">
        <v>102</v>
      </c>
    </row>
    <row r="355" spans="1:2">
      <c r="A355" s="143" t="s">
        <v>360</v>
      </c>
      <c r="B355">
        <v>76</v>
      </c>
    </row>
    <row r="356" spans="1:2">
      <c r="A356" s="143" t="s">
        <v>361</v>
      </c>
      <c r="B356">
        <v>101</v>
      </c>
    </row>
    <row r="357" spans="1:2">
      <c r="A357" s="143" t="s">
        <v>362</v>
      </c>
      <c r="B357">
        <v>100</v>
      </c>
    </row>
    <row r="358" spans="1:2">
      <c r="A358" s="143" t="s">
        <v>363</v>
      </c>
      <c r="B358">
        <v>89</v>
      </c>
    </row>
    <row r="359" spans="1:2">
      <c r="A359" s="143" t="s">
        <v>364</v>
      </c>
      <c r="B359">
        <v>106</v>
      </c>
    </row>
    <row r="360" spans="1:2">
      <c r="A360" s="143" t="s">
        <v>365</v>
      </c>
      <c r="B360">
        <v>104</v>
      </c>
    </row>
    <row r="361" spans="1:2">
      <c r="A361" s="143" t="s">
        <v>366</v>
      </c>
      <c r="B361">
        <v>95</v>
      </c>
    </row>
    <row r="362" spans="1:2">
      <c r="A362" s="143" t="s">
        <v>367</v>
      </c>
      <c r="B362">
        <v>86</v>
      </c>
    </row>
    <row r="363" spans="1:2">
      <c r="A363" s="143" t="s">
        <v>368</v>
      </c>
      <c r="B363">
        <v>108</v>
      </c>
    </row>
    <row r="364" spans="1:2">
      <c r="A364" s="143" t="s">
        <v>369</v>
      </c>
      <c r="B364">
        <v>86</v>
      </c>
    </row>
    <row r="365" spans="1:2">
      <c r="A365" s="143" t="s">
        <v>370</v>
      </c>
    </row>
    <row r="366" spans="1:2">
      <c r="A366" s="143" t="s">
        <v>371</v>
      </c>
      <c r="B366">
        <v>101</v>
      </c>
    </row>
    <row r="367" spans="1:2">
      <c r="A367" s="143" t="s">
        <v>372</v>
      </c>
      <c r="B367">
        <v>102</v>
      </c>
    </row>
    <row r="368" spans="1:2">
      <c r="A368" s="143" t="s">
        <v>373</v>
      </c>
      <c r="B368">
        <v>107</v>
      </c>
    </row>
    <row r="369" spans="1:2">
      <c r="A369" s="143" t="s">
        <v>374</v>
      </c>
      <c r="B369">
        <v>94</v>
      </c>
    </row>
    <row r="370" spans="1:2">
      <c r="A370" s="143" t="s">
        <v>375</v>
      </c>
      <c r="B370">
        <v>91</v>
      </c>
    </row>
    <row r="371" spans="1:2">
      <c r="A371" s="143" t="s">
        <v>376</v>
      </c>
      <c r="B371">
        <v>103</v>
      </c>
    </row>
    <row r="372" spans="1:2">
      <c r="A372" s="143" t="s">
        <v>377</v>
      </c>
      <c r="B372">
        <v>113</v>
      </c>
    </row>
    <row r="373" spans="1:2">
      <c r="A373" s="143" t="s">
        <v>378</v>
      </c>
      <c r="B373">
        <v>950</v>
      </c>
    </row>
    <row r="374" spans="1:2">
      <c r="A374" s="143" t="s">
        <v>379</v>
      </c>
      <c r="B374">
        <v>98</v>
      </c>
    </row>
    <row r="375" spans="1:2">
      <c r="A375" s="143" t="s">
        <v>380</v>
      </c>
      <c r="B375">
        <v>91</v>
      </c>
    </row>
    <row r="376" spans="1:2">
      <c r="A376" s="143" t="s">
        <v>381</v>
      </c>
      <c r="B376">
        <v>83</v>
      </c>
    </row>
    <row r="377" spans="1:2">
      <c r="A377" s="143" t="s">
        <v>382</v>
      </c>
      <c r="B377">
        <v>106</v>
      </c>
    </row>
    <row r="378" spans="1:2">
      <c r="A378" s="143" t="s">
        <v>383</v>
      </c>
      <c r="B378">
        <v>106</v>
      </c>
    </row>
    <row r="379" spans="1:2">
      <c r="A379" s="4" t="s">
        <v>108</v>
      </c>
      <c r="B379">
        <v>4290</v>
      </c>
    </row>
    <row r="380" spans="1:2">
      <c r="A380" s="143" t="s">
        <v>343</v>
      </c>
      <c r="B380">
        <v>99</v>
      </c>
    </row>
    <row r="381" spans="1:2">
      <c r="A381" s="143" t="s">
        <v>344</v>
      </c>
      <c r="B381">
        <v>76</v>
      </c>
    </row>
    <row r="382" spans="1:2">
      <c r="A382" s="143" t="s">
        <v>345</v>
      </c>
      <c r="B382">
        <v>107</v>
      </c>
    </row>
    <row r="383" spans="1:2">
      <c r="A383" s="143" t="s">
        <v>346</v>
      </c>
      <c r="B383">
        <v>104</v>
      </c>
    </row>
    <row r="384" spans="1:2">
      <c r="A384" s="143" t="s">
        <v>347</v>
      </c>
      <c r="B384">
        <v>100</v>
      </c>
    </row>
    <row r="385" spans="1:2">
      <c r="A385" s="143" t="s">
        <v>348</v>
      </c>
      <c r="B385">
        <v>205</v>
      </c>
    </row>
    <row r="386" spans="1:2">
      <c r="A386" s="143" t="s">
        <v>349</v>
      </c>
      <c r="B386">
        <v>114</v>
      </c>
    </row>
    <row r="387" spans="1:2">
      <c r="A387" s="143" t="s">
        <v>350</v>
      </c>
      <c r="B387">
        <v>93</v>
      </c>
    </row>
    <row r="388" spans="1:2">
      <c r="A388" s="143" t="s">
        <v>351</v>
      </c>
      <c r="B388">
        <v>119</v>
      </c>
    </row>
    <row r="389" spans="1:2">
      <c r="A389" s="143" t="s">
        <v>352</v>
      </c>
      <c r="B389">
        <v>102</v>
      </c>
    </row>
    <row r="390" spans="1:2">
      <c r="A390" s="143" t="s">
        <v>353</v>
      </c>
      <c r="B390">
        <v>98</v>
      </c>
    </row>
    <row r="391" spans="1:2">
      <c r="A391" s="143" t="s">
        <v>354</v>
      </c>
      <c r="B391">
        <v>89</v>
      </c>
    </row>
    <row r="392" spans="1:2">
      <c r="A392" s="143" t="s">
        <v>355</v>
      </c>
      <c r="B392">
        <v>85</v>
      </c>
    </row>
    <row r="393" spans="1:2">
      <c r="A393" s="143" t="s">
        <v>356</v>
      </c>
      <c r="B393">
        <v>112</v>
      </c>
    </row>
    <row r="394" spans="1:2">
      <c r="A394" s="143" t="s">
        <v>357</v>
      </c>
      <c r="B394">
        <v>109</v>
      </c>
    </row>
    <row r="395" spans="1:2">
      <c r="A395" s="143" t="s">
        <v>358</v>
      </c>
      <c r="B395">
        <v>109</v>
      </c>
    </row>
    <row r="396" spans="1:2">
      <c r="A396" s="143" t="s">
        <v>359</v>
      </c>
      <c r="B396">
        <v>76</v>
      </c>
    </row>
    <row r="397" spans="1:2">
      <c r="A397" s="143" t="s">
        <v>360</v>
      </c>
      <c r="B397">
        <v>96</v>
      </c>
    </row>
    <row r="398" spans="1:2">
      <c r="A398" s="143" t="s">
        <v>361</v>
      </c>
      <c r="B398">
        <v>101</v>
      </c>
    </row>
    <row r="399" spans="1:2">
      <c r="A399" s="143" t="s">
        <v>362</v>
      </c>
      <c r="B399">
        <v>99</v>
      </c>
    </row>
    <row r="400" spans="1:2">
      <c r="A400" s="143" t="s">
        <v>363</v>
      </c>
      <c r="B400">
        <v>86</v>
      </c>
    </row>
    <row r="401" spans="1:2">
      <c r="A401" s="143" t="s">
        <v>364</v>
      </c>
      <c r="B401">
        <v>100</v>
      </c>
    </row>
    <row r="402" spans="1:2">
      <c r="A402" s="143" t="s">
        <v>365</v>
      </c>
      <c r="B402">
        <v>96</v>
      </c>
    </row>
    <row r="403" spans="1:2">
      <c r="A403" s="143" t="s">
        <v>366</v>
      </c>
      <c r="B403">
        <v>100</v>
      </c>
    </row>
    <row r="404" spans="1:2">
      <c r="A404" s="143" t="s">
        <v>367</v>
      </c>
      <c r="B404">
        <v>120</v>
      </c>
    </row>
    <row r="405" spans="1:2">
      <c r="A405" s="143" t="s">
        <v>368</v>
      </c>
      <c r="B405">
        <v>92</v>
      </c>
    </row>
    <row r="406" spans="1:2">
      <c r="A406" s="143" t="s">
        <v>369</v>
      </c>
      <c r="B406">
        <v>87</v>
      </c>
    </row>
    <row r="407" spans="1:2">
      <c r="A407" s="143" t="s">
        <v>370</v>
      </c>
      <c r="B407">
        <v>106</v>
      </c>
    </row>
    <row r="408" spans="1:2">
      <c r="A408" s="143" t="s">
        <v>371</v>
      </c>
      <c r="B408">
        <v>202</v>
      </c>
    </row>
    <row r="409" spans="1:2">
      <c r="A409" s="143" t="s">
        <v>372</v>
      </c>
      <c r="B409">
        <v>109</v>
      </c>
    </row>
    <row r="410" spans="1:2">
      <c r="A410" s="143" t="s">
        <v>373</v>
      </c>
      <c r="B410">
        <v>111</v>
      </c>
    </row>
    <row r="411" spans="1:2">
      <c r="A411" s="143" t="s">
        <v>374</v>
      </c>
      <c r="B411">
        <v>108</v>
      </c>
    </row>
    <row r="412" spans="1:2">
      <c r="A412" s="143" t="s">
        <v>375</v>
      </c>
      <c r="B412">
        <v>113</v>
      </c>
    </row>
    <row r="413" spans="1:2">
      <c r="A413" s="143" t="s">
        <v>376</v>
      </c>
      <c r="B413">
        <v>100</v>
      </c>
    </row>
    <row r="414" spans="1:2">
      <c r="A414" s="143" t="s">
        <v>377</v>
      </c>
      <c r="B414">
        <v>110</v>
      </c>
    </row>
    <row r="415" spans="1:2">
      <c r="A415" s="143" t="s">
        <v>378</v>
      </c>
      <c r="B415">
        <v>81</v>
      </c>
    </row>
    <row r="416" spans="1:2">
      <c r="A416" s="143" t="s">
        <v>379</v>
      </c>
      <c r="B416">
        <v>92</v>
      </c>
    </row>
    <row r="417" spans="1:2">
      <c r="A417" s="143" t="s">
        <v>380</v>
      </c>
      <c r="B417">
        <v>91</v>
      </c>
    </row>
    <row r="418" spans="1:2">
      <c r="A418" s="143" t="s">
        <v>381</v>
      </c>
      <c r="B418">
        <v>96</v>
      </c>
    </row>
    <row r="419" spans="1:2">
      <c r="A419" s="143" t="s">
        <v>382</v>
      </c>
      <c r="B419">
        <v>103</v>
      </c>
    </row>
    <row r="420" spans="1:2">
      <c r="A420" s="143" t="s">
        <v>383</v>
      </c>
      <c r="B420">
        <v>94</v>
      </c>
    </row>
    <row r="421" spans="1:2">
      <c r="A421" s="4" t="s">
        <v>109</v>
      </c>
      <c r="B421">
        <v>4256</v>
      </c>
    </row>
    <row r="422" spans="1:2">
      <c r="A422" s="143" t="s">
        <v>343</v>
      </c>
      <c r="B422">
        <v>90</v>
      </c>
    </row>
    <row r="423" spans="1:2">
      <c r="A423" s="143" t="s">
        <v>344</v>
      </c>
      <c r="B423">
        <v>970</v>
      </c>
    </row>
    <row r="424" spans="1:2">
      <c r="A424" s="143" t="s">
        <v>345</v>
      </c>
      <c r="B424">
        <v>114</v>
      </c>
    </row>
    <row r="425" spans="1:2">
      <c r="A425" s="143" t="s">
        <v>346</v>
      </c>
    </row>
    <row r="426" spans="1:2">
      <c r="A426" s="143" t="s">
        <v>347</v>
      </c>
      <c r="B426">
        <v>93</v>
      </c>
    </row>
    <row r="427" spans="1:2">
      <c r="A427" s="143" t="s">
        <v>348</v>
      </c>
      <c r="B427">
        <v>104</v>
      </c>
    </row>
    <row r="428" spans="1:2">
      <c r="A428" s="143" t="s">
        <v>349</v>
      </c>
      <c r="B428">
        <v>104</v>
      </c>
    </row>
    <row r="429" spans="1:2">
      <c r="A429" s="143" t="s">
        <v>350</v>
      </c>
      <c r="B429">
        <v>115</v>
      </c>
    </row>
    <row r="430" spans="1:2">
      <c r="A430" s="143" t="s">
        <v>351</v>
      </c>
      <c r="B430">
        <v>102</v>
      </c>
    </row>
    <row r="431" spans="1:2">
      <c r="A431" s="143" t="s">
        <v>352</v>
      </c>
    </row>
    <row r="432" spans="1:2">
      <c r="A432" s="143" t="s">
        <v>353</v>
      </c>
      <c r="B432">
        <v>111</v>
      </c>
    </row>
    <row r="433" spans="1:2">
      <c r="A433" s="143" t="s">
        <v>354</v>
      </c>
    </row>
    <row r="434" spans="1:2">
      <c r="A434" s="143" t="s">
        <v>355</v>
      </c>
      <c r="B434">
        <v>84</v>
      </c>
    </row>
    <row r="435" spans="1:2">
      <c r="A435" s="143" t="s">
        <v>356</v>
      </c>
      <c r="B435">
        <v>108</v>
      </c>
    </row>
    <row r="436" spans="1:2">
      <c r="A436" s="143" t="s">
        <v>357</v>
      </c>
      <c r="B436">
        <v>84</v>
      </c>
    </row>
    <row r="437" spans="1:2">
      <c r="A437" s="143" t="s">
        <v>358</v>
      </c>
      <c r="B437">
        <v>98</v>
      </c>
    </row>
    <row r="438" spans="1:2">
      <c r="A438" s="143" t="s">
        <v>359</v>
      </c>
      <c r="B438">
        <v>99</v>
      </c>
    </row>
    <row r="439" spans="1:2">
      <c r="A439" s="143" t="s">
        <v>360</v>
      </c>
      <c r="B439">
        <v>103</v>
      </c>
    </row>
    <row r="440" spans="1:2">
      <c r="A440" s="143" t="s">
        <v>361</v>
      </c>
      <c r="B440">
        <v>113</v>
      </c>
    </row>
    <row r="441" spans="1:2">
      <c r="A441" s="143" t="s">
        <v>362</v>
      </c>
      <c r="B441">
        <v>100</v>
      </c>
    </row>
    <row r="442" spans="1:2">
      <c r="A442" s="143" t="s">
        <v>363</v>
      </c>
      <c r="B442">
        <v>91</v>
      </c>
    </row>
    <row r="443" spans="1:2">
      <c r="A443" s="143" t="s">
        <v>364</v>
      </c>
      <c r="B443">
        <v>85</v>
      </c>
    </row>
    <row r="444" spans="1:2">
      <c r="A444" s="143" t="s">
        <v>365</v>
      </c>
      <c r="B444">
        <v>103</v>
      </c>
    </row>
    <row r="445" spans="1:2">
      <c r="A445" s="143" t="s">
        <v>366</v>
      </c>
      <c r="B445">
        <v>86</v>
      </c>
    </row>
    <row r="446" spans="1:2">
      <c r="A446" s="143" t="s">
        <v>367</v>
      </c>
      <c r="B446">
        <v>81</v>
      </c>
    </row>
    <row r="447" spans="1:2">
      <c r="A447" s="143" t="s">
        <v>368</v>
      </c>
      <c r="B447">
        <v>97</v>
      </c>
    </row>
    <row r="448" spans="1:2">
      <c r="A448" s="143" t="s">
        <v>369</v>
      </c>
      <c r="B448">
        <v>109</v>
      </c>
    </row>
    <row r="449" spans="1:2">
      <c r="A449" s="143" t="s">
        <v>370</v>
      </c>
    </row>
    <row r="450" spans="1:2">
      <c r="A450" s="143" t="s">
        <v>371</v>
      </c>
      <c r="B450">
        <v>91</v>
      </c>
    </row>
    <row r="451" spans="1:2">
      <c r="A451" s="143" t="s">
        <v>372</v>
      </c>
      <c r="B451">
        <v>101</v>
      </c>
    </row>
    <row r="452" spans="1:2">
      <c r="A452" s="143" t="s">
        <v>373</v>
      </c>
    </row>
    <row r="453" spans="1:2">
      <c r="A453" s="143" t="s">
        <v>374</v>
      </c>
      <c r="B453">
        <v>113</v>
      </c>
    </row>
    <row r="454" spans="1:2">
      <c r="A454" s="143" t="s">
        <v>375</v>
      </c>
      <c r="B454">
        <v>103</v>
      </c>
    </row>
    <row r="455" spans="1:2">
      <c r="A455" s="143" t="s">
        <v>376</v>
      </c>
    </row>
    <row r="456" spans="1:2">
      <c r="A456" s="143" t="s">
        <v>377</v>
      </c>
      <c r="B456">
        <v>106</v>
      </c>
    </row>
    <row r="457" spans="1:2">
      <c r="A457" s="143" t="s">
        <v>378</v>
      </c>
      <c r="B457">
        <v>101</v>
      </c>
    </row>
    <row r="458" spans="1:2">
      <c r="A458" s="143" t="s">
        <v>379</v>
      </c>
      <c r="B458">
        <v>96</v>
      </c>
    </row>
    <row r="459" spans="1:2">
      <c r="A459" s="143" t="s">
        <v>380</v>
      </c>
    </row>
    <row r="460" spans="1:2">
      <c r="A460" s="143" t="s">
        <v>381</v>
      </c>
      <c r="B460">
        <v>107</v>
      </c>
    </row>
    <row r="461" spans="1:2">
      <c r="A461" s="143" t="s">
        <v>382</v>
      </c>
      <c r="B461">
        <v>113</v>
      </c>
    </row>
    <row r="462" spans="1:2">
      <c r="A462" s="143" t="s">
        <v>383</v>
      </c>
      <c r="B462">
        <v>81</v>
      </c>
    </row>
    <row r="463" spans="1:2">
      <c r="A463" s="4" t="s">
        <v>110</v>
      </c>
      <c r="B463">
        <v>5833</v>
      </c>
    </row>
    <row r="464" spans="1:2">
      <c r="A464" s="143" t="s">
        <v>343</v>
      </c>
      <c r="B464">
        <v>1030</v>
      </c>
    </row>
    <row r="465" spans="1:2">
      <c r="A465" s="143" t="s">
        <v>344</v>
      </c>
      <c r="B465">
        <v>111</v>
      </c>
    </row>
    <row r="466" spans="1:2">
      <c r="A466" s="143" t="s">
        <v>345</v>
      </c>
      <c r="B466">
        <v>86</v>
      </c>
    </row>
    <row r="467" spans="1:2">
      <c r="A467" s="143" t="s">
        <v>346</v>
      </c>
      <c r="B467">
        <v>115</v>
      </c>
    </row>
    <row r="468" spans="1:2">
      <c r="A468" s="143" t="s">
        <v>347</v>
      </c>
      <c r="B468">
        <v>103</v>
      </c>
    </row>
    <row r="469" spans="1:2">
      <c r="A469" s="143" t="s">
        <v>348</v>
      </c>
      <c r="B469">
        <v>106</v>
      </c>
    </row>
    <row r="470" spans="1:2">
      <c r="A470" s="143" t="s">
        <v>349</v>
      </c>
      <c r="B470">
        <v>89</v>
      </c>
    </row>
    <row r="471" spans="1:2">
      <c r="A471" s="143" t="s">
        <v>350</v>
      </c>
      <c r="B471">
        <v>109</v>
      </c>
    </row>
    <row r="472" spans="1:2">
      <c r="A472" s="143" t="s">
        <v>351</v>
      </c>
      <c r="B472">
        <v>87</v>
      </c>
    </row>
    <row r="473" spans="1:2">
      <c r="A473" s="143" t="s">
        <v>352</v>
      </c>
      <c r="B473">
        <v>93</v>
      </c>
    </row>
    <row r="474" spans="1:2">
      <c r="A474" s="143" t="s">
        <v>353</v>
      </c>
      <c r="B474">
        <v>97</v>
      </c>
    </row>
    <row r="475" spans="1:2">
      <c r="A475" s="143" t="s">
        <v>354</v>
      </c>
      <c r="B475">
        <v>104</v>
      </c>
    </row>
    <row r="476" spans="1:2">
      <c r="A476" s="143" t="s">
        <v>355</v>
      </c>
    </row>
    <row r="477" spans="1:2">
      <c r="A477" s="143" t="s">
        <v>356</v>
      </c>
      <c r="B477">
        <v>85</v>
      </c>
    </row>
    <row r="478" spans="1:2">
      <c r="A478" s="143" t="s">
        <v>357</v>
      </c>
      <c r="B478">
        <v>79</v>
      </c>
    </row>
    <row r="479" spans="1:2">
      <c r="A479" s="143" t="s">
        <v>358</v>
      </c>
      <c r="B479">
        <v>86</v>
      </c>
    </row>
    <row r="480" spans="1:2">
      <c r="A480" s="143" t="s">
        <v>359</v>
      </c>
      <c r="B480">
        <v>93</v>
      </c>
    </row>
    <row r="481" spans="1:2">
      <c r="A481" s="143" t="s">
        <v>360</v>
      </c>
      <c r="B481">
        <v>111</v>
      </c>
    </row>
    <row r="482" spans="1:2">
      <c r="A482" s="143" t="s">
        <v>361</v>
      </c>
      <c r="B482">
        <v>87</v>
      </c>
    </row>
    <row r="483" spans="1:2">
      <c r="A483" s="143" t="s">
        <v>362</v>
      </c>
      <c r="B483">
        <v>1040</v>
      </c>
    </row>
    <row r="484" spans="1:2">
      <c r="A484" s="143" t="s">
        <v>363</v>
      </c>
      <c r="B484">
        <v>100</v>
      </c>
    </row>
    <row r="485" spans="1:2">
      <c r="A485" s="143" t="s">
        <v>364</v>
      </c>
      <c r="B485">
        <v>101</v>
      </c>
    </row>
    <row r="486" spans="1:2">
      <c r="A486" s="143" t="s">
        <v>365</v>
      </c>
      <c r="B486">
        <v>177</v>
      </c>
    </row>
    <row r="487" spans="1:2">
      <c r="A487" s="143" t="s">
        <v>366</v>
      </c>
      <c r="B487">
        <v>94</v>
      </c>
    </row>
    <row r="488" spans="1:2">
      <c r="A488" s="143" t="s">
        <v>367</v>
      </c>
      <c r="B488">
        <v>102</v>
      </c>
    </row>
    <row r="489" spans="1:2">
      <c r="A489" s="143" t="s">
        <v>368</v>
      </c>
      <c r="B489">
        <v>116</v>
      </c>
    </row>
    <row r="490" spans="1:2">
      <c r="A490" s="143" t="s">
        <v>369</v>
      </c>
      <c r="B490">
        <v>91</v>
      </c>
    </row>
    <row r="491" spans="1:2">
      <c r="A491" s="143" t="s">
        <v>370</v>
      </c>
      <c r="B491">
        <v>98</v>
      </c>
    </row>
    <row r="492" spans="1:2">
      <c r="A492" s="143" t="s">
        <v>371</v>
      </c>
      <c r="B492">
        <v>87</v>
      </c>
    </row>
    <row r="493" spans="1:2">
      <c r="A493" s="143" t="s">
        <v>372</v>
      </c>
      <c r="B493">
        <v>97</v>
      </c>
    </row>
    <row r="494" spans="1:2">
      <c r="A494" s="143" t="s">
        <v>373</v>
      </c>
      <c r="B494">
        <v>94</v>
      </c>
    </row>
    <row r="495" spans="1:2">
      <c r="A495" s="143" t="s">
        <v>374</v>
      </c>
      <c r="B495">
        <v>115</v>
      </c>
    </row>
    <row r="496" spans="1:2">
      <c r="A496" s="143" t="s">
        <v>375</v>
      </c>
      <c r="B496">
        <v>98</v>
      </c>
    </row>
    <row r="497" spans="1:2">
      <c r="A497" s="143" t="s">
        <v>376</v>
      </c>
      <c r="B497">
        <v>85</v>
      </c>
    </row>
    <row r="498" spans="1:2">
      <c r="A498" s="143" t="s">
        <v>377</v>
      </c>
      <c r="B498">
        <v>92</v>
      </c>
    </row>
    <row r="499" spans="1:2">
      <c r="A499" s="143" t="s">
        <v>378</v>
      </c>
      <c r="B499">
        <v>95</v>
      </c>
    </row>
    <row r="500" spans="1:2">
      <c r="A500" s="143" t="s">
        <v>379</v>
      </c>
      <c r="B500">
        <v>94</v>
      </c>
    </row>
    <row r="501" spans="1:2">
      <c r="A501" s="143" t="s">
        <v>380</v>
      </c>
      <c r="B501">
        <v>97</v>
      </c>
    </row>
    <row r="502" spans="1:2">
      <c r="A502" s="143" t="s">
        <v>381</v>
      </c>
      <c r="B502">
        <v>83</v>
      </c>
    </row>
    <row r="503" spans="1:2">
      <c r="A503" s="143" t="s">
        <v>382</v>
      </c>
      <c r="B503">
        <v>111</v>
      </c>
    </row>
    <row r="504" spans="1:2">
      <c r="A504" s="143" t="s">
        <v>383</v>
      </c>
      <c r="B504">
        <v>95</v>
      </c>
    </row>
    <row r="505" spans="1:2">
      <c r="A505" s="4" t="s">
        <v>38</v>
      </c>
      <c r="B505">
        <v>60810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5F39E-EA52-48C9-9388-749ADD1C4C59}">
  <sheetPr codeName="Sheet62"/>
  <dimension ref="A3:B505"/>
  <sheetViews>
    <sheetView topLeftCell="B1" workbookViewId="0">
      <selection activeCell="W1" sqref="W1"/>
    </sheetView>
  </sheetViews>
  <sheetFormatPr defaultRowHeight="14.4"/>
  <cols>
    <col min="1" max="1" width="12.5546875" bestFit="1" customWidth="1"/>
    <col min="2" max="2" width="19.6640625" bestFit="1" customWidth="1"/>
  </cols>
  <sheetData>
    <row r="3" spans="1:2">
      <c r="A3" s="3" t="s">
        <v>37</v>
      </c>
      <c r="B3" t="s">
        <v>150</v>
      </c>
    </row>
    <row r="4" spans="1:2">
      <c r="A4" s="4" t="s">
        <v>100</v>
      </c>
      <c r="B4">
        <v>1510964.1095132772</v>
      </c>
    </row>
    <row r="5" spans="1:2">
      <c r="A5" s="143" t="s">
        <v>343</v>
      </c>
      <c r="B5">
        <v>59091.450138964661</v>
      </c>
    </row>
    <row r="6" spans="1:2">
      <c r="A6" s="143" t="s">
        <v>344</v>
      </c>
      <c r="B6">
        <v>27179.606846316357</v>
      </c>
    </row>
    <row r="7" spans="1:2">
      <c r="A7" s="143" t="s">
        <v>345</v>
      </c>
    </row>
    <row r="8" spans="1:2">
      <c r="A8" s="143" t="s">
        <v>346</v>
      </c>
      <c r="B8">
        <v>33545.018787942565</v>
      </c>
    </row>
    <row r="9" spans="1:2">
      <c r="A9" s="143" t="s">
        <v>347</v>
      </c>
      <c r="B9">
        <v>20552.296345272345</v>
      </c>
    </row>
    <row r="10" spans="1:2">
      <c r="A10" s="143" t="s">
        <v>348</v>
      </c>
      <c r="B10">
        <v>34386.811452878355</v>
      </c>
    </row>
    <row r="11" spans="1:2">
      <c r="A11" s="143" t="s">
        <v>349</v>
      </c>
      <c r="B11">
        <v>36996.777182930011</v>
      </c>
    </row>
    <row r="12" spans="1:2">
      <c r="A12" s="143" t="s">
        <v>350</v>
      </c>
      <c r="B12">
        <v>40376.304363126328</v>
      </c>
    </row>
    <row r="13" spans="1:2">
      <c r="A13" s="143" t="s">
        <v>351</v>
      </c>
      <c r="B13">
        <v>38637.715850503555</v>
      </c>
    </row>
    <row r="14" spans="1:2">
      <c r="A14" s="143" t="s">
        <v>352</v>
      </c>
      <c r="B14">
        <v>23871.171684988294</v>
      </c>
    </row>
    <row r="15" spans="1:2">
      <c r="A15" s="143" t="s">
        <v>353</v>
      </c>
      <c r="B15">
        <v>37382.701748629479</v>
      </c>
    </row>
    <row r="16" spans="1:2">
      <c r="A16" s="143" t="s">
        <v>354</v>
      </c>
      <c r="B16">
        <v>33858.493553241722</v>
      </c>
    </row>
    <row r="17" spans="1:2">
      <c r="A17" s="143" t="s">
        <v>355</v>
      </c>
      <c r="B17">
        <v>23585.038879057152</v>
      </c>
    </row>
    <row r="18" spans="1:2">
      <c r="A18" s="143" t="s">
        <v>356</v>
      </c>
      <c r="B18">
        <v>32150.20823595535</v>
      </c>
    </row>
    <row r="19" spans="1:2">
      <c r="A19" s="143" t="s">
        <v>357</v>
      </c>
      <c r="B19">
        <v>20008.996577339462</v>
      </c>
    </row>
    <row r="20" spans="1:2">
      <c r="A20" s="143" t="s">
        <v>358</v>
      </c>
      <c r="B20">
        <v>39570.156769333931</v>
      </c>
    </row>
    <row r="21" spans="1:2">
      <c r="A21" s="143" t="s">
        <v>359</v>
      </c>
      <c r="B21">
        <v>35935.1515278019</v>
      </c>
    </row>
    <row r="22" spans="1:2">
      <c r="A22" s="143" t="s">
        <v>360</v>
      </c>
      <c r="B22">
        <v>32267.671507569899</v>
      </c>
    </row>
    <row r="23" spans="1:2">
      <c r="A23" s="143" t="s">
        <v>361</v>
      </c>
      <c r="B23">
        <v>24518.624565523991</v>
      </c>
    </row>
    <row r="24" spans="1:2">
      <c r="A24" s="143" t="s">
        <v>362</v>
      </c>
      <c r="B24">
        <v>34908.827434957973</v>
      </c>
    </row>
    <row r="25" spans="1:2">
      <c r="A25" s="143" t="s">
        <v>363</v>
      </c>
      <c r="B25">
        <v>33794.642948933826</v>
      </c>
    </row>
    <row r="26" spans="1:2">
      <c r="A26" s="143" t="s">
        <v>364</v>
      </c>
      <c r="B26">
        <v>34591.583030011563</v>
      </c>
    </row>
    <row r="27" spans="1:2">
      <c r="A27" s="143" t="s">
        <v>365</v>
      </c>
      <c r="B27">
        <v>22035.031332341656</v>
      </c>
    </row>
    <row r="28" spans="1:2">
      <c r="A28" s="143" t="s">
        <v>366</v>
      </c>
      <c r="B28">
        <v>26685.495412245258</v>
      </c>
    </row>
    <row r="29" spans="1:2">
      <c r="A29" s="143" t="s">
        <v>367</v>
      </c>
      <c r="B29">
        <v>40725.745638866938</v>
      </c>
    </row>
    <row r="30" spans="1:2">
      <c r="A30" s="143" t="s">
        <v>368</v>
      </c>
      <c r="B30">
        <v>23150.985102104612</v>
      </c>
    </row>
    <row r="31" spans="1:2">
      <c r="A31" s="143" t="s">
        <v>369</v>
      </c>
      <c r="B31">
        <v>24926.216346535664</v>
      </c>
    </row>
    <row r="32" spans="1:2">
      <c r="A32" s="143" t="s">
        <v>370</v>
      </c>
      <c r="B32">
        <v>23951.794906543972</v>
      </c>
    </row>
    <row r="33" spans="1:2">
      <c r="A33" s="143" t="s">
        <v>371</v>
      </c>
      <c r="B33">
        <v>254804.61792676052</v>
      </c>
    </row>
    <row r="34" spans="1:2">
      <c r="A34" s="143" t="s">
        <v>372</v>
      </c>
      <c r="B34">
        <v>30667.704523911412</v>
      </c>
    </row>
    <row r="35" spans="1:2">
      <c r="A35" s="143" t="s">
        <v>373</v>
      </c>
      <c r="B35">
        <v>29969.645442300534</v>
      </c>
    </row>
    <row r="36" spans="1:2">
      <c r="A36" s="143" t="s">
        <v>374</v>
      </c>
      <c r="B36">
        <v>32682.549217852018</v>
      </c>
    </row>
    <row r="37" spans="1:2">
      <c r="A37" s="143" t="s">
        <v>375</v>
      </c>
      <c r="B37">
        <v>24674.431684623138</v>
      </c>
    </row>
    <row r="38" spans="1:2">
      <c r="A38" s="143" t="s">
        <v>376</v>
      </c>
      <c r="B38">
        <v>23951.526285794462</v>
      </c>
    </row>
    <row r="39" spans="1:2">
      <c r="A39" s="143" t="s">
        <v>377</v>
      </c>
      <c r="B39">
        <v>30802.869905249325</v>
      </c>
    </row>
    <row r="40" spans="1:2">
      <c r="A40" s="143" t="s">
        <v>378</v>
      </c>
      <c r="B40">
        <v>33795.775801513235</v>
      </c>
    </row>
    <row r="41" spans="1:2">
      <c r="A41" s="143" t="s">
        <v>379</v>
      </c>
      <c r="B41">
        <v>29207.352134865148</v>
      </c>
    </row>
    <row r="42" spans="1:2">
      <c r="A42" s="143" t="s">
        <v>380</v>
      </c>
      <c r="B42">
        <v>35199.52343698038</v>
      </c>
    </row>
    <row r="43" spans="1:2">
      <c r="A43" s="143" t="s">
        <v>381</v>
      </c>
      <c r="B43">
        <v>26232.910648269084</v>
      </c>
    </row>
    <row r="44" spans="1:2">
      <c r="A44" s="143" t="s">
        <v>382</v>
      </c>
      <c r="B44">
        <v>32683.26376263643</v>
      </c>
    </row>
    <row r="45" spans="1:2">
      <c r="A45" s="143" t="s">
        <v>383</v>
      </c>
      <c r="B45">
        <v>67607.420572604708</v>
      </c>
    </row>
    <row r="46" spans="1:2">
      <c r="A46" s="4" t="s">
        <v>101</v>
      </c>
      <c r="B46">
        <v>1530311.79836983</v>
      </c>
    </row>
    <row r="47" spans="1:2">
      <c r="A47" s="143" t="s">
        <v>344</v>
      </c>
      <c r="B47">
        <v>23598.478006645528</v>
      </c>
    </row>
    <row r="48" spans="1:2">
      <c r="A48" s="143" t="s">
        <v>345</v>
      </c>
      <c r="B48">
        <v>23742.30287904778</v>
      </c>
    </row>
    <row r="49" spans="1:2">
      <c r="A49" s="143" t="s">
        <v>346</v>
      </c>
      <c r="B49">
        <v>29551.321528563865</v>
      </c>
    </row>
    <row r="50" spans="1:2">
      <c r="A50" s="143" t="s">
        <v>347</v>
      </c>
      <c r="B50">
        <v>27738.468403754618</v>
      </c>
    </row>
    <row r="51" spans="1:2">
      <c r="A51" s="143" t="s">
        <v>348</v>
      </c>
      <c r="B51">
        <v>288951.79130851681</v>
      </c>
    </row>
    <row r="52" spans="1:2">
      <c r="A52" s="143" t="s">
        <v>349</v>
      </c>
    </row>
    <row r="53" spans="1:2">
      <c r="A53" s="143" t="s">
        <v>350</v>
      </c>
      <c r="B53">
        <v>26554.060909552161</v>
      </c>
    </row>
    <row r="54" spans="1:2">
      <c r="A54" s="143" t="s">
        <v>351</v>
      </c>
      <c r="B54">
        <v>32181.618348370161</v>
      </c>
    </row>
    <row r="55" spans="1:2">
      <c r="A55" s="143" t="s">
        <v>352</v>
      </c>
      <c r="B55">
        <v>22678.125598950901</v>
      </c>
    </row>
    <row r="56" spans="1:2">
      <c r="A56" s="143" t="s">
        <v>353</v>
      </c>
      <c r="B56">
        <v>36900.456770737255</v>
      </c>
    </row>
    <row r="57" spans="1:2">
      <c r="A57" s="143" t="s">
        <v>354</v>
      </c>
      <c r="B57">
        <v>15757.286896849622</v>
      </c>
    </row>
    <row r="58" spans="1:2">
      <c r="A58" s="143" t="s">
        <v>355</v>
      </c>
      <c r="B58">
        <v>34981.334097235696</v>
      </c>
    </row>
    <row r="59" spans="1:2">
      <c r="A59" s="143" t="s">
        <v>356</v>
      </c>
      <c r="B59">
        <v>35151.417270159211</v>
      </c>
    </row>
    <row r="60" spans="1:2">
      <c r="A60" s="143" t="s">
        <v>357</v>
      </c>
      <c r="B60">
        <v>34581.638373512411</v>
      </c>
    </row>
    <row r="61" spans="1:2">
      <c r="A61" s="143" t="s">
        <v>358</v>
      </c>
      <c r="B61">
        <v>29046.587996183269</v>
      </c>
    </row>
    <row r="62" spans="1:2">
      <c r="A62" s="143" t="s">
        <v>359</v>
      </c>
    </row>
    <row r="63" spans="1:2">
      <c r="A63" s="143" t="s">
        <v>360</v>
      </c>
      <c r="B63">
        <v>28779.216823546758</v>
      </c>
    </row>
    <row r="64" spans="1:2">
      <c r="A64" s="143" t="s">
        <v>361</v>
      </c>
      <c r="B64">
        <v>22799.745587028527</v>
      </c>
    </row>
    <row r="65" spans="1:2">
      <c r="A65" s="143" t="s">
        <v>362</v>
      </c>
      <c r="B65">
        <v>283758.43082456884</v>
      </c>
    </row>
    <row r="66" spans="1:2">
      <c r="A66" s="143" t="s">
        <v>363</v>
      </c>
      <c r="B66">
        <v>31405.95711984688</v>
      </c>
    </row>
    <row r="67" spans="1:2">
      <c r="A67" s="143" t="s">
        <v>364</v>
      </c>
      <c r="B67">
        <v>22147.496981884113</v>
      </c>
    </row>
    <row r="68" spans="1:2">
      <c r="A68" s="143" t="s">
        <v>365</v>
      </c>
      <c r="B68">
        <v>32202.373689801996</v>
      </c>
    </row>
    <row r="69" spans="1:2">
      <c r="A69" s="143" t="s">
        <v>367</v>
      </c>
      <c r="B69">
        <v>24062.007904852435</v>
      </c>
    </row>
    <row r="70" spans="1:2">
      <c r="A70" s="143" t="s">
        <v>368</v>
      </c>
      <c r="B70">
        <v>29558.589758243725</v>
      </c>
    </row>
    <row r="71" spans="1:2">
      <c r="A71" s="143" t="s">
        <v>369</v>
      </c>
      <c r="B71">
        <v>26753.612274669966</v>
      </c>
    </row>
    <row r="72" spans="1:2">
      <c r="A72" s="143" t="s">
        <v>370</v>
      </c>
      <c r="B72">
        <v>38362.861934188521</v>
      </c>
    </row>
    <row r="73" spans="1:2">
      <c r="A73" s="143" t="s">
        <v>371</v>
      </c>
      <c r="B73">
        <v>26322.350287051166</v>
      </c>
    </row>
    <row r="74" spans="1:2">
      <c r="A74" s="143" t="s">
        <v>372</v>
      </c>
      <c r="B74">
        <v>29237.650818097281</v>
      </c>
    </row>
    <row r="75" spans="1:2">
      <c r="A75" s="143" t="s">
        <v>373</v>
      </c>
      <c r="B75">
        <v>34192.453872258207</v>
      </c>
    </row>
    <row r="76" spans="1:2">
      <c r="A76" s="143" t="s">
        <v>374</v>
      </c>
      <c r="B76">
        <v>25507.660091044814</v>
      </c>
    </row>
    <row r="77" spans="1:2">
      <c r="A77" s="143" t="s">
        <v>375</v>
      </c>
      <c r="B77">
        <v>28473.876478226663</v>
      </c>
    </row>
    <row r="78" spans="1:2">
      <c r="A78" s="143" t="s">
        <v>376</v>
      </c>
      <c r="B78">
        <v>32999.643649981022</v>
      </c>
    </row>
    <row r="79" spans="1:2">
      <c r="A79" s="143" t="s">
        <v>377</v>
      </c>
      <c r="B79">
        <v>30015.230100767072</v>
      </c>
    </row>
    <row r="80" spans="1:2">
      <c r="A80" s="143" t="s">
        <v>378</v>
      </c>
      <c r="B80">
        <v>27117.447996366402</v>
      </c>
    </row>
    <row r="81" spans="1:2">
      <c r="A81" s="143" t="s">
        <v>379</v>
      </c>
    </row>
    <row r="82" spans="1:2">
      <c r="A82" s="143" t="s">
        <v>380</v>
      </c>
      <c r="B82">
        <v>26971.922301315681</v>
      </c>
    </row>
    <row r="83" spans="1:2">
      <c r="A83" s="143" t="s">
        <v>381</v>
      </c>
      <c r="B83">
        <v>32299.860714695584</v>
      </c>
    </row>
    <row r="84" spans="1:2">
      <c r="A84" s="143" t="s">
        <v>382</v>
      </c>
      <c r="B84">
        <v>35928.520773314987</v>
      </c>
    </row>
    <row r="85" spans="1:2">
      <c r="A85" s="4" t="s">
        <v>102</v>
      </c>
      <c r="B85">
        <v>1136212.0413990379</v>
      </c>
    </row>
    <row r="86" spans="1:2">
      <c r="A86" s="143" t="s">
        <v>343</v>
      </c>
    </row>
    <row r="87" spans="1:2">
      <c r="A87" s="143" t="s">
        <v>344</v>
      </c>
      <c r="B87">
        <v>34362.286641400722</v>
      </c>
    </row>
    <row r="88" spans="1:2">
      <c r="A88" s="143" t="s">
        <v>345</v>
      </c>
      <c r="B88">
        <v>37218.823020366297</v>
      </c>
    </row>
    <row r="89" spans="1:2">
      <c r="A89" s="143" t="s">
        <v>346</v>
      </c>
      <c r="B89">
        <v>37200.586077247368</v>
      </c>
    </row>
    <row r="90" spans="1:2">
      <c r="A90" s="143" t="s">
        <v>347</v>
      </c>
      <c r="B90">
        <v>17880.603366855219</v>
      </c>
    </row>
    <row r="91" spans="1:2">
      <c r="A91" s="143" t="s">
        <v>348</v>
      </c>
      <c r="B91">
        <v>30134.429194972654</v>
      </c>
    </row>
    <row r="92" spans="1:2">
      <c r="A92" s="143" t="s">
        <v>349</v>
      </c>
      <c r="B92">
        <v>30298.151849600872</v>
      </c>
    </row>
    <row r="93" spans="1:2">
      <c r="A93" s="143" t="s">
        <v>350</v>
      </c>
      <c r="B93">
        <v>38679.819015826244</v>
      </c>
    </row>
    <row r="94" spans="1:2">
      <c r="A94" s="143" t="s">
        <v>351</v>
      </c>
      <c r="B94">
        <v>30190.017390841</v>
      </c>
    </row>
    <row r="95" spans="1:2">
      <c r="A95" s="143" t="s">
        <v>352</v>
      </c>
    </row>
    <row r="96" spans="1:2">
      <c r="A96" s="143" t="s">
        <v>353</v>
      </c>
    </row>
    <row r="97" spans="1:2">
      <c r="A97" s="143" t="s">
        <v>354</v>
      </c>
      <c r="B97">
        <v>35743.828501860517</v>
      </c>
    </row>
    <row r="98" spans="1:2">
      <c r="A98" s="143" t="s">
        <v>355</v>
      </c>
      <c r="B98">
        <v>27531.217084193438</v>
      </c>
    </row>
    <row r="99" spans="1:2">
      <c r="A99" s="143" t="s">
        <v>356</v>
      </c>
      <c r="B99">
        <v>31193.945795132568</v>
      </c>
    </row>
    <row r="100" spans="1:2">
      <c r="A100" s="143" t="s">
        <v>357</v>
      </c>
      <c r="B100">
        <v>31732.442379489963</v>
      </c>
    </row>
    <row r="101" spans="1:2">
      <c r="A101" s="143" t="s">
        <v>358</v>
      </c>
      <c r="B101">
        <v>31087.164365898614</v>
      </c>
    </row>
    <row r="102" spans="1:2">
      <c r="A102" s="143" t="s">
        <v>359</v>
      </c>
      <c r="B102">
        <v>24284.97543634758</v>
      </c>
    </row>
    <row r="103" spans="1:2">
      <c r="A103" s="143" t="s">
        <v>360</v>
      </c>
      <c r="B103">
        <v>34820.435841441787</v>
      </c>
    </row>
    <row r="104" spans="1:2">
      <c r="A104" s="143" t="s">
        <v>361</v>
      </c>
      <c r="B104">
        <v>37972.525316124862</v>
      </c>
    </row>
    <row r="105" spans="1:2">
      <c r="A105" s="143" t="s">
        <v>362</v>
      </c>
      <c r="B105">
        <v>17502.971425632135</v>
      </c>
    </row>
    <row r="106" spans="1:2">
      <c r="A106" s="143" t="s">
        <v>363</v>
      </c>
      <c r="B106">
        <v>30521.005519759379</v>
      </c>
    </row>
    <row r="107" spans="1:2">
      <c r="A107" s="143" t="s">
        <v>364</v>
      </c>
      <c r="B107">
        <v>25051.859317148312</v>
      </c>
    </row>
    <row r="108" spans="1:2">
      <c r="A108" s="143" t="s">
        <v>365</v>
      </c>
      <c r="B108">
        <v>29901.811005366595</v>
      </c>
    </row>
    <row r="109" spans="1:2">
      <c r="A109" s="143" t="s">
        <v>366</v>
      </c>
      <c r="B109">
        <v>61734.857356936227</v>
      </c>
    </row>
    <row r="110" spans="1:2">
      <c r="A110" s="143" t="s">
        <v>367</v>
      </c>
      <c r="B110">
        <v>31549.103551135137</v>
      </c>
    </row>
    <row r="111" spans="1:2">
      <c r="A111" s="143" t="s">
        <v>368</v>
      </c>
      <c r="B111">
        <v>42898.546688271592</v>
      </c>
    </row>
    <row r="112" spans="1:2">
      <c r="A112" s="143" t="s">
        <v>369</v>
      </c>
      <c r="B112">
        <v>23880.298666188719</v>
      </c>
    </row>
    <row r="113" spans="1:2">
      <c r="A113" s="143" t="s">
        <v>370</v>
      </c>
      <c r="B113">
        <v>32095.095046830225</v>
      </c>
    </row>
    <row r="114" spans="1:2">
      <c r="A114" s="143" t="s">
        <v>371</v>
      </c>
      <c r="B114">
        <v>36180.465876052185</v>
      </c>
    </row>
    <row r="115" spans="1:2">
      <c r="A115" s="143" t="s">
        <v>372</v>
      </c>
    </row>
    <row r="116" spans="1:2">
      <c r="A116" s="143" t="s">
        <v>373</v>
      </c>
      <c r="B116">
        <v>30409.146792737825</v>
      </c>
    </row>
    <row r="117" spans="1:2">
      <c r="A117" s="143" t="s">
        <v>374</v>
      </c>
      <c r="B117">
        <v>30140.90578684564</v>
      </c>
    </row>
    <row r="118" spans="1:2">
      <c r="A118" s="143" t="s">
        <v>375</v>
      </c>
      <c r="B118">
        <v>26952.438989203583</v>
      </c>
    </row>
    <row r="119" spans="1:2">
      <c r="A119" s="143" t="s">
        <v>376</v>
      </c>
      <c r="B119">
        <v>37653.754161718491</v>
      </c>
    </row>
    <row r="120" spans="1:2">
      <c r="A120" s="143" t="s">
        <v>377</v>
      </c>
      <c r="B120">
        <v>32184.690848731749</v>
      </c>
    </row>
    <row r="121" spans="1:2">
      <c r="A121" s="143" t="s">
        <v>378</v>
      </c>
      <c r="B121">
        <v>17044.788539275451</v>
      </c>
    </row>
    <row r="122" spans="1:2">
      <c r="A122" s="143" t="s">
        <v>379</v>
      </c>
      <c r="B122">
        <v>25333.660204634019</v>
      </c>
    </row>
    <row r="123" spans="1:2">
      <c r="A123" s="143" t="s">
        <v>380</v>
      </c>
    </row>
    <row r="124" spans="1:2">
      <c r="A124" s="143" t="s">
        <v>381</v>
      </c>
      <c r="B124">
        <v>26611.423151239469</v>
      </c>
    </row>
    <row r="125" spans="1:2">
      <c r="A125" s="143" t="s">
        <v>382</v>
      </c>
      <c r="B125">
        <v>33594.766553325331</v>
      </c>
    </row>
    <row r="126" spans="1:2">
      <c r="A126" s="143" t="s">
        <v>383</v>
      </c>
      <c r="B126">
        <v>34639.200640406183</v>
      </c>
    </row>
    <row r="127" spans="1:2">
      <c r="A127" s="4" t="s">
        <v>103</v>
      </c>
      <c r="B127">
        <v>1794956.0077521685</v>
      </c>
    </row>
    <row r="128" spans="1:2">
      <c r="A128" s="143" t="s">
        <v>343</v>
      </c>
      <c r="B128">
        <v>29671.248694635062</v>
      </c>
    </row>
    <row r="129" spans="1:2">
      <c r="A129" s="143" t="s">
        <v>344</v>
      </c>
      <c r="B129">
        <v>33251.005889793305</v>
      </c>
    </row>
    <row r="130" spans="1:2">
      <c r="A130" s="143" t="s">
        <v>345</v>
      </c>
      <c r="B130">
        <v>29589.244108037157</v>
      </c>
    </row>
    <row r="131" spans="1:2">
      <c r="A131" s="143" t="s">
        <v>346</v>
      </c>
      <c r="B131">
        <v>26618.038489703653</v>
      </c>
    </row>
    <row r="132" spans="1:2">
      <c r="A132" s="143" t="s">
        <v>347</v>
      </c>
      <c r="B132">
        <v>22080.485882571382</v>
      </c>
    </row>
    <row r="133" spans="1:2">
      <c r="A133" s="143" t="s">
        <v>348</v>
      </c>
      <c r="B133">
        <v>31041.914039737763</v>
      </c>
    </row>
    <row r="134" spans="1:2">
      <c r="A134" s="143" t="s">
        <v>349</v>
      </c>
      <c r="B134">
        <v>26765.31611147213</v>
      </c>
    </row>
    <row r="135" spans="1:2">
      <c r="A135" s="143" t="s">
        <v>350</v>
      </c>
      <c r="B135">
        <v>30989.553917313238</v>
      </c>
    </row>
    <row r="136" spans="1:2">
      <c r="A136" s="143" t="s">
        <v>351</v>
      </c>
      <c r="B136">
        <v>30600.156633591305</v>
      </c>
    </row>
    <row r="137" spans="1:2">
      <c r="A137" s="143" t="s">
        <v>352</v>
      </c>
      <c r="B137">
        <v>35235.49151306077</v>
      </c>
    </row>
    <row r="138" spans="1:2">
      <c r="A138" s="143" t="s">
        <v>353</v>
      </c>
      <c r="B138">
        <v>31979.017667187047</v>
      </c>
    </row>
    <row r="139" spans="1:2">
      <c r="A139" s="143" t="s">
        <v>354</v>
      </c>
      <c r="B139">
        <v>21301.4311061095</v>
      </c>
    </row>
    <row r="140" spans="1:2">
      <c r="A140" s="143" t="s">
        <v>355</v>
      </c>
      <c r="B140">
        <v>22217.090506701243</v>
      </c>
    </row>
    <row r="141" spans="1:2">
      <c r="A141" s="143" t="s">
        <v>356</v>
      </c>
      <c r="B141">
        <v>287047.89270896482</v>
      </c>
    </row>
    <row r="142" spans="1:2">
      <c r="A142" s="143" t="s">
        <v>357</v>
      </c>
      <c r="B142">
        <v>34990.050549298263</v>
      </c>
    </row>
    <row r="143" spans="1:2">
      <c r="A143" s="143" t="s">
        <v>358</v>
      </c>
      <c r="B143">
        <v>34350.338653443774</v>
      </c>
    </row>
    <row r="144" spans="1:2">
      <c r="A144" s="143" t="s">
        <v>359</v>
      </c>
      <c r="B144">
        <v>38167.15766150548</v>
      </c>
    </row>
    <row r="145" spans="1:2">
      <c r="A145" s="143" t="s">
        <v>360</v>
      </c>
      <c r="B145">
        <v>35947.352444623204</v>
      </c>
    </row>
    <row r="146" spans="1:2">
      <c r="A146" s="143" t="s">
        <v>361</v>
      </c>
      <c r="B146">
        <v>25765.193258408362</v>
      </c>
    </row>
    <row r="147" spans="1:2">
      <c r="A147" s="143" t="s">
        <v>362</v>
      </c>
      <c r="B147">
        <v>41454.712862953711</v>
      </c>
    </row>
    <row r="148" spans="1:2">
      <c r="A148" s="143" t="s">
        <v>363</v>
      </c>
      <c r="B148">
        <v>29687.034360502388</v>
      </c>
    </row>
    <row r="149" spans="1:2">
      <c r="A149" s="143" t="s">
        <v>364</v>
      </c>
      <c r="B149">
        <v>34703.855939941081</v>
      </c>
    </row>
    <row r="150" spans="1:2">
      <c r="A150" s="143" t="s">
        <v>365</v>
      </c>
      <c r="B150">
        <v>327624.49772085738</v>
      </c>
    </row>
    <row r="151" spans="1:2">
      <c r="A151" s="143" t="s">
        <v>366</v>
      </c>
      <c r="B151">
        <v>23780.683823043575</v>
      </c>
    </row>
    <row r="152" spans="1:2">
      <c r="A152" s="143" t="s">
        <v>367</v>
      </c>
      <c r="B152">
        <v>33168.884404660494</v>
      </c>
    </row>
    <row r="153" spans="1:2">
      <c r="A153" s="143" t="s">
        <v>368</v>
      </c>
      <c r="B153">
        <v>25981.627160151347</v>
      </c>
    </row>
    <row r="154" spans="1:2">
      <c r="A154" s="143" t="s">
        <v>369</v>
      </c>
      <c r="B154">
        <v>30170.417341296132</v>
      </c>
    </row>
    <row r="155" spans="1:2">
      <c r="A155" s="143" t="s">
        <v>370</v>
      </c>
      <c r="B155">
        <v>26474.940721207957</v>
      </c>
    </row>
    <row r="156" spans="1:2">
      <c r="A156" s="143" t="s">
        <v>371</v>
      </c>
      <c r="B156">
        <v>35456.550602971343</v>
      </c>
    </row>
    <row r="157" spans="1:2">
      <c r="A157" s="143" t="s">
        <v>372</v>
      </c>
      <c r="B157">
        <v>34783.511583972919</v>
      </c>
    </row>
    <row r="158" spans="1:2">
      <c r="A158" s="143" t="s">
        <v>373</v>
      </c>
      <c r="B158">
        <v>29505.551734044286</v>
      </c>
    </row>
    <row r="159" spans="1:2">
      <c r="A159" s="143" t="s">
        <v>374</v>
      </c>
      <c r="B159">
        <v>29954.405016778983</v>
      </c>
    </row>
    <row r="160" spans="1:2">
      <c r="A160" s="143" t="s">
        <v>375</v>
      </c>
      <c r="B160">
        <v>29065.143485072771</v>
      </c>
    </row>
    <row r="161" spans="1:2">
      <c r="A161" s="143" t="s">
        <v>376</v>
      </c>
      <c r="B161">
        <v>36093.809258486581</v>
      </c>
    </row>
    <row r="162" spans="1:2">
      <c r="A162" s="143" t="s">
        <v>377</v>
      </c>
      <c r="B162">
        <v>35953.231373931703</v>
      </c>
    </row>
    <row r="163" spans="1:2">
      <c r="A163" s="143" t="s">
        <v>378</v>
      </c>
      <c r="B163">
        <v>27268.777758737586</v>
      </c>
    </row>
    <row r="164" spans="1:2">
      <c r="A164" s="143" t="s">
        <v>379</v>
      </c>
      <c r="B164">
        <v>27783.588744042449</v>
      </c>
    </row>
    <row r="165" spans="1:2">
      <c r="A165" s="143" t="s">
        <v>380</v>
      </c>
      <c r="B165">
        <v>33389.629356696343</v>
      </c>
    </row>
    <row r="166" spans="1:2">
      <c r="A166" s="143" t="s">
        <v>381</v>
      </c>
      <c r="B166">
        <v>40066.936237633112</v>
      </c>
    </row>
    <row r="167" spans="1:2">
      <c r="A167" s="143" t="s">
        <v>382</v>
      </c>
      <c r="B167">
        <v>34980.238429029079</v>
      </c>
    </row>
    <row r="168" spans="1:2">
      <c r="A168" s="143" t="s">
        <v>383</v>
      </c>
    </row>
    <row r="169" spans="1:2">
      <c r="A169" s="4" t="s">
        <v>65</v>
      </c>
      <c r="B169">
        <v>1236415.7902482918</v>
      </c>
    </row>
    <row r="170" spans="1:2">
      <c r="A170" s="143" t="s">
        <v>343</v>
      </c>
      <c r="B170">
        <v>66629.787713736965</v>
      </c>
    </row>
    <row r="171" spans="1:2">
      <c r="A171" s="143" t="s">
        <v>344</v>
      </c>
      <c r="B171">
        <v>29504.120681103086</v>
      </c>
    </row>
    <row r="172" spans="1:2">
      <c r="A172" s="143" t="s">
        <v>345</v>
      </c>
      <c r="B172">
        <v>35586.479157940637</v>
      </c>
    </row>
    <row r="173" spans="1:2">
      <c r="A173" s="143" t="s">
        <v>346</v>
      </c>
      <c r="B173">
        <v>39004.702164554081</v>
      </c>
    </row>
    <row r="174" spans="1:2">
      <c r="A174" s="143" t="s">
        <v>347</v>
      </c>
      <c r="B174">
        <v>33802.073280721488</v>
      </c>
    </row>
    <row r="175" spans="1:2">
      <c r="A175" s="143" t="s">
        <v>348</v>
      </c>
      <c r="B175">
        <v>19791.325657878548</v>
      </c>
    </row>
    <row r="176" spans="1:2">
      <c r="A176" s="143" t="s">
        <v>349</v>
      </c>
      <c r="B176">
        <v>33491.116568067948</v>
      </c>
    </row>
    <row r="177" spans="1:2">
      <c r="A177" s="143" t="s">
        <v>350</v>
      </c>
    </row>
    <row r="178" spans="1:2">
      <c r="A178" s="143" t="s">
        <v>351</v>
      </c>
      <c r="B178">
        <v>33067.589863652087</v>
      </c>
    </row>
    <row r="179" spans="1:2">
      <c r="A179" s="143" t="s">
        <v>352</v>
      </c>
      <c r="B179">
        <v>38419.638457289344</v>
      </c>
    </row>
    <row r="180" spans="1:2">
      <c r="A180" s="143" t="s">
        <v>353</v>
      </c>
      <c r="B180">
        <v>32470.150931413693</v>
      </c>
    </row>
    <row r="181" spans="1:2">
      <c r="A181" s="143" t="s">
        <v>354</v>
      </c>
      <c r="B181">
        <v>28187.795292984338</v>
      </c>
    </row>
    <row r="182" spans="1:2">
      <c r="A182" s="143" t="s">
        <v>355</v>
      </c>
      <c r="B182">
        <v>27859.424195170439</v>
      </c>
    </row>
    <row r="183" spans="1:2">
      <c r="A183" s="143" t="s">
        <v>356</v>
      </c>
      <c r="B183">
        <v>29018.250754575107</v>
      </c>
    </row>
    <row r="184" spans="1:2">
      <c r="A184" s="143" t="s">
        <v>357</v>
      </c>
      <c r="B184">
        <v>15518.723109031554</v>
      </c>
    </row>
    <row r="185" spans="1:2">
      <c r="A185" s="143" t="s">
        <v>358</v>
      </c>
      <c r="B185">
        <v>32478.409439863022</v>
      </c>
    </row>
    <row r="186" spans="1:2">
      <c r="A186" s="143" t="s">
        <v>359</v>
      </c>
      <c r="B186">
        <v>24268.27303490656</v>
      </c>
    </row>
    <row r="187" spans="1:2">
      <c r="A187" s="143" t="s">
        <v>360</v>
      </c>
      <c r="B187">
        <v>56848.961273564331</v>
      </c>
    </row>
    <row r="188" spans="1:2">
      <c r="A188" s="143" t="s">
        <v>361</v>
      </c>
      <c r="B188">
        <v>25043.038252718463</v>
      </c>
    </row>
    <row r="189" spans="1:2">
      <c r="A189" s="143" t="s">
        <v>362</v>
      </c>
      <c r="B189">
        <v>23052.137666182018</v>
      </c>
    </row>
    <row r="190" spans="1:2">
      <c r="A190" s="143" t="s">
        <v>363</v>
      </c>
      <c r="B190">
        <v>26230.17705566662</v>
      </c>
    </row>
    <row r="191" spans="1:2">
      <c r="A191" s="143" t="s">
        <v>364</v>
      </c>
      <c r="B191">
        <v>25087.563032308452</v>
      </c>
    </row>
    <row r="192" spans="1:2">
      <c r="A192" s="143" t="s">
        <v>365</v>
      </c>
      <c r="B192">
        <v>31119.570670323308</v>
      </c>
    </row>
    <row r="193" spans="1:2">
      <c r="A193" s="143" t="s">
        <v>366</v>
      </c>
    </row>
    <row r="194" spans="1:2">
      <c r="A194" s="143" t="s">
        <v>367</v>
      </c>
      <c r="B194">
        <v>32068.995487257493</v>
      </c>
    </row>
    <row r="195" spans="1:2">
      <c r="A195" s="143" t="s">
        <v>368</v>
      </c>
      <c r="B195">
        <v>38195.584027220335</v>
      </c>
    </row>
    <row r="196" spans="1:2">
      <c r="A196" s="143" t="s">
        <v>369</v>
      </c>
      <c r="B196">
        <v>26150.13384470679</v>
      </c>
    </row>
    <row r="197" spans="1:2">
      <c r="A197" s="143" t="s">
        <v>370</v>
      </c>
      <c r="B197">
        <v>29721.15461171147</v>
      </c>
    </row>
    <row r="198" spans="1:2">
      <c r="A198" s="143" t="s">
        <v>371</v>
      </c>
      <c r="B198">
        <v>33045.690604535885</v>
      </c>
    </row>
    <row r="199" spans="1:2">
      <c r="A199" s="143" t="s">
        <v>372</v>
      </c>
      <c r="B199">
        <v>26070.052697460254</v>
      </c>
    </row>
    <row r="200" spans="1:2">
      <c r="A200" s="143" t="s">
        <v>373</v>
      </c>
      <c r="B200">
        <v>34595.382414938846</v>
      </c>
    </row>
    <row r="201" spans="1:2">
      <c r="A201" s="143" t="s">
        <v>374</v>
      </c>
      <c r="B201">
        <v>35429.477829157891</v>
      </c>
    </row>
    <row r="202" spans="1:2">
      <c r="A202" s="143" t="s">
        <v>375</v>
      </c>
    </row>
    <row r="203" spans="1:2">
      <c r="A203" s="143" t="s">
        <v>376</v>
      </c>
      <c r="B203">
        <v>28932.785645348958</v>
      </c>
    </row>
    <row r="204" spans="1:2">
      <c r="A204" s="143" t="s">
        <v>377</v>
      </c>
      <c r="B204">
        <v>34747.770677206616</v>
      </c>
    </row>
    <row r="205" spans="1:2">
      <c r="A205" s="143" t="s">
        <v>378</v>
      </c>
      <c r="B205">
        <v>31959.020027012732</v>
      </c>
    </row>
    <row r="206" spans="1:2">
      <c r="A206" s="143" t="s">
        <v>379</v>
      </c>
      <c r="B206">
        <v>25575.986429865494</v>
      </c>
    </row>
    <row r="207" spans="1:2">
      <c r="A207" s="143" t="s">
        <v>380</v>
      </c>
      <c r="B207">
        <v>27560.442959271488</v>
      </c>
    </row>
    <row r="208" spans="1:2">
      <c r="A208" s="143" t="s">
        <v>381</v>
      </c>
      <c r="B208">
        <v>30682.676655413688</v>
      </c>
    </row>
    <row r="209" spans="1:2">
      <c r="A209" s="143" t="s">
        <v>382</v>
      </c>
      <c r="B209">
        <v>26216.024557152698</v>
      </c>
    </row>
    <row r="210" spans="1:2">
      <c r="A210" s="143" t="s">
        <v>383</v>
      </c>
      <c r="B210">
        <v>68985.303526378935</v>
      </c>
    </row>
    <row r="211" spans="1:2">
      <c r="A211" s="4" t="s">
        <v>104</v>
      </c>
      <c r="B211">
        <v>1691846.0618689926</v>
      </c>
    </row>
    <row r="212" spans="1:2">
      <c r="A212" s="143" t="s">
        <v>343</v>
      </c>
      <c r="B212">
        <v>22759.93049791878</v>
      </c>
    </row>
    <row r="213" spans="1:2">
      <c r="A213" s="143" t="s">
        <v>344</v>
      </c>
      <c r="B213">
        <v>39233.184980238329</v>
      </c>
    </row>
    <row r="214" spans="1:2">
      <c r="A214" s="143" t="s">
        <v>345</v>
      </c>
      <c r="B214">
        <v>31713.626731888522</v>
      </c>
    </row>
    <row r="215" spans="1:2">
      <c r="A215" s="143" t="s">
        <v>346</v>
      </c>
      <c r="B215">
        <v>29799.210246778282</v>
      </c>
    </row>
    <row r="216" spans="1:2">
      <c r="A216" s="143" t="s">
        <v>347</v>
      </c>
    </row>
    <row r="217" spans="1:2">
      <c r="A217" s="143" t="s">
        <v>348</v>
      </c>
      <c r="B217">
        <v>28764.113087397014</v>
      </c>
    </row>
    <row r="218" spans="1:2">
      <c r="A218" s="143" t="s">
        <v>349</v>
      </c>
      <c r="B218">
        <v>31967.426927108747</v>
      </c>
    </row>
    <row r="219" spans="1:2">
      <c r="A219" s="143" t="s">
        <v>350</v>
      </c>
      <c r="B219">
        <v>27580.570829728393</v>
      </c>
    </row>
    <row r="220" spans="1:2">
      <c r="A220" s="143" t="s">
        <v>351</v>
      </c>
      <c r="B220">
        <v>24886.037174007972</v>
      </c>
    </row>
    <row r="221" spans="1:2">
      <c r="A221" s="143" t="s">
        <v>352</v>
      </c>
      <c r="B221">
        <v>27705.578685655299</v>
      </c>
    </row>
    <row r="222" spans="1:2">
      <c r="A222" s="143" t="s">
        <v>353</v>
      </c>
      <c r="B222">
        <v>313033.68829119537</v>
      </c>
    </row>
    <row r="223" spans="1:2">
      <c r="A223" s="143" t="s">
        <v>354</v>
      </c>
      <c r="B223">
        <v>24401.650526869282</v>
      </c>
    </row>
    <row r="224" spans="1:2">
      <c r="A224" s="143" t="s">
        <v>355</v>
      </c>
      <c r="B224">
        <v>37503.798953171558</v>
      </c>
    </row>
    <row r="225" spans="1:2">
      <c r="A225" s="143" t="s">
        <v>356</v>
      </c>
      <c r="B225">
        <v>29641.993702929682</v>
      </c>
    </row>
    <row r="226" spans="1:2">
      <c r="A226" s="143" t="s">
        <v>357</v>
      </c>
      <c r="B226">
        <v>40441.87352390364</v>
      </c>
    </row>
    <row r="227" spans="1:2">
      <c r="A227" s="143" t="s">
        <v>358</v>
      </c>
      <c r="B227">
        <v>30752.094525717883</v>
      </c>
    </row>
    <row r="228" spans="1:2">
      <c r="A228" s="143" t="s">
        <v>359</v>
      </c>
      <c r="B228">
        <v>31513.177326195168</v>
      </c>
    </row>
    <row r="229" spans="1:2">
      <c r="A229" s="143" t="s">
        <v>360</v>
      </c>
      <c r="B229">
        <v>33505.863711554492</v>
      </c>
    </row>
    <row r="230" spans="1:2">
      <c r="A230" s="143" t="s">
        <v>361</v>
      </c>
      <c r="B230">
        <v>19233.049431981424</v>
      </c>
    </row>
    <row r="231" spans="1:2">
      <c r="A231" s="143" t="s">
        <v>362</v>
      </c>
    </row>
    <row r="232" spans="1:2">
      <c r="A232" s="143" t="s">
        <v>363</v>
      </c>
      <c r="B232">
        <v>28596.624615666129</v>
      </c>
    </row>
    <row r="233" spans="1:2">
      <c r="A233" s="143" t="s">
        <v>364</v>
      </c>
      <c r="B233">
        <v>28876.834250014876</v>
      </c>
    </row>
    <row r="234" spans="1:2">
      <c r="A234" s="143" t="s">
        <v>365</v>
      </c>
      <c r="B234">
        <v>36820.702149869219</v>
      </c>
    </row>
    <row r="235" spans="1:2">
      <c r="A235" s="143" t="s">
        <v>366</v>
      </c>
      <c r="B235">
        <v>264079.63672154013</v>
      </c>
    </row>
    <row r="236" spans="1:2">
      <c r="A236" s="143" t="s">
        <v>367</v>
      </c>
      <c r="B236">
        <v>29073.561705611457</v>
      </c>
    </row>
    <row r="237" spans="1:2">
      <c r="A237" s="143" t="s">
        <v>368</v>
      </c>
      <c r="B237">
        <v>38388.504070382201</v>
      </c>
    </row>
    <row r="238" spans="1:2">
      <c r="A238" s="143" t="s">
        <v>369</v>
      </c>
      <c r="B238">
        <v>31168.92955895374</v>
      </c>
    </row>
    <row r="239" spans="1:2">
      <c r="A239" s="143" t="s">
        <v>370</v>
      </c>
      <c r="B239">
        <v>32791.634562608611</v>
      </c>
    </row>
    <row r="240" spans="1:2">
      <c r="A240" s="143" t="s">
        <v>371</v>
      </c>
      <c r="B240">
        <v>24538.436176637104</v>
      </c>
    </row>
    <row r="241" spans="1:2">
      <c r="A241" s="143" t="s">
        <v>372</v>
      </c>
      <c r="B241">
        <v>23343.83523221111</v>
      </c>
    </row>
    <row r="242" spans="1:2">
      <c r="A242" s="143" t="s">
        <v>373</v>
      </c>
      <c r="B242">
        <v>28548.627279056742</v>
      </c>
    </row>
    <row r="243" spans="1:2">
      <c r="A243" s="143" t="s">
        <v>374</v>
      </c>
      <c r="B243">
        <v>32373.491164399762</v>
      </c>
    </row>
    <row r="244" spans="1:2">
      <c r="A244" s="143" t="s">
        <v>375</v>
      </c>
      <c r="B244">
        <v>32648.463771783652</v>
      </c>
    </row>
    <row r="245" spans="1:2">
      <c r="A245" s="143" t="s">
        <v>376</v>
      </c>
      <c r="B245">
        <v>37453.630684249758</v>
      </c>
    </row>
    <row r="246" spans="1:2">
      <c r="A246" s="143" t="s">
        <v>377</v>
      </c>
      <c r="B246">
        <v>22575.510157750483</v>
      </c>
    </row>
    <row r="247" spans="1:2">
      <c r="A247" s="143" t="s">
        <v>378</v>
      </c>
      <c r="B247">
        <v>22605.442156129357</v>
      </c>
    </row>
    <row r="248" spans="1:2">
      <c r="A248" s="143" t="s">
        <v>379</v>
      </c>
      <c r="B248">
        <v>29135.269700382883</v>
      </c>
    </row>
    <row r="249" spans="1:2">
      <c r="A249" s="143" t="s">
        <v>380</v>
      </c>
      <c r="B249">
        <v>40786.541066327518</v>
      </c>
    </row>
    <row r="250" spans="1:2">
      <c r="A250" s="143" t="s">
        <v>381</v>
      </c>
      <c r="B250">
        <v>28173.392243439455</v>
      </c>
    </row>
    <row r="251" spans="1:2">
      <c r="A251" s="143" t="s">
        <v>382</v>
      </c>
      <c r="B251">
        <v>22890.94666629078</v>
      </c>
    </row>
    <row r="252" spans="1:2">
      <c r="A252" s="143" t="s">
        <v>383</v>
      </c>
      <c r="B252">
        <v>32539.178781448118</v>
      </c>
    </row>
    <row r="253" spans="1:2">
      <c r="A253" s="4" t="s">
        <v>105</v>
      </c>
      <c r="B253">
        <v>1417073.2560505674</v>
      </c>
    </row>
    <row r="254" spans="1:2">
      <c r="A254" s="143" t="s">
        <v>343</v>
      </c>
      <c r="B254">
        <v>19005.97021689959</v>
      </c>
    </row>
    <row r="255" spans="1:2">
      <c r="A255" s="143" t="s">
        <v>344</v>
      </c>
      <c r="B255">
        <v>24649.576168369236</v>
      </c>
    </row>
    <row r="256" spans="1:2">
      <c r="A256" s="143" t="s">
        <v>345</v>
      </c>
      <c r="B256">
        <v>32283.766095768919</v>
      </c>
    </row>
    <row r="257" spans="1:2">
      <c r="A257" s="143" t="s">
        <v>346</v>
      </c>
      <c r="B257">
        <v>22846.124489409758</v>
      </c>
    </row>
    <row r="258" spans="1:2">
      <c r="A258" s="143" t="s">
        <v>347</v>
      </c>
      <c r="B258">
        <v>32127.287808924822</v>
      </c>
    </row>
    <row r="259" spans="1:2">
      <c r="A259" s="143" t="s">
        <v>348</v>
      </c>
      <c r="B259">
        <v>26590.078760011005</v>
      </c>
    </row>
    <row r="260" spans="1:2">
      <c r="A260" s="143" t="s">
        <v>349</v>
      </c>
      <c r="B260">
        <v>34475.966100138663</v>
      </c>
    </row>
    <row r="261" spans="1:2">
      <c r="A261" s="143" t="s">
        <v>350</v>
      </c>
      <c r="B261">
        <v>28398.2634590284</v>
      </c>
    </row>
    <row r="262" spans="1:2">
      <c r="A262" s="143" t="s">
        <v>351</v>
      </c>
      <c r="B262">
        <v>28713.117312883274</v>
      </c>
    </row>
    <row r="263" spans="1:2">
      <c r="A263" s="143" t="s">
        <v>352</v>
      </c>
      <c r="B263">
        <v>35393.404167156477</v>
      </c>
    </row>
    <row r="264" spans="1:2">
      <c r="A264" s="143" t="s">
        <v>353</v>
      </c>
      <c r="B264">
        <v>27248.474230772899</v>
      </c>
    </row>
    <row r="265" spans="1:2">
      <c r="A265" s="143" t="s">
        <v>354</v>
      </c>
      <c r="B265">
        <v>23526.59262139547</v>
      </c>
    </row>
    <row r="266" spans="1:2">
      <c r="A266" s="143" t="s">
        <v>355</v>
      </c>
      <c r="B266">
        <v>34251.108710567467</v>
      </c>
    </row>
    <row r="267" spans="1:2">
      <c r="A267" s="143" t="s">
        <v>356</v>
      </c>
      <c r="B267">
        <v>29813.888817450792</v>
      </c>
    </row>
    <row r="268" spans="1:2">
      <c r="A268" s="143" t="s">
        <v>357</v>
      </c>
      <c r="B268">
        <v>29302.051859224131</v>
      </c>
    </row>
    <row r="269" spans="1:2">
      <c r="A269" s="143" t="s">
        <v>358</v>
      </c>
      <c r="B269">
        <v>31824.805012331126</v>
      </c>
    </row>
    <row r="270" spans="1:2">
      <c r="A270" s="143" t="s">
        <v>359</v>
      </c>
      <c r="B270">
        <v>26228.62074990321</v>
      </c>
    </row>
    <row r="271" spans="1:2">
      <c r="A271" s="143" t="s">
        <v>360</v>
      </c>
      <c r="B271">
        <v>28512.182483200042</v>
      </c>
    </row>
    <row r="272" spans="1:2">
      <c r="A272" s="143" t="s">
        <v>361</v>
      </c>
      <c r="B272">
        <v>26805.191261552489</v>
      </c>
    </row>
    <row r="273" spans="1:2">
      <c r="A273" s="143" t="s">
        <v>362</v>
      </c>
      <c r="B273">
        <v>35112.852160048198</v>
      </c>
    </row>
    <row r="274" spans="1:2">
      <c r="A274" s="143" t="s">
        <v>363</v>
      </c>
      <c r="B274">
        <v>21535.21592902307</v>
      </c>
    </row>
    <row r="275" spans="1:2">
      <c r="A275" s="143" t="s">
        <v>364</v>
      </c>
      <c r="B275">
        <v>32750.260495122759</v>
      </c>
    </row>
    <row r="276" spans="1:2">
      <c r="A276" s="143" t="s">
        <v>365</v>
      </c>
      <c r="B276">
        <v>30626.122513239538</v>
      </c>
    </row>
    <row r="277" spans="1:2">
      <c r="A277" s="143" t="s">
        <v>366</v>
      </c>
      <c r="B277">
        <v>34474.621884722204</v>
      </c>
    </row>
    <row r="278" spans="1:2">
      <c r="A278" s="143" t="s">
        <v>367</v>
      </c>
      <c r="B278">
        <v>29350.896501332871</v>
      </c>
    </row>
    <row r="279" spans="1:2">
      <c r="A279" s="143" t="s">
        <v>368</v>
      </c>
      <c r="B279">
        <v>27232.058791460026</v>
      </c>
    </row>
    <row r="280" spans="1:2">
      <c r="A280" s="143" t="s">
        <v>369</v>
      </c>
      <c r="B280">
        <v>22220.521768981864</v>
      </c>
    </row>
    <row r="281" spans="1:2">
      <c r="A281" s="143" t="s">
        <v>370</v>
      </c>
    </row>
    <row r="282" spans="1:2">
      <c r="A282" s="143" t="s">
        <v>371</v>
      </c>
      <c r="B282">
        <v>28417.957751525992</v>
      </c>
    </row>
    <row r="283" spans="1:2">
      <c r="A283" s="143" t="s">
        <v>372</v>
      </c>
      <c r="B283">
        <v>20818.973134483516</v>
      </c>
    </row>
    <row r="284" spans="1:2">
      <c r="A284" s="143" t="s">
        <v>373</v>
      </c>
      <c r="B284">
        <v>31336.961570359515</v>
      </c>
    </row>
    <row r="285" spans="1:2">
      <c r="A285" s="143" t="s">
        <v>374</v>
      </c>
    </row>
    <row r="286" spans="1:2">
      <c r="A286" s="143" t="s">
        <v>375</v>
      </c>
      <c r="B286">
        <v>29647.506109704544</v>
      </c>
    </row>
    <row r="287" spans="1:2">
      <c r="A287" s="143" t="s">
        <v>376</v>
      </c>
      <c r="B287">
        <v>30743.337286010559</v>
      </c>
    </row>
    <row r="288" spans="1:2">
      <c r="A288" s="143" t="s">
        <v>377</v>
      </c>
      <c r="B288">
        <v>51901.993881686591</v>
      </c>
    </row>
    <row r="289" spans="1:2">
      <c r="A289" s="143" t="s">
        <v>378</v>
      </c>
      <c r="B289">
        <v>30916.799598895777</v>
      </c>
    </row>
    <row r="290" spans="1:2">
      <c r="A290" s="143" t="s">
        <v>379</v>
      </c>
      <c r="B290">
        <v>38558.542400711718</v>
      </c>
    </row>
    <row r="291" spans="1:2">
      <c r="A291" s="143" t="s">
        <v>380</v>
      </c>
    </row>
    <row r="292" spans="1:2">
      <c r="A292" s="143" t="s">
        <v>381</v>
      </c>
      <c r="B292">
        <v>309234.01529324544</v>
      </c>
    </row>
    <row r="293" spans="1:2">
      <c r="A293" s="143" t="s">
        <v>382</v>
      </c>
      <c r="B293">
        <v>37506.668259777434</v>
      </c>
    </row>
    <row r="294" spans="1:2">
      <c r="A294" s="143" t="s">
        <v>383</v>
      </c>
      <c r="B294">
        <v>32691.480395248163</v>
      </c>
    </row>
    <row r="295" spans="1:2">
      <c r="A295" s="4" t="s">
        <v>106</v>
      </c>
      <c r="B295">
        <v>1771380.0878674947</v>
      </c>
    </row>
    <row r="296" spans="1:2">
      <c r="A296" s="143" t="s">
        <v>343</v>
      </c>
      <c r="B296">
        <v>32200.072250266661</v>
      </c>
    </row>
    <row r="297" spans="1:2">
      <c r="A297" s="143" t="s">
        <v>344</v>
      </c>
      <c r="B297">
        <v>22372.374145376307</v>
      </c>
    </row>
    <row r="298" spans="1:2">
      <c r="A298" s="143" t="s">
        <v>345</v>
      </c>
      <c r="B298">
        <v>32848.836401161017</v>
      </c>
    </row>
    <row r="299" spans="1:2">
      <c r="A299" s="143" t="s">
        <v>346</v>
      </c>
      <c r="B299">
        <v>30640.522074553948</v>
      </c>
    </row>
    <row r="300" spans="1:2">
      <c r="A300" s="143" t="s">
        <v>347</v>
      </c>
      <c r="B300">
        <v>25165.119284353936</v>
      </c>
    </row>
    <row r="301" spans="1:2">
      <c r="A301" s="143" t="s">
        <v>348</v>
      </c>
      <c r="B301">
        <v>249918.99950525421</v>
      </c>
    </row>
    <row r="302" spans="1:2">
      <c r="A302" s="143" t="s">
        <v>349</v>
      </c>
      <c r="B302">
        <v>33175.859008409847</v>
      </c>
    </row>
    <row r="303" spans="1:2">
      <c r="A303" s="143" t="s">
        <v>350</v>
      </c>
      <c r="B303">
        <v>32120.829732009581</v>
      </c>
    </row>
    <row r="304" spans="1:2">
      <c r="A304" s="143" t="s">
        <v>351</v>
      </c>
      <c r="B304">
        <v>21657.079630612054</v>
      </c>
    </row>
    <row r="305" spans="1:2">
      <c r="A305" s="143" t="s">
        <v>352</v>
      </c>
      <c r="B305">
        <v>29807.457652496465</v>
      </c>
    </row>
    <row r="306" spans="1:2">
      <c r="A306" s="143" t="s">
        <v>353</v>
      </c>
      <c r="B306">
        <v>26641.883160309742</v>
      </c>
    </row>
    <row r="307" spans="1:2">
      <c r="A307" s="143" t="s">
        <v>354</v>
      </c>
      <c r="B307">
        <v>63465.627930333139</v>
      </c>
    </row>
    <row r="308" spans="1:2">
      <c r="A308" s="143" t="s">
        <v>355</v>
      </c>
      <c r="B308">
        <v>28256.739327960706</v>
      </c>
    </row>
    <row r="309" spans="1:2">
      <c r="A309" s="143" t="s">
        <v>356</v>
      </c>
      <c r="B309">
        <v>33638.147718184897</v>
      </c>
    </row>
    <row r="310" spans="1:2">
      <c r="A310" s="143" t="s">
        <v>357</v>
      </c>
      <c r="B310">
        <v>35540.914083687581</v>
      </c>
    </row>
    <row r="311" spans="1:2">
      <c r="A311" s="143" t="s">
        <v>358</v>
      </c>
      <c r="B311">
        <v>42017.077926191378</v>
      </c>
    </row>
    <row r="312" spans="1:2">
      <c r="A312" s="143" t="s">
        <v>359</v>
      </c>
      <c r="B312">
        <v>29679.308267035038</v>
      </c>
    </row>
    <row r="313" spans="1:2">
      <c r="A313" s="143" t="s">
        <v>360</v>
      </c>
      <c r="B313">
        <v>36878.534066558095</v>
      </c>
    </row>
    <row r="314" spans="1:2">
      <c r="A314" s="143" t="s">
        <v>361</v>
      </c>
      <c r="B314">
        <v>23384.55103296251</v>
      </c>
    </row>
    <row r="315" spans="1:2">
      <c r="A315" s="143" t="s">
        <v>362</v>
      </c>
      <c r="B315">
        <v>42198.762031696366</v>
      </c>
    </row>
    <row r="316" spans="1:2">
      <c r="A316" s="143" t="s">
        <v>363</v>
      </c>
      <c r="B316">
        <v>29508.30186602625</v>
      </c>
    </row>
    <row r="317" spans="1:2">
      <c r="A317" s="143" t="s">
        <v>364</v>
      </c>
      <c r="B317">
        <v>25158.277725681823</v>
      </c>
    </row>
    <row r="318" spans="1:2">
      <c r="A318" s="143" t="s">
        <v>365</v>
      </c>
      <c r="B318">
        <v>27852.972294373736</v>
      </c>
    </row>
    <row r="319" spans="1:2">
      <c r="A319" s="143" t="s">
        <v>366</v>
      </c>
      <c r="B319">
        <v>28525.25160853986</v>
      </c>
    </row>
    <row r="320" spans="1:2">
      <c r="A320" s="143" t="s">
        <v>367</v>
      </c>
      <c r="B320">
        <v>30219.057359895549</v>
      </c>
    </row>
    <row r="321" spans="1:2">
      <c r="A321" s="143" t="s">
        <v>368</v>
      </c>
      <c r="B321">
        <v>32844.915395926379</v>
      </c>
    </row>
    <row r="322" spans="1:2">
      <c r="A322" s="143" t="s">
        <v>369</v>
      </c>
      <c r="B322">
        <v>31654.401161072285</v>
      </c>
    </row>
    <row r="323" spans="1:2">
      <c r="A323" s="143" t="s">
        <v>370</v>
      </c>
      <c r="B323">
        <v>32693.779962231845</v>
      </c>
    </row>
    <row r="324" spans="1:2">
      <c r="A324" s="143" t="s">
        <v>371</v>
      </c>
      <c r="B324">
        <v>36065.488499895917</v>
      </c>
    </row>
    <row r="325" spans="1:2">
      <c r="A325" s="143" t="s">
        <v>372</v>
      </c>
      <c r="B325">
        <v>32539.956634562717</v>
      </c>
    </row>
    <row r="326" spans="1:2">
      <c r="A326" s="143" t="s">
        <v>373</v>
      </c>
      <c r="B326">
        <v>31608.489030980068</v>
      </c>
    </row>
    <row r="327" spans="1:2">
      <c r="A327" s="143" t="s">
        <v>374</v>
      </c>
      <c r="B327">
        <v>34088.831496001432</v>
      </c>
    </row>
    <row r="328" spans="1:2">
      <c r="A328" s="143" t="s">
        <v>375</v>
      </c>
      <c r="B328">
        <v>32432.50821913101</v>
      </c>
    </row>
    <row r="329" spans="1:2">
      <c r="A329" s="143" t="s">
        <v>376</v>
      </c>
      <c r="B329">
        <v>28314.570144409805</v>
      </c>
    </row>
    <row r="330" spans="1:2">
      <c r="A330" s="143" t="s">
        <v>377</v>
      </c>
      <c r="B330">
        <v>23165.606507922894</v>
      </c>
    </row>
    <row r="331" spans="1:2">
      <c r="A331" s="143" t="s">
        <v>378</v>
      </c>
      <c r="B331">
        <v>299234.50754135021</v>
      </c>
    </row>
    <row r="332" spans="1:2">
      <c r="A332" s="143" t="s">
        <v>379</v>
      </c>
      <c r="B332">
        <v>23140.494285343219</v>
      </c>
    </row>
    <row r="333" spans="1:2">
      <c r="A333" s="143" t="s">
        <v>380</v>
      </c>
      <c r="B333">
        <v>33710.476860046532</v>
      </c>
    </row>
    <row r="334" spans="1:2">
      <c r="A334" s="143" t="s">
        <v>381</v>
      </c>
      <c r="B334">
        <v>23264.368552351516</v>
      </c>
    </row>
    <row r="335" spans="1:2">
      <c r="A335" s="143" t="s">
        <v>382</v>
      </c>
      <c r="B335">
        <v>28386.60080578932</v>
      </c>
    </row>
    <row r="336" spans="1:2">
      <c r="A336" s="143" t="s">
        <v>383</v>
      </c>
      <c r="B336">
        <v>35362.536686549014</v>
      </c>
    </row>
    <row r="337" spans="1:2">
      <c r="A337" s="4" t="s">
        <v>107</v>
      </c>
      <c r="B337">
        <v>1778231.0761216686</v>
      </c>
    </row>
    <row r="338" spans="1:2">
      <c r="A338" s="143" t="s">
        <v>343</v>
      </c>
      <c r="B338">
        <v>27489.728878236943</v>
      </c>
    </row>
    <row r="339" spans="1:2">
      <c r="A339" s="143" t="s">
        <v>344</v>
      </c>
      <c r="B339">
        <v>26540.459650593777</v>
      </c>
    </row>
    <row r="340" spans="1:2">
      <c r="A340" s="143" t="s">
        <v>345</v>
      </c>
      <c r="B340">
        <v>32238.542800086576</v>
      </c>
    </row>
    <row r="341" spans="1:2">
      <c r="A341" s="143" t="s">
        <v>346</v>
      </c>
      <c r="B341">
        <v>26594.741712625597</v>
      </c>
    </row>
    <row r="342" spans="1:2">
      <c r="A342" s="143" t="s">
        <v>347</v>
      </c>
      <c r="B342">
        <v>29761.4432192901</v>
      </c>
    </row>
    <row r="343" spans="1:2">
      <c r="A343" s="143" t="s">
        <v>348</v>
      </c>
      <c r="B343">
        <v>28594.498535570227</v>
      </c>
    </row>
    <row r="344" spans="1:2">
      <c r="A344" s="143" t="s">
        <v>349</v>
      </c>
      <c r="B344">
        <v>35247.763576596677</v>
      </c>
    </row>
    <row r="345" spans="1:2">
      <c r="A345" s="143" t="s">
        <v>350</v>
      </c>
      <c r="B345">
        <v>32614.177440177496</v>
      </c>
    </row>
    <row r="346" spans="1:2">
      <c r="A346" s="143" t="s">
        <v>351</v>
      </c>
      <c r="B346">
        <v>31996.115613026395</v>
      </c>
    </row>
    <row r="347" spans="1:2">
      <c r="A347" s="143" t="s">
        <v>352</v>
      </c>
      <c r="B347">
        <v>29136.863500295902</v>
      </c>
    </row>
    <row r="348" spans="1:2">
      <c r="A348" s="143" t="s">
        <v>353</v>
      </c>
      <c r="B348">
        <v>29872.229645042775</v>
      </c>
    </row>
    <row r="349" spans="1:2">
      <c r="A349" s="143" t="s">
        <v>354</v>
      </c>
      <c r="B349">
        <v>31732.519408653578</v>
      </c>
    </row>
    <row r="350" spans="1:2">
      <c r="A350" s="143" t="s">
        <v>355</v>
      </c>
      <c r="B350">
        <v>28253.711478407855</v>
      </c>
    </row>
    <row r="351" spans="1:2">
      <c r="A351" s="143" t="s">
        <v>356</v>
      </c>
      <c r="B351">
        <v>30259.729429036499</v>
      </c>
    </row>
    <row r="352" spans="1:2">
      <c r="A352" s="143" t="s">
        <v>357</v>
      </c>
      <c r="B352">
        <v>24800.470364372348</v>
      </c>
    </row>
    <row r="353" spans="1:2">
      <c r="A353" s="143" t="s">
        <v>358</v>
      </c>
      <c r="B353">
        <v>29711.906014832071</v>
      </c>
    </row>
    <row r="354" spans="1:2">
      <c r="A354" s="143" t="s">
        <v>359</v>
      </c>
      <c r="B354">
        <v>31643.812051517401</v>
      </c>
    </row>
    <row r="355" spans="1:2">
      <c r="A355" s="143" t="s">
        <v>360</v>
      </c>
      <c r="B355">
        <v>29249.722064837366</v>
      </c>
    </row>
    <row r="356" spans="1:2">
      <c r="A356" s="143" t="s">
        <v>361</v>
      </c>
      <c r="B356">
        <v>38210.075800681843</v>
      </c>
    </row>
    <row r="357" spans="1:2">
      <c r="A357" s="143" t="s">
        <v>362</v>
      </c>
      <c r="B357">
        <v>36921.364092552591</v>
      </c>
    </row>
    <row r="358" spans="1:2">
      <c r="A358" s="143" t="s">
        <v>363</v>
      </c>
      <c r="B358">
        <v>25057.044464245413</v>
      </c>
    </row>
    <row r="359" spans="1:2">
      <c r="A359" s="143" t="s">
        <v>364</v>
      </c>
      <c r="B359">
        <v>30526.877530729798</v>
      </c>
    </row>
    <row r="360" spans="1:2">
      <c r="A360" s="143" t="s">
        <v>365</v>
      </c>
      <c r="B360">
        <v>30611.487515161418</v>
      </c>
    </row>
    <row r="361" spans="1:2">
      <c r="A361" s="143" t="s">
        <v>366</v>
      </c>
      <c r="B361">
        <v>36238.710363368671</v>
      </c>
    </row>
    <row r="362" spans="1:2">
      <c r="A362" s="143" t="s">
        <v>367</v>
      </c>
      <c r="B362">
        <v>29264.989991857557</v>
      </c>
    </row>
    <row r="363" spans="1:2">
      <c r="A363" s="143" t="s">
        <v>368</v>
      </c>
      <c r="B363">
        <v>38141.983115642688</v>
      </c>
    </row>
    <row r="364" spans="1:2">
      <c r="A364" s="143" t="s">
        <v>369</v>
      </c>
      <c r="B364">
        <v>34167.644808044621</v>
      </c>
    </row>
    <row r="365" spans="1:2">
      <c r="A365" s="143" t="s">
        <v>370</v>
      </c>
      <c r="B365">
        <v>25396.632034603168</v>
      </c>
    </row>
    <row r="366" spans="1:2">
      <c r="A366" s="143" t="s">
        <v>371</v>
      </c>
      <c r="B366">
        <v>30708.584568199523</v>
      </c>
    </row>
    <row r="367" spans="1:2">
      <c r="A367" s="143" t="s">
        <v>372</v>
      </c>
      <c r="B367">
        <v>24483.166969130631</v>
      </c>
    </row>
    <row r="368" spans="1:2">
      <c r="A368" s="143" t="s">
        <v>373</v>
      </c>
      <c r="B368">
        <v>26659.547731784754</v>
      </c>
    </row>
    <row r="369" spans="1:2">
      <c r="A369" s="143" t="s">
        <v>374</v>
      </c>
      <c r="B369">
        <v>369510.37745086564</v>
      </c>
    </row>
    <row r="370" spans="1:2">
      <c r="A370" s="143" t="s">
        <v>375</v>
      </c>
    </row>
    <row r="371" spans="1:2">
      <c r="A371" s="143" t="s">
        <v>376</v>
      </c>
      <c r="B371">
        <v>269329.86682295299</v>
      </c>
    </row>
    <row r="372" spans="1:2">
      <c r="A372" s="143" t="s">
        <v>377</v>
      </c>
      <c r="B372">
        <v>28876.172990536583</v>
      </c>
    </row>
    <row r="373" spans="1:2">
      <c r="A373" s="143" t="s">
        <v>378</v>
      </c>
      <c r="B373">
        <v>32896.457498005439</v>
      </c>
    </row>
    <row r="374" spans="1:2">
      <c r="A374" s="143" t="s">
        <v>379</v>
      </c>
      <c r="B374">
        <v>21932.193010616294</v>
      </c>
    </row>
    <row r="375" spans="1:2">
      <c r="A375" s="143" t="s">
        <v>380</v>
      </c>
      <c r="B375">
        <v>31496.462902032461</v>
      </c>
    </row>
    <row r="376" spans="1:2">
      <c r="A376" s="143" t="s">
        <v>381</v>
      </c>
      <c r="B376">
        <v>25141.929807446744</v>
      </c>
    </row>
    <row r="377" spans="1:2">
      <c r="A377" s="143" t="s">
        <v>382</v>
      </c>
      <c r="B377">
        <v>28745.834917724762</v>
      </c>
    </row>
    <row r="378" spans="1:2">
      <c r="A378" s="143" t="s">
        <v>383</v>
      </c>
      <c r="B378">
        <v>28175.236352285574</v>
      </c>
    </row>
    <row r="379" spans="1:2">
      <c r="A379" s="4" t="s">
        <v>108</v>
      </c>
      <c r="B379">
        <v>1186869.5589668078</v>
      </c>
    </row>
    <row r="380" spans="1:2">
      <c r="A380" s="143" t="s">
        <v>343</v>
      </c>
      <c r="B380">
        <v>24893.835914346433</v>
      </c>
    </row>
    <row r="381" spans="1:2">
      <c r="A381" s="143" t="s">
        <v>344</v>
      </c>
      <c r="B381">
        <v>29772.069918222511</v>
      </c>
    </row>
    <row r="382" spans="1:2">
      <c r="A382" s="143" t="s">
        <v>345</v>
      </c>
      <c r="B382">
        <v>33213.61379933772</v>
      </c>
    </row>
    <row r="383" spans="1:2">
      <c r="A383" s="143" t="s">
        <v>346</v>
      </c>
      <c r="B383">
        <v>34203.21774494362</v>
      </c>
    </row>
    <row r="384" spans="1:2">
      <c r="A384" s="143" t="s">
        <v>347</v>
      </c>
      <c r="B384">
        <v>29981.987304547158</v>
      </c>
    </row>
    <row r="385" spans="1:2">
      <c r="A385" s="143" t="s">
        <v>348</v>
      </c>
      <c r="B385">
        <v>72192.646940582665</v>
      </c>
    </row>
    <row r="386" spans="1:2">
      <c r="A386" s="143" t="s">
        <v>349</v>
      </c>
      <c r="B386">
        <v>27323.823942197159</v>
      </c>
    </row>
    <row r="387" spans="1:2">
      <c r="A387" s="143" t="s">
        <v>350</v>
      </c>
      <c r="B387">
        <v>27131.499980307104</v>
      </c>
    </row>
    <row r="388" spans="1:2">
      <c r="A388" s="143" t="s">
        <v>351</v>
      </c>
      <c r="B388">
        <v>33235.979698513707</v>
      </c>
    </row>
    <row r="389" spans="1:2">
      <c r="A389" s="143" t="s">
        <v>352</v>
      </c>
      <c r="B389">
        <v>34418.299687433362</v>
      </c>
    </row>
    <row r="390" spans="1:2">
      <c r="A390" s="143" t="s">
        <v>353</v>
      </c>
      <c r="B390">
        <v>35863.645096296823</v>
      </c>
    </row>
    <row r="391" spans="1:2">
      <c r="A391" s="143" t="s">
        <v>354</v>
      </c>
      <c r="B391">
        <v>29765.397105604079</v>
      </c>
    </row>
    <row r="392" spans="1:2">
      <c r="A392" s="143" t="s">
        <v>355</v>
      </c>
      <c r="B392">
        <v>28391.824743913086</v>
      </c>
    </row>
    <row r="393" spans="1:2">
      <c r="A393" s="143" t="s">
        <v>356</v>
      </c>
      <c r="B393">
        <v>33663.200386077893</v>
      </c>
    </row>
    <row r="394" spans="1:2">
      <c r="A394" s="143" t="s">
        <v>357</v>
      </c>
      <c r="B394">
        <v>33063.869525312846</v>
      </c>
    </row>
    <row r="395" spans="1:2">
      <c r="A395" s="143" t="s">
        <v>358</v>
      </c>
      <c r="B395">
        <v>31005.495233574838</v>
      </c>
    </row>
    <row r="396" spans="1:2">
      <c r="A396" s="143" t="s">
        <v>359</v>
      </c>
    </row>
    <row r="397" spans="1:2">
      <c r="A397" s="143" t="s">
        <v>360</v>
      </c>
    </row>
    <row r="398" spans="1:2">
      <c r="A398" s="143" t="s">
        <v>361</v>
      </c>
      <c r="B398">
        <v>35049.085446713172</v>
      </c>
    </row>
    <row r="399" spans="1:2">
      <c r="A399" s="143" t="s">
        <v>362</v>
      </c>
      <c r="B399">
        <v>32819.545600261801</v>
      </c>
    </row>
    <row r="400" spans="1:2">
      <c r="A400" s="143" t="s">
        <v>363</v>
      </c>
    </row>
    <row r="401" spans="1:2">
      <c r="A401" s="143" t="s">
        <v>364</v>
      </c>
    </row>
    <row r="402" spans="1:2">
      <c r="A402" s="143" t="s">
        <v>365</v>
      </c>
      <c r="B402">
        <v>32716.490145181939</v>
      </c>
    </row>
    <row r="403" spans="1:2">
      <c r="A403" s="143" t="s">
        <v>366</v>
      </c>
      <c r="B403">
        <v>26632.546878780657</v>
      </c>
    </row>
    <row r="404" spans="1:2">
      <c r="A404" s="143" t="s">
        <v>367</v>
      </c>
      <c r="B404">
        <v>34819.395583974547</v>
      </c>
    </row>
    <row r="405" spans="1:2">
      <c r="A405" s="143" t="s">
        <v>368</v>
      </c>
      <c r="B405">
        <v>28104.361295062565</v>
      </c>
    </row>
    <row r="406" spans="1:2">
      <c r="A406" s="143" t="s">
        <v>369</v>
      </c>
      <c r="B406">
        <v>20031.321787142722</v>
      </c>
    </row>
    <row r="407" spans="1:2">
      <c r="A407" s="143" t="s">
        <v>370</v>
      </c>
      <c r="B407">
        <v>30846.80412018039</v>
      </c>
    </row>
    <row r="408" spans="1:2">
      <c r="A408" s="143" t="s">
        <v>371</v>
      </c>
      <c r="B408">
        <v>73563.23689688032</v>
      </c>
    </row>
    <row r="409" spans="1:2">
      <c r="A409" s="143" t="s">
        <v>372</v>
      </c>
      <c r="B409">
        <v>19235.547035237585</v>
      </c>
    </row>
    <row r="410" spans="1:2">
      <c r="A410" s="143" t="s">
        <v>373</v>
      </c>
      <c r="B410">
        <v>34960.211747682617</v>
      </c>
    </row>
    <row r="411" spans="1:2">
      <c r="A411" s="143" t="s">
        <v>374</v>
      </c>
      <c r="B411">
        <v>32789.051531759309</v>
      </c>
    </row>
    <row r="412" spans="1:2">
      <c r="A412" s="143" t="s">
        <v>375</v>
      </c>
      <c r="B412">
        <v>20122.667168230644</v>
      </c>
    </row>
    <row r="413" spans="1:2">
      <c r="A413" s="143" t="s">
        <v>376</v>
      </c>
    </row>
    <row r="414" spans="1:2">
      <c r="A414" s="143" t="s">
        <v>377</v>
      </c>
      <c r="B414">
        <v>24149.434869703204</v>
      </c>
    </row>
    <row r="415" spans="1:2">
      <c r="A415" s="143" t="s">
        <v>378</v>
      </c>
      <c r="B415">
        <v>30597.901842070765</v>
      </c>
    </row>
    <row r="416" spans="1:2">
      <c r="A416" s="143" t="s">
        <v>379</v>
      </c>
      <c r="B416">
        <v>37355.85163746804</v>
      </c>
    </row>
    <row r="417" spans="1:2">
      <c r="A417" s="143" t="s">
        <v>380</v>
      </c>
      <c r="B417">
        <v>36508.706446993994</v>
      </c>
    </row>
    <row r="418" spans="1:2">
      <c r="A418" s="143" t="s">
        <v>381</v>
      </c>
      <c r="B418">
        <v>36002.069539722128</v>
      </c>
    </row>
    <row r="419" spans="1:2">
      <c r="A419" s="143" t="s">
        <v>382</v>
      </c>
      <c r="B419">
        <v>36640.970709245288</v>
      </c>
    </row>
    <row r="420" spans="1:2">
      <c r="A420" s="143" t="s">
        <v>383</v>
      </c>
      <c r="B420">
        <v>25803.951663304968</v>
      </c>
    </row>
    <row r="421" spans="1:2">
      <c r="A421" s="4" t="s">
        <v>109</v>
      </c>
      <c r="B421">
        <v>1208660.0509476541</v>
      </c>
    </row>
    <row r="422" spans="1:2">
      <c r="A422" s="143" t="s">
        <v>343</v>
      </c>
      <c r="B422">
        <v>33541.782236496765</v>
      </c>
    </row>
    <row r="423" spans="1:2">
      <c r="A423" s="143" t="s">
        <v>344</v>
      </c>
      <c r="B423">
        <v>31216.697246613458</v>
      </c>
    </row>
    <row r="424" spans="1:2">
      <c r="A424" s="143" t="s">
        <v>345</v>
      </c>
      <c r="B424">
        <v>36645.76265066216</v>
      </c>
    </row>
    <row r="425" spans="1:2">
      <c r="A425" s="143" t="s">
        <v>346</v>
      </c>
      <c r="B425">
        <v>26736.880103488045</v>
      </c>
    </row>
    <row r="426" spans="1:2">
      <c r="A426" s="143" t="s">
        <v>347</v>
      </c>
      <c r="B426">
        <v>24208.176554037287</v>
      </c>
    </row>
    <row r="427" spans="1:2">
      <c r="A427" s="143" t="s">
        <v>348</v>
      </c>
      <c r="B427">
        <v>27144.105051086015</v>
      </c>
    </row>
    <row r="428" spans="1:2">
      <c r="A428" s="143" t="s">
        <v>349</v>
      </c>
      <c r="B428">
        <v>36586.970328171628</v>
      </c>
    </row>
    <row r="429" spans="1:2">
      <c r="A429" s="143" t="s">
        <v>350</v>
      </c>
      <c r="B429">
        <v>29878.227038695084</v>
      </c>
    </row>
    <row r="430" spans="1:2">
      <c r="A430" s="143" t="s">
        <v>351</v>
      </c>
      <c r="B430">
        <v>27584.067688503128</v>
      </c>
    </row>
    <row r="431" spans="1:2">
      <c r="A431" s="143" t="s">
        <v>352</v>
      </c>
      <c r="B431">
        <v>33261.614392067095</v>
      </c>
    </row>
    <row r="432" spans="1:2">
      <c r="A432" s="143" t="s">
        <v>353</v>
      </c>
      <c r="B432">
        <v>32718.000772972162</v>
      </c>
    </row>
    <row r="433" spans="1:2">
      <c r="A433" s="143" t="s">
        <v>354</v>
      </c>
      <c r="B433">
        <v>32385.204136115608</v>
      </c>
    </row>
    <row r="434" spans="1:2">
      <c r="A434" s="143" t="s">
        <v>355</v>
      </c>
      <c r="B434">
        <v>40383.739917804203</v>
      </c>
    </row>
    <row r="435" spans="1:2">
      <c r="A435" s="143" t="s">
        <v>356</v>
      </c>
      <c r="B435">
        <v>29596.417099457089</v>
      </c>
    </row>
    <row r="436" spans="1:2">
      <c r="A436" s="143" t="s">
        <v>357</v>
      </c>
      <c r="B436">
        <v>24732.922184131719</v>
      </c>
    </row>
    <row r="437" spans="1:2">
      <c r="A437" s="143" t="s">
        <v>358</v>
      </c>
      <c r="B437">
        <v>35253.271980038058</v>
      </c>
    </row>
    <row r="438" spans="1:2">
      <c r="A438" s="143" t="s">
        <v>359</v>
      </c>
      <c r="B438">
        <v>32109.603771176422</v>
      </c>
    </row>
    <row r="439" spans="1:2">
      <c r="A439" s="143" t="s">
        <v>360</v>
      </c>
      <c r="B439">
        <v>29134.640878580652</v>
      </c>
    </row>
    <row r="440" spans="1:2">
      <c r="A440" s="143" t="s">
        <v>361</v>
      </c>
      <c r="B440">
        <v>26559.248274111382</v>
      </c>
    </row>
    <row r="441" spans="1:2">
      <c r="A441" s="143" t="s">
        <v>362</v>
      </c>
      <c r="B441">
        <v>32973.771708326429</v>
      </c>
    </row>
    <row r="442" spans="1:2">
      <c r="A442" s="143" t="s">
        <v>363</v>
      </c>
      <c r="B442">
        <v>30899.470755767394</v>
      </c>
    </row>
    <row r="443" spans="1:2">
      <c r="A443" s="143" t="s">
        <v>364</v>
      </c>
      <c r="B443">
        <v>26993.161780243932</v>
      </c>
    </row>
    <row r="444" spans="1:2">
      <c r="A444" s="143" t="s">
        <v>365</v>
      </c>
      <c r="B444">
        <v>30244.300351628521</v>
      </c>
    </row>
    <row r="445" spans="1:2">
      <c r="A445" s="143" t="s">
        <v>366</v>
      </c>
      <c r="B445">
        <v>31394.970811119008</v>
      </c>
    </row>
    <row r="446" spans="1:2">
      <c r="A446" s="143" t="s">
        <v>367</v>
      </c>
      <c r="B446">
        <v>41052.61500795676</v>
      </c>
    </row>
    <row r="447" spans="1:2">
      <c r="A447" s="143" t="s">
        <v>368</v>
      </c>
      <c r="B447">
        <v>28982.098199488191</v>
      </c>
    </row>
    <row r="448" spans="1:2">
      <c r="A448" s="143" t="s">
        <v>369</v>
      </c>
      <c r="B448">
        <v>31870.282849237861</v>
      </c>
    </row>
    <row r="449" spans="1:2">
      <c r="A449" s="143" t="s">
        <v>370</v>
      </c>
      <c r="B449">
        <v>22931.427515475101</v>
      </c>
    </row>
    <row r="450" spans="1:2">
      <c r="A450" s="143" t="s">
        <v>371</v>
      </c>
    </row>
    <row r="451" spans="1:2">
      <c r="A451" s="143" t="s">
        <v>372</v>
      </c>
      <c r="B451">
        <v>31942.893022654822</v>
      </c>
    </row>
    <row r="452" spans="1:2">
      <c r="A452" s="143" t="s">
        <v>373</v>
      </c>
      <c r="B452">
        <v>29125.201216522957</v>
      </c>
    </row>
    <row r="453" spans="1:2">
      <c r="A453" s="143" t="s">
        <v>374</v>
      </c>
      <c r="B453">
        <v>30051.763099216903</v>
      </c>
    </row>
    <row r="454" spans="1:2">
      <c r="A454" s="143" t="s">
        <v>375</v>
      </c>
      <c r="B454">
        <v>25303.323030906227</v>
      </c>
    </row>
    <row r="455" spans="1:2">
      <c r="A455" s="143" t="s">
        <v>376</v>
      </c>
      <c r="B455">
        <v>28059.115907293857</v>
      </c>
    </row>
    <row r="456" spans="1:2">
      <c r="A456" s="143" t="s">
        <v>377</v>
      </c>
      <c r="B456">
        <v>20990.097812099899</v>
      </c>
    </row>
    <row r="457" spans="1:2">
      <c r="A457" s="143" t="s">
        <v>378</v>
      </c>
      <c r="B457">
        <v>25134.655295592223</v>
      </c>
    </row>
    <row r="458" spans="1:2">
      <c r="A458" s="143" t="s">
        <v>379</v>
      </c>
      <c r="B458">
        <v>28953.381614240669</v>
      </c>
    </row>
    <row r="459" spans="1:2">
      <c r="A459" s="143" t="s">
        <v>380</v>
      </c>
      <c r="B459">
        <v>37807.555983634265</v>
      </c>
    </row>
    <row r="460" spans="1:2">
      <c r="A460" s="143" t="s">
        <v>381</v>
      </c>
      <c r="B460">
        <v>26715.528605143023</v>
      </c>
    </row>
    <row r="461" spans="1:2">
      <c r="A461" s="143" t="s">
        <v>382</v>
      </c>
      <c r="B461">
        <v>32781.150047003299</v>
      </c>
    </row>
    <row r="462" spans="1:2">
      <c r="A462" s="143" t="s">
        <v>383</v>
      </c>
      <c r="B462">
        <v>24775.954029894834</v>
      </c>
    </row>
    <row r="463" spans="1:2">
      <c r="A463" s="4" t="s">
        <v>110</v>
      </c>
      <c r="B463">
        <v>1837570.561772401</v>
      </c>
    </row>
    <row r="464" spans="1:2">
      <c r="A464" s="143" t="s">
        <v>343</v>
      </c>
      <c r="B464">
        <v>31219.003568855995</v>
      </c>
    </row>
    <row r="465" spans="1:2">
      <c r="A465" s="143" t="s">
        <v>344</v>
      </c>
      <c r="B465">
        <v>28793.819710718351</v>
      </c>
    </row>
    <row r="466" spans="1:2">
      <c r="A466" s="143" t="s">
        <v>345</v>
      </c>
      <c r="B466">
        <v>30982.605848507352</v>
      </c>
    </row>
    <row r="467" spans="1:2">
      <c r="A467" s="143" t="s">
        <v>346</v>
      </c>
      <c r="B467">
        <v>27769.082833926102</v>
      </c>
    </row>
    <row r="468" spans="1:2">
      <c r="A468" s="143" t="s">
        <v>347</v>
      </c>
      <c r="B468">
        <v>37516.991508835752</v>
      </c>
    </row>
    <row r="469" spans="1:2">
      <c r="A469" s="143" t="s">
        <v>348</v>
      </c>
      <c r="B469">
        <v>32862.913906780792</v>
      </c>
    </row>
    <row r="470" spans="1:2">
      <c r="A470" s="143" t="s">
        <v>349</v>
      </c>
      <c r="B470">
        <v>30987.998023461998</v>
      </c>
    </row>
    <row r="471" spans="1:2">
      <c r="A471" s="143" t="s">
        <v>350</v>
      </c>
      <c r="B471">
        <v>40711.351793059323</v>
      </c>
    </row>
    <row r="472" spans="1:2">
      <c r="A472" s="143" t="s">
        <v>351</v>
      </c>
      <c r="B472">
        <v>37869.933816450168</v>
      </c>
    </row>
    <row r="473" spans="1:2">
      <c r="A473" s="143" t="s">
        <v>352</v>
      </c>
      <c r="B473">
        <v>22118.039215078752</v>
      </c>
    </row>
    <row r="474" spans="1:2">
      <c r="A474" s="143" t="s">
        <v>353</v>
      </c>
      <c r="B474">
        <v>28146.928339569469</v>
      </c>
    </row>
    <row r="475" spans="1:2">
      <c r="A475" s="143" t="s">
        <v>354</v>
      </c>
      <c r="B475">
        <v>30384.109455301277</v>
      </c>
    </row>
    <row r="476" spans="1:2">
      <c r="A476" s="143" t="s">
        <v>355</v>
      </c>
      <c r="B476">
        <v>31909.677261157765</v>
      </c>
    </row>
    <row r="477" spans="1:2">
      <c r="A477" s="143" t="s">
        <v>356</v>
      </c>
      <c r="B477">
        <v>30393.175951580452</v>
      </c>
    </row>
    <row r="478" spans="1:2">
      <c r="A478" s="143" t="s">
        <v>357</v>
      </c>
      <c r="B478">
        <v>26881.155196520973</v>
      </c>
    </row>
    <row r="479" spans="1:2">
      <c r="A479" s="143" t="s">
        <v>358</v>
      </c>
      <c r="B479">
        <v>35527.629664789922</v>
      </c>
    </row>
    <row r="480" spans="1:2">
      <c r="A480" s="143" t="s">
        <v>359</v>
      </c>
      <c r="B480">
        <v>38068.556345293233</v>
      </c>
    </row>
    <row r="481" spans="1:2">
      <c r="A481" s="143" t="s">
        <v>360</v>
      </c>
      <c r="B481">
        <v>30077.895237907338</v>
      </c>
    </row>
    <row r="482" spans="1:2">
      <c r="A482" s="143" t="s">
        <v>361</v>
      </c>
      <c r="B482">
        <v>41262.17902672154</v>
      </c>
    </row>
    <row r="483" spans="1:2">
      <c r="A483" s="143" t="s">
        <v>362</v>
      </c>
      <c r="B483">
        <v>34267.077793901539</v>
      </c>
    </row>
    <row r="484" spans="1:2">
      <c r="A484" s="143" t="s">
        <v>363</v>
      </c>
      <c r="B484">
        <v>36960.011431722996</v>
      </c>
    </row>
    <row r="485" spans="1:2">
      <c r="A485" s="143" t="s">
        <v>364</v>
      </c>
      <c r="B485">
        <v>31598.909670712685</v>
      </c>
    </row>
    <row r="486" spans="1:2">
      <c r="A486" s="143" t="s">
        <v>365</v>
      </c>
      <c r="B486">
        <v>56693.000016985636</v>
      </c>
    </row>
    <row r="487" spans="1:2">
      <c r="A487" s="143" t="s">
        <v>366</v>
      </c>
      <c r="B487">
        <v>25823.264733701213</v>
      </c>
    </row>
    <row r="488" spans="1:2">
      <c r="A488" s="143" t="s">
        <v>367</v>
      </c>
      <c r="B488">
        <v>272125.4107496083</v>
      </c>
    </row>
    <row r="489" spans="1:2">
      <c r="A489" s="143" t="s">
        <v>368</v>
      </c>
      <c r="B489">
        <v>27091.595430256781</v>
      </c>
    </row>
    <row r="490" spans="1:2">
      <c r="A490" s="143" t="s">
        <v>369</v>
      </c>
      <c r="B490">
        <v>36138.344962366464</v>
      </c>
    </row>
    <row r="491" spans="1:2">
      <c r="A491" s="143" t="s">
        <v>370</v>
      </c>
      <c r="B491">
        <v>29443.8696932565</v>
      </c>
    </row>
    <row r="492" spans="1:2">
      <c r="A492" s="143" t="s">
        <v>371</v>
      </c>
      <c r="B492">
        <v>28454.417678987495</v>
      </c>
    </row>
    <row r="493" spans="1:2">
      <c r="A493" s="143" t="s">
        <v>372</v>
      </c>
      <c r="B493">
        <v>42464.997587163954</v>
      </c>
    </row>
    <row r="494" spans="1:2">
      <c r="A494" s="143" t="s">
        <v>373</v>
      </c>
      <c r="B494">
        <v>26221.274202535777</v>
      </c>
    </row>
    <row r="495" spans="1:2">
      <c r="A495" s="143" t="s">
        <v>374</v>
      </c>
      <c r="B495">
        <v>23440.818838249201</v>
      </c>
    </row>
    <row r="496" spans="1:2">
      <c r="A496" s="143" t="s">
        <v>375</v>
      </c>
      <c r="B496">
        <v>29279.562221391923</v>
      </c>
    </row>
    <row r="497" spans="1:2">
      <c r="A497" s="143" t="s">
        <v>376</v>
      </c>
      <c r="B497">
        <v>30852.08111187744</v>
      </c>
    </row>
    <row r="498" spans="1:2">
      <c r="A498" s="143" t="s">
        <v>377</v>
      </c>
      <c r="B498">
        <v>32707.313641023939</v>
      </c>
    </row>
    <row r="499" spans="1:2">
      <c r="A499" s="143" t="s">
        <v>378</v>
      </c>
      <c r="B499">
        <v>35982.857508322457</v>
      </c>
    </row>
    <row r="500" spans="1:2">
      <c r="A500" s="143" t="s">
        <v>379</v>
      </c>
      <c r="B500">
        <v>26654.636306700417</v>
      </c>
    </row>
    <row r="501" spans="1:2">
      <c r="A501" s="143" t="s">
        <v>380</v>
      </c>
      <c r="B501">
        <v>30160.020745328835</v>
      </c>
    </row>
    <row r="502" spans="1:2">
      <c r="A502" s="143" t="s">
        <v>381</v>
      </c>
      <c r="B502">
        <v>24765.445086590302</v>
      </c>
    </row>
    <row r="503" spans="1:2">
      <c r="A503" s="143" t="s">
        <v>382</v>
      </c>
      <c r="B503">
        <v>322794.38860408036</v>
      </c>
    </row>
    <row r="504" spans="1:2">
      <c r="A504" s="143" t="s">
        <v>383</v>
      </c>
      <c r="B504">
        <v>20168.217053119992</v>
      </c>
    </row>
    <row r="505" spans="1:2">
      <c r="A505" s="4" t="s">
        <v>38</v>
      </c>
      <c r="B505">
        <v>18100490.400878195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1577B-861E-48D0-A0EF-A0D552FC8D61}">
  <sheetPr codeName="Sheet64"/>
  <dimension ref="A3:I505"/>
  <sheetViews>
    <sheetView topLeftCell="C1" workbookViewId="0">
      <selection activeCell="S8" sqref="S8"/>
    </sheetView>
  </sheetViews>
  <sheetFormatPr defaultRowHeight="14.4"/>
  <cols>
    <col min="1" max="1" width="12.5546875" bestFit="1" customWidth="1"/>
    <col min="2" max="2" width="22.77734375" bestFit="1" customWidth="1"/>
    <col min="3" max="3" width="26.44140625" bestFit="1" customWidth="1"/>
  </cols>
  <sheetData>
    <row r="3" spans="1:9">
      <c r="A3" s="3" t="s">
        <v>37</v>
      </c>
      <c r="B3" t="s">
        <v>77</v>
      </c>
      <c r="C3" t="s">
        <v>341</v>
      </c>
    </row>
    <row r="4" spans="1:9">
      <c r="A4" s="4" t="s">
        <v>100</v>
      </c>
      <c r="B4">
        <v>3780174.6024750541</v>
      </c>
      <c r="C4">
        <v>2463.0439466991243</v>
      </c>
    </row>
    <row r="5" spans="1:9">
      <c r="A5" s="143" t="s">
        <v>343</v>
      </c>
      <c r="B5">
        <v>201969.68280097138</v>
      </c>
      <c r="C5">
        <v>85.046734258862216</v>
      </c>
    </row>
    <row r="6" spans="1:9">
      <c r="A6" s="143" t="s">
        <v>344</v>
      </c>
      <c r="B6">
        <v>92150.57787878254</v>
      </c>
      <c r="C6">
        <v>90.170204951880137</v>
      </c>
    </row>
    <row r="7" spans="1:9">
      <c r="A7" s="143" t="s">
        <v>345</v>
      </c>
      <c r="C7">
        <v>30.85291737283022</v>
      </c>
    </row>
    <row r="8" spans="1:9">
      <c r="A8" s="143" t="s">
        <v>346</v>
      </c>
      <c r="B8">
        <v>78868.847144794941</v>
      </c>
      <c r="C8">
        <v>99.813781061172733</v>
      </c>
    </row>
    <row r="9" spans="1:9">
      <c r="A9" s="143" t="s">
        <v>347</v>
      </c>
      <c r="B9">
        <v>102115.07582542961</v>
      </c>
      <c r="C9">
        <v>71.704794692590497</v>
      </c>
    </row>
    <row r="10" spans="1:9">
      <c r="A10" s="143" t="s">
        <v>348</v>
      </c>
      <c r="B10">
        <v>101867.44748553302</v>
      </c>
    </row>
    <row r="11" spans="1:9">
      <c r="A11" s="143" t="s">
        <v>349</v>
      </c>
      <c r="B11">
        <v>61843.848842452178</v>
      </c>
      <c r="C11">
        <v>72.978572666367441</v>
      </c>
    </row>
    <row r="12" spans="1:9">
      <c r="A12" s="143" t="s">
        <v>350</v>
      </c>
      <c r="B12">
        <v>74256.728628315002</v>
      </c>
      <c r="C12">
        <v>26.157534640641387</v>
      </c>
    </row>
    <row r="13" spans="1:9" ht="18">
      <c r="A13" s="143" t="s">
        <v>351</v>
      </c>
      <c r="B13">
        <v>62605.166006091589</v>
      </c>
      <c r="C13">
        <v>85.640600338568731</v>
      </c>
      <c r="I13" s="141"/>
    </row>
    <row r="14" spans="1:9">
      <c r="A14" s="143" t="s">
        <v>352</v>
      </c>
      <c r="B14">
        <v>93149.015982844707</v>
      </c>
      <c r="C14">
        <v>34.739892125813938</v>
      </c>
    </row>
    <row r="15" spans="1:9">
      <c r="A15" s="143" t="s">
        <v>353</v>
      </c>
      <c r="B15">
        <v>108509.79866480461</v>
      </c>
      <c r="C15">
        <v>22.128669286214731</v>
      </c>
    </row>
    <row r="16" spans="1:9">
      <c r="A16" s="143" t="s">
        <v>354</v>
      </c>
      <c r="B16">
        <v>106349.06522500351</v>
      </c>
      <c r="C16">
        <v>97.018606708891127</v>
      </c>
    </row>
    <row r="17" spans="1:3">
      <c r="A17" s="143" t="s">
        <v>355</v>
      </c>
      <c r="B17">
        <v>132637.13798178217</v>
      </c>
      <c r="C17">
        <v>42.890803396665149</v>
      </c>
    </row>
    <row r="18" spans="1:3">
      <c r="A18" s="143" t="s">
        <v>356</v>
      </c>
      <c r="B18">
        <v>106199.9796633111</v>
      </c>
      <c r="C18">
        <v>36.937149771837667</v>
      </c>
    </row>
    <row r="19" spans="1:3">
      <c r="A19" s="143" t="s">
        <v>357</v>
      </c>
      <c r="B19">
        <v>111670.88606023775</v>
      </c>
      <c r="C19">
        <v>44.757006115694587</v>
      </c>
    </row>
    <row r="20" spans="1:3">
      <c r="A20" s="143" t="s">
        <v>358</v>
      </c>
      <c r="B20">
        <v>62603.673209356719</v>
      </c>
      <c r="C20">
        <v>28.278005091726772</v>
      </c>
    </row>
    <row r="21" spans="1:3">
      <c r="A21" s="143" t="s">
        <v>359</v>
      </c>
      <c r="B21">
        <v>87756.661656903583</v>
      </c>
      <c r="C21">
        <v>31.509437307466381</v>
      </c>
    </row>
    <row r="22" spans="1:3">
      <c r="A22" s="143" t="s">
        <v>360</v>
      </c>
      <c r="B22">
        <v>129898.76454906471</v>
      </c>
      <c r="C22">
        <v>48.325164988407529</v>
      </c>
    </row>
    <row r="23" spans="1:3">
      <c r="A23" s="143" t="s">
        <v>361</v>
      </c>
      <c r="B23">
        <v>85847.48210355948</v>
      </c>
      <c r="C23">
        <v>33.089296331062101</v>
      </c>
    </row>
    <row r="24" spans="1:3">
      <c r="A24" s="143" t="s">
        <v>362</v>
      </c>
      <c r="C24">
        <v>70.450823598646437</v>
      </c>
    </row>
    <row r="25" spans="1:3">
      <c r="A25" s="143" t="s">
        <v>363</v>
      </c>
      <c r="B25">
        <v>81085.078786064376</v>
      </c>
      <c r="C25">
        <v>41.439781350750238</v>
      </c>
    </row>
    <row r="26" spans="1:3">
      <c r="A26" s="143" t="s">
        <v>364</v>
      </c>
      <c r="B26">
        <v>77926.60342939262</v>
      </c>
      <c r="C26">
        <v>72.182489025475704</v>
      </c>
    </row>
    <row r="27" spans="1:3">
      <c r="A27" s="143" t="s">
        <v>365</v>
      </c>
      <c r="B27">
        <v>69299.195049352798</v>
      </c>
      <c r="C27">
        <v>97.2358907680497</v>
      </c>
    </row>
    <row r="28" spans="1:3">
      <c r="A28" s="143" t="s">
        <v>366</v>
      </c>
      <c r="B28">
        <v>116603.8362372522</v>
      </c>
      <c r="C28">
        <v>27.07175737174067</v>
      </c>
    </row>
    <row r="29" spans="1:3">
      <c r="A29" s="143" t="s">
        <v>367</v>
      </c>
      <c r="B29">
        <v>114429.58647514686</v>
      </c>
      <c r="C29">
        <v>66.46148668915373</v>
      </c>
    </row>
    <row r="30" spans="1:3">
      <c r="A30" s="143" t="s">
        <v>368</v>
      </c>
      <c r="B30">
        <v>59483.842537772463</v>
      </c>
      <c r="C30">
        <v>62.783957302495395</v>
      </c>
    </row>
    <row r="31" spans="1:3">
      <c r="A31" s="143" t="s">
        <v>369</v>
      </c>
      <c r="B31">
        <v>121174.57059767758</v>
      </c>
      <c r="C31">
        <v>31.54496349499852</v>
      </c>
    </row>
    <row r="32" spans="1:3">
      <c r="A32" s="143" t="s">
        <v>370</v>
      </c>
      <c r="B32">
        <v>102961.78839596553</v>
      </c>
      <c r="C32">
        <v>89.103169837200255</v>
      </c>
    </row>
    <row r="33" spans="1:3">
      <c r="A33" s="143" t="s">
        <v>371</v>
      </c>
      <c r="B33">
        <v>92439.84201963566</v>
      </c>
      <c r="C33">
        <v>55.41549615739487</v>
      </c>
    </row>
    <row r="34" spans="1:3">
      <c r="A34" s="143" t="s">
        <v>372</v>
      </c>
      <c r="B34">
        <v>82765.938594874839</v>
      </c>
      <c r="C34">
        <v>55.846838982646119</v>
      </c>
    </row>
    <row r="35" spans="1:3">
      <c r="A35" s="143" t="s">
        <v>373</v>
      </c>
      <c r="B35">
        <v>125539.30772176376</v>
      </c>
      <c r="C35">
        <v>77.495941277823675</v>
      </c>
    </row>
    <row r="36" spans="1:3">
      <c r="A36" s="143" t="s">
        <v>374</v>
      </c>
      <c r="B36">
        <v>122016.4279684521</v>
      </c>
      <c r="C36">
        <v>30.350449357336071</v>
      </c>
    </row>
    <row r="37" spans="1:3">
      <c r="A37" s="143" t="s">
        <v>375</v>
      </c>
      <c r="B37">
        <v>98921.903019885212</v>
      </c>
      <c r="C37">
        <v>61.381773580344841</v>
      </c>
    </row>
    <row r="38" spans="1:3">
      <c r="A38" s="143" t="s">
        <v>376</v>
      </c>
      <c r="B38">
        <v>78156.72734563821</v>
      </c>
      <c r="C38">
        <v>82.145709379222481</v>
      </c>
    </row>
    <row r="39" spans="1:3">
      <c r="A39" s="143" t="s">
        <v>377</v>
      </c>
      <c r="B39">
        <v>114121.57827630264</v>
      </c>
      <c r="C39">
        <v>39.119814416924108</v>
      </c>
    </row>
    <row r="40" spans="1:3">
      <c r="A40" s="143" t="s">
        <v>378</v>
      </c>
      <c r="C40">
        <v>32.773307949372061</v>
      </c>
    </row>
    <row r="41" spans="1:3">
      <c r="A41" s="143" t="s">
        <v>379</v>
      </c>
      <c r="B41">
        <v>139065.18275053136</v>
      </c>
      <c r="C41">
        <v>81.746882818408793</v>
      </c>
    </row>
    <row r="42" spans="1:3">
      <c r="A42" s="143" t="s">
        <v>380</v>
      </c>
      <c r="B42">
        <v>80709.244101796168</v>
      </c>
      <c r="C42">
        <v>96.180806268985904</v>
      </c>
    </row>
    <row r="43" spans="1:3">
      <c r="A43" s="143" t="s">
        <v>381</v>
      </c>
      <c r="B43">
        <v>102781.20797306835</v>
      </c>
      <c r="C43">
        <v>94.581350713677779</v>
      </c>
    </row>
    <row r="44" spans="1:3">
      <c r="A44" s="143" t="s">
        <v>382</v>
      </c>
      <c r="B44">
        <v>111395.20714397293</v>
      </c>
      <c r="C44">
        <v>31.950530898114565</v>
      </c>
    </row>
    <row r="45" spans="1:3">
      <c r="A45" s="143" t="s">
        <v>383</v>
      </c>
      <c r="B45">
        <v>88997.69434126922</v>
      </c>
      <c r="C45">
        <v>183.74155435366819</v>
      </c>
    </row>
    <row r="46" spans="1:3">
      <c r="A46" s="4" t="s">
        <v>101</v>
      </c>
      <c r="B46">
        <v>3468442.0633126837</v>
      </c>
      <c r="C46">
        <v>3036.6405512928804</v>
      </c>
    </row>
    <row r="47" spans="1:3">
      <c r="A47" s="143" t="s">
        <v>344</v>
      </c>
      <c r="B47">
        <v>119931.41021158894</v>
      </c>
      <c r="C47">
        <v>62.255140940508497</v>
      </c>
    </row>
    <row r="48" spans="1:3">
      <c r="A48" s="143" t="s">
        <v>345</v>
      </c>
      <c r="C48">
        <v>40.803843220194707</v>
      </c>
    </row>
    <row r="49" spans="1:3">
      <c r="A49" s="143" t="s">
        <v>346</v>
      </c>
      <c r="B49">
        <v>124461.6613419065</v>
      </c>
      <c r="C49">
        <v>41.084118359742227</v>
      </c>
    </row>
    <row r="50" spans="1:3">
      <c r="A50" s="143" t="s">
        <v>347</v>
      </c>
      <c r="B50">
        <v>125274.13355309337</v>
      </c>
      <c r="C50">
        <v>71.787370749847298</v>
      </c>
    </row>
    <row r="51" spans="1:3">
      <c r="A51" s="143" t="s">
        <v>348</v>
      </c>
      <c r="B51">
        <v>77395.925506521526</v>
      </c>
      <c r="C51">
        <v>54.151578225864213</v>
      </c>
    </row>
    <row r="52" spans="1:3">
      <c r="A52" s="143" t="s">
        <v>349</v>
      </c>
      <c r="B52">
        <v>82792.299784409959</v>
      </c>
      <c r="C52">
        <v>77.225784842330853</v>
      </c>
    </row>
    <row r="53" spans="1:3">
      <c r="A53" s="143" t="s">
        <v>350</v>
      </c>
      <c r="B53">
        <v>72057.636297740173</v>
      </c>
      <c r="C53">
        <v>73.661202035442855</v>
      </c>
    </row>
    <row r="54" spans="1:3">
      <c r="A54" s="143" t="s">
        <v>351</v>
      </c>
      <c r="B54">
        <v>92229.584496339812</v>
      </c>
      <c r="C54">
        <v>80.802792144253914</v>
      </c>
    </row>
    <row r="55" spans="1:3">
      <c r="A55" s="143" t="s">
        <v>352</v>
      </c>
      <c r="B55">
        <v>103409.27541993142</v>
      </c>
      <c r="C55">
        <v>24.560191004154717</v>
      </c>
    </row>
    <row r="56" spans="1:3">
      <c r="A56" s="143" t="s">
        <v>353</v>
      </c>
      <c r="B56">
        <v>123944.93847290456</v>
      </c>
      <c r="C56">
        <v>78.818281448127692</v>
      </c>
    </row>
    <row r="57" spans="1:3">
      <c r="A57" s="143" t="s">
        <v>354</v>
      </c>
      <c r="B57">
        <v>93342.79191234977</v>
      </c>
      <c r="C57">
        <v>70.267769403955555</v>
      </c>
    </row>
    <row r="58" spans="1:3">
      <c r="A58" s="143" t="s">
        <v>355</v>
      </c>
      <c r="B58">
        <v>85339.340089520207</v>
      </c>
      <c r="C58">
        <v>71.235781919460237</v>
      </c>
    </row>
    <row r="59" spans="1:3">
      <c r="A59" s="143" t="s">
        <v>356</v>
      </c>
      <c r="B59">
        <v>98868.230222002079</v>
      </c>
      <c r="C59">
        <v>31.539201689448284</v>
      </c>
    </row>
    <row r="60" spans="1:3">
      <c r="A60" s="143" t="s">
        <v>357</v>
      </c>
      <c r="C60">
        <v>55.837732510575194</v>
      </c>
    </row>
    <row r="61" spans="1:3">
      <c r="A61" s="143" t="s">
        <v>358</v>
      </c>
      <c r="B61">
        <v>76764.323121752721</v>
      </c>
      <c r="C61">
        <v>72.525016191972185</v>
      </c>
    </row>
    <row r="62" spans="1:3">
      <c r="A62" s="143" t="s">
        <v>359</v>
      </c>
      <c r="B62">
        <v>109824.15330823993</v>
      </c>
      <c r="C62">
        <v>28.37283522771849</v>
      </c>
    </row>
    <row r="63" spans="1:3">
      <c r="A63" s="143" t="s">
        <v>360</v>
      </c>
      <c r="B63">
        <v>100826.51264541237</v>
      </c>
      <c r="C63">
        <v>72.465661386191428</v>
      </c>
    </row>
    <row r="64" spans="1:3">
      <c r="A64" s="143" t="s">
        <v>361</v>
      </c>
      <c r="B64">
        <v>85756.522716479129</v>
      </c>
      <c r="C64">
        <v>753.42211131358579</v>
      </c>
    </row>
    <row r="65" spans="1:3">
      <c r="A65" s="143" t="s">
        <v>362</v>
      </c>
      <c r="B65">
        <v>106263.6894772996</v>
      </c>
      <c r="C65">
        <v>54.411418567746104</v>
      </c>
    </row>
    <row r="66" spans="1:3">
      <c r="A66" s="143" t="s">
        <v>363</v>
      </c>
      <c r="B66">
        <v>112164.92383369937</v>
      </c>
      <c r="C66">
        <v>92.97665894252205</v>
      </c>
    </row>
    <row r="67" spans="1:3">
      <c r="A67" s="143" t="s">
        <v>364</v>
      </c>
      <c r="B67">
        <v>93384.215513448857</v>
      </c>
      <c r="C67">
        <v>52.415771406026373</v>
      </c>
    </row>
    <row r="68" spans="1:3">
      <c r="A68" s="143" t="s">
        <v>365</v>
      </c>
      <c r="B68">
        <v>62399.79932184473</v>
      </c>
      <c r="C68">
        <v>93.265147855259514</v>
      </c>
    </row>
    <row r="69" spans="1:3">
      <c r="A69" s="143" t="s">
        <v>367</v>
      </c>
      <c r="B69">
        <v>78997.185207957082</v>
      </c>
      <c r="C69">
        <v>94.301073696439389</v>
      </c>
    </row>
    <row r="70" spans="1:3">
      <c r="A70" s="143" t="s">
        <v>368</v>
      </c>
      <c r="B70">
        <v>78582.951626311231</v>
      </c>
      <c r="C70">
        <v>99.697959443571094</v>
      </c>
    </row>
    <row r="71" spans="1:3">
      <c r="A71" s="143" t="s">
        <v>369</v>
      </c>
      <c r="B71">
        <v>96543.965252070717</v>
      </c>
      <c r="C71">
        <v>27.484752552986844</v>
      </c>
    </row>
    <row r="72" spans="1:3">
      <c r="A72" s="143" t="s">
        <v>370</v>
      </c>
      <c r="B72">
        <v>82378.633266774152</v>
      </c>
      <c r="C72">
        <v>52.541899885760415</v>
      </c>
    </row>
    <row r="73" spans="1:3">
      <c r="A73" s="143" t="s">
        <v>371</v>
      </c>
      <c r="B73">
        <v>104628.91845051144</v>
      </c>
      <c r="C73">
        <v>78.577536504977786</v>
      </c>
    </row>
    <row r="74" spans="1:3">
      <c r="A74" s="143" t="s">
        <v>372</v>
      </c>
      <c r="B74">
        <v>100600.62958328164</v>
      </c>
      <c r="C74">
        <v>59.032015622344147</v>
      </c>
    </row>
    <row r="75" spans="1:3">
      <c r="A75" s="143" t="s">
        <v>373</v>
      </c>
      <c r="B75">
        <v>106760.46962203416</v>
      </c>
      <c r="C75">
        <v>66.898839902460935</v>
      </c>
    </row>
    <row r="76" spans="1:3">
      <c r="A76" s="143" t="s">
        <v>374</v>
      </c>
      <c r="B76">
        <v>121227.41929746268</v>
      </c>
      <c r="C76">
        <v>50.065697520635275</v>
      </c>
    </row>
    <row r="77" spans="1:3">
      <c r="A77" s="143" t="s">
        <v>375</v>
      </c>
      <c r="B77">
        <v>80353.928392453701</v>
      </c>
      <c r="C77">
        <v>26.737040894167869</v>
      </c>
    </row>
    <row r="78" spans="1:3">
      <c r="A78" s="143" t="s">
        <v>376</v>
      </c>
      <c r="B78">
        <v>116695.02652649765</v>
      </c>
      <c r="C78">
        <v>73.873578312914617</v>
      </c>
    </row>
    <row r="79" spans="1:3">
      <c r="A79" s="143" t="s">
        <v>377</v>
      </c>
      <c r="B79">
        <v>95146.374463759334</v>
      </c>
      <c r="C79">
        <v>42.502765084242725</v>
      </c>
    </row>
    <row r="80" spans="1:3">
      <c r="A80" s="143" t="s">
        <v>378</v>
      </c>
      <c r="B80">
        <v>88123.771838625893</v>
      </c>
      <c r="C80">
        <v>83.206659997715022</v>
      </c>
    </row>
    <row r="81" spans="1:3">
      <c r="A81" s="143" t="s">
        <v>379</v>
      </c>
      <c r="B81">
        <v>89482.406482095917</v>
      </c>
      <c r="C81">
        <v>58.710181165140725</v>
      </c>
    </row>
    <row r="82" spans="1:3">
      <c r="A82" s="143" t="s">
        <v>380</v>
      </c>
      <c r="B82">
        <v>110119.31106911731</v>
      </c>
      <c r="C82">
        <v>23.988811711933138</v>
      </c>
    </row>
    <row r="83" spans="1:3">
      <c r="A83" s="143" t="s">
        <v>381</v>
      </c>
      <c r="B83">
        <v>68460.070356180047</v>
      </c>
      <c r="C83">
        <v>73.275773286437129</v>
      </c>
    </row>
    <row r="84" spans="1:3">
      <c r="A84" s="143" t="s">
        <v>382</v>
      </c>
      <c r="B84">
        <v>103909.63463106581</v>
      </c>
      <c r="C84">
        <v>71.860556326225762</v>
      </c>
    </row>
    <row r="85" spans="1:3">
      <c r="A85" s="4" t="s">
        <v>102</v>
      </c>
      <c r="B85">
        <v>5949521.9171005264</v>
      </c>
      <c r="C85">
        <v>3866.9371175980118</v>
      </c>
    </row>
    <row r="86" spans="1:3">
      <c r="A86" s="143" t="s">
        <v>343</v>
      </c>
      <c r="B86">
        <v>131562.36115124368</v>
      </c>
      <c r="C86">
        <v>71.117041757862765</v>
      </c>
    </row>
    <row r="87" spans="1:3">
      <c r="A87" s="143" t="s">
        <v>344</v>
      </c>
      <c r="B87">
        <v>906700.92415436043</v>
      </c>
      <c r="C87">
        <v>57.380879680600209</v>
      </c>
    </row>
    <row r="88" spans="1:3">
      <c r="A88" s="143" t="s">
        <v>345</v>
      </c>
      <c r="B88">
        <v>130420.1245431876</v>
      </c>
      <c r="C88">
        <v>50.804644457516936</v>
      </c>
    </row>
    <row r="89" spans="1:3">
      <c r="A89" s="143" t="s">
        <v>346</v>
      </c>
      <c r="B89">
        <v>94822.91199260336</v>
      </c>
      <c r="C89">
        <v>42.330437661941573</v>
      </c>
    </row>
    <row r="90" spans="1:3">
      <c r="A90" s="143" t="s">
        <v>347</v>
      </c>
      <c r="B90">
        <v>83073.680450685279</v>
      </c>
      <c r="C90">
        <v>30.267994129175584</v>
      </c>
    </row>
    <row r="91" spans="1:3">
      <c r="A91" s="143" t="s">
        <v>348</v>
      </c>
      <c r="B91">
        <v>148233.53351156841</v>
      </c>
      <c r="C91">
        <v>57.521995177430682</v>
      </c>
    </row>
    <row r="92" spans="1:3">
      <c r="A92" s="143" t="s">
        <v>349</v>
      </c>
      <c r="B92">
        <v>91727.889331567116</v>
      </c>
      <c r="C92">
        <v>41.451458368953666</v>
      </c>
    </row>
    <row r="93" spans="1:3">
      <c r="A93" s="143" t="s">
        <v>350</v>
      </c>
      <c r="B93">
        <v>88328.013473079904</v>
      </c>
      <c r="C93">
        <v>85.700753629827645</v>
      </c>
    </row>
    <row r="94" spans="1:3">
      <c r="A94" s="143" t="s">
        <v>351</v>
      </c>
      <c r="B94">
        <v>103808.47779850116</v>
      </c>
      <c r="C94">
        <v>23.901305505051234</v>
      </c>
    </row>
    <row r="95" spans="1:3">
      <c r="A95" s="143" t="s">
        <v>352</v>
      </c>
      <c r="B95">
        <v>80745.348694307759</v>
      </c>
      <c r="C95">
        <v>67.023875949734787</v>
      </c>
    </row>
    <row r="96" spans="1:3">
      <c r="A96" s="143" t="s">
        <v>353</v>
      </c>
      <c r="B96">
        <v>72566.526055390685</v>
      </c>
    </row>
    <row r="97" spans="1:3">
      <c r="A97" s="143" t="s">
        <v>354</v>
      </c>
      <c r="B97">
        <v>98132.262822001037</v>
      </c>
      <c r="C97">
        <v>34.728105868876554</v>
      </c>
    </row>
    <row r="98" spans="1:3">
      <c r="A98" s="143" t="s">
        <v>355</v>
      </c>
      <c r="B98">
        <v>136361.2384511565</v>
      </c>
      <c r="C98">
        <v>45.132965106957769</v>
      </c>
    </row>
    <row r="99" spans="1:3">
      <c r="A99" s="143" t="s">
        <v>356</v>
      </c>
      <c r="B99">
        <v>124379.41579587327</v>
      </c>
      <c r="C99">
        <v>80.718146548322451</v>
      </c>
    </row>
    <row r="100" spans="1:3">
      <c r="A100" s="143" t="s">
        <v>357</v>
      </c>
      <c r="B100">
        <v>111597.14570590264</v>
      </c>
      <c r="C100">
        <v>52.437734106433481</v>
      </c>
    </row>
    <row r="101" spans="1:3">
      <c r="A101" s="143" t="s">
        <v>358</v>
      </c>
      <c r="B101">
        <v>94337.222065124661</v>
      </c>
      <c r="C101">
        <v>925.58841475059489</v>
      </c>
    </row>
    <row r="102" spans="1:3">
      <c r="A102" s="143" t="s">
        <v>359</v>
      </c>
      <c r="B102">
        <v>92839.41240506027</v>
      </c>
      <c r="C102">
        <v>53.835483499324617</v>
      </c>
    </row>
    <row r="103" spans="1:3">
      <c r="A103" s="143" t="s">
        <v>360</v>
      </c>
      <c r="B103">
        <v>108860.04260894751</v>
      </c>
      <c r="C103">
        <v>62.982053893443045</v>
      </c>
    </row>
    <row r="104" spans="1:3">
      <c r="A104" s="143" t="s">
        <v>361</v>
      </c>
      <c r="B104">
        <v>97786.692628853416</v>
      </c>
      <c r="C104">
        <v>73.943485896001974</v>
      </c>
    </row>
    <row r="105" spans="1:3">
      <c r="A105" s="143" t="s">
        <v>362</v>
      </c>
      <c r="B105">
        <v>87869.932235685206</v>
      </c>
      <c r="C105">
        <v>55.021204399050276</v>
      </c>
    </row>
    <row r="106" spans="1:3">
      <c r="A106" s="143" t="s">
        <v>363</v>
      </c>
      <c r="B106">
        <v>73657.361601068304</v>
      </c>
      <c r="C106">
        <v>70.654293991661774</v>
      </c>
    </row>
    <row r="107" spans="1:3">
      <c r="A107" s="143" t="s">
        <v>364</v>
      </c>
      <c r="B107">
        <v>84396.017417650743</v>
      </c>
      <c r="C107">
        <v>67.683487638211773</v>
      </c>
    </row>
    <row r="108" spans="1:3">
      <c r="A108" s="143" t="s">
        <v>365</v>
      </c>
      <c r="B108">
        <v>114254.24057722662</v>
      </c>
      <c r="C108">
        <v>60.23004160524679</v>
      </c>
    </row>
    <row r="109" spans="1:3">
      <c r="A109" s="143" t="s">
        <v>366</v>
      </c>
      <c r="B109">
        <v>227032.47815427143</v>
      </c>
      <c r="C109">
        <v>145.88870872161476</v>
      </c>
    </row>
    <row r="110" spans="1:3">
      <c r="A110" s="143" t="s">
        <v>367</v>
      </c>
      <c r="B110">
        <v>115149.90298674972</v>
      </c>
      <c r="C110">
        <v>59.739474240478756</v>
      </c>
    </row>
    <row r="111" spans="1:3">
      <c r="A111" s="143" t="s">
        <v>368</v>
      </c>
      <c r="B111">
        <v>138228.38174279447</v>
      </c>
    </row>
    <row r="112" spans="1:3">
      <c r="A112" s="143" t="s">
        <v>369</v>
      </c>
      <c r="B112">
        <v>115438.4030967335</v>
      </c>
      <c r="C112">
        <v>21.333724047970648</v>
      </c>
    </row>
    <row r="113" spans="1:3">
      <c r="A113" s="143" t="s">
        <v>370</v>
      </c>
      <c r="B113">
        <v>85755.584727018984</v>
      </c>
      <c r="C113">
        <v>809.88897096573828</v>
      </c>
    </row>
    <row r="114" spans="1:3">
      <c r="A114" s="143" t="s">
        <v>371</v>
      </c>
      <c r="B114">
        <v>112929.79075451542</v>
      </c>
      <c r="C114">
        <v>38.641517151746783</v>
      </c>
    </row>
    <row r="115" spans="1:3">
      <c r="A115" s="143" t="s">
        <v>372</v>
      </c>
      <c r="B115">
        <v>56952.329107816389</v>
      </c>
    </row>
    <row r="116" spans="1:3">
      <c r="A116" s="143" t="s">
        <v>373</v>
      </c>
      <c r="B116">
        <v>75859.567042855691</v>
      </c>
      <c r="C116">
        <v>59.389363896099916</v>
      </c>
    </row>
    <row r="117" spans="1:3">
      <c r="A117" s="143" t="s">
        <v>374</v>
      </c>
      <c r="B117">
        <v>110640.12397643886</v>
      </c>
      <c r="C117">
        <v>27.931688982209913</v>
      </c>
    </row>
    <row r="118" spans="1:3">
      <c r="A118" s="143" t="s">
        <v>375</v>
      </c>
      <c r="B118">
        <v>122437.15712460942</v>
      </c>
      <c r="C118">
        <v>98.766071710089051</v>
      </c>
    </row>
    <row r="119" spans="1:3">
      <c r="A119" s="143" t="s">
        <v>376</v>
      </c>
      <c r="B119">
        <v>118275.43242771171</v>
      </c>
      <c r="C119">
        <v>69.159956820415402</v>
      </c>
    </row>
    <row r="120" spans="1:3">
      <c r="A120" s="143" t="s">
        <v>377</v>
      </c>
      <c r="B120">
        <v>79472.615846682165</v>
      </c>
      <c r="C120">
        <v>52.890182260750336</v>
      </c>
    </row>
    <row r="121" spans="1:3">
      <c r="A121" s="143" t="s">
        <v>378</v>
      </c>
      <c r="B121">
        <v>966873.71793647355</v>
      </c>
      <c r="C121">
        <v>69.303259868331565</v>
      </c>
    </row>
    <row r="122" spans="1:3">
      <c r="A122" s="143" t="s">
        <v>379</v>
      </c>
      <c r="B122">
        <v>103555.00212536062</v>
      </c>
      <c r="C122">
        <v>91.802586121766723</v>
      </c>
    </row>
    <row r="123" spans="1:3">
      <c r="A123" s="143" t="s">
        <v>380</v>
      </c>
      <c r="B123">
        <v>85434.555951867733</v>
      </c>
      <c r="C123">
        <v>31.992740259771175</v>
      </c>
    </row>
    <row r="124" spans="1:3">
      <c r="A124" s="143" t="s">
        <v>381</v>
      </c>
      <c r="B124">
        <v>83943.511120983152</v>
      </c>
      <c r="C124">
        <v>85.812597478434185</v>
      </c>
    </row>
    <row r="125" spans="1:3">
      <c r="A125" s="143" t="s">
        <v>382</v>
      </c>
      <c r="B125">
        <v>98023.095975213873</v>
      </c>
      <c r="C125">
        <v>33.790908968413298</v>
      </c>
    </row>
    <row r="126" spans="1:3">
      <c r="A126" s="143" t="s">
        <v>383</v>
      </c>
      <c r="B126">
        <v>97059.491531382999</v>
      </c>
      <c r="C126">
        <v>60.149562481960295</v>
      </c>
    </row>
    <row r="127" spans="1:3">
      <c r="A127" s="4" t="s">
        <v>103</v>
      </c>
      <c r="B127">
        <v>6507551.9653718248</v>
      </c>
      <c r="C127">
        <v>3911.7832647779455</v>
      </c>
    </row>
    <row r="128" spans="1:3">
      <c r="A128" s="143" t="s">
        <v>343</v>
      </c>
      <c r="B128">
        <v>119708.99371230436</v>
      </c>
      <c r="C128">
        <v>26.515777031292735</v>
      </c>
    </row>
    <row r="129" spans="1:3">
      <c r="A129" s="143" t="s">
        <v>344</v>
      </c>
      <c r="B129">
        <v>112809.59590401647</v>
      </c>
      <c r="C129">
        <v>28.53694552818834</v>
      </c>
    </row>
    <row r="130" spans="1:3">
      <c r="A130" s="143" t="s">
        <v>345</v>
      </c>
      <c r="B130">
        <v>81021.669583503259</v>
      </c>
      <c r="C130">
        <v>95.438622725690848</v>
      </c>
    </row>
    <row r="131" spans="1:3">
      <c r="A131" s="143" t="s">
        <v>346</v>
      </c>
      <c r="B131">
        <v>107050.09936713759</v>
      </c>
      <c r="C131">
        <v>94.453780444991864</v>
      </c>
    </row>
    <row r="132" spans="1:3">
      <c r="A132" s="143" t="s">
        <v>347</v>
      </c>
      <c r="B132">
        <v>110869.58757340186</v>
      </c>
    </row>
    <row r="133" spans="1:3">
      <c r="A133" s="143" t="s">
        <v>348</v>
      </c>
      <c r="B133">
        <v>130327.88110507146</v>
      </c>
      <c r="C133">
        <v>94.284442631530879</v>
      </c>
    </row>
    <row r="134" spans="1:3">
      <c r="A134" s="143" t="s">
        <v>349</v>
      </c>
      <c r="B134">
        <v>137753.75314680382</v>
      </c>
      <c r="C134">
        <v>45.253478493125279</v>
      </c>
    </row>
    <row r="135" spans="1:3">
      <c r="A135" s="143" t="s">
        <v>350</v>
      </c>
      <c r="B135">
        <v>120767.57702038634</v>
      </c>
      <c r="C135">
        <v>39.572404368377043</v>
      </c>
    </row>
    <row r="136" spans="1:3">
      <c r="A136" s="143" t="s">
        <v>351</v>
      </c>
      <c r="B136">
        <v>108984.37442570069</v>
      </c>
      <c r="C136">
        <v>87.49830341682059</v>
      </c>
    </row>
    <row r="137" spans="1:3">
      <c r="A137" s="143" t="s">
        <v>352</v>
      </c>
      <c r="B137">
        <v>95867.774406079072</v>
      </c>
      <c r="C137">
        <v>87.227854207080654</v>
      </c>
    </row>
    <row r="138" spans="1:3">
      <c r="A138" s="143" t="s">
        <v>353</v>
      </c>
      <c r="B138">
        <v>85811.17995144907</v>
      </c>
      <c r="C138">
        <v>66.460479924452727</v>
      </c>
    </row>
    <row r="139" spans="1:3">
      <c r="A139" s="143" t="s">
        <v>354</v>
      </c>
      <c r="B139">
        <v>89413.357751032585</v>
      </c>
      <c r="C139">
        <v>28.452027635914455</v>
      </c>
    </row>
    <row r="140" spans="1:3">
      <c r="A140" s="143" t="s">
        <v>355</v>
      </c>
      <c r="B140">
        <v>115503.10988069566</v>
      </c>
      <c r="C140">
        <v>96.637685318596326</v>
      </c>
    </row>
    <row r="141" spans="1:3">
      <c r="A141" s="143" t="s">
        <v>356</v>
      </c>
      <c r="B141">
        <v>60977.9627192275</v>
      </c>
      <c r="C141">
        <v>60.04956258671448</v>
      </c>
    </row>
    <row r="142" spans="1:3">
      <c r="A142" s="143" t="s">
        <v>357</v>
      </c>
      <c r="B142">
        <v>85862.148640253028</v>
      </c>
      <c r="C142">
        <v>987.27157117321144</v>
      </c>
    </row>
    <row r="143" spans="1:3">
      <c r="A143" s="143" t="s">
        <v>358</v>
      </c>
      <c r="B143">
        <v>93982.805057183476</v>
      </c>
      <c r="C143">
        <v>33.499955071858366</v>
      </c>
    </row>
    <row r="144" spans="1:3">
      <c r="A144" s="143" t="s">
        <v>359</v>
      </c>
      <c r="B144">
        <v>97212.055986735315</v>
      </c>
      <c r="C144">
        <v>83.646270100606912</v>
      </c>
    </row>
    <row r="145" spans="1:3">
      <c r="A145" s="143" t="s">
        <v>360</v>
      </c>
      <c r="B145">
        <v>119030.99541148086</v>
      </c>
      <c r="C145">
        <v>74.16994107860512</v>
      </c>
    </row>
    <row r="146" spans="1:3">
      <c r="A146" s="143" t="s">
        <v>361</v>
      </c>
      <c r="B146">
        <v>82067.155453695828</v>
      </c>
      <c r="C146">
        <v>98.396435788662274</v>
      </c>
    </row>
    <row r="147" spans="1:3">
      <c r="A147" s="143" t="s">
        <v>362</v>
      </c>
      <c r="B147">
        <v>109118.08390341405</v>
      </c>
      <c r="C147">
        <v>448.29671128649608</v>
      </c>
    </row>
    <row r="148" spans="1:3">
      <c r="A148" s="143" t="s">
        <v>363</v>
      </c>
      <c r="B148">
        <v>115520.5582768695</v>
      </c>
      <c r="C148">
        <v>77.684372871829751</v>
      </c>
    </row>
    <row r="149" spans="1:3">
      <c r="A149" s="143" t="s">
        <v>364</v>
      </c>
      <c r="B149">
        <v>126611.4980807808</v>
      </c>
    </row>
    <row r="150" spans="1:3">
      <c r="A150" s="143" t="s">
        <v>365</v>
      </c>
      <c r="B150">
        <v>62336.995838828327</v>
      </c>
      <c r="C150">
        <v>83.608822602137977</v>
      </c>
    </row>
    <row r="151" spans="1:3">
      <c r="A151" s="143" t="s">
        <v>366</v>
      </c>
      <c r="B151">
        <v>123669.87333779855</v>
      </c>
      <c r="C151">
        <v>70.374687620736239</v>
      </c>
    </row>
    <row r="152" spans="1:3">
      <c r="A152" s="143" t="s">
        <v>367</v>
      </c>
      <c r="B152">
        <v>127410.72287993427</v>
      </c>
      <c r="C152">
        <v>87.435638596495778</v>
      </c>
    </row>
    <row r="153" spans="1:3">
      <c r="A153" s="143" t="s">
        <v>368</v>
      </c>
      <c r="B153">
        <v>74390.888579950668</v>
      </c>
      <c r="C153">
        <v>85.284540569145889</v>
      </c>
    </row>
    <row r="154" spans="1:3">
      <c r="A154" s="143" t="s">
        <v>369</v>
      </c>
      <c r="B154">
        <v>108826.14303398492</v>
      </c>
      <c r="C154">
        <v>89.882741139617167</v>
      </c>
    </row>
    <row r="155" spans="1:3">
      <c r="A155" s="143" t="s">
        <v>370</v>
      </c>
      <c r="B155">
        <v>1237346.9240354663</v>
      </c>
      <c r="C155">
        <v>31.510092431182414</v>
      </c>
    </row>
    <row r="156" spans="1:3">
      <c r="A156" s="143" t="s">
        <v>371</v>
      </c>
      <c r="B156">
        <v>95686.647249047353</v>
      </c>
      <c r="C156">
        <v>85.051360358538034</v>
      </c>
    </row>
    <row r="157" spans="1:3">
      <c r="A157" s="143" t="s">
        <v>372</v>
      </c>
      <c r="B157">
        <v>117529.11291005871</v>
      </c>
      <c r="C157">
        <v>70.144210405187522</v>
      </c>
    </row>
    <row r="158" spans="1:3">
      <c r="A158" s="143" t="s">
        <v>373</v>
      </c>
      <c r="B158">
        <v>78493.75213901524</v>
      </c>
      <c r="C158">
        <v>35.385261822748042</v>
      </c>
    </row>
    <row r="159" spans="1:3">
      <c r="A159" s="143" t="s">
        <v>374</v>
      </c>
      <c r="B159">
        <v>107233.22122494034</v>
      </c>
      <c r="C159">
        <v>69.836323534670541</v>
      </c>
    </row>
    <row r="160" spans="1:3">
      <c r="A160" s="143" t="s">
        <v>375</v>
      </c>
      <c r="B160">
        <v>146400.81444034519</v>
      </c>
      <c r="C160">
        <v>73.312584375593516</v>
      </c>
    </row>
    <row r="161" spans="1:3">
      <c r="A161" s="143" t="s">
        <v>376</v>
      </c>
      <c r="B161">
        <v>69085.404266185331</v>
      </c>
      <c r="C161">
        <v>91.397527516160935</v>
      </c>
    </row>
    <row r="162" spans="1:3">
      <c r="A162" s="143" t="s">
        <v>377</v>
      </c>
      <c r="B162">
        <v>124600.011454383</v>
      </c>
      <c r="C162">
        <v>38.746005252042146</v>
      </c>
    </row>
    <row r="163" spans="1:3">
      <c r="A163" s="143" t="s">
        <v>378</v>
      </c>
      <c r="B163">
        <v>101571.540594383</v>
      </c>
      <c r="C163">
        <v>23.588844610217361</v>
      </c>
    </row>
    <row r="164" spans="1:3">
      <c r="A164" s="143" t="s">
        <v>379</v>
      </c>
      <c r="B164">
        <v>108009.62773012658</v>
      </c>
      <c r="C164">
        <v>92.620899492014289</v>
      </c>
    </row>
    <row r="165" spans="1:3">
      <c r="A165" s="143" t="s">
        <v>380</v>
      </c>
      <c r="B165">
        <v>143301.12135613203</v>
      </c>
      <c r="C165">
        <v>63.006491044121148</v>
      </c>
    </row>
    <row r="166" spans="1:3">
      <c r="A166" s="143" t="s">
        <v>381</v>
      </c>
      <c r="B166">
        <v>98520.542728112443</v>
      </c>
      <c r="C166">
        <v>21.062496276686407</v>
      </c>
    </row>
    <row r="167" spans="1:3">
      <c r="A167" s="143" t="s">
        <v>382</v>
      </c>
      <c r="B167">
        <v>108719.50779000092</v>
      </c>
      <c r="C167">
        <v>89.791565068385196</v>
      </c>
    </row>
    <row r="168" spans="1:3">
      <c r="A168" s="143" t="s">
        <v>383</v>
      </c>
      <c r="B168">
        <v>1168146.8964259098</v>
      </c>
      <c r="C168">
        <v>56.396550378218969</v>
      </c>
    </row>
    <row r="169" spans="1:3">
      <c r="A169" s="4" t="s">
        <v>65</v>
      </c>
      <c r="B169">
        <v>7854987.7661804277</v>
      </c>
      <c r="C169">
        <v>3062.0262418346574</v>
      </c>
    </row>
    <row r="170" spans="1:3">
      <c r="A170" s="143" t="s">
        <v>343</v>
      </c>
      <c r="B170">
        <v>208272.30132946052</v>
      </c>
      <c r="C170">
        <v>98.213575360610491</v>
      </c>
    </row>
    <row r="171" spans="1:3">
      <c r="A171" s="143" t="s">
        <v>344</v>
      </c>
      <c r="B171">
        <v>96189.93788004377</v>
      </c>
      <c r="C171">
        <v>71.964480540556934</v>
      </c>
    </row>
    <row r="172" spans="1:3">
      <c r="A172" s="143" t="s">
        <v>345</v>
      </c>
      <c r="B172">
        <v>134947.26395831117</v>
      </c>
      <c r="C172">
        <v>68.830084782535366</v>
      </c>
    </row>
    <row r="173" spans="1:3">
      <c r="A173" s="143" t="s">
        <v>346</v>
      </c>
      <c r="C173">
        <v>21.971552370905812</v>
      </c>
    </row>
    <row r="174" spans="1:3">
      <c r="A174" s="143" t="s">
        <v>347</v>
      </c>
      <c r="B174">
        <v>103996.20867437427</v>
      </c>
      <c r="C174">
        <v>98.598606448099829</v>
      </c>
    </row>
    <row r="175" spans="1:3">
      <c r="A175" s="143" t="s">
        <v>348</v>
      </c>
      <c r="B175">
        <v>112042.36640784967</v>
      </c>
      <c r="C175">
        <v>71.286888286572747</v>
      </c>
    </row>
    <row r="176" spans="1:3">
      <c r="A176" s="143" t="s">
        <v>349</v>
      </c>
      <c r="B176">
        <v>111131.06249067516</v>
      </c>
      <c r="C176">
        <v>30.020098487696636</v>
      </c>
    </row>
    <row r="177" spans="1:3">
      <c r="A177" s="143" t="s">
        <v>350</v>
      </c>
      <c r="B177">
        <v>69613.078490463144</v>
      </c>
      <c r="C177">
        <v>53.704070530669171</v>
      </c>
    </row>
    <row r="178" spans="1:3">
      <c r="A178" s="143" t="s">
        <v>351</v>
      </c>
      <c r="B178">
        <v>898038.66136182344</v>
      </c>
      <c r="C178">
        <v>55.043526072430701</v>
      </c>
    </row>
    <row r="179" spans="1:3">
      <c r="A179" s="143" t="s">
        <v>352</v>
      </c>
      <c r="B179">
        <v>1122043.2339178445</v>
      </c>
      <c r="C179">
        <v>21.399857118991086</v>
      </c>
    </row>
    <row r="180" spans="1:3">
      <c r="A180" s="143" t="s">
        <v>353</v>
      </c>
      <c r="B180">
        <v>942290.26082485903</v>
      </c>
      <c r="C180">
        <v>79.334730319345852</v>
      </c>
    </row>
    <row r="181" spans="1:3">
      <c r="A181" s="143" t="s">
        <v>354</v>
      </c>
      <c r="B181">
        <v>69710.593816384659</v>
      </c>
      <c r="C181">
        <v>85.028077722940623</v>
      </c>
    </row>
    <row r="182" spans="1:3">
      <c r="A182" s="143" t="s">
        <v>355</v>
      </c>
      <c r="B182">
        <v>111060.80171704717</v>
      </c>
      <c r="C182">
        <v>22.673885794840302</v>
      </c>
    </row>
    <row r="183" spans="1:3">
      <c r="A183" s="143" t="s">
        <v>356</v>
      </c>
      <c r="B183">
        <v>102871.7587301032</v>
      </c>
      <c r="C183">
        <v>92.942808990541707</v>
      </c>
    </row>
    <row r="184" spans="1:3">
      <c r="A184" s="143" t="s">
        <v>357</v>
      </c>
      <c r="B184">
        <v>117111.11318041425</v>
      </c>
      <c r="C184">
        <v>43.379916539151033</v>
      </c>
    </row>
    <row r="185" spans="1:3">
      <c r="A185" s="143" t="s">
        <v>358</v>
      </c>
      <c r="B185">
        <v>75810.461291623898</v>
      </c>
      <c r="C185">
        <v>97.466156807940393</v>
      </c>
    </row>
    <row r="186" spans="1:3">
      <c r="A186" s="143" t="s">
        <v>359</v>
      </c>
      <c r="B186">
        <v>114793.06303449343</v>
      </c>
      <c r="C186">
        <v>31.310684337307215</v>
      </c>
    </row>
    <row r="187" spans="1:3">
      <c r="A187" s="143" t="s">
        <v>360</v>
      </c>
      <c r="B187">
        <v>189046.18882949854</v>
      </c>
      <c r="C187">
        <v>144.91241340182017</v>
      </c>
    </row>
    <row r="188" spans="1:3">
      <c r="A188" s="143" t="s">
        <v>361</v>
      </c>
      <c r="B188">
        <v>116839.67390904254</v>
      </c>
      <c r="C188">
        <v>98.848058716224031</v>
      </c>
    </row>
    <row r="189" spans="1:3">
      <c r="A189" s="143" t="s">
        <v>362</v>
      </c>
      <c r="C189">
        <v>80.970369636025964</v>
      </c>
    </row>
    <row r="190" spans="1:3">
      <c r="A190" s="143" t="s">
        <v>363</v>
      </c>
      <c r="B190">
        <v>79955.6596214655</v>
      </c>
      <c r="C190">
        <v>40.572188088727671</v>
      </c>
    </row>
    <row r="191" spans="1:3">
      <c r="A191" s="143" t="s">
        <v>364</v>
      </c>
      <c r="B191">
        <v>76064.227071473768</v>
      </c>
      <c r="C191">
        <v>21.353023993728584</v>
      </c>
    </row>
    <row r="192" spans="1:3">
      <c r="A192" s="143" t="s">
        <v>365</v>
      </c>
      <c r="B192">
        <v>92553.618941241541</v>
      </c>
    </row>
    <row r="193" spans="1:3">
      <c r="A193" s="143" t="s">
        <v>366</v>
      </c>
      <c r="B193">
        <v>76439.182652472387</v>
      </c>
      <c r="C193">
        <v>53.292875712492616</v>
      </c>
    </row>
    <row r="194" spans="1:3">
      <c r="A194" s="143" t="s">
        <v>367</v>
      </c>
      <c r="B194">
        <v>113904.05800167998</v>
      </c>
      <c r="C194">
        <v>55.670929588784624</v>
      </c>
    </row>
    <row r="195" spans="1:3">
      <c r="A195" s="143" t="s">
        <v>368</v>
      </c>
      <c r="B195">
        <v>103789.59642442162</v>
      </c>
      <c r="C195">
        <v>54.565382805329421</v>
      </c>
    </row>
    <row r="196" spans="1:3">
      <c r="A196" s="143" t="s">
        <v>369</v>
      </c>
      <c r="B196">
        <v>85336.876057800066</v>
      </c>
    </row>
    <row r="197" spans="1:3">
      <c r="A197" s="143" t="s">
        <v>370</v>
      </c>
      <c r="B197">
        <v>1287267.0811411957</v>
      </c>
      <c r="C197">
        <v>20.689520207342422</v>
      </c>
    </row>
    <row r="198" spans="1:3">
      <c r="A198" s="143" t="s">
        <v>371</v>
      </c>
      <c r="B198">
        <v>82540.778190925994</v>
      </c>
      <c r="C198">
        <v>67.074499236276182</v>
      </c>
    </row>
    <row r="199" spans="1:3">
      <c r="A199" s="143" t="s">
        <v>372</v>
      </c>
      <c r="B199">
        <v>68770.135551162821</v>
      </c>
      <c r="C199">
        <v>48.699400843431093</v>
      </c>
    </row>
    <row r="200" spans="1:3">
      <c r="A200" s="143" t="s">
        <v>373</v>
      </c>
      <c r="B200">
        <v>133527.86054416405</v>
      </c>
      <c r="C200">
        <v>57.114901076391277</v>
      </c>
    </row>
    <row r="201" spans="1:3">
      <c r="A201" s="143" t="s">
        <v>374</v>
      </c>
      <c r="B201">
        <v>135223.76249734749</v>
      </c>
      <c r="C201">
        <v>55.749935616035117</v>
      </c>
    </row>
    <row r="202" spans="1:3">
      <c r="A202" s="143" t="s">
        <v>375</v>
      </c>
      <c r="B202">
        <v>103922.62918047815</v>
      </c>
      <c r="C202">
        <v>42.832325477073795</v>
      </c>
    </row>
    <row r="203" spans="1:3">
      <c r="A203" s="143" t="s">
        <v>376</v>
      </c>
      <c r="B203">
        <v>131796.77956361367</v>
      </c>
      <c r="C203">
        <v>26.290136879180643</v>
      </c>
    </row>
    <row r="204" spans="1:3">
      <c r="A204" s="143" t="s">
        <v>377</v>
      </c>
      <c r="B204">
        <v>80705.89148498571</v>
      </c>
      <c r="C204">
        <v>21.572118619747826</v>
      </c>
    </row>
    <row r="205" spans="1:3">
      <c r="A205" s="143" t="s">
        <v>378</v>
      </c>
      <c r="B205">
        <v>57425.31811170376</v>
      </c>
      <c r="C205">
        <v>69.803759236982529</v>
      </c>
    </row>
    <row r="206" spans="1:3">
      <c r="A206" s="143" t="s">
        <v>379</v>
      </c>
      <c r="C206">
        <v>26.99334462968671</v>
      </c>
    </row>
    <row r="207" spans="1:3">
      <c r="A207" s="143" t="s">
        <v>380</v>
      </c>
      <c r="B207">
        <v>123810.97188687192</v>
      </c>
      <c r="C207">
        <v>66.063397689784779</v>
      </c>
    </row>
    <row r="208" spans="1:3">
      <c r="A208" s="143" t="s">
        <v>381</v>
      </c>
      <c r="B208">
        <v>98486.687913483402</v>
      </c>
      <c r="C208">
        <v>63.361223878378084</v>
      </c>
    </row>
    <row r="209" spans="1:3">
      <c r="A209" s="143" t="s">
        <v>382</v>
      </c>
      <c r="B209">
        <v>49355.07829560629</v>
      </c>
      <c r="C209">
        <v>69.049299125539321</v>
      </c>
    </row>
    <row r="210" spans="1:3">
      <c r="A210" s="143" t="s">
        <v>383</v>
      </c>
      <c r="B210">
        <v>178303.543204021</v>
      </c>
      <c r="C210">
        <v>833.37813686453865</v>
      </c>
    </row>
    <row r="211" spans="1:3">
      <c r="A211" s="4" t="s">
        <v>104</v>
      </c>
      <c r="B211">
        <v>4012783.8492403403</v>
      </c>
      <c r="C211">
        <v>4551.718738576059</v>
      </c>
    </row>
    <row r="212" spans="1:3">
      <c r="A212" s="143" t="s">
        <v>343</v>
      </c>
      <c r="B212">
        <v>82215.183435433515</v>
      </c>
      <c r="C212">
        <v>636.34236016937041</v>
      </c>
    </row>
    <row r="213" spans="1:3">
      <c r="A213" s="143" t="s">
        <v>344</v>
      </c>
      <c r="B213">
        <v>106481.14056443122</v>
      </c>
      <c r="C213">
        <v>89.439967351607194</v>
      </c>
    </row>
    <row r="214" spans="1:3">
      <c r="A214" s="143" t="s">
        <v>345</v>
      </c>
      <c r="B214">
        <v>118643.83128520769</v>
      </c>
      <c r="C214">
        <v>86.797902854636988</v>
      </c>
    </row>
    <row r="215" spans="1:3">
      <c r="A215" s="143" t="s">
        <v>346</v>
      </c>
      <c r="B215">
        <v>63587.933989029654</v>
      </c>
      <c r="C215">
        <v>75.735119029855753</v>
      </c>
    </row>
    <row r="216" spans="1:3">
      <c r="A216" s="143" t="s">
        <v>347</v>
      </c>
      <c r="B216">
        <v>105280.4016266734</v>
      </c>
      <c r="C216">
        <v>929.45485563155762</v>
      </c>
    </row>
    <row r="217" spans="1:3">
      <c r="A217" s="143" t="s">
        <v>348</v>
      </c>
      <c r="B217">
        <v>101440.73722567489</v>
      </c>
      <c r="C217">
        <v>44.932233332371908</v>
      </c>
    </row>
    <row r="218" spans="1:3">
      <c r="A218" s="143" t="s">
        <v>349</v>
      </c>
      <c r="B218">
        <v>73290.368618002176</v>
      </c>
      <c r="C218">
        <v>72.440797747689004</v>
      </c>
    </row>
    <row r="219" spans="1:3">
      <c r="A219" s="143" t="s">
        <v>350</v>
      </c>
      <c r="B219">
        <v>43356.888037788623</v>
      </c>
      <c r="C219">
        <v>87.107146941221629</v>
      </c>
    </row>
    <row r="220" spans="1:3">
      <c r="A220" s="143" t="s">
        <v>351</v>
      </c>
      <c r="B220">
        <v>100688.82023411682</v>
      </c>
      <c r="C220">
        <v>47.391609863668769</v>
      </c>
    </row>
    <row r="221" spans="1:3">
      <c r="A221" s="143" t="s">
        <v>352</v>
      </c>
      <c r="B221">
        <v>103139.45921936868</v>
      </c>
      <c r="C221">
        <v>23.920371597701884</v>
      </c>
    </row>
    <row r="222" spans="1:3">
      <c r="A222" s="143" t="s">
        <v>353</v>
      </c>
      <c r="B222">
        <v>84324.92957751143</v>
      </c>
      <c r="C222">
        <v>74.018467004963</v>
      </c>
    </row>
    <row r="223" spans="1:3">
      <c r="A223" s="143" t="s">
        <v>354</v>
      </c>
      <c r="B223">
        <v>106431.86422678478</v>
      </c>
      <c r="C223">
        <v>66.300518108799935</v>
      </c>
    </row>
    <row r="224" spans="1:3">
      <c r="A224" s="143" t="s">
        <v>355</v>
      </c>
      <c r="B224">
        <v>104680.48908706296</v>
      </c>
      <c r="C224">
        <v>66.383427506636394</v>
      </c>
    </row>
    <row r="225" spans="1:3">
      <c r="A225" s="143" t="s">
        <v>356</v>
      </c>
      <c r="B225">
        <v>63640.415492256907</v>
      </c>
      <c r="C225">
        <v>31.729164572787383</v>
      </c>
    </row>
    <row r="226" spans="1:3">
      <c r="A226" s="143" t="s">
        <v>357</v>
      </c>
      <c r="B226">
        <v>132989.61788647843</v>
      </c>
      <c r="C226">
        <v>43.58537906774135</v>
      </c>
    </row>
    <row r="227" spans="1:3">
      <c r="A227" s="143" t="s">
        <v>358</v>
      </c>
      <c r="B227">
        <v>107779.57458704368</v>
      </c>
      <c r="C227">
        <v>56.230668833240934</v>
      </c>
    </row>
    <row r="228" spans="1:3">
      <c r="A228" s="143" t="s">
        <v>359</v>
      </c>
      <c r="B228">
        <v>61812.87824985414</v>
      </c>
      <c r="C228">
        <v>30.425634653786872</v>
      </c>
    </row>
    <row r="229" spans="1:3">
      <c r="A229" s="143" t="s">
        <v>360</v>
      </c>
      <c r="B229">
        <v>94647.17818202413</v>
      </c>
      <c r="C229">
        <v>41.288109482984687</v>
      </c>
    </row>
    <row r="230" spans="1:3">
      <c r="A230" s="143" t="s">
        <v>361</v>
      </c>
      <c r="B230">
        <v>92615.855991051081</v>
      </c>
      <c r="C230">
        <v>74.934288937930361</v>
      </c>
    </row>
    <row r="231" spans="1:3">
      <c r="A231" s="143" t="s">
        <v>362</v>
      </c>
      <c r="B231">
        <v>86107.992616737116</v>
      </c>
      <c r="C231">
        <v>94.894125133320415</v>
      </c>
    </row>
    <row r="232" spans="1:3">
      <c r="A232" s="143" t="s">
        <v>363</v>
      </c>
      <c r="B232">
        <v>84951.295252939308</v>
      </c>
      <c r="C232">
        <v>77.551052445985619</v>
      </c>
    </row>
    <row r="233" spans="1:3">
      <c r="A233" s="143" t="s">
        <v>364</v>
      </c>
      <c r="B233">
        <v>117873.95378778221</v>
      </c>
      <c r="C233">
        <v>92.765154190424099</v>
      </c>
    </row>
    <row r="234" spans="1:3">
      <c r="A234" s="143" t="s">
        <v>365</v>
      </c>
      <c r="B234">
        <v>108746.26374077922</v>
      </c>
      <c r="C234">
        <v>98.195054736320984</v>
      </c>
    </row>
    <row r="235" spans="1:3">
      <c r="A235" s="143" t="s">
        <v>366</v>
      </c>
      <c r="B235">
        <v>133344.48223102273</v>
      </c>
      <c r="C235">
        <v>33.323081079781602</v>
      </c>
    </row>
    <row r="236" spans="1:3">
      <c r="A236" s="143" t="s">
        <v>367</v>
      </c>
      <c r="B236">
        <v>105675.02047323002</v>
      </c>
      <c r="C236">
        <v>76.686683661426017</v>
      </c>
    </row>
    <row r="237" spans="1:3">
      <c r="A237" s="143" t="s">
        <v>368</v>
      </c>
      <c r="B237">
        <v>120148.87946390397</v>
      </c>
      <c r="C237">
        <v>83.711257809576708</v>
      </c>
    </row>
    <row r="238" spans="1:3">
      <c r="A238" s="143" t="s">
        <v>369</v>
      </c>
      <c r="B238">
        <v>104579.9278491868</v>
      </c>
      <c r="C238">
        <v>36.920539942541446</v>
      </c>
    </row>
    <row r="239" spans="1:3">
      <c r="A239" s="143" t="s">
        <v>370</v>
      </c>
      <c r="B239">
        <v>95237.791273758921</v>
      </c>
      <c r="C239">
        <v>21.597834606242252</v>
      </c>
    </row>
    <row r="240" spans="1:3">
      <c r="A240" s="143" t="s">
        <v>371</v>
      </c>
      <c r="B240">
        <v>117628.15057847142</v>
      </c>
      <c r="C240">
        <v>36.861047954392497</v>
      </c>
    </row>
    <row r="241" spans="1:3">
      <c r="A241" s="143" t="s">
        <v>372</v>
      </c>
      <c r="B241">
        <v>130068.39656857998</v>
      </c>
      <c r="C241">
        <v>99.651614133947945</v>
      </c>
    </row>
    <row r="242" spans="1:3">
      <c r="A242" s="143" t="s">
        <v>373</v>
      </c>
      <c r="B242">
        <v>81089.862401145379</v>
      </c>
      <c r="C242">
        <v>39.665486961805968</v>
      </c>
    </row>
    <row r="243" spans="1:3">
      <c r="A243" s="143" t="s">
        <v>374</v>
      </c>
      <c r="C243">
        <v>82.238797725674942</v>
      </c>
    </row>
    <row r="244" spans="1:3">
      <c r="A244" s="143" t="s">
        <v>375</v>
      </c>
      <c r="B244">
        <v>81918.634205279988</v>
      </c>
    </row>
    <row r="245" spans="1:3">
      <c r="A245" s="143" t="s">
        <v>376</v>
      </c>
      <c r="B245">
        <v>111481.42441788003</v>
      </c>
    </row>
    <row r="246" spans="1:3">
      <c r="A246" s="143" t="s">
        <v>377</v>
      </c>
      <c r="B246">
        <v>132569.37109544643</v>
      </c>
      <c r="C246">
        <v>90.351444544575642</v>
      </c>
    </row>
    <row r="247" spans="1:3">
      <c r="A247" s="143" t="s">
        <v>378</v>
      </c>
      <c r="B247">
        <v>109163.36229577397</v>
      </c>
      <c r="C247">
        <v>44.713417827501289</v>
      </c>
    </row>
    <row r="248" spans="1:3">
      <c r="A248" s="143" t="s">
        <v>379</v>
      </c>
      <c r="B248">
        <v>98451.130785480127</v>
      </c>
      <c r="C248">
        <v>94.919466504818061</v>
      </c>
    </row>
    <row r="249" spans="1:3">
      <c r="A249" s="143" t="s">
        <v>380</v>
      </c>
      <c r="B249">
        <v>104251.4806126443</v>
      </c>
      <c r="C249">
        <v>716.12006664072271</v>
      </c>
    </row>
    <row r="250" spans="1:3">
      <c r="A250" s="143" t="s">
        <v>381</v>
      </c>
      <c r="B250">
        <v>139450.84353579616</v>
      </c>
      <c r="C250">
        <v>56.765038200441751</v>
      </c>
    </row>
    <row r="251" spans="1:3">
      <c r="A251" s="143" t="s">
        <v>382</v>
      </c>
      <c r="B251">
        <v>113641.38980125263</v>
      </c>
      <c r="C251">
        <v>32.57631068455634</v>
      </c>
    </row>
    <row r="252" spans="1:3">
      <c r="A252" s="143" t="s">
        <v>383</v>
      </c>
      <c r="B252">
        <v>89356.628737456209</v>
      </c>
      <c r="C252">
        <v>63.753241103449938</v>
      </c>
    </row>
    <row r="253" spans="1:3">
      <c r="A253" s="4" t="s">
        <v>105</v>
      </c>
      <c r="B253">
        <v>4091309.0277573518</v>
      </c>
      <c r="C253">
        <v>3069.0140321702529</v>
      </c>
    </row>
    <row r="254" spans="1:3">
      <c r="A254" s="143" t="s">
        <v>343</v>
      </c>
      <c r="B254">
        <v>119106.01116475507</v>
      </c>
      <c r="C254">
        <v>30.673306841856565</v>
      </c>
    </row>
    <row r="255" spans="1:3">
      <c r="A255" s="143" t="s">
        <v>344</v>
      </c>
      <c r="B255">
        <v>77046.172203686656</v>
      </c>
      <c r="C255">
        <v>86.254869545876232</v>
      </c>
    </row>
    <row r="256" spans="1:3">
      <c r="A256" s="143" t="s">
        <v>345</v>
      </c>
      <c r="B256">
        <v>95268.894255621082</v>
      </c>
      <c r="C256">
        <v>76.828120056986577</v>
      </c>
    </row>
    <row r="257" spans="1:3">
      <c r="A257" s="143" t="s">
        <v>346</v>
      </c>
      <c r="B257">
        <v>105401.14716782844</v>
      </c>
      <c r="C257">
        <v>78.026111258870259</v>
      </c>
    </row>
    <row r="258" spans="1:3">
      <c r="A258" s="143" t="s">
        <v>347</v>
      </c>
      <c r="B258">
        <v>125447.07000213536</v>
      </c>
      <c r="C258">
        <v>55.13045286438804</v>
      </c>
    </row>
    <row r="259" spans="1:3">
      <c r="A259" s="143" t="s">
        <v>348</v>
      </c>
      <c r="B259">
        <v>95755.820601976971</v>
      </c>
      <c r="C259">
        <v>62.025461156057709</v>
      </c>
    </row>
    <row r="260" spans="1:3">
      <c r="A260" s="143" t="s">
        <v>349</v>
      </c>
      <c r="B260">
        <v>109720.72578835273</v>
      </c>
      <c r="C260">
        <v>23.183770186852204</v>
      </c>
    </row>
    <row r="261" spans="1:3">
      <c r="A261" s="143" t="s">
        <v>350</v>
      </c>
      <c r="B261">
        <v>90976.822831820027</v>
      </c>
      <c r="C261">
        <v>90.169637412983036</v>
      </c>
    </row>
    <row r="262" spans="1:3">
      <c r="A262" s="143" t="s">
        <v>351</v>
      </c>
      <c r="B262">
        <v>50233.452931740212</v>
      </c>
      <c r="C262">
        <v>63.718108882030116</v>
      </c>
    </row>
    <row r="263" spans="1:3">
      <c r="A263" s="143" t="s">
        <v>352</v>
      </c>
      <c r="B263">
        <v>88269.374608721293</v>
      </c>
      <c r="C263">
        <v>65.82162213495566</v>
      </c>
    </row>
    <row r="264" spans="1:3">
      <c r="A264" s="143" t="s">
        <v>353</v>
      </c>
      <c r="B264">
        <v>134698.73151673615</v>
      </c>
      <c r="C264">
        <v>36.470559054265692</v>
      </c>
    </row>
    <row r="265" spans="1:3">
      <c r="A265" s="143" t="s">
        <v>354</v>
      </c>
      <c r="B265">
        <v>135098.66143294482</v>
      </c>
      <c r="C265">
        <v>69.462801681097588</v>
      </c>
    </row>
    <row r="266" spans="1:3">
      <c r="A266" s="143" t="s">
        <v>355</v>
      </c>
      <c r="B266">
        <v>95029.427638511013</v>
      </c>
      <c r="C266">
        <v>33.320283763961207</v>
      </c>
    </row>
    <row r="267" spans="1:3">
      <c r="A267" s="143" t="s">
        <v>356</v>
      </c>
      <c r="B267">
        <v>115194.24590968336</v>
      </c>
      <c r="C267">
        <v>71.674231441843148</v>
      </c>
    </row>
    <row r="268" spans="1:3">
      <c r="A268" s="143" t="s">
        <v>357</v>
      </c>
      <c r="B268">
        <v>121412.21119958372</v>
      </c>
    </row>
    <row r="269" spans="1:3">
      <c r="A269" s="143" t="s">
        <v>358</v>
      </c>
      <c r="B269">
        <v>105029.47217881025</v>
      </c>
    </row>
    <row r="270" spans="1:3">
      <c r="A270" s="143" t="s">
        <v>359</v>
      </c>
      <c r="B270">
        <v>126366.04649705338</v>
      </c>
      <c r="C270">
        <v>71.474315961386452</v>
      </c>
    </row>
    <row r="271" spans="1:3">
      <c r="A271" s="143" t="s">
        <v>360</v>
      </c>
      <c r="B271">
        <v>116935.41550432987</v>
      </c>
      <c r="C271">
        <v>23.120513661025448</v>
      </c>
    </row>
    <row r="272" spans="1:3">
      <c r="A272" s="143" t="s">
        <v>361</v>
      </c>
      <c r="B272">
        <v>41860.235613567173</v>
      </c>
      <c r="C272">
        <v>39.489183358575545</v>
      </c>
    </row>
    <row r="273" spans="1:3">
      <c r="A273" s="143" t="s">
        <v>362</v>
      </c>
      <c r="B273">
        <v>76912.746635340314</v>
      </c>
      <c r="C273">
        <v>95.260068738756885</v>
      </c>
    </row>
    <row r="274" spans="1:3">
      <c r="A274" s="143" t="s">
        <v>363</v>
      </c>
      <c r="B274">
        <v>70664.296187686457</v>
      </c>
      <c r="C274">
        <v>222.49720502233899</v>
      </c>
    </row>
    <row r="275" spans="1:3">
      <c r="A275" s="143" t="s">
        <v>364</v>
      </c>
      <c r="B275">
        <v>117859.07740217539</v>
      </c>
      <c r="C275">
        <v>41.570400701374624</v>
      </c>
    </row>
    <row r="276" spans="1:3">
      <c r="A276" s="143" t="s">
        <v>365</v>
      </c>
      <c r="B276">
        <v>103703.51073659828</v>
      </c>
      <c r="C276">
        <v>97.148258722878921</v>
      </c>
    </row>
    <row r="277" spans="1:3">
      <c r="A277" s="143" t="s">
        <v>366</v>
      </c>
      <c r="B277">
        <v>130464.77243424517</v>
      </c>
      <c r="C277">
        <v>98.894143782695579</v>
      </c>
    </row>
    <row r="278" spans="1:3">
      <c r="A278" s="143" t="s">
        <v>367</v>
      </c>
      <c r="B278">
        <v>80242.533181985025</v>
      </c>
      <c r="C278">
        <v>78.549818982920073</v>
      </c>
    </row>
    <row r="279" spans="1:3">
      <c r="A279" s="143" t="s">
        <v>368</v>
      </c>
      <c r="B279">
        <v>74901.546639954147</v>
      </c>
      <c r="C279">
        <v>67.633184129608679</v>
      </c>
    </row>
    <row r="280" spans="1:3">
      <c r="A280" s="143" t="s">
        <v>369</v>
      </c>
      <c r="B280">
        <v>62841.970972034258</v>
      </c>
      <c r="C280">
        <v>78.88283203408524</v>
      </c>
    </row>
    <row r="281" spans="1:3">
      <c r="A281" s="143" t="s">
        <v>370</v>
      </c>
      <c r="B281">
        <v>100920.05494506548</v>
      </c>
      <c r="C281">
        <v>66.928138992364836</v>
      </c>
    </row>
    <row r="282" spans="1:3">
      <c r="A282" s="143" t="s">
        <v>371</v>
      </c>
      <c r="B282">
        <v>114422.70725091163</v>
      </c>
      <c r="C282">
        <v>38.937638068306633</v>
      </c>
    </row>
    <row r="283" spans="1:3">
      <c r="A283" s="143" t="s">
        <v>372</v>
      </c>
      <c r="B283">
        <v>93397.598120670998</v>
      </c>
      <c r="C283">
        <v>58.414681220951024</v>
      </c>
    </row>
    <row r="284" spans="1:3">
      <c r="A284" s="143" t="s">
        <v>373</v>
      </c>
      <c r="B284">
        <v>76932.989788080813</v>
      </c>
      <c r="C284">
        <v>93.187371988132369</v>
      </c>
    </row>
    <row r="285" spans="1:3">
      <c r="A285" s="143" t="s">
        <v>374</v>
      </c>
      <c r="B285">
        <v>76362.517491583974</v>
      </c>
      <c r="C285">
        <v>37.637638479949587</v>
      </c>
    </row>
    <row r="286" spans="1:3">
      <c r="A286" s="143" t="s">
        <v>375</v>
      </c>
      <c r="B286">
        <v>69020.789498930506</v>
      </c>
      <c r="C286">
        <v>28.75858928551952</v>
      </c>
    </row>
    <row r="287" spans="1:3">
      <c r="A287" s="143" t="s">
        <v>376</v>
      </c>
      <c r="B287">
        <v>127991.89290291586</v>
      </c>
      <c r="C287">
        <v>39.862998370467679</v>
      </c>
    </row>
    <row r="288" spans="1:3">
      <c r="A288" s="143" t="s">
        <v>377</v>
      </c>
      <c r="B288">
        <v>226123.94846022682</v>
      </c>
      <c r="C288">
        <v>570.50509613572513</v>
      </c>
    </row>
    <row r="289" spans="1:3">
      <c r="A289" s="143" t="s">
        <v>378</v>
      </c>
      <c r="B289">
        <v>80405.575505663859</v>
      </c>
      <c r="C289">
        <v>49.498012437667676</v>
      </c>
    </row>
    <row r="290" spans="1:3">
      <c r="A290" s="143" t="s">
        <v>379</v>
      </c>
      <c r="B290">
        <v>76094.1247280151</v>
      </c>
      <c r="C290">
        <v>86.042787321633256</v>
      </c>
    </row>
    <row r="291" spans="1:3">
      <c r="A291" s="143" t="s">
        <v>380</v>
      </c>
      <c r="B291">
        <v>120539.72526639464</v>
      </c>
      <c r="C291">
        <v>21.357530345237315</v>
      </c>
    </row>
    <row r="292" spans="1:3">
      <c r="A292" s="143" t="s">
        <v>381</v>
      </c>
      <c r="B292">
        <v>72280.24115202004</v>
      </c>
      <c r="C292">
        <v>59.917435537663444</v>
      </c>
    </row>
    <row r="293" spans="1:3">
      <c r="A293" s="143" t="s">
        <v>382</v>
      </c>
      <c r="B293">
        <v>102523.55807323934</v>
      </c>
      <c r="C293">
        <v>96.987044598496539</v>
      </c>
    </row>
    <row r="294" spans="1:3">
      <c r="A294" s="143" t="s">
        <v>383</v>
      </c>
      <c r="B294">
        <v>87852.91133575578</v>
      </c>
      <c r="C294">
        <v>63.699808010468075</v>
      </c>
    </row>
    <row r="295" spans="1:3">
      <c r="A295" s="4" t="s">
        <v>106</v>
      </c>
      <c r="B295">
        <v>4592733.9228563523</v>
      </c>
      <c r="C295">
        <v>3677.0265824862986</v>
      </c>
    </row>
    <row r="296" spans="1:3">
      <c r="A296" s="143" t="s">
        <v>343</v>
      </c>
      <c r="B296">
        <v>117520.93585059588</v>
      </c>
      <c r="C296">
        <v>75.331472157865448</v>
      </c>
    </row>
    <row r="297" spans="1:3">
      <c r="A297" s="143" t="s">
        <v>344</v>
      </c>
      <c r="B297">
        <v>1017041.8899267802</v>
      </c>
      <c r="C297">
        <v>70.0843767184641</v>
      </c>
    </row>
    <row r="298" spans="1:3">
      <c r="A298" s="143" t="s">
        <v>345</v>
      </c>
      <c r="B298">
        <v>122712.40294365888</v>
      </c>
      <c r="C298">
        <v>29.00025044213054</v>
      </c>
    </row>
    <row r="299" spans="1:3">
      <c r="A299" s="143" t="s">
        <v>346</v>
      </c>
      <c r="B299">
        <v>61754.900491604465</v>
      </c>
      <c r="C299">
        <v>86.910286192831947</v>
      </c>
    </row>
    <row r="300" spans="1:3">
      <c r="A300" s="143" t="s">
        <v>347</v>
      </c>
      <c r="B300">
        <v>114649.84205559605</v>
      </c>
      <c r="C300">
        <v>23.195837862887547</v>
      </c>
    </row>
    <row r="301" spans="1:3">
      <c r="A301" s="143" t="s">
        <v>348</v>
      </c>
      <c r="B301">
        <v>80961.630799555292</v>
      </c>
      <c r="C301">
        <v>25.284424625772807</v>
      </c>
    </row>
    <row r="302" spans="1:3">
      <c r="A302" s="143" t="s">
        <v>349</v>
      </c>
      <c r="B302">
        <v>69053.920221232693</v>
      </c>
      <c r="C302">
        <v>67.814586841876718</v>
      </c>
    </row>
    <row r="303" spans="1:3">
      <c r="A303" s="143" t="s">
        <v>350</v>
      </c>
      <c r="C303">
        <v>39.454398421138073</v>
      </c>
    </row>
    <row r="304" spans="1:3">
      <c r="A304" s="143" t="s">
        <v>351</v>
      </c>
      <c r="B304">
        <v>86835.031753323041</v>
      </c>
      <c r="C304">
        <v>27.308259417884464</v>
      </c>
    </row>
    <row r="305" spans="1:3">
      <c r="A305" s="143" t="s">
        <v>352</v>
      </c>
      <c r="B305">
        <v>104484.32808581585</v>
      </c>
      <c r="C305">
        <v>85.559654830884185</v>
      </c>
    </row>
    <row r="306" spans="1:3">
      <c r="A306" s="143" t="s">
        <v>353</v>
      </c>
      <c r="C306">
        <v>48.198483755468089</v>
      </c>
    </row>
    <row r="307" spans="1:3">
      <c r="A307" s="143" t="s">
        <v>354</v>
      </c>
      <c r="B307">
        <v>100368.03261566877</v>
      </c>
      <c r="C307">
        <v>158.77914531897287</v>
      </c>
    </row>
    <row r="308" spans="1:3">
      <c r="A308" s="143" t="s">
        <v>355</v>
      </c>
      <c r="B308">
        <v>124010.63316947746</v>
      </c>
    </row>
    <row r="309" spans="1:3">
      <c r="A309" s="143" t="s">
        <v>356</v>
      </c>
      <c r="B309">
        <v>98110.825711159938</v>
      </c>
      <c r="C309">
        <v>38.630331692145205</v>
      </c>
    </row>
    <row r="310" spans="1:3">
      <c r="A310" s="143" t="s">
        <v>357</v>
      </c>
      <c r="B310">
        <v>85407.950603851816</v>
      </c>
      <c r="C310">
        <v>65.16752650322573</v>
      </c>
    </row>
    <row r="311" spans="1:3">
      <c r="A311" s="143" t="s">
        <v>358</v>
      </c>
      <c r="B311">
        <v>96114.61736042962</v>
      </c>
      <c r="C311">
        <v>74.145603490403758</v>
      </c>
    </row>
    <row r="312" spans="1:3">
      <c r="A312" s="143" t="s">
        <v>359</v>
      </c>
      <c r="B312">
        <v>101453.61048658683</v>
      </c>
      <c r="C312">
        <v>35.7746385574453</v>
      </c>
    </row>
    <row r="313" spans="1:3">
      <c r="A313" s="143" t="s">
        <v>360</v>
      </c>
      <c r="C313">
        <v>564.453425592087</v>
      </c>
    </row>
    <row r="314" spans="1:3">
      <c r="A314" s="143" t="s">
        <v>361</v>
      </c>
      <c r="B314">
        <v>92503.558867563872</v>
      </c>
      <c r="C314">
        <v>83.884467050447924</v>
      </c>
    </row>
    <row r="315" spans="1:3">
      <c r="A315" s="143" t="s">
        <v>362</v>
      </c>
      <c r="B315">
        <v>64963.423864965618</v>
      </c>
      <c r="C315">
        <v>33.982502789994705</v>
      </c>
    </row>
    <row r="316" spans="1:3">
      <c r="A316" s="143" t="s">
        <v>363</v>
      </c>
      <c r="B316">
        <v>89971.957062287271</v>
      </c>
      <c r="C316">
        <v>50.025707661841103</v>
      </c>
    </row>
    <row r="317" spans="1:3">
      <c r="A317" s="143" t="s">
        <v>364</v>
      </c>
      <c r="B317">
        <v>136592.40403432175</v>
      </c>
      <c r="C317">
        <v>85.574160222436731</v>
      </c>
    </row>
    <row r="318" spans="1:3">
      <c r="A318" s="143" t="s">
        <v>365</v>
      </c>
      <c r="B318">
        <v>108508.89728368344</v>
      </c>
      <c r="C318">
        <v>33.098316630333677</v>
      </c>
    </row>
    <row r="319" spans="1:3">
      <c r="A319" s="143" t="s">
        <v>366</v>
      </c>
      <c r="B319">
        <v>114712.43994491494</v>
      </c>
      <c r="C319">
        <v>85.667920741050295</v>
      </c>
    </row>
    <row r="320" spans="1:3">
      <c r="A320" s="143" t="s">
        <v>367</v>
      </c>
      <c r="B320">
        <v>83062.980677492713</v>
      </c>
      <c r="C320">
        <v>33.91709647226709</v>
      </c>
    </row>
    <row r="321" spans="1:3">
      <c r="A321" s="143" t="s">
        <v>368</v>
      </c>
      <c r="B321">
        <v>103694.20949562166</v>
      </c>
      <c r="C321">
        <v>90.927635320191868</v>
      </c>
    </row>
    <row r="322" spans="1:3">
      <c r="A322" s="143" t="s">
        <v>369</v>
      </c>
      <c r="B322">
        <v>112064.95001142788</v>
      </c>
      <c r="C322">
        <v>45.60128904699134</v>
      </c>
    </row>
    <row r="323" spans="1:3">
      <c r="A323" s="143" t="s">
        <v>370</v>
      </c>
      <c r="B323">
        <v>81907.712500124675</v>
      </c>
      <c r="C323">
        <v>56.431592419835262</v>
      </c>
    </row>
    <row r="324" spans="1:3">
      <c r="A324" s="143" t="s">
        <v>371</v>
      </c>
      <c r="B324">
        <v>81674.517988725507</v>
      </c>
      <c r="C324">
        <v>70.242437165562961</v>
      </c>
    </row>
    <row r="325" spans="1:3">
      <c r="A325" s="143" t="s">
        <v>372</v>
      </c>
      <c r="B325">
        <v>95766.66036137646</v>
      </c>
      <c r="C325">
        <v>58.870848495169056</v>
      </c>
    </row>
    <row r="326" spans="1:3">
      <c r="A326" s="143" t="s">
        <v>373</v>
      </c>
      <c r="B326">
        <v>122746.29084729459</v>
      </c>
      <c r="C326">
        <v>46.832545079707756</v>
      </c>
    </row>
    <row r="327" spans="1:3">
      <c r="A327" s="143" t="s">
        <v>374</v>
      </c>
      <c r="C327">
        <v>33.165284674346793</v>
      </c>
    </row>
    <row r="328" spans="1:3">
      <c r="A328" s="143" t="s">
        <v>375</v>
      </c>
      <c r="B328">
        <v>105159.51962442361</v>
      </c>
      <c r="C328">
        <v>97.266933504606683</v>
      </c>
    </row>
    <row r="329" spans="1:3">
      <c r="A329" s="143" t="s">
        <v>376</v>
      </c>
      <c r="B329">
        <v>73157.445030297706</v>
      </c>
      <c r="C329">
        <v>99.041116965233726</v>
      </c>
    </row>
    <row r="330" spans="1:3">
      <c r="A330" s="143" t="s">
        <v>377</v>
      </c>
      <c r="B330">
        <v>113578.62580118557</v>
      </c>
      <c r="C330">
        <v>47.080550354037825</v>
      </c>
    </row>
    <row r="331" spans="1:3">
      <c r="A331" s="143" t="s">
        <v>378</v>
      </c>
      <c r="B331">
        <v>76933.351935885104</v>
      </c>
      <c r="C331">
        <v>815.78513463750414</v>
      </c>
    </row>
    <row r="332" spans="1:3">
      <c r="A332" s="143" t="s">
        <v>379</v>
      </c>
      <c r="B332">
        <v>129018.55096558423</v>
      </c>
      <c r="C332">
        <v>83.304857145013358</v>
      </c>
    </row>
    <row r="333" spans="1:3">
      <c r="A333" s="143" t="s">
        <v>380</v>
      </c>
      <c r="B333">
        <v>122118.00848714617</v>
      </c>
      <c r="C333">
        <v>96.829341969770425</v>
      </c>
    </row>
    <row r="334" spans="1:3">
      <c r="A334" s="143" t="s">
        <v>381</v>
      </c>
      <c r="B334">
        <v>110111.78483671749</v>
      </c>
      <c r="C334">
        <v>25.777054826815036</v>
      </c>
    </row>
    <row r="335" spans="1:3">
      <c r="A335" s="143" t="s">
        <v>382</v>
      </c>
      <c r="B335">
        <v>95550.502064434695</v>
      </c>
      <c r="C335">
        <v>61.469237066825649</v>
      </c>
    </row>
    <row r="336" spans="1:3">
      <c r="A336" s="143" t="s">
        <v>383</v>
      </c>
      <c r="B336">
        <v>98455.579095539084</v>
      </c>
      <c r="C336">
        <v>27.157849824830976</v>
      </c>
    </row>
    <row r="337" spans="1:3">
      <c r="A337" s="4" t="s">
        <v>107</v>
      </c>
      <c r="B337">
        <v>6145787.7295226818</v>
      </c>
      <c r="C337">
        <v>2794.7191649437868</v>
      </c>
    </row>
    <row r="338" spans="1:3">
      <c r="A338" s="143" t="s">
        <v>343</v>
      </c>
      <c r="C338">
        <v>83.600922954277621</v>
      </c>
    </row>
    <row r="339" spans="1:3">
      <c r="A339" s="143" t="s">
        <v>344</v>
      </c>
      <c r="B339">
        <v>40177.280581985535</v>
      </c>
    </row>
    <row r="340" spans="1:3">
      <c r="A340" s="143" t="s">
        <v>345</v>
      </c>
      <c r="B340">
        <v>77874.129751767323</v>
      </c>
      <c r="C340">
        <v>78.873632509915907</v>
      </c>
    </row>
    <row r="341" spans="1:3">
      <c r="A341" s="143" t="s">
        <v>346</v>
      </c>
      <c r="B341">
        <v>98627.319078290631</v>
      </c>
      <c r="C341">
        <v>97.955144851078032</v>
      </c>
    </row>
    <row r="342" spans="1:3">
      <c r="A342" s="143" t="s">
        <v>347</v>
      </c>
      <c r="B342">
        <v>105774.47325650047</v>
      </c>
      <c r="C342">
        <v>48.98347920001639</v>
      </c>
    </row>
    <row r="343" spans="1:3">
      <c r="A343" s="143" t="s">
        <v>348</v>
      </c>
      <c r="B343">
        <v>101549.61037037725</v>
      </c>
      <c r="C343">
        <v>97.805458851978941</v>
      </c>
    </row>
    <row r="344" spans="1:3">
      <c r="A344" s="143" t="s">
        <v>349</v>
      </c>
      <c r="B344">
        <v>121653.82107774146</v>
      </c>
      <c r="C344">
        <v>89.575670788130708</v>
      </c>
    </row>
    <row r="345" spans="1:3">
      <c r="A345" s="143" t="s">
        <v>350</v>
      </c>
      <c r="B345">
        <v>124005.23499477659</v>
      </c>
      <c r="C345">
        <v>64.045650763309141</v>
      </c>
    </row>
    <row r="346" spans="1:3">
      <c r="A346" s="143" t="s">
        <v>351</v>
      </c>
      <c r="B346">
        <v>109070.17425108935</v>
      </c>
      <c r="C346">
        <v>80.53172394819191</v>
      </c>
    </row>
    <row r="347" spans="1:3">
      <c r="A347" s="143" t="s">
        <v>352</v>
      </c>
      <c r="B347">
        <v>114292.19581273236</v>
      </c>
      <c r="C347">
        <v>46.139111245490689</v>
      </c>
    </row>
    <row r="348" spans="1:3">
      <c r="A348" s="143" t="s">
        <v>353</v>
      </c>
      <c r="B348">
        <v>88889.064410262668</v>
      </c>
      <c r="C348">
        <v>30.08881133429</v>
      </c>
    </row>
    <row r="349" spans="1:3">
      <c r="A349" s="143" t="s">
        <v>354</v>
      </c>
      <c r="B349">
        <v>113854.45510233719</v>
      </c>
      <c r="C349">
        <v>86.756660228487732</v>
      </c>
    </row>
    <row r="350" spans="1:3">
      <c r="A350" s="143" t="s">
        <v>355</v>
      </c>
      <c r="B350">
        <v>102807.19739696094</v>
      </c>
      <c r="C350">
        <v>34.071222673492969</v>
      </c>
    </row>
    <row r="351" spans="1:3">
      <c r="A351" s="143" t="s">
        <v>356</v>
      </c>
      <c r="C351">
        <v>32.540834292131144</v>
      </c>
    </row>
    <row r="352" spans="1:3">
      <c r="A352" s="143" t="s">
        <v>357</v>
      </c>
      <c r="B352">
        <v>1072283.4634546204</v>
      </c>
      <c r="C352">
        <v>40.185819541099619</v>
      </c>
    </row>
    <row r="353" spans="1:3">
      <c r="A353" s="143" t="s">
        <v>358</v>
      </c>
      <c r="B353">
        <v>84884.169996832745</v>
      </c>
      <c r="C353">
        <v>44.12694958988412</v>
      </c>
    </row>
    <row r="354" spans="1:3">
      <c r="A354" s="143" t="s">
        <v>359</v>
      </c>
      <c r="B354">
        <v>91770.137108756389</v>
      </c>
      <c r="C354">
        <v>27.808803048719327</v>
      </c>
    </row>
    <row r="355" spans="1:3">
      <c r="A355" s="143" t="s">
        <v>360</v>
      </c>
      <c r="B355">
        <v>98018.113995174615</v>
      </c>
      <c r="C355">
        <v>91.277910775256302</v>
      </c>
    </row>
    <row r="356" spans="1:3">
      <c r="A356" s="143" t="s">
        <v>361</v>
      </c>
      <c r="B356">
        <v>79229.123583120556</v>
      </c>
      <c r="C356">
        <v>28.562330736883048</v>
      </c>
    </row>
    <row r="357" spans="1:3">
      <c r="A357" s="143" t="s">
        <v>362</v>
      </c>
      <c r="C357">
        <v>89.979491972525281</v>
      </c>
    </row>
    <row r="358" spans="1:3">
      <c r="A358" s="143" t="s">
        <v>363</v>
      </c>
      <c r="B358">
        <v>119506.24916955958</v>
      </c>
      <c r="C358">
        <v>70.1402678833865</v>
      </c>
    </row>
    <row r="359" spans="1:3">
      <c r="A359" s="143" t="s">
        <v>364</v>
      </c>
      <c r="B359">
        <v>91806.268147410054</v>
      </c>
      <c r="C359">
        <v>99.948024037776008</v>
      </c>
    </row>
    <row r="360" spans="1:3">
      <c r="A360" s="143" t="s">
        <v>365</v>
      </c>
      <c r="C360">
        <v>43.953849984248528</v>
      </c>
    </row>
    <row r="361" spans="1:3">
      <c r="A361" s="143" t="s">
        <v>366</v>
      </c>
      <c r="B361">
        <v>135635.97817542119</v>
      </c>
    </row>
    <row r="362" spans="1:3">
      <c r="A362" s="143" t="s">
        <v>367</v>
      </c>
      <c r="B362">
        <v>124992.37810593334</v>
      </c>
      <c r="C362">
        <v>48.897284718064938</v>
      </c>
    </row>
    <row r="363" spans="1:3">
      <c r="A363" s="143" t="s">
        <v>368</v>
      </c>
      <c r="B363">
        <v>118758.3107502131</v>
      </c>
      <c r="C363">
        <v>52.875404188008794</v>
      </c>
    </row>
    <row r="364" spans="1:3">
      <c r="A364" s="143" t="s">
        <v>369</v>
      </c>
      <c r="B364">
        <v>105963.16931981052</v>
      </c>
      <c r="C364">
        <v>604.83575392946921</v>
      </c>
    </row>
    <row r="365" spans="1:3">
      <c r="A365" s="143" t="s">
        <v>370</v>
      </c>
      <c r="B365">
        <v>123455.13690534889</v>
      </c>
      <c r="C365">
        <v>61.441227912681583</v>
      </c>
    </row>
    <row r="366" spans="1:3">
      <c r="A366" s="143" t="s">
        <v>371</v>
      </c>
      <c r="B366">
        <v>127108.85602210992</v>
      </c>
      <c r="C366">
        <v>86.395167456995466</v>
      </c>
    </row>
    <row r="367" spans="1:3">
      <c r="A367" s="143" t="s">
        <v>372</v>
      </c>
      <c r="B367">
        <v>87445.321878309886</v>
      </c>
      <c r="C367">
        <v>65.268142992853754</v>
      </c>
    </row>
    <row r="368" spans="1:3">
      <c r="A368" s="143" t="s">
        <v>373</v>
      </c>
      <c r="B368">
        <v>106771.05752571828</v>
      </c>
      <c r="C368">
        <v>96.181121162669783</v>
      </c>
    </row>
    <row r="369" spans="1:3">
      <c r="A369" s="143" t="s">
        <v>374</v>
      </c>
      <c r="B369">
        <v>1417209.4099074227</v>
      </c>
      <c r="C369">
        <v>52.506578477101428</v>
      </c>
    </row>
    <row r="370" spans="1:3">
      <c r="A370" s="143" t="s">
        <v>375</v>
      </c>
      <c r="B370">
        <v>122077.54686632515</v>
      </c>
      <c r="C370">
        <v>33.982799030669277</v>
      </c>
    </row>
    <row r="371" spans="1:3">
      <c r="A371" s="143" t="s">
        <v>376</v>
      </c>
      <c r="B371">
        <v>72683.516891691223</v>
      </c>
      <c r="C371">
        <v>51.151182373349883</v>
      </c>
    </row>
    <row r="372" spans="1:3">
      <c r="A372" s="143" t="s">
        <v>377</v>
      </c>
      <c r="B372">
        <v>97260.090211150833</v>
      </c>
      <c r="C372">
        <v>20.567345021949677</v>
      </c>
    </row>
    <row r="373" spans="1:3">
      <c r="A373" s="143" t="s">
        <v>378</v>
      </c>
      <c r="B373">
        <v>66253.113057785784</v>
      </c>
    </row>
    <row r="374" spans="1:3">
      <c r="A374" s="143" t="s">
        <v>379</v>
      </c>
      <c r="B374">
        <v>136143.93287275769</v>
      </c>
      <c r="C374">
        <v>36.072907174841795</v>
      </c>
    </row>
    <row r="375" spans="1:3">
      <c r="A375" s="143" t="s">
        <v>380</v>
      </c>
      <c r="B375">
        <v>88721.050238835131</v>
      </c>
      <c r="C375">
        <v>23.567047418731519</v>
      </c>
    </row>
    <row r="376" spans="1:3">
      <c r="A376" s="143" t="s">
        <v>381</v>
      </c>
      <c r="B376">
        <v>129782.26216656579</v>
      </c>
      <c r="C376">
        <v>74.754828885544597</v>
      </c>
    </row>
    <row r="377" spans="1:3">
      <c r="A377" s="143" t="s">
        <v>382</v>
      </c>
      <c r="B377">
        <v>140937.24391439115</v>
      </c>
      <c r="C377">
        <v>25.831876149732402</v>
      </c>
    </row>
    <row r="378" spans="1:3">
      <c r="A378" s="143" t="s">
        <v>383</v>
      </c>
      <c r="B378">
        <v>108516.87317259658</v>
      </c>
      <c r="C378">
        <v>53.438726840553088</v>
      </c>
    </row>
    <row r="379" spans="1:3">
      <c r="A379" s="4" t="s">
        <v>108</v>
      </c>
      <c r="B379">
        <v>4958408.5159830414</v>
      </c>
      <c r="C379">
        <v>3060.0551467996997</v>
      </c>
    </row>
    <row r="380" spans="1:3">
      <c r="A380" s="143" t="s">
        <v>343</v>
      </c>
      <c r="B380">
        <v>87920.387480615405</v>
      </c>
      <c r="C380">
        <v>33.068355979452519</v>
      </c>
    </row>
    <row r="381" spans="1:3">
      <c r="A381" s="143" t="s">
        <v>344</v>
      </c>
      <c r="B381">
        <v>96262.076836760301</v>
      </c>
      <c r="C381">
        <v>28.991762174081039</v>
      </c>
    </row>
    <row r="382" spans="1:3">
      <c r="A382" s="143" t="s">
        <v>345</v>
      </c>
      <c r="B382">
        <v>83509.716769446532</v>
      </c>
      <c r="C382">
        <v>42.007910524729951</v>
      </c>
    </row>
    <row r="383" spans="1:3">
      <c r="A383" s="143" t="s">
        <v>346</v>
      </c>
      <c r="B383">
        <v>72633.699223343792</v>
      </c>
      <c r="C383">
        <v>98.048153532532197</v>
      </c>
    </row>
    <row r="384" spans="1:3">
      <c r="A384" s="143" t="s">
        <v>347</v>
      </c>
      <c r="B384">
        <v>66902.251275434071</v>
      </c>
      <c r="C384">
        <v>86.111224928044422</v>
      </c>
    </row>
    <row r="385" spans="1:3">
      <c r="A385" s="143" t="s">
        <v>348</v>
      </c>
      <c r="B385">
        <v>180319.83929322253</v>
      </c>
      <c r="C385">
        <v>107.03418054750895</v>
      </c>
    </row>
    <row r="386" spans="1:3">
      <c r="A386" s="143" t="s">
        <v>349</v>
      </c>
      <c r="B386">
        <v>90577.50696364243</v>
      </c>
      <c r="C386">
        <v>91.266571863170682</v>
      </c>
    </row>
    <row r="387" spans="1:3">
      <c r="A387" s="143" t="s">
        <v>350</v>
      </c>
      <c r="B387">
        <v>90736.77275829202</v>
      </c>
      <c r="C387">
        <v>35.399452050866167</v>
      </c>
    </row>
    <row r="388" spans="1:3">
      <c r="A388" s="143" t="s">
        <v>351</v>
      </c>
      <c r="B388">
        <v>80354.119314906406</v>
      </c>
      <c r="C388">
        <v>66.594806151063665</v>
      </c>
    </row>
    <row r="389" spans="1:3">
      <c r="A389" s="143" t="s">
        <v>352</v>
      </c>
      <c r="B389">
        <v>59001.174428450438</v>
      </c>
      <c r="C389">
        <v>47.969151904617775</v>
      </c>
    </row>
    <row r="390" spans="1:3">
      <c r="A390" s="143" t="s">
        <v>353</v>
      </c>
      <c r="B390">
        <v>104087.78063205954</v>
      </c>
      <c r="C390">
        <v>30.388561073430481</v>
      </c>
    </row>
    <row r="391" spans="1:3">
      <c r="A391" s="143" t="s">
        <v>354</v>
      </c>
      <c r="B391">
        <v>74613.390069066023</v>
      </c>
      <c r="C391">
        <v>24.497112436790278</v>
      </c>
    </row>
    <row r="392" spans="1:3">
      <c r="A392" s="143" t="s">
        <v>355</v>
      </c>
      <c r="B392">
        <v>60658.605928256955</v>
      </c>
      <c r="C392">
        <v>38.830660951868609</v>
      </c>
    </row>
    <row r="393" spans="1:3">
      <c r="A393" s="143" t="s">
        <v>356</v>
      </c>
      <c r="B393">
        <v>82722.340788204674</v>
      </c>
      <c r="C393">
        <v>74.67435321258165</v>
      </c>
    </row>
    <row r="394" spans="1:3">
      <c r="A394" s="143" t="s">
        <v>357</v>
      </c>
      <c r="B394">
        <v>74137.169124827051</v>
      </c>
      <c r="C394">
        <v>93.223195230341915</v>
      </c>
    </row>
    <row r="395" spans="1:3">
      <c r="A395" s="143" t="s">
        <v>358</v>
      </c>
      <c r="B395">
        <v>120974.14252833127</v>
      </c>
      <c r="C395">
        <v>35.064201993368513</v>
      </c>
    </row>
    <row r="396" spans="1:3">
      <c r="A396" s="143" t="s">
        <v>359</v>
      </c>
      <c r="B396">
        <v>98215.31691557102</v>
      </c>
      <c r="C396">
        <v>33.347886256446209</v>
      </c>
    </row>
    <row r="397" spans="1:3">
      <c r="A397" s="143" t="s">
        <v>360</v>
      </c>
      <c r="B397">
        <v>87943.586884320772</v>
      </c>
      <c r="C397">
        <v>65.559780681486075</v>
      </c>
    </row>
    <row r="398" spans="1:3">
      <c r="A398" s="143" t="s">
        <v>361</v>
      </c>
      <c r="B398">
        <v>67374.483690781082</v>
      </c>
      <c r="C398">
        <v>82.455944333730287</v>
      </c>
    </row>
    <row r="399" spans="1:3">
      <c r="A399" s="143" t="s">
        <v>362</v>
      </c>
      <c r="B399">
        <v>103161.06979840263</v>
      </c>
      <c r="C399">
        <v>78.994515314169774</v>
      </c>
    </row>
    <row r="400" spans="1:3">
      <c r="A400" s="143" t="s">
        <v>363</v>
      </c>
      <c r="B400">
        <v>110312.56176887912</v>
      </c>
      <c r="C400">
        <v>31.687725243305618</v>
      </c>
    </row>
    <row r="401" spans="1:3">
      <c r="A401" s="143" t="s">
        <v>364</v>
      </c>
      <c r="B401">
        <v>114246.44319160325</v>
      </c>
      <c r="C401">
        <v>36.914500639912895</v>
      </c>
    </row>
    <row r="402" spans="1:3">
      <c r="A402" s="143" t="s">
        <v>365</v>
      </c>
      <c r="B402">
        <v>125577.31626626787</v>
      </c>
      <c r="C402">
        <v>28.012399800541353</v>
      </c>
    </row>
    <row r="403" spans="1:3">
      <c r="A403" s="143" t="s">
        <v>366</v>
      </c>
      <c r="B403">
        <v>66867.535846444516</v>
      </c>
      <c r="C403">
        <v>25.605495657695158</v>
      </c>
    </row>
    <row r="404" spans="1:3">
      <c r="A404" s="143" t="s">
        <v>367</v>
      </c>
      <c r="B404">
        <v>115586.98007810664</v>
      </c>
      <c r="C404">
        <v>70.984172523041906</v>
      </c>
    </row>
    <row r="405" spans="1:3">
      <c r="A405" s="143" t="s">
        <v>368</v>
      </c>
      <c r="B405">
        <v>100249.986438145</v>
      </c>
      <c r="C405">
        <v>68.344353585718309</v>
      </c>
    </row>
    <row r="406" spans="1:3">
      <c r="A406" s="143" t="s">
        <v>369</v>
      </c>
      <c r="B406">
        <v>112773.20337286204</v>
      </c>
      <c r="C406">
        <v>33.000885223796502</v>
      </c>
    </row>
    <row r="407" spans="1:3">
      <c r="A407" s="143" t="s">
        <v>370</v>
      </c>
      <c r="B407">
        <v>113308.33647383557</v>
      </c>
    </row>
    <row r="408" spans="1:3">
      <c r="A408" s="143" t="s">
        <v>371</v>
      </c>
      <c r="B408">
        <v>226089.90412888792</v>
      </c>
      <c r="C408">
        <v>40.664034330207379</v>
      </c>
    </row>
    <row r="409" spans="1:3">
      <c r="A409" s="143" t="s">
        <v>372</v>
      </c>
      <c r="B409">
        <v>94239.222521558477</v>
      </c>
      <c r="C409">
        <v>93.340480249499734</v>
      </c>
    </row>
    <row r="410" spans="1:3">
      <c r="A410" s="143" t="s">
        <v>373</v>
      </c>
      <c r="B410">
        <v>81241.488469272022</v>
      </c>
      <c r="C410">
        <v>62.644423207576892</v>
      </c>
    </row>
    <row r="411" spans="1:3">
      <c r="A411" s="143" t="s">
        <v>374</v>
      </c>
      <c r="B411">
        <v>79704.810136282962</v>
      </c>
      <c r="C411">
        <v>94.126830657470492</v>
      </c>
    </row>
    <row r="412" spans="1:3">
      <c r="A412" s="143" t="s">
        <v>375</v>
      </c>
      <c r="B412">
        <v>1095033.5492990762</v>
      </c>
      <c r="C412">
        <v>71.842425444417131</v>
      </c>
    </row>
    <row r="413" spans="1:3">
      <c r="A413" s="143" t="s">
        <v>376</v>
      </c>
      <c r="B413">
        <v>97020.613804654058</v>
      </c>
      <c r="C413">
        <v>78.609015939231895</v>
      </c>
    </row>
    <row r="414" spans="1:3">
      <c r="A414" s="143" t="s">
        <v>377</v>
      </c>
      <c r="B414">
        <v>89612.072563477472</v>
      </c>
      <c r="C414">
        <v>744.20055066429927</v>
      </c>
    </row>
    <row r="415" spans="1:3">
      <c r="A415" s="143" t="s">
        <v>378</v>
      </c>
      <c r="B415">
        <v>64122.150042642192</v>
      </c>
      <c r="C415">
        <v>52.028530147186451</v>
      </c>
    </row>
    <row r="416" spans="1:3">
      <c r="A416" s="143" t="s">
        <v>379</v>
      </c>
      <c r="B416">
        <v>66346.826117546283</v>
      </c>
      <c r="C416">
        <v>84.409536700373195</v>
      </c>
    </row>
    <row r="417" spans="1:3">
      <c r="A417" s="143" t="s">
        <v>380</v>
      </c>
      <c r="B417">
        <v>83675.655109160711</v>
      </c>
      <c r="C417">
        <v>31.444956217872189</v>
      </c>
    </row>
    <row r="418" spans="1:3">
      <c r="A418" s="143" t="s">
        <v>381</v>
      </c>
      <c r="B418">
        <v>145428.99490845593</v>
      </c>
      <c r="C418">
        <v>60.257633188690754</v>
      </c>
    </row>
    <row r="419" spans="1:3">
      <c r="A419" s="143" t="s">
        <v>382</v>
      </c>
      <c r="B419">
        <v>86501.319624188953</v>
      </c>
      <c r="C419">
        <v>70.146632353205376</v>
      </c>
    </row>
    <row r="420" spans="1:3">
      <c r="A420" s="143" t="s">
        <v>383</v>
      </c>
      <c r="B420">
        <v>108364.11511775944</v>
      </c>
      <c r="C420">
        <v>88.262783885376152</v>
      </c>
    </row>
    <row r="421" spans="1:3">
      <c r="A421" s="4" t="s">
        <v>109</v>
      </c>
      <c r="B421">
        <v>4812029.2763360031</v>
      </c>
      <c r="C421">
        <v>2218.7559500289312</v>
      </c>
    </row>
    <row r="422" spans="1:3">
      <c r="A422" s="143" t="s">
        <v>343</v>
      </c>
      <c r="B422">
        <v>95409.026892793059</v>
      </c>
      <c r="C422">
        <v>28.345046988150571</v>
      </c>
    </row>
    <row r="423" spans="1:3">
      <c r="A423" s="143" t="s">
        <v>344</v>
      </c>
      <c r="B423">
        <v>67390.535125697206</v>
      </c>
      <c r="C423">
        <v>23.944718968785974</v>
      </c>
    </row>
    <row r="424" spans="1:3">
      <c r="A424" s="143" t="s">
        <v>345</v>
      </c>
      <c r="B424">
        <v>878282.05535206001</v>
      </c>
    </row>
    <row r="425" spans="1:3">
      <c r="A425" s="143" t="s">
        <v>346</v>
      </c>
      <c r="B425">
        <v>139745.51998461617</v>
      </c>
      <c r="C425">
        <v>25.222140605317112</v>
      </c>
    </row>
    <row r="426" spans="1:3">
      <c r="A426" s="143" t="s">
        <v>347</v>
      </c>
      <c r="B426">
        <v>80799.074094410724</v>
      </c>
      <c r="C426">
        <v>76.119928117213277</v>
      </c>
    </row>
    <row r="427" spans="1:3">
      <c r="A427" s="143" t="s">
        <v>348</v>
      </c>
      <c r="B427">
        <v>106683.52834489795</v>
      </c>
      <c r="C427">
        <v>48.422717938953809</v>
      </c>
    </row>
    <row r="428" spans="1:3">
      <c r="A428" s="143" t="s">
        <v>349</v>
      </c>
      <c r="B428">
        <v>98127.276225216585</v>
      </c>
      <c r="C428">
        <v>55.923020829596936</v>
      </c>
    </row>
    <row r="429" spans="1:3">
      <c r="A429" s="143" t="s">
        <v>350</v>
      </c>
      <c r="B429">
        <v>91771.467857679949</v>
      </c>
      <c r="C429">
        <v>28.150301131164525</v>
      </c>
    </row>
    <row r="430" spans="1:3">
      <c r="A430" s="143" t="s">
        <v>351</v>
      </c>
      <c r="C430">
        <v>34.927207749853402</v>
      </c>
    </row>
    <row r="431" spans="1:3">
      <c r="A431" s="143" t="s">
        <v>352</v>
      </c>
      <c r="B431">
        <v>123181.48129911795</v>
      </c>
      <c r="C431">
        <v>67.70771979974208</v>
      </c>
    </row>
    <row r="432" spans="1:3">
      <c r="A432" s="143" t="s">
        <v>353</v>
      </c>
      <c r="B432">
        <v>75957.009478478227</v>
      </c>
      <c r="C432">
        <v>74.095659708523129</v>
      </c>
    </row>
    <row r="433" spans="1:3">
      <c r="A433" s="143" t="s">
        <v>354</v>
      </c>
      <c r="B433">
        <v>134050.2931625921</v>
      </c>
      <c r="C433">
        <v>79.801650939720389</v>
      </c>
    </row>
    <row r="434" spans="1:3">
      <c r="A434" s="143" t="s">
        <v>355</v>
      </c>
      <c r="B434">
        <v>77656.270765859954</v>
      </c>
      <c r="C434">
        <v>59.549664883660647</v>
      </c>
    </row>
    <row r="435" spans="1:3">
      <c r="A435" s="143" t="s">
        <v>356</v>
      </c>
      <c r="B435">
        <v>125589.29863315502</v>
      </c>
      <c r="C435">
        <v>67.49476959269866</v>
      </c>
    </row>
    <row r="436" spans="1:3">
      <c r="A436" s="143" t="s">
        <v>357</v>
      </c>
      <c r="B436">
        <v>111447.80622351351</v>
      </c>
      <c r="C436">
        <v>41.254845189301079</v>
      </c>
    </row>
    <row r="437" spans="1:3">
      <c r="A437" s="143" t="s">
        <v>358</v>
      </c>
      <c r="B437">
        <v>133108.1422617659</v>
      </c>
      <c r="C437">
        <v>44.298803698007951</v>
      </c>
    </row>
    <row r="438" spans="1:3">
      <c r="A438" s="143" t="s">
        <v>359</v>
      </c>
      <c r="B438">
        <v>99248.587100410368</v>
      </c>
      <c r="C438">
        <v>93.898511670142085</v>
      </c>
    </row>
    <row r="439" spans="1:3">
      <c r="A439" s="143" t="s">
        <v>360</v>
      </c>
      <c r="B439">
        <v>108645.25901268311</v>
      </c>
      <c r="C439">
        <v>86.591283336152628</v>
      </c>
    </row>
    <row r="440" spans="1:3">
      <c r="A440" s="143" t="s">
        <v>361</v>
      </c>
      <c r="B440">
        <v>75251.467235548553</v>
      </c>
      <c r="C440">
        <v>92.815689931575719</v>
      </c>
    </row>
    <row r="441" spans="1:3">
      <c r="A441" s="143" t="s">
        <v>362</v>
      </c>
      <c r="B441">
        <v>98067.526599702207</v>
      </c>
      <c r="C441">
        <v>40.226992055223143</v>
      </c>
    </row>
    <row r="442" spans="1:3">
      <c r="A442" s="143" t="s">
        <v>363</v>
      </c>
      <c r="B442">
        <v>119568.4422405607</v>
      </c>
      <c r="C442">
        <v>85.84028595575478</v>
      </c>
    </row>
    <row r="443" spans="1:3">
      <c r="A443" s="143" t="s">
        <v>364</v>
      </c>
      <c r="B443">
        <v>145633.03673077686</v>
      </c>
      <c r="C443">
        <v>41.213659294668446</v>
      </c>
    </row>
    <row r="444" spans="1:3">
      <c r="A444" s="143" t="s">
        <v>365</v>
      </c>
      <c r="B444">
        <v>80953.672385224054</v>
      </c>
      <c r="C444">
        <v>41.737407911854376</v>
      </c>
    </row>
    <row r="445" spans="1:3">
      <c r="A445" s="143" t="s">
        <v>366</v>
      </c>
      <c r="B445">
        <v>89511.037274746966</v>
      </c>
      <c r="C445">
        <v>24.530044590204643</v>
      </c>
    </row>
    <row r="446" spans="1:3">
      <c r="A446" s="143" t="s">
        <v>367</v>
      </c>
      <c r="B446">
        <v>99219.609612449116</v>
      </c>
    </row>
    <row r="447" spans="1:3">
      <c r="A447" s="143" t="s">
        <v>368</v>
      </c>
      <c r="B447">
        <v>157368.06111333537</v>
      </c>
      <c r="C447">
        <v>70.401494449506188</v>
      </c>
    </row>
    <row r="448" spans="1:3">
      <c r="A448" s="143" t="s">
        <v>369</v>
      </c>
      <c r="B448">
        <v>121162.366501743</v>
      </c>
      <c r="C448">
        <v>96.779657716957544</v>
      </c>
    </row>
    <row r="449" spans="1:3">
      <c r="A449" s="143" t="s">
        <v>370</v>
      </c>
      <c r="B449">
        <v>138824.34872927499</v>
      </c>
      <c r="C449">
        <v>53.814929572594053</v>
      </c>
    </row>
    <row r="450" spans="1:3">
      <c r="A450" s="143" t="s">
        <v>371</v>
      </c>
      <c r="B450">
        <v>101591.95724752072</v>
      </c>
      <c r="C450">
        <v>89.360928552848037</v>
      </c>
    </row>
    <row r="451" spans="1:3">
      <c r="A451" s="143" t="s">
        <v>372</v>
      </c>
      <c r="B451">
        <v>128370.62690296074</v>
      </c>
      <c r="C451">
        <v>84.065447988780022</v>
      </c>
    </row>
    <row r="452" spans="1:3">
      <c r="A452" s="143" t="s">
        <v>373</v>
      </c>
      <c r="B452">
        <v>104332.49950809238</v>
      </c>
      <c r="C452">
        <v>70.523550294092828</v>
      </c>
    </row>
    <row r="453" spans="1:3">
      <c r="A453" s="143" t="s">
        <v>374</v>
      </c>
      <c r="B453">
        <v>92770.744666120285</v>
      </c>
      <c r="C453">
        <v>76.833745200992936</v>
      </c>
    </row>
    <row r="454" spans="1:3">
      <c r="A454" s="143" t="s">
        <v>375</v>
      </c>
      <c r="B454">
        <v>99951.923181622929</v>
      </c>
    </row>
    <row r="455" spans="1:3">
      <c r="A455" s="143" t="s">
        <v>376</v>
      </c>
      <c r="B455">
        <v>110055.68853790389</v>
      </c>
    </row>
    <row r="456" spans="1:3">
      <c r="A456" s="143" t="s">
        <v>377</v>
      </c>
    </row>
    <row r="457" spans="1:3">
      <c r="A457" s="143" t="s">
        <v>378</v>
      </c>
      <c r="B457">
        <v>72891.049937754215</v>
      </c>
      <c r="C457">
        <v>95.772234880508378</v>
      </c>
    </row>
    <row r="458" spans="1:3">
      <c r="A458" s="143" t="s">
        <v>379</v>
      </c>
      <c r="B458">
        <v>79519.428182272415</v>
      </c>
      <c r="C458">
        <v>88.01061877480295</v>
      </c>
    </row>
    <row r="459" spans="1:3">
      <c r="A459" s="143" t="s">
        <v>380</v>
      </c>
      <c r="B459">
        <v>101562.86125939294</v>
      </c>
      <c r="C459">
        <v>21.12116140208456</v>
      </c>
    </row>
    <row r="460" spans="1:3">
      <c r="A460" s="143" t="s">
        <v>381</v>
      </c>
      <c r="B460">
        <v>91912.051536320767</v>
      </c>
      <c r="C460">
        <v>81.211907988901118</v>
      </c>
    </row>
    <row r="461" spans="1:3">
      <c r="A461" s="143" t="s">
        <v>382</v>
      </c>
      <c r="B461">
        <v>91938.480218699391</v>
      </c>
      <c r="C461">
        <v>40.255912561024815</v>
      </c>
    </row>
    <row r="462" spans="1:3">
      <c r="A462" s="143" t="s">
        <v>383</v>
      </c>
      <c r="B462">
        <v>64479.764919031957</v>
      </c>
      <c r="C462">
        <v>88.492289759572827</v>
      </c>
    </row>
    <row r="463" spans="1:3">
      <c r="A463" s="4" t="s">
        <v>110</v>
      </c>
      <c r="B463">
        <v>5052481.7957043126</v>
      </c>
      <c r="C463">
        <v>2390.4887962620828</v>
      </c>
    </row>
    <row r="464" spans="1:3">
      <c r="A464" s="143" t="s">
        <v>343</v>
      </c>
      <c r="B464">
        <v>67210.316749491321</v>
      </c>
      <c r="C464">
        <v>31.64123862298873</v>
      </c>
    </row>
    <row r="465" spans="1:3">
      <c r="A465" s="143" t="s">
        <v>344</v>
      </c>
      <c r="B465">
        <v>124119.89033093632</v>
      </c>
      <c r="C465">
        <v>40.598337319397544</v>
      </c>
    </row>
    <row r="466" spans="1:3">
      <c r="A466" s="143" t="s">
        <v>345</v>
      </c>
      <c r="B466">
        <v>89420.445838719694</v>
      </c>
      <c r="C466">
        <v>47.276957891439082</v>
      </c>
    </row>
    <row r="467" spans="1:3">
      <c r="A467" s="143" t="s">
        <v>346</v>
      </c>
      <c r="B467">
        <v>118227.25444349443</v>
      </c>
      <c r="C467">
        <v>85.747145820232205</v>
      </c>
    </row>
    <row r="468" spans="1:3">
      <c r="A468" s="143" t="s">
        <v>347</v>
      </c>
      <c r="B468">
        <v>97545.821328085513</v>
      </c>
      <c r="C468">
        <v>56.747492447516514</v>
      </c>
    </row>
    <row r="469" spans="1:3">
      <c r="A469" s="143" t="s">
        <v>348</v>
      </c>
      <c r="B469">
        <v>96894.819023505028</v>
      </c>
      <c r="C469">
        <v>74.60093840929602</v>
      </c>
    </row>
    <row r="470" spans="1:3">
      <c r="A470" s="143" t="s">
        <v>349</v>
      </c>
      <c r="B470">
        <v>126515.93295084379</v>
      </c>
      <c r="C470">
        <v>56.744295057045903</v>
      </c>
    </row>
    <row r="471" spans="1:3">
      <c r="A471" s="143" t="s">
        <v>350</v>
      </c>
      <c r="B471">
        <v>123078.01468511495</v>
      </c>
      <c r="C471">
        <v>92.889640111356599</v>
      </c>
    </row>
    <row r="472" spans="1:3">
      <c r="A472" s="143" t="s">
        <v>351</v>
      </c>
      <c r="B472">
        <v>108937.45001605396</v>
      </c>
      <c r="C472">
        <v>35.058575981523646</v>
      </c>
    </row>
    <row r="473" spans="1:3">
      <c r="A473" s="143" t="s">
        <v>352</v>
      </c>
      <c r="B473">
        <v>93274.905226378556</v>
      </c>
      <c r="C473">
        <v>41.937031129931761</v>
      </c>
    </row>
    <row r="474" spans="1:3">
      <c r="A474" s="143" t="s">
        <v>353</v>
      </c>
      <c r="C474">
        <v>88.688008558599861</v>
      </c>
    </row>
    <row r="475" spans="1:3">
      <c r="A475" s="143" t="s">
        <v>354</v>
      </c>
      <c r="B475">
        <v>104046.57592845603</v>
      </c>
      <c r="C475">
        <v>88.068220585767634</v>
      </c>
    </row>
    <row r="476" spans="1:3">
      <c r="A476" s="143" t="s">
        <v>355</v>
      </c>
      <c r="B476">
        <v>96283.08495614506</v>
      </c>
      <c r="C476">
        <v>93.186795999750245</v>
      </c>
    </row>
    <row r="477" spans="1:3">
      <c r="A477" s="143" t="s">
        <v>356</v>
      </c>
      <c r="B477">
        <v>120834.49328117703</v>
      </c>
      <c r="C477">
        <v>80.3861966689865</v>
      </c>
    </row>
    <row r="478" spans="1:3">
      <c r="A478" s="143" t="s">
        <v>357</v>
      </c>
      <c r="B478">
        <v>109012.06825725078</v>
      </c>
      <c r="C478">
        <v>91.66525852481557</v>
      </c>
    </row>
    <row r="479" spans="1:3">
      <c r="A479" s="143" t="s">
        <v>358</v>
      </c>
      <c r="C479">
        <v>27.441392741013999</v>
      </c>
    </row>
    <row r="480" spans="1:3">
      <c r="A480" s="143" t="s">
        <v>359</v>
      </c>
      <c r="B480">
        <v>65375.973931101493</v>
      </c>
      <c r="C480">
        <v>85.71770022209526</v>
      </c>
    </row>
    <row r="481" spans="1:3">
      <c r="A481" s="143" t="s">
        <v>360</v>
      </c>
      <c r="B481">
        <v>109400.88374736405</v>
      </c>
    </row>
    <row r="482" spans="1:3">
      <c r="A482" s="143" t="s">
        <v>361</v>
      </c>
      <c r="B482">
        <v>102188.1694366594</v>
      </c>
      <c r="C482">
        <v>50.626671581474824</v>
      </c>
    </row>
    <row r="483" spans="1:3">
      <c r="A483" s="143" t="s">
        <v>362</v>
      </c>
      <c r="B483">
        <v>91680.661441052827</v>
      </c>
      <c r="C483">
        <v>25.382769033721164</v>
      </c>
    </row>
    <row r="484" spans="1:3">
      <c r="A484" s="143" t="s">
        <v>363</v>
      </c>
      <c r="B484">
        <v>110442.85091867871</v>
      </c>
      <c r="C484">
        <v>38.80250390495349</v>
      </c>
    </row>
    <row r="485" spans="1:3">
      <c r="A485" s="143" t="s">
        <v>364</v>
      </c>
      <c r="B485">
        <v>87647.166461326065</v>
      </c>
      <c r="C485">
        <v>73.028783010773253</v>
      </c>
    </row>
    <row r="486" spans="1:3">
      <c r="A486" s="143" t="s">
        <v>365</v>
      </c>
      <c r="B486">
        <v>171006.90832541289</v>
      </c>
      <c r="C486">
        <v>135.54171172643728</v>
      </c>
    </row>
    <row r="487" spans="1:3">
      <c r="A487" s="143" t="s">
        <v>366</v>
      </c>
      <c r="B487">
        <v>85293.930786360957</v>
      </c>
      <c r="C487">
        <v>29.630251960442706</v>
      </c>
    </row>
    <row r="488" spans="1:3">
      <c r="A488" s="143" t="s">
        <v>367</v>
      </c>
      <c r="B488">
        <v>91641.809084682187</v>
      </c>
      <c r="C488">
        <v>48.923215021036526</v>
      </c>
    </row>
    <row r="489" spans="1:3">
      <c r="A489" s="143" t="s">
        <v>368</v>
      </c>
      <c r="B489">
        <v>66628.014822436089</v>
      </c>
      <c r="C489">
        <v>53.390635344037861</v>
      </c>
    </row>
    <row r="490" spans="1:3">
      <c r="A490" s="143" t="s">
        <v>369</v>
      </c>
      <c r="B490">
        <v>107352.39680419421</v>
      </c>
      <c r="C490">
        <v>88.126512001378984</v>
      </c>
    </row>
    <row r="491" spans="1:3">
      <c r="A491" s="143" t="s">
        <v>370</v>
      </c>
      <c r="B491">
        <v>82433.538456405222</v>
      </c>
      <c r="C491">
        <v>77.445452896068872</v>
      </c>
    </row>
    <row r="492" spans="1:3">
      <c r="A492" s="143" t="s">
        <v>371</v>
      </c>
      <c r="B492">
        <v>111081.15542231814</v>
      </c>
    </row>
    <row r="493" spans="1:3">
      <c r="A493" s="143" t="s">
        <v>372</v>
      </c>
      <c r="B493">
        <v>50243.826869298413</v>
      </c>
      <c r="C493">
        <v>56.090405583827312</v>
      </c>
    </row>
    <row r="494" spans="1:3">
      <c r="A494" s="143" t="s">
        <v>373</v>
      </c>
      <c r="B494">
        <v>79484.946327194455</v>
      </c>
      <c r="C494">
        <v>63.435235559146221</v>
      </c>
    </row>
    <row r="495" spans="1:3">
      <c r="A495" s="143" t="s">
        <v>374</v>
      </c>
      <c r="C495">
        <v>53.513889983433494</v>
      </c>
    </row>
    <row r="496" spans="1:3">
      <c r="A496" s="143" t="s">
        <v>375</v>
      </c>
      <c r="B496">
        <v>88214.566964213882</v>
      </c>
      <c r="C496">
        <v>77.404910611882855</v>
      </c>
    </row>
    <row r="497" spans="1:3">
      <c r="A497" s="143" t="s">
        <v>376</v>
      </c>
      <c r="B497">
        <v>135927.21645853927</v>
      </c>
      <c r="C497">
        <v>36.966498998190218</v>
      </c>
    </row>
    <row r="498" spans="1:3">
      <c r="A498" s="143" t="s">
        <v>377</v>
      </c>
      <c r="B498">
        <v>108566.33384750475</v>
      </c>
      <c r="C498">
        <v>31.728664028800253</v>
      </c>
    </row>
    <row r="499" spans="1:3">
      <c r="A499" s="143" t="s">
        <v>378</v>
      </c>
      <c r="B499">
        <v>85819.580847390185</v>
      </c>
      <c r="C499">
        <v>52.51701743616578</v>
      </c>
    </row>
    <row r="500" spans="1:3">
      <c r="A500" s="143" t="s">
        <v>379</v>
      </c>
      <c r="C500">
        <v>43.132026756332074</v>
      </c>
    </row>
    <row r="501" spans="1:3">
      <c r="A501" s="143" t="s">
        <v>380</v>
      </c>
      <c r="B501">
        <v>117232.72248995888</v>
      </c>
      <c r="C501">
        <v>65.348674663527575</v>
      </c>
    </row>
    <row r="502" spans="1:3">
      <c r="A502" s="143" t="s">
        <v>381</v>
      </c>
      <c r="B502">
        <v>109828.589054404</v>
      </c>
      <c r="C502">
        <v>58.823250724937225</v>
      </c>
    </row>
    <row r="503" spans="1:3">
      <c r="A503" s="143" t="s">
        <v>382</v>
      </c>
      <c r="B503">
        <v>1398310.6604409469</v>
      </c>
      <c r="C503">
        <v>84.2954761501842</v>
      </c>
    </row>
    <row r="504" spans="1:3">
      <c r="A504" s="143" t="s">
        <v>383</v>
      </c>
      <c r="B504">
        <v>121278.81975121712</v>
      </c>
      <c r="C504">
        <v>27.939013193574482</v>
      </c>
    </row>
    <row r="505" spans="1:3">
      <c r="A505" s="4" t="s">
        <v>38</v>
      </c>
      <c r="B505">
        <v>61226212.431840636</v>
      </c>
      <c r="C505">
        <v>38102.209533469759</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DCB63-95CC-4101-9467-523AD5F08DF8}">
  <sheetPr codeName="Sheet66"/>
  <dimension ref="C2:R2"/>
  <sheetViews>
    <sheetView workbookViewId="0">
      <selection activeCell="O2" sqref="O2:R2"/>
    </sheetView>
  </sheetViews>
  <sheetFormatPr defaultRowHeight="14.4"/>
  <cols>
    <col min="5" max="5" width="14.44140625" bestFit="1" customWidth="1"/>
    <col min="9" max="9" width="15.77734375" bestFit="1" customWidth="1"/>
  </cols>
  <sheetData>
    <row r="2" spans="3:18" ht="18">
      <c r="C2" s="29" t="s">
        <v>274</v>
      </c>
      <c r="D2" s="29"/>
      <c r="E2" s="18" cm="1">
        <f t="array" ref="E2">SUM(automotive_demand_forecasting_dataset567[Units_Sold]*automotive_demand_forecasting_dataset567[Marketing_Spend])</f>
        <v>5008853888.7487745</v>
      </c>
      <c r="G2" s="85" t="s">
        <v>7</v>
      </c>
      <c r="H2" s="85"/>
      <c r="I2" s="18">
        <f>SUM(Table16[Marketing_Spend])</f>
        <v>50428159.479048401</v>
      </c>
      <c r="K2" s="29" t="s">
        <v>88</v>
      </c>
      <c r="L2" s="29"/>
      <c r="M2" s="18">
        <f>SUM(automotive_demand_forecasting_dataset567[Online_Interest_Index])</f>
        <v>30655.208472010316</v>
      </c>
      <c r="O2" s="74" t="s">
        <v>153</v>
      </c>
      <c r="P2" s="74"/>
      <c r="Q2" s="74"/>
      <c r="R2" s="75">
        <v>97.916666666666671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DD58C-6F1F-493F-A18E-82D17DAF8BCD}">
  <sheetPr codeName="Sheet65"/>
  <dimension ref="C2:R4"/>
  <sheetViews>
    <sheetView zoomScale="66" workbookViewId="0"/>
  </sheetViews>
  <sheetFormatPr defaultRowHeight="14.4"/>
  <cols>
    <col min="1" max="4" width="8.88671875" style="36"/>
    <col min="5" max="5" width="14.44140625" style="36" bestFit="1" customWidth="1"/>
    <col min="6" max="7" width="8.88671875" style="36"/>
    <col min="8" max="8" width="10.77734375" style="36" customWidth="1"/>
    <col min="9" max="9" width="15.77734375" style="36" bestFit="1" customWidth="1"/>
    <col min="10" max="10" width="8.88671875" style="36"/>
    <col min="11" max="11" width="13.5546875" style="36" customWidth="1"/>
    <col min="12" max="12" width="20.5546875" style="36" customWidth="1"/>
    <col min="13" max="16" width="8.88671875" style="36"/>
    <col min="17" max="17" width="16.44140625" style="36" customWidth="1"/>
    <col min="18" max="18" width="13.88671875" style="36" customWidth="1"/>
    <col min="19" max="16384" width="8.88671875" style="36"/>
  </cols>
  <sheetData>
    <row r="2" spans="3:18" ht="23.4">
      <c r="F2" s="142" t="s">
        <v>408</v>
      </c>
      <c r="G2" s="142"/>
      <c r="H2" s="142"/>
      <c r="I2" s="142"/>
      <c r="J2" s="142"/>
      <c r="K2" s="142"/>
    </row>
    <row r="4" spans="3:18" ht="18">
      <c r="C4" s="29" t="s">
        <v>274</v>
      </c>
      <c r="D4" s="29"/>
      <c r="E4" s="18" cm="1">
        <f t="array" ref="E4">SUM(automotive_demand_forecasting_dataset567[Units_Sold]*automotive_demand_forecasting_dataset567[Marketing_Spend])</f>
        <v>5008853888.7487745</v>
      </c>
      <c r="G4" s="85" t="s">
        <v>7</v>
      </c>
      <c r="H4" s="85"/>
      <c r="I4" s="18">
        <f>SUM(Table16[Marketing_Spend])</f>
        <v>50428159.479048401</v>
      </c>
      <c r="K4" s="29" t="s">
        <v>88</v>
      </c>
      <c r="L4" s="29"/>
      <c r="M4" s="18">
        <f>SUM(automotive_demand_forecasting_dataset567[Online_Interest_Index])</f>
        <v>30655.208472010316</v>
      </c>
      <c r="O4" s="74" t="s">
        <v>153</v>
      </c>
      <c r="P4" s="74"/>
      <c r="Q4" s="74"/>
      <c r="R4" s="75">
        <v>97.916666666666671</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65889" r:id="rId3" name="Button 1">
              <controlPr defaultSize="0" print="0" autoFill="0" autoPict="0" macro="[0]!AutoDemandAnalysis">
                <anchor moveWithCells="1" sizeWithCells="1">
                  <from>
                    <xdr:col>16</xdr:col>
                    <xdr:colOff>1097280</xdr:colOff>
                    <xdr:row>6</xdr:row>
                    <xdr:rowOff>121920</xdr:rowOff>
                  </from>
                  <to>
                    <xdr:col>18</xdr:col>
                    <xdr:colOff>251460</xdr:colOff>
                    <xdr:row>9</xdr:row>
                    <xdr:rowOff>38100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0E36C-8BDB-4253-9361-D961DF11303F}">
  <sheetPr codeName="Sheet67"/>
  <dimension ref="A3:B16"/>
  <sheetViews>
    <sheetView workbookViewId="0">
      <selection activeCell="B26" sqref="B26"/>
    </sheetView>
  </sheetViews>
  <sheetFormatPr defaultRowHeight="14.4"/>
  <cols>
    <col min="1" max="1" width="17.21875" bestFit="1" customWidth="1"/>
    <col min="2" max="2" width="16.5546875" bestFit="1" customWidth="1"/>
    <col min="3" max="3" width="6.44140625" bestFit="1" customWidth="1"/>
    <col min="4" max="4" width="5" bestFit="1" customWidth="1"/>
    <col min="5" max="5" width="5.77734375" bestFit="1" customWidth="1"/>
    <col min="6" max="6" width="6" bestFit="1" customWidth="1"/>
    <col min="7" max="7" width="10.77734375" bestFit="1" customWidth="1"/>
  </cols>
  <sheetData>
    <row r="3" spans="1:2">
      <c r="A3" s="3" t="s">
        <v>37</v>
      </c>
      <c r="B3" t="s">
        <v>39</v>
      </c>
    </row>
    <row r="4" spans="1:2">
      <c r="A4" s="4" t="s">
        <v>324</v>
      </c>
      <c r="B4">
        <v>3992</v>
      </c>
    </row>
    <row r="5" spans="1:2">
      <c r="A5" s="4" t="s">
        <v>325</v>
      </c>
      <c r="B5">
        <v>4163</v>
      </c>
    </row>
    <row r="6" spans="1:2">
      <c r="A6" s="4" t="s">
        <v>326</v>
      </c>
      <c r="B6">
        <v>4290</v>
      </c>
    </row>
    <row r="7" spans="1:2">
      <c r="A7" s="4" t="s">
        <v>327</v>
      </c>
      <c r="B7">
        <v>4247</v>
      </c>
    </row>
    <row r="8" spans="1:2">
      <c r="A8" s="4" t="s">
        <v>328</v>
      </c>
      <c r="B8">
        <v>4086</v>
      </c>
    </row>
    <row r="9" spans="1:2">
      <c r="A9" s="4" t="s">
        <v>329</v>
      </c>
      <c r="B9">
        <v>4411</v>
      </c>
    </row>
    <row r="10" spans="1:2">
      <c r="A10" s="4" t="s">
        <v>330</v>
      </c>
      <c r="B10">
        <v>4125</v>
      </c>
    </row>
    <row r="11" spans="1:2">
      <c r="A11" s="4" t="s">
        <v>331</v>
      </c>
      <c r="B11">
        <v>4219</v>
      </c>
    </row>
    <row r="12" spans="1:2">
      <c r="A12" s="4" t="s">
        <v>332</v>
      </c>
      <c r="B12">
        <v>4245</v>
      </c>
    </row>
    <row r="13" spans="1:2">
      <c r="A13" s="4" t="s">
        <v>333</v>
      </c>
      <c r="B13">
        <v>4075</v>
      </c>
    </row>
    <row r="14" spans="1:2">
      <c r="A14" s="4" t="s">
        <v>334</v>
      </c>
      <c r="B14">
        <v>3734</v>
      </c>
    </row>
    <row r="15" spans="1:2">
      <c r="A15" s="4" t="s">
        <v>335</v>
      </c>
      <c r="B15">
        <v>4063</v>
      </c>
    </row>
    <row r="16" spans="1:2">
      <c r="A16" s="4" t="s">
        <v>38</v>
      </c>
      <c r="B16">
        <v>49650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0F6AC-1694-4B5E-A5CA-B6880F92CC12}">
  <sheetPr codeName="Sheet68"/>
  <dimension ref="A3:B16"/>
  <sheetViews>
    <sheetView workbookViewId="0">
      <selection activeCell="H26" sqref="H26"/>
    </sheetView>
  </sheetViews>
  <sheetFormatPr defaultRowHeight="14.4"/>
  <cols>
    <col min="1" max="1" width="17.21875" bestFit="1" customWidth="1"/>
    <col min="2" max="2" width="22.77734375" bestFit="1" customWidth="1"/>
  </cols>
  <sheetData>
    <row r="3" spans="1:2">
      <c r="A3" s="3" t="s">
        <v>37</v>
      </c>
      <c r="B3" t="s">
        <v>77</v>
      </c>
    </row>
    <row r="4" spans="1:2">
      <c r="A4" s="4" t="s">
        <v>324</v>
      </c>
      <c r="B4">
        <v>4377717.5605606399</v>
      </c>
    </row>
    <row r="5" spans="1:2">
      <c r="A5" s="4" t="s">
        <v>325</v>
      </c>
      <c r="B5">
        <v>4307891.6921104491</v>
      </c>
    </row>
    <row r="6" spans="1:2">
      <c r="A6" s="4" t="s">
        <v>326</v>
      </c>
      <c r="B6">
        <v>3966291.7402839647</v>
      </c>
    </row>
    <row r="7" spans="1:2">
      <c r="A7" s="4" t="s">
        <v>327</v>
      </c>
      <c r="B7">
        <v>4295763.7596750529</v>
      </c>
    </row>
    <row r="8" spans="1:2">
      <c r="A8" s="4" t="s">
        <v>328</v>
      </c>
      <c r="B8">
        <v>4240007.2856706074</v>
      </c>
    </row>
    <row r="9" spans="1:2">
      <c r="A9" s="4" t="s">
        <v>329</v>
      </c>
      <c r="B9">
        <v>4403707.4912347039</v>
      </c>
    </row>
    <row r="10" spans="1:2">
      <c r="A10" s="4" t="s">
        <v>330</v>
      </c>
      <c r="B10">
        <v>4281780.8222096907</v>
      </c>
    </row>
    <row r="11" spans="1:2">
      <c r="A11" s="4" t="s">
        <v>331</v>
      </c>
      <c r="B11">
        <v>4323095.2530295709</v>
      </c>
    </row>
    <row r="12" spans="1:2">
      <c r="A12" s="4" t="s">
        <v>332</v>
      </c>
      <c r="B12">
        <v>4091309.0277573518</v>
      </c>
    </row>
    <row r="13" spans="1:2">
      <c r="A13" s="4" t="s">
        <v>333</v>
      </c>
      <c r="B13">
        <v>4141681.1385403401</v>
      </c>
    </row>
    <row r="14" spans="1:2">
      <c r="A14" s="4" t="s">
        <v>334</v>
      </c>
      <c r="B14">
        <v>3726236.6419126834</v>
      </c>
    </row>
    <row r="15" spans="1:2">
      <c r="A15" s="4" t="s">
        <v>335</v>
      </c>
      <c r="B15">
        <v>4272677.066063365</v>
      </c>
    </row>
    <row r="16" spans="1:2">
      <c r="A16" s="4" t="s">
        <v>38</v>
      </c>
      <c r="B16">
        <v>50428159.479048431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7870A-F637-4154-969C-0A1564DC202A}">
  <sheetPr codeName="Sheet69"/>
  <dimension ref="A3:B9"/>
  <sheetViews>
    <sheetView workbookViewId="0">
      <selection activeCell="A3" sqref="A3"/>
    </sheetView>
  </sheetViews>
  <sheetFormatPr defaultRowHeight="14.4"/>
  <cols>
    <col min="1" max="1" width="12.5546875" bestFit="1" customWidth="1"/>
    <col min="2" max="2" width="22.77734375" bestFit="1" customWidth="1"/>
  </cols>
  <sheetData>
    <row r="3" spans="1:2">
      <c r="A3" s="3" t="s">
        <v>37</v>
      </c>
      <c r="B3" t="s">
        <v>77</v>
      </c>
    </row>
    <row r="4" spans="1:2">
      <c r="A4" s="4" t="s">
        <v>322</v>
      </c>
      <c r="B4">
        <v>10724254.770603586</v>
      </c>
    </row>
    <row r="5" spans="1:2">
      <c r="A5" s="4" t="s">
        <v>318</v>
      </c>
      <c r="B5">
        <v>9740986.6961053871</v>
      </c>
    </row>
    <row r="6" spans="1:2">
      <c r="A6" s="4" t="s">
        <v>321</v>
      </c>
      <c r="B6">
        <v>10090137.558355028</v>
      </c>
    </row>
    <row r="7" spans="1:2">
      <c r="A7" s="4" t="s">
        <v>320</v>
      </c>
      <c r="B7">
        <v>9191715.916670369</v>
      </c>
    </row>
    <row r="8" spans="1:2">
      <c r="A8" s="4" t="s">
        <v>319</v>
      </c>
      <c r="B8">
        <v>10681064.537314061</v>
      </c>
    </row>
    <row r="9" spans="1:2">
      <c r="A9" s="4" t="s">
        <v>38</v>
      </c>
      <c r="B9">
        <v>50428159.479048431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D1933-2454-4693-92D5-AA323CD230B1}">
  <sheetPr codeName="Sheet70"/>
  <dimension ref="A3:B16"/>
  <sheetViews>
    <sheetView workbookViewId="0">
      <selection activeCell="E26" sqref="E26"/>
    </sheetView>
  </sheetViews>
  <sheetFormatPr defaultRowHeight="14.4"/>
  <cols>
    <col min="1" max="1" width="17.21875" bestFit="1" customWidth="1"/>
    <col min="2" max="2" width="23.33203125" bestFit="1" customWidth="1"/>
  </cols>
  <sheetData>
    <row r="3" spans="1:2">
      <c r="A3" s="3" t="s">
        <v>37</v>
      </c>
      <c r="B3" t="s">
        <v>336</v>
      </c>
    </row>
    <row r="4" spans="1:2">
      <c r="A4" s="4" t="s">
        <v>324</v>
      </c>
      <c r="B4">
        <v>45349.55788939273</v>
      </c>
    </row>
    <row r="5" spans="1:2">
      <c r="A5" s="4" t="s">
        <v>325</v>
      </c>
      <c r="B5">
        <v>42989.463452284464</v>
      </c>
    </row>
    <row r="6" spans="1:2">
      <c r="A6" s="4" t="s">
        <v>326</v>
      </c>
      <c r="B6">
        <v>40188.435733841776</v>
      </c>
    </row>
    <row r="7" spans="1:2">
      <c r="A7" s="4" t="s">
        <v>327</v>
      </c>
      <c r="B7">
        <v>43877.44432688471</v>
      </c>
    </row>
    <row r="8" spans="1:2">
      <c r="A8" s="4" t="s">
        <v>328</v>
      </c>
      <c r="B8">
        <v>42879.777595179774</v>
      </c>
    </row>
    <row r="9" spans="1:2">
      <c r="A9" s="4" t="s">
        <v>329</v>
      </c>
      <c r="B9">
        <v>44369.886990234525</v>
      </c>
    </row>
    <row r="10" spans="1:2">
      <c r="A10" s="4" t="s">
        <v>330</v>
      </c>
      <c r="B10">
        <v>44140.080978374186</v>
      </c>
    </row>
    <row r="11" spans="1:2">
      <c r="A11" s="4" t="s">
        <v>331</v>
      </c>
      <c r="B11">
        <v>43185.661305350106</v>
      </c>
    </row>
    <row r="12" spans="1:2">
      <c r="A12" s="4" t="s">
        <v>332</v>
      </c>
      <c r="B12">
        <v>40677.887489163695</v>
      </c>
    </row>
    <row r="13" spans="1:2">
      <c r="A13" s="4" t="s">
        <v>333</v>
      </c>
      <c r="B13">
        <v>42058.992108726387</v>
      </c>
    </row>
    <row r="14" spans="1:2">
      <c r="A14" s="4" t="s">
        <v>334</v>
      </c>
      <c r="B14">
        <v>38330.132013705595</v>
      </c>
    </row>
    <row r="15" spans="1:2">
      <c r="A15" s="4" t="s">
        <v>335</v>
      </c>
      <c r="B15">
        <v>44657.674550476855</v>
      </c>
    </row>
    <row r="16" spans="1:2">
      <c r="A16" s="4" t="s">
        <v>38</v>
      </c>
      <c r="B16">
        <v>512704.99443361483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ED574-0E61-4CD1-8C64-A643FDF138BA}">
  <sheetPr codeName="Sheet71"/>
  <dimension ref="A1:J501"/>
  <sheetViews>
    <sheetView workbookViewId="0">
      <selection activeCell="K490" sqref="K490"/>
    </sheetView>
  </sheetViews>
  <sheetFormatPr defaultRowHeight="14.4"/>
  <cols>
    <col min="1" max="1" width="10.33203125" bestFit="1" customWidth="1"/>
    <col min="2" max="2" width="14.109375" customWidth="1"/>
    <col min="5" max="5" width="11.88671875" customWidth="1"/>
    <col min="6" max="7" width="20.109375" customWidth="1"/>
    <col min="9" max="9" width="22" bestFit="1" customWidth="1"/>
    <col min="14" max="14" width="21.6640625" customWidth="1"/>
  </cols>
  <sheetData>
    <row r="1" spans="1:10">
      <c r="A1" s="16" t="s">
        <v>0</v>
      </c>
      <c r="B1" s="16" t="s">
        <v>1</v>
      </c>
      <c r="C1" t="s">
        <v>45</v>
      </c>
      <c r="D1" t="s">
        <v>112</v>
      </c>
      <c r="E1" s="16" t="s">
        <v>2</v>
      </c>
      <c r="F1" t="s">
        <v>316</v>
      </c>
      <c r="G1" t="s">
        <v>7</v>
      </c>
      <c r="H1" t="s">
        <v>317</v>
      </c>
      <c r="I1" t="s">
        <v>9</v>
      </c>
      <c r="J1" s="2" t="s">
        <v>323</v>
      </c>
    </row>
    <row r="2" spans="1:10">
      <c r="A2" s="53">
        <v>42005</v>
      </c>
      <c r="B2" s="14" t="s">
        <v>10</v>
      </c>
      <c r="C2" t="str">
        <f ca="1">CHOOSE(RANDBETWEEN(1,4),"North","South","East","West")</f>
        <v>West</v>
      </c>
      <c r="D2" t="str">
        <f>TEXT(A2,"mmmm")</f>
        <v>January</v>
      </c>
      <c r="E2" s="14">
        <v>96</v>
      </c>
      <c r="F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
        <v>97675.419137560835</v>
      </c>
      <c r="H2" t="str">
        <f t="shared" ref="H2:H65" ca="1" si="0">CHOOSE(RANDBETWEEN(1,5),"Online","TV","Radio","Print","Billboards")</f>
        <v>TV</v>
      </c>
      <c r="I2">
        <v>62.296585590724206</v>
      </c>
      <c r="J2">
        <f>Table16[[#This Row],[Marketing_Spend]]/Table16[[#This Row],[Units_Sold]]</f>
        <v>1017.4522826829253</v>
      </c>
    </row>
    <row r="3" spans="1:10">
      <c r="A3" s="54">
        <v>42035</v>
      </c>
      <c r="B3" s="15" t="s">
        <v>10</v>
      </c>
      <c r="C3" t="str">
        <f t="shared" ref="C3:C66" ca="1" si="1">CHOOSE(RANDBETWEEN(1,4),"North","South","East","West")</f>
        <v>North</v>
      </c>
      <c r="D3" t="str">
        <f t="shared" ref="D3:D66" si="2">TEXT(A3,"mmmm")</f>
        <v>January</v>
      </c>
      <c r="E3" s="15">
        <v>107</v>
      </c>
      <c r="F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
        <v>104294.26366341053</v>
      </c>
      <c r="H3" t="str">
        <f t="shared" ca="1" si="0"/>
        <v>Online</v>
      </c>
      <c r="I3">
        <v>22.750148668138017</v>
      </c>
      <c r="J3">
        <f>Table16[[#This Row],[Marketing_Spend]]/Table16[[#This Row],[Units_Sold]]</f>
        <v>974.71274451785541</v>
      </c>
    </row>
    <row r="4" spans="1:10">
      <c r="A4" s="53">
        <v>42065</v>
      </c>
      <c r="B4" s="14" t="s">
        <v>11</v>
      </c>
      <c r="C4" t="str">
        <f t="shared" ca="1" si="1"/>
        <v>West</v>
      </c>
      <c r="D4" t="str">
        <f t="shared" si="2"/>
        <v>March</v>
      </c>
      <c r="E4" s="14">
        <v>88</v>
      </c>
      <c r="F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
        <v>131562.36115124368</v>
      </c>
      <c r="H4" t="str">
        <f t="shared" ca="1" si="0"/>
        <v>Radio</v>
      </c>
      <c r="I4">
        <v>71.117041757862765</v>
      </c>
      <c r="J4">
        <f>Table16[[#This Row],[Marketing_Spend]]/Table16[[#This Row],[Units_Sold]]</f>
        <v>1495.0268312641326</v>
      </c>
    </row>
    <row r="5" spans="1:10">
      <c r="A5" s="54">
        <v>42095</v>
      </c>
      <c r="B5" s="15" t="s">
        <v>12</v>
      </c>
      <c r="C5" t="str">
        <f t="shared" ca="1" si="1"/>
        <v>North</v>
      </c>
      <c r="D5" t="str">
        <f t="shared" si="2"/>
        <v>April</v>
      </c>
      <c r="E5" s="15">
        <v>103</v>
      </c>
      <c r="F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5">
        <v>119708.99371230436</v>
      </c>
      <c r="H5" t="str">
        <f t="shared" ca="1" si="0"/>
        <v>Billboards</v>
      </c>
      <c r="I5">
        <v>26.515777031292735</v>
      </c>
      <c r="J5">
        <f>Table16[[#This Row],[Marketing_Spend]]/Table16[[#This Row],[Units_Sold]]</f>
        <v>1162.223239925285</v>
      </c>
    </row>
    <row r="6" spans="1:10">
      <c r="A6" s="53">
        <v>42125</v>
      </c>
      <c r="B6" s="14" t="s">
        <v>12</v>
      </c>
      <c r="C6" t="str">
        <f t="shared" ca="1" si="1"/>
        <v>East</v>
      </c>
      <c r="D6" t="str">
        <f t="shared" si="2"/>
        <v>May</v>
      </c>
      <c r="E6" s="14">
        <v>111</v>
      </c>
      <c r="F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6">
        <v>117383.09184993793</v>
      </c>
      <c r="H6" t="str">
        <f t="shared" ca="1" si="0"/>
        <v>Billboards</v>
      </c>
      <c r="I6">
        <v>54.801167547217872</v>
      </c>
      <c r="J6">
        <f>Table16[[#This Row],[Marketing_Spend]]/Table16[[#This Row],[Units_Sold]]</f>
        <v>1057.5053319814228</v>
      </c>
    </row>
    <row r="7" spans="1:10">
      <c r="A7" s="54">
        <v>42155</v>
      </c>
      <c r="B7" s="15" t="s">
        <v>12</v>
      </c>
      <c r="C7" t="str">
        <f t="shared" ca="1" si="1"/>
        <v>West</v>
      </c>
      <c r="D7" t="str">
        <f t="shared" si="2"/>
        <v>May</v>
      </c>
      <c r="E7" s="15">
        <v>90</v>
      </c>
      <c r="F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7">
        <v>90889.209479522586</v>
      </c>
      <c r="H7" t="str">
        <f t="shared" ca="1" si="0"/>
        <v>Print</v>
      </c>
      <c r="I7">
        <v>43.412407813392626</v>
      </c>
      <c r="J7">
        <f>Table16[[#This Row],[Marketing_Spend]]/Table16[[#This Row],[Units_Sold]]</f>
        <v>1009.8801053280288</v>
      </c>
    </row>
    <row r="8" spans="1:10">
      <c r="A8" s="53">
        <v>42185</v>
      </c>
      <c r="B8" s="14" t="s">
        <v>10</v>
      </c>
      <c r="C8" t="str">
        <f t="shared" ca="1" si="1"/>
        <v>East</v>
      </c>
      <c r="D8" t="str">
        <f t="shared" si="2"/>
        <v>June</v>
      </c>
      <c r="E8" s="14">
        <v>94</v>
      </c>
      <c r="F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8">
        <v>82215.183435433515</v>
      </c>
      <c r="H8" t="str">
        <f t="shared" ca="1" si="0"/>
        <v>TV</v>
      </c>
      <c r="I8">
        <v>65.454227669999995</v>
      </c>
      <c r="J8">
        <f>Table16[[#This Row],[Marketing_Spend]]/Table16[[#This Row],[Units_Sold]]</f>
        <v>874.62961101525013</v>
      </c>
    </row>
    <row r="9" spans="1:10">
      <c r="A9" s="54">
        <v>42215</v>
      </c>
      <c r="B9" s="15" t="s">
        <v>13</v>
      </c>
      <c r="C9" t="str">
        <f t="shared" ca="1" si="1"/>
        <v>West</v>
      </c>
      <c r="D9" t="str">
        <f t="shared" si="2"/>
        <v>July</v>
      </c>
      <c r="E9" s="15">
        <v>98</v>
      </c>
      <c r="F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9">
        <v>119106.01116475507</v>
      </c>
      <c r="H9" t="str">
        <f t="shared" ca="1" si="0"/>
        <v>Online</v>
      </c>
      <c r="I9">
        <v>30.673306841856565</v>
      </c>
      <c r="J9">
        <f>Table16[[#This Row],[Marketing_Spend]]/Table16[[#This Row],[Units_Sold]]</f>
        <v>1215.3674608648475</v>
      </c>
    </row>
    <row r="10" spans="1:10">
      <c r="A10" s="53">
        <v>42245</v>
      </c>
      <c r="B10" s="14" t="s">
        <v>10</v>
      </c>
      <c r="C10" t="str">
        <f t="shared" ca="1" si="1"/>
        <v>North</v>
      </c>
      <c r="D10" t="str">
        <f t="shared" si="2"/>
        <v>August</v>
      </c>
      <c r="E10" s="14">
        <v>103</v>
      </c>
      <c r="F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0">
        <v>117520.93585059588</v>
      </c>
      <c r="H10" t="str">
        <f t="shared" ca="1" si="0"/>
        <v>Billboards</v>
      </c>
      <c r="I10">
        <v>75.331472157865448</v>
      </c>
      <c r="J10">
        <f>Table16[[#This Row],[Marketing_Spend]]/Table16[[#This Row],[Units_Sold]]</f>
        <v>1140.9799597145231</v>
      </c>
    </row>
    <row r="11" spans="1:10">
      <c r="A11" s="54">
        <v>42275</v>
      </c>
      <c r="B11" s="15" t="s">
        <v>13</v>
      </c>
      <c r="C11" t="str">
        <f t="shared" ca="1" si="1"/>
        <v>West</v>
      </c>
      <c r="D11" t="str">
        <f t="shared" si="2"/>
        <v>September</v>
      </c>
      <c r="E11" s="15">
        <v>94</v>
      </c>
      <c r="F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1">
        <f>128897.2893</f>
        <v>128897.2893</v>
      </c>
      <c r="H11" t="str">
        <f t="shared" ca="1" si="0"/>
        <v>Online</v>
      </c>
      <c r="I11">
        <v>83.600922954277621</v>
      </c>
      <c r="J11">
        <f>Table16[[#This Row],[Marketing_Spend]]/Table16[[#This Row],[Units_Sold]]</f>
        <v>1371.2477585106383</v>
      </c>
    </row>
    <row r="12" spans="1:10">
      <c r="A12" s="53">
        <v>42305</v>
      </c>
      <c r="B12" s="14" t="s">
        <v>14</v>
      </c>
      <c r="C12" t="str">
        <f t="shared" ca="1" si="1"/>
        <v>East</v>
      </c>
      <c r="D12" t="str">
        <f t="shared" si="2"/>
        <v>October</v>
      </c>
      <c r="E12" s="14">
        <v>99</v>
      </c>
      <c r="F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2">
        <v>87920.387480615405</v>
      </c>
      <c r="H12" t="str">
        <f t="shared" ca="1" si="0"/>
        <v>Online</v>
      </c>
      <c r="I12">
        <v>33.068355979452519</v>
      </c>
      <c r="J12">
        <f>Table16[[#This Row],[Marketing_Spend]]/Table16[[#This Row],[Units_Sold]]</f>
        <v>888.08472202641826</v>
      </c>
    </row>
    <row r="13" spans="1:10">
      <c r="A13" s="54">
        <v>42335</v>
      </c>
      <c r="B13" s="15" t="s">
        <v>10</v>
      </c>
      <c r="C13" t="str">
        <f t="shared" ca="1" si="1"/>
        <v>South</v>
      </c>
      <c r="D13" t="str">
        <f t="shared" si="2"/>
        <v>November</v>
      </c>
      <c r="E13" s="15">
        <v>90</v>
      </c>
      <c r="F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3">
        <v>95409.026892793059</v>
      </c>
      <c r="H13" t="str">
        <f t="shared" ca="1" si="0"/>
        <v>Radio</v>
      </c>
      <c r="I13">
        <v>28.345046988150571</v>
      </c>
      <c r="J13">
        <f>Table16[[#This Row],[Marketing_Spend]]/Table16[[#This Row],[Units_Sold]]</f>
        <v>1060.1002988088117</v>
      </c>
    </row>
    <row r="14" spans="1:10">
      <c r="A14" s="53">
        <v>42365</v>
      </c>
      <c r="B14" s="14" t="s">
        <v>10</v>
      </c>
      <c r="C14" t="str">
        <f t="shared" ca="1" si="1"/>
        <v>West</v>
      </c>
      <c r="D14" t="str">
        <f t="shared" si="2"/>
        <v>December</v>
      </c>
      <c r="E14" s="14">
        <v>100</v>
      </c>
      <c r="F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4">
        <v>67210.316749491321</v>
      </c>
      <c r="H14" t="str">
        <f t="shared" ca="1" si="0"/>
        <v>Billboards</v>
      </c>
      <c r="I14">
        <v>31.64123862298873</v>
      </c>
      <c r="J14">
        <f>Table16[[#This Row],[Marketing_Spend]]/Table16[[#This Row],[Units_Sold]]</f>
        <v>672.10316749491324</v>
      </c>
    </row>
    <row r="15" spans="1:10">
      <c r="A15" s="54">
        <v>42395</v>
      </c>
      <c r="B15" s="15" t="s">
        <v>10</v>
      </c>
      <c r="C15" t="str">
        <f t="shared" ca="1" si="1"/>
        <v>North</v>
      </c>
      <c r="D15" t="str">
        <f t="shared" si="2"/>
        <v>January</v>
      </c>
      <c r="E15" s="15">
        <v>103</v>
      </c>
      <c r="F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5">
        <v>92150.57787878254</v>
      </c>
      <c r="H15" t="str">
        <f t="shared" ca="1" si="0"/>
        <v>Print</v>
      </c>
      <c r="I15">
        <v>90.170204951880137</v>
      </c>
      <c r="J15">
        <f>Table16[[#This Row],[Marketing_Spend]]/Table16[[#This Row],[Units_Sold]]</f>
        <v>894.66580464837421</v>
      </c>
    </row>
    <row r="16" spans="1:10">
      <c r="A16" s="53">
        <v>42425</v>
      </c>
      <c r="B16" s="14" t="s">
        <v>12</v>
      </c>
      <c r="C16" t="str">
        <f t="shared" ca="1" si="1"/>
        <v>South</v>
      </c>
      <c r="D16" t="str">
        <f t="shared" si="2"/>
        <v>February</v>
      </c>
      <c r="E16" s="14">
        <v>94</v>
      </c>
      <c r="F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6">
        <v>119931.41021158894</v>
      </c>
      <c r="H16" t="str">
        <f t="shared" ca="1" si="0"/>
        <v>Billboards</v>
      </c>
      <c r="I16">
        <v>62.255140940508497</v>
      </c>
      <c r="J16">
        <f>Table16[[#This Row],[Marketing_Spend]]/Table16[[#This Row],[Units_Sold]]</f>
        <v>1275.8660660807334</v>
      </c>
    </row>
    <row r="17" spans="1:10">
      <c r="A17" s="54">
        <v>42455</v>
      </c>
      <c r="B17" s="15" t="s">
        <v>12</v>
      </c>
      <c r="C17" t="str">
        <f t="shared" ca="1" si="1"/>
        <v>East</v>
      </c>
      <c r="D17" t="str">
        <f t="shared" si="2"/>
        <v>March</v>
      </c>
      <c r="E17" s="15">
        <v>105</v>
      </c>
      <c r="F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7">
        <v>102916.7736</v>
      </c>
      <c r="H17" t="str">
        <f t="shared" ca="1" si="0"/>
        <v>Billboards</v>
      </c>
      <c r="I17">
        <v>57.380879680600209</v>
      </c>
      <c r="J17">
        <f>Table16[[#This Row],[Marketing_Spend]]/Table16[[#This Row],[Units_Sold]]</f>
        <v>980.15974857142862</v>
      </c>
    </row>
    <row r="18" spans="1:10">
      <c r="A18" s="53">
        <v>42485</v>
      </c>
      <c r="B18" s="14" t="s">
        <v>13</v>
      </c>
      <c r="C18" t="str">
        <f t="shared" ca="1" si="1"/>
        <v>North</v>
      </c>
      <c r="D18" t="str">
        <f t="shared" si="2"/>
        <v>April</v>
      </c>
      <c r="E18" s="14">
        <v>86</v>
      </c>
      <c r="F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8">
        <v>112809.59590401647</v>
      </c>
      <c r="H18" t="str">
        <f t="shared" ca="1" si="0"/>
        <v>TV</v>
      </c>
      <c r="I18">
        <v>28.53694552818834</v>
      </c>
      <c r="J18">
        <f>Table16[[#This Row],[Marketing_Spend]]/Table16[[#This Row],[Units_Sold]]</f>
        <v>1311.7394872560055</v>
      </c>
    </row>
    <row r="19" spans="1:10">
      <c r="A19" s="54">
        <v>42515</v>
      </c>
      <c r="B19" s="15" t="s">
        <v>13</v>
      </c>
      <c r="C19" t="str">
        <f t="shared" ca="1" si="1"/>
        <v>South</v>
      </c>
      <c r="D19" t="str">
        <f t="shared" si="2"/>
        <v>May</v>
      </c>
      <c r="E19" s="15">
        <v>92</v>
      </c>
      <c r="F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9">
        <v>96189.93788004377</v>
      </c>
      <c r="H19" t="str">
        <f t="shared" ca="1" si="0"/>
        <v>Billboards</v>
      </c>
      <c r="I19">
        <v>71.964480540556934</v>
      </c>
      <c r="J19">
        <f>Table16[[#This Row],[Marketing_Spend]]/Table16[[#This Row],[Units_Sold]]</f>
        <v>1045.5428030439541</v>
      </c>
    </row>
    <row r="20" spans="1:10">
      <c r="A20" s="53">
        <v>42545</v>
      </c>
      <c r="B20" s="14" t="s">
        <v>10</v>
      </c>
      <c r="C20" t="str">
        <f t="shared" ca="1" si="1"/>
        <v>West</v>
      </c>
      <c r="D20" t="str">
        <f t="shared" si="2"/>
        <v>June</v>
      </c>
      <c r="E20" s="14">
        <v>94</v>
      </c>
      <c r="F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0">
        <v>106481.14056443122</v>
      </c>
      <c r="H20" t="str">
        <f t="shared" ca="1" si="0"/>
        <v>Billboards</v>
      </c>
      <c r="I20">
        <v>89.439967351607194</v>
      </c>
      <c r="J20">
        <f>Table16[[#This Row],[Marketing_Spend]]/Table16[[#This Row],[Units_Sold]]</f>
        <v>1132.7780911109703</v>
      </c>
    </row>
    <row r="21" spans="1:10">
      <c r="A21" s="54">
        <v>42575</v>
      </c>
      <c r="B21" s="15" t="s">
        <v>13</v>
      </c>
      <c r="C21" t="str">
        <f t="shared" ca="1" si="1"/>
        <v>South</v>
      </c>
      <c r="D21" t="str">
        <f t="shared" si="2"/>
        <v>July</v>
      </c>
      <c r="E21" s="15">
        <v>101</v>
      </c>
      <c r="F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1">
        <v>77046.172203686656</v>
      </c>
      <c r="H21" t="str">
        <f t="shared" ca="1" si="0"/>
        <v>Billboards</v>
      </c>
      <c r="I21">
        <v>86.254869545876232</v>
      </c>
      <c r="J21">
        <f>Table16[[#This Row],[Marketing_Spend]]/Table16[[#This Row],[Units_Sold]]</f>
        <v>762.8333881553134</v>
      </c>
    </row>
    <row r="22" spans="1:10">
      <c r="A22" s="53">
        <v>42605</v>
      </c>
      <c r="B22" s="14" t="s">
        <v>12</v>
      </c>
      <c r="C22" t="str">
        <f t="shared" ca="1" si="1"/>
        <v>South</v>
      </c>
      <c r="D22" t="str">
        <f t="shared" si="2"/>
        <v>August</v>
      </c>
      <c r="E22" s="14">
        <v>103</v>
      </c>
      <c r="F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2">
        <v>102916.7736</v>
      </c>
      <c r="H22" t="str">
        <f t="shared" ca="1" si="0"/>
        <v>Radio</v>
      </c>
      <c r="I22">
        <v>70.0843767184641</v>
      </c>
      <c r="J22">
        <f>Table16[[#This Row],[Marketing_Spend]]/Table16[[#This Row],[Units_Sold]]</f>
        <v>999.19197669902917</v>
      </c>
    </row>
    <row r="23" spans="1:10">
      <c r="A23" s="54">
        <v>42635</v>
      </c>
      <c r="B23" s="15" t="s">
        <v>13</v>
      </c>
      <c r="C23" t="str">
        <f t="shared" ca="1" si="1"/>
        <v>South</v>
      </c>
      <c r="D23" t="str">
        <f t="shared" si="2"/>
        <v>September</v>
      </c>
      <c r="E23" s="15">
        <v>84</v>
      </c>
      <c r="F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3">
        <v>40177.280581985535</v>
      </c>
      <c r="H23" t="str">
        <f t="shared" ca="1" si="0"/>
        <v>Radio</v>
      </c>
      <c r="I23">
        <v>80.215177969999999</v>
      </c>
      <c r="J23">
        <f>Table16[[#This Row],[Marketing_Spend]]/Table16[[#This Row],[Units_Sold]]</f>
        <v>478.30095930935158</v>
      </c>
    </row>
    <row r="24" spans="1:10">
      <c r="A24" s="53">
        <v>42665</v>
      </c>
      <c r="B24" s="14" t="s">
        <v>14</v>
      </c>
      <c r="C24" t="str">
        <f t="shared" ca="1" si="1"/>
        <v>West</v>
      </c>
      <c r="D24" t="str">
        <f t="shared" si="2"/>
        <v>October</v>
      </c>
      <c r="E24" s="14">
        <v>76</v>
      </c>
      <c r="F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4">
        <v>96262.076836760301</v>
      </c>
      <c r="H24" t="str">
        <f t="shared" ca="1" si="0"/>
        <v>Print</v>
      </c>
      <c r="I24">
        <v>28.991762174081039</v>
      </c>
      <c r="J24">
        <f>Table16[[#This Row],[Marketing_Spend]]/Table16[[#This Row],[Units_Sold]]</f>
        <v>1266.6062741678986</v>
      </c>
    </row>
    <row r="25" spans="1:10">
      <c r="A25" s="54">
        <v>42695</v>
      </c>
      <c r="B25" s="15" t="s">
        <v>12</v>
      </c>
      <c r="C25" t="str">
        <f t="shared" ca="1" si="1"/>
        <v>South</v>
      </c>
      <c r="D25" t="str">
        <f t="shared" si="2"/>
        <v>November</v>
      </c>
      <c r="E25" s="15">
        <v>100</v>
      </c>
      <c r="F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5">
        <v>67390.535125697206</v>
      </c>
      <c r="H25" t="str">
        <f t="shared" ca="1" si="0"/>
        <v>Billboards</v>
      </c>
      <c r="I25">
        <v>23.944718968785974</v>
      </c>
      <c r="J25">
        <f>Table16[[#This Row],[Marketing_Spend]]/Table16[[#This Row],[Units_Sold]]</f>
        <v>673.90535125697204</v>
      </c>
    </row>
    <row r="26" spans="1:10">
      <c r="A26" s="53">
        <v>42725</v>
      </c>
      <c r="B26" s="14" t="s">
        <v>14</v>
      </c>
      <c r="C26" t="str">
        <f t="shared" ca="1" si="1"/>
        <v>South</v>
      </c>
      <c r="D26" t="str">
        <f t="shared" si="2"/>
        <v>December</v>
      </c>
      <c r="E26" s="14">
        <v>111</v>
      </c>
      <c r="F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6">
        <v>124119.89033093632</v>
      </c>
      <c r="H26" t="str">
        <f t="shared" ca="1" si="0"/>
        <v>Radio</v>
      </c>
      <c r="I26">
        <v>40.598337319397544</v>
      </c>
      <c r="J26">
        <f>Table16[[#This Row],[Marketing_Spend]]/Table16[[#This Row],[Units_Sold]]</f>
        <v>1118.1972101886156</v>
      </c>
    </row>
    <row r="27" spans="1:10">
      <c r="A27" s="54">
        <v>42755</v>
      </c>
      <c r="B27" s="15" t="s">
        <v>13</v>
      </c>
      <c r="C27" t="str">
        <f t="shared" ca="1" si="1"/>
        <v>North</v>
      </c>
      <c r="D27" t="str">
        <f t="shared" si="2"/>
        <v>January</v>
      </c>
      <c r="E27" s="15">
        <v>93</v>
      </c>
      <c r="F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7">
        <f t="shared" ref="G27:G28" si="3">128897.2893</f>
        <v>128897.2893</v>
      </c>
      <c r="H27" t="str">
        <f t="shared" ca="1" si="0"/>
        <v>Print</v>
      </c>
      <c r="I27">
        <v>30.85291737283022</v>
      </c>
      <c r="J27">
        <f>Table16[[#This Row],[Marketing_Spend]]/Table16[[#This Row],[Units_Sold]]</f>
        <v>1385.9923580645161</v>
      </c>
    </row>
    <row r="28" spans="1:10">
      <c r="A28" s="53">
        <v>42785</v>
      </c>
      <c r="B28" s="14" t="s">
        <v>11</v>
      </c>
      <c r="C28" t="str">
        <f t="shared" ca="1" si="1"/>
        <v>North</v>
      </c>
      <c r="D28" t="str">
        <f t="shared" si="2"/>
        <v>February</v>
      </c>
      <c r="E28" s="14">
        <v>87</v>
      </c>
      <c r="F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28">
        <f t="shared" si="3"/>
        <v>128897.2893</v>
      </c>
      <c r="H28" t="str">
        <f t="shared" ca="1" si="0"/>
        <v>Print</v>
      </c>
      <c r="I28">
        <v>40.803843220194707</v>
      </c>
      <c r="J28">
        <f>Table16[[#This Row],[Marketing_Spend]]/Table16[[#This Row],[Units_Sold]]</f>
        <v>1481.5780379310345</v>
      </c>
    </row>
    <row r="29" spans="1:10">
      <c r="A29" s="54">
        <v>42815</v>
      </c>
      <c r="B29" s="15" t="s">
        <v>10</v>
      </c>
      <c r="C29" t="str">
        <f t="shared" ca="1" si="1"/>
        <v>North</v>
      </c>
      <c r="D29" t="str">
        <f t="shared" si="2"/>
        <v>March</v>
      </c>
      <c r="E29" s="15">
        <v>108</v>
      </c>
      <c r="F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9">
        <v>130420.1245431876</v>
      </c>
      <c r="H29" t="str">
        <f t="shared" ca="1" si="0"/>
        <v>Radio</v>
      </c>
      <c r="I29">
        <v>50.804644457516936</v>
      </c>
      <c r="J29">
        <f>Table16[[#This Row],[Marketing_Spend]]/Table16[[#This Row],[Units_Sold]]</f>
        <v>1207.5937457702555</v>
      </c>
    </row>
    <row r="30" spans="1:10">
      <c r="A30" s="53">
        <v>42845</v>
      </c>
      <c r="B30" s="14" t="s">
        <v>12</v>
      </c>
      <c r="C30" t="str">
        <f t="shared" ca="1" si="1"/>
        <v>North</v>
      </c>
      <c r="D30" t="str">
        <f t="shared" si="2"/>
        <v>April</v>
      </c>
      <c r="E30" s="14">
        <v>106</v>
      </c>
      <c r="F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0">
        <v>81021.669583503259</v>
      </c>
      <c r="H30" t="str">
        <f t="shared" ca="1" si="0"/>
        <v>Print</v>
      </c>
      <c r="I30">
        <v>95.438622725690848</v>
      </c>
      <c r="J30">
        <f>Table16[[#This Row],[Marketing_Spend]]/Table16[[#This Row],[Units_Sold]]</f>
        <v>764.35537342927603</v>
      </c>
    </row>
    <row r="31" spans="1:10">
      <c r="A31" s="54">
        <v>42875</v>
      </c>
      <c r="B31" s="15" t="s">
        <v>14</v>
      </c>
      <c r="C31" t="str">
        <f t="shared" ca="1" si="1"/>
        <v>East</v>
      </c>
      <c r="D31" t="str">
        <f t="shared" si="2"/>
        <v>May</v>
      </c>
      <c r="E31" s="15">
        <v>108</v>
      </c>
      <c r="F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1">
        <v>134947.26395831117</v>
      </c>
      <c r="H31" t="str">
        <f t="shared" ca="1" si="0"/>
        <v>Print</v>
      </c>
      <c r="I31">
        <v>68.830084782535366</v>
      </c>
      <c r="J31">
        <f>Table16[[#This Row],[Marketing_Spend]]/Table16[[#This Row],[Units_Sold]]</f>
        <v>1249.5117033176959</v>
      </c>
    </row>
    <row r="32" spans="1:10">
      <c r="A32" s="53">
        <v>42905</v>
      </c>
      <c r="B32" s="14" t="s">
        <v>11</v>
      </c>
      <c r="C32" t="str">
        <f t="shared" ca="1" si="1"/>
        <v>East</v>
      </c>
      <c r="D32" t="str">
        <f t="shared" si="2"/>
        <v>June</v>
      </c>
      <c r="E32" s="14">
        <v>96</v>
      </c>
      <c r="F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2">
        <v>118643.83128520769</v>
      </c>
      <c r="H32" t="str">
        <f t="shared" ca="1" si="0"/>
        <v>Billboards</v>
      </c>
      <c r="I32">
        <v>86.797902854636988</v>
      </c>
      <c r="J32">
        <f>Table16[[#This Row],[Marketing_Spend]]/Table16[[#This Row],[Units_Sold]]</f>
        <v>1235.8732425542469</v>
      </c>
    </row>
    <row r="33" spans="1:10">
      <c r="A33" s="54">
        <v>42935</v>
      </c>
      <c r="B33" s="15" t="s">
        <v>11</v>
      </c>
      <c r="C33" t="str">
        <f t="shared" ca="1" si="1"/>
        <v>West</v>
      </c>
      <c r="D33" t="str">
        <f t="shared" si="2"/>
        <v>July</v>
      </c>
      <c r="E33" s="15">
        <v>113</v>
      </c>
      <c r="F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3">
        <v>95268.894255621082</v>
      </c>
      <c r="H33" t="str">
        <f t="shared" ca="1" si="0"/>
        <v>TV</v>
      </c>
      <c r="I33">
        <v>76.828120056986577</v>
      </c>
      <c r="J33">
        <f>Table16[[#This Row],[Marketing_Spend]]/Table16[[#This Row],[Units_Sold]]</f>
        <v>843.08755978425734</v>
      </c>
    </row>
    <row r="34" spans="1:10">
      <c r="A34" s="53">
        <v>42965</v>
      </c>
      <c r="B34" s="14" t="s">
        <v>12</v>
      </c>
      <c r="C34" t="str">
        <f t="shared" ca="1" si="1"/>
        <v>West</v>
      </c>
      <c r="D34" t="str">
        <f t="shared" si="2"/>
        <v>August</v>
      </c>
      <c r="E34" s="14">
        <v>95</v>
      </c>
      <c r="F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4">
        <v>122712.40294365888</v>
      </c>
      <c r="H34" t="str">
        <f t="shared" ca="1" si="0"/>
        <v>Print</v>
      </c>
      <c r="I34">
        <v>29.00025044213054</v>
      </c>
      <c r="J34">
        <f>Table16[[#This Row],[Marketing_Spend]]/Table16[[#This Row],[Units_Sold]]</f>
        <v>1291.7095046700933</v>
      </c>
    </row>
    <row r="35" spans="1:10">
      <c r="A35" s="54">
        <v>42995</v>
      </c>
      <c r="B35" s="15" t="s">
        <v>12</v>
      </c>
      <c r="C35" t="str">
        <f t="shared" ca="1" si="1"/>
        <v>West</v>
      </c>
      <c r="D35" t="str">
        <f t="shared" si="2"/>
        <v>September</v>
      </c>
      <c r="E35" s="15">
        <v>94</v>
      </c>
      <c r="F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5">
        <v>77874.129751767323</v>
      </c>
      <c r="H35" t="str">
        <f t="shared" ca="1" si="0"/>
        <v>Billboards</v>
      </c>
      <c r="I35">
        <v>78.873632509915907</v>
      </c>
      <c r="J35">
        <f>Table16[[#This Row],[Marketing_Spend]]/Table16[[#This Row],[Units_Sold]]</f>
        <v>828.44818884858853</v>
      </c>
    </row>
    <row r="36" spans="1:10">
      <c r="A36" s="53">
        <v>43025</v>
      </c>
      <c r="B36" s="14" t="s">
        <v>11</v>
      </c>
      <c r="C36" t="str">
        <f t="shared" ca="1" si="1"/>
        <v>West</v>
      </c>
      <c r="D36" t="str">
        <f t="shared" si="2"/>
        <v>October</v>
      </c>
      <c r="E36" s="14">
        <v>107</v>
      </c>
      <c r="F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6">
        <v>83509.716769446532</v>
      </c>
      <c r="H36" t="str">
        <f t="shared" ca="1" si="0"/>
        <v>Radio</v>
      </c>
      <c r="I36">
        <v>42.007910524729951</v>
      </c>
      <c r="J36">
        <f>Table16[[#This Row],[Marketing_Spend]]/Table16[[#This Row],[Units_Sold]]</f>
        <v>780.46464270510774</v>
      </c>
    </row>
    <row r="37" spans="1:10">
      <c r="A37" s="54">
        <v>43055</v>
      </c>
      <c r="B37" s="15" t="s">
        <v>10</v>
      </c>
      <c r="C37" t="str">
        <f t="shared" ca="1" si="1"/>
        <v>North</v>
      </c>
      <c r="D37" t="str">
        <f t="shared" si="2"/>
        <v>November</v>
      </c>
      <c r="E37" s="15">
        <v>114</v>
      </c>
      <c r="F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7">
        <v>102916.7736</v>
      </c>
      <c r="H37" t="str">
        <f t="shared" ca="1" si="0"/>
        <v>Radio</v>
      </c>
      <c r="I37">
        <v>80.215177969999999</v>
      </c>
      <c r="J37">
        <f>Table16[[#This Row],[Marketing_Spend]]/Table16[[#This Row],[Units_Sold]]</f>
        <v>902.77871578947372</v>
      </c>
    </row>
    <row r="38" spans="1:10">
      <c r="A38" s="53">
        <v>43085</v>
      </c>
      <c r="B38" s="14" t="s">
        <v>10</v>
      </c>
      <c r="C38" t="str">
        <f t="shared" ca="1" si="1"/>
        <v>North</v>
      </c>
      <c r="D38" t="str">
        <f t="shared" si="2"/>
        <v>December</v>
      </c>
      <c r="E38" s="14">
        <v>86</v>
      </c>
      <c r="F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8">
        <v>89420.445838719694</v>
      </c>
      <c r="H38" t="str">
        <f t="shared" ca="1" si="0"/>
        <v>Radio</v>
      </c>
      <c r="I38">
        <v>47.276957891439082</v>
      </c>
      <c r="J38">
        <f>Table16[[#This Row],[Marketing_Spend]]/Table16[[#This Row],[Units_Sold]]</f>
        <v>1039.7726260316244</v>
      </c>
    </row>
    <row r="39" spans="1:10">
      <c r="A39" s="54">
        <v>43115</v>
      </c>
      <c r="B39" s="15" t="s">
        <v>14</v>
      </c>
      <c r="C39" t="str">
        <f t="shared" ca="1" si="1"/>
        <v>East</v>
      </c>
      <c r="D39" t="str">
        <f t="shared" si="2"/>
        <v>January</v>
      </c>
      <c r="E39" s="15">
        <v>100</v>
      </c>
      <c r="F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9">
        <v>78868.847144794941</v>
      </c>
      <c r="H39" t="str">
        <f t="shared" ca="1" si="0"/>
        <v>Print</v>
      </c>
      <c r="I39">
        <v>99.813781061172733</v>
      </c>
      <c r="J39">
        <f>Table16[[#This Row],[Marketing_Spend]]/Table16[[#This Row],[Units_Sold]]</f>
        <v>788.68847144794938</v>
      </c>
    </row>
    <row r="40" spans="1:10">
      <c r="A40" s="53">
        <v>43145</v>
      </c>
      <c r="B40" s="14" t="s">
        <v>10</v>
      </c>
      <c r="C40" t="str">
        <f t="shared" ca="1" si="1"/>
        <v>North</v>
      </c>
      <c r="D40" t="str">
        <f t="shared" si="2"/>
        <v>February</v>
      </c>
      <c r="E40" s="14">
        <v>108</v>
      </c>
      <c r="F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40">
        <v>124461.6613419065</v>
      </c>
      <c r="H40" t="str">
        <f t="shared" ca="1" si="0"/>
        <v>TV</v>
      </c>
      <c r="I40">
        <v>41.084118359742227</v>
      </c>
      <c r="J40">
        <f>Table16[[#This Row],[Marketing_Spend]]/Table16[[#This Row],[Units_Sold]]</f>
        <v>1152.4227902028379</v>
      </c>
    </row>
    <row r="41" spans="1:10">
      <c r="A41" s="54">
        <v>43175</v>
      </c>
      <c r="B41" s="15" t="s">
        <v>11</v>
      </c>
      <c r="C41" t="str">
        <f t="shared" ca="1" si="1"/>
        <v>South</v>
      </c>
      <c r="D41" t="str">
        <f t="shared" si="2"/>
        <v>March</v>
      </c>
      <c r="E41" s="15">
        <v>101</v>
      </c>
      <c r="F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1">
        <v>94822.91199260336</v>
      </c>
      <c r="H41" t="str">
        <f t="shared" ca="1" si="0"/>
        <v>Print</v>
      </c>
      <c r="I41">
        <v>42.330437661941573</v>
      </c>
      <c r="J41">
        <f>Table16[[#This Row],[Marketing_Spend]]/Table16[[#This Row],[Units_Sold]]</f>
        <v>938.84071279805312</v>
      </c>
    </row>
    <row r="42" spans="1:10">
      <c r="A42" s="53">
        <v>43205</v>
      </c>
      <c r="B42" s="14" t="s">
        <v>11</v>
      </c>
      <c r="C42" t="str">
        <f t="shared" ca="1" si="1"/>
        <v>South</v>
      </c>
      <c r="D42" t="str">
        <f t="shared" si="2"/>
        <v>April</v>
      </c>
      <c r="E42" s="14">
        <v>94</v>
      </c>
      <c r="F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2">
        <v>107050.09936713759</v>
      </c>
      <c r="H42" t="str">
        <f t="shared" ca="1" si="0"/>
        <v>Radio</v>
      </c>
      <c r="I42">
        <v>94.453780444991864</v>
      </c>
      <c r="J42">
        <f>Table16[[#This Row],[Marketing_Spend]]/Table16[[#This Row],[Units_Sold]]</f>
        <v>1138.830844331251</v>
      </c>
    </row>
    <row r="43" spans="1:10">
      <c r="A43" s="54">
        <v>43235</v>
      </c>
      <c r="B43" s="15" t="s">
        <v>13</v>
      </c>
      <c r="C43" t="str">
        <f t="shared" ca="1" si="1"/>
        <v>North</v>
      </c>
      <c r="D43" t="str">
        <f t="shared" si="2"/>
        <v>May</v>
      </c>
      <c r="E43" s="15">
        <v>116</v>
      </c>
      <c r="F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3">
        <f>128897.2893</f>
        <v>128897.2893</v>
      </c>
      <c r="H43" t="str">
        <f t="shared" ca="1" si="0"/>
        <v>TV</v>
      </c>
      <c r="I43">
        <v>21.971552370905812</v>
      </c>
      <c r="J43">
        <f>Table16[[#This Row],[Marketing_Spend]]/Table16[[#This Row],[Units_Sold]]</f>
        <v>1111.1835284482759</v>
      </c>
    </row>
    <row r="44" spans="1:10">
      <c r="A44" s="53">
        <v>43265</v>
      </c>
      <c r="B44" s="14" t="s">
        <v>11</v>
      </c>
      <c r="C44" t="str">
        <f t="shared" ca="1" si="1"/>
        <v>West</v>
      </c>
      <c r="D44" t="str">
        <f t="shared" si="2"/>
        <v>June</v>
      </c>
      <c r="E44" s="14">
        <v>97</v>
      </c>
      <c r="F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4">
        <v>63587.933989029654</v>
      </c>
      <c r="H44" t="str">
        <f t="shared" ca="1" si="0"/>
        <v>Print</v>
      </c>
      <c r="I44">
        <v>75.735119029855753</v>
      </c>
      <c r="J44">
        <f>Table16[[#This Row],[Marketing_Spend]]/Table16[[#This Row],[Units_Sold]]</f>
        <v>655.54571122710979</v>
      </c>
    </row>
    <row r="45" spans="1:10">
      <c r="A45" s="54">
        <v>43295</v>
      </c>
      <c r="B45" s="15" t="s">
        <v>10</v>
      </c>
      <c r="C45" t="str">
        <f t="shared" ca="1" si="1"/>
        <v>South</v>
      </c>
      <c r="D45" t="str">
        <f t="shared" si="2"/>
        <v>July</v>
      </c>
      <c r="E45" s="15">
        <v>100</v>
      </c>
      <c r="F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5">
        <v>105401.14716782844</v>
      </c>
      <c r="H45" t="str">
        <f t="shared" ca="1" si="0"/>
        <v>Radio</v>
      </c>
      <c r="I45">
        <v>78.026111258870259</v>
      </c>
      <c r="J45">
        <f>Table16[[#This Row],[Marketing_Spend]]/Table16[[#This Row],[Units_Sold]]</f>
        <v>1054.0114716782844</v>
      </c>
    </row>
    <row r="46" spans="1:10">
      <c r="A46" s="53">
        <v>43325</v>
      </c>
      <c r="B46" s="14" t="s">
        <v>14</v>
      </c>
      <c r="C46" t="str">
        <f t="shared" ca="1" si="1"/>
        <v>West</v>
      </c>
      <c r="D46" t="str">
        <f t="shared" si="2"/>
        <v>August</v>
      </c>
      <c r="E46" s="14">
        <v>94</v>
      </c>
      <c r="F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6">
        <v>61754.900491604465</v>
      </c>
      <c r="H46" t="str">
        <f t="shared" ca="1" si="0"/>
        <v>Billboards</v>
      </c>
      <c r="I46">
        <v>86.910286192831947</v>
      </c>
      <c r="J46">
        <f>Table16[[#This Row],[Marketing_Spend]]/Table16[[#This Row],[Units_Sold]]</f>
        <v>656.96702650643044</v>
      </c>
    </row>
    <row r="47" spans="1:10">
      <c r="A47" s="54">
        <v>43355</v>
      </c>
      <c r="B47" s="15" t="s">
        <v>13</v>
      </c>
      <c r="C47" t="str">
        <f t="shared" ca="1" si="1"/>
        <v>South</v>
      </c>
      <c r="D47" t="str">
        <f t="shared" si="2"/>
        <v>September</v>
      </c>
      <c r="E47" s="15">
        <v>118</v>
      </c>
      <c r="F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7">
        <v>98627.319078290631</v>
      </c>
      <c r="H47" t="str">
        <f t="shared" ca="1" si="0"/>
        <v>Billboards</v>
      </c>
      <c r="I47">
        <v>97.955144851078032</v>
      </c>
      <c r="J47">
        <f>Table16[[#This Row],[Marketing_Spend]]/Table16[[#This Row],[Units_Sold]]</f>
        <v>835.82473795161548</v>
      </c>
    </row>
    <row r="48" spans="1:10">
      <c r="A48" s="53">
        <v>43385</v>
      </c>
      <c r="B48" s="14" t="s">
        <v>10</v>
      </c>
      <c r="C48" t="str">
        <f t="shared" ca="1" si="1"/>
        <v>East</v>
      </c>
      <c r="D48" t="str">
        <f t="shared" si="2"/>
        <v>October</v>
      </c>
      <c r="E48" s="14">
        <v>104</v>
      </c>
      <c r="F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8">
        <v>72633.699223343792</v>
      </c>
      <c r="H48" t="str">
        <f t="shared" ca="1" si="0"/>
        <v>Online</v>
      </c>
      <c r="I48">
        <v>98.048153532532197</v>
      </c>
      <c r="J48">
        <f>Table16[[#This Row],[Marketing_Spend]]/Table16[[#This Row],[Units_Sold]]</f>
        <v>698.40095407061335</v>
      </c>
    </row>
    <row r="49" spans="1:10">
      <c r="A49" s="54">
        <v>43415</v>
      </c>
      <c r="B49" s="15" t="s">
        <v>14</v>
      </c>
      <c r="C49" t="str">
        <f t="shared" ca="1" si="1"/>
        <v>North</v>
      </c>
      <c r="D49" t="str">
        <f t="shared" si="2"/>
        <v>November</v>
      </c>
      <c r="E49" s="15">
        <v>100</v>
      </c>
      <c r="F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9">
        <v>139745.51998461617</v>
      </c>
      <c r="H49" t="str">
        <f t="shared" ca="1" si="0"/>
        <v>Online</v>
      </c>
      <c r="I49">
        <v>25.222140605317112</v>
      </c>
      <c r="J49">
        <f>Table16[[#This Row],[Marketing_Spend]]/Table16[[#This Row],[Units_Sold]]</f>
        <v>1397.4551998461618</v>
      </c>
    </row>
    <row r="50" spans="1:10">
      <c r="A50" s="53">
        <v>43445</v>
      </c>
      <c r="B50" s="14" t="s">
        <v>10</v>
      </c>
      <c r="C50" t="str">
        <f t="shared" ca="1" si="1"/>
        <v>South</v>
      </c>
      <c r="D50" t="str">
        <f t="shared" si="2"/>
        <v>December</v>
      </c>
      <c r="E50" s="14">
        <v>115</v>
      </c>
      <c r="F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50">
        <v>118227.25444349443</v>
      </c>
      <c r="H50" t="str">
        <f t="shared" ca="1" si="0"/>
        <v>Online</v>
      </c>
      <c r="I50">
        <v>85.747145820232205</v>
      </c>
      <c r="J50">
        <f>Table16[[#This Row],[Marketing_Spend]]/Table16[[#This Row],[Units_Sold]]</f>
        <v>1028.0630821173429</v>
      </c>
    </row>
    <row r="51" spans="1:10">
      <c r="A51" s="54">
        <v>43475</v>
      </c>
      <c r="B51" s="15" t="s">
        <v>13</v>
      </c>
      <c r="C51" t="str">
        <f t="shared" ca="1" si="1"/>
        <v>South</v>
      </c>
      <c r="D51" t="str">
        <f t="shared" si="2"/>
        <v>January</v>
      </c>
      <c r="E51" s="15">
        <v>94</v>
      </c>
      <c r="F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51">
        <v>102115.07582542961</v>
      </c>
      <c r="H51" t="str">
        <f t="shared" ca="1" si="0"/>
        <v>Online</v>
      </c>
      <c r="I51">
        <v>71.704794692590497</v>
      </c>
      <c r="J51">
        <f>Table16[[#This Row],[Marketing_Spend]]/Table16[[#This Row],[Units_Sold]]</f>
        <v>1086.330593887549</v>
      </c>
    </row>
    <row r="52" spans="1:10">
      <c r="A52" s="53">
        <v>43505</v>
      </c>
      <c r="B52" s="14" t="s">
        <v>11</v>
      </c>
      <c r="C52" t="str">
        <f t="shared" ca="1" si="1"/>
        <v>North</v>
      </c>
      <c r="D52" t="str">
        <f t="shared" si="2"/>
        <v>February</v>
      </c>
      <c r="E52" s="14">
        <v>91</v>
      </c>
      <c r="F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52">
        <v>125274.13355309337</v>
      </c>
      <c r="H52" t="str">
        <f t="shared" ca="1" si="0"/>
        <v>TV</v>
      </c>
      <c r="I52">
        <v>71.787370749847298</v>
      </c>
      <c r="J52">
        <f>Table16[[#This Row],[Marketing_Spend]]/Table16[[#This Row],[Units_Sold]]</f>
        <v>1376.6388302537732</v>
      </c>
    </row>
    <row r="53" spans="1:10">
      <c r="A53" s="54">
        <v>43535</v>
      </c>
      <c r="B53" s="15" t="s">
        <v>13</v>
      </c>
      <c r="C53" t="str">
        <f t="shared" ca="1" si="1"/>
        <v>North</v>
      </c>
      <c r="D53" t="str">
        <f t="shared" si="2"/>
        <v>March</v>
      </c>
      <c r="E53" s="15">
        <v>110</v>
      </c>
      <c r="F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53">
        <v>83073.680450685279</v>
      </c>
      <c r="H53" t="str">
        <f t="shared" ca="1" si="0"/>
        <v>Online</v>
      </c>
      <c r="I53">
        <v>30.267994129175584</v>
      </c>
      <c r="J53">
        <f>Table16[[#This Row],[Marketing_Spend]]/Table16[[#This Row],[Units_Sold]]</f>
        <v>755.2152768244116</v>
      </c>
    </row>
    <row r="54" spans="1:10">
      <c r="A54" s="53">
        <v>43565</v>
      </c>
      <c r="B54" s="14" t="s">
        <v>11</v>
      </c>
      <c r="C54" t="str">
        <f t="shared" ca="1" si="1"/>
        <v>East</v>
      </c>
      <c r="D54" t="str">
        <f t="shared" si="2"/>
        <v>April</v>
      </c>
      <c r="E54" s="14">
        <v>98</v>
      </c>
      <c r="F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54">
        <v>110869.58757340186</v>
      </c>
      <c r="H54" t="str">
        <f t="shared" ca="1" si="0"/>
        <v>Billboards</v>
      </c>
      <c r="I54">
        <v>80.215177969999999</v>
      </c>
      <c r="J54">
        <f>Table16[[#This Row],[Marketing_Spend]]/Table16[[#This Row],[Units_Sold]]</f>
        <v>1131.32232217757</v>
      </c>
    </row>
    <row r="55" spans="1:10">
      <c r="A55" s="54">
        <v>43595</v>
      </c>
      <c r="B55" s="15" t="s">
        <v>13</v>
      </c>
      <c r="C55" t="str">
        <f t="shared" ca="1" si="1"/>
        <v>North</v>
      </c>
      <c r="D55" t="str">
        <f t="shared" si="2"/>
        <v>May</v>
      </c>
      <c r="E55" s="15">
        <v>86</v>
      </c>
      <c r="F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55">
        <v>103996.20867437427</v>
      </c>
      <c r="H55" t="str">
        <f t="shared" ca="1" si="0"/>
        <v>Radio</v>
      </c>
      <c r="I55">
        <v>98.598606448099829</v>
      </c>
      <c r="J55">
        <f>Table16[[#This Row],[Marketing_Spend]]/Table16[[#This Row],[Units_Sold]]</f>
        <v>1209.2582403997008</v>
      </c>
    </row>
    <row r="56" spans="1:10">
      <c r="A56" s="53">
        <v>43625</v>
      </c>
      <c r="B56" s="14" t="s">
        <v>12</v>
      </c>
      <c r="C56" t="str">
        <f t="shared" ca="1" si="1"/>
        <v>West</v>
      </c>
      <c r="D56" t="str">
        <f t="shared" si="2"/>
        <v>June</v>
      </c>
      <c r="E56" s="14">
        <v>121</v>
      </c>
      <c r="F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56">
        <v>105280.4016266734</v>
      </c>
      <c r="H56" t="str">
        <f t="shared" ca="1" si="0"/>
        <v>TV</v>
      </c>
      <c r="I56">
        <v>65.454227669999995</v>
      </c>
      <c r="J56">
        <f>Table16[[#This Row],[Marketing_Spend]]/Table16[[#This Row],[Units_Sold]]</f>
        <v>870.08596385680494</v>
      </c>
    </row>
    <row r="57" spans="1:10">
      <c r="A57" s="54">
        <v>43655</v>
      </c>
      <c r="B57" s="15" t="s">
        <v>10</v>
      </c>
      <c r="C57" t="str">
        <f t="shared" ca="1" si="1"/>
        <v>South</v>
      </c>
      <c r="D57" t="str">
        <f t="shared" si="2"/>
        <v>July</v>
      </c>
      <c r="E57" s="15">
        <v>100</v>
      </c>
      <c r="F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57">
        <v>125447.07000213536</v>
      </c>
      <c r="H57" t="str">
        <f t="shared" ca="1" si="0"/>
        <v>Billboards</v>
      </c>
      <c r="I57">
        <v>55.13045286438804</v>
      </c>
      <c r="J57">
        <f>Table16[[#This Row],[Marketing_Spend]]/Table16[[#This Row],[Units_Sold]]</f>
        <v>1254.4707000213537</v>
      </c>
    </row>
    <row r="58" spans="1:10">
      <c r="A58" s="53">
        <v>43685</v>
      </c>
      <c r="B58" s="14" t="s">
        <v>10</v>
      </c>
      <c r="C58" t="str">
        <f t="shared" ca="1" si="1"/>
        <v>West</v>
      </c>
      <c r="D58" t="str">
        <f t="shared" si="2"/>
        <v>August</v>
      </c>
      <c r="E58" s="14">
        <v>96</v>
      </c>
      <c r="F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58">
        <v>114649.84205559605</v>
      </c>
      <c r="H58" t="str">
        <f t="shared" ca="1" si="0"/>
        <v>Billboards</v>
      </c>
      <c r="I58">
        <v>23.195837862887547</v>
      </c>
      <c r="J58">
        <f>Table16[[#This Row],[Marketing_Spend]]/Table16[[#This Row],[Units_Sold]]</f>
        <v>1194.2691880791256</v>
      </c>
    </row>
    <row r="59" spans="1:10">
      <c r="A59" s="54">
        <v>43715</v>
      </c>
      <c r="B59" s="15" t="s">
        <v>12</v>
      </c>
      <c r="C59" t="str">
        <f t="shared" ca="1" si="1"/>
        <v>South</v>
      </c>
      <c r="D59" t="str">
        <f t="shared" si="2"/>
        <v>September</v>
      </c>
      <c r="E59" s="15">
        <v>100</v>
      </c>
      <c r="F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59">
        <v>105774.47325650047</v>
      </c>
      <c r="H59" t="str">
        <f t="shared" ca="1" si="0"/>
        <v>Online</v>
      </c>
      <c r="I59">
        <v>48.98347920001639</v>
      </c>
      <c r="J59">
        <f>Table16[[#This Row],[Marketing_Spend]]/Table16[[#This Row],[Units_Sold]]</f>
        <v>1057.7447325650046</v>
      </c>
    </row>
    <row r="60" spans="1:10">
      <c r="A60" s="53">
        <v>43745</v>
      </c>
      <c r="B60" s="14" t="s">
        <v>11</v>
      </c>
      <c r="C60" t="str">
        <f t="shared" ca="1" si="1"/>
        <v>North</v>
      </c>
      <c r="D60" t="str">
        <f t="shared" si="2"/>
        <v>October</v>
      </c>
      <c r="E60" s="14">
        <v>100</v>
      </c>
      <c r="F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60">
        <v>66902.251275434071</v>
      </c>
      <c r="H60" t="str">
        <f t="shared" ca="1" si="0"/>
        <v>Print</v>
      </c>
      <c r="I60">
        <v>86.111224928044422</v>
      </c>
      <c r="J60">
        <f>Table16[[#This Row],[Marketing_Spend]]/Table16[[#This Row],[Units_Sold]]</f>
        <v>669.02251275434071</v>
      </c>
    </row>
    <row r="61" spans="1:10">
      <c r="A61" s="54">
        <v>43775</v>
      </c>
      <c r="B61" s="15" t="s">
        <v>10</v>
      </c>
      <c r="C61" t="str">
        <f t="shared" ca="1" si="1"/>
        <v>West</v>
      </c>
      <c r="D61" t="str">
        <f t="shared" si="2"/>
        <v>November</v>
      </c>
      <c r="E61" s="15">
        <v>93</v>
      </c>
      <c r="F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61">
        <v>80799.074094410724</v>
      </c>
      <c r="H61" t="str">
        <f t="shared" ca="1" si="0"/>
        <v>Online</v>
      </c>
      <c r="I61">
        <v>76.119928117213277</v>
      </c>
      <c r="J61">
        <f>Table16[[#This Row],[Marketing_Spend]]/Table16[[#This Row],[Units_Sold]]</f>
        <v>868.80724832699707</v>
      </c>
    </row>
    <row r="62" spans="1:10">
      <c r="A62" s="53">
        <v>43805</v>
      </c>
      <c r="B62" s="14" t="s">
        <v>12</v>
      </c>
      <c r="C62" t="str">
        <f t="shared" ca="1" si="1"/>
        <v>South</v>
      </c>
      <c r="D62" t="str">
        <f t="shared" si="2"/>
        <v>December</v>
      </c>
      <c r="E62" s="14">
        <v>103</v>
      </c>
      <c r="F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62">
        <v>97545.821328085513</v>
      </c>
      <c r="H62" t="str">
        <f t="shared" ca="1" si="0"/>
        <v>Online</v>
      </c>
      <c r="I62">
        <v>56.747492447516514</v>
      </c>
      <c r="J62">
        <f>Table16[[#This Row],[Marketing_Spend]]/Table16[[#This Row],[Units_Sold]]</f>
        <v>947.04680901053894</v>
      </c>
    </row>
    <row r="63" spans="1:10">
      <c r="A63" s="54">
        <v>43835</v>
      </c>
      <c r="B63" s="15" t="s">
        <v>10</v>
      </c>
      <c r="C63" t="str">
        <f t="shared" ca="1" si="1"/>
        <v>North</v>
      </c>
      <c r="D63" t="str">
        <f t="shared" si="2"/>
        <v>January</v>
      </c>
      <c r="E63" s="15">
        <v>78</v>
      </c>
      <c r="F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63">
        <v>101867.44748553302</v>
      </c>
      <c r="H63" t="str">
        <f t="shared" ca="1" si="0"/>
        <v>Radio</v>
      </c>
      <c r="I63">
        <v>80.215177969999999</v>
      </c>
      <c r="J63">
        <f>Table16[[#This Row],[Marketing_Spend]]/Table16[[#This Row],[Units_Sold]]</f>
        <v>1305.9929164811927</v>
      </c>
    </row>
    <row r="64" spans="1:10">
      <c r="A64" s="53">
        <v>43865</v>
      </c>
      <c r="B64" s="14" t="s">
        <v>14</v>
      </c>
      <c r="C64" t="str">
        <f t="shared" ca="1" si="1"/>
        <v>East</v>
      </c>
      <c r="D64" t="str">
        <f t="shared" si="2"/>
        <v>February</v>
      </c>
      <c r="E64" s="14">
        <v>116</v>
      </c>
      <c r="F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64">
        <v>77395.925506521526</v>
      </c>
      <c r="H64" t="str">
        <f t="shared" ca="1" si="0"/>
        <v>Billboards</v>
      </c>
      <c r="I64">
        <v>54.151578225864213</v>
      </c>
      <c r="J64">
        <f>Table16[[#This Row],[Marketing_Spend]]/Table16[[#This Row],[Units_Sold]]</f>
        <v>667.20625436656485</v>
      </c>
    </row>
    <row r="65" spans="1:10">
      <c r="A65" s="54">
        <v>43895</v>
      </c>
      <c r="B65" s="15" t="s">
        <v>11</v>
      </c>
      <c r="C65" t="str">
        <f t="shared" ca="1" si="1"/>
        <v>East</v>
      </c>
      <c r="D65" t="str">
        <f t="shared" si="2"/>
        <v>March</v>
      </c>
      <c r="E65" s="15">
        <v>88</v>
      </c>
      <c r="F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65">
        <v>148233.53351156841</v>
      </c>
      <c r="H65" t="str">
        <f t="shared" ca="1" si="0"/>
        <v>Online</v>
      </c>
      <c r="I65">
        <v>57.521995177430682</v>
      </c>
      <c r="J65">
        <f>Table16[[#This Row],[Marketing_Spend]]/Table16[[#This Row],[Units_Sold]]</f>
        <v>1684.4719717223684</v>
      </c>
    </row>
    <row r="66" spans="1:10">
      <c r="A66" s="53">
        <v>43925</v>
      </c>
      <c r="B66" s="14" t="s">
        <v>14</v>
      </c>
      <c r="C66" t="str">
        <f t="shared" ca="1" si="1"/>
        <v>North</v>
      </c>
      <c r="D66" t="str">
        <f t="shared" si="2"/>
        <v>April</v>
      </c>
      <c r="E66" s="14">
        <v>105</v>
      </c>
      <c r="F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66">
        <v>130327.88110507146</v>
      </c>
      <c r="H66" t="str">
        <f t="shared" ref="H66:H129" ca="1" si="4">CHOOSE(RANDBETWEEN(1,5),"Online","TV","Radio","Print","Billboards")</f>
        <v>Radio</v>
      </c>
      <c r="I66">
        <v>94.284442631530879</v>
      </c>
      <c r="J66">
        <f>Table16[[#This Row],[Marketing_Spend]]/Table16[[#This Row],[Units_Sold]]</f>
        <v>1241.2179152863948</v>
      </c>
    </row>
    <row r="67" spans="1:10">
      <c r="A67" s="54">
        <v>43955</v>
      </c>
      <c r="B67" s="15" t="s">
        <v>11</v>
      </c>
      <c r="C67" t="str">
        <f t="shared" ref="C67:C130" ca="1" si="5">CHOOSE(RANDBETWEEN(1,4),"North","South","East","West")</f>
        <v>South</v>
      </c>
      <c r="D67" t="str">
        <f t="shared" ref="D67:D130" si="6">TEXT(A67,"mmmm")</f>
        <v>May</v>
      </c>
      <c r="E67" s="15">
        <v>92</v>
      </c>
      <c r="F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67">
        <v>112042.36640784967</v>
      </c>
      <c r="H67" t="str">
        <f t="shared" ca="1" si="4"/>
        <v>Billboards</v>
      </c>
      <c r="I67">
        <v>71.286888286572747</v>
      </c>
      <c r="J67">
        <f>Table16[[#This Row],[Marketing_Spend]]/Table16[[#This Row],[Units_Sold]]</f>
        <v>1217.8518087809746</v>
      </c>
    </row>
    <row r="68" spans="1:10">
      <c r="A68" s="53">
        <v>43985</v>
      </c>
      <c r="B68" s="14" t="s">
        <v>12</v>
      </c>
      <c r="C68" t="str">
        <f t="shared" ca="1" si="5"/>
        <v>West</v>
      </c>
      <c r="D68" t="str">
        <f t="shared" si="6"/>
        <v>June</v>
      </c>
      <c r="E68" s="14">
        <v>96</v>
      </c>
      <c r="F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68">
        <v>101440.73722567489</v>
      </c>
      <c r="H68" t="str">
        <f t="shared" ca="1" si="4"/>
        <v>Radio</v>
      </c>
      <c r="I68">
        <v>44.932233332371908</v>
      </c>
      <c r="J68">
        <f>Table16[[#This Row],[Marketing_Spend]]/Table16[[#This Row],[Units_Sold]]</f>
        <v>1056.6743461007802</v>
      </c>
    </row>
    <row r="69" spans="1:10">
      <c r="A69" s="54">
        <v>44015</v>
      </c>
      <c r="B69" s="15" t="s">
        <v>11</v>
      </c>
      <c r="C69" t="str">
        <f t="shared" ca="1" si="5"/>
        <v>South</v>
      </c>
      <c r="D69" t="str">
        <f t="shared" si="6"/>
        <v>July</v>
      </c>
      <c r="E69" s="15">
        <v>104</v>
      </c>
      <c r="F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69">
        <v>95755.820601976971</v>
      </c>
      <c r="H69" t="str">
        <f t="shared" ca="1" si="4"/>
        <v>Billboards</v>
      </c>
      <c r="I69">
        <v>62.025461156057709</v>
      </c>
      <c r="J69">
        <f>Table16[[#This Row],[Marketing_Spend]]/Table16[[#This Row],[Units_Sold]]</f>
        <v>920.72904424977855</v>
      </c>
    </row>
    <row r="70" spans="1:10">
      <c r="A70" s="53">
        <v>44045</v>
      </c>
      <c r="B70" s="14" t="s">
        <v>11</v>
      </c>
      <c r="C70" t="str">
        <f t="shared" ca="1" si="5"/>
        <v>North</v>
      </c>
      <c r="D70" t="str">
        <f t="shared" si="6"/>
        <v>August</v>
      </c>
      <c r="E70" s="14">
        <v>84</v>
      </c>
      <c r="F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70">
        <v>80961.630799555292</v>
      </c>
      <c r="H70" t="str">
        <f t="shared" ca="1" si="4"/>
        <v>Billboards</v>
      </c>
      <c r="I70">
        <v>25.284424625772807</v>
      </c>
      <c r="J70">
        <f>Table16[[#This Row],[Marketing_Spend]]/Table16[[#This Row],[Units_Sold]]</f>
        <v>963.8289380899439</v>
      </c>
    </row>
    <row r="71" spans="1:10">
      <c r="A71" s="54">
        <v>44075</v>
      </c>
      <c r="B71" s="15" t="s">
        <v>12</v>
      </c>
      <c r="C71" t="str">
        <f t="shared" ca="1" si="5"/>
        <v>South</v>
      </c>
      <c r="D71" t="str">
        <f t="shared" si="6"/>
        <v>September</v>
      </c>
      <c r="E71" s="15">
        <v>95</v>
      </c>
      <c r="F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71">
        <v>101549.61037037725</v>
      </c>
      <c r="H71" t="str">
        <f t="shared" ca="1" si="4"/>
        <v>Print</v>
      </c>
      <c r="I71">
        <v>97.805458851978941</v>
      </c>
      <c r="J71">
        <f>Table16[[#This Row],[Marketing_Spend]]/Table16[[#This Row],[Units_Sold]]</f>
        <v>1068.9432670566027</v>
      </c>
    </row>
    <row r="72" spans="1:10">
      <c r="A72" s="53">
        <v>44105</v>
      </c>
      <c r="B72" s="14" t="s">
        <v>11</v>
      </c>
      <c r="C72" t="str">
        <f t="shared" ca="1" si="5"/>
        <v>South</v>
      </c>
      <c r="D72" t="str">
        <f t="shared" si="6"/>
        <v>October</v>
      </c>
      <c r="E72" s="14">
        <v>105</v>
      </c>
      <c r="F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72">
        <v>105155.05080285501</v>
      </c>
      <c r="H72" t="str">
        <f t="shared" ca="1" si="4"/>
        <v>Billboards</v>
      </c>
      <c r="I72">
        <v>48.804792154458084</v>
      </c>
      <c r="J72">
        <f>Table16[[#This Row],[Marketing_Spend]]/Table16[[#This Row],[Units_Sold]]</f>
        <v>1001.4766743129048</v>
      </c>
    </row>
    <row r="73" spans="1:10">
      <c r="A73" s="54">
        <v>44135</v>
      </c>
      <c r="B73" s="15" t="s">
        <v>10</v>
      </c>
      <c r="C73" t="str">
        <f t="shared" ca="1" si="5"/>
        <v>West</v>
      </c>
      <c r="D73" t="str">
        <f t="shared" si="6"/>
        <v>October</v>
      </c>
      <c r="E73" s="15">
        <v>100</v>
      </c>
      <c r="F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73">
        <v>75164.788490367515</v>
      </c>
      <c r="H73" t="str">
        <f t="shared" ca="1" si="4"/>
        <v>Radio</v>
      </c>
      <c r="I73">
        <v>58.229388393050868</v>
      </c>
      <c r="J73">
        <f>Table16[[#This Row],[Marketing_Spend]]/Table16[[#This Row],[Units_Sold]]</f>
        <v>751.64788490367516</v>
      </c>
    </row>
    <row r="74" spans="1:10">
      <c r="A74" s="53">
        <v>44165</v>
      </c>
      <c r="B74" s="14" t="s">
        <v>13</v>
      </c>
      <c r="C74" t="str">
        <f t="shared" ca="1" si="5"/>
        <v>West</v>
      </c>
      <c r="D74" t="str">
        <f t="shared" si="6"/>
        <v>November</v>
      </c>
      <c r="E74" s="14">
        <v>104</v>
      </c>
      <c r="F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74">
        <v>106683.52834489795</v>
      </c>
      <c r="H74" t="str">
        <f t="shared" ca="1" si="4"/>
        <v>Billboards</v>
      </c>
      <c r="I74">
        <v>48.422717938953809</v>
      </c>
      <c r="J74">
        <f>Table16[[#This Row],[Marketing_Spend]]/Table16[[#This Row],[Units_Sold]]</f>
        <v>1025.8031571624801</v>
      </c>
    </row>
    <row r="75" spans="1:10">
      <c r="A75" s="54">
        <v>44195</v>
      </c>
      <c r="B75" s="15" t="s">
        <v>12</v>
      </c>
      <c r="C75" t="str">
        <f t="shared" ca="1" si="5"/>
        <v>East</v>
      </c>
      <c r="D75" t="str">
        <f t="shared" si="6"/>
        <v>December</v>
      </c>
      <c r="E75" s="15">
        <v>106</v>
      </c>
      <c r="F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75">
        <v>96894.819023505028</v>
      </c>
      <c r="H75" t="str">
        <f t="shared" ca="1" si="4"/>
        <v>Radio</v>
      </c>
      <c r="I75">
        <v>74.60093840929602</v>
      </c>
      <c r="J75">
        <f>Table16[[#This Row],[Marketing_Spend]]/Table16[[#This Row],[Units_Sold]]</f>
        <v>914.10206625948138</v>
      </c>
    </row>
    <row r="76" spans="1:10">
      <c r="A76" s="53">
        <v>44225</v>
      </c>
      <c r="B76" s="14" t="s">
        <v>13</v>
      </c>
      <c r="C76" t="str">
        <f t="shared" ca="1" si="5"/>
        <v>South</v>
      </c>
      <c r="D76" t="str">
        <f t="shared" si="6"/>
        <v>January</v>
      </c>
      <c r="E76" s="14">
        <v>120</v>
      </c>
      <c r="F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76">
        <v>61843.848842452178</v>
      </c>
      <c r="H76" t="str">
        <f t="shared" ca="1" si="4"/>
        <v>Print</v>
      </c>
      <c r="I76">
        <v>72.978572666367441</v>
      </c>
      <c r="J76">
        <f>Table16[[#This Row],[Marketing_Spend]]/Table16[[#This Row],[Units_Sold]]</f>
        <v>515.36540702043487</v>
      </c>
    </row>
    <row r="77" spans="1:10">
      <c r="A77" s="54">
        <v>44255</v>
      </c>
      <c r="B77" s="15" t="s">
        <v>12</v>
      </c>
      <c r="C77" t="str">
        <f t="shared" ca="1" si="5"/>
        <v>East</v>
      </c>
      <c r="D77" t="str">
        <f t="shared" si="6"/>
        <v>February</v>
      </c>
      <c r="E77" s="15">
        <v>100</v>
      </c>
      <c r="F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77">
        <v>82792.299784409959</v>
      </c>
      <c r="H77" t="str">
        <f t="shared" ca="1" si="4"/>
        <v>Online</v>
      </c>
      <c r="I77">
        <v>77.225784842330853</v>
      </c>
      <c r="J77">
        <f>Table16[[#This Row],[Marketing_Spend]]/Table16[[#This Row],[Units_Sold]]</f>
        <v>827.92299784409954</v>
      </c>
    </row>
    <row r="78" spans="1:10">
      <c r="A78" s="53">
        <v>44285</v>
      </c>
      <c r="B78" s="14" t="s">
        <v>12</v>
      </c>
      <c r="C78" t="str">
        <f t="shared" ca="1" si="5"/>
        <v>West</v>
      </c>
      <c r="D78" t="str">
        <f t="shared" si="6"/>
        <v>March</v>
      </c>
      <c r="E78" s="14">
        <v>118</v>
      </c>
      <c r="F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78">
        <v>91727.889331567116</v>
      </c>
      <c r="H78" t="str">
        <f t="shared" ca="1" si="4"/>
        <v>TV</v>
      </c>
      <c r="I78">
        <v>41.451458368953666</v>
      </c>
      <c r="J78">
        <f>Table16[[#This Row],[Marketing_Spend]]/Table16[[#This Row],[Units_Sold]]</f>
        <v>777.35499433531459</v>
      </c>
    </row>
    <row r="79" spans="1:10">
      <c r="A79" s="54">
        <v>44315</v>
      </c>
      <c r="B79" s="15" t="s">
        <v>14</v>
      </c>
      <c r="C79" t="str">
        <f t="shared" ca="1" si="5"/>
        <v>South</v>
      </c>
      <c r="D79" t="str">
        <f t="shared" si="6"/>
        <v>April</v>
      </c>
      <c r="E79" s="15">
        <v>92</v>
      </c>
      <c r="F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79">
        <v>137753.75314680382</v>
      </c>
      <c r="H79" t="str">
        <f t="shared" ca="1" si="4"/>
        <v>TV</v>
      </c>
      <c r="I79">
        <v>45.253478493125279</v>
      </c>
      <c r="J79">
        <f>Table16[[#This Row],[Marketing_Spend]]/Table16[[#This Row],[Units_Sold]]</f>
        <v>1497.3234037696068</v>
      </c>
    </row>
    <row r="80" spans="1:10">
      <c r="A80" s="53">
        <v>44345</v>
      </c>
      <c r="B80" s="14" t="s">
        <v>14</v>
      </c>
      <c r="C80" t="str">
        <f t="shared" ca="1" si="5"/>
        <v>East</v>
      </c>
      <c r="D80" t="str">
        <f t="shared" si="6"/>
        <v>May</v>
      </c>
      <c r="E80" s="14">
        <v>110</v>
      </c>
      <c r="F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80">
        <v>111131.06249067516</v>
      </c>
      <c r="H80" t="str">
        <f t="shared" ca="1" si="4"/>
        <v>Online</v>
      </c>
      <c r="I80">
        <v>30.020098487696636</v>
      </c>
      <c r="J80">
        <f>Table16[[#This Row],[Marketing_Spend]]/Table16[[#This Row],[Units_Sold]]</f>
        <v>1010.2823862788651</v>
      </c>
    </row>
    <row r="81" spans="1:10">
      <c r="A81" s="54">
        <v>44375</v>
      </c>
      <c r="B81" s="15" t="s">
        <v>11</v>
      </c>
      <c r="C81" t="str">
        <f t="shared" ca="1" si="5"/>
        <v>West</v>
      </c>
      <c r="D81" t="str">
        <f t="shared" si="6"/>
        <v>June</v>
      </c>
      <c r="E81" s="15">
        <v>101</v>
      </c>
      <c r="F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81">
        <v>73290.368618002176</v>
      </c>
      <c r="H81" t="str">
        <f t="shared" ca="1" si="4"/>
        <v>Billboards</v>
      </c>
      <c r="I81">
        <v>72.440797747689004</v>
      </c>
      <c r="J81">
        <f>Table16[[#This Row],[Marketing_Spend]]/Table16[[#This Row],[Units_Sold]]</f>
        <v>725.64721403962551</v>
      </c>
    </row>
    <row r="82" spans="1:10">
      <c r="A82" s="53">
        <v>44405</v>
      </c>
      <c r="B82" s="14" t="s">
        <v>13</v>
      </c>
      <c r="C82" t="str">
        <f t="shared" ca="1" si="5"/>
        <v>West</v>
      </c>
      <c r="D82" t="str">
        <f t="shared" si="6"/>
        <v>July</v>
      </c>
      <c r="E82" s="14">
        <v>84</v>
      </c>
      <c r="F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82">
        <v>109720.72578835273</v>
      </c>
      <c r="H82" t="str">
        <f t="shared" ca="1" si="4"/>
        <v>Print</v>
      </c>
      <c r="I82">
        <v>23.183770186852204</v>
      </c>
      <c r="J82">
        <f>Table16[[#This Row],[Marketing_Spend]]/Table16[[#This Row],[Units_Sold]]</f>
        <v>1306.1991165280087</v>
      </c>
    </row>
    <row r="83" spans="1:10">
      <c r="A83" s="54">
        <v>44435</v>
      </c>
      <c r="B83" s="15" t="s">
        <v>12</v>
      </c>
      <c r="C83" t="str">
        <f t="shared" ca="1" si="5"/>
        <v>West</v>
      </c>
      <c r="D83" t="str">
        <f t="shared" si="6"/>
        <v>August</v>
      </c>
      <c r="E83" s="15">
        <v>115</v>
      </c>
      <c r="F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83">
        <v>69053.920221232693</v>
      </c>
      <c r="H83" t="str">
        <f t="shared" ca="1" si="4"/>
        <v>Print</v>
      </c>
      <c r="I83">
        <v>67.814586841876718</v>
      </c>
      <c r="J83">
        <f>Table16[[#This Row],[Marketing_Spend]]/Table16[[#This Row],[Units_Sold]]</f>
        <v>600.46887148897997</v>
      </c>
    </row>
    <row r="84" spans="1:10">
      <c r="A84" s="53">
        <v>44465</v>
      </c>
      <c r="B84" s="14" t="s">
        <v>11</v>
      </c>
      <c r="C84" t="str">
        <f t="shared" ca="1" si="5"/>
        <v>North</v>
      </c>
      <c r="D84" t="str">
        <f t="shared" si="6"/>
        <v>September</v>
      </c>
      <c r="E84" s="14">
        <v>95</v>
      </c>
      <c r="F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84">
        <v>121653.82107774146</v>
      </c>
      <c r="H84" t="str">
        <f t="shared" ca="1" si="4"/>
        <v>Online</v>
      </c>
      <c r="I84">
        <v>89.575670788130708</v>
      </c>
      <c r="J84">
        <f>Table16[[#This Row],[Marketing_Spend]]/Table16[[#This Row],[Units_Sold]]</f>
        <v>1280.5665376604366</v>
      </c>
    </row>
    <row r="85" spans="1:10">
      <c r="A85" s="54">
        <v>44495</v>
      </c>
      <c r="B85" s="15" t="s">
        <v>10</v>
      </c>
      <c r="C85" t="str">
        <f t="shared" ca="1" si="5"/>
        <v>West</v>
      </c>
      <c r="D85" t="str">
        <f t="shared" si="6"/>
        <v>October</v>
      </c>
      <c r="E85" s="15">
        <v>114</v>
      </c>
      <c r="F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85">
        <v>90577.50696364243</v>
      </c>
      <c r="H85" t="str">
        <f t="shared" ca="1" si="4"/>
        <v>Online</v>
      </c>
      <c r="I85">
        <v>91.266571863170682</v>
      </c>
      <c r="J85">
        <f>Table16[[#This Row],[Marketing_Spend]]/Table16[[#This Row],[Units_Sold]]</f>
        <v>794.53953476879326</v>
      </c>
    </row>
    <row r="86" spans="1:10">
      <c r="A86" s="53">
        <v>44525</v>
      </c>
      <c r="B86" s="14" t="s">
        <v>12</v>
      </c>
      <c r="C86" t="str">
        <f t="shared" ca="1" si="5"/>
        <v>South</v>
      </c>
      <c r="D86" t="str">
        <f t="shared" si="6"/>
        <v>November</v>
      </c>
      <c r="E86" s="14">
        <v>104</v>
      </c>
      <c r="F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86">
        <v>98127.276225216585</v>
      </c>
      <c r="H86" t="str">
        <f t="shared" ca="1" si="4"/>
        <v>Radio</v>
      </c>
      <c r="I86">
        <v>55.923020829596936</v>
      </c>
      <c r="J86">
        <f>Table16[[#This Row],[Marketing_Spend]]/Table16[[#This Row],[Units_Sold]]</f>
        <v>943.53150216554411</v>
      </c>
    </row>
    <row r="87" spans="1:10">
      <c r="A87" s="54">
        <v>44555</v>
      </c>
      <c r="B87" s="15" t="s">
        <v>10</v>
      </c>
      <c r="C87" t="str">
        <f t="shared" ca="1" si="5"/>
        <v>West</v>
      </c>
      <c r="D87" t="str">
        <f t="shared" si="6"/>
        <v>December</v>
      </c>
      <c r="E87" s="15">
        <v>89</v>
      </c>
      <c r="F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87">
        <v>126515.93295084379</v>
      </c>
      <c r="H87" t="str">
        <f t="shared" ca="1" si="4"/>
        <v>Billboards</v>
      </c>
      <c r="I87">
        <v>56.744295057045903</v>
      </c>
      <c r="J87">
        <f>Table16[[#This Row],[Marketing_Spend]]/Table16[[#This Row],[Units_Sold]]</f>
        <v>1421.5273365263347</v>
      </c>
    </row>
    <row r="88" spans="1:10">
      <c r="A88" s="53">
        <v>44585</v>
      </c>
      <c r="B88" s="14" t="s">
        <v>11</v>
      </c>
      <c r="C88" t="str">
        <f t="shared" ca="1" si="5"/>
        <v>South</v>
      </c>
      <c r="D88" t="str">
        <f t="shared" si="6"/>
        <v>January</v>
      </c>
      <c r="E88" s="14">
        <v>100</v>
      </c>
      <c r="F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88">
        <v>74256.728628315002</v>
      </c>
      <c r="H88" t="str">
        <f t="shared" ca="1" si="4"/>
        <v>Print</v>
      </c>
      <c r="I88">
        <v>26.157534640641387</v>
      </c>
      <c r="J88">
        <f>Table16[[#This Row],[Marketing_Spend]]/Table16[[#This Row],[Units_Sold]]</f>
        <v>742.56728628315</v>
      </c>
    </row>
    <row r="89" spans="1:10">
      <c r="A89" s="54">
        <v>44615</v>
      </c>
      <c r="B89" s="15" t="s">
        <v>14</v>
      </c>
      <c r="C89" t="str">
        <f t="shared" ca="1" si="5"/>
        <v>South</v>
      </c>
      <c r="D89" t="str">
        <f t="shared" si="6"/>
        <v>February</v>
      </c>
      <c r="E89" s="15">
        <v>85</v>
      </c>
      <c r="F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89">
        <v>72057.636297740173</v>
      </c>
      <c r="H89" t="str">
        <f t="shared" ca="1" si="4"/>
        <v>Online</v>
      </c>
      <c r="I89">
        <v>73.661202035442855</v>
      </c>
      <c r="J89">
        <f>Table16[[#This Row],[Marketing_Spend]]/Table16[[#This Row],[Units_Sold]]</f>
        <v>847.73689762047263</v>
      </c>
    </row>
    <row r="90" spans="1:10">
      <c r="A90" s="53">
        <v>44645</v>
      </c>
      <c r="B90" s="14" t="s">
        <v>11</v>
      </c>
      <c r="C90" t="str">
        <f t="shared" ca="1" si="5"/>
        <v>North</v>
      </c>
      <c r="D90" t="str">
        <f t="shared" si="6"/>
        <v>March</v>
      </c>
      <c r="E90" s="14">
        <v>101</v>
      </c>
      <c r="F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90">
        <v>88328.013473079904</v>
      </c>
      <c r="H90" t="str">
        <f t="shared" ca="1" si="4"/>
        <v>Print</v>
      </c>
      <c r="I90">
        <v>85.700753629827645</v>
      </c>
      <c r="J90">
        <f>Table16[[#This Row],[Marketing_Spend]]/Table16[[#This Row],[Units_Sold]]</f>
        <v>874.53478686217727</v>
      </c>
    </row>
    <row r="91" spans="1:10">
      <c r="A91" s="54">
        <v>44675</v>
      </c>
      <c r="B91" s="15" t="s">
        <v>10</v>
      </c>
      <c r="C91" t="str">
        <f t="shared" ca="1" si="5"/>
        <v>West</v>
      </c>
      <c r="D91" t="str">
        <f t="shared" si="6"/>
        <v>April</v>
      </c>
      <c r="E91" s="15">
        <v>104</v>
      </c>
      <c r="F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91">
        <v>120767.57702038634</v>
      </c>
      <c r="H91" t="str">
        <f t="shared" ca="1" si="4"/>
        <v>Print</v>
      </c>
      <c r="I91">
        <v>39.572404368377043</v>
      </c>
      <c r="J91">
        <f>Table16[[#This Row],[Marketing_Spend]]/Table16[[#This Row],[Units_Sold]]</f>
        <v>1161.2267021190994</v>
      </c>
    </row>
    <row r="92" spans="1:10">
      <c r="A92" s="53">
        <v>44705</v>
      </c>
      <c r="B92" s="14" t="s">
        <v>12</v>
      </c>
      <c r="C92" t="str">
        <f t="shared" ca="1" si="5"/>
        <v>South</v>
      </c>
      <c r="D92" t="str">
        <f t="shared" si="6"/>
        <v>May</v>
      </c>
      <c r="E92" s="14">
        <v>106</v>
      </c>
      <c r="F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92">
        <v>69613.078490463144</v>
      </c>
      <c r="H92" t="str">
        <f t="shared" ca="1" si="4"/>
        <v>Online</v>
      </c>
      <c r="I92">
        <v>53.704070530669171</v>
      </c>
      <c r="J92">
        <f>Table16[[#This Row],[Marketing_Spend]]/Table16[[#This Row],[Units_Sold]]</f>
        <v>656.72715557040704</v>
      </c>
    </row>
    <row r="93" spans="1:10">
      <c r="A93" s="54">
        <v>44735</v>
      </c>
      <c r="B93" s="15" t="s">
        <v>13</v>
      </c>
      <c r="C93" t="str">
        <f t="shared" ca="1" si="5"/>
        <v>West</v>
      </c>
      <c r="D93" t="str">
        <f t="shared" si="6"/>
        <v>June</v>
      </c>
      <c r="E93" s="15">
        <v>95</v>
      </c>
      <c r="F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93">
        <v>43356.888037788623</v>
      </c>
      <c r="H93" t="str">
        <f t="shared" ca="1" si="4"/>
        <v>Radio</v>
      </c>
      <c r="I93">
        <v>87.107146941221629</v>
      </c>
      <c r="J93">
        <f>Table16[[#This Row],[Marketing_Spend]]/Table16[[#This Row],[Units_Sold]]</f>
        <v>456.38829513461707</v>
      </c>
    </row>
    <row r="94" spans="1:10">
      <c r="A94" s="53">
        <v>44765</v>
      </c>
      <c r="B94" s="14" t="s">
        <v>11</v>
      </c>
      <c r="C94" t="str">
        <f t="shared" ca="1" si="5"/>
        <v>South</v>
      </c>
      <c r="D94" t="str">
        <f t="shared" si="6"/>
        <v>July</v>
      </c>
      <c r="E94" s="14">
        <v>104</v>
      </c>
      <c r="F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94">
        <v>90976.822831820027</v>
      </c>
      <c r="H94" t="str">
        <f t="shared" ca="1" si="4"/>
        <v>TV</v>
      </c>
      <c r="I94">
        <v>90.169637412983036</v>
      </c>
      <c r="J94">
        <f>Table16[[#This Row],[Marketing_Spend]]/Table16[[#This Row],[Units_Sold]]</f>
        <v>874.77714261365406</v>
      </c>
    </row>
    <row r="95" spans="1:10">
      <c r="A95" s="54">
        <v>44795</v>
      </c>
      <c r="B95" s="15" t="s">
        <v>12</v>
      </c>
      <c r="C95" t="str">
        <f t="shared" ca="1" si="5"/>
        <v>West</v>
      </c>
      <c r="D95" t="str">
        <f t="shared" si="6"/>
        <v>August</v>
      </c>
      <c r="E95" s="15">
        <v>105</v>
      </c>
      <c r="F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95">
        <f>128897.2893</f>
        <v>128897.2893</v>
      </c>
      <c r="H95" t="str">
        <f t="shared" ca="1" si="4"/>
        <v>Print</v>
      </c>
      <c r="I95">
        <v>39.454398421138073</v>
      </c>
      <c r="J95">
        <f>Table16[[#This Row],[Marketing_Spend]]/Table16[[#This Row],[Units_Sold]]</f>
        <v>1227.5932314285715</v>
      </c>
    </row>
    <row r="96" spans="1:10">
      <c r="A96" s="53">
        <v>44825</v>
      </c>
      <c r="B96" s="14" t="s">
        <v>14</v>
      </c>
      <c r="C96" t="str">
        <f t="shared" ca="1" si="5"/>
        <v>South</v>
      </c>
      <c r="D96" t="str">
        <f t="shared" si="6"/>
        <v>September</v>
      </c>
      <c r="E96" s="14">
        <v>84</v>
      </c>
      <c r="F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96">
        <v>124005.23499477659</v>
      </c>
      <c r="H96" t="str">
        <f t="shared" ca="1" si="4"/>
        <v>Online</v>
      </c>
      <c r="I96">
        <v>64.045650763309141</v>
      </c>
      <c r="J96">
        <f>Table16[[#This Row],[Marketing_Spend]]/Table16[[#This Row],[Units_Sold]]</f>
        <v>1476.2527975568642</v>
      </c>
    </row>
    <row r="97" spans="1:10">
      <c r="A97" s="54">
        <v>44855</v>
      </c>
      <c r="B97" s="15" t="s">
        <v>14</v>
      </c>
      <c r="C97" t="str">
        <f t="shared" ca="1" si="5"/>
        <v>North</v>
      </c>
      <c r="D97" t="str">
        <f t="shared" si="6"/>
        <v>October</v>
      </c>
      <c r="E97" s="15">
        <v>93</v>
      </c>
      <c r="F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97">
        <v>90736.77275829202</v>
      </c>
      <c r="H97" t="str">
        <f t="shared" ca="1" si="4"/>
        <v>Billboards</v>
      </c>
      <c r="I97">
        <v>35.399452050866167</v>
      </c>
      <c r="J97">
        <f>Table16[[#This Row],[Marketing_Spend]]/Table16[[#This Row],[Units_Sold]]</f>
        <v>975.66422320744107</v>
      </c>
    </row>
    <row r="98" spans="1:10">
      <c r="A98" s="53">
        <v>44885</v>
      </c>
      <c r="B98" s="14" t="s">
        <v>14</v>
      </c>
      <c r="C98" t="str">
        <f t="shared" ca="1" si="5"/>
        <v>South</v>
      </c>
      <c r="D98" t="str">
        <f t="shared" si="6"/>
        <v>November</v>
      </c>
      <c r="E98" s="14">
        <v>115</v>
      </c>
      <c r="F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98">
        <v>91771.467857679949</v>
      </c>
      <c r="H98" t="str">
        <f t="shared" ca="1" si="4"/>
        <v>Billboards</v>
      </c>
      <c r="I98">
        <v>28.150301131164525</v>
      </c>
      <c r="J98">
        <f>Table16[[#This Row],[Marketing_Spend]]/Table16[[#This Row],[Units_Sold]]</f>
        <v>798.01276397982565</v>
      </c>
    </row>
    <row r="99" spans="1:10">
      <c r="A99" s="54">
        <v>44915</v>
      </c>
      <c r="B99" s="15" t="s">
        <v>12</v>
      </c>
      <c r="C99" t="str">
        <f t="shared" ca="1" si="5"/>
        <v>East</v>
      </c>
      <c r="D99" t="str">
        <f t="shared" si="6"/>
        <v>December</v>
      </c>
      <c r="E99" s="15">
        <v>109</v>
      </c>
      <c r="F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99">
        <v>123078.01468511495</v>
      </c>
      <c r="H99" t="str">
        <f t="shared" ca="1" si="4"/>
        <v>TV</v>
      </c>
      <c r="I99">
        <v>92.889640111356599</v>
      </c>
      <c r="J99">
        <f>Table16[[#This Row],[Marketing_Spend]]/Table16[[#This Row],[Units_Sold]]</f>
        <v>1129.1560980285774</v>
      </c>
    </row>
    <row r="100" spans="1:10">
      <c r="A100" s="53">
        <v>44945</v>
      </c>
      <c r="B100" s="14" t="s">
        <v>11</v>
      </c>
      <c r="C100" t="str">
        <f t="shared" ca="1" si="5"/>
        <v>North</v>
      </c>
      <c r="D100" t="str">
        <f t="shared" si="6"/>
        <v>January</v>
      </c>
      <c r="E100" s="14">
        <v>102</v>
      </c>
      <c r="F1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00">
        <v>62605.166006091589</v>
      </c>
      <c r="H100" t="str">
        <f t="shared" ca="1" si="4"/>
        <v>Print</v>
      </c>
      <c r="I100">
        <v>85.640600338568731</v>
      </c>
      <c r="J100">
        <f>Table16[[#This Row],[Marketing_Spend]]/Table16[[#This Row],[Units_Sold]]</f>
        <v>613.77613731462338</v>
      </c>
    </row>
    <row r="101" spans="1:10">
      <c r="A101" s="54">
        <v>44975</v>
      </c>
      <c r="B101" s="15" t="s">
        <v>12</v>
      </c>
      <c r="C101" t="str">
        <f t="shared" ca="1" si="5"/>
        <v>South</v>
      </c>
      <c r="D101" t="str">
        <f t="shared" si="6"/>
        <v>February</v>
      </c>
      <c r="E101" s="15">
        <v>100</v>
      </c>
      <c r="F1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01">
        <v>92229.584496339812</v>
      </c>
      <c r="H101" t="str">
        <f t="shared" ca="1" si="4"/>
        <v>Print</v>
      </c>
      <c r="I101">
        <v>80.802792144253914</v>
      </c>
      <c r="J101">
        <f>Table16[[#This Row],[Marketing_Spend]]/Table16[[#This Row],[Units_Sold]]</f>
        <v>922.29584496339817</v>
      </c>
    </row>
    <row r="102" spans="1:10">
      <c r="A102" s="53">
        <v>45005</v>
      </c>
      <c r="B102" s="14" t="s">
        <v>12</v>
      </c>
      <c r="C102" t="str">
        <f t="shared" ca="1" si="5"/>
        <v>East</v>
      </c>
      <c r="D102" t="str">
        <f t="shared" si="6"/>
        <v>March</v>
      </c>
      <c r="E102" s="14">
        <v>93</v>
      </c>
      <c r="F1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02">
        <v>103808.47779850116</v>
      </c>
      <c r="H102" t="str">
        <f t="shared" ca="1" si="4"/>
        <v>TV</v>
      </c>
      <c r="I102">
        <v>23.901305505051234</v>
      </c>
      <c r="J102">
        <f>Table16[[#This Row],[Marketing_Spend]]/Table16[[#This Row],[Units_Sold]]</f>
        <v>1116.220191381733</v>
      </c>
    </row>
    <row r="103" spans="1:10">
      <c r="A103" s="54">
        <v>45035</v>
      </c>
      <c r="B103" s="15" t="s">
        <v>13</v>
      </c>
      <c r="C103" t="str">
        <f t="shared" ca="1" si="5"/>
        <v>South</v>
      </c>
      <c r="D103" t="str">
        <f t="shared" si="6"/>
        <v>April</v>
      </c>
      <c r="E103" s="15">
        <v>100</v>
      </c>
      <c r="F1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03">
        <v>108984.37442570069</v>
      </c>
      <c r="H103" t="str">
        <f t="shared" ca="1" si="4"/>
        <v>Print</v>
      </c>
      <c r="I103">
        <v>87.49830341682059</v>
      </c>
      <c r="J103">
        <f>Table16[[#This Row],[Marketing_Spend]]/Table16[[#This Row],[Units_Sold]]</f>
        <v>1089.8437442570068</v>
      </c>
    </row>
    <row r="104" spans="1:10">
      <c r="A104" s="53">
        <v>45065</v>
      </c>
      <c r="B104" s="14" t="s">
        <v>13</v>
      </c>
      <c r="C104" t="str">
        <f t="shared" ca="1" si="5"/>
        <v>East</v>
      </c>
      <c r="D104" t="str">
        <f t="shared" si="6"/>
        <v>May</v>
      </c>
      <c r="E104" s="14">
        <v>117</v>
      </c>
      <c r="F1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04">
        <v>102916.7736</v>
      </c>
      <c r="H104" t="str">
        <f t="shared" ca="1" si="4"/>
        <v>TV</v>
      </c>
      <c r="I104">
        <v>55.043526072430701</v>
      </c>
      <c r="J104">
        <f>Table16[[#This Row],[Marketing_Spend]]/Table16[[#This Row],[Units_Sold]]</f>
        <v>879.63054358974364</v>
      </c>
    </row>
    <row r="105" spans="1:10">
      <c r="A105" s="54">
        <v>45095</v>
      </c>
      <c r="B105" s="15" t="s">
        <v>11</v>
      </c>
      <c r="C105" t="str">
        <f t="shared" ca="1" si="5"/>
        <v>East</v>
      </c>
      <c r="D105" t="str">
        <f t="shared" si="6"/>
        <v>June</v>
      </c>
      <c r="E105" s="15">
        <v>98</v>
      </c>
      <c r="F1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105">
        <v>100688.82023411682</v>
      </c>
      <c r="H105" t="str">
        <f t="shared" ca="1" si="4"/>
        <v>Billboards</v>
      </c>
      <c r="I105">
        <v>47.391609863668769</v>
      </c>
      <c r="J105">
        <f>Table16[[#This Row],[Marketing_Spend]]/Table16[[#This Row],[Units_Sold]]</f>
        <v>1027.4369411644573</v>
      </c>
    </row>
    <row r="106" spans="1:10">
      <c r="A106" s="53">
        <v>45125</v>
      </c>
      <c r="B106" s="14" t="s">
        <v>13</v>
      </c>
      <c r="C106" t="str">
        <f t="shared" ca="1" si="5"/>
        <v>South</v>
      </c>
      <c r="D106" t="str">
        <f t="shared" si="6"/>
        <v>July</v>
      </c>
      <c r="E106" s="14">
        <v>94</v>
      </c>
      <c r="F1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106">
        <v>50233.452931740212</v>
      </c>
      <c r="H106" t="str">
        <f t="shared" ca="1" si="4"/>
        <v>Radio</v>
      </c>
      <c r="I106">
        <v>63.718108882030116</v>
      </c>
      <c r="J106">
        <f>Table16[[#This Row],[Marketing_Spend]]/Table16[[#This Row],[Units_Sold]]</f>
        <v>534.39843544404482</v>
      </c>
    </row>
    <row r="107" spans="1:10">
      <c r="A107" s="54">
        <v>45155</v>
      </c>
      <c r="B107" s="15" t="s">
        <v>14</v>
      </c>
      <c r="C107" t="str">
        <f t="shared" ca="1" si="5"/>
        <v>West</v>
      </c>
      <c r="D107" t="str">
        <f t="shared" si="6"/>
        <v>August</v>
      </c>
      <c r="E107" s="15">
        <v>112</v>
      </c>
      <c r="F1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07">
        <v>86835.031753323041</v>
      </c>
      <c r="H107" t="str">
        <f t="shared" ca="1" si="4"/>
        <v>Online</v>
      </c>
      <c r="I107">
        <v>27.308259417884464</v>
      </c>
      <c r="J107">
        <f>Table16[[#This Row],[Marketing_Spend]]/Table16[[#This Row],[Units_Sold]]</f>
        <v>775.31278351181288</v>
      </c>
    </row>
    <row r="108" spans="1:10">
      <c r="A108" s="53">
        <v>45185</v>
      </c>
      <c r="B108" s="14" t="s">
        <v>13</v>
      </c>
      <c r="C108" t="str">
        <f t="shared" ca="1" si="5"/>
        <v>West</v>
      </c>
      <c r="D108" t="str">
        <f t="shared" si="6"/>
        <v>September</v>
      </c>
      <c r="E108" s="14">
        <v>89</v>
      </c>
      <c r="F1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08">
        <v>109070.17425108935</v>
      </c>
      <c r="H108" t="str">
        <f t="shared" ca="1" si="4"/>
        <v>Print</v>
      </c>
      <c r="I108">
        <v>80.53172394819191</v>
      </c>
      <c r="J108">
        <f>Table16[[#This Row],[Marketing_Spend]]/Table16[[#This Row],[Units_Sold]]</f>
        <v>1225.5075758549365</v>
      </c>
    </row>
    <row r="109" spans="1:10">
      <c r="A109" s="54">
        <v>45215</v>
      </c>
      <c r="B109" s="15" t="s">
        <v>14</v>
      </c>
      <c r="C109" t="str">
        <f t="shared" ca="1" si="5"/>
        <v>North</v>
      </c>
      <c r="D109" t="str">
        <f t="shared" si="6"/>
        <v>October</v>
      </c>
      <c r="E109" s="15">
        <v>119</v>
      </c>
      <c r="F1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09">
        <v>80354.119314906406</v>
      </c>
      <c r="H109" t="str">
        <f t="shared" ca="1" si="4"/>
        <v>Print</v>
      </c>
      <c r="I109">
        <v>66.594806151063665</v>
      </c>
      <c r="J109">
        <f>Table16[[#This Row],[Marketing_Spend]]/Table16[[#This Row],[Units_Sold]]</f>
        <v>675.24470012526388</v>
      </c>
    </row>
    <row r="110" spans="1:10">
      <c r="A110" s="53">
        <v>45245</v>
      </c>
      <c r="B110" s="14" t="s">
        <v>11</v>
      </c>
      <c r="C110" t="str">
        <f t="shared" ca="1" si="5"/>
        <v>South</v>
      </c>
      <c r="D110" t="str">
        <f t="shared" si="6"/>
        <v>November</v>
      </c>
      <c r="E110" s="14">
        <v>102</v>
      </c>
      <c r="F1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10">
        <f>128897.2893</f>
        <v>128897.2893</v>
      </c>
      <c r="H110" t="str">
        <f t="shared" ca="1" si="4"/>
        <v>TV</v>
      </c>
      <c r="I110">
        <v>34.927207749853402</v>
      </c>
      <c r="J110">
        <f>Table16[[#This Row],[Marketing_Spend]]/Table16[[#This Row],[Units_Sold]]</f>
        <v>1263.6989147058823</v>
      </c>
    </row>
    <row r="111" spans="1:10">
      <c r="A111" s="54">
        <v>45275</v>
      </c>
      <c r="B111" s="15" t="s">
        <v>12</v>
      </c>
      <c r="C111" t="str">
        <f t="shared" ca="1" si="5"/>
        <v>West</v>
      </c>
      <c r="D111" t="str">
        <f t="shared" si="6"/>
        <v>December</v>
      </c>
      <c r="E111" s="15">
        <v>87</v>
      </c>
      <c r="F1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11">
        <v>108937.45001605396</v>
      </c>
      <c r="H111" t="str">
        <f t="shared" ca="1" si="4"/>
        <v>Print</v>
      </c>
      <c r="I111">
        <v>35.058575981523646</v>
      </c>
      <c r="J111">
        <f>Table16[[#This Row],[Marketing_Spend]]/Table16[[#This Row],[Units_Sold]]</f>
        <v>1252.1545978856777</v>
      </c>
    </row>
    <row r="112" spans="1:10">
      <c r="A112" s="53">
        <v>45305</v>
      </c>
      <c r="B112" s="14" t="s">
        <v>12</v>
      </c>
      <c r="C112" t="str">
        <f t="shared" ca="1" si="5"/>
        <v>South</v>
      </c>
      <c r="D112" t="str">
        <f t="shared" si="6"/>
        <v>January</v>
      </c>
      <c r="E112" s="14">
        <v>113</v>
      </c>
      <c r="F1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12">
        <v>93149.015982844707</v>
      </c>
      <c r="H112" t="str">
        <f t="shared" ca="1" si="4"/>
        <v>Radio</v>
      </c>
      <c r="I112">
        <v>34.739892125813938</v>
      </c>
      <c r="J112">
        <f>Table16[[#This Row],[Marketing_Spend]]/Table16[[#This Row],[Units_Sold]]</f>
        <v>824.32757506942221</v>
      </c>
    </row>
    <row r="113" spans="1:10">
      <c r="A113" s="54">
        <v>45335</v>
      </c>
      <c r="B113" s="15" t="s">
        <v>13</v>
      </c>
      <c r="C113" t="str">
        <f t="shared" ca="1" si="5"/>
        <v>East</v>
      </c>
      <c r="D113" t="str">
        <f t="shared" si="6"/>
        <v>February</v>
      </c>
      <c r="E113" s="15">
        <v>106</v>
      </c>
      <c r="F1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13">
        <v>103409.27541993142</v>
      </c>
      <c r="H113" t="str">
        <f t="shared" ca="1" si="4"/>
        <v>Online</v>
      </c>
      <c r="I113">
        <v>24.560191004154717</v>
      </c>
      <c r="J113">
        <f>Table16[[#This Row],[Marketing_Spend]]/Table16[[#This Row],[Units_Sold]]</f>
        <v>975.55920207482473</v>
      </c>
    </row>
    <row r="114" spans="1:10">
      <c r="A114" s="53">
        <v>45365</v>
      </c>
      <c r="B114" s="14" t="s">
        <v>14</v>
      </c>
      <c r="C114" t="str">
        <f t="shared" ca="1" si="5"/>
        <v>North</v>
      </c>
      <c r="D114" t="str">
        <f t="shared" si="6"/>
        <v>March</v>
      </c>
      <c r="E114" s="14">
        <v>96</v>
      </c>
      <c r="F1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14">
        <v>80745.348694307759</v>
      </c>
      <c r="H114" t="str">
        <f t="shared" ca="1" si="4"/>
        <v>Radio</v>
      </c>
      <c r="I114">
        <v>67.023875949734787</v>
      </c>
      <c r="J114">
        <f>Table16[[#This Row],[Marketing_Spend]]/Table16[[#This Row],[Units_Sold]]</f>
        <v>841.09738223237252</v>
      </c>
    </row>
    <row r="115" spans="1:10">
      <c r="A115" s="54">
        <v>45395</v>
      </c>
      <c r="B115" s="15" t="s">
        <v>10</v>
      </c>
      <c r="C115" t="str">
        <f t="shared" ca="1" si="5"/>
        <v>West</v>
      </c>
      <c r="D115" t="str">
        <f t="shared" si="6"/>
        <v>April</v>
      </c>
      <c r="E115" s="15">
        <v>110</v>
      </c>
      <c r="F1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15">
        <v>95867.774406079072</v>
      </c>
      <c r="H115" t="str">
        <f t="shared" ca="1" si="4"/>
        <v>Print</v>
      </c>
      <c r="I115">
        <v>87.227854207080654</v>
      </c>
      <c r="J115">
        <f>Table16[[#This Row],[Marketing_Spend]]/Table16[[#This Row],[Units_Sold]]</f>
        <v>871.52522187344607</v>
      </c>
    </row>
    <row r="116" spans="1:10">
      <c r="A116" s="53">
        <v>45425</v>
      </c>
      <c r="B116" s="14" t="s">
        <v>10</v>
      </c>
      <c r="C116" t="str">
        <f t="shared" ca="1" si="5"/>
        <v>North</v>
      </c>
      <c r="D116" t="str">
        <f t="shared" si="6"/>
        <v>May</v>
      </c>
      <c r="E116" s="14">
        <v>100</v>
      </c>
      <c r="F1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16">
        <v>102916.7736</v>
      </c>
      <c r="H116" t="str">
        <f t="shared" ca="1" si="4"/>
        <v>Radio</v>
      </c>
      <c r="I116">
        <v>21.399857118991086</v>
      </c>
      <c r="J116">
        <f>Table16[[#This Row],[Marketing_Spend]]/Table16[[#This Row],[Units_Sold]]</f>
        <v>1029.1677360000001</v>
      </c>
    </row>
    <row r="117" spans="1:10">
      <c r="A117" s="54">
        <v>45455</v>
      </c>
      <c r="B117" s="15" t="s">
        <v>10</v>
      </c>
      <c r="C117" t="str">
        <f t="shared" ca="1" si="5"/>
        <v>West</v>
      </c>
      <c r="D117" t="str">
        <f t="shared" si="6"/>
        <v>June</v>
      </c>
      <c r="E117" s="15">
        <v>100</v>
      </c>
      <c r="F1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117">
        <v>103139.45921936868</v>
      </c>
      <c r="H117" t="str">
        <f t="shared" ca="1" si="4"/>
        <v>Radio</v>
      </c>
      <c r="I117">
        <v>23.920371597701884</v>
      </c>
      <c r="J117">
        <f>Table16[[#This Row],[Marketing_Spend]]/Table16[[#This Row],[Units_Sold]]</f>
        <v>1031.3945921936868</v>
      </c>
    </row>
    <row r="118" spans="1:10">
      <c r="A118" s="53">
        <v>45485</v>
      </c>
      <c r="B118" s="14" t="s">
        <v>12</v>
      </c>
      <c r="C118" t="str">
        <f t="shared" ca="1" si="5"/>
        <v>North</v>
      </c>
      <c r="D118" t="str">
        <f t="shared" si="6"/>
        <v>July</v>
      </c>
      <c r="E118" s="14">
        <v>106</v>
      </c>
      <c r="F1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118">
        <v>88269.374608721293</v>
      </c>
      <c r="H118" t="str">
        <f t="shared" ca="1" si="4"/>
        <v>Billboards</v>
      </c>
      <c r="I118">
        <v>65.82162213495566</v>
      </c>
      <c r="J118">
        <f>Table16[[#This Row],[Marketing_Spend]]/Table16[[#This Row],[Units_Sold]]</f>
        <v>832.7299491388801</v>
      </c>
    </row>
    <row r="119" spans="1:10">
      <c r="A119" s="54">
        <v>45515</v>
      </c>
      <c r="B119" s="15" t="s">
        <v>12</v>
      </c>
      <c r="C119" t="str">
        <f t="shared" ca="1" si="5"/>
        <v>North</v>
      </c>
      <c r="D119" t="str">
        <f t="shared" si="6"/>
        <v>August</v>
      </c>
      <c r="E119" s="15">
        <v>114</v>
      </c>
      <c r="F1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19">
        <v>104484.32808581585</v>
      </c>
      <c r="H119" t="str">
        <f t="shared" ca="1" si="4"/>
        <v>Billboards</v>
      </c>
      <c r="I119">
        <v>85.559654830884185</v>
      </c>
      <c r="J119">
        <f>Table16[[#This Row],[Marketing_Spend]]/Table16[[#This Row],[Units_Sold]]</f>
        <v>916.52919373522684</v>
      </c>
    </row>
    <row r="120" spans="1:10">
      <c r="A120" s="53">
        <v>45545</v>
      </c>
      <c r="B120" s="14" t="s">
        <v>14</v>
      </c>
      <c r="C120" t="str">
        <f t="shared" ca="1" si="5"/>
        <v>West</v>
      </c>
      <c r="D120" t="str">
        <f t="shared" si="6"/>
        <v>September</v>
      </c>
      <c r="E120" s="14">
        <v>96</v>
      </c>
      <c r="F1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20">
        <v>114292.19581273236</v>
      </c>
      <c r="H120" t="str">
        <f t="shared" ca="1" si="4"/>
        <v>Online</v>
      </c>
      <c r="I120">
        <v>46.139111245490689</v>
      </c>
      <c r="J120">
        <f>Table16[[#This Row],[Marketing_Spend]]/Table16[[#This Row],[Units_Sold]]</f>
        <v>1190.5437063826287</v>
      </c>
    </row>
    <row r="121" spans="1:10">
      <c r="A121" s="54">
        <v>45575</v>
      </c>
      <c r="B121" s="15" t="s">
        <v>13</v>
      </c>
      <c r="C121" t="str">
        <f t="shared" ca="1" si="5"/>
        <v>West</v>
      </c>
      <c r="D121" t="str">
        <f t="shared" si="6"/>
        <v>October</v>
      </c>
      <c r="E121" s="15">
        <v>102</v>
      </c>
      <c r="F1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21">
        <v>59001.174428450438</v>
      </c>
      <c r="H121" t="str">
        <f t="shared" ca="1" si="4"/>
        <v>Online</v>
      </c>
      <c r="I121">
        <v>47.969151904617775</v>
      </c>
      <c r="J121">
        <f>Table16[[#This Row],[Marketing_Spend]]/Table16[[#This Row],[Units_Sold]]</f>
        <v>578.44288655343564</v>
      </c>
    </row>
    <row r="122" spans="1:10">
      <c r="A122" s="53">
        <v>45605</v>
      </c>
      <c r="B122" s="14" t="s">
        <v>10</v>
      </c>
      <c r="C122" t="str">
        <f t="shared" ca="1" si="5"/>
        <v>South</v>
      </c>
      <c r="D122" t="str">
        <f t="shared" si="6"/>
        <v>November</v>
      </c>
      <c r="E122" s="14">
        <v>100</v>
      </c>
      <c r="F1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22">
        <v>123181.48129911795</v>
      </c>
      <c r="H122" t="str">
        <f t="shared" ca="1" si="4"/>
        <v>Print</v>
      </c>
      <c r="I122">
        <v>67.70771979974208</v>
      </c>
      <c r="J122">
        <f>Table16[[#This Row],[Marketing_Spend]]/Table16[[#This Row],[Units_Sold]]</f>
        <v>1231.8148129911795</v>
      </c>
    </row>
    <row r="123" spans="1:10">
      <c r="A123" s="54">
        <v>45635</v>
      </c>
      <c r="B123" s="15" t="s">
        <v>14</v>
      </c>
      <c r="C123" t="str">
        <f t="shared" ca="1" si="5"/>
        <v>North</v>
      </c>
      <c r="D123" t="str">
        <f t="shared" si="6"/>
        <v>December</v>
      </c>
      <c r="E123" s="15">
        <v>93</v>
      </c>
      <c r="F1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23">
        <v>93274.905226378556</v>
      </c>
      <c r="H123" t="str">
        <f t="shared" ca="1" si="4"/>
        <v>Billboards</v>
      </c>
      <c r="I123">
        <v>41.937031129931761</v>
      </c>
      <c r="J123">
        <f>Table16[[#This Row],[Marketing_Spend]]/Table16[[#This Row],[Units_Sold]]</f>
        <v>1002.9559701761135</v>
      </c>
    </row>
    <row r="124" spans="1:10">
      <c r="A124" s="53">
        <v>45665</v>
      </c>
      <c r="B124" s="14" t="s">
        <v>14</v>
      </c>
      <c r="C124" t="str">
        <f t="shared" ca="1" si="5"/>
        <v>North</v>
      </c>
      <c r="D124" t="str">
        <f t="shared" si="6"/>
        <v>January</v>
      </c>
      <c r="E124" s="14">
        <v>100</v>
      </c>
      <c r="F1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24">
        <v>108509.79866480461</v>
      </c>
      <c r="H124" t="str">
        <f t="shared" ca="1" si="4"/>
        <v>Billboards</v>
      </c>
      <c r="I124">
        <v>22.128669286214731</v>
      </c>
      <c r="J124">
        <f>Table16[[#This Row],[Marketing_Spend]]/Table16[[#This Row],[Units_Sold]]</f>
        <v>1085.0979866480461</v>
      </c>
    </row>
    <row r="125" spans="1:10">
      <c r="A125" s="54">
        <v>45695</v>
      </c>
      <c r="B125" s="15" t="s">
        <v>13</v>
      </c>
      <c r="C125" t="str">
        <f t="shared" ca="1" si="5"/>
        <v>West</v>
      </c>
      <c r="D125" t="str">
        <f t="shared" si="6"/>
        <v>February</v>
      </c>
      <c r="E125" s="15">
        <v>111</v>
      </c>
      <c r="F1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25">
        <v>123944.93847290456</v>
      </c>
      <c r="H125" t="str">
        <f t="shared" ca="1" si="4"/>
        <v>TV</v>
      </c>
      <c r="I125">
        <v>78.818281448127692</v>
      </c>
      <c r="J125">
        <f>Table16[[#This Row],[Marketing_Spend]]/Table16[[#This Row],[Units_Sold]]</f>
        <v>1116.6210673234646</v>
      </c>
    </row>
    <row r="126" spans="1:10">
      <c r="A126" s="53">
        <v>45725</v>
      </c>
      <c r="B126" s="14" t="s">
        <v>14</v>
      </c>
      <c r="C126" t="str">
        <f t="shared" ca="1" si="5"/>
        <v>West</v>
      </c>
      <c r="D126" t="str">
        <f t="shared" si="6"/>
        <v>March</v>
      </c>
      <c r="E126" s="14">
        <v>87</v>
      </c>
      <c r="F1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26">
        <v>72566.526055390685</v>
      </c>
      <c r="H126" t="str">
        <f t="shared" ca="1" si="4"/>
        <v>TV</v>
      </c>
      <c r="I126">
        <v>80.215177969999999</v>
      </c>
      <c r="J126">
        <f>Table16[[#This Row],[Marketing_Spend]]/Table16[[#This Row],[Units_Sold]]</f>
        <v>834.09800063667456</v>
      </c>
    </row>
    <row r="127" spans="1:10">
      <c r="A127" s="54">
        <v>45755</v>
      </c>
      <c r="B127" s="15" t="s">
        <v>13</v>
      </c>
      <c r="C127" t="str">
        <f t="shared" ca="1" si="5"/>
        <v>North</v>
      </c>
      <c r="D127" t="str">
        <f t="shared" si="6"/>
        <v>April</v>
      </c>
      <c r="E127" s="15">
        <v>100</v>
      </c>
      <c r="F1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27">
        <v>85811.17995144907</v>
      </c>
      <c r="H127" t="str">
        <f t="shared" ca="1" si="4"/>
        <v>Radio</v>
      </c>
      <c r="I127">
        <v>66.460479924452727</v>
      </c>
      <c r="J127">
        <f>Table16[[#This Row],[Marketing_Spend]]/Table16[[#This Row],[Units_Sold]]</f>
        <v>858.11179951449071</v>
      </c>
    </row>
    <row r="128" spans="1:10">
      <c r="A128" s="53">
        <v>45785</v>
      </c>
      <c r="B128" s="14" t="s">
        <v>11</v>
      </c>
      <c r="C128" t="str">
        <f t="shared" ca="1" si="5"/>
        <v>West</v>
      </c>
      <c r="D128" t="str">
        <f t="shared" si="6"/>
        <v>May</v>
      </c>
      <c r="E128" s="14">
        <v>104</v>
      </c>
      <c r="F1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28">
        <v>102916.7736</v>
      </c>
      <c r="H128" t="str">
        <f t="shared" ca="1" si="4"/>
        <v>Radio</v>
      </c>
      <c r="I128">
        <v>79.334730319345852</v>
      </c>
      <c r="J128">
        <f>Table16[[#This Row],[Marketing_Spend]]/Table16[[#This Row],[Units_Sold]]</f>
        <v>989.58436153846151</v>
      </c>
    </row>
    <row r="129" spans="1:10">
      <c r="A129" s="54">
        <v>45815</v>
      </c>
      <c r="B129" s="15" t="s">
        <v>13</v>
      </c>
      <c r="C129" t="str">
        <f t="shared" ca="1" si="5"/>
        <v>West</v>
      </c>
      <c r="D129" t="str">
        <f t="shared" si="6"/>
        <v>June</v>
      </c>
      <c r="E129" s="15">
        <v>78</v>
      </c>
      <c r="F1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129">
        <v>84324.92957751143</v>
      </c>
      <c r="H129" t="str">
        <f t="shared" ca="1" si="4"/>
        <v>TV</v>
      </c>
      <c r="I129">
        <v>74.018467004963</v>
      </c>
      <c r="J129">
        <f>Table16[[#This Row],[Marketing_Spend]]/Table16[[#This Row],[Units_Sold]]</f>
        <v>1081.0888407373261</v>
      </c>
    </row>
    <row r="130" spans="1:10">
      <c r="A130" s="53">
        <v>45845</v>
      </c>
      <c r="B130" s="14" t="s">
        <v>10</v>
      </c>
      <c r="C130" t="str">
        <f t="shared" ca="1" si="5"/>
        <v>South</v>
      </c>
      <c r="D130" t="str">
        <f t="shared" si="6"/>
        <v>July</v>
      </c>
      <c r="E130" s="14">
        <v>101</v>
      </c>
      <c r="F1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130">
        <v>134698.73151673615</v>
      </c>
      <c r="H130" t="str">
        <f t="shared" ref="H130:H193" ca="1" si="7">CHOOSE(RANDBETWEEN(1,5),"Online","TV","Radio","Print","Billboards")</f>
        <v>Billboards</v>
      </c>
      <c r="I130">
        <v>36.470559054265692</v>
      </c>
      <c r="J130">
        <f>Table16[[#This Row],[Marketing_Spend]]/Table16[[#This Row],[Units_Sold]]</f>
        <v>1333.6508070963976</v>
      </c>
    </row>
    <row r="131" spans="1:10">
      <c r="A131" s="54">
        <v>45875</v>
      </c>
      <c r="B131" s="15" t="s">
        <v>10</v>
      </c>
      <c r="C131" t="str">
        <f t="shared" ref="C131:C194" ca="1" si="8">CHOOSE(RANDBETWEEN(1,4),"North","South","East","West")</f>
        <v>East</v>
      </c>
      <c r="D131" t="str">
        <f t="shared" ref="D131:D194" si="9">TEXT(A131,"mmmm")</f>
        <v>August</v>
      </c>
      <c r="E131" s="15">
        <v>100</v>
      </c>
      <c r="F1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31">
        <f>128897.2893</f>
        <v>128897.2893</v>
      </c>
      <c r="H131" t="str">
        <f t="shared" ca="1" si="7"/>
        <v>Online</v>
      </c>
      <c r="I131">
        <v>48.198483755468089</v>
      </c>
      <c r="J131">
        <f>Table16[[#This Row],[Marketing_Spend]]/Table16[[#This Row],[Units_Sold]]</f>
        <v>1288.9728930000001</v>
      </c>
    </row>
    <row r="132" spans="1:10">
      <c r="A132" s="53">
        <v>45905</v>
      </c>
      <c r="B132" s="14" t="s">
        <v>13</v>
      </c>
      <c r="C132" t="str">
        <f t="shared" ca="1" si="8"/>
        <v>West</v>
      </c>
      <c r="D132" t="str">
        <f t="shared" si="9"/>
        <v>September</v>
      </c>
      <c r="E132" s="14">
        <v>109</v>
      </c>
      <c r="F1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32">
        <v>88889.064410262668</v>
      </c>
      <c r="H132" t="str">
        <f t="shared" ca="1" si="7"/>
        <v>TV</v>
      </c>
      <c r="I132">
        <v>30.08881133429</v>
      </c>
      <c r="J132">
        <f>Table16[[#This Row],[Marketing_Spend]]/Table16[[#This Row],[Units_Sold]]</f>
        <v>815.49600376387764</v>
      </c>
    </row>
    <row r="133" spans="1:10">
      <c r="A133" s="54">
        <v>45935</v>
      </c>
      <c r="B133" s="15" t="s">
        <v>11</v>
      </c>
      <c r="C133" t="str">
        <f t="shared" ca="1" si="8"/>
        <v>South</v>
      </c>
      <c r="D133" t="str">
        <f t="shared" si="9"/>
        <v>October</v>
      </c>
      <c r="E133" s="15">
        <v>98</v>
      </c>
      <c r="F1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33">
        <v>104087.78063205954</v>
      </c>
      <c r="H133" t="str">
        <f t="shared" ca="1" si="7"/>
        <v>TV</v>
      </c>
      <c r="I133">
        <v>30.388561073430481</v>
      </c>
      <c r="J133">
        <f>Table16[[#This Row],[Marketing_Spend]]/Table16[[#This Row],[Units_Sold]]</f>
        <v>1062.1202105312198</v>
      </c>
    </row>
    <row r="134" spans="1:10">
      <c r="A134" s="53">
        <v>45965</v>
      </c>
      <c r="B134" s="14" t="s">
        <v>11</v>
      </c>
      <c r="C134" t="str">
        <f t="shared" ca="1" si="8"/>
        <v>West</v>
      </c>
      <c r="D134" t="str">
        <f t="shared" si="9"/>
        <v>November</v>
      </c>
      <c r="E134" s="14">
        <v>111</v>
      </c>
      <c r="F1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34">
        <v>75957.009478478227</v>
      </c>
      <c r="H134" t="str">
        <f t="shared" ca="1" si="7"/>
        <v>Billboards</v>
      </c>
      <c r="I134">
        <v>74.095659708523129</v>
      </c>
      <c r="J134">
        <f>Table16[[#This Row],[Marketing_Spend]]/Table16[[#This Row],[Units_Sold]]</f>
        <v>684.29738268899303</v>
      </c>
    </row>
    <row r="135" spans="1:10">
      <c r="A135" s="54">
        <v>45995</v>
      </c>
      <c r="B135" s="15" t="s">
        <v>10</v>
      </c>
      <c r="C135" t="str">
        <f t="shared" ca="1" si="8"/>
        <v>East</v>
      </c>
      <c r="D135" t="str">
        <f t="shared" si="9"/>
        <v>December</v>
      </c>
      <c r="E135" s="15">
        <v>97</v>
      </c>
      <c r="F1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35">
        <f>128897.2893</f>
        <v>128897.2893</v>
      </c>
      <c r="H135" t="str">
        <f t="shared" ca="1" si="7"/>
        <v>TV</v>
      </c>
      <c r="I135">
        <v>88.688008558599861</v>
      </c>
      <c r="J135">
        <f>Table16[[#This Row],[Marketing_Spend]]/Table16[[#This Row],[Units_Sold]]</f>
        <v>1328.8380340206186</v>
      </c>
    </row>
    <row r="136" spans="1:10">
      <c r="A136" s="53">
        <v>46025</v>
      </c>
      <c r="B136" s="14" t="s">
        <v>11</v>
      </c>
      <c r="C136" t="str">
        <f t="shared" ca="1" si="8"/>
        <v>West</v>
      </c>
      <c r="D136" t="str">
        <f t="shared" si="9"/>
        <v>January</v>
      </c>
      <c r="E136" s="14">
        <v>88</v>
      </c>
      <c r="F1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36">
        <v>106349.06522500351</v>
      </c>
      <c r="H136" t="str">
        <f t="shared" ca="1" si="7"/>
        <v>Online</v>
      </c>
      <c r="I136">
        <v>97.018606708891127</v>
      </c>
      <c r="J136">
        <f>Table16[[#This Row],[Marketing_Spend]]/Table16[[#This Row],[Units_Sold]]</f>
        <v>1208.5121048295853</v>
      </c>
    </row>
    <row r="137" spans="1:10">
      <c r="A137" s="54">
        <v>46055</v>
      </c>
      <c r="B137" s="15" t="s">
        <v>14</v>
      </c>
      <c r="C137" t="str">
        <f t="shared" ca="1" si="8"/>
        <v>West</v>
      </c>
      <c r="D137" t="str">
        <f t="shared" si="9"/>
        <v>February</v>
      </c>
      <c r="E137" s="15">
        <v>101</v>
      </c>
      <c r="F1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37">
        <v>93342.79191234977</v>
      </c>
      <c r="H137" t="str">
        <f t="shared" ca="1" si="7"/>
        <v>Online</v>
      </c>
      <c r="I137">
        <v>70.267769403955555</v>
      </c>
      <c r="J137">
        <f>Table16[[#This Row],[Marketing_Spend]]/Table16[[#This Row],[Units_Sold]]</f>
        <v>924.18605853811653</v>
      </c>
    </row>
    <row r="138" spans="1:10">
      <c r="A138" s="53">
        <v>46085</v>
      </c>
      <c r="B138" s="14" t="s">
        <v>12</v>
      </c>
      <c r="C138" t="str">
        <f t="shared" ca="1" si="8"/>
        <v>North</v>
      </c>
      <c r="D138" t="str">
        <f t="shared" si="9"/>
        <v>March</v>
      </c>
      <c r="E138" s="14">
        <v>105</v>
      </c>
      <c r="F1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38">
        <v>98132.262822001037</v>
      </c>
      <c r="H138" t="str">
        <f t="shared" ca="1" si="7"/>
        <v>Online</v>
      </c>
      <c r="I138">
        <v>34.728105868876554</v>
      </c>
      <c r="J138">
        <f>Table16[[#This Row],[Marketing_Spend]]/Table16[[#This Row],[Units_Sold]]</f>
        <v>934.59297925715271</v>
      </c>
    </row>
    <row r="139" spans="1:10">
      <c r="A139" s="54">
        <v>46115</v>
      </c>
      <c r="B139" s="15" t="s">
        <v>14</v>
      </c>
      <c r="C139" t="str">
        <f t="shared" ca="1" si="8"/>
        <v>East</v>
      </c>
      <c r="D139" t="str">
        <f t="shared" si="9"/>
        <v>April</v>
      </c>
      <c r="E139" s="15">
        <v>102</v>
      </c>
      <c r="F1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39">
        <v>89413.357751032585</v>
      </c>
      <c r="H139" t="str">
        <f t="shared" ca="1" si="7"/>
        <v>Online</v>
      </c>
      <c r="I139">
        <v>28.452027635914455</v>
      </c>
      <c r="J139">
        <f>Table16[[#This Row],[Marketing_Spend]]/Table16[[#This Row],[Units_Sold]]</f>
        <v>876.6015465787508</v>
      </c>
    </row>
    <row r="140" spans="1:10">
      <c r="A140" s="53">
        <v>46145</v>
      </c>
      <c r="B140" s="14" t="s">
        <v>10</v>
      </c>
      <c r="C140" t="str">
        <f t="shared" ca="1" si="8"/>
        <v>South</v>
      </c>
      <c r="D140" t="str">
        <f t="shared" si="9"/>
        <v>May</v>
      </c>
      <c r="E140" s="14">
        <v>98</v>
      </c>
      <c r="F1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40">
        <v>69710.593816384659</v>
      </c>
      <c r="H140" t="str">
        <f t="shared" ca="1" si="7"/>
        <v>Online</v>
      </c>
      <c r="I140">
        <v>85.028077722940623</v>
      </c>
      <c r="J140">
        <f>Table16[[#This Row],[Marketing_Spend]]/Table16[[#This Row],[Units_Sold]]</f>
        <v>711.33258996310872</v>
      </c>
    </row>
    <row r="141" spans="1:10">
      <c r="A141" s="54">
        <v>46175</v>
      </c>
      <c r="B141" s="15" t="s">
        <v>11</v>
      </c>
      <c r="C141" t="str">
        <f t="shared" ca="1" si="8"/>
        <v>West</v>
      </c>
      <c r="D141" t="str">
        <f t="shared" si="9"/>
        <v>June</v>
      </c>
      <c r="E141" s="15">
        <v>96</v>
      </c>
      <c r="F1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141">
        <v>106431.86422678478</v>
      </c>
      <c r="H141" t="str">
        <f t="shared" ca="1" si="7"/>
        <v>Online</v>
      </c>
      <c r="I141">
        <v>66.300518108799935</v>
      </c>
      <c r="J141">
        <f>Table16[[#This Row],[Marketing_Spend]]/Table16[[#This Row],[Units_Sold]]</f>
        <v>1108.6652523623413</v>
      </c>
    </row>
    <row r="142" spans="1:10">
      <c r="A142" s="53">
        <v>46205</v>
      </c>
      <c r="B142" s="14" t="s">
        <v>13</v>
      </c>
      <c r="C142" t="str">
        <f t="shared" ca="1" si="8"/>
        <v>West</v>
      </c>
      <c r="D142" t="str">
        <f t="shared" si="9"/>
        <v>July</v>
      </c>
      <c r="E142" s="14">
        <v>76</v>
      </c>
      <c r="F1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142">
        <v>135098.66143294482</v>
      </c>
      <c r="H142" t="str">
        <f t="shared" ca="1" si="7"/>
        <v>Radio</v>
      </c>
      <c r="I142">
        <v>69.462801681097588</v>
      </c>
      <c r="J142">
        <f>Table16[[#This Row],[Marketing_Spend]]/Table16[[#This Row],[Units_Sold]]</f>
        <v>1777.6139662229582</v>
      </c>
    </row>
    <row r="143" spans="1:10">
      <c r="A143" s="54">
        <v>46235</v>
      </c>
      <c r="B143" s="15" t="s">
        <v>12</v>
      </c>
      <c r="C143" t="str">
        <f t="shared" ca="1" si="8"/>
        <v>South</v>
      </c>
      <c r="D143" t="str">
        <f t="shared" si="9"/>
        <v>August</v>
      </c>
      <c r="E143" s="15">
        <v>112</v>
      </c>
      <c r="F1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43">
        <v>100368.03261566877</v>
      </c>
      <c r="H143" t="str">
        <f t="shared" ca="1" si="7"/>
        <v>Radio</v>
      </c>
      <c r="I143">
        <v>82.516967100376746</v>
      </c>
      <c r="J143">
        <f>Table16[[#This Row],[Marketing_Spend]]/Table16[[#This Row],[Units_Sold]]</f>
        <v>896.14314835418543</v>
      </c>
    </row>
    <row r="144" spans="1:10">
      <c r="A144" s="53">
        <v>46265</v>
      </c>
      <c r="B144" s="14" t="s">
        <v>13</v>
      </c>
      <c r="C144" t="str">
        <f t="shared" ca="1" si="8"/>
        <v>South</v>
      </c>
      <c r="D144" t="str">
        <f t="shared" si="9"/>
        <v>August</v>
      </c>
      <c r="E144" s="14">
        <v>99</v>
      </c>
      <c r="F1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44">
        <f>128897.2893</f>
        <v>128897.2893</v>
      </c>
      <c r="H144" t="str">
        <f t="shared" ca="1" si="7"/>
        <v>Billboards</v>
      </c>
      <c r="I144">
        <v>76.262178218596119</v>
      </c>
      <c r="J144">
        <f>Table16[[#This Row],[Marketing_Spend]]/Table16[[#This Row],[Units_Sold]]</f>
        <v>1301.9928212121213</v>
      </c>
    </row>
    <row r="145" spans="1:10">
      <c r="A145" s="54">
        <v>46295</v>
      </c>
      <c r="B145" s="15" t="s">
        <v>10</v>
      </c>
      <c r="C145" t="str">
        <f t="shared" ca="1" si="8"/>
        <v>North</v>
      </c>
      <c r="D145" t="str">
        <f t="shared" si="9"/>
        <v>September</v>
      </c>
      <c r="E145" s="15">
        <v>100</v>
      </c>
      <c r="F1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45">
        <v>113854.45510233719</v>
      </c>
      <c r="H145" t="str">
        <f t="shared" ca="1" si="7"/>
        <v>Radio</v>
      </c>
      <c r="I145">
        <v>86.756660228487732</v>
      </c>
      <c r="J145">
        <f>Table16[[#This Row],[Marketing_Spend]]/Table16[[#This Row],[Units_Sold]]</f>
        <v>1138.5445510233719</v>
      </c>
    </row>
    <row r="146" spans="1:10">
      <c r="A146" s="53">
        <v>46325</v>
      </c>
      <c r="B146" s="14" t="s">
        <v>11</v>
      </c>
      <c r="C146" t="str">
        <f t="shared" ca="1" si="8"/>
        <v>North</v>
      </c>
      <c r="D146" t="str">
        <f t="shared" si="9"/>
        <v>October</v>
      </c>
      <c r="E146" s="14">
        <v>89</v>
      </c>
      <c r="F1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46">
        <v>74613.390069066023</v>
      </c>
      <c r="H146" t="str">
        <f t="shared" ca="1" si="7"/>
        <v>Radio</v>
      </c>
      <c r="I146">
        <v>24.497112436790278</v>
      </c>
      <c r="J146">
        <f>Table16[[#This Row],[Marketing_Spend]]/Table16[[#This Row],[Units_Sold]]</f>
        <v>838.3526974052362</v>
      </c>
    </row>
    <row r="147" spans="1:10">
      <c r="A147" s="54">
        <v>46355</v>
      </c>
      <c r="B147" s="15" t="s">
        <v>13</v>
      </c>
      <c r="C147" t="str">
        <f t="shared" ca="1" si="8"/>
        <v>South</v>
      </c>
      <c r="D147" t="str">
        <f t="shared" si="9"/>
        <v>November</v>
      </c>
      <c r="E147" s="15">
        <v>100</v>
      </c>
      <c r="F1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47">
        <v>134050.2931625921</v>
      </c>
      <c r="H147" t="str">
        <f t="shared" ca="1" si="7"/>
        <v>Print</v>
      </c>
      <c r="I147">
        <v>79.801650939720389</v>
      </c>
      <c r="J147">
        <f>Table16[[#This Row],[Marketing_Spend]]/Table16[[#This Row],[Units_Sold]]</f>
        <v>1340.5029316259211</v>
      </c>
    </row>
    <row r="148" spans="1:10">
      <c r="A148" s="53">
        <v>46385</v>
      </c>
      <c r="B148" s="14" t="s">
        <v>13</v>
      </c>
      <c r="C148" t="str">
        <f t="shared" ca="1" si="8"/>
        <v>West</v>
      </c>
      <c r="D148" t="str">
        <f t="shared" si="9"/>
        <v>December</v>
      </c>
      <c r="E148" s="14">
        <v>104</v>
      </c>
      <c r="F1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48">
        <v>104046.57592845603</v>
      </c>
      <c r="H148" t="str">
        <f t="shared" ca="1" si="7"/>
        <v>Radio</v>
      </c>
      <c r="I148">
        <v>88.068220585767634</v>
      </c>
      <c r="J148">
        <f>Table16[[#This Row],[Marketing_Spend]]/Table16[[#This Row],[Units_Sold]]</f>
        <v>1000.4478454659234</v>
      </c>
    </row>
    <row r="149" spans="1:10">
      <c r="A149" s="54">
        <v>46415</v>
      </c>
      <c r="B149" s="15" t="s">
        <v>12</v>
      </c>
      <c r="C149" t="str">
        <f t="shared" ca="1" si="8"/>
        <v>East</v>
      </c>
      <c r="D149" t="str">
        <f t="shared" si="9"/>
        <v>January</v>
      </c>
      <c r="E149" s="15">
        <v>96</v>
      </c>
      <c r="F1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49">
        <v>132637.13798178217</v>
      </c>
      <c r="H149" t="str">
        <f t="shared" ca="1" si="7"/>
        <v>Billboards</v>
      </c>
      <c r="I149">
        <v>42.890803396665149</v>
      </c>
      <c r="J149">
        <f>Table16[[#This Row],[Marketing_Spend]]/Table16[[#This Row],[Units_Sold]]</f>
        <v>1381.6368539768976</v>
      </c>
    </row>
    <row r="150" spans="1:10">
      <c r="A150" s="53">
        <v>46445</v>
      </c>
      <c r="B150" s="14" t="s">
        <v>12</v>
      </c>
      <c r="C150" t="str">
        <f t="shared" ca="1" si="8"/>
        <v>West</v>
      </c>
      <c r="D150" t="str">
        <f t="shared" si="9"/>
        <v>February</v>
      </c>
      <c r="E150" s="14">
        <v>100</v>
      </c>
      <c r="F1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50">
        <v>85339.340089520207</v>
      </c>
      <c r="H150" t="str">
        <f t="shared" ca="1" si="7"/>
        <v>TV</v>
      </c>
      <c r="I150">
        <v>71.235781919460237</v>
      </c>
      <c r="J150">
        <f>Table16[[#This Row],[Marketing_Spend]]/Table16[[#This Row],[Units_Sold]]</f>
        <v>853.39340089520203</v>
      </c>
    </row>
    <row r="151" spans="1:10">
      <c r="A151" s="54">
        <v>46475</v>
      </c>
      <c r="B151" s="15" t="s">
        <v>11</v>
      </c>
      <c r="C151" t="str">
        <f t="shared" ca="1" si="8"/>
        <v>North</v>
      </c>
      <c r="D151" t="str">
        <f t="shared" si="9"/>
        <v>March</v>
      </c>
      <c r="E151" s="15">
        <v>105</v>
      </c>
      <c r="F1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51">
        <v>136361.2384511565</v>
      </c>
      <c r="H151" t="str">
        <f t="shared" ca="1" si="7"/>
        <v>Print</v>
      </c>
      <c r="I151">
        <v>45.132965106957769</v>
      </c>
      <c r="J151">
        <f>Table16[[#This Row],[Marketing_Spend]]/Table16[[#This Row],[Units_Sold]]</f>
        <v>1298.6784614395858</v>
      </c>
    </row>
    <row r="152" spans="1:10">
      <c r="A152" s="53">
        <v>46505</v>
      </c>
      <c r="B152" s="14" t="s">
        <v>12</v>
      </c>
      <c r="C152" t="str">
        <f t="shared" ca="1" si="8"/>
        <v>North</v>
      </c>
      <c r="D152" t="str">
        <f t="shared" si="9"/>
        <v>April</v>
      </c>
      <c r="E152" s="14">
        <v>81</v>
      </c>
      <c r="F1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52">
        <v>115503.10988069566</v>
      </c>
      <c r="H152" t="str">
        <f t="shared" ca="1" si="7"/>
        <v>Radio</v>
      </c>
      <c r="I152">
        <v>96.637685318596326</v>
      </c>
      <c r="J152">
        <f>Table16[[#This Row],[Marketing_Spend]]/Table16[[#This Row],[Units_Sold]]</f>
        <v>1425.9643195147612</v>
      </c>
    </row>
    <row r="153" spans="1:10">
      <c r="A153" s="54">
        <v>46535</v>
      </c>
      <c r="B153" s="15" t="s">
        <v>13</v>
      </c>
      <c r="C153" t="str">
        <f t="shared" ca="1" si="8"/>
        <v>East</v>
      </c>
      <c r="D153" t="str">
        <f t="shared" si="9"/>
        <v>May</v>
      </c>
      <c r="E153" s="15">
        <v>120</v>
      </c>
      <c r="F1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53">
        <v>111060.80171704717</v>
      </c>
      <c r="H153" t="str">
        <f t="shared" ca="1" si="7"/>
        <v>Online</v>
      </c>
      <c r="I153">
        <v>22.673885794840302</v>
      </c>
      <c r="J153">
        <f>Table16[[#This Row],[Marketing_Spend]]/Table16[[#This Row],[Units_Sold]]</f>
        <v>925.50668097539312</v>
      </c>
    </row>
    <row r="154" spans="1:10">
      <c r="A154" s="53">
        <v>46565</v>
      </c>
      <c r="B154" s="14" t="s">
        <v>13</v>
      </c>
      <c r="C154" t="str">
        <f t="shared" ca="1" si="8"/>
        <v>North</v>
      </c>
      <c r="D154" t="str">
        <f t="shared" si="9"/>
        <v>June</v>
      </c>
      <c r="E154" s="14">
        <v>97</v>
      </c>
      <c r="F1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154">
        <v>104680.48908706296</v>
      </c>
      <c r="H154" t="str">
        <f t="shared" ca="1" si="7"/>
        <v>TV</v>
      </c>
      <c r="I154">
        <v>66.383427506636394</v>
      </c>
      <c r="J154">
        <f>Table16[[#This Row],[Marketing_Spend]]/Table16[[#This Row],[Units_Sold]]</f>
        <v>1079.1802998666285</v>
      </c>
    </row>
    <row r="155" spans="1:10">
      <c r="A155" s="54">
        <v>46595</v>
      </c>
      <c r="B155" s="15" t="s">
        <v>10</v>
      </c>
      <c r="C155" t="str">
        <f t="shared" ca="1" si="8"/>
        <v>West</v>
      </c>
      <c r="D155" t="str">
        <f t="shared" si="9"/>
        <v>July</v>
      </c>
      <c r="E155" s="15">
        <v>99</v>
      </c>
      <c r="F1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155">
        <v>95029.427638511013</v>
      </c>
      <c r="H155" t="str">
        <f t="shared" ca="1" si="7"/>
        <v>TV</v>
      </c>
      <c r="I155">
        <v>33.320283763961207</v>
      </c>
      <c r="J155">
        <f>Table16[[#This Row],[Marketing_Spend]]/Table16[[#This Row],[Units_Sold]]</f>
        <v>959.8932084698082</v>
      </c>
    </row>
    <row r="156" spans="1:10">
      <c r="A156" s="53">
        <v>46625</v>
      </c>
      <c r="B156" s="14" t="s">
        <v>13</v>
      </c>
      <c r="C156" t="str">
        <f t="shared" ca="1" si="8"/>
        <v>West</v>
      </c>
      <c r="D156" t="str">
        <f t="shared" si="9"/>
        <v>August</v>
      </c>
      <c r="E156" s="14">
        <v>120</v>
      </c>
      <c r="F1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56">
        <v>124010.63316947746</v>
      </c>
      <c r="H156" t="str">
        <f t="shared" ca="1" si="7"/>
        <v>Online</v>
      </c>
      <c r="I156">
        <v>80.215177969999999</v>
      </c>
      <c r="J156">
        <f>Table16[[#This Row],[Marketing_Spend]]/Table16[[#This Row],[Units_Sold]]</f>
        <v>1033.4219430789788</v>
      </c>
    </row>
    <row r="157" spans="1:10">
      <c r="A157" s="54">
        <v>46655</v>
      </c>
      <c r="B157" s="15" t="s">
        <v>11</v>
      </c>
      <c r="C157" t="str">
        <f t="shared" ca="1" si="8"/>
        <v>South</v>
      </c>
      <c r="D157" t="str">
        <f t="shared" si="9"/>
        <v>September</v>
      </c>
      <c r="E157" s="15">
        <v>90</v>
      </c>
      <c r="F1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57">
        <v>102807.19739696094</v>
      </c>
      <c r="H157" t="str">
        <f t="shared" ca="1" si="7"/>
        <v>TV</v>
      </c>
      <c r="I157">
        <v>34.071222673492969</v>
      </c>
      <c r="J157">
        <f>Table16[[#This Row],[Marketing_Spend]]/Table16[[#This Row],[Units_Sold]]</f>
        <v>1142.3021932995659</v>
      </c>
    </row>
    <row r="158" spans="1:10">
      <c r="A158" s="53">
        <v>46685</v>
      </c>
      <c r="B158" s="14" t="s">
        <v>14</v>
      </c>
      <c r="C158" t="str">
        <f t="shared" ca="1" si="8"/>
        <v>North</v>
      </c>
      <c r="D158" t="str">
        <f t="shared" si="9"/>
        <v>October</v>
      </c>
      <c r="E158" s="14">
        <v>85</v>
      </c>
      <c r="F1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58">
        <v>60658.605928256955</v>
      </c>
      <c r="H158" t="str">
        <f t="shared" ca="1" si="7"/>
        <v>Radio</v>
      </c>
      <c r="I158">
        <v>38.830660951868609</v>
      </c>
      <c r="J158">
        <f>Table16[[#This Row],[Marketing_Spend]]/Table16[[#This Row],[Units_Sold]]</f>
        <v>713.63065797949355</v>
      </c>
    </row>
    <row r="159" spans="1:10">
      <c r="A159" s="54">
        <v>46715</v>
      </c>
      <c r="B159" s="15" t="s">
        <v>10</v>
      </c>
      <c r="C159" t="str">
        <f t="shared" ca="1" si="8"/>
        <v>West</v>
      </c>
      <c r="D159" t="str">
        <f t="shared" si="9"/>
        <v>November</v>
      </c>
      <c r="E159" s="15">
        <v>84</v>
      </c>
      <c r="F1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59">
        <v>77656.270765859954</v>
      </c>
      <c r="H159" t="str">
        <f t="shared" ca="1" si="7"/>
        <v>Online</v>
      </c>
      <c r="I159">
        <v>59.549664883660647</v>
      </c>
      <c r="J159">
        <f>Table16[[#This Row],[Marketing_Spend]]/Table16[[#This Row],[Units_Sold]]</f>
        <v>924.47941387928518</v>
      </c>
    </row>
    <row r="160" spans="1:10">
      <c r="A160" s="53">
        <v>46745</v>
      </c>
      <c r="B160" s="14" t="s">
        <v>10</v>
      </c>
      <c r="C160" t="str">
        <f t="shared" ca="1" si="8"/>
        <v>North</v>
      </c>
      <c r="D160" t="str">
        <f t="shared" si="9"/>
        <v>December</v>
      </c>
      <c r="E160" s="14">
        <v>100</v>
      </c>
      <c r="F1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60">
        <v>96283.08495614506</v>
      </c>
      <c r="H160" t="str">
        <f t="shared" ca="1" si="7"/>
        <v>Print</v>
      </c>
      <c r="I160">
        <v>93.186795999750245</v>
      </c>
      <c r="J160">
        <f>Table16[[#This Row],[Marketing_Spend]]/Table16[[#This Row],[Units_Sold]]</f>
        <v>962.83084956145058</v>
      </c>
    </row>
    <row r="161" spans="1:10">
      <c r="A161" s="54">
        <v>46775</v>
      </c>
      <c r="B161" s="15" t="s">
        <v>11</v>
      </c>
      <c r="C161" t="str">
        <f t="shared" ca="1" si="8"/>
        <v>West</v>
      </c>
      <c r="D161" t="str">
        <f t="shared" si="9"/>
        <v>January</v>
      </c>
      <c r="E161" s="15">
        <v>112</v>
      </c>
      <c r="F1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61">
        <v>106199.9796633111</v>
      </c>
      <c r="H161" t="str">
        <f t="shared" ca="1" si="7"/>
        <v>TV</v>
      </c>
      <c r="I161">
        <v>36.937149771837667</v>
      </c>
      <c r="J161">
        <f>Table16[[#This Row],[Marketing_Spend]]/Table16[[#This Row],[Units_Sold]]</f>
        <v>948.21410413670617</v>
      </c>
    </row>
    <row r="162" spans="1:10">
      <c r="A162" s="53">
        <v>46805</v>
      </c>
      <c r="B162" s="14" t="s">
        <v>11</v>
      </c>
      <c r="C162" t="str">
        <f t="shared" ca="1" si="8"/>
        <v>West</v>
      </c>
      <c r="D162" t="str">
        <f t="shared" si="9"/>
        <v>February</v>
      </c>
      <c r="E162" s="14">
        <v>110</v>
      </c>
      <c r="F1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62">
        <v>98868.230222002079</v>
      </c>
      <c r="H162" t="str">
        <f t="shared" ca="1" si="7"/>
        <v>Print</v>
      </c>
      <c r="I162">
        <v>31.539201689448284</v>
      </c>
      <c r="J162">
        <f>Table16[[#This Row],[Marketing_Spend]]/Table16[[#This Row],[Units_Sold]]</f>
        <v>898.8020929272916</v>
      </c>
    </row>
    <row r="163" spans="1:10">
      <c r="A163" s="54">
        <v>46835</v>
      </c>
      <c r="B163" s="15" t="s">
        <v>12</v>
      </c>
      <c r="C163" t="str">
        <f t="shared" ca="1" si="8"/>
        <v>East</v>
      </c>
      <c r="D163" t="str">
        <f t="shared" si="9"/>
        <v>March</v>
      </c>
      <c r="E163" s="15">
        <v>86</v>
      </c>
      <c r="F1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63">
        <v>124379.41579587327</v>
      </c>
      <c r="H163" t="str">
        <f t="shared" ca="1" si="7"/>
        <v>TV</v>
      </c>
      <c r="I163">
        <v>80.718146548322451</v>
      </c>
      <c r="J163">
        <f>Table16[[#This Row],[Marketing_Spend]]/Table16[[#This Row],[Units_Sold]]</f>
        <v>1446.2722766962008</v>
      </c>
    </row>
    <row r="164" spans="1:10">
      <c r="A164" s="53">
        <v>46865</v>
      </c>
      <c r="B164" s="14" t="s">
        <v>10</v>
      </c>
      <c r="C164" t="str">
        <f t="shared" ca="1" si="8"/>
        <v>East</v>
      </c>
      <c r="D164" t="str">
        <f t="shared" si="9"/>
        <v>April</v>
      </c>
      <c r="E164" s="14">
        <v>104</v>
      </c>
      <c r="F1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64">
        <v>60977.9627192275</v>
      </c>
      <c r="H164" t="str">
        <f t="shared" ca="1" si="7"/>
        <v>Radio</v>
      </c>
      <c r="I164">
        <v>60.04956258671448</v>
      </c>
      <c r="J164">
        <f>Table16[[#This Row],[Marketing_Spend]]/Table16[[#This Row],[Units_Sold]]</f>
        <v>586.3265646079567</v>
      </c>
    </row>
    <row r="165" spans="1:10">
      <c r="A165" s="54">
        <v>46895</v>
      </c>
      <c r="B165" s="15" t="s">
        <v>12</v>
      </c>
      <c r="C165" t="str">
        <f t="shared" ca="1" si="8"/>
        <v>East</v>
      </c>
      <c r="D165" t="str">
        <f t="shared" si="9"/>
        <v>May</v>
      </c>
      <c r="E165" s="15">
        <v>107</v>
      </c>
      <c r="F1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65">
        <v>102871.7587301032</v>
      </c>
      <c r="H165" t="str">
        <f t="shared" ca="1" si="7"/>
        <v>Billboards</v>
      </c>
      <c r="I165">
        <v>92.942808990541707</v>
      </c>
      <c r="J165">
        <f>Table16[[#This Row],[Marketing_Spend]]/Table16[[#This Row],[Units_Sold]]</f>
        <v>961.41830588881498</v>
      </c>
    </row>
    <row r="166" spans="1:10">
      <c r="A166" s="53">
        <v>46925</v>
      </c>
      <c r="B166" s="14" t="s">
        <v>13</v>
      </c>
      <c r="C166" t="str">
        <f t="shared" ca="1" si="8"/>
        <v>South</v>
      </c>
      <c r="D166" t="str">
        <f t="shared" si="9"/>
        <v>June</v>
      </c>
      <c r="E166" s="14">
        <v>93</v>
      </c>
      <c r="F1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166">
        <v>63640.415492256907</v>
      </c>
      <c r="H166" t="str">
        <f t="shared" ca="1" si="7"/>
        <v>Online</v>
      </c>
      <c r="I166">
        <v>31.729164572787383</v>
      </c>
      <c r="J166">
        <f>Table16[[#This Row],[Marketing_Spend]]/Table16[[#This Row],[Units_Sold]]</f>
        <v>684.30554292749366</v>
      </c>
    </row>
    <row r="167" spans="1:10">
      <c r="A167" s="54">
        <v>46955</v>
      </c>
      <c r="B167" s="15" t="s">
        <v>10</v>
      </c>
      <c r="C167" t="str">
        <f t="shared" ca="1" si="8"/>
        <v>South</v>
      </c>
      <c r="D167" t="str">
        <f t="shared" si="9"/>
        <v>July</v>
      </c>
      <c r="E167" s="15">
        <v>108</v>
      </c>
      <c r="F1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167">
        <v>115194.24590968336</v>
      </c>
      <c r="H167" t="str">
        <f t="shared" ca="1" si="7"/>
        <v>Radio</v>
      </c>
      <c r="I167">
        <v>71.674231441843148</v>
      </c>
      <c r="J167">
        <f>Table16[[#This Row],[Marketing_Spend]]/Table16[[#This Row],[Units_Sold]]</f>
        <v>1066.6133880526238</v>
      </c>
    </row>
    <row r="168" spans="1:10">
      <c r="A168" s="53">
        <v>46985</v>
      </c>
      <c r="B168" s="14" t="s">
        <v>10</v>
      </c>
      <c r="C168" t="str">
        <f t="shared" ca="1" si="8"/>
        <v>West</v>
      </c>
      <c r="D168" t="str">
        <f t="shared" si="9"/>
        <v>August</v>
      </c>
      <c r="E168" s="14">
        <v>96</v>
      </c>
      <c r="F1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68">
        <v>98110.825711159938</v>
      </c>
      <c r="H168" t="str">
        <f t="shared" ca="1" si="7"/>
        <v>Print</v>
      </c>
      <c r="I168">
        <v>38.630331692145205</v>
      </c>
      <c r="J168">
        <f>Table16[[#This Row],[Marketing_Spend]]/Table16[[#This Row],[Units_Sold]]</f>
        <v>1021.9877678245826</v>
      </c>
    </row>
    <row r="169" spans="1:10">
      <c r="A169" s="54">
        <v>47015</v>
      </c>
      <c r="B169" s="15" t="s">
        <v>14</v>
      </c>
      <c r="C169" t="str">
        <f t="shared" ca="1" si="8"/>
        <v>South</v>
      </c>
      <c r="D169" t="str">
        <f t="shared" si="9"/>
        <v>September</v>
      </c>
      <c r="E169" s="15">
        <v>95</v>
      </c>
      <c r="F1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69">
        <f>128897.2893</f>
        <v>128897.2893</v>
      </c>
      <c r="H169" t="str">
        <f t="shared" ca="1" si="7"/>
        <v>Billboards</v>
      </c>
      <c r="I169">
        <v>32.540834292131144</v>
      </c>
      <c r="J169">
        <f>Table16[[#This Row],[Marketing_Spend]]/Table16[[#This Row],[Units_Sold]]</f>
        <v>1356.8135715789474</v>
      </c>
    </row>
    <row r="170" spans="1:10">
      <c r="A170" s="53">
        <v>47045</v>
      </c>
      <c r="B170" s="14" t="s">
        <v>10</v>
      </c>
      <c r="C170" t="str">
        <f t="shared" ca="1" si="8"/>
        <v>West</v>
      </c>
      <c r="D170" t="str">
        <f t="shared" si="9"/>
        <v>October</v>
      </c>
      <c r="E170" s="14">
        <v>112</v>
      </c>
      <c r="F1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70">
        <v>82722.340788204674</v>
      </c>
      <c r="H170" t="str">
        <f t="shared" ca="1" si="7"/>
        <v>Radio</v>
      </c>
      <c r="I170">
        <v>74.67435321258165</v>
      </c>
      <c r="J170">
        <f>Table16[[#This Row],[Marketing_Spend]]/Table16[[#This Row],[Units_Sold]]</f>
        <v>738.59232846611314</v>
      </c>
    </row>
    <row r="171" spans="1:10">
      <c r="A171" s="54">
        <v>47075</v>
      </c>
      <c r="B171" s="15" t="s">
        <v>13</v>
      </c>
      <c r="C171" t="str">
        <f t="shared" ca="1" si="8"/>
        <v>East</v>
      </c>
      <c r="D171" t="str">
        <f t="shared" si="9"/>
        <v>November</v>
      </c>
      <c r="E171" s="15">
        <v>108</v>
      </c>
      <c r="F1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71">
        <v>125589.29863315502</v>
      </c>
      <c r="H171" t="str">
        <f t="shared" ca="1" si="7"/>
        <v>TV</v>
      </c>
      <c r="I171">
        <v>67.49476959269866</v>
      </c>
      <c r="J171">
        <f>Table16[[#This Row],[Marketing_Spend]]/Table16[[#This Row],[Units_Sold]]</f>
        <v>1162.8638762329169</v>
      </c>
    </row>
    <row r="172" spans="1:10">
      <c r="A172" s="53">
        <v>47105</v>
      </c>
      <c r="B172" s="14" t="s">
        <v>12</v>
      </c>
      <c r="C172" t="str">
        <f t="shared" ca="1" si="8"/>
        <v>West</v>
      </c>
      <c r="D172" t="str">
        <f t="shared" si="9"/>
        <v>December</v>
      </c>
      <c r="E172" s="14">
        <v>85</v>
      </c>
      <c r="F1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72">
        <v>120834.49328117703</v>
      </c>
      <c r="H172" t="str">
        <f t="shared" ca="1" si="7"/>
        <v>Billboards</v>
      </c>
      <c r="I172">
        <v>80.3861966689865</v>
      </c>
      <c r="J172">
        <f>Table16[[#This Row],[Marketing_Spend]]/Table16[[#This Row],[Units_Sold]]</f>
        <v>1421.5822738962004</v>
      </c>
    </row>
    <row r="173" spans="1:10">
      <c r="A173" s="54">
        <v>47135</v>
      </c>
      <c r="B173" s="15" t="s">
        <v>12</v>
      </c>
      <c r="C173" t="str">
        <f t="shared" ca="1" si="8"/>
        <v>North</v>
      </c>
      <c r="D173" t="str">
        <f t="shared" si="9"/>
        <v>January</v>
      </c>
      <c r="E173" s="15">
        <v>100</v>
      </c>
      <c r="F1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73">
        <v>111670.88606023775</v>
      </c>
      <c r="H173" t="str">
        <f t="shared" ca="1" si="7"/>
        <v>Online</v>
      </c>
      <c r="I173">
        <v>44.757006115694587</v>
      </c>
      <c r="J173">
        <f>Table16[[#This Row],[Marketing_Spend]]/Table16[[#This Row],[Units_Sold]]</f>
        <v>1116.7088606023776</v>
      </c>
    </row>
    <row r="174" spans="1:10">
      <c r="A174" s="53">
        <v>47165</v>
      </c>
      <c r="B174" s="14" t="s">
        <v>14</v>
      </c>
      <c r="C174" t="str">
        <f t="shared" ca="1" si="8"/>
        <v>North</v>
      </c>
      <c r="D174" t="str">
        <f t="shared" si="9"/>
        <v>February</v>
      </c>
      <c r="E174" s="14">
        <v>95</v>
      </c>
      <c r="F1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74">
        <f>128897.2893</f>
        <v>128897.2893</v>
      </c>
      <c r="H174" t="str">
        <f t="shared" ca="1" si="7"/>
        <v>Online</v>
      </c>
      <c r="I174">
        <v>55.837732510575194</v>
      </c>
      <c r="J174">
        <f>Table16[[#This Row],[Marketing_Spend]]/Table16[[#This Row],[Units_Sold]]</f>
        <v>1356.8135715789474</v>
      </c>
    </row>
    <row r="175" spans="1:10">
      <c r="A175" s="54">
        <v>47195</v>
      </c>
      <c r="B175" s="15" t="s">
        <v>13</v>
      </c>
      <c r="C175" t="str">
        <f t="shared" ca="1" si="8"/>
        <v>North</v>
      </c>
      <c r="D175" t="str">
        <f t="shared" si="9"/>
        <v>March</v>
      </c>
      <c r="E175" s="15">
        <v>97</v>
      </c>
      <c r="F1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75">
        <v>111597.14570590264</v>
      </c>
      <c r="H175" t="str">
        <f t="shared" ca="1" si="7"/>
        <v>Radio</v>
      </c>
      <c r="I175">
        <v>52.437734106433481</v>
      </c>
      <c r="J175">
        <f>Table16[[#This Row],[Marketing_Spend]]/Table16[[#This Row],[Units_Sold]]</f>
        <v>1150.4860382051818</v>
      </c>
    </row>
    <row r="176" spans="1:10">
      <c r="A176" s="53">
        <v>47225</v>
      </c>
      <c r="B176" s="14" t="s">
        <v>12</v>
      </c>
      <c r="C176" t="str">
        <f t="shared" ca="1" si="8"/>
        <v>West</v>
      </c>
      <c r="D176" t="str">
        <f t="shared" si="9"/>
        <v>April</v>
      </c>
      <c r="E176" s="14">
        <v>116</v>
      </c>
      <c r="F1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76">
        <v>85862.148640253028</v>
      </c>
      <c r="H176" t="str">
        <f t="shared" ca="1" si="7"/>
        <v>Online</v>
      </c>
      <c r="I176">
        <v>65.454227669999995</v>
      </c>
      <c r="J176">
        <f>Table16[[#This Row],[Marketing_Spend]]/Table16[[#This Row],[Units_Sold]]</f>
        <v>740.19093655390543</v>
      </c>
    </row>
    <row r="177" spans="1:10">
      <c r="A177" s="54">
        <v>47255</v>
      </c>
      <c r="B177" s="15" t="s">
        <v>11</v>
      </c>
      <c r="C177" t="str">
        <f t="shared" ca="1" si="8"/>
        <v>West</v>
      </c>
      <c r="D177" t="str">
        <f t="shared" si="9"/>
        <v>May</v>
      </c>
      <c r="E177" s="15">
        <v>95</v>
      </c>
      <c r="F1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77">
        <v>117111.11318041425</v>
      </c>
      <c r="H177" t="str">
        <f t="shared" ca="1" si="7"/>
        <v>TV</v>
      </c>
      <c r="I177">
        <v>43.379916539151033</v>
      </c>
      <c r="J177">
        <f>Table16[[#This Row],[Marketing_Spend]]/Table16[[#This Row],[Units_Sold]]</f>
        <v>1232.7485597938341</v>
      </c>
    </row>
    <row r="178" spans="1:10">
      <c r="A178" s="53">
        <v>47285</v>
      </c>
      <c r="B178" s="14" t="s">
        <v>13</v>
      </c>
      <c r="C178" t="str">
        <f t="shared" ca="1" si="8"/>
        <v>South</v>
      </c>
      <c r="D178" t="str">
        <f t="shared" si="9"/>
        <v>June</v>
      </c>
      <c r="E178" s="14">
        <v>123</v>
      </c>
      <c r="F1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178">
        <v>132989.61788647843</v>
      </c>
      <c r="H178" t="str">
        <f t="shared" ca="1" si="7"/>
        <v>Billboards</v>
      </c>
      <c r="I178">
        <v>43.58537906774135</v>
      </c>
      <c r="J178">
        <f>Table16[[#This Row],[Marketing_Spend]]/Table16[[#This Row],[Units_Sold]]</f>
        <v>1081.2164055811254</v>
      </c>
    </row>
    <row r="179" spans="1:10">
      <c r="A179" s="54">
        <v>47315</v>
      </c>
      <c r="B179" s="15" t="s">
        <v>13</v>
      </c>
      <c r="C179" t="str">
        <f t="shared" ca="1" si="8"/>
        <v>North</v>
      </c>
      <c r="D179" t="str">
        <f t="shared" si="9"/>
        <v>July</v>
      </c>
      <c r="E179" s="15">
        <v>104</v>
      </c>
      <c r="F1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179">
        <v>121412.21119958372</v>
      </c>
      <c r="H179" t="str">
        <f t="shared" ca="1" si="7"/>
        <v>Radio</v>
      </c>
      <c r="I179">
        <v>80.215177969999999</v>
      </c>
      <c r="J179">
        <f>Table16[[#This Row],[Marketing_Spend]]/Table16[[#This Row],[Units_Sold]]</f>
        <v>1167.4251076883049</v>
      </c>
    </row>
    <row r="180" spans="1:10">
      <c r="A180" s="53">
        <v>47345</v>
      </c>
      <c r="B180" s="14" t="s">
        <v>14</v>
      </c>
      <c r="C180" t="str">
        <f t="shared" ca="1" si="8"/>
        <v>South</v>
      </c>
      <c r="D180" t="str">
        <f t="shared" si="9"/>
        <v>August</v>
      </c>
      <c r="E180" s="14">
        <v>94</v>
      </c>
      <c r="F1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80">
        <v>85407.950603851816</v>
      </c>
      <c r="H180" t="str">
        <f t="shared" ca="1" si="7"/>
        <v>Radio</v>
      </c>
      <c r="I180">
        <v>65.16752650322573</v>
      </c>
      <c r="J180">
        <f>Table16[[#This Row],[Marketing_Spend]]/Table16[[#This Row],[Units_Sold]]</f>
        <v>908.59521918991288</v>
      </c>
    </row>
    <row r="181" spans="1:10">
      <c r="A181" s="54">
        <v>47375</v>
      </c>
      <c r="B181" s="15" t="s">
        <v>12</v>
      </c>
      <c r="C181" t="str">
        <f t="shared" ca="1" si="8"/>
        <v>North</v>
      </c>
      <c r="D181" t="str">
        <f t="shared" si="9"/>
        <v>September</v>
      </c>
      <c r="E181" s="15">
        <v>105</v>
      </c>
      <c r="F1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81">
        <v>102916.7736</v>
      </c>
      <c r="H181" t="str">
        <f t="shared" ca="1" si="7"/>
        <v>Print</v>
      </c>
      <c r="I181">
        <v>40.185819541099619</v>
      </c>
      <c r="J181">
        <f>Table16[[#This Row],[Marketing_Spend]]/Table16[[#This Row],[Units_Sold]]</f>
        <v>980.15974857142862</v>
      </c>
    </row>
    <row r="182" spans="1:10">
      <c r="A182" s="53">
        <v>47405</v>
      </c>
      <c r="B182" s="14" t="s">
        <v>13</v>
      </c>
      <c r="C182" t="str">
        <f t="shared" ca="1" si="8"/>
        <v>North</v>
      </c>
      <c r="D182" t="str">
        <f t="shared" si="9"/>
        <v>October</v>
      </c>
      <c r="E182" s="14">
        <v>109</v>
      </c>
      <c r="F1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82">
        <v>74137.169124827051</v>
      </c>
      <c r="H182" t="str">
        <f t="shared" ca="1" si="7"/>
        <v>Online</v>
      </c>
      <c r="I182">
        <v>93.223195230341915</v>
      </c>
      <c r="J182">
        <f>Table16[[#This Row],[Marketing_Spend]]/Table16[[#This Row],[Units_Sold]]</f>
        <v>680.15751490667014</v>
      </c>
    </row>
    <row r="183" spans="1:10">
      <c r="A183" s="54">
        <v>47435</v>
      </c>
      <c r="B183" s="15" t="s">
        <v>12</v>
      </c>
      <c r="C183" t="str">
        <f t="shared" ca="1" si="8"/>
        <v>South</v>
      </c>
      <c r="D183" t="str">
        <f t="shared" si="9"/>
        <v>November</v>
      </c>
      <c r="E183" s="15">
        <v>84</v>
      </c>
      <c r="F1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83">
        <v>111447.80622351351</v>
      </c>
      <c r="H183" t="str">
        <f t="shared" ca="1" si="7"/>
        <v>TV</v>
      </c>
      <c r="I183">
        <v>41.254845189301079</v>
      </c>
      <c r="J183">
        <f>Table16[[#This Row],[Marketing_Spend]]/Table16[[#This Row],[Units_Sold]]</f>
        <v>1326.7595978989705</v>
      </c>
    </row>
    <row r="184" spans="1:10">
      <c r="A184" s="53">
        <v>47465</v>
      </c>
      <c r="B184" s="14" t="s">
        <v>11</v>
      </c>
      <c r="C184" t="str">
        <f t="shared" ca="1" si="8"/>
        <v>West</v>
      </c>
      <c r="D184" t="str">
        <f t="shared" si="9"/>
        <v>December</v>
      </c>
      <c r="E184" s="14">
        <v>79</v>
      </c>
      <c r="F1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84">
        <v>109012.06825725078</v>
      </c>
      <c r="H184" t="str">
        <f t="shared" ca="1" si="7"/>
        <v>Online</v>
      </c>
      <c r="I184">
        <v>91.66525852481557</v>
      </c>
      <c r="J184">
        <f>Table16[[#This Row],[Marketing_Spend]]/Table16[[#This Row],[Units_Sold]]</f>
        <v>1379.899598193048</v>
      </c>
    </row>
    <row r="185" spans="1:10">
      <c r="A185" s="54">
        <v>47495</v>
      </c>
      <c r="B185" s="15" t="s">
        <v>14</v>
      </c>
      <c r="C185" t="str">
        <f t="shared" ca="1" si="8"/>
        <v>East</v>
      </c>
      <c r="D185" t="str">
        <f t="shared" si="9"/>
        <v>January</v>
      </c>
      <c r="E185" s="15">
        <v>98</v>
      </c>
      <c r="F1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85">
        <v>62603.673209356719</v>
      </c>
      <c r="H185" t="str">
        <f t="shared" ca="1" si="7"/>
        <v>Billboards</v>
      </c>
      <c r="I185">
        <v>28.278005091726772</v>
      </c>
      <c r="J185">
        <f>Table16[[#This Row],[Marketing_Spend]]/Table16[[#This Row],[Units_Sold]]</f>
        <v>638.81299193221139</v>
      </c>
    </row>
    <row r="186" spans="1:10">
      <c r="A186" s="53">
        <v>47525</v>
      </c>
      <c r="B186" s="14" t="s">
        <v>11</v>
      </c>
      <c r="C186" t="str">
        <f t="shared" ca="1" si="8"/>
        <v>East</v>
      </c>
      <c r="D186" t="str">
        <f t="shared" si="9"/>
        <v>February</v>
      </c>
      <c r="E186" s="14">
        <v>96</v>
      </c>
      <c r="F1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86">
        <v>76764.323121752721</v>
      </c>
      <c r="H186" t="str">
        <f t="shared" ca="1" si="7"/>
        <v>Radio</v>
      </c>
      <c r="I186">
        <v>72.525016191972185</v>
      </c>
      <c r="J186">
        <f>Table16[[#This Row],[Marketing_Spend]]/Table16[[#This Row],[Units_Sold]]</f>
        <v>799.62836585159084</v>
      </c>
    </row>
    <row r="187" spans="1:10">
      <c r="A187" s="54">
        <v>47555</v>
      </c>
      <c r="B187" s="15" t="s">
        <v>14</v>
      </c>
      <c r="C187" t="str">
        <f t="shared" ca="1" si="8"/>
        <v>South</v>
      </c>
      <c r="D187" t="str">
        <f t="shared" si="9"/>
        <v>March</v>
      </c>
      <c r="E187" s="15">
        <v>88</v>
      </c>
      <c r="F1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87">
        <v>94337.222065124661</v>
      </c>
      <c r="H187" t="str">
        <f t="shared" ca="1" si="7"/>
        <v>Radio</v>
      </c>
      <c r="I187">
        <v>65.454227669999995</v>
      </c>
      <c r="J187">
        <f>Table16[[#This Row],[Marketing_Spend]]/Table16[[#This Row],[Units_Sold]]</f>
        <v>1072.0138871036893</v>
      </c>
    </row>
    <row r="188" spans="1:10">
      <c r="A188" s="53">
        <v>47585</v>
      </c>
      <c r="B188" s="14" t="s">
        <v>13</v>
      </c>
      <c r="C188" t="str">
        <f t="shared" ca="1" si="8"/>
        <v>East</v>
      </c>
      <c r="D188" t="str">
        <f t="shared" si="9"/>
        <v>April</v>
      </c>
      <c r="E188" s="14">
        <v>103</v>
      </c>
      <c r="F1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188">
        <v>93982.805057183476</v>
      </c>
      <c r="H188" t="str">
        <f t="shared" ca="1" si="7"/>
        <v>Radio</v>
      </c>
      <c r="I188">
        <v>33.499955071858366</v>
      </c>
      <c r="J188">
        <f>Table16[[#This Row],[Marketing_Spend]]/Table16[[#This Row],[Units_Sold]]</f>
        <v>912.4544180309075</v>
      </c>
    </row>
    <row r="189" spans="1:10">
      <c r="A189" s="54">
        <v>47615</v>
      </c>
      <c r="B189" s="15" t="s">
        <v>14</v>
      </c>
      <c r="C189" t="str">
        <f t="shared" ca="1" si="8"/>
        <v>North</v>
      </c>
      <c r="D189" t="str">
        <f t="shared" si="9"/>
        <v>May</v>
      </c>
      <c r="E189" s="15">
        <v>83</v>
      </c>
      <c r="F1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189">
        <v>75810.461291623898</v>
      </c>
      <c r="H189" t="str">
        <f t="shared" ca="1" si="7"/>
        <v>TV</v>
      </c>
      <c r="I189">
        <v>97.466156807940393</v>
      </c>
      <c r="J189">
        <f>Table16[[#This Row],[Marketing_Spend]]/Table16[[#This Row],[Units_Sold]]</f>
        <v>913.379051706312</v>
      </c>
    </row>
    <row r="190" spans="1:10">
      <c r="A190" s="53">
        <v>47645</v>
      </c>
      <c r="B190" s="14" t="s">
        <v>10</v>
      </c>
      <c r="C190" t="str">
        <f t="shared" ca="1" si="8"/>
        <v>West</v>
      </c>
      <c r="D190" t="str">
        <f t="shared" si="9"/>
        <v>June</v>
      </c>
      <c r="E190" s="14">
        <v>82</v>
      </c>
      <c r="F1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190">
        <v>107779.57458704368</v>
      </c>
      <c r="H190" t="str">
        <f t="shared" ca="1" si="7"/>
        <v>Print</v>
      </c>
      <c r="I190">
        <v>56.230668833240934</v>
      </c>
      <c r="J190">
        <f>Table16[[#This Row],[Marketing_Spend]]/Table16[[#This Row],[Units_Sold]]</f>
        <v>1314.3850559395571</v>
      </c>
    </row>
    <row r="191" spans="1:10">
      <c r="A191" s="54">
        <v>47675</v>
      </c>
      <c r="B191" s="15" t="s">
        <v>12</v>
      </c>
      <c r="C191" t="str">
        <f t="shared" ca="1" si="8"/>
        <v>West</v>
      </c>
      <c r="D191" t="str">
        <f t="shared" si="9"/>
        <v>July</v>
      </c>
      <c r="E191" s="15">
        <v>106</v>
      </c>
      <c r="F1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191">
        <v>105029.47217881025</v>
      </c>
      <c r="H191" t="str">
        <f t="shared" ca="1" si="7"/>
        <v>Online</v>
      </c>
      <c r="I191">
        <v>80.215177969999999</v>
      </c>
      <c r="J191">
        <f>Table16[[#This Row],[Marketing_Spend]]/Table16[[#This Row],[Units_Sold]]</f>
        <v>990.8440771585872</v>
      </c>
    </row>
    <row r="192" spans="1:10">
      <c r="A192" s="53">
        <v>47705</v>
      </c>
      <c r="B192" s="14" t="s">
        <v>12</v>
      </c>
      <c r="C192" t="str">
        <f t="shared" ca="1" si="8"/>
        <v>South</v>
      </c>
      <c r="D192" t="str">
        <f t="shared" si="9"/>
        <v>August</v>
      </c>
      <c r="E192" s="14">
        <v>96</v>
      </c>
      <c r="F1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192">
        <v>96114.61736042962</v>
      </c>
      <c r="H192" t="str">
        <f t="shared" ca="1" si="7"/>
        <v>Billboards</v>
      </c>
      <c r="I192">
        <v>74.145603490403758</v>
      </c>
      <c r="J192">
        <f>Table16[[#This Row],[Marketing_Spend]]/Table16[[#This Row],[Units_Sold]]</f>
        <v>1001.1939308378086</v>
      </c>
    </row>
    <row r="193" spans="1:10">
      <c r="A193" s="54">
        <v>47735</v>
      </c>
      <c r="B193" s="15" t="s">
        <v>10</v>
      </c>
      <c r="C193" t="str">
        <f t="shared" ca="1" si="8"/>
        <v>West</v>
      </c>
      <c r="D193" t="str">
        <f t="shared" si="9"/>
        <v>September</v>
      </c>
      <c r="E193" s="15">
        <v>96</v>
      </c>
      <c r="F1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193">
        <v>84884.169996832745</v>
      </c>
      <c r="H193" t="str">
        <f t="shared" ca="1" si="7"/>
        <v>TV</v>
      </c>
      <c r="I193">
        <v>44.12694958988412</v>
      </c>
      <c r="J193">
        <f>Table16[[#This Row],[Marketing_Spend]]/Table16[[#This Row],[Units_Sold]]</f>
        <v>884.21010413367446</v>
      </c>
    </row>
    <row r="194" spans="1:10">
      <c r="A194" s="53">
        <v>47765</v>
      </c>
      <c r="B194" s="14" t="s">
        <v>11</v>
      </c>
      <c r="C194" t="str">
        <f t="shared" ca="1" si="8"/>
        <v>South</v>
      </c>
      <c r="D194" t="str">
        <f t="shared" si="9"/>
        <v>October</v>
      </c>
      <c r="E194" s="14">
        <v>109</v>
      </c>
      <c r="F1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194">
        <v>120974.14252833127</v>
      </c>
      <c r="H194" t="str">
        <f t="shared" ref="H194:H257" ca="1" si="10">CHOOSE(RANDBETWEEN(1,5),"Online","TV","Radio","Print","Billboards")</f>
        <v>TV</v>
      </c>
      <c r="I194">
        <v>35.064201993368513</v>
      </c>
      <c r="J194">
        <f>Table16[[#This Row],[Marketing_Spend]]/Table16[[#This Row],[Units_Sold]]</f>
        <v>1109.8545186085437</v>
      </c>
    </row>
    <row r="195" spans="1:10">
      <c r="A195" s="54">
        <v>47795</v>
      </c>
      <c r="B195" s="15" t="s">
        <v>10</v>
      </c>
      <c r="C195" t="str">
        <f t="shared" ref="C195:C258" ca="1" si="11">CHOOSE(RANDBETWEEN(1,4),"North","South","East","West")</f>
        <v>South</v>
      </c>
      <c r="D195" t="str">
        <f t="shared" ref="D195:D258" si="12">TEXT(A195,"mmmm")</f>
        <v>November</v>
      </c>
      <c r="E195" s="15">
        <v>98</v>
      </c>
      <c r="F1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195">
        <v>133108.1422617659</v>
      </c>
      <c r="H195" t="str">
        <f t="shared" ca="1" si="10"/>
        <v>Radio</v>
      </c>
      <c r="I195">
        <v>44.298803698007951</v>
      </c>
      <c r="J195">
        <f>Table16[[#This Row],[Marketing_Spend]]/Table16[[#This Row],[Units_Sold]]</f>
        <v>1358.246349609856</v>
      </c>
    </row>
    <row r="196" spans="1:10">
      <c r="A196" s="53">
        <v>47825</v>
      </c>
      <c r="B196" s="14" t="s">
        <v>13</v>
      </c>
      <c r="C196" t="str">
        <f t="shared" ca="1" si="11"/>
        <v>North</v>
      </c>
      <c r="D196" t="str">
        <f t="shared" si="12"/>
        <v>December</v>
      </c>
      <c r="E196" s="14">
        <v>86</v>
      </c>
      <c r="F1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196">
        <f>128897.2893</f>
        <v>128897.2893</v>
      </c>
      <c r="H196" t="str">
        <f t="shared" ca="1" si="10"/>
        <v>Print</v>
      </c>
      <c r="I196">
        <v>27.441392741013999</v>
      </c>
      <c r="J196">
        <f>Table16[[#This Row],[Marketing_Spend]]/Table16[[#This Row],[Units_Sold]]</f>
        <v>1498.8056895348839</v>
      </c>
    </row>
    <row r="197" spans="1:10">
      <c r="A197" s="54">
        <v>47855</v>
      </c>
      <c r="B197" s="15" t="s">
        <v>13</v>
      </c>
      <c r="C197" t="str">
        <f t="shared" ca="1" si="11"/>
        <v>South</v>
      </c>
      <c r="D197" t="str">
        <f t="shared" si="12"/>
        <v>January</v>
      </c>
      <c r="E197" s="15">
        <v>79</v>
      </c>
      <c r="F1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197">
        <v>87756.661656903583</v>
      </c>
      <c r="H197" t="str">
        <f t="shared" ca="1" si="10"/>
        <v>TV</v>
      </c>
      <c r="I197">
        <v>31.509437307466381</v>
      </c>
      <c r="J197">
        <f>Table16[[#This Row],[Marketing_Spend]]/Table16[[#This Row],[Units_Sold]]</f>
        <v>1110.8438184418176</v>
      </c>
    </row>
    <row r="198" spans="1:10">
      <c r="A198" s="53">
        <v>47885</v>
      </c>
      <c r="B198" s="14" t="s">
        <v>12</v>
      </c>
      <c r="C198" t="str">
        <f t="shared" ca="1" si="11"/>
        <v>East</v>
      </c>
      <c r="D198" t="str">
        <f t="shared" si="12"/>
        <v>February</v>
      </c>
      <c r="E198" s="14">
        <v>86</v>
      </c>
      <c r="F1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198">
        <v>109824.15330823993</v>
      </c>
      <c r="H198" t="str">
        <f t="shared" ca="1" si="10"/>
        <v>Print</v>
      </c>
      <c r="I198">
        <v>28.37283522771849</v>
      </c>
      <c r="J198">
        <f>Table16[[#This Row],[Marketing_Spend]]/Table16[[#This Row],[Units_Sold]]</f>
        <v>1277.0250384679061</v>
      </c>
    </row>
    <row r="199" spans="1:10">
      <c r="A199" s="54">
        <v>47915</v>
      </c>
      <c r="B199" s="15" t="s">
        <v>13</v>
      </c>
      <c r="C199" t="str">
        <f t="shared" ca="1" si="11"/>
        <v>East</v>
      </c>
      <c r="D199" t="str">
        <f t="shared" si="12"/>
        <v>March</v>
      </c>
      <c r="E199" s="15">
        <v>108</v>
      </c>
      <c r="F1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199">
        <v>92839.41240506027</v>
      </c>
      <c r="H199" t="str">
        <f t="shared" ca="1" si="10"/>
        <v>Online</v>
      </c>
      <c r="I199">
        <v>53.835483499324617</v>
      </c>
      <c r="J199">
        <f>Table16[[#This Row],[Marketing_Spend]]/Table16[[#This Row],[Units_Sold]]</f>
        <v>859.62418893574329</v>
      </c>
    </row>
    <row r="200" spans="1:10">
      <c r="A200" s="53">
        <v>47945</v>
      </c>
      <c r="B200" s="14" t="s">
        <v>12</v>
      </c>
      <c r="C200" t="str">
        <f t="shared" ca="1" si="11"/>
        <v>West</v>
      </c>
      <c r="D200" t="str">
        <f t="shared" si="12"/>
        <v>April</v>
      </c>
      <c r="E200" s="14">
        <v>100</v>
      </c>
      <c r="F2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00">
        <v>97212.055986735315</v>
      </c>
      <c r="H200" t="str">
        <f t="shared" ca="1" si="10"/>
        <v>TV</v>
      </c>
      <c r="I200">
        <v>83.646270100606912</v>
      </c>
      <c r="J200">
        <f>Table16[[#This Row],[Marketing_Spend]]/Table16[[#This Row],[Units_Sold]]</f>
        <v>972.12055986735311</v>
      </c>
    </row>
    <row r="201" spans="1:10">
      <c r="A201" s="54">
        <v>47975</v>
      </c>
      <c r="B201" s="15" t="s">
        <v>10</v>
      </c>
      <c r="C201" t="str">
        <f t="shared" ca="1" si="11"/>
        <v>North</v>
      </c>
      <c r="D201" t="str">
        <f t="shared" si="12"/>
        <v>May</v>
      </c>
      <c r="E201" s="15">
        <v>93</v>
      </c>
      <c r="F2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01">
        <v>114793.06303449343</v>
      </c>
      <c r="H201" t="str">
        <f t="shared" ca="1" si="10"/>
        <v>Billboards</v>
      </c>
      <c r="I201">
        <v>31.310684337307215</v>
      </c>
      <c r="J201">
        <f>Table16[[#This Row],[Marketing_Spend]]/Table16[[#This Row],[Units_Sold]]</f>
        <v>1234.3340111235852</v>
      </c>
    </row>
    <row r="202" spans="1:10">
      <c r="A202" s="53">
        <v>48005</v>
      </c>
      <c r="B202" s="14" t="s">
        <v>10</v>
      </c>
      <c r="C202" t="str">
        <f t="shared" ca="1" si="11"/>
        <v>East</v>
      </c>
      <c r="D202" t="str">
        <f t="shared" si="12"/>
        <v>June</v>
      </c>
      <c r="E202" s="14">
        <v>82</v>
      </c>
      <c r="F2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02">
        <v>61812.87824985414</v>
      </c>
      <c r="H202" t="str">
        <f t="shared" ca="1" si="10"/>
        <v>TV</v>
      </c>
      <c r="I202">
        <v>30.425634653786872</v>
      </c>
      <c r="J202">
        <f>Table16[[#This Row],[Marketing_Spend]]/Table16[[#This Row],[Units_Sold]]</f>
        <v>753.81558841285539</v>
      </c>
    </row>
    <row r="203" spans="1:10">
      <c r="A203" s="54">
        <v>48035</v>
      </c>
      <c r="B203" s="15" t="s">
        <v>10</v>
      </c>
      <c r="C203" t="str">
        <f t="shared" ca="1" si="11"/>
        <v>East</v>
      </c>
      <c r="D203" t="str">
        <f t="shared" si="12"/>
        <v>July</v>
      </c>
      <c r="E203" s="15">
        <v>104</v>
      </c>
      <c r="F2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03">
        <v>126366.04649705338</v>
      </c>
      <c r="H203" t="str">
        <f t="shared" ca="1" si="10"/>
        <v>Billboards</v>
      </c>
      <c r="I203">
        <v>71.474315961386452</v>
      </c>
      <c r="J203">
        <f>Table16[[#This Row],[Marketing_Spend]]/Table16[[#This Row],[Units_Sold]]</f>
        <v>1215.0581393947441</v>
      </c>
    </row>
    <row r="204" spans="1:10">
      <c r="A204" s="53">
        <v>48065</v>
      </c>
      <c r="B204" s="14" t="s">
        <v>12</v>
      </c>
      <c r="C204" t="str">
        <f t="shared" ca="1" si="11"/>
        <v>South</v>
      </c>
      <c r="D204" t="str">
        <f t="shared" si="12"/>
        <v>August</v>
      </c>
      <c r="E204" s="14">
        <v>99</v>
      </c>
      <c r="F2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04">
        <v>101453.61048658683</v>
      </c>
      <c r="H204" t="str">
        <f t="shared" ca="1" si="10"/>
        <v>Radio</v>
      </c>
      <c r="I204">
        <v>35.7746385574453</v>
      </c>
      <c r="J204">
        <f>Table16[[#This Row],[Marketing_Spend]]/Table16[[#This Row],[Units_Sold]]</f>
        <v>1024.7839443089579</v>
      </c>
    </row>
    <row r="205" spans="1:10">
      <c r="A205" s="54">
        <v>48095</v>
      </c>
      <c r="B205" s="15" t="s">
        <v>10</v>
      </c>
      <c r="C205" t="str">
        <f t="shared" ca="1" si="11"/>
        <v>North</v>
      </c>
      <c r="D205" t="str">
        <f t="shared" si="12"/>
        <v>September</v>
      </c>
      <c r="E205" s="15">
        <v>102</v>
      </c>
      <c r="F2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05">
        <v>91770.137108756389</v>
      </c>
      <c r="H205" t="str">
        <f t="shared" ca="1" si="10"/>
        <v>Billboards</v>
      </c>
      <c r="I205">
        <v>27.808803048719327</v>
      </c>
      <c r="J205">
        <f>Table16[[#This Row],[Marketing_Spend]]/Table16[[#This Row],[Units_Sold]]</f>
        <v>899.70722655643522</v>
      </c>
    </row>
    <row r="206" spans="1:10">
      <c r="A206" s="53">
        <v>48125</v>
      </c>
      <c r="B206" s="14" t="s">
        <v>10</v>
      </c>
      <c r="C206" t="str">
        <f t="shared" ca="1" si="11"/>
        <v>North</v>
      </c>
      <c r="D206" t="str">
        <f t="shared" si="12"/>
        <v>October</v>
      </c>
      <c r="E206" s="14">
        <v>76</v>
      </c>
      <c r="F2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06">
        <v>98215.31691557102</v>
      </c>
      <c r="H206" t="str">
        <f t="shared" ca="1" si="10"/>
        <v>Print</v>
      </c>
      <c r="I206">
        <v>33.347886256446209</v>
      </c>
      <c r="J206">
        <f>Table16[[#This Row],[Marketing_Spend]]/Table16[[#This Row],[Units_Sold]]</f>
        <v>1292.3068015206713</v>
      </c>
    </row>
    <row r="207" spans="1:10">
      <c r="A207" s="54">
        <v>48155</v>
      </c>
      <c r="B207" s="15" t="s">
        <v>11</v>
      </c>
      <c r="C207" t="str">
        <f t="shared" ca="1" si="11"/>
        <v>South</v>
      </c>
      <c r="D207" t="str">
        <f t="shared" si="12"/>
        <v>November</v>
      </c>
      <c r="E207" s="15">
        <v>99</v>
      </c>
      <c r="F2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07">
        <v>99248.587100410368</v>
      </c>
      <c r="H207" t="str">
        <f t="shared" ca="1" si="10"/>
        <v>Online</v>
      </c>
      <c r="I207">
        <v>93.898511670142085</v>
      </c>
      <c r="J207">
        <f>Table16[[#This Row],[Marketing_Spend]]/Table16[[#This Row],[Units_Sold]]</f>
        <v>1002.510980812226</v>
      </c>
    </row>
    <row r="208" spans="1:10">
      <c r="A208" s="53">
        <v>48185</v>
      </c>
      <c r="B208" s="14" t="s">
        <v>10</v>
      </c>
      <c r="C208" t="str">
        <f t="shared" ca="1" si="11"/>
        <v>North</v>
      </c>
      <c r="D208" t="str">
        <f t="shared" si="12"/>
        <v>December</v>
      </c>
      <c r="E208" s="14">
        <v>93</v>
      </c>
      <c r="F2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08">
        <v>65375.973931101493</v>
      </c>
      <c r="H208" t="str">
        <f t="shared" ca="1" si="10"/>
        <v>Radio</v>
      </c>
      <c r="I208">
        <v>85.71770022209526</v>
      </c>
      <c r="J208">
        <f>Table16[[#This Row],[Marketing_Spend]]/Table16[[#This Row],[Units_Sold]]</f>
        <v>702.96746162474722</v>
      </c>
    </row>
    <row r="209" spans="1:10">
      <c r="A209" s="54">
        <v>48215</v>
      </c>
      <c r="B209" s="15" t="s">
        <v>13</v>
      </c>
      <c r="C209" t="str">
        <f t="shared" ca="1" si="11"/>
        <v>North</v>
      </c>
      <c r="D209" t="str">
        <f t="shared" si="12"/>
        <v>January</v>
      </c>
      <c r="E209" s="15">
        <v>99</v>
      </c>
      <c r="F2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09">
        <v>129898.76454906471</v>
      </c>
      <c r="H209" t="str">
        <f t="shared" ca="1" si="10"/>
        <v>Print</v>
      </c>
      <c r="I209">
        <v>48.325164988407529</v>
      </c>
      <c r="J209">
        <f>Table16[[#This Row],[Marketing_Spend]]/Table16[[#This Row],[Units_Sold]]</f>
        <v>1312.1087328188355</v>
      </c>
    </row>
    <row r="210" spans="1:10">
      <c r="A210" s="53">
        <v>48245</v>
      </c>
      <c r="B210" s="14" t="s">
        <v>12</v>
      </c>
      <c r="C210" t="str">
        <f t="shared" ca="1" si="11"/>
        <v>South</v>
      </c>
      <c r="D210" t="str">
        <f t="shared" si="12"/>
        <v>February</v>
      </c>
      <c r="E210" s="14">
        <v>102</v>
      </c>
      <c r="F2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210">
        <v>100826.51264541237</v>
      </c>
      <c r="H210" t="str">
        <f t="shared" ca="1" si="10"/>
        <v>Billboards</v>
      </c>
      <c r="I210">
        <v>72.465661386191428</v>
      </c>
      <c r="J210">
        <f>Table16[[#This Row],[Marketing_Spend]]/Table16[[#This Row],[Units_Sold]]</f>
        <v>988.49522201384673</v>
      </c>
    </row>
    <row r="211" spans="1:10">
      <c r="A211" s="54">
        <v>48275</v>
      </c>
      <c r="B211" s="15" t="s">
        <v>11</v>
      </c>
      <c r="C211" t="str">
        <f t="shared" ca="1" si="11"/>
        <v>South</v>
      </c>
      <c r="D211" t="str">
        <f t="shared" si="12"/>
        <v>March</v>
      </c>
      <c r="E211" s="15">
        <v>106</v>
      </c>
      <c r="F2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11">
        <v>108860.04260894751</v>
      </c>
      <c r="H211" t="str">
        <f t="shared" ca="1" si="10"/>
        <v>TV</v>
      </c>
      <c r="I211">
        <v>62.982053893443045</v>
      </c>
      <c r="J211">
        <f>Table16[[#This Row],[Marketing_Spend]]/Table16[[#This Row],[Units_Sold]]</f>
        <v>1026.9815340466746</v>
      </c>
    </row>
    <row r="212" spans="1:10">
      <c r="A212" s="53">
        <v>48305</v>
      </c>
      <c r="B212" s="14" t="s">
        <v>14</v>
      </c>
      <c r="C212" t="str">
        <f t="shared" ca="1" si="11"/>
        <v>West</v>
      </c>
      <c r="D212" t="str">
        <f t="shared" si="12"/>
        <v>April</v>
      </c>
      <c r="E212" s="14">
        <v>94</v>
      </c>
      <c r="F2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12">
        <v>119030.99541148086</v>
      </c>
      <c r="H212" t="str">
        <f t="shared" ca="1" si="10"/>
        <v>TV</v>
      </c>
      <c r="I212">
        <v>74.16994107860512</v>
      </c>
      <c r="J212">
        <f>Table16[[#This Row],[Marketing_Spend]]/Table16[[#This Row],[Units_Sold]]</f>
        <v>1266.2871852285198</v>
      </c>
    </row>
    <row r="213" spans="1:10">
      <c r="A213" s="54">
        <v>48335</v>
      </c>
      <c r="B213" s="15" t="s">
        <v>12</v>
      </c>
      <c r="C213" t="str">
        <f t="shared" ca="1" si="11"/>
        <v>East</v>
      </c>
      <c r="D213" t="str">
        <f t="shared" si="12"/>
        <v>May</v>
      </c>
      <c r="E213" s="15">
        <v>105</v>
      </c>
      <c r="F2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13">
        <v>79576.750848793992</v>
      </c>
      <c r="H213" t="str">
        <f t="shared" ca="1" si="10"/>
        <v>Print</v>
      </c>
      <c r="I213">
        <v>74.613692197020754</v>
      </c>
      <c r="J213">
        <f>Table16[[#This Row],[Marketing_Spend]]/Table16[[#This Row],[Units_Sold]]</f>
        <v>757.87381760756182</v>
      </c>
    </row>
    <row r="214" spans="1:10">
      <c r="A214" s="53">
        <v>48365</v>
      </c>
      <c r="B214" s="14" t="s">
        <v>13</v>
      </c>
      <c r="C214" t="str">
        <f t="shared" ca="1" si="11"/>
        <v>East</v>
      </c>
      <c r="D214" t="str">
        <f t="shared" si="12"/>
        <v>May</v>
      </c>
      <c r="E214" s="14">
        <v>100</v>
      </c>
      <c r="F2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14">
        <v>109469.43798070456</v>
      </c>
      <c r="H214" t="str">
        <f t="shared" ca="1" si="10"/>
        <v>Radio</v>
      </c>
      <c r="I214">
        <v>70.298721204799435</v>
      </c>
      <c r="J214">
        <f>Table16[[#This Row],[Marketing_Spend]]/Table16[[#This Row],[Units_Sold]]</f>
        <v>1094.6943798070456</v>
      </c>
    </row>
    <row r="215" spans="1:10">
      <c r="A215" s="54">
        <v>48395</v>
      </c>
      <c r="B215" s="15" t="s">
        <v>12</v>
      </c>
      <c r="C215" t="str">
        <f t="shared" ca="1" si="11"/>
        <v>North</v>
      </c>
      <c r="D215" t="str">
        <f t="shared" si="12"/>
        <v>June</v>
      </c>
      <c r="E215" s="15">
        <v>122</v>
      </c>
      <c r="F2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15">
        <v>94647.17818202413</v>
      </c>
      <c r="H215" t="str">
        <f t="shared" ca="1" si="10"/>
        <v>Billboards</v>
      </c>
      <c r="I215">
        <v>41.288109482984687</v>
      </c>
      <c r="J215">
        <f>Table16[[#This Row],[Marketing_Spend]]/Table16[[#This Row],[Units_Sold]]</f>
        <v>775.79654247560768</v>
      </c>
    </row>
    <row r="216" spans="1:10">
      <c r="A216" s="53">
        <v>48425</v>
      </c>
      <c r="B216" s="14" t="s">
        <v>13</v>
      </c>
      <c r="C216" t="str">
        <f t="shared" ca="1" si="11"/>
        <v>West</v>
      </c>
      <c r="D216" t="str">
        <f t="shared" si="12"/>
        <v>July</v>
      </c>
      <c r="E216" s="14">
        <v>103</v>
      </c>
      <c r="F2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16">
        <v>116935.41550432987</v>
      </c>
      <c r="H216" t="str">
        <f t="shared" ca="1" si="10"/>
        <v>Online</v>
      </c>
      <c r="I216">
        <v>23.120513661025448</v>
      </c>
      <c r="J216">
        <f>Table16[[#This Row],[Marketing_Spend]]/Table16[[#This Row],[Units_Sold]]</f>
        <v>1135.2952961585424</v>
      </c>
    </row>
    <row r="217" spans="1:10">
      <c r="A217" s="54">
        <v>48455</v>
      </c>
      <c r="B217" s="15" t="s">
        <v>13</v>
      </c>
      <c r="C217" t="str">
        <f t="shared" ca="1" si="11"/>
        <v>North</v>
      </c>
      <c r="D217" t="str">
        <f t="shared" si="12"/>
        <v>August</v>
      </c>
      <c r="E217" s="15">
        <v>119</v>
      </c>
      <c r="F2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17">
        <f>128897.2893</f>
        <v>128897.2893</v>
      </c>
      <c r="H217" t="str">
        <f t="shared" ca="1" si="10"/>
        <v>Print</v>
      </c>
      <c r="I217">
        <v>65.454227669999995</v>
      </c>
      <c r="J217">
        <f>Table16[[#This Row],[Marketing_Spend]]/Table16[[#This Row],[Units_Sold]]</f>
        <v>1083.1704983193279</v>
      </c>
    </row>
    <row r="218" spans="1:10">
      <c r="A218" s="53">
        <v>48485</v>
      </c>
      <c r="B218" s="14" t="s">
        <v>14</v>
      </c>
      <c r="C218" t="str">
        <f t="shared" ca="1" si="11"/>
        <v>South</v>
      </c>
      <c r="D218" t="str">
        <f t="shared" si="12"/>
        <v>September</v>
      </c>
      <c r="E218" s="14">
        <v>76</v>
      </c>
      <c r="F2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18">
        <v>98018.113995174615</v>
      </c>
      <c r="H218" t="str">
        <f t="shared" ca="1" si="10"/>
        <v>Billboards</v>
      </c>
      <c r="I218">
        <v>91.277910775256302</v>
      </c>
      <c r="J218">
        <f>Table16[[#This Row],[Marketing_Spend]]/Table16[[#This Row],[Units_Sold]]</f>
        <v>1289.7120262522976</v>
      </c>
    </row>
    <row r="219" spans="1:10">
      <c r="A219" s="54">
        <v>48515</v>
      </c>
      <c r="B219" s="15" t="s">
        <v>12</v>
      </c>
      <c r="C219" t="str">
        <f t="shared" ca="1" si="11"/>
        <v>East</v>
      </c>
      <c r="D219" t="str">
        <f t="shared" si="12"/>
        <v>October</v>
      </c>
      <c r="E219" s="15">
        <v>96</v>
      </c>
      <c r="F2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19">
        <v>87943.586884320772</v>
      </c>
      <c r="H219" t="str">
        <f t="shared" ca="1" si="10"/>
        <v>Print</v>
      </c>
      <c r="I219">
        <v>65.559780681486075</v>
      </c>
      <c r="J219">
        <f>Table16[[#This Row],[Marketing_Spend]]/Table16[[#This Row],[Units_Sold]]</f>
        <v>916.07903004500804</v>
      </c>
    </row>
    <row r="220" spans="1:10">
      <c r="A220" s="53">
        <v>48545</v>
      </c>
      <c r="B220" s="14" t="s">
        <v>14</v>
      </c>
      <c r="C220" t="str">
        <f t="shared" ca="1" si="11"/>
        <v>West</v>
      </c>
      <c r="D220" t="str">
        <f t="shared" si="12"/>
        <v>November</v>
      </c>
      <c r="E220" s="14">
        <v>103</v>
      </c>
      <c r="F2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20">
        <v>108645.25901268311</v>
      </c>
      <c r="H220" t="str">
        <f t="shared" ca="1" si="10"/>
        <v>Print</v>
      </c>
      <c r="I220">
        <v>86.591283336152628</v>
      </c>
      <c r="J220">
        <f>Table16[[#This Row],[Marketing_Spend]]/Table16[[#This Row],[Units_Sold]]</f>
        <v>1054.8083399289621</v>
      </c>
    </row>
    <row r="221" spans="1:10">
      <c r="A221" s="54">
        <v>48575</v>
      </c>
      <c r="B221" s="15" t="s">
        <v>14</v>
      </c>
      <c r="C221" t="str">
        <f t="shared" ca="1" si="11"/>
        <v>West</v>
      </c>
      <c r="D221" t="str">
        <f t="shared" si="12"/>
        <v>December</v>
      </c>
      <c r="E221" s="15">
        <v>111</v>
      </c>
      <c r="F2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21">
        <v>109400.88374736405</v>
      </c>
      <c r="H221" t="str">
        <f t="shared" ca="1" si="10"/>
        <v>Billboards</v>
      </c>
      <c r="I221">
        <v>80.215177969999999</v>
      </c>
      <c r="J221">
        <f>Table16[[#This Row],[Marketing_Spend]]/Table16[[#This Row],[Units_Sold]]</f>
        <v>985.59354727354992</v>
      </c>
    </row>
    <row r="222" spans="1:10">
      <c r="A222" s="53">
        <v>48605</v>
      </c>
      <c r="B222" s="14" t="s">
        <v>12</v>
      </c>
      <c r="C222" t="str">
        <f t="shared" ca="1" si="11"/>
        <v>East</v>
      </c>
      <c r="D222" t="str">
        <f t="shared" si="12"/>
        <v>January</v>
      </c>
      <c r="E222" s="14">
        <v>97</v>
      </c>
      <c r="F2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22">
        <v>85847.48210355948</v>
      </c>
      <c r="H222" t="str">
        <f t="shared" ca="1" si="10"/>
        <v>TV</v>
      </c>
      <c r="I222">
        <v>33.089296331062101</v>
      </c>
      <c r="J222">
        <f>Table16[[#This Row],[Marketing_Spend]]/Table16[[#This Row],[Units_Sold]]</f>
        <v>885.02558869648954</v>
      </c>
    </row>
    <row r="223" spans="1:10">
      <c r="A223" s="54">
        <v>48635</v>
      </c>
      <c r="B223" s="15" t="s">
        <v>10</v>
      </c>
      <c r="C223" t="str">
        <f t="shared" ca="1" si="11"/>
        <v>East</v>
      </c>
      <c r="D223" t="str">
        <f t="shared" si="12"/>
        <v>February</v>
      </c>
      <c r="E223" s="15">
        <v>112</v>
      </c>
      <c r="F2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223">
        <v>85756.522716479129</v>
      </c>
      <c r="H223" t="str">
        <f t="shared" ca="1" si="10"/>
        <v>Online</v>
      </c>
      <c r="I223">
        <v>65.454227669999995</v>
      </c>
      <c r="J223">
        <f>Table16[[#This Row],[Marketing_Spend]]/Table16[[#This Row],[Units_Sold]]</f>
        <v>765.6832385399922</v>
      </c>
    </row>
    <row r="224" spans="1:10">
      <c r="A224" s="53">
        <v>48665</v>
      </c>
      <c r="B224" s="14" t="s">
        <v>10</v>
      </c>
      <c r="C224" t="str">
        <f t="shared" ca="1" si="11"/>
        <v>East</v>
      </c>
      <c r="D224" t="str">
        <f t="shared" si="12"/>
        <v>March</v>
      </c>
      <c r="E224" s="14">
        <v>99</v>
      </c>
      <c r="F2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24">
        <v>97786.692628853416</v>
      </c>
      <c r="H224" t="str">
        <f t="shared" ca="1" si="10"/>
        <v>Radio</v>
      </c>
      <c r="I224">
        <v>73.943485896001974</v>
      </c>
      <c r="J224">
        <f>Table16[[#This Row],[Marketing_Spend]]/Table16[[#This Row],[Units_Sold]]</f>
        <v>987.74436998841838</v>
      </c>
    </row>
    <row r="225" spans="1:10">
      <c r="A225" s="54">
        <v>48695</v>
      </c>
      <c r="B225" s="15" t="s">
        <v>14</v>
      </c>
      <c r="C225" t="str">
        <f t="shared" ca="1" si="11"/>
        <v>East</v>
      </c>
      <c r="D225" t="str">
        <f t="shared" si="12"/>
        <v>April</v>
      </c>
      <c r="E225" s="15">
        <v>124</v>
      </c>
      <c r="F2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25">
        <v>82067.155453695828</v>
      </c>
      <c r="H225" t="str">
        <f t="shared" ca="1" si="10"/>
        <v>Print</v>
      </c>
      <c r="I225">
        <v>98.396435788662274</v>
      </c>
      <c r="J225">
        <f>Table16[[#This Row],[Marketing_Spend]]/Table16[[#This Row],[Units_Sold]]</f>
        <v>661.83189882012766</v>
      </c>
    </row>
    <row r="226" spans="1:10">
      <c r="A226" s="53">
        <v>48725</v>
      </c>
      <c r="B226" s="14" t="s">
        <v>11</v>
      </c>
      <c r="C226" t="str">
        <f t="shared" ca="1" si="11"/>
        <v>East</v>
      </c>
      <c r="D226" t="str">
        <f t="shared" si="12"/>
        <v>May</v>
      </c>
      <c r="E226" s="14">
        <v>91</v>
      </c>
      <c r="F2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26">
        <v>116839.67390904254</v>
      </c>
      <c r="H226" t="str">
        <f t="shared" ca="1" si="10"/>
        <v>Radio</v>
      </c>
      <c r="I226">
        <v>98.848058716224031</v>
      </c>
      <c r="J226">
        <f>Table16[[#This Row],[Marketing_Spend]]/Table16[[#This Row],[Units_Sold]]</f>
        <v>1283.952460538929</v>
      </c>
    </row>
    <row r="227" spans="1:10">
      <c r="A227" s="54">
        <v>48755</v>
      </c>
      <c r="B227" s="15" t="s">
        <v>14</v>
      </c>
      <c r="C227" t="str">
        <f t="shared" ca="1" si="11"/>
        <v>South</v>
      </c>
      <c r="D227" t="str">
        <f t="shared" si="12"/>
        <v>June</v>
      </c>
      <c r="E227" s="15">
        <v>103</v>
      </c>
      <c r="F2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27">
        <v>92615.855991051081</v>
      </c>
      <c r="H227" t="str">
        <f t="shared" ca="1" si="10"/>
        <v>Billboards</v>
      </c>
      <c r="I227">
        <v>74.934288937930361</v>
      </c>
      <c r="J227">
        <f>Table16[[#This Row],[Marketing_Spend]]/Table16[[#This Row],[Units_Sold]]</f>
        <v>899.1830678742823</v>
      </c>
    </row>
    <row r="228" spans="1:10">
      <c r="A228" s="53">
        <v>48785</v>
      </c>
      <c r="B228" s="14" t="s">
        <v>14</v>
      </c>
      <c r="C228" t="str">
        <f t="shared" ca="1" si="11"/>
        <v>West</v>
      </c>
      <c r="D228" t="str">
        <f t="shared" si="12"/>
        <v>July</v>
      </c>
      <c r="E228" s="14">
        <v>86</v>
      </c>
      <c r="F2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28">
        <v>41860.235613567173</v>
      </c>
      <c r="H228" t="str">
        <f t="shared" ca="1" si="10"/>
        <v>Billboards</v>
      </c>
      <c r="I228">
        <v>39.489183358575545</v>
      </c>
      <c r="J228">
        <f>Table16[[#This Row],[Marketing_Spend]]/Table16[[#This Row],[Units_Sold]]</f>
        <v>486.74692573915314</v>
      </c>
    </row>
    <row r="229" spans="1:10">
      <c r="A229" s="54">
        <v>48815</v>
      </c>
      <c r="B229" s="15" t="s">
        <v>14</v>
      </c>
      <c r="C229" t="str">
        <f t="shared" ca="1" si="11"/>
        <v>West</v>
      </c>
      <c r="D229" t="str">
        <f t="shared" si="12"/>
        <v>August</v>
      </c>
      <c r="E229" s="15">
        <v>101</v>
      </c>
      <c r="F2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29">
        <v>92503.558867563872</v>
      </c>
      <c r="H229" t="str">
        <f t="shared" ca="1" si="10"/>
        <v>Online</v>
      </c>
      <c r="I229">
        <v>83.884467050447924</v>
      </c>
      <c r="J229">
        <f>Table16[[#This Row],[Marketing_Spend]]/Table16[[#This Row],[Units_Sold]]</f>
        <v>915.87682047092937</v>
      </c>
    </row>
    <row r="230" spans="1:10">
      <c r="A230" s="53">
        <v>48845</v>
      </c>
      <c r="B230" s="14" t="s">
        <v>10</v>
      </c>
      <c r="C230" t="str">
        <f t="shared" ca="1" si="11"/>
        <v>North</v>
      </c>
      <c r="D230" t="str">
        <f t="shared" si="12"/>
        <v>September</v>
      </c>
      <c r="E230" s="14">
        <v>101</v>
      </c>
      <c r="F2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30">
        <v>79229.123583120556</v>
      </c>
      <c r="H230" t="str">
        <f t="shared" ca="1" si="10"/>
        <v>TV</v>
      </c>
      <c r="I230">
        <v>28.562330736883048</v>
      </c>
      <c r="J230">
        <f>Table16[[#This Row],[Marketing_Spend]]/Table16[[#This Row],[Units_Sold]]</f>
        <v>784.44676814970842</v>
      </c>
    </row>
    <row r="231" spans="1:10">
      <c r="A231" s="54">
        <v>48875</v>
      </c>
      <c r="B231" s="15" t="s">
        <v>10</v>
      </c>
      <c r="C231" t="str">
        <f t="shared" ca="1" si="11"/>
        <v>South</v>
      </c>
      <c r="D231" t="str">
        <f t="shared" si="12"/>
        <v>October</v>
      </c>
      <c r="E231" s="15">
        <v>101</v>
      </c>
      <c r="F2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31">
        <v>67374.483690781082</v>
      </c>
      <c r="H231" t="str">
        <f t="shared" ca="1" si="10"/>
        <v>Print</v>
      </c>
      <c r="I231">
        <v>82.455944333730287</v>
      </c>
      <c r="J231">
        <f>Table16[[#This Row],[Marketing_Spend]]/Table16[[#This Row],[Units_Sold]]</f>
        <v>667.07409594832757</v>
      </c>
    </row>
    <row r="232" spans="1:10">
      <c r="A232" s="53">
        <v>48905</v>
      </c>
      <c r="B232" s="14" t="s">
        <v>10</v>
      </c>
      <c r="C232" t="str">
        <f t="shared" ca="1" si="11"/>
        <v>East</v>
      </c>
      <c r="D232" t="str">
        <f t="shared" si="12"/>
        <v>November</v>
      </c>
      <c r="E232" s="14">
        <v>113</v>
      </c>
      <c r="F2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32">
        <v>75251.467235548553</v>
      </c>
      <c r="H232" t="str">
        <f t="shared" ca="1" si="10"/>
        <v>Radio</v>
      </c>
      <c r="I232">
        <v>92.815689931575719</v>
      </c>
      <c r="J232">
        <f>Table16[[#This Row],[Marketing_Spend]]/Table16[[#This Row],[Units_Sold]]</f>
        <v>665.94218792520849</v>
      </c>
    </row>
    <row r="233" spans="1:10">
      <c r="A233" s="54">
        <v>48935</v>
      </c>
      <c r="B233" s="15" t="s">
        <v>14</v>
      </c>
      <c r="C233" t="str">
        <f t="shared" ca="1" si="11"/>
        <v>North</v>
      </c>
      <c r="D233" t="str">
        <f t="shared" si="12"/>
        <v>December</v>
      </c>
      <c r="E233" s="15">
        <v>87</v>
      </c>
      <c r="F2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33">
        <v>102188.1694366594</v>
      </c>
      <c r="H233" t="str">
        <f t="shared" ca="1" si="10"/>
        <v>Radio</v>
      </c>
      <c r="I233">
        <v>50.626671581474824</v>
      </c>
      <c r="J233">
        <f>Table16[[#This Row],[Marketing_Spend]]/Table16[[#This Row],[Units_Sold]]</f>
        <v>1174.5766601914875</v>
      </c>
    </row>
    <row r="234" spans="1:10">
      <c r="A234" s="53">
        <v>48965</v>
      </c>
      <c r="B234" s="14" t="s">
        <v>11</v>
      </c>
      <c r="C234" t="str">
        <f t="shared" ca="1" si="11"/>
        <v>North</v>
      </c>
      <c r="D234" t="str">
        <f t="shared" si="12"/>
        <v>January</v>
      </c>
      <c r="E234" s="14">
        <v>108</v>
      </c>
      <c r="F2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34">
        <f>128897.2893</f>
        <v>128897.2893</v>
      </c>
      <c r="H234" t="str">
        <f t="shared" ca="1" si="10"/>
        <v>Print</v>
      </c>
      <c r="I234">
        <v>70.450823598646437</v>
      </c>
      <c r="J234">
        <f>Table16[[#This Row],[Marketing_Spend]]/Table16[[#This Row],[Units_Sold]]</f>
        <v>1193.4934194444445</v>
      </c>
    </row>
    <row r="235" spans="1:10">
      <c r="A235" s="54">
        <v>48995</v>
      </c>
      <c r="B235" s="15" t="s">
        <v>10</v>
      </c>
      <c r="C235" t="str">
        <f t="shared" ca="1" si="11"/>
        <v>West</v>
      </c>
      <c r="D235" t="str">
        <f t="shared" si="12"/>
        <v>February</v>
      </c>
      <c r="E235" s="15">
        <v>100</v>
      </c>
      <c r="F2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235">
        <v>106263.6894772996</v>
      </c>
      <c r="H235" t="str">
        <f t="shared" ca="1" si="10"/>
        <v>TV</v>
      </c>
      <c r="I235">
        <v>54.411418567746104</v>
      </c>
      <c r="J235">
        <f>Table16[[#This Row],[Marketing_Spend]]/Table16[[#This Row],[Units_Sold]]</f>
        <v>1062.6368947729961</v>
      </c>
    </row>
    <row r="236" spans="1:10">
      <c r="A236" s="53">
        <v>49025</v>
      </c>
      <c r="B236" s="14" t="s">
        <v>12</v>
      </c>
      <c r="C236" t="str">
        <f t="shared" ca="1" si="11"/>
        <v>East</v>
      </c>
      <c r="D236" t="str">
        <f t="shared" si="12"/>
        <v>March</v>
      </c>
      <c r="E236" s="14">
        <v>87</v>
      </c>
      <c r="F2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36">
        <v>87869.932235685206</v>
      </c>
      <c r="H236" t="str">
        <f t="shared" ca="1" si="10"/>
        <v>TV</v>
      </c>
      <c r="I236">
        <v>55.021204399050276</v>
      </c>
      <c r="J236">
        <f>Table16[[#This Row],[Marketing_Spend]]/Table16[[#This Row],[Units_Sold]]</f>
        <v>1009.9992210998299</v>
      </c>
    </row>
    <row r="237" spans="1:10">
      <c r="A237" s="54">
        <v>49055</v>
      </c>
      <c r="B237" s="15" t="s">
        <v>12</v>
      </c>
      <c r="C237" t="str">
        <f t="shared" ca="1" si="11"/>
        <v>West</v>
      </c>
      <c r="D237" t="str">
        <f t="shared" si="12"/>
        <v>April</v>
      </c>
      <c r="E237" s="15">
        <v>96</v>
      </c>
      <c r="F2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37">
        <v>109118.08390341405</v>
      </c>
      <c r="H237" t="str">
        <f t="shared" ca="1" si="10"/>
        <v>Print</v>
      </c>
      <c r="I237">
        <v>65.454227669999995</v>
      </c>
      <c r="J237">
        <f>Table16[[#This Row],[Marketing_Spend]]/Table16[[#This Row],[Units_Sold]]</f>
        <v>1136.6467073272297</v>
      </c>
    </row>
    <row r="238" spans="1:10">
      <c r="A238" s="53">
        <v>49085</v>
      </c>
      <c r="B238" s="14" t="s">
        <v>12</v>
      </c>
      <c r="C238" t="str">
        <f t="shared" ca="1" si="11"/>
        <v>North</v>
      </c>
      <c r="D238" t="str">
        <f t="shared" si="12"/>
        <v>May</v>
      </c>
      <c r="E238" s="14">
        <v>97</v>
      </c>
      <c r="F2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38">
        <f>128897.2893</f>
        <v>128897.2893</v>
      </c>
      <c r="H238" t="str">
        <f t="shared" ca="1" si="10"/>
        <v>Billboards</v>
      </c>
      <c r="I238">
        <v>80.970369636025964</v>
      </c>
      <c r="J238">
        <f>Table16[[#This Row],[Marketing_Spend]]/Table16[[#This Row],[Units_Sold]]</f>
        <v>1328.8380340206186</v>
      </c>
    </row>
    <row r="239" spans="1:10">
      <c r="A239" s="54">
        <v>49115</v>
      </c>
      <c r="B239" s="15" t="s">
        <v>13</v>
      </c>
      <c r="C239" t="str">
        <f t="shared" ca="1" si="11"/>
        <v>West</v>
      </c>
      <c r="D239" t="str">
        <f t="shared" si="12"/>
        <v>June</v>
      </c>
      <c r="E239" s="15">
        <v>116</v>
      </c>
      <c r="F2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39">
        <v>86107.992616737116</v>
      </c>
      <c r="H239" t="str">
        <f t="shared" ca="1" si="10"/>
        <v>Billboards</v>
      </c>
      <c r="I239">
        <v>94.894125133320415</v>
      </c>
      <c r="J239">
        <f>Table16[[#This Row],[Marketing_Spend]]/Table16[[#This Row],[Units_Sold]]</f>
        <v>742.31028117876826</v>
      </c>
    </row>
    <row r="240" spans="1:10">
      <c r="A240" s="53">
        <v>49145</v>
      </c>
      <c r="B240" s="14" t="s">
        <v>14</v>
      </c>
      <c r="C240" t="str">
        <f t="shared" ca="1" si="11"/>
        <v>North</v>
      </c>
      <c r="D240" t="str">
        <f t="shared" si="12"/>
        <v>July</v>
      </c>
      <c r="E240" s="14">
        <v>100</v>
      </c>
      <c r="F2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40">
        <v>76912.746635340314</v>
      </c>
      <c r="H240" t="str">
        <f t="shared" ca="1" si="10"/>
        <v>TV</v>
      </c>
      <c r="I240">
        <v>95.260068738756885</v>
      </c>
      <c r="J240">
        <f>Table16[[#This Row],[Marketing_Spend]]/Table16[[#This Row],[Units_Sold]]</f>
        <v>769.12746635340318</v>
      </c>
    </row>
    <row r="241" spans="1:10">
      <c r="A241" s="54">
        <v>49175</v>
      </c>
      <c r="B241" s="15" t="s">
        <v>12</v>
      </c>
      <c r="C241" t="str">
        <f t="shared" ca="1" si="11"/>
        <v>South</v>
      </c>
      <c r="D241" t="str">
        <f t="shared" si="12"/>
        <v>August</v>
      </c>
      <c r="E241" s="15">
        <v>97</v>
      </c>
      <c r="F2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41">
        <v>64963.423864965618</v>
      </c>
      <c r="H241" t="str">
        <f t="shared" ca="1" si="10"/>
        <v>TV</v>
      </c>
      <c r="I241">
        <v>33.982502789994705</v>
      </c>
      <c r="J241">
        <f>Table16[[#This Row],[Marketing_Spend]]/Table16[[#This Row],[Units_Sold]]</f>
        <v>669.72601922644969</v>
      </c>
    </row>
    <row r="242" spans="1:10">
      <c r="A242" s="53">
        <v>49205</v>
      </c>
      <c r="B242" s="14" t="s">
        <v>14</v>
      </c>
      <c r="C242" t="str">
        <f t="shared" ca="1" si="11"/>
        <v>East</v>
      </c>
      <c r="D242" t="str">
        <f t="shared" si="12"/>
        <v>September</v>
      </c>
      <c r="E242" s="14">
        <v>100</v>
      </c>
      <c r="F2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42">
        <f>128897.2893</f>
        <v>128897.2893</v>
      </c>
      <c r="H242" t="str">
        <f t="shared" ca="1" si="10"/>
        <v>Online</v>
      </c>
      <c r="I242">
        <v>89.979491972525281</v>
      </c>
      <c r="J242">
        <f>Table16[[#This Row],[Marketing_Spend]]/Table16[[#This Row],[Units_Sold]]</f>
        <v>1288.9728930000001</v>
      </c>
    </row>
    <row r="243" spans="1:10">
      <c r="A243" s="54">
        <v>49235</v>
      </c>
      <c r="B243" s="15" t="s">
        <v>12</v>
      </c>
      <c r="C243" t="str">
        <f t="shared" ca="1" si="11"/>
        <v>West</v>
      </c>
      <c r="D243" t="str">
        <f t="shared" si="12"/>
        <v>October</v>
      </c>
      <c r="E243" s="15">
        <v>99</v>
      </c>
      <c r="F2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43">
        <v>103161.06979840263</v>
      </c>
      <c r="H243" t="str">
        <f t="shared" ca="1" si="10"/>
        <v>Online</v>
      </c>
      <c r="I243">
        <v>78.994515314169774</v>
      </c>
      <c r="J243">
        <f>Table16[[#This Row],[Marketing_Spend]]/Table16[[#This Row],[Units_Sold]]</f>
        <v>1042.031008064673</v>
      </c>
    </row>
    <row r="244" spans="1:10">
      <c r="A244" s="53">
        <v>49265</v>
      </c>
      <c r="B244" s="14" t="s">
        <v>11</v>
      </c>
      <c r="C244" t="str">
        <f t="shared" ca="1" si="11"/>
        <v>South</v>
      </c>
      <c r="D244" t="str">
        <f t="shared" si="12"/>
        <v>November</v>
      </c>
      <c r="E244" s="14">
        <v>100</v>
      </c>
      <c r="F2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44">
        <v>98067.526599702207</v>
      </c>
      <c r="H244" t="str">
        <f t="shared" ca="1" si="10"/>
        <v>TV</v>
      </c>
      <c r="I244">
        <v>40.226992055223143</v>
      </c>
      <c r="J244">
        <f>Table16[[#This Row],[Marketing_Spend]]/Table16[[#This Row],[Units_Sold]]</f>
        <v>980.67526599702205</v>
      </c>
    </row>
    <row r="245" spans="1:10">
      <c r="A245" s="54">
        <v>49295</v>
      </c>
      <c r="B245" s="15" t="s">
        <v>14</v>
      </c>
      <c r="C245" t="str">
        <f t="shared" ca="1" si="11"/>
        <v>North</v>
      </c>
      <c r="D245" t="str">
        <f t="shared" si="12"/>
        <v>December</v>
      </c>
      <c r="E245" s="15">
        <v>100</v>
      </c>
      <c r="F2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45">
        <v>91680.661441052827</v>
      </c>
      <c r="H245" t="str">
        <f t="shared" ca="1" si="10"/>
        <v>Online</v>
      </c>
      <c r="I245">
        <v>25.382769033721164</v>
      </c>
      <c r="J245">
        <f>Table16[[#This Row],[Marketing_Spend]]/Table16[[#This Row],[Units_Sold]]</f>
        <v>916.80661441052825</v>
      </c>
    </row>
    <row r="246" spans="1:10">
      <c r="A246" s="53">
        <v>49325</v>
      </c>
      <c r="B246" s="14" t="s">
        <v>12</v>
      </c>
      <c r="C246" t="str">
        <f t="shared" ca="1" si="11"/>
        <v>West</v>
      </c>
      <c r="D246" t="str">
        <f t="shared" si="12"/>
        <v>January</v>
      </c>
      <c r="E246" s="14">
        <v>82</v>
      </c>
      <c r="F2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46">
        <v>81085.078786064376</v>
      </c>
      <c r="H246" t="str">
        <f t="shared" ca="1" si="10"/>
        <v>TV</v>
      </c>
      <c r="I246">
        <v>41.439781350750238</v>
      </c>
      <c r="J246">
        <f>Table16[[#This Row],[Marketing_Spend]]/Table16[[#This Row],[Units_Sold]]</f>
        <v>988.84242422029729</v>
      </c>
    </row>
    <row r="247" spans="1:10">
      <c r="A247" s="54">
        <v>49355</v>
      </c>
      <c r="B247" s="15" t="s">
        <v>10</v>
      </c>
      <c r="C247" t="str">
        <f t="shared" ca="1" si="11"/>
        <v>West</v>
      </c>
      <c r="D247" t="str">
        <f t="shared" si="12"/>
        <v>February</v>
      </c>
      <c r="E247" s="15">
        <v>87</v>
      </c>
      <c r="F2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247">
        <v>112164.92383369937</v>
      </c>
      <c r="H247" t="str">
        <f t="shared" ca="1" si="10"/>
        <v>TV</v>
      </c>
      <c r="I247">
        <v>92.97665894252205</v>
      </c>
      <c r="J247">
        <f>Table16[[#This Row],[Marketing_Spend]]/Table16[[#This Row],[Units_Sold]]</f>
        <v>1289.2519980884986</v>
      </c>
    </row>
    <row r="248" spans="1:10">
      <c r="A248" s="53">
        <v>49385</v>
      </c>
      <c r="B248" s="14" t="s">
        <v>14</v>
      </c>
      <c r="C248" t="str">
        <f t="shared" ca="1" si="11"/>
        <v>South</v>
      </c>
      <c r="D248" t="str">
        <f t="shared" si="12"/>
        <v>March</v>
      </c>
      <c r="E248" s="14">
        <v>87</v>
      </c>
      <c r="F2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48">
        <v>73657.361601068304</v>
      </c>
      <c r="H248" t="str">
        <f t="shared" ca="1" si="10"/>
        <v>Radio</v>
      </c>
      <c r="I248">
        <v>70.654293991661774</v>
      </c>
      <c r="J248">
        <f>Table16[[#This Row],[Marketing_Spend]]/Table16[[#This Row],[Units_Sold]]</f>
        <v>846.63634024216447</v>
      </c>
    </row>
    <row r="249" spans="1:10">
      <c r="A249" s="54">
        <v>49415</v>
      </c>
      <c r="B249" s="15" t="s">
        <v>13</v>
      </c>
      <c r="C249" t="str">
        <f t="shared" ca="1" si="11"/>
        <v>East</v>
      </c>
      <c r="D249" t="str">
        <f t="shared" si="12"/>
        <v>April</v>
      </c>
      <c r="E249" s="15">
        <v>90</v>
      </c>
      <c r="F2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49">
        <v>115520.5582768695</v>
      </c>
      <c r="H249" t="str">
        <f t="shared" ca="1" si="10"/>
        <v>Online</v>
      </c>
      <c r="I249">
        <v>77.684372871829751</v>
      </c>
      <c r="J249">
        <f>Table16[[#This Row],[Marketing_Spend]]/Table16[[#This Row],[Units_Sold]]</f>
        <v>1283.5617586318833</v>
      </c>
    </row>
    <row r="250" spans="1:10">
      <c r="A250" s="53">
        <v>49445</v>
      </c>
      <c r="B250" s="14" t="s">
        <v>10</v>
      </c>
      <c r="C250" t="str">
        <f t="shared" ca="1" si="11"/>
        <v>North</v>
      </c>
      <c r="D250" t="str">
        <f t="shared" si="12"/>
        <v>May</v>
      </c>
      <c r="E250" s="14">
        <v>115</v>
      </c>
      <c r="F2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50">
        <v>79955.6596214655</v>
      </c>
      <c r="H250" t="str">
        <f t="shared" ca="1" si="10"/>
        <v>Billboards</v>
      </c>
      <c r="I250">
        <v>40.572188088727671</v>
      </c>
      <c r="J250">
        <f>Table16[[#This Row],[Marketing_Spend]]/Table16[[#This Row],[Units_Sold]]</f>
        <v>695.26660540404782</v>
      </c>
    </row>
    <row r="251" spans="1:10">
      <c r="A251" s="54">
        <v>49475</v>
      </c>
      <c r="B251" s="15" t="s">
        <v>10</v>
      </c>
      <c r="C251" t="str">
        <f t="shared" ca="1" si="11"/>
        <v>East</v>
      </c>
      <c r="D251" t="str">
        <f t="shared" si="12"/>
        <v>June</v>
      </c>
      <c r="E251" s="15">
        <v>105</v>
      </c>
      <c r="F2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51">
        <v>84951.295252939308</v>
      </c>
      <c r="H251" t="str">
        <f t="shared" ca="1" si="10"/>
        <v>TV</v>
      </c>
      <c r="I251">
        <v>77.551052445985619</v>
      </c>
      <c r="J251">
        <f>Table16[[#This Row],[Marketing_Spend]]/Table16[[#This Row],[Units_Sold]]</f>
        <v>809.05995478989814</v>
      </c>
    </row>
    <row r="252" spans="1:10">
      <c r="A252" s="53">
        <v>49505</v>
      </c>
      <c r="B252" s="14" t="s">
        <v>13</v>
      </c>
      <c r="C252" t="str">
        <f t="shared" ca="1" si="11"/>
        <v>South</v>
      </c>
      <c r="D252" t="str">
        <f t="shared" si="12"/>
        <v>July</v>
      </c>
      <c r="E252" s="14">
        <v>90</v>
      </c>
      <c r="F2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52">
        <v>70664.296187686457</v>
      </c>
      <c r="H252" t="str">
        <f t="shared" ca="1" si="10"/>
        <v>TV</v>
      </c>
      <c r="I252">
        <v>65.454227669999995</v>
      </c>
      <c r="J252">
        <f>Table16[[#This Row],[Marketing_Spend]]/Table16[[#This Row],[Units_Sold]]</f>
        <v>785.15884652984948</v>
      </c>
    </row>
    <row r="253" spans="1:10">
      <c r="A253" s="54">
        <v>49535</v>
      </c>
      <c r="B253" s="15" t="s">
        <v>10</v>
      </c>
      <c r="C253" t="str">
        <f t="shared" ca="1" si="11"/>
        <v>South</v>
      </c>
      <c r="D253" t="str">
        <f t="shared" si="12"/>
        <v>August</v>
      </c>
      <c r="E253" s="15">
        <v>89</v>
      </c>
      <c r="F2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53">
        <v>89971.957062287271</v>
      </c>
      <c r="H253" t="str">
        <f t="shared" ca="1" si="10"/>
        <v>Radio</v>
      </c>
      <c r="I253">
        <v>50.025707661841103</v>
      </c>
      <c r="J253">
        <f>Table16[[#This Row],[Marketing_Spend]]/Table16[[#This Row],[Units_Sold]]</f>
        <v>1010.9208658683963</v>
      </c>
    </row>
    <row r="254" spans="1:10">
      <c r="A254" s="53">
        <v>49565</v>
      </c>
      <c r="B254" s="14" t="s">
        <v>10</v>
      </c>
      <c r="C254" t="str">
        <f t="shared" ca="1" si="11"/>
        <v>North</v>
      </c>
      <c r="D254" t="str">
        <f t="shared" si="12"/>
        <v>September</v>
      </c>
      <c r="E254" s="14">
        <v>89</v>
      </c>
      <c r="F2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54">
        <v>119506.24916955958</v>
      </c>
      <c r="H254" t="str">
        <f t="shared" ca="1" si="10"/>
        <v>Radio</v>
      </c>
      <c r="I254">
        <v>70.1402678833865</v>
      </c>
      <c r="J254">
        <f>Table16[[#This Row],[Marketing_Spend]]/Table16[[#This Row],[Units_Sold]]</f>
        <v>1342.7668446017931</v>
      </c>
    </row>
    <row r="255" spans="1:10">
      <c r="A255" s="54">
        <v>49595</v>
      </c>
      <c r="B255" s="15" t="s">
        <v>12</v>
      </c>
      <c r="C255" t="str">
        <f t="shared" ca="1" si="11"/>
        <v>East</v>
      </c>
      <c r="D255" t="str">
        <f t="shared" si="12"/>
        <v>October</v>
      </c>
      <c r="E255" s="15">
        <v>86</v>
      </c>
      <c r="F2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55">
        <v>110312.56176887912</v>
      </c>
      <c r="H255" t="str">
        <f t="shared" ca="1" si="10"/>
        <v>Radio</v>
      </c>
      <c r="I255">
        <v>31.687725243305618</v>
      </c>
      <c r="J255">
        <f>Table16[[#This Row],[Marketing_Spend]]/Table16[[#This Row],[Units_Sold]]</f>
        <v>1282.7042066148736</v>
      </c>
    </row>
    <row r="256" spans="1:10">
      <c r="A256" s="53">
        <v>49625</v>
      </c>
      <c r="B256" s="14" t="s">
        <v>12</v>
      </c>
      <c r="C256" t="str">
        <f t="shared" ca="1" si="11"/>
        <v>North</v>
      </c>
      <c r="D256" t="str">
        <f t="shared" si="12"/>
        <v>November</v>
      </c>
      <c r="E256" s="14">
        <v>91</v>
      </c>
      <c r="F2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56">
        <v>119568.4422405607</v>
      </c>
      <c r="H256" t="str">
        <f t="shared" ca="1" si="10"/>
        <v>Billboards</v>
      </c>
      <c r="I256">
        <v>85.84028595575478</v>
      </c>
      <c r="J256">
        <f>Table16[[#This Row],[Marketing_Spend]]/Table16[[#This Row],[Units_Sold]]</f>
        <v>1313.9389257204473</v>
      </c>
    </row>
    <row r="257" spans="1:10">
      <c r="A257" s="54">
        <v>49655</v>
      </c>
      <c r="B257" s="15" t="s">
        <v>14</v>
      </c>
      <c r="C257" t="str">
        <f t="shared" ca="1" si="11"/>
        <v>East</v>
      </c>
      <c r="D257" t="str">
        <f t="shared" si="12"/>
        <v>December</v>
      </c>
      <c r="E257" s="15">
        <v>100</v>
      </c>
      <c r="F2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57">
        <v>110442.85091867871</v>
      </c>
      <c r="H257" t="str">
        <f t="shared" ca="1" si="10"/>
        <v>Billboards</v>
      </c>
      <c r="I257">
        <v>38.80250390495349</v>
      </c>
      <c r="J257">
        <f>Table16[[#This Row],[Marketing_Spend]]/Table16[[#This Row],[Units_Sold]]</f>
        <v>1104.4285091867871</v>
      </c>
    </row>
    <row r="258" spans="1:10">
      <c r="A258" s="53">
        <v>49685</v>
      </c>
      <c r="B258" s="14" t="s">
        <v>14</v>
      </c>
      <c r="C258" t="str">
        <f t="shared" ca="1" si="11"/>
        <v>East</v>
      </c>
      <c r="D258" t="str">
        <f t="shared" si="12"/>
        <v>January</v>
      </c>
      <c r="E258" s="14">
        <v>104</v>
      </c>
      <c r="F2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58">
        <v>77926.60342939262</v>
      </c>
      <c r="H258" t="str">
        <f t="shared" ref="H258:H321" ca="1" si="13">CHOOSE(RANDBETWEEN(1,5),"Online","TV","Radio","Print","Billboards")</f>
        <v>Billboards</v>
      </c>
      <c r="I258">
        <v>72.182489025475704</v>
      </c>
      <c r="J258">
        <f>Table16[[#This Row],[Marketing_Spend]]/Table16[[#This Row],[Units_Sold]]</f>
        <v>749.29426374415982</v>
      </c>
    </row>
    <row r="259" spans="1:10">
      <c r="A259" s="54">
        <v>49715</v>
      </c>
      <c r="B259" s="15" t="s">
        <v>14</v>
      </c>
      <c r="C259" t="str">
        <f t="shared" ref="C259:C322" ca="1" si="14">CHOOSE(RANDBETWEEN(1,4),"North","South","East","West")</f>
        <v>North</v>
      </c>
      <c r="D259" t="str">
        <f t="shared" ref="D259:D322" si="15">TEXT(A259,"mmmm")</f>
        <v>February</v>
      </c>
      <c r="E259" s="15">
        <v>80</v>
      </c>
      <c r="F2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259">
        <v>93384.215513448857</v>
      </c>
      <c r="H259" t="str">
        <f t="shared" ca="1" si="13"/>
        <v>Billboards</v>
      </c>
      <c r="I259">
        <v>52.415771406026373</v>
      </c>
      <c r="J259">
        <f>Table16[[#This Row],[Marketing_Spend]]/Table16[[#This Row],[Units_Sold]]</f>
        <v>1167.3026939181107</v>
      </c>
    </row>
    <row r="260" spans="1:10">
      <c r="A260" s="53">
        <v>49745</v>
      </c>
      <c r="B260" s="14" t="s">
        <v>12</v>
      </c>
      <c r="C260" t="str">
        <f t="shared" ca="1" si="14"/>
        <v>West</v>
      </c>
      <c r="D260" t="str">
        <f t="shared" si="15"/>
        <v>March</v>
      </c>
      <c r="E260" s="14">
        <v>110</v>
      </c>
      <c r="F2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60">
        <v>84396.017417650743</v>
      </c>
      <c r="H260" t="str">
        <f t="shared" ca="1" si="13"/>
        <v>Billboards</v>
      </c>
      <c r="I260">
        <v>67.683487638211773</v>
      </c>
      <c r="J260">
        <f>Table16[[#This Row],[Marketing_Spend]]/Table16[[#This Row],[Units_Sold]]</f>
        <v>767.23652197864317</v>
      </c>
    </row>
    <row r="261" spans="1:10">
      <c r="A261" s="54">
        <v>49775</v>
      </c>
      <c r="B261" s="15" t="s">
        <v>14</v>
      </c>
      <c r="C261" t="str">
        <f t="shared" ca="1" si="14"/>
        <v>North</v>
      </c>
      <c r="D261" t="str">
        <f t="shared" si="15"/>
        <v>April</v>
      </c>
      <c r="E261" s="15">
        <v>90</v>
      </c>
      <c r="F2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61">
        <v>126611.4980807808</v>
      </c>
      <c r="H261" t="str">
        <f t="shared" ca="1" si="13"/>
        <v>Billboards</v>
      </c>
      <c r="I261">
        <v>80.215177969999999</v>
      </c>
      <c r="J261">
        <f>Table16[[#This Row],[Marketing_Spend]]/Table16[[#This Row],[Units_Sold]]</f>
        <v>1406.7944231197866</v>
      </c>
    </row>
    <row r="262" spans="1:10">
      <c r="A262" s="53">
        <v>49805</v>
      </c>
      <c r="B262" s="14" t="s">
        <v>10</v>
      </c>
      <c r="C262" t="str">
        <f t="shared" ca="1" si="14"/>
        <v>South</v>
      </c>
      <c r="D262" t="str">
        <f t="shared" si="15"/>
        <v>May</v>
      </c>
      <c r="E262" s="14">
        <v>96</v>
      </c>
      <c r="F2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62">
        <v>76064.227071473768</v>
      </c>
      <c r="H262" t="str">
        <f t="shared" ca="1" si="13"/>
        <v>Billboards</v>
      </c>
      <c r="I262">
        <v>21.353023993728584</v>
      </c>
      <c r="J262">
        <f>Table16[[#This Row],[Marketing_Spend]]/Table16[[#This Row],[Units_Sold]]</f>
        <v>792.33569866118512</v>
      </c>
    </row>
    <row r="263" spans="1:10">
      <c r="A263" s="54">
        <v>49835</v>
      </c>
      <c r="B263" s="15" t="s">
        <v>12</v>
      </c>
      <c r="C263" t="str">
        <f t="shared" ca="1" si="14"/>
        <v>East</v>
      </c>
      <c r="D263" t="str">
        <f t="shared" si="15"/>
        <v>June</v>
      </c>
      <c r="E263" s="15">
        <v>103</v>
      </c>
      <c r="F2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63">
        <v>117873.95378778221</v>
      </c>
      <c r="H263" t="str">
        <f t="shared" ca="1" si="13"/>
        <v>TV</v>
      </c>
      <c r="I263">
        <v>92.765154190424099</v>
      </c>
      <c r="J263">
        <f>Table16[[#This Row],[Marketing_Spend]]/Table16[[#This Row],[Units_Sold]]</f>
        <v>1144.4073183279827</v>
      </c>
    </row>
    <row r="264" spans="1:10">
      <c r="A264" s="53">
        <v>49865</v>
      </c>
      <c r="B264" s="14" t="s">
        <v>14</v>
      </c>
      <c r="C264" t="str">
        <f t="shared" ca="1" si="14"/>
        <v>West</v>
      </c>
      <c r="D264" t="str">
        <f t="shared" si="15"/>
        <v>July</v>
      </c>
      <c r="E264" s="14">
        <v>99</v>
      </c>
      <c r="F2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64">
        <v>117859.07740217539</v>
      </c>
      <c r="H264" t="str">
        <f t="shared" ca="1" si="13"/>
        <v>Online</v>
      </c>
      <c r="I264">
        <v>41.570400701374624</v>
      </c>
      <c r="J264">
        <f>Table16[[#This Row],[Marketing_Spend]]/Table16[[#This Row],[Units_Sold]]</f>
        <v>1190.4957313351049</v>
      </c>
    </row>
    <row r="265" spans="1:10">
      <c r="A265" s="54">
        <v>49895</v>
      </c>
      <c r="B265" s="15" t="s">
        <v>10</v>
      </c>
      <c r="C265" t="str">
        <f t="shared" ca="1" si="14"/>
        <v>West</v>
      </c>
      <c r="D265" t="str">
        <f t="shared" si="15"/>
        <v>August</v>
      </c>
      <c r="E265" s="15">
        <v>100</v>
      </c>
      <c r="F2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65">
        <v>136592.40403432175</v>
      </c>
      <c r="H265" t="str">
        <f t="shared" ca="1" si="13"/>
        <v>Radio</v>
      </c>
      <c r="I265">
        <v>85.574160222436731</v>
      </c>
      <c r="J265">
        <f>Table16[[#This Row],[Marketing_Spend]]/Table16[[#This Row],[Units_Sold]]</f>
        <v>1365.9240403432175</v>
      </c>
    </row>
    <row r="266" spans="1:10">
      <c r="A266" s="53">
        <v>49925</v>
      </c>
      <c r="B266" s="14" t="s">
        <v>14</v>
      </c>
      <c r="C266" t="str">
        <f t="shared" ca="1" si="14"/>
        <v>South</v>
      </c>
      <c r="D266" t="str">
        <f t="shared" si="15"/>
        <v>September</v>
      </c>
      <c r="E266" s="14">
        <v>106</v>
      </c>
      <c r="F2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66">
        <v>91806.268147410054</v>
      </c>
      <c r="H266" t="str">
        <f t="shared" ca="1" si="13"/>
        <v>Billboards</v>
      </c>
      <c r="I266">
        <v>99.948024037776008</v>
      </c>
      <c r="J266">
        <f>Table16[[#This Row],[Marketing_Spend]]/Table16[[#This Row],[Units_Sold]]</f>
        <v>866.09686931518922</v>
      </c>
    </row>
    <row r="267" spans="1:10">
      <c r="A267" s="54">
        <v>49955</v>
      </c>
      <c r="B267" s="15" t="s">
        <v>11</v>
      </c>
      <c r="C267" t="str">
        <f t="shared" ca="1" si="14"/>
        <v>South</v>
      </c>
      <c r="D267" t="str">
        <f t="shared" si="15"/>
        <v>October</v>
      </c>
      <c r="E267" s="15">
        <v>100</v>
      </c>
      <c r="F2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67">
        <v>114246.44319160325</v>
      </c>
      <c r="H267" t="str">
        <f t="shared" ca="1" si="13"/>
        <v>Print</v>
      </c>
      <c r="I267">
        <v>36.914500639912895</v>
      </c>
      <c r="J267">
        <f>Table16[[#This Row],[Marketing_Spend]]/Table16[[#This Row],[Units_Sold]]</f>
        <v>1142.4644319160325</v>
      </c>
    </row>
    <row r="268" spans="1:10">
      <c r="A268" s="53">
        <v>49985</v>
      </c>
      <c r="B268" s="14" t="s">
        <v>14</v>
      </c>
      <c r="C268" t="str">
        <f t="shared" ca="1" si="14"/>
        <v>West</v>
      </c>
      <c r="D268" t="str">
        <f t="shared" si="15"/>
        <v>November</v>
      </c>
      <c r="E268" s="14">
        <v>85</v>
      </c>
      <c r="F2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68">
        <v>145633.03673077686</v>
      </c>
      <c r="H268" t="str">
        <f t="shared" ca="1" si="13"/>
        <v>Print</v>
      </c>
      <c r="I268">
        <v>41.213659294668446</v>
      </c>
      <c r="J268">
        <f>Table16[[#This Row],[Marketing_Spend]]/Table16[[#This Row],[Units_Sold]]</f>
        <v>1713.3298438914924</v>
      </c>
    </row>
    <row r="269" spans="1:10">
      <c r="A269" s="54">
        <v>50015</v>
      </c>
      <c r="B269" s="15" t="s">
        <v>11</v>
      </c>
      <c r="C269" t="str">
        <f t="shared" ca="1" si="14"/>
        <v>South</v>
      </c>
      <c r="D269" t="str">
        <f t="shared" si="15"/>
        <v>December</v>
      </c>
      <c r="E269" s="15">
        <v>101</v>
      </c>
      <c r="F2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69">
        <v>87647.166461326065</v>
      </c>
      <c r="H269" t="str">
        <f t="shared" ca="1" si="13"/>
        <v>Print</v>
      </c>
      <c r="I269">
        <v>73.028783010773253</v>
      </c>
      <c r="J269">
        <f>Table16[[#This Row],[Marketing_Spend]]/Table16[[#This Row],[Units_Sold]]</f>
        <v>867.79372733986202</v>
      </c>
    </row>
    <row r="270" spans="1:10">
      <c r="A270" s="53">
        <v>50045</v>
      </c>
      <c r="B270" s="14" t="s">
        <v>14</v>
      </c>
      <c r="C270" t="str">
        <f t="shared" ca="1" si="14"/>
        <v>North</v>
      </c>
      <c r="D270" t="str">
        <f t="shared" si="15"/>
        <v>January</v>
      </c>
      <c r="E270" s="14">
        <v>93</v>
      </c>
      <c r="F2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70">
        <v>69299.195049352798</v>
      </c>
      <c r="H270" t="str">
        <f t="shared" ca="1" si="13"/>
        <v>Billboards</v>
      </c>
      <c r="I270">
        <v>97.2358907680497</v>
      </c>
      <c r="J270">
        <f>Table16[[#This Row],[Marketing_Spend]]/Table16[[#This Row],[Units_Sold]]</f>
        <v>745.15263493927739</v>
      </c>
    </row>
    <row r="271" spans="1:10">
      <c r="A271" s="54">
        <v>50075</v>
      </c>
      <c r="B271" s="15" t="s">
        <v>13</v>
      </c>
      <c r="C271" t="str">
        <f t="shared" ca="1" si="14"/>
        <v>West</v>
      </c>
      <c r="D271" t="str">
        <f t="shared" si="15"/>
        <v>February</v>
      </c>
      <c r="E271" s="15">
        <v>91</v>
      </c>
      <c r="F2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271">
        <v>62399.79932184473</v>
      </c>
      <c r="H271" t="str">
        <f t="shared" ca="1" si="13"/>
        <v>Billboards</v>
      </c>
      <c r="I271">
        <v>93.265147855259514</v>
      </c>
      <c r="J271">
        <f>Table16[[#This Row],[Marketing_Spend]]/Table16[[#This Row],[Units_Sold]]</f>
        <v>685.71208045983224</v>
      </c>
    </row>
    <row r="272" spans="1:10">
      <c r="A272" s="53">
        <v>50105</v>
      </c>
      <c r="B272" s="14" t="s">
        <v>14</v>
      </c>
      <c r="C272" t="str">
        <f t="shared" ca="1" si="14"/>
        <v>South</v>
      </c>
      <c r="D272" t="str">
        <f t="shared" si="15"/>
        <v>March</v>
      </c>
      <c r="E272" s="14">
        <v>103</v>
      </c>
      <c r="F2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72">
        <v>114254.24057722662</v>
      </c>
      <c r="H272" t="str">
        <f t="shared" ca="1" si="13"/>
        <v>Billboards</v>
      </c>
      <c r="I272">
        <v>60.23004160524679</v>
      </c>
      <c r="J272">
        <f>Table16[[#This Row],[Marketing_Spend]]/Table16[[#This Row],[Units_Sold]]</f>
        <v>1109.2644716235595</v>
      </c>
    </row>
    <row r="273" spans="1:10">
      <c r="A273" s="54">
        <v>50135</v>
      </c>
      <c r="B273" s="15" t="s">
        <v>12</v>
      </c>
      <c r="C273" t="str">
        <f t="shared" ca="1" si="14"/>
        <v>East</v>
      </c>
      <c r="D273" t="str">
        <f t="shared" si="15"/>
        <v>April</v>
      </c>
      <c r="E273" s="15">
        <v>109</v>
      </c>
      <c r="F2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73">
        <v>62336.995838828327</v>
      </c>
      <c r="H273" t="str">
        <f t="shared" ca="1" si="13"/>
        <v>Radio</v>
      </c>
      <c r="I273">
        <v>83.608822602137977</v>
      </c>
      <c r="J273">
        <f>Table16[[#This Row],[Marketing_Spend]]/Table16[[#This Row],[Units_Sold]]</f>
        <v>571.89904439292047</v>
      </c>
    </row>
    <row r="274" spans="1:10">
      <c r="A274" s="53">
        <v>50165</v>
      </c>
      <c r="B274" s="14" t="s">
        <v>12</v>
      </c>
      <c r="C274" t="str">
        <f t="shared" ca="1" si="14"/>
        <v>East</v>
      </c>
      <c r="D274" t="str">
        <f t="shared" si="15"/>
        <v>May</v>
      </c>
      <c r="E274" s="14">
        <v>83</v>
      </c>
      <c r="F2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74">
        <v>92553.618941241541</v>
      </c>
      <c r="H274" t="str">
        <f t="shared" ca="1" si="13"/>
        <v>Online</v>
      </c>
      <c r="I274">
        <v>80.215177969999999</v>
      </c>
      <c r="J274">
        <f>Table16[[#This Row],[Marketing_Spend]]/Table16[[#This Row],[Units_Sold]]</f>
        <v>1115.1038426655607</v>
      </c>
    </row>
    <row r="275" spans="1:10">
      <c r="A275" s="54">
        <v>50195</v>
      </c>
      <c r="B275" s="15" t="s">
        <v>11</v>
      </c>
      <c r="C275" t="str">
        <f t="shared" ca="1" si="14"/>
        <v>West</v>
      </c>
      <c r="D275" t="str">
        <f t="shared" si="15"/>
        <v>June</v>
      </c>
      <c r="E275" s="15">
        <v>102</v>
      </c>
      <c r="F2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75">
        <v>108746.26374077922</v>
      </c>
      <c r="H275" t="str">
        <f t="shared" ca="1" si="13"/>
        <v>Billboards</v>
      </c>
      <c r="I275">
        <v>98.195054736320984</v>
      </c>
      <c r="J275">
        <f>Table16[[#This Row],[Marketing_Spend]]/Table16[[#This Row],[Units_Sold]]</f>
        <v>1066.1398405958746</v>
      </c>
    </row>
    <row r="276" spans="1:10">
      <c r="A276" s="53">
        <v>50225</v>
      </c>
      <c r="B276" s="14" t="s">
        <v>12</v>
      </c>
      <c r="C276" t="str">
        <f t="shared" ca="1" si="14"/>
        <v>South</v>
      </c>
      <c r="D276" t="str">
        <f t="shared" si="15"/>
        <v>July</v>
      </c>
      <c r="E276" s="14">
        <v>98</v>
      </c>
      <c r="F2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76">
        <v>103703.51073659828</v>
      </c>
      <c r="H276" t="str">
        <f t="shared" ca="1" si="13"/>
        <v>TV</v>
      </c>
      <c r="I276">
        <v>97.148258722878921</v>
      </c>
      <c r="J276">
        <f>Table16[[#This Row],[Marketing_Spend]]/Table16[[#This Row],[Units_Sold]]</f>
        <v>1058.199089148962</v>
      </c>
    </row>
    <row r="277" spans="1:10">
      <c r="A277" s="54">
        <v>50255</v>
      </c>
      <c r="B277" s="15" t="s">
        <v>10</v>
      </c>
      <c r="C277" t="str">
        <f t="shared" ca="1" si="14"/>
        <v>East</v>
      </c>
      <c r="D277" t="str">
        <f t="shared" si="15"/>
        <v>August</v>
      </c>
      <c r="E277" s="15">
        <v>93</v>
      </c>
      <c r="F2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77">
        <v>108508.89728368344</v>
      </c>
      <c r="H277" t="str">
        <f t="shared" ca="1" si="13"/>
        <v>Online</v>
      </c>
      <c r="I277">
        <v>33.098316630333677</v>
      </c>
      <c r="J277">
        <f>Table16[[#This Row],[Marketing_Spend]]/Table16[[#This Row],[Units_Sold]]</f>
        <v>1166.7623363836929</v>
      </c>
    </row>
    <row r="278" spans="1:10">
      <c r="A278" s="53">
        <v>50285</v>
      </c>
      <c r="B278" s="14" t="s">
        <v>13</v>
      </c>
      <c r="C278" t="str">
        <f t="shared" ca="1" si="14"/>
        <v>North</v>
      </c>
      <c r="D278" t="str">
        <f t="shared" si="15"/>
        <v>September</v>
      </c>
      <c r="E278" s="14">
        <v>104</v>
      </c>
      <c r="F2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78">
        <f>128897.2893</f>
        <v>128897.2893</v>
      </c>
      <c r="H278" t="str">
        <f t="shared" ca="1" si="13"/>
        <v>TV</v>
      </c>
      <c r="I278">
        <v>43.953849984248528</v>
      </c>
      <c r="J278">
        <f>Table16[[#This Row],[Marketing_Spend]]/Table16[[#This Row],[Units_Sold]]</f>
        <v>1239.3970125000001</v>
      </c>
    </row>
    <row r="279" spans="1:10">
      <c r="A279" s="54">
        <v>50315</v>
      </c>
      <c r="B279" s="15" t="s">
        <v>13</v>
      </c>
      <c r="C279" t="str">
        <f t="shared" ca="1" si="14"/>
        <v>East</v>
      </c>
      <c r="D279" t="str">
        <f t="shared" si="15"/>
        <v>October</v>
      </c>
      <c r="E279" s="15">
        <v>96</v>
      </c>
      <c r="F2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79">
        <v>125577.31626626787</v>
      </c>
      <c r="H279" t="str">
        <f t="shared" ca="1" si="13"/>
        <v>Online</v>
      </c>
      <c r="I279">
        <v>28.012399800541353</v>
      </c>
      <c r="J279">
        <f>Table16[[#This Row],[Marketing_Spend]]/Table16[[#This Row],[Units_Sold]]</f>
        <v>1308.0970444402903</v>
      </c>
    </row>
    <row r="280" spans="1:10">
      <c r="A280" s="53">
        <v>50345</v>
      </c>
      <c r="B280" s="14" t="s">
        <v>10</v>
      </c>
      <c r="C280" t="str">
        <f t="shared" ca="1" si="14"/>
        <v>West</v>
      </c>
      <c r="D280" t="str">
        <f t="shared" si="15"/>
        <v>November</v>
      </c>
      <c r="E280" s="14">
        <v>103</v>
      </c>
      <c r="F2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80">
        <v>80953.672385224054</v>
      </c>
      <c r="H280" t="str">
        <f t="shared" ca="1" si="13"/>
        <v>Billboards</v>
      </c>
      <c r="I280">
        <v>41.737407911854376</v>
      </c>
      <c r="J280">
        <f>Table16[[#This Row],[Marketing_Spend]]/Table16[[#This Row],[Units_Sold]]</f>
        <v>785.95798432256368</v>
      </c>
    </row>
    <row r="281" spans="1:10">
      <c r="A281" s="54">
        <v>50375</v>
      </c>
      <c r="B281" s="15" t="s">
        <v>11</v>
      </c>
      <c r="C281" t="str">
        <f t="shared" ca="1" si="14"/>
        <v>East</v>
      </c>
      <c r="D281" t="str">
        <f t="shared" si="15"/>
        <v>December</v>
      </c>
      <c r="E281" s="15">
        <v>85</v>
      </c>
      <c r="F2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81">
        <v>86460.097230829371</v>
      </c>
      <c r="H281" t="str">
        <f t="shared" ca="1" si="13"/>
        <v>Radio</v>
      </c>
      <c r="I281">
        <v>85.276463153216525</v>
      </c>
      <c r="J281">
        <f>Table16[[#This Row],[Marketing_Spend]]/Table16[[#This Row],[Units_Sold]]</f>
        <v>1017.1776144803456</v>
      </c>
    </row>
    <row r="282" spans="1:10">
      <c r="A282" s="53">
        <v>50405</v>
      </c>
      <c r="B282" s="14" t="s">
        <v>10</v>
      </c>
      <c r="C282" t="str">
        <f t="shared" ca="1" si="14"/>
        <v>North</v>
      </c>
      <c r="D282" t="str">
        <f t="shared" si="15"/>
        <v>December</v>
      </c>
      <c r="E282" s="14">
        <v>92</v>
      </c>
      <c r="F2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82">
        <v>84546.811094583521</v>
      </c>
      <c r="H282" t="str">
        <f t="shared" ca="1" si="13"/>
        <v>Print</v>
      </c>
      <c r="I282">
        <v>50.265248573220759</v>
      </c>
      <c r="J282">
        <f>Table16[[#This Row],[Marketing_Spend]]/Table16[[#This Row],[Units_Sold]]</f>
        <v>918.98707711503823</v>
      </c>
    </row>
    <row r="283" spans="1:10">
      <c r="A283" s="54">
        <v>50435</v>
      </c>
      <c r="B283" s="15" t="s">
        <v>10</v>
      </c>
      <c r="C283" t="str">
        <f t="shared" ca="1" si="14"/>
        <v>North</v>
      </c>
      <c r="D283" t="str">
        <f t="shared" si="15"/>
        <v>January</v>
      </c>
      <c r="E283" s="15">
        <v>90</v>
      </c>
      <c r="F2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83">
        <v>116603.8362372522</v>
      </c>
      <c r="H283" t="str">
        <f t="shared" ca="1" si="13"/>
        <v>Online</v>
      </c>
      <c r="I283">
        <v>27.07175737174067</v>
      </c>
      <c r="J283">
        <f>Table16[[#This Row],[Marketing_Spend]]/Table16[[#This Row],[Units_Sold]]</f>
        <v>1295.5981804139133</v>
      </c>
    </row>
    <row r="284" spans="1:10">
      <c r="A284" s="53">
        <v>50465</v>
      </c>
      <c r="B284" s="14" t="s">
        <v>13</v>
      </c>
      <c r="C284" t="str">
        <f t="shared" ca="1" si="14"/>
        <v>West</v>
      </c>
      <c r="D284" t="str">
        <f t="shared" si="15"/>
        <v>March</v>
      </c>
      <c r="E284" s="14">
        <v>83</v>
      </c>
      <c r="F2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84">
        <v>118007.97176790127</v>
      </c>
      <c r="H284" t="str">
        <f t="shared" ca="1" si="13"/>
        <v>Billboards</v>
      </c>
      <c r="I284">
        <v>47.378041982312368</v>
      </c>
      <c r="J284">
        <f>Table16[[#This Row],[Marketing_Spend]]/Table16[[#This Row],[Units_Sold]]</f>
        <v>1421.7827923843527</v>
      </c>
    </row>
    <row r="285" spans="1:10">
      <c r="A285" s="54">
        <v>50495</v>
      </c>
      <c r="B285" s="15" t="s">
        <v>14</v>
      </c>
      <c r="C285" t="str">
        <f t="shared" ca="1" si="14"/>
        <v>East</v>
      </c>
      <c r="D285" t="str">
        <f t="shared" si="15"/>
        <v>March</v>
      </c>
      <c r="E285" s="15">
        <v>86</v>
      </c>
      <c r="F2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85">
        <v>109024.50638637017</v>
      </c>
      <c r="H285" t="str">
        <f t="shared" ca="1" si="13"/>
        <v>Billboards</v>
      </c>
      <c r="I285">
        <v>98.510666739302408</v>
      </c>
      <c r="J285">
        <f>Table16[[#This Row],[Marketing_Spend]]/Table16[[#This Row],[Units_Sold]]</f>
        <v>1267.7268184461648</v>
      </c>
    </row>
    <row r="286" spans="1:10">
      <c r="A286" s="53">
        <v>50525</v>
      </c>
      <c r="B286" s="14" t="s">
        <v>13</v>
      </c>
      <c r="C286" t="str">
        <f t="shared" ca="1" si="14"/>
        <v>West</v>
      </c>
      <c r="D286" t="str">
        <f t="shared" si="15"/>
        <v>April</v>
      </c>
      <c r="E286" s="14">
        <v>110</v>
      </c>
      <c r="F2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86">
        <v>123669.87333779855</v>
      </c>
      <c r="H286" t="str">
        <f t="shared" ca="1" si="13"/>
        <v>TV</v>
      </c>
      <c r="I286">
        <v>70.374687620736239</v>
      </c>
      <c r="J286">
        <f>Table16[[#This Row],[Marketing_Spend]]/Table16[[#This Row],[Units_Sold]]</f>
        <v>1124.2715757981687</v>
      </c>
    </row>
    <row r="287" spans="1:10">
      <c r="A287" s="54">
        <v>50555</v>
      </c>
      <c r="B287" s="15" t="s">
        <v>13</v>
      </c>
      <c r="C287" t="str">
        <f t="shared" ca="1" si="14"/>
        <v>North</v>
      </c>
      <c r="D287" t="str">
        <f t="shared" si="15"/>
        <v>May</v>
      </c>
      <c r="E287" s="15">
        <v>89</v>
      </c>
      <c r="F2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87">
        <v>76439.182652472387</v>
      </c>
      <c r="H287" t="str">
        <f t="shared" ca="1" si="13"/>
        <v>Online</v>
      </c>
      <c r="I287">
        <v>53.292875712492616</v>
      </c>
      <c r="J287">
        <f>Table16[[#This Row],[Marketing_Spend]]/Table16[[#This Row],[Units_Sold]]</f>
        <v>858.8672208142965</v>
      </c>
    </row>
    <row r="288" spans="1:10">
      <c r="A288" s="53">
        <v>50585</v>
      </c>
      <c r="B288" s="14" t="s">
        <v>12</v>
      </c>
      <c r="C288" t="str">
        <f t="shared" ca="1" si="14"/>
        <v>West</v>
      </c>
      <c r="D288" t="str">
        <f t="shared" si="15"/>
        <v>June</v>
      </c>
      <c r="E288" s="14">
        <v>118</v>
      </c>
      <c r="F2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288">
        <v>133344.48223102273</v>
      </c>
      <c r="H288" t="str">
        <f t="shared" ca="1" si="13"/>
        <v>Online</v>
      </c>
      <c r="I288">
        <v>33.323081079781602</v>
      </c>
      <c r="J288">
        <f>Table16[[#This Row],[Marketing_Spend]]/Table16[[#This Row],[Units_Sold]]</f>
        <v>1130.0379850086672</v>
      </c>
    </row>
    <row r="289" spans="1:10">
      <c r="A289" s="54">
        <v>50615</v>
      </c>
      <c r="B289" s="15" t="s">
        <v>10</v>
      </c>
      <c r="C289" t="str">
        <f t="shared" ca="1" si="14"/>
        <v>East</v>
      </c>
      <c r="D289" t="str">
        <f t="shared" si="15"/>
        <v>July</v>
      </c>
      <c r="E289" s="15">
        <v>102</v>
      </c>
      <c r="F2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289">
        <v>130464.77243424517</v>
      </c>
      <c r="H289" t="str">
        <f t="shared" ca="1" si="13"/>
        <v>Print</v>
      </c>
      <c r="I289">
        <v>98.894143782695579</v>
      </c>
      <c r="J289">
        <f>Table16[[#This Row],[Marketing_Spend]]/Table16[[#This Row],[Units_Sold]]</f>
        <v>1279.0663964141684</v>
      </c>
    </row>
    <row r="290" spans="1:10">
      <c r="A290" s="53">
        <v>50645</v>
      </c>
      <c r="B290" s="14" t="s">
        <v>13</v>
      </c>
      <c r="C290" t="str">
        <f t="shared" ca="1" si="14"/>
        <v>South</v>
      </c>
      <c r="D290" t="str">
        <f t="shared" si="15"/>
        <v>August</v>
      </c>
      <c r="E290" s="14">
        <v>108</v>
      </c>
      <c r="F2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290">
        <v>114712.43994491494</v>
      </c>
      <c r="H290" t="str">
        <f t="shared" ca="1" si="13"/>
        <v>Online</v>
      </c>
      <c r="I290">
        <v>85.667920741050295</v>
      </c>
      <c r="J290">
        <f>Table16[[#This Row],[Marketing_Spend]]/Table16[[#This Row],[Units_Sold]]</f>
        <v>1062.1522217121753</v>
      </c>
    </row>
    <row r="291" spans="1:10">
      <c r="A291" s="54">
        <v>50675</v>
      </c>
      <c r="B291" s="15" t="s">
        <v>10</v>
      </c>
      <c r="C291" t="str">
        <f t="shared" ca="1" si="14"/>
        <v>North</v>
      </c>
      <c r="D291" t="str">
        <f t="shared" si="15"/>
        <v>September</v>
      </c>
      <c r="E291" s="15">
        <v>95</v>
      </c>
      <c r="F2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291">
        <v>135635.97817542119</v>
      </c>
      <c r="H291" t="str">
        <f t="shared" ca="1" si="13"/>
        <v>Online</v>
      </c>
      <c r="I291">
        <v>80.215177969999999</v>
      </c>
      <c r="J291">
        <f>Table16[[#This Row],[Marketing_Spend]]/Table16[[#This Row],[Units_Sold]]</f>
        <v>1427.7471386886441</v>
      </c>
    </row>
    <row r="292" spans="1:10">
      <c r="A292" s="53">
        <v>50705</v>
      </c>
      <c r="B292" s="14" t="s">
        <v>12</v>
      </c>
      <c r="C292" t="str">
        <f t="shared" ca="1" si="14"/>
        <v>South</v>
      </c>
      <c r="D292" t="str">
        <f t="shared" si="15"/>
        <v>October</v>
      </c>
      <c r="E292" s="14">
        <v>100</v>
      </c>
      <c r="F2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292">
        <v>66867.535846444516</v>
      </c>
      <c r="H292" t="str">
        <f t="shared" ca="1" si="13"/>
        <v>Billboards</v>
      </c>
      <c r="I292">
        <v>25.605495657695158</v>
      </c>
      <c r="J292">
        <f>Table16[[#This Row],[Marketing_Spend]]/Table16[[#This Row],[Units_Sold]]</f>
        <v>668.67535846444514</v>
      </c>
    </row>
    <row r="293" spans="1:10">
      <c r="A293" s="54">
        <v>50735</v>
      </c>
      <c r="B293" s="15" t="s">
        <v>10</v>
      </c>
      <c r="C293" t="str">
        <f t="shared" ca="1" si="14"/>
        <v>East</v>
      </c>
      <c r="D293" t="str">
        <f t="shared" si="15"/>
        <v>November</v>
      </c>
      <c r="E293" s="15">
        <v>86</v>
      </c>
      <c r="F2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293">
        <v>89511.037274746966</v>
      </c>
      <c r="H293" t="str">
        <f t="shared" ca="1" si="13"/>
        <v>TV</v>
      </c>
      <c r="I293">
        <v>24.530044590204643</v>
      </c>
      <c r="J293">
        <f>Table16[[#This Row],[Marketing_Spend]]/Table16[[#This Row],[Units_Sold]]</f>
        <v>1040.8260148226391</v>
      </c>
    </row>
    <row r="294" spans="1:10">
      <c r="A294" s="53">
        <v>50765</v>
      </c>
      <c r="B294" s="14" t="s">
        <v>13</v>
      </c>
      <c r="C294" t="str">
        <f t="shared" ca="1" si="14"/>
        <v>North</v>
      </c>
      <c r="D294" t="str">
        <f t="shared" si="15"/>
        <v>December</v>
      </c>
      <c r="E294" s="14">
        <v>94</v>
      </c>
      <c r="F2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294">
        <v>85293.930786360957</v>
      </c>
      <c r="H294" t="str">
        <f t="shared" ca="1" si="13"/>
        <v>Radio</v>
      </c>
      <c r="I294">
        <v>29.630251960442706</v>
      </c>
      <c r="J294">
        <f>Table16[[#This Row],[Marketing_Spend]]/Table16[[#This Row],[Units_Sold]]</f>
        <v>907.38224240809529</v>
      </c>
    </row>
    <row r="295" spans="1:10">
      <c r="A295" s="54">
        <v>50795</v>
      </c>
      <c r="B295" s="15" t="s">
        <v>10</v>
      </c>
      <c r="C295" t="str">
        <f t="shared" ca="1" si="14"/>
        <v>North</v>
      </c>
      <c r="D295" t="str">
        <f t="shared" si="15"/>
        <v>January</v>
      </c>
      <c r="E295" s="15">
        <v>88</v>
      </c>
      <c r="F2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295">
        <v>114429.58647514686</v>
      </c>
      <c r="H295" t="str">
        <f t="shared" ca="1" si="13"/>
        <v>TV</v>
      </c>
      <c r="I295">
        <v>66.46148668915373</v>
      </c>
      <c r="J295">
        <f>Table16[[#This Row],[Marketing_Spend]]/Table16[[#This Row],[Units_Sold]]</f>
        <v>1300.3362099448507</v>
      </c>
    </row>
    <row r="296" spans="1:10">
      <c r="A296" s="53">
        <v>50825</v>
      </c>
      <c r="B296" s="14" t="s">
        <v>12</v>
      </c>
      <c r="C296" t="str">
        <f t="shared" ca="1" si="14"/>
        <v>West</v>
      </c>
      <c r="D296" t="str">
        <f t="shared" si="15"/>
        <v>February</v>
      </c>
      <c r="E296" s="14">
        <v>100</v>
      </c>
      <c r="F2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296">
        <v>78997.185207957082</v>
      </c>
      <c r="H296" t="str">
        <f t="shared" ca="1" si="13"/>
        <v>Billboards</v>
      </c>
      <c r="I296">
        <v>94.301073696439389</v>
      </c>
      <c r="J296">
        <f>Table16[[#This Row],[Marketing_Spend]]/Table16[[#This Row],[Units_Sold]]</f>
        <v>789.97185207957079</v>
      </c>
    </row>
    <row r="297" spans="1:10">
      <c r="A297" s="54">
        <v>50855</v>
      </c>
      <c r="B297" s="15" t="s">
        <v>14</v>
      </c>
      <c r="C297" t="str">
        <f t="shared" ca="1" si="14"/>
        <v>East</v>
      </c>
      <c r="D297" t="str">
        <f t="shared" si="15"/>
        <v>March</v>
      </c>
      <c r="E297" s="15">
        <v>95</v>
      </c>
      <c r="F2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297">
        <v>115149.90298674972</v>
      </c>
      <c r="H297" t="str">
        <f t="shared" ca="1" si="13"/>
        <v>Billboards</v>
      </c>
      <c r="I297">
        <v>59.739474240478756</v>
      </c>
      <c r="J297">
        <f>Table16[[#This Row],[Marketing_Spend]]/Table16[[#This Row],[Units_Sold]]</f>
        <v>1212.1042419657865</v>
      </c>
    </row>
    <row r="298" spans="1:10">
      <c r="A298" s="53">
        <v>50885</v>
      </c>
      <c r="B298" s="14" t="s">
        <v>10</v>
      </c>
      <c r="C298" t="str">
        <f t="shared" ca="1" si="14"/>
        <v>North</v>
      </c>
      <c r="D298" t="str">
        <f t="shared" si="15"/>
        <v>April</v>
      </c>
      <c r="E298" s="14">
        <v>95</v>
      </c>
      <c r="F2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298">
        <v>127410.72287993427</v>
      </c>
      <c r="H298" t="str">
        <f t="shared" ca="1" si="13"/>
        <v>Print</v>
      </c>
      <c r="I298">
        <v>87.435638596495778</v>
      </c>
      <c r="J298">
        <f>Table16[[#This Row],[Marketing_Spend]]/Table16[[#This Row],[Units_Sold]]</f>
        <v>1341.1655039993082</v>
      </c>
    </row>
    <row r="299" spans="1:10">
      <c r="A299" s="54">
        <v>50915</v>
      </c>
      <c r="B299" s="15" t="s">
        <v>13</v>
      </c>
      <c r="C299" t="str">
        <f t="shared" ca="1" si="14"/>
        <v>West</v>
      </c>
      <c r="D299" t="str">
        <f t="shared" si="15"/>
        <v>May</v>
      </c>
      <c r="E299" s="15">
        <v>92</v>
      </c>
      <c r="F2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299">
        <v>113904.05800167998</v>
      </c>
      <c r="H299" t="str">
        <f t="shared" ca="1" si="13"/>
        <v>Print</v>
      </c>
      <c r="I299">
        <v>55.670929588784624</v>
      </c>
      <c r="J299">
        <f>Table16[[#This Row],[Marketing_Spend]]/Table16[[#This Row],[Units_Sold]]</f>
        <v>1238.0875869747824</v>
      </c>
    </row>
    <row r="300" spans="1:10">
      <c r="A300" s="53">
        <v>50945</v>
      </c>
      <c r="B300" s="14" t="s">
        <v>12</v>
      </c>
      <c r="C300" t="str">
        <f t="shared" ca="1" si="14"/>
        <v>West</v>
      </c>
      <c r="D300" t="str">
        <f t="shared" si="15"/>
        <v>June</v>
      </c>
      <c r="E300" s="14">
        <v>108</v>
      </c>
      <c r="F3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00">
        <v>105675.02047323002</v>
      </c>
      <c r="H300" t="str">
        <f t="shared" ca="1" si="13"/>
        <v>Billboards</v>
      </c>
      <c r="I300">
        <v>76.686683661426017</v>
      </c>
      <c r="J300">
        <f>Table16[[#This Row],[Marketing_Spend]]/Table16[[#This Row],[Units_Sold]]</f>
        <v>978.47241178916681</v>
      </c>
    </row>
    <row r="301" spans="1:10">
      <c r="A301" s="54">
        <v>50975</v>
      </c>
      <c r="B301" s="15" t="s">
        <v>13</v>
      </c>
      <c r="C301" t="str">
        <f t="shared" ca="1" si="14"/>
        <v>East</v>
      </c>
      <c r="D301" t="str">
        <f t="shared" si="15"/>
        <v>July</v>
      </c>
      <c r="E301" s="15">
        <v>99</v>
      </c>
      <c r="F3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01">
        <v>80242.533181985025</v>
      </c>
      <c r="H301" t="str">
        <f t="shared" ca="1" si="13"/>
        <v>Print</v>
      </c>
      <c r="I301">
        <v>78.549818982920073</v>
      </c>
      <c r="J301">
        <f>Table16[[#This Row],[Marketing_Spend]]/Table16[[#This Row],[Units_Sold]]</f>
        <v>810.5306382018689</v>
      </c>
    </row>
    <row r="302" spans="1:10">
      <c r="A302" s="53">
        <v>51005</v>
      </c>
      <c r="B302" s="14" t="s">
        <v>13</v>
      </c>
      <c r="C302" t="str">
        <f t="shared" ca="1" si="14"/>
        <v>West</v>
      </c>
      <c r="D302" t="str">
        <f t="shared" si="15"/>
        <v>August</v>
      </c>
      <c r="E302" s="14">
        <v>95</v>
      </c>
      <c r="F3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02">
        <v>83062.980677492713</v>
      </c>
      <c r="H302" t="str">
        <f t="shared" ca="1" si="13"/>
        <v>Billboards</v>
      </c>
      <c r="I302">
        <v>33.91709647226709</v>
      </c>
      <c r="J302">
        <f>Table16[[#This Row],[Marketing_Spend]]/Table16[[#This Row],[Units_Sold]]</f>
        <v>874.34716502623905</v>
      </c>
    </row>
    <row r="303" spans="1:10">
      <c r="A303" s="54">
        <v>51035</v>
      </c>
      <c r="B303" s="15" t="s">
        <v>10</v>
      </c>
      <c r="C303" t="str">
        <f t="shared" ca="1" si="14"/>
        <v>North</v>
      </c>
      <c r="D303" t="str">
        <f t="shared" si="15"/>
        <v>September</v>
      </c>
      <c r="E303" s="15">
        <v>86</v>
      </c>
      <c r="F3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03">
        <v>124992.37810593334</v>
      </c>
      <c r="H303" t="str">
        <f t="shared" ca="1" si="13"/>
        <v>Billboards</v>
      </c>
      <c r="I303">
        <v>48.897284718064938</v>
      </c>
      <c r="J303">
        <f>Table16[[#This Row],[Marketing_Spend]]/Table16[[#This Row],[Units_Sold]]</f>
        <v>1453.3997454178295</v>
      </c>
    </row>
    <row r="304" spans="1:10">
      <c r="A304" s="53">
        <v>51065</v>
      </c>
      <c r="B304" s="14" t="s">
        <v>13</v>
      </c>
      <c r="C304" t="str">
        <f t="shared" ca="1" si="14"/>
        <v>North</v>
      </c>
      <c r="D304" t="str">
        <f t="shared" si="15"/>
        <v>October</v>
      </c>
      <c r="E304" s="14">
        <v>120</v>
      </c>
      <c r="F3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04">
        <v>115586.98007810664</v>
      </c>
      <c r="H304" t="str">
        <f t="shared" ca="1" si="13"/>
        <v>Online</v>
      </c>
      <c r="I304">
        <v>70.984172523041906</v>
      </c>
      <c r="J304">
        <f>Table16[[#This Row],[Marketing_Spend]]/Table16[[#This Row],[Units_Sold]]</f>
        <v>963.22483398422207</v>
      </c>
    </row>
    <row r="305" spans="1:10">
      <c r="A305" s="54">
        <v>51095</v>
      </c>
      <c r="B305" s="15" t="s">
        <v>10</v>
      </c>
      <c r="C305" t="str">
        <f t="shared" ca="1" si="14"/>
        <v>North</v>
      </c>
      <c r="D305" t="str">
        <f t="shared" si="15"/>
        <v>November</v>
      </c>
      <c r="E305" s="15">
        <v>81</v>
      </c>
      <c r="F3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05">
        <v>99219.609612449116</v>
      </c>
      <c r="H305" t="str">
        <f t="shared" ca="1" si="13"/>
        <v>TV</v>
      </c>
      <c r="I305">
        <v>80.215177969999999</v>
      </c>
      <c r="J305">
        <f>Table16[[#This Row],[Marketing_Spend]]/Table16[[#This Row],[Units_Sold]]</f>
        <v>1224.9334520055447</v>
      </c>
    </row>
    <row r="306" spans="1:10">
      <c r="A306" s="53">
        <v>51125</v>
      </c>
      <c r="B306" s="14" t="s">
        <v>14</v>
      </c>
      <c r="C306" t="str">
        <f t="shared" ca="1" si="14"/>
        <v>West</v>
      </c>
      <c r="D306" t="str">
        <f t="shared" si="15"/>
        <v>December</v>
      </c>
      <c r="E306" s="14">
        <v>102</v>
      </c>
      <c r="F3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06">
        <v>91641.809084682187</v>
      </c>
      <c r="H306" t="str">
        <f t="shared" ca="1" si="13"/>
        <v>Online</v>
      </c>
      <c r="I306">
        <v>48.923215021036526</v>
      </c>
      <c r="J306">
        <f>Table16[[#This Row],[Marketing_Spend]]/Table16[[#This Row],[Units_Sold]]</f>
        <v>898.44910867335477</v>
      </c>
    </row>
    <row r="307" spans="1:10">
      <c r="A307" s="54">
        <v>51155</v>
      </c>
      <c r="B307" s="15" t="s">
        <v>13</v>
      </c>
      <c r="C307" t="str">
        <f t="shared" ca="1" si="14"/>
        <v>West</v>
      </c>
      <c r="D307" t="str">
        <f t="shared" si="15"/>
        <v>January</v>
      </c>
      <c r="E307" s="15">
        <v>87</v>
      </c>
      <c r="F3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07">
        <v>59483.842537772463</v>
      </c>
      <c r="H307" t="str">
        <f t="shared" ca="1" si="13"/>
        <v>Radio</v>
      </c>
      <c r="I307">
        <v>62.783957302495395</v>
      </c>
      <c r="J307">
        <f>Table16[[#This Row],[Marketing_Spend]]/Table16[[#This Row],[Units_Sold]]</f>
        <v>683.7223280203732</v>
      </c>
    </row>
    <row r="308" spans="1:10">
      <c r="A308" s="53">
        <v>51185</v>
      </c>
      <c r="B308" s="14" t="s">
        <v>13</v>
      </c>
      <c r="C308" t="str">
        <f t="shared" ca="1" si="14"/>
        <v>South</v>
      </c>
      <c r="D308" t="str">
        <f t="shared" si="15"/>
        <v>February</v>
      </c>
      <c r="E308" s="14">
        <v>90</v>
      </c>
      <c r="F3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308">
        <v>78582.951626311231</v>
      </c>
      <c r="H308" t="str">
        <f t="shared" ca="1" si="13"/>
        <v>Radio</v>
      </c>
      <c r="I308">
        <v>99.697959443571094</v>
      </c>
      <c r="J308">
        <f>Table16[[#This Row],[Marketing_Spend]]/Table16[[#This Row],[Units_Sold]]</f>
        <v>873.14390695901363</v>
      </c>
    </row>
    <row r="309" spans="1:10">
      <c r="A309" s="54">
        <v>51215</v>
      </c>
      <c r="B309" s="15" t="s">
        <v>13</v>
      </c>
      <c r="C309" t="str">
        <f t="shared" ca="1" si="14"/>
        <v>South</v>
      </c>
      <c r="D309" t="str">
        <f t="shared" si="15"/>
        <v>March</v>
      </c>
      <c r="E309" s="15">
        <v>89</v>
      </c>
      <c r="F3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309">
        <v>138228.38174279447</v>
      </c>
      <c r="H309" t="str">
        <f t="shared" ca="1" si="13"/>
        <v>Print</v>
      </c>
      <c r="I309">
        <v>80.215177969999999</v>
      </c>
      <c r="J309">
        <f>Table16[[#This Row],[Marketing_Spend]]/Table16[[#This Row],[Units_Sold]]</f>
        <v>1553.1278847504998</v>
      </c>
    </row>
    <row r="310" spans="1:10">
      <c r="A310" s="53">
        <v>51245</v>
      </c>
      <c r="B310" s="14" t="s">
        <v>11</v>
      </c>
      <c r="C310" t="str">
        <f t="shared" ca="1" si="14"/>
        <v>North</v>
      </c>
      <c r="D310" t="str">
        <f t="shared" si="15"/>
        <v>April</v>
      </c>
      <c r="E310" s="14">
        <v>105</v>
      </c>
      <c r="F3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10">
        <v>74390.888579950668</v>
      </c>
      <c r="H310" t="str">
        <f t="shared" ca="1" si="13"/>
        <v>Online</v>
      </c>
      <c r="I310">
        <v>85.284540569145889</v>
      </c>
      <c r="J310">
        <f>Table16[[#This Row],[Marketing_Spend]]/Table16[[#This Row],[Units_Sold]]</f>
        <v>708.48465314238729</v>
      </c>
    </row>
    <row r="311" spans="1:10">
      <c r="A311" s="54">
        <v>51275</v>
      </c>
      <c r="B311" s="15" t="s">
        <v>11</v>
      </c>
      <c r="C311" t="str">
        <f t="shared" ca="1" si="14"/>
        <v>East</v>
      </c>
      <c r="D311" t="str">
        <f t="shared" si="15"/>
        <v>May</v>
      </c>
      <c r="E311" s="15">
        <v>96</v>
      </c>
      <c r="F3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11">
        <v>103789.59642442162</v>
      </c>
      <c r="H311" t="str">
        <f t="shared" ca="1" si="13"/>
        <v>TV</v>
      </c>
      <c r="I311">
        <v>54.565382805329421</v>
      </c>
      <c r="J311">
        <f>Table16[[#This Row],[Marketing_Spend]]/Table16[[#This Row],[Units_Sold]]</f>
        <v>1081.1416294210585</v>
      </c>
    </row>
    <row r="312" spans="1:10">
      <c r="A312" s="53">
        <v>51305</v>
      </c>
      <c r="B312" s="14" t="s">
        <v>12</v>
      </c>
      <c r="C312" t="str">
        <f t="shared" ca="1" si="14"/>
        <v>South</v>
      </c>
      <c r="D312" t="str">
        <f t="shared" si="15"/>
        <v>June</v>
      </c>
      <c r="E312" s="14">
        <v>97</v>
      </c>
      <c r="F3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12">
        <v>120148.87946390397</v>
      </c>
      <c r="H312" t="str">
        <f t="shared" ca="1" si="13"/>
        <v>Billboards</v>
      </c>
      <c r="I312">
        <v>83.711257809576708</v>
      </c>
      <c r="J312">
        <f>Table16[[#This Row],[Marketing_Spend]]/Table16[[#This Row],[Units_Sold]]</f>
        <v>1238.6482418959172</v>
      </c>
    </row>
    <row r="313" spans="1:10">
      <c r="A313" s="54">
        <v>51335</v>
      </c>
      <c r="B313" s="15" t="s">
        <v>11</v>
      </c>
      <c r="C313" t="str">
        <f t="shared" ca="1" si="14"/>
        <v>South</v>
      </c>
      <c r="D313" t="str">
        <f t="shared" si="15"/>
        <v>July</v>
      </c>
      <c r="E313" s="15">
        <v>98</v>
      </c>
      <c r="F3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13">
        <v>74901.546639954147</v>
      </c>
      <c r="H313" t="str">
        <f t="shared" ca="1" si="13"/>
        <v>Online</v>
      </c>
      <c r="I313">
        <v>67.633184129608679</v>
      </c>
      <c r="J313">
        <f>Table16[[#This Row],[Marketing_Spend]]/Table16[[#This Row],[Units_Sold]]</f>
        <v>764.30149632606276</v>
      </c>
    </row>
    <row r="314" spans="1:10">
      <c r="A314" s="53">
        <v>51365</v>
      </c>
      <c r="B314" s="14" t="s">
        <v>12</v>
      </c>
      <c r="C314" t="str">
        <f t="shared" ca="1" si="14"/>
        <v>South</v>
      </c>
      <c r="D314" t="str">
        <f t="shared" si="15"/>
        <v>August</v>
      </c>
      <c r="E314" s="14">
        <v>100</v>
      </c>
      <c r="F3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14">
        <v>103694.20949562166</v>
      </c>
      <c r="H314" t="str">
        <f t="shared" ca="1" si="13"/>
        <v>Billboards</v>
      </c>
      <c r="I314">
        <v>90.927635320191868</v>
      </c>
      <c r="J314">
        <f>Table16[[#This Row],[Marketing_Spend]]/Table16[[#This Row],[Units_Sold]]</f>
        <v>1036.9420949562166</v>
      </c>
    </row>
    <row r="315" spans="1:10">
      <c r="A315" s="54">
        <v>51395</v>
      </c>
      <c r="B315" s="15" t="s">
        <v>11</v>
      </c>
      <c r="C315" t="str">
        <f t="shared" ca="1" si="14"/>
        <v>East</v>
      </c>
      <c r="D315" t="str">
        <f t="shared" si="15"/>
        <v>September</v>
      </c>
      <c r="E315" s="15">
        <v>108</v>
      </c>
      <c r="F3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15">
        <v>118758.3107502131</v>
      </c>
      <c r="H315" t="str">
        <f t="shared" ca="1" si="13"/>
        <v>Online</v>
      </c>
      <c r="I315">
        <v>52.875404188008794</v>
      </c>
      <c r="J315">
        <f>Table16[[#This Row],[Marketing_Spend]]/Table16[[#This Row],[Units_Sold]]</f>
        <v>1099.6139884278991</v>
      </c>
    </row>
    <row r="316" spans="1:10">
      <c r="A316" s="53">
        <v>51425</v>
      </c>
      <c r="B316" s="14" t="s">
        <v>14</v>
      </c>
      <c r="C316" t="str">
        <f t="shared" ca="1" si="14"/>
        <v>North</v>
      </c>
      <c r="D316" t="str">
        <f t="shared" si="15"/>
        <v>October</v>
      </c>
      <c r="E316" s="14">
        <v>92</v>
      </c>
      <c r="F3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16">
        <v>100249.986438145</v>
      </c>
      <c r="H316" t="str">
        <f t="shared" ca="1" si="13"/>
        <v>Billboards</v>
      </c>
      <c r="I316">
        <v>68.344353585718309</v>
      </c>
      <c r="J316">
        <f>Table16[[#This Row],[Marketing_Spend]]/Table16[[#This Row],[Units_Sold]]</f>
        <v>1089.6737656320108</v>
      </c>
    </row>
    <row r="317" spans="1:10">
      <c r="A317" s="54">
        <v>51455</v>
      </c>
      <c r="B317" s="15" t="s">
        <v>12</v>
      </c>
      <c r="C317" t="str">
        <f t="shared" ca="1" si="14"/>
        <v>West</v>
      </c>
      <c r="D317" t="str">
        <f t="shared" si="15"/>
        <v>November</v>
      </c>
      <c r="E317" s="15">
        <v>97</v>
      </c>
      <c r="F3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17">
        <v>102916.7736</v>
      </c>
      <c r="H317" t="str">
        <f t="shared" ca="1" si="13"/>
        <v>Print</v>
      </c>
      <c r="I317">
        <v>70.401494449506188</v>
      </c>
      <c r="J317">
        <f>Table16[[#This Row],[Marketing_Spend]]/Table16[[#This Row],[Units_Sold]]</f>
        <v>1060.9976659793815</v>
      </c>
    </row>
    <row r="318" spans="1:10">
      <c r="A318" s="53">
        <v>51485</v>
      </c>
      <c r="B318" s="14" t="s">
        <v>11</v>
      </c>
      <c r="C318" t="str">
        <f t="shared" ca="1" si="14"/>
        <v>North</v>
      </c>
      <c r="D318" t="str">
        <f t="shared" si="15"/>
        <v>December</v>
      </c>
      <c r="E318" s="14">
        <v>116</v>
      </c>
      <c r="F3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18">
        <v>66628.014822436089</v>
      </c>
      <c r="H318" t="str">
        <f t="shared" ca="1" si="13"/>
        <v>Print</v>
      </c>
      <c r="I318">
        <v>53.390635344037861</v>
      </c>
      <c r="J318">
        <f>Table16[[#This Row],[Marketing_Spend]]/Table16[[#This Row],[Units_Sold]]</f>
        <v>574.37943812444905</v>
      </c>
    </row>
    <row r="319" spans="1:10">
      <c r="A319" s="54">
        <v>51515</v>
      </c>
      <c r="B319" s="15" t="s">
        <v>14</v>
      </c>
      <c r="C319" t="str">
        <f t="shared" ca="1" si="14"/>
        <v>West</v>
      </c>
      <c r="D319" t="str">
        <f t="shared" si="15"/>
        <v>January</v>
      </c>
      <c r="E319" s="15">
        <v>100</v>
      </c>
      <c r="F3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19">
        <v>121174.57059767758</v>
      </c>
      <c r="H319" t="str">
        <f t="shared" ca="1" si="13"/>
        <v>Print</v>
      </c>
      <c r="I319">
        <v>31.54496349499852</v>
      </c>
      <c r="J319">
        <f>Table16[[#This Row],[Marketing_Spend]]/Table16[[#This Row],[Units_Sold]]</f>
        <v>1211.7457059767758</v>
      </c>
    </row>
    <row r="320" spans="1:10">
      <c r="A320" s="53">
        <v>51545</v>
      </c>
      <c r="B320" s="14" t="s">
        <v>11</v>
      </c>
      <c r="C320" t="str">
        <f t="shared" ca="1" si="14"/>
        <v>South</v>
      </c>
      <c r="D320" t="str">
        <f t="shared" si="15"/>
        <v>February</v>
      </c>
      <c r="E320" s="14">
        <v>87</v>
      </c>
      <c r="F3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320">
        <v>96543.965252070717</v>
      </c>
      <c r="H320" t="str">
        <f t="shared" ca="1" si="13"/>
        <v>Radio</v>
      </c>
      <c r="I320">
        <v>27.484752552986844</v>
      </c>
      <c r="J320">
        <f>Table16[[#This Row],[Marketing_Spend]]/Table16[[#This Row],[Units_Sold]]</f>
        <v>1109.7007500238014</v>
      </c>
    </row>
    <row r="321" spans="1:10">
      <c r="A321" s="54">
        <v>51575</v>
      </c>
      <c r="B321" s="15" t="s">
        <v>10</v>
      </c>
      <c r="C321" t="str">
        <f t="shared" ca="1" si="14"/>
        <v>East</v>
      </c>
      <c r="D321" t="str">
        <f t="shared" si="15"/>
        <v>March</v>
      </c>
      <c r="E321" s="15">
        <v>103</v>
      </c>
      <c r="F3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321">
        <v>115438.4030967335</v>
      </c>
      <c r="H321" t="str">
        <f t="shared" ca="1" si="13"/>
        <v>Billboards</v>
      </c>
      <c r="I321">
        <v>21.333724047970648</v>
      </c>
      <c r="J321">
        <f>Table16[[#This Row],[Marketing_Spend]]/Table16[[#This Row],[Units_Sold]]</f>
        <v>1120.7611951139174</v>
      </c>
    </row>
    <row r="322" spans="1:10">
      <c r="A322" s="53">
        <v>51605</v>
      </c>
      <c r="B322" s="14" t="s">
        <v>10</v>
      </c>
      <c r="C322" t="str">
        <f t="shared" ca="1" si="14"/>
        <v>West</v>
      </c>
      <c r="D322" t="str">
        <f t="shared" si="15"/>
        <v>April</v>
      </c>
      <c r="E322" s="14">
        <v>115</v>
      </c>
      <c r="F3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22">
        <v>108826.14303398492</v>
      </c>
      <c r="H322" t="str">
        <f t="shared" ref="H322:H385" ca="1" si="16">CHOOSE(RANDBETWEEN(1,5),"Online","TV","Radio","Print","Billboards")</f>
        <v>Radio</v>
      </c>
      <c r="I322">
        <v>89.882741139617167</v>
      </c>
      <c r="J322">
        <f>Table16[[#This Row],[Marketing_Spend]]/Table16[[#This Row],[Units_Sold]]</f>
        <v>946.31428725204273</v>
      </c>
    </row>
    <row r="323" spans="1:10">
      <c r="A323" s="54">
        <v>51635</v>
      </c>
      <c r="B323" s="15" t="s">
        <v>14</v>
      </c>
      <c r="C323" t="str">
        <f t="shared" ref="C323:C386" ca="1" si="17">CHOOSE(RANDBETWEEN(1,4),"North","South","East","West")</f>
        <v>North</v>
      </c>
      <c r="D323" t="str">
        <f t="shared" ref="D323:D386" si="18">TEXT(A323,"mmmm")</f>
        <v>May</v>
      </c>
      <c r="E323" s="15">
        <v>88</v>
      </c>
      <c r="F3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23">
        <v>85336.876057800066</v>
      </c>
      <c r="H323" t="str">
        <f t="shared" ca="1" si="16"/>
        <v>TV</v>
      </c>
      <c r="I323">
        <v>80.215177969999999</v>
      </c>
      <c r="J323">
        <f>Table16[[#This Row],[Marketing_Spend]]/Table16[[#This Row],[Units_Sold]]</f>
        <v>969.73722792954618</v>
      </c>
    </row>
    <row r="324" spans="1:10">
      <c r="A324" s="53">
        <v>51665</v>
      </c>
      <c r="B324" s="14" t="s">
        <v>13</v>
      </c>
      <c r="C324" t="str">
        <f t="shared" ca="1" si="17"/>
        <v>West</v>
      </c>
      <c r="D324" t="str">
        <f t="shared" si="18"/>
        <v>June</v>
      </c>
      <c r="E324" s="14">
        <v>100</v>
      </c>
      <c r="F3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24">
        <v>104579.9278491868</v>
      </c>
      <c r="H324" t="str">
        <f t="shared" ca="1" si="16"/>
        <v>Print</v>
      </c>
      <c r="I324">
        <v>36.920539942541446</v>
      </c>
      <c r="J324">
        <f>Table16[[#This Row],[Marketing_Spend]]/Table16[[#This Row],[Units_Sold]]</f>
        <v>1045.7992784918681</v>
      </c>
    </row>
    <row r="325" spans="1:10">
      <c r="A325" s="54">
        <v>51695</v>
      </c>
      <c r="B325" s="15" t="s">
        <v>13</v>
      </c>
      <c r="C325" t="str">
        <f t="shared" ca="1" si="17"/>
        <v>East</v>
      </c>
      <c r="D325" t="str">
        <f t="shared" si="18"/>
        <v>July</v>
      </c>
      <c r="E325" s="15">
        <v>108</v>
      </c>
      <c r="F3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25">
        <v>62841.970972034258</v>
      </c>
      <c r="H325" t="str">
        <f t="shared" ca="1" si="16"/>
        <v>Radio</v>
      </c>
      <c r="I325">
        <v>78.88283203408524</v>
      </c>
      <c r="J325">
        <f>Table16[[#This Row],[Marketing_Spend]]/Table16[[#This Row],[Units_Sold]]</f>
        <v>581.8701015929098</v>
      </c>
    </row>
    <row r="326" spans="1:10">
      <c r="A326" s="53">
        <v>51725</v>
      </c>
      <c r="B326" s="14" t="s">
        <v>10</v>
      </c>
      <c r="C326" t="str">
        <f t="shared" ca="1" si="17"/>
        <v>West</v>
      </c>
      <c r="D326" t="str">
        <f t="shared" si="18"/>
        <v>August</v>
      </c>
      <c r="E326" s="14">
        <v>100</v>
      </c>
      <c r="F3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26">
        <v>112064.95001142788</v>
      </c>
      <c r="H326" t="str">
        <f t="shared" ca="1" si="16"/>
        <v>TV</v>
      </c>
      <c r="I326">
        <v>45.60128904699134</v>
      </c>
      <c r="J326">
        <f>Table16[[#This Row],[Marketing_Spend]]/Table16[[#This Row],[Units_Sold]]</f>
        <v>1120.6495001142787</v>
      </c>
    </row>
    <row r="327" spans="1:10">
      <c r="A327" s="54">
        <v>51755</v>
      </c>
      <c r="B327" s="15" t="s">
        <v>10</v>
      </c>
      <c r="C327" t="str">
        <f t="shared" ca="1" si="17"/>
        <v>West</v>
      </c>
      <c r="D327" t="str">
        <f t="shared" si="18"/>
        <v>September</v>
      </c>
      <c r="E327" s="15">
        <v>86</v>
      </c>
      <c r="F3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27">
        <v>105963.16931981052</v>
      </c>
      <c r="H327" t="str">
        <f t="shared" ca="1" si="16"/>
        <v>Online</v>
      </c>
      <c r="I327">
        <v>65.454227669999995</v>
      </c>
      <c r="J327">
        <f>Table16[[#This Row],[Marketing_Spend]]/Table16[[#This Row],[Units_Sold]]</f>
        <v>1232.1298758117503</v>
      </c>
    </row>
    <row r="328" spans="1:10">
      <c r="A328" s="53">
        <v>51785</v>
      </c>
      <c r="B328" s="14" t="s">
        <v>13</v>
      </c>
      <c r="C328" t="str">
        <f t="shared" ca="1" si="17"/>
        <v>East</v>
      </c>
      <c r="D328" t="str">
        <f t="shared" si="18"/>
        <v>October</v>
      </c>
      <c r="E328" s="14">
        <v>87</v>
      </c>
      <c r="F3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28">
        <v>112773.20337286204</v>
      </c>
      <c r="H328" t="str">
        <f t="shared" ca="1" si="16"/>
        <v>TV</v>
      </c>
      <c r="I328">
        <v>33.000885223796502</v>
      </c>
      <c r="J328">
        <f>Table16[[#This Row],[Marketing_Spend]]/Table16[[#This Row],[Units_Sold]]</f>
        <v>1296.2437169294487</v>
      </c>
    </row>
    <row r="329" spans="1:10">
      <c r="A329" s="54">
        <v>51815</v>
      </c>
      <c r="B329" s="15" t="s">
        <v>12</v>
      </c>
      <c r="C329" t="str">
        <f t="shared" ca="1" si="17"/>
        <v>East</v>
      </c>
      <c r="D329" t="str">
        <f t="shared" si="18"/>
        <v>November</v>
      </c>
      <c r="E329" s="15">
        <v>109</v>
      </c>
      <c r="F3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29">
        <v>121162.366501743</v>
      </c>
      <c r="H329" t="str">
        <f t="shared" ca="1" si="16"/>
        <v>Online</v>
      </c>
      <c r="I329">
        <v>96.779657716957544</v>
      </c>
      <c r="J329">
        <f>Table16[[#This Row],[Marketing_Spend]]/Table16[[#This Row],[Units_Sold]]</f>
        <v>1111.5813440526881</v>
      </c>
    </row>
    <row r="330" spans="1:10">
      <c r="A330" s="53">
        <v>51845</v>
      </c>
      <c r="B330" s="14" t="s">
        <v>13</v>
      </c>
      <c r="C330" t="str">
        <f t="shared" ca="1" si="17"/>
        <v>East</v>
      </c>
      <c r="D330" t="str">
        <f t="shared" si="18"/>
        <v>December</v>
      </c>
      <c r="E330" s="14">
        <v>91</v>
      </c>
      <c r="F3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30">
        <v>107352.39680419421</v>
      </c>
      <c r="H330" t="str">
        <f t="shared" ca="1" si="16"/>
        <v>Billboards</v>
      </c>
      <c r="I330">
        <v>88.126512001378984</v>
      </c>
      <c r="J330">
        <f>Table16[[#This Row],[Marketing_Spend]]/Table16[[#This Row],[Units_Sold]]</f>
        <v>1179.6966681779584</v>
      </c>
    </row>
    <row r="331" spans="1:10">
      <c r="A331" s="54">
        <v>51875</v>
      </c>
      <c r="B331" s="15" t="s">
        <v>11</v>
      </c>
      <c r="C331" t="str">
        <f t="shared" ca="1" si="17"/>
        <v>North</v>
      </c>
      <c r="D331" t="str">
        <f t="shared" si="18"/>
        <v>January</v>
      </c>
      <c r="E331" s="15">
        <v>107</v>
      </c>
      <c r="F3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31">
        <v>102961.78839596553</v>
      </c>
      <c r="H331" t="str">
        <f t="shared" ca="1" si="16"/>
        <v>TV</v>
      </c>
      <c r="I331">
        <v>89.103169837200255</v>
      </c>
      <c r="J331">
        <f>Table16[[#This Row],[Marketing_Spend]]/Table16[[#This Row],[Units_Sold]]</f>
        <v>962.25970463519184</v>
      </c>
    </row>
    <row r="332" spans="1:10">
      <c r="A332" s="53">
        <v>51905</v>
      </c>
      <c r="B332" s="14" t="s">
        <v>12</v>
      </c>
      <c r="C332" t="str">
        <f t="shared" ca="1" si="17"/>
        <v>West</v>
      </c>
      <c r="D332" t="str">
        <f t="shared" si="18"/>
        <v>February</v>
      </c>
      <c r="E332" s="14">
        <v>106</v>
      </c>
      <c r="F3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332">
        <v>82378.633266774152</v>
      </c>
      <c r="H332" t="str">
        <f t="shared" ca="1" si="16"/>
        <v>Online</v>
      </c>
      <c r="I332">
        <v>52.541899885760415</v>
      </c>
      <c r="J332">
        <f>Table16[[#This Row],[Marketing_Spend]]/Table16[[#This Row],[Units_Sold]]</f>
        <v>777.15691761107689</v>
      </c>
    </row>
    <row r="333" spans="1:10">
      <c r="A333" s="54">
        <v>51935</v>
      </c>
      <c r="B333" s="15" t="s">
        <v>11</v>
      </c>
      <c r="C333" t="str">
        <f t="shared" ca="1" si="17"/>
        <v>East</v>
      </c>
      <c r="D333" t="str">
        <f t="shared" si="18"/>
        <v>March</v>
      </c>
      <c r="E333" s="15">
        <v>92</v>
      </c>
      <c r="F3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333">
        <v>85755.584727018984</v>
      </c>
      <c r="H333" t="str">
        <f t="shared" ca="1" si="16"/>
        <v>TV</v>
      </c>
      <c r="I333">
        <v>65.454227669999995</v>
      </c>
      <c r="J333">
        <f>Table16[[#This Row],[Marketing_Spend]]/Table16[[#This Row],[Units_Sold]]</f>
        <v>932.12592094585852</v>
      </c>
    </row>
    <row r="334" spans="1:10">
      <c r="A334" s="53">
        <v>51965</v>
      </c>
      <c r="B334" s="14" t="s">
        <v>10</v>
      </c>
      <c r="C334" t="str">
        <f t="shared" ca="1" si="17"/>
        <v>East</v>
      </c>
      <c r="D334" t="str">
        <f t="shared" si="18"/>
        <v>April</v>
      </c>
      <c r="E334" s="14">
        <v>90</v>
      </c>
      <c r="F3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34">
        <v>102916.7736</v>
      </c>
      <c r="H334" t="str">
        <f t="shared" ca="1" si="16"/>
        <v>Online</v>
      </c>
      <c r="I334">
        <v>31.510092431182414</v>
      </c>
      <c r="J334">
        <f>Table16[[#This Row],[Marketing_Spend]]/Table16[[#This Row],[Units_Sold]]</f>
        <v>1143.5197066666667</v>
      </c>
    </row>
    <row r="335" spans="1:10">
      <c r="A335" s="54">
        <v>51995</v>
      </c>
      <c r="B335" s="15" t="s">
        <v>12</v>
      </c>
      <c r="C335" t="str">
        <f t="shared" ca="1" si="17"/>
        <v>South</v>
      </c>
      <c r="D335" t="str">
        <f t="shared" si="18"/>
        <v>May</v>
      </c>
      <c r="E335" s="15">
        <v>102</v>
      </c>
      <c r="F3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35">
        <v>102916.7736</v>
      </c>
      <c r="H335" t="str">
        <f t="shared" ca="1" si="16"/>
        <v>Radio</v>
      </c>
      <c r="I335">
        <v>20.689520207342422</v>
      </c>
      <c r="J335">
        <f>Table16[[#This Row],[Marketing_Spend]]/Table16[[#This Row],[Units_Sold]]</f>
        <v>1008.9879764705883</v>
      </c>
    </row>
    <row r="336" spans="1:10">
      <c r="A336" s="53">
        <v>52025</v>
      </c>
      <c r="B336" s="14" t="s">
        <v>11</v>
      </c>
      <c r="C336" t="str">
        <f t="shared" ca="1" si="17"/>
        <v>East</v>
      </c>
      <c r="D336" t="str">
        <f t="shared" si="18"/>
        <v>June</v>
      </c>
      <c r="E336" s="14">
        <v>99</v>
      </c>
      <c r="F3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36">
        <v>95237.791273758921</v>
      </c>
      <c r="H336" t="str">
        <f t="shared" ca="1" si="16"/>
        <v>TV</v>
      </c>
      <c r="I336">
        <v>21.597834606242252</v>
      </c>
      <c r="J336">
        <f>Table16[[#This Row],[Marketing_Spend]]/Table16[[#This Row],[Units_Sold]]</f>
        <v>961.99789165413051</v>
      </c>
    </row>
    <row r="337" spans="1:10">
      <c r="A337" s="54">
        <v>52055</v>
      </c>
      <c r="B337" s="15" t="s">
        <v>11</v>
      </c>
      <c r="C337" t="str">
        <f t="shared" ca="1" si="17"/>
        <v>West</v>
      </c>
      <c r="D337" t="str">
        <f t="shared" si="18"/>
        <v>July</v>
      </c>
      <c r="E337" s="15">
        <v>88</v>
      </c>
      <c r="F3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37">
        <v>100920.05494506548</v>
      </c>
      <c r="H337" t="str">
        <f t="shared" ca="1" si="16"/>
        <v>Print</v>
      </c>
      <c r="I337">
        <v>66.928138992364836</v>
      </c>
      <c r="J337">
        <f>Table16[[#This Row],[Marketing_Spend]]/Table16[[#This Row],[Units_Sold]]</f>
        <v>1146.8188061939259</v>
      </c>
    </row>
    <row r="338" spans="1:10">
      <c r="A338" s="53">
        <v>52085</v>
      </c>
      <c r="B338" s="14" t="s">
        <v>12</v>
      </c>
      <c r="C338" t="str">
        <f t="shared" ca="1" si="17"/>
        <v>East</v>
      </c>
      <c r="D338" t="str">
        <f t="shared" si="18"/>
        <v>August</v>
      </c>
      <c r="E338" s="14">
        <v>100</v>
      </c>
      <c r="F3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38">
        <v>81907.712500124675</v>
      </c>
      <c r="H338" t="str">
        <f t="shared" ca="1" si="16"/>
        <v>Billboards</v>
      </c>
      <c r="I338">
        <v>56.431592419835262</v>
      </c>
      <c r="J338">
        <f>Table16[[#This Row],[Marketing_Spend]]/Table16[[#This Row],[Units_Sold]]</f>
        <v>819.07712500124671</v>
      </c>
    </row>
    <row r="339" spans="1:10">
      <c r="A339" s="54">
        <v>52115</v>
      </c>
      <c r="B339" s="15" t="s">
        <v>14</v>
      </c>
      <c r="C339" t="str">
        <f t="shared" ca="1" si="17"/>
        <v>North</v>
      </c>
      <c r="D339" t="str">
        <f t="shared" si="18"/>
        <v>September</v>
      </c>
      <c r="E339" s="15">
        <v>100</v>
      </c>
      <c r="F3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39">
        <v>123455.13690534889</v>
      </c>
      <c r="H339" t="str">
        <f t="shared" ca="1" si="16"/>
        <v>Billboards</v>
      </c>
      <c r="I339">
        <v>61.441227912681583</v>
      </c>
      <c r="J339">
        <f>Table16[[#This Row],[Marketing_Spend]]/Table16[[#This Row],[Units_Sold]]</f>
        <v>1234.551369053489</v>
      </c>
    </row>
    <row r="340" spans="1:10">
      <c r="A340" s="53">
        <v>52145</v>
      </c>
      <c r="B340" s="14" t="s">
        <v>13</v>
      </c>
      <c r="C340" t="str">
        <f t="shared" ca="1" si="17"/>
        <v>South</v>
      </c>
      <c r="D340" t="str">
        <f t="shared" si="18"/>
        <v>October</v>
      </c>
      <c r="E340" s="14">
        <v>106</v>
      </c>
      <c r="F3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40">
        <v>113308.33647383557</v>
      </c>
      <c r="H340" t="str">
        <f t="shared" ca="1" si="16"/>
        <v>TV</v>
      </c>
      <c r="I340">
        <v>80.215177969999999</v>
      </c>
      <c r="J340">
        <f>Table16[[#This Row],[Marketing_Spend]]/Table16[[#This Row],[Units_Sold]]</f>
        <v>1068.9465705078828</v>
      </c>
    </row>
    <row r="341" spans="1:10">
      <c r="A341" s="54">
        <v>52175</v>
      </c>
      <c r="B341" s="15" t="s">
        <v>11</v>
      </c>
      <c r="C341" t="str">
        <f t="shared" ca="1" si="17"/>
        <v>South</v>
      </c>
      <c r="D341" t="str">
        <f t="shared" si="18"/>
        <v>November</v>
      </c>
      <c r="E341" s="15">
        <v>100</v>
      </c>
      <c r="F3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41">
        <v>138824.34872927499</v>
      </c>
      <c r="H341" t="str">
        <f t="shared" ca="1" si="16"/>
        <v>Billboards</v>
      </c>
      <c r="I341">
        <v>53.814929572594053</v>
      </c>
      <c r="J341">
        <f>Table16[[#This Row],[Marketing_Spend]]/Table16[[#This Row],[Units_Sold]]</f>
        <v>1388.2434872927499</v>
      </c>
    </row>
    <row r="342" spans="1:10">
      <c r="A342" s="53">
        <v>52205</v>
      </c>
      <c r="B342" s="14" t="s">
        <v>13</v>
      </c>
      <c r="C342" t="str">
        <f t="shared" ca="1" si="17"/>
        <v>West</v>
      </c>
      <c r="D342" t="str">
        <f t="shared" si="18"/>
        <v>December</v>
      </c>
      <c r="E342" s="14">
        <v>98</v>
      </c>
      <c r="F3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42">
        <v>82433.538456405222</v>
      </c>
      <c r="H342" t="str">
        <f t="shared" ca="1" si="16"/>
        <v>Online</v>
      </c>
      <c r="I342">
        <v>77.445452896068872</v>
      </c>
      <c r="J342">
        <f>Table16[[#This Row],[Marketing_Spend]]/Table16[[#This Row],[Units_Sold]]</f>
        <v>841.15855567760434</v>
      </c>
    </row>
    <row r="343" spans="1:10">
      <c r="A343" s="54">
        <v>52235</v>
      </c>
      <c r="B343" s="15" t="s">
        <v>13</v>
      </c>
      <c r="C343" t="str">
        <f t="shared" ca="1" si="17"/>
        <v>North</v>
      </c>
      <c r="D343" t="str">
        <f t="shared" si="18"/>
        <v>January</v>
      </c>
      <c r="E343" s="15">
        <v>119</v>
      </c>
      <c r="F3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43">
        <v>92439.84201963566</v>
      </c>
      <c r="H343" t="str">
        <f t="shared" ca="1" si="16"/>
        <v>Online</v>
      </c>
      <c r="I343">
        <v>55.41549615739487</v>
      </c>
      <c r="J343">
        <f>Table16[[#This Row],[Marketing_Spend]]/Table16[[#This Row],[Units_Sold]]</f>
        <v>776.80539512298878</v>
      </c>
    </row>
    <row r="344" spans="1:10">
      <c r="A344" s="53">
        <v>52265</v>
      </c>
      <c r="B344" s="14" t="s">
        <v>10</v>
      </c>
      <c r="C344" t="str">
        <f t="shared" ca="1" si="17"/>
        <v>North</v>
      </c>
      <c r="D344" t="str">
        <f t="shared" si="18"/>
        <v>February</v>
      </c>
      <c r="E344" s="14">
        <v>99</v>
      </c>
      <c r="F3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344">
        <v>104628.91845051144</v>
      </c>
      <c r="H344" t="str">
        <f t="shared" ca="1" si="16"/>
        <v>Print</v>
      </c>
      <c r="I344">
        <v>78.577536504977786</v>
      </c>
      <c r="J344">
        <f>Table16[[#This Row],[Marketing_Spend]]/Table16[[#This Row],[Units_Sold]]</f>
        <v>1056.8577621263782</v>
      </c>
    </row>
    <row r="345" spans="1:10">
      <c r="A345" s="54">
        <v>52295</v>
      </c>
      <c r="B345" s="15" t="s">
        <v>13</v>
      </c>
      <c r="C345" t="str">
        <f t="shared" ca="1" si="17"/>
        <v>East</v>
      </c>
      <c r="D345" t="str">
        <f t="shared" si="18"/>
        <v>March</v>
      </c>
      <c r="E345" s="15">
        <v>87</v>
      </c>
      <c r="F3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345">
        <v>112929.79075451542</v>
      </c>
      <c r="H345" t="str">
        <f t="shared" ca="1" si="16"/>
        <v>Online</v>
      </c>
      <c r="I345">
        <v>38.641517151746783</v>
      </c>
      <c r="J345">
        <f>Table16[[#This Row],[Marketing_Spend]]/Table16[[#This Row],[Units_Sold]]</f>
        <v>1298.0435718909819</v>
      </c>
    </row>
    <row r="346" spans="1:10">
      <c r="A346" s="53">
        <v>52325</v>
      </c>
      <c r="B346" s="14" t="s">
        <v>11</v>
      </c>
      <c r="C346" t="str">
        <f t="shared" ca="1" si="17"/>
        <v>West</v>
      </c>
      <c r="D346" t="str">
        <f t="shared" si="18"/>
        <v>April</v>
      </c>
      <c r="E346" s="14">
        <v>100</v>
      </c>
      <c r="F3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46">
        <v>95686.647249047353</v>
      </c>
      <c r="H346" t="str">
        <f t="shared" ca="1" si="16"/>
        <v>Print</v>
      </c>
      <c r="I346">
        <v>85.051360358538034</v>
      </c>
      <c r="J346">
        <f>Table16[[#This Row],[Marketing_Spend]]/Table16[[#This Row],[Units_Sold]]</f>
        <v>956.86647249047348</v>
      </c>
    </row>
    <row r="347" spans="1:10">
      <c r="A347" s="54">
        <v>52355</v>
      </c>
      <c r="B347" s="15" t="s">
        <v>10</v>
      </c>
      <c r="C347" t="str">
        <f t="shared" ca="1" si="17"/>
        <v>West</v>
      </c>
      <c r="D347" t="str">
        <f t="shared" si="18"/>
        <v>May</v>
      </c>
      <c r="E347" s="15">
        <v>103</v>
      </c>
      <c r="F3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47">
        <v>82540.778190925994</v>
      </c>
      <c r="H347" t="str">
        <f t="shared" ca="1" si="16"/>
        <v>Online</v>
      </c>
      <c r="I347">
        <v>67.074499236276182</v>
      </c>
      <c r="J347">
        <f>Table16[[#This Row],[Marketing_Spend]]/Table16[[#This Row],[Units_Sold]]</f>
        <v>801.36677855267953</v>
      </c>
    </row>
    <row r="348" spans="1:10">
      <c r="A348" s="53">
        <v>52385</v>
      </c>
      <c r="B348" s="14" t="s">
        <v>12</v>
      </c>
      <c r="C348" t="str">
        <f t="shared" ca="1" si="17"/>
        <v>East</v>
      </c>
      <c r="D348" t="str">
        <f t="shared" si="18"/>
        <v>June</v>
      </c>
      <c r="E348" s="14">
        <v>79</v>
      </c>
      <c r="F3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48">
        <v>117628.15057847142</v>
      </c>
      <c r="H348" t="str">
        <f t="shared" ca="1" si="16"/>
        <v>TV</v>
      </c>
      <c r="I348">
        <v>36.861047954392497</v>
      </c>
      <c r="J348">
        <f>Table16[[#This Row],[Marketing_Spend]]/Table16[[#This Row],[Units_Sold]]</f>
        <v>1488.9639313730561</v>
      </c>
    </row>
    <row r="349" spans="1:10">
      <c r="A349" s="54">
        <v>52415</v>
      </c>
      <c r="B349" s="15" t="s">
        <v>11</v>
      </c>
      <c r="C349" t="str">
        <f t="shared" ca="1" si="17"/>
        <v>West</v>
      </c>
      <c r="D349" t="str">
        <f t="shared" si="18"/>
        <v>July</v>
      </c>
      <c r="E349" s="15">
        <v>110</v>
      </c>
      <c r="F3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49">
        <v>114422.70725091163</v>
      </c>
      <c r="H349" t="str">
        <f t="shared" ca="1" si="16"/>
        <v>Radio</v>
      </c>
      <c r="I349">
        <v>38.937638068306633</v>
      </c>
      <c r="J349">
        <f>Table16[[#This Row],[Marketing_Spend]]/Table16[[#This Row],[Units_Sold]]</f>
        <v>1040.2064295537421</v>
      </c>
    </row>
    <row r="350" spans="1:10">
      <c r="A350" s="53">
        <v>52445</v>
      </c>
      <c r="B350" s="14" t="s">
        <v>10</v>
      </c>
      <c r="C350" t="str">
        <f t="shared" ca="1" si="17"/>
        <v>North</v>
      </c>
      <c r="D350" t="str">
        <f t="shared" si="18"/>
        <v>August</v>
      </c>
      <c r="E350" s="14">
        <v>95</v>
      </c>
      <c r="F3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50">
        <v>81674.517988725507</v>
      </c>
      <c r="H350" t="str">
        <f t="shared" ca="1" si="16"/>
        <v>Online</v>
      </c>
      <c r="I350">
        <v>70.242437165562961</v>
      </c>
      <c r="J350">
        <f>Table16[[#This Row],[Marketing_Spend]]/Table16[[#This Row],[Units_Sold]]</f>
        <v>859.73176830237378</v>
      </c>
    </row>
    <row r="351" spans="1:10">
      <c r="A351" s="54">
        <v>52475</v>
      </c>
      <c r="B351" s="15" t="s">
        <v>10</v>
      </c>
      <c r="C351" t="str">
        <f t="shared" ca="1" si="17"/>
        <v>North</v>
      </c>
      <c r="D351" t="str">
        <f t="shared" si="18"/>
        <v>September</v>
      </c>
      <c r="E351" s="15">
        <v>101</v>
      </c>
      <c r="F3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51">
        <v>127108.85602210992</v>
      </c>
      <c r="H351" t="str">
        <f t="shared" ca="1" si="16"/>
        <v>TV</v>
      </c>
      <c r="I351">
        <v>86.395167456995466</v>
      </c>
      <c r="J351">
        <f>Table16[[#This Row],[Marketing_Spend]]/Table16[[#This Row],[Units_Sold]]</f>
        <v>1258.5035249713853</v>
      </c>
    </row>
    <row r="352" spans="1:10">
      <c r="A352" s="53">
        <v>52505</v>
      </c>
      <c r="B352" s="14" t="s">
        <v>13</v>
      </c>
      <c r="C352" t="str">
        <f t="shared" ca="1" si="17"/>
        <v>West</v>
      </c>
      <c r="D352" t="str">
        <f t="shared" si="18"/>
        <v>October</v>
      </c>
      <c r="E352" s="14">
        <v>95</v>
      </c>
      <c r="F3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52">
        <v>123403.97418393208</v>
      </c>
      <c r="H352" t="str">
        <f t="shared" ca="1" si="16"/>
        <v>Billboards</v>
      </c>
      <c r="I352">
        <v>80.215177969999999</v>
      </c>
      <c r="J352">
        <f>Table16[[#This Row],[Marketing_Spend]]/Table16[[#This Row],[Units_Sold]]</f>
        <v>1298.9892019361271</v>
      </c>
    </row>
    <row r="353" spans="1:10">
      <c r="A353" s="54">
        <v>52535</v>
      </c>
      <c r="B353" s="15" t="s">
        <v>12</v>
      </c>
      <c r="C353" t="str">
        <f t="shared" ca="1" si="17"/>
        <v>East</v>
      </c>
      <c r="D353" t="str">
        <f t="shared" si="18"/>
        <v>October</v>
      </c>
      <c r="E353" s="15">
        <v>107</v>
      </c>
      <c r="F3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53">
        <v>102685.92994495586</v>
      </c>
      <c r="H353" t="str">
        <f t="shared" ca="1" si="16"/>
        <v>Radio</v>
      </c>
      <c r="I353">
        <v>40.664034330207379</v>
      </c>
      <c r="J353">
        <f>Table16[[#This Row],[Marketing_Spend]]/Table16[[#This Row],[Units_Sold]]</f>
        <v>959.68158827061552</v>
      </c>
    </row>
    <row r="354" spans="1:10">
      <c r="A354" s="53">
        <v>52565</v>
      </c>
      <c r="B354" s="14" t="s">
        <v>11</v>
      </c>
      <c r="C354" t="str">
        <f t="shared" ca="1" si="17"/>
        <v>North</v>
      </c>
      <c r="D354" t="str">
        <f t="shared" si="18"/>
        <v>November</v>
      </c>
      <c r="E354" s="14">
        <v>91</v>
      </c>
      <c r="F3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54">
        <v>101591.95724752072</v>
      </c>
      <c r="H354" t="str">
        <f t="shared" ca="1" si="16"/>
        <v>Billboards</v>
      </c>
      <c r="I354">
        <v>89.360928552848037</v>
      </c>
      <c r="J354">
        <f>Table16[[#This Row],[Marketing_Spend]]/Table16[[#This Row],[Units_Sold]]</f>
        <v>1116.3951345881399</v>
      </c>
    </row>
    <row r="355" spans="1:10">
      <c r="A355" s="54">
        <v>52595</v>
      </c>
      <c r="B355" s="15" t="s">
        <v>11</v>
      </c>
      <c r="C355" t="str">
        <f t="shared" ca="1" si="17"/>
        <v>East</v>
      </c>
      <c r="D355" t="str">
        <f t="shared" si="18"/>
        <v>December</v>
      </c>
      <c r="E355" s="15">
        <v>87</v>
      </c>
      <c r="F3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55">
        <v>111081.15542231814</v>
      </c>
      <c r="H355" t="str">
        <f t="shared" ca="1" si="16"/>
        <v>Print</v>
      </c>
      <c r="I355">
        <v>80.215177969999999</v>
      </c>
      <c r="J355">
        <f>Table16[[#This Row],[Marketing_Spend]]/Table16[[#This Row],[Units_Sold]]</f>
        <v>1276.7948899117027</v>
      </c>
    </row>
    <row r="356" spans="1:10">
      <c r="A356" s="53">
        <v>52625</v>
      </c>
      <c r="B356" s="14" t="s">
        <v>13</v>
      </c>
      <c r="C356" t="str">
        <f t="shared" ca="1" si="17"/>
        <v>South</v>
      </c>
      <c r="D356" t="str">
        <f t="shared" si="18"/>
        <v>January</v>
      </c>
      <c r="E356" s="14">
        <v>100</v>
      </c>
      <c r="F3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56">
        <v>82765.938594874839</v>
      </c>
      <c r="H356" t="str">
        <f t="shared" ca="1" si="16"/>
        <v>Radio</v>
      </c>
      <c r="I356">
        <v>55.846838982646119</v>
      </c>
      <c r="J356">
        <f>Table16[[#This Row],[Marketing_Spend]]/Table16[[#This Row],[Units_Sold]]</f>
        <v>827.65938594874842</v>
      </c>
    </row>
    <row r="357" spans="1:10">
      <c r="A357" s="54">
        <v>52655</v>
      </c>
      <c r="B357" s="15" t="s">
        <v>12</v>
      </c>
      <c r="C357" t="str">
        <f t="shared" ca="1" si="17"/>
        <v>South</v>
      </c>
      <c r="D357" t="str">
        <f t="shared" si="18"/>
        <v>February</v>
      </c>
      <c r="E357" s="15">
        <v>117</v>
      </c>
      <c r="F3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357">
        <v>100600.62958328164</v>
      </c>
      <c r="H357" t="str">
        <f t="shared" ca="1" si="16"/>
        <v>Online</v>
      </c>
      <c r="I357">
        <v>59.032015622344147</v>
      </c>
      <c r="J357">
        <f>Table16[[#This Row],[Marketing_Spend]]/Table16[[#This Row],[Units_Sold]]</f>
        <v>859.83444088274905</v>
      </c>
    </row>
    <row r="358" spans="1:10">
      <c r="A358" s="53">
        <v>52685</v>
      </c>
      <c r="B358" s="14" t="s">
        <v>11</v>
      </c>
      <c r="C358" t="str">
        <f t="shared" ca="1" si="17"/>
        <v>North</v>
      </c>
      <c r="D358" t="str">
        <f t="shared" si="18"/>
        <v>March</v>
      </c>
      <c r="E358" s="14">
        <v>102</v>
      </c>
      <c r="F3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358">
        <v>56952.329107816389</v>
      </c>
      <c r="H358" t="str">
        <f t="shared" ca="1" si="16"/>
        <v>TV</v>
      </c>
      <c r="I358">
        <v>80.215177969999999</v>
      </c>
      <c r="J358">
        <f>Table16[[#This Row],[Marketing_Spend]]/Table16[[#This Row],[Units_Sold]]</f>
        <v>558.35616772369008</v>
      </c>
    </row>
    <row r="359" spans="1:10">
      <c r="A359" s="54">
        <v>52715</v>
      </c>
      <c r="B359" s="15" t="s">
        <v>12</v>
      </c>
      <c r="C359" t="str">
        <f t="shared" ca="1" si="17"/>
        <v>North</v>
      </c>
      <c r="D359" t="str">
        <f t="shared" si="18"/>
        <v>April</v>
      </c>
      <c r="E359" s="15">
        <v>88</v>
      </c>
      <c r="F3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59">
        <v>117529.11291005871</v>
      </c>
      <c r="H359" t="str">
        <f t="shared" ca="1" si="16"/>
        <v>Print</v>
      </c>
      <c r="I359">
        <v>70.144210405187522</v>
      </c>
      <c r="J359">
        <f>Table16[[#This Row],[Marketing_Spend]]/Table16[[#This Row],[Units_Sold]]</f>
        <v>1335.5581012506673</v>
      </c>
    </row>
    <row r="360" spans="1:10">
      <c r="A360" s="53">
        <v>52745</v>
      </c>
      <c r="B360" s="14" t="s">
        <v>11</v>
      </c>
      <c r="C360" t="str">
        <f t="shared" ca="1" si="17"/>
        <v>South</v>
      </c>
      <c r="D360" t="str">
        <f t="shared" si="18"/>
        <v>May</v>
      </c>
      <c r="E360" s="14">
        <v>100</v>
      </c>
      <c r="F3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60">
        <v>68770.135551162821</v>
      </c>
      <c r="H360" t="str">
        <f t="shared" ca="1" si="16"/>
        <v>Print</v>
      </c>
      <c r="I360">
        <v>48.699400843431093</v>
      </c>
      <c r="J360">
        <f>Table16[[#This Row],[Marketing_Spend]]/Table16[[#This Row],[Units_Sold]]</f>
        <v>687.70135551162821</v>
      </c>
    </row>
    <row r="361" spans="1:10">
      <c r="A361" s="54">
        <v>52775</v>
      </c>
      <c r="B361" s="15" t="s">
        <v>13</v>
      </c>
      <c r="C361" t="str">
        <f t="shared" ca="1" si="17"/>
        <v>East</v>
      </c>
      <c r="D361" t="str">
        <f t="shared" si="18"/>
        <v>June</v>
      </c>
      <c r="E361" s="15">
        <v>81</v>
      </c>
      <c r="F3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61">
        <v>130068.39656857998</v>
      </c>
      <c r="H361" t="str">
        <f t="shared" ca="1" si="16"/>
        <v>Radio</v>
      </c>
      <c r="I361">
        <v>99.651614133947945</v>
      </c>
      <c r="J361">
        <f>Table16[[#This Row],[Marketing_Spend]]/Table16[[#This Row],[Units_Sold]]</f>
        <v>1605.7826736861725</v>
      </c>
    </row>
    <row r="362" spans="1:10">
      <c r="A362" s="53">
        <v>52805</v>
      </c>
      <c r="B362" s="14" t="s">
        <v>14</v>
      </c>
      <c r="C362" t="str">
        <f t="shared" ca="1" si="17"/>
        <v>North</v>
      </c>
      <c r="D362" t="str">
        <f t="shared" si="18"/>
        <v>July</v>
      </c>
      <c r="E362" s="14">
        <v>91</v>
      </c>
      <c r="F3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62">
        <v>93397.598120670998</v>
      </c>
      <c r="H362" t="str">
        <f t="shared" ca="1" si="16"/>
        <v>Print</v>
      </c>
      <c r="I362">
        <v>58.414681220951024</v>
      </c>
      <c r="J362">
        <f>Table16[[#This Row],[Marketing_Spend]]/Table16[[#This Row],[Units_Sold]]</f>
        <v>1026.3472320952858</v>
      </c>
    </row>
    <row r="363" spans="1:10">
      <c r="A363" s="54">
        <v>52835</v>
      </c>
      <c r="B363" s="15" t="s">
        <v>11</v>
      </c>
      <c r="C363" t="str">
        <f t="shared" ca="1" si="17"/>
        <v>West</v>
      </c>
      <c r="D363" t="str">
        <f t="shared" si="18"/>
        <v>August</v>
      </c>
      <c r="E363" s="15">
        <v>90</v>
      </c>
      <c r="F3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63">
        <v>95766.66036137646</v>
      </c>
      <c r="H363" t="str">
        <f t="shared" ca="1" si="16"/>
        <v>Radio</v>
      </c>
      <c r="I363">
        <v>58.870848495169056</v>
      </c>
      <c r="J363">
        <f>Table16[[#This Row],[Marketing_Spend]]/Table16[[#This Row],[Units_Sold]]</f>
        <v>1064.0740040152939</v>
      </c>
    </row>
    <row r="364" spans="1:10">
      <c r="A364" s="53">
        <v>52865</v>
      </c>
      <c r="B364" s="14" t="s">
        <v>10</v>
      </c>
      <c r="C364" t="str">
        <f t="shared" ca="1" si="17"/>
        <v>East</v>
      </c>
      <c r="D364" t="str">
        <f t="shared" si="18"/>
        <v>September</v>
      </c>
      <c r="E364" s="14">
        <v>102</v>
      </c>
      <c r="F3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64">
        <v>87445.321878309886</v>
      </c>
      <c r="H364" t="str">
        <f t="shared" ca="1" si="16"/>
        <v>Billboards</v>
      </c>
      <c r="I364">
        <v>65.268142992853754</v>
      </c>
      <c r="J364">
        <f>Table16[[#This Row],[Marketing_Spend]]/Table16[[#This Row],[Units_Sold]]</f>
        <v>857.30707723833223</v>
      </c>
    </row>
    <row r="365" spans="1:10">
      <c r="A365" s="54">
        <v>52895</v>
      </c>
      <c r="B365" s="15" t="s">
        <v>10</v>
      </c>
      <c r="C365" t="str">
        <f t="shared" ca="1" si="17"/>
        <v>West</v>
      </c>
      <c r="D365" t="str">
        <f t="shared" si="18"/>
        <v>October</v>
      </c>
      <c r="E365" s="15">
        <v>109</v>
      </c>
      <c r="F3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65">
        <v>94239.222521558477</v>
      </c>
      <c r="H365" t="str">
        <f t="shared" ca="1" si="16"/>
        <v>Radio</v>
      </c>
      <c r="I365">
        <v>93.340480249499734</v>
      </c>
      <c r="J365">
        <f>Table16[[#This Row],[Marketing_Spend]]/Table16[[#This Row],[Units_Sold]]</f>
        <v>864.58002313356405</v>
      </c>
    </row>
    <row r="366" spans="1:10">
      <c r="A366" s="53">
        <v>52925</v>
      </c>
      <c r="B366" s="14" t="s">
        <v>14</v>
      </c>
      <c r="C366" t="str">
        <f t="shared" ca="1" si="17"/>
        <v>East</v>
      </c>
      <c r="D366" t="str">
        <f t="shared" si="18"/>
        <v>November</v>
      </c>
      <c r="E366" s="14">
        <v>101</v>
      </c>
      <c r="F3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66">
        <v>128370.62690296074</v>
      </c>
      <c r="H366" t="str">
        <f t="shared" ca="1" si="16"/>
        <v>Radio</v>
      </c>
      <c r="I366">
        <v>84.065447988780022</v>
      </c>
      <c r="J366">
        <f>Table16[[#This Row],[Marketing_Spend]]/Table16[[#This Row],[Units_Sold]]</f>
        <v>1270.9963059699082</v>
      </c>
    </row>
    <row r="367" spans="1:10">
      <c r="A367" s="54">
        <v>52955</v>
      </c>
      <c r="B367" s="15" t="s">
        <v>11</v>
      </c>
      <c r="C367" t="str">
        <f t="shared" ca="1" si="17"/>
        <v>North</v>
      </c>
      <c r="D367" t="str">
        <f t="shared" si="18"/>
        <v>December</v>
      </c>
      <c r="E367" s="15">
        <v>97</v>
      </c>
      <c r="F3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67">
        <v>50243.826869298413</v>
      </c>
      <c r="H367" t="str">
        <f t="shared" ca="1" si="16"/>
        <v>Radio</v>
      </c>
      <c r="I367">
        <v>56.090405583827312</v>
      </c>
      <c r="J367">
        <f>Table16[[#This Row],[Marketing_Spend]]/Table16[[#This Row],[Units_Sold]]</f>
        <v>517.97759659070528</v>
      </c>
    </row>
    <row r="368" spans="1:10">
      <c r="A368" s="53">
        <v>52985</v>
      </c>
      <c r="B368" s="14" t="s">
        <v>10</v>
      </c>
      <c r="C368" t="str">
        <f t="shared" ca="1" si="17"/>
        <v>North</v>
      </c>
      <c r="D368" t="str">
        <f t="shared" si="18"/>
        <v>January</v>
      </c>
      <c r="E368" s="14">
        <v>88</v>
      </c>
      <c r="F3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68">
        <v>125539.30772176376</v>
      </c>
      <c r="H368" t="str">
        <f t="shared" ca="1" si="16"/>
        <v>Online</v>
      </c>
      <c r="I368">
        <v>77.495941277823675</v>
      </c>
      <c r="J368">
        <f>Table16[[#This Row],[Marketing_Spend]]/Table16[[#This Row],[Units_Sold]]</f>
        <v>1426.58304229277</v>
      </c>
    </row>
    <row r="369" spans="1:10">
      <c r="A369" s="54">
        <v>53015</v>
      </c>
      <c r="B369" s="15" t="s">
        <v>10</v>
      </c>
      <c r="C369" t="str">
        <f t="shared" ca="1" si="17"/>
        <v>South</v>
      </c>
      <c r="D369" t="str">
        <f t="shared" si="18"/>
        <v>February</v>
      </c>
      <c r="E369" s="15">
        <v>100</v>
      </c>
      <c r="F3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369">
        <v>106760.46962203416</v>
      </c>
      <c r="H369" t="str">
        <f t="shared" ca="1" si="16"/>
        <v>Radio</v>
      </c>
      <c r="I369">
        <v>66.898839902460935</v>
      </c>
      <c r="J369">
        <f>Table16[[#This Row],[Marketing_Spend]]/Table16[[#This Row],[Units_Sold]]</f>
        <v>1067.6046962203416</v>
      </c>
    </row>
    <row r="370" spans="1:10">
      <c r="A370" s="53">
        <v>53045</v>
      </c>
      <c r="B370" s="14" t="s">
        <v>11</v>
      </c>
      <c r="C370" t="str">
        <f t="shared" ca="1" si="17"/>
        <v>North</v>
      </c>
      <c r="D370" t="str">
        <f t="shared" si="18"/>
        <v>March</v>
      </c>
      <c r="E370" s="14">
        <v>104</v>
      </c>
      <c r="F3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370">
        <v>75859.567042855691</v>
      </c>
      <c r="H370" t="str">
        <f t="shared" ca="1" si="16"/>
        <v>Billboards</v>
      </c>
      <c r="I370">
        <v>59.389363896099916</v>
      </c>
      <c r="J370">
        <f>Table16[[#This Row],[Marketing_Spend]]/Table16[[#This Row],[Units_Sold]]</f>
        <v>729.41891387361238</v>
      </c>
    </row>
    <row r="371" spans="1:10">
      <c r="A371" s="54">
        <v>53075</v>
      </c>
      <c r="B371" s="15" t="s">
        <v>12</v>
      </c>
      <c r="C371" t="str">
        <f t="shared" ca="1" si="17"/>
        <v>East</v>
      </c>
      <c r="D371" t="str">
        <f t="shared" si="18"/>
        <v>April</v>
      </c>
      <c r="E371" s="15">
        <v>106</v>
      </c>
      <c r="F3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71">
        <v>78493.75213901524</v>
      </c>
      <c r="H371" t="str">
        <f t="shared" ca="1" si="16"/>
        <v>Online</v>
      </c>
      <c r="I371">
        <v>35.385261822748042</v>
      </c>
      <c r="J371">
        <f>Table16[[#This Row],[Marketing_Spend]]/Table16[[#This Row],[Units_Sold]]</f>
        <v>740.50709565108718</v>
      </c>
    </row>
    <row r="372" spans="1:10">
      <c r="A372" s="53">
        <v>53105</v>
      </c>
      <c r="B372" s="14" t="s">
        <v>11</v>
      </c>
      <c r="C372" t="str">
        <f t="shared" ca="1" si="17"/>
        <v>North</v>
      </c>
      <c r="D372" t="str">
        <f t="shared" si="18"/>
        <v>May</v>
      </c>
      <c r="E372" s="14">
        <v>91</v>
      </c>
      <c r="F3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72">
        <v>133527.86054416405</v>
      </c>
      <c r="H372" t="str">
        <f t="shared" ca="1" si="16"/>
        <v>Online</v>
      </c>
      <c r="I372">
        <v>57.114901076391277</v>
      </c>
      <c r="J372">
        <f>Table16[[#This Row],[Marketing_Spend]]/Table16[[#This Row],[Units_Sold]]</f>
        <v>1467.3391268589457</v>
      </c>
    </row>
    <row r="373" spans="1:10">
      <c r="A373" s="54">
        <v>53135</v>
      </c>
      <c r="B373" s="15" t="s">
        <v>12</v>
      </c>
      <c r="C373" t="str">
        <f t="shared" ca="1" si="17"/>
        <v>North</v>
      </c>
      <c r="D373" t="str">
        <f t="shared" si="18"/>
        <v>June</v>
      </c>
      <c r="E373" s="15">
        <v>110</v>
      </c>
      <c r="F3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73">
        <v>81089.862401145379</v>
      </c>
      <c r="H373" t="str">
        <f t="shared" ca="1" si="16"/>
        <v>Radio</v>
      </c>
      <c r="I373">
        <v>39.665486961805968</v>
      </c>
      <c r="J373">
        <f>Table16[[#This Row],[Marketing_Spend]]/Table16[[#This Row],[Units_Sold]]</f>
        <v>737.18056728313979</v>
      </c>
    </row>
    <row r="374" spans="1:10">
      <c r="A374" s="53">
        <v>53165</v>
      </c>
      <c r="B374" s="14" t="s">
        <v>14</v>
      </c>
      <c r="C374" t="str">
        <f t="shared" ca="1" si="17"/>
        <v>East</v>
      </c>
      <c r="D374" t="str">
        <f t="shared" si="18"/>
        <v>July</v>
      </c>
      <c r="E374" s="14">
        <v>104</v>
      </c>
      <c r="F3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74">
        <v>76932.989788080813</v>
      </c>
      <c r="H374" t="str">
        <f t="shared" ca="1" si="16"/>
        <v>Radio</v>
      </c>
      <c r="I374">
        <v>93.187371988132369</v>
      </c>
      <c r="J374">
        <f>Table16[[#This Row],[Marketing_Spend]]/Table16[[#This Row],[Units_Sold]]</f>
        <v>739.74028642385395</v>
      </c>
    </row>
    <row r="375" spans="1:10">
      <c r="A375" s="54">
        <v>53195</v>
      </c>
      <c r="B375" s="15" t="s">
        <v>13</v>
      </c>
      <c r="C375" t="str">
        <f t="shared" ca="1" si="17"/>
        <v>North</v>
      </c>
      <c r="D375" t="str">
        <f t="shared" si="18"/>
        <v>August</v>
      </c>
      <c r="E375" s="15">
        <v>85</v>
      </c>
      <c r="F3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75">
        <v>122746.29084729459</v>
      </c>
      <c r="H375" t="str">
        <f t="shared" ca="1" si="16"/>
        <v>Billboards</v>
      </c>
      <c r="I375">
        <v>46.832545079707756</v>
      </c>
      <c r="J375">
        <f>Table16[[#This Row],[Marketing_Spend]]/Table16[[#This Row],[Units_Sold]]</f>
        <v>1444.0740099681716</v>
      </c>
    </row>
    <row r="376" spans="1:10">
      <c r="A376" s="53">
        <v>53225</v>
      </c>
      <c r="B376" s="14" t="s">
        <v>14</v>
      </c>
      <c r="C376" t="str">
        <f t="shared" ca="1" si="17"/>
        <v>West</v>
      </c>
      <c r="D376" t="str">
        <f t="shared" si="18"/>
        <v>September</v>
      </c>
      <c r="E376" s="14">
        <v>107</v>
      </c>
      <c r="F3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76">
        <v>106771.05752571828</v>
      </c>
      <c r="H376" t="str">
        <f t="shared" ca="1" si="16"/>
        <v>Billboards</v>
      </c>
      <c r="I376">
        <v>96.181121162669783</v>
      </c>
      <c r="J376">
        <f>Table16[[#This Row],[Marketing_Spend]]/Table16[[#This Row],[Units_Sold]]</f>
        <v>997.86035070764751</v>
      </c>
    </row>
    <row r="377" spans="1:10">
      <c r="A377" s="54">
        <v>53255</v>
      </c>
      <c r="B377" s="15" t="s">
        <v>13</v>
      </c>
      <c r="C377" t="str">
        <f t="shared" ca="1" si="17"/>
        <v>West</v>
      </c>
      <c r="D377" t="str">
        <f t="shared" si="18"/>
        <v>October</v>
      </c>
      <c r="E377" s="15">
        <v>111</v>
      </c>
      <c r="F3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77">
        <v>81241.488469272022</v>
      </c>
      <c r="H377" t="str">
        <f t="shared" ca="1" si="16"/>
        <v>TV</v>
      </c>
      <c r="I377">
        <v>62.644423207576892</v>
      </c>
      <c r="J377">
        <f>Table16[[#This Row],[Marketing_Spend]]/Table16[[#This Row],[Units_Sold]]</f>
        <v>731.9053015249732</v>
      </c>
    </row>
    <row r="378" spans="1:10">
      <c r="A378" s="53">
        <v>53285</v>
      </c>
      <c r="B378" s="14" t="s">
        <v>10</v>
      </c>
      <c r="C378" t="str">
        <f t="shared" ca="1" si="17"/>
        <v>West</v>
      </c>
      <c r="D378" t="str">
        <f t="shared" si="18"/>
        <v>November</v>
      </c>
      <c r="E378" s="14">
        <v>100</v>
      </c>
      <c r="F3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78">
        <v>104332.49950809238</v>
      </c>
      <c r="H378" t="str">
        <f t="shared" ca="1" si="16"/>
        <v>TV</v>
      </c>
      <c r="I378">
        <v>70.523550294092828</v>
      </c>
      <c r="J378">
        <f>Table16[[#This Row],[Marketing_Spend]]/Table16[[#This Row],[Units_Sold]]</f>
        <v>1043.3249950809238</v>
      </c>
    </row>
    <row r="379" spans="1:10">
      <c r="A379" s="54">
        <v>53315</v>
      </c>
      <c r="B379" s="15" t="s">
        <v>10</v>
      </c>
      <c r="C379" t="str">
        <f t="shared" ca="1" si="17"/>
        <v>East</v>
      </c>
      <c r="D379" t="str">
        <f t="shared" si="18"/>
        <v>December</v>
      </c>
      <c r="E379" s="15">
        <v>94</v>
      </c>
      <c r="F3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79">
        <v>79484.946327194455</v>
      </c>
      <c r="H379" t="str">
        <f t="shared" ca="1" si="16"/>
        <v>Radio</v>
      </c>
      <c r="I379">
        <v>63.435235559146221</v>
      </c>
      <c r="J379">
        <f>Table16[[#This Row],[Marketing_Spend]]/Table16[[#This Row],[Units_Sold]]</f>
        <v>845.58453539568575</v>
      </c>
    </row>
    <row r="380" spans="1:10">
      <c r="A380" s="53">
        <v>53345</v>
      </c>
      <c r="B380" s="14" t="s">
        <v>10</v>
      </c>
      <c r="C380" t="str">
        <f t="shared" ca="1" si="17"/>
        <v>South</v>
      </c>
      <c r="D380" t="str">
        <f t="shared" si="18"/>
        <v>January</v>
      </c>
      <c r="E380" s="14">
        <v>91</v>
      </c>
      <c r="F3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80">
        <v>122016.4279684521</v>
      </c>
      <c r="H380" t="str">
        <f t="shared" ca="1" si="16"/>
        <v>TV</v>
      </c>
      <c r="I380">
        <v>30.350449357336071</v>
      </c>
      <c r="J380">
        <f>Table16[[#This Row],[Marketing_Spend]]/Table16[[#This Row],[Units_Sold]]</f>
        <v>1340.8398677851878</v>
      </c>
    </row>
    <row r="381" spans="1:10">
      <c r="A381" s="54">
        <v>53375</v>
      </c>
      <c r="B381" s="15" t="s">
        <v>12</v>
      </c>
      <c r="C381" t="str">
        <f t="shared" ca="1" si="17"/>
        <v>South</v>
      </c>
      <c r="D381" t="str">
        <f t="shared" si="18"/>
        <v>February</v>
      </c>
      <c r="E381" s="15">
        <v>89</v>
      </c>
      <c r="F3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381">
        <v>121227.41929746268</v>
      </c>
      <c r="H381" t="str">
        <f t="shared" ca="1" si="16"/>
        <v>Radio</v>
      </c>
      <c r="I381">
        <v>50.065697520635275</v>
      </c>
      <c r="J381">
        <f>Table16[[#This Row],[Marketing_Spend]]/Table16[[#This Row],[Units_Sold]]</f>
        <v>1362.1058348029514</v>
      </c>
    </row>
    <row r="382" spans="1:10">
      <c r="A382" s="53">
        <v>53405</v>
      </c>
      <c r="B382" s="14" t="s">
        <v>13</v>
      </c>
      <c r="C382" t="str">
        <f t="shared" ca="1" si="17"/>
        <v>West</v>
      </c>
      <c r="D382" t="str">
        <f t="shared" si="18"/>
        <v>March</v>
      </c>
      <c r="E382" s="14">
        <v>98</v>
      </c>
      <c r="F3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382">
        <v>110640.12397643886</v>
      </c>
      <c r="H382" t="str">
        <f t="shared" ca="1" si="16"/>
        <v>Print</v>
      </c>
      <c r="I382">
        <v>27.931688982209913</v>
      </c>
      <c r="J382">
        <f>Table16[[#This Row],[Marketing_Spend]]/Table16[[#This Row],[Units_Sold]]</f>
        <v>1128.9808569024374</v>
      </c>
    </row>
    <row r="383" spans="1:10">
      <c r="A383" s="54">
        <v>53435</v>
      </c>
      <c r="B383" s="15" t="s">
        <v>10</v>
      </c>
      <c r="C383" t="str">
        <f t="shared" ca="1" si="17"/>
        <v>South</v>
      </c>
      <c r="D383" t="str">
        <f t="shared" si="18"/>
        <v>April</v>
      </c>
      <c r="E383" s="15">
        <v>110</v>
      </c>
      <c r="F3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83">
        <v>107233.22122494034</v>
      </c>
      <c r="H383" t="str">
        <f t="shared" ca="1" si="16"/>
        <v>Print</v>
      </c>
      <c r="I383">
        <v>69.836323534670541</v>
      </c>
      <c r="J383">
        <f>Table16[[#This Row],[Marketing_Spend]]/Table16[[#This Row],[Units_Sold]]</f>
        <v>974.84746568127582</v>
      </c>
    </row>
    <row r="384" spans="1:10">
      <c r="A384" s="53">
        <v>53465</v>
      </c>
      <c r="B384" s="14" t="s">
        <v>11</v>
      </c>
      <c r="C384" t="str">
        <f t="shared" ca="1" si="17"/>
        <v>North</v>
      </c>
      <c r="D384" t="str">
        <f t="shared" si="18"/>
        <v>May</v>
      </c>
      <c r="E384" s="14">
        <v>93</v>
      </c>
      <c r="F3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84">
        <v>135223.76249734749</v>
      </c>
      <c r="H384" t="str">
        <f t="shared" ca="1" si="16"/>
        <v>Billboards</v>
      </c>
      <c r="I384">
        <v>55.749935616035117</v>
      </c>
      <c r="J384">
        <f>Table16[[#This Row],[Marketing_Spend]]/Table16[[#This Row],[Units_Sold]]</f>
        <v>1454.0189515843815</v>
      </c>
    </row>
    <row r="385" spans="1:10">
      <c r="A385" s="54">
        <v>53495</v>
      </c>
      <c r="B385" s="15" t="s">
        <v>13</v>
      </c>
      <c r="C385" t="str">
        <f t="shared" ca="1" si="17"/>
        <v>West</v>
      </c>
      <c r="D385" t="str">
        <f t="shared" si="18"/>
        <v>June</v>
      </c>
      <c r="E385" s="15">
        <v>103</v>
      </c>
      <c r="F3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85">
        <f>128897.2893</f>
        <v>128897.2893</v>
      </c>
      <c r="H385" t="str">
        <f t="shared" ca="1" si="16"/>
        <v>TV</v>
      </c>
      <c r="I385">
        <v>82.238797725674942</v>
      </c>
      <c r="J385">
        <f>Table16[[#This Row],[Marketing_Spend]]/Table16[[#This Row],[Units_Sold]]</f>
        <v>1251.4299932038834</v>
      </c>
    </row>
    <row r="386" spans="1:10">
      <c r="A386" s="53">
        <v>53525</v>
      </c>
      <c r="B386" s="14" t="s">
        <v>13</v>
      </c>
      <c r="C386" t="str">
        <f t="shared" ca="1" si="17"/>
        <v>South</v>
      </c>
      <c r="D386" t="str">
        <f t="shared" si="18"/>
        <v>July</v>
      </c>
      <c r="E386" s="14">
        <v>100</v>
      </c>
      <c r="F3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86">
        <v>76362.517491583974</v>
      </c>
      <c r="H386" t="str">
        <f t="shared" ref="H386:H449" ca="1" si="19">CHOOSE(RANDBETWEEN(1,5),"Online","TV","Radio","Print","Billboards")</f>
        <v>Billboards</v>
      </c>
      <c r="I386">
        <v>37.637638479949587</v>
      </c>
      <c r="J386">
        <f>Table16[[#This Row],[Marketing_Spend]]/Table16[[#This Row],[Units_Sold]]</f>
        <v>763.62517491583969</v>
      </c>
    </row>
    <row r="387" spans="1:10">
      <c r="A387" s="54">
        <v>53555</v>
      </c>
      <c r="B387" s="15" t="s">
        <v>12</v>
      </c>
      <c r="C387" t="str">
        <f t="shared" ref="C387:C450" ca="1" si="20">CHOOSE(RANDBETWEEN(1,4),"North","South","East","West")</f>
        <v>West</v>
      </c>
      <c r="D387" t="str">
        <f t="shared" ref="D387:D450" si="21">TEXT(A387,"mmmm")</f>
        <v>August</v>
      </c>
      <c r="E387" s="15">
        <v>101</v>
      </c>
      <c r="F3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87">
        <f>128897.2893</f>
        <v>128897.2893</v>
      </c>
      <c r="H387" t="str">
        <f t="shared" ca="1" si="19"/>
        <v>Online</v>
      </c>
      <c r="I387">
        <v>33.165284674346793</v>
      </c>
      <c r="J387">
        <f>Table16[[#This Row],[Marketing_Spend]]/Table16[[#This Row],[Units_Sold]]</f>
        <v>1276.2107851485148</v>
      </c>
    </row>
    <row r="388" spans="1:10">
      <c r="A388" s="53">
        <v>53585</v>
      </c>
      <c r="B388" s="14" t="s">
        <v>14</v>
      </c>
      <c r="C388" t="str">
        <f t="shared" ca="1" si="20"/>
        <v>South</v>
      </c>
      <c r="D388" t="str">
        <f t="shared" si="21"/>
        <v>September</v>
      </c>
      <c r="E388" s="14">
        <v>94</v>
      </c>
      <c r="F3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388">
        <v>102916.7736</v>
      </c>
      <c r="H388" t="str">
        <f t="shared" ca="1" si="19"/>
        <v>Radio</v>
      </c>
      <c r="I388">
        <v>52.506578477101428</v>
      </c>
      <c r="J388">
        <f>Table16[[#This Row],[Marketing_Spend]]/Table16[[#This Row],[Units_Sold]]</f>
        <v>1094.8592936170212</v>
      </c>
    </row>
    <row r="389" spans="1:10">
      <c r="A389" s="54">
        <v>53615</v>
      </c>
      <c r="B389" s="15" t="s">
        <v>12</v>
      </c>
      <c r="C389" t="str">
        <f t="shared" ca="1" si="20"/>
        <v>North</v>
      </c>
      <c r="D389" t="str">
        <f t="shared" si="21"/>
        <v>October</v>
      </c>
      <c r="E389" s="15">
        <v>108</v>
      </c>
      <c r="F3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389">
        <v>79704.810136282962</v>
      </c>
      <c r="H389" t="str">
        <f t="shared" ca="1" si="19"/>
        <v>Print</v>
      </c>
      <c r="I389">
        <v>94.126830657470492</v>
      </c>
      <c r="J389">
        <f>Table16[[#This Row],[Marketing_Spend]]/Table16[[#This Row],[Units_Sold]]</f>
        <v>738.00750126187927</v>
      </c>
    </row>
    <row r="390" spans="1:10">
      <c r="A390" s="53">
        <v>53645</v>
      </c>
      <c r="B390" s="14" t="s">
        <v>10</v>
      </c>
      <c r="C390" t="str">
        <f t="shared" ca="1" si="20"/>
        <v>East</v>
      </c>
      <c r="D390" t="str">
        <f t="shared" si="21"/>
        <v>November</v>
      </c>
      <c r="E390" s="14">
        <v>113</v>
      </c>
      <c r="F3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390">
        <v>92770.744666120285</v>
      </c>
      <c r="H390" t="str">
        <f t="shared" ca="1" si="19"/>
        <v>TV</v>
      </c>
      <c r="I390">
        <v>76.833745200992936</v>
      </c>
      <c r="J390">
        <f>Table16[[#This Row],[Marketing_Spend]]/Table16[[#This Row],[Units_Sold]]</f>
        <v>820.98004129309982</v>
      </c>
    </row>
    <row r="391" spans="1:10">
      <c r="A391" s="54">
        <v>53675</v>
      </c>
      <c r="B391" s="15" t="s">
        <v>11</v>
      </c>
      <c r="C391" t="str">
        <f t="shared" ca="1" si="20"/>
        <v>West</v>
      </c>
      <c r="D391" t="str">
        <f t="shared" si="21"/>
        <v>December</v>
      </c>
      <c r="E391" s="15">
        <v>115</v>
      </c>
      <c r="F3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391">
        <f>128897.2893</f>
        <v>128897.2893</v>
      </c>
      <c r="H391" t="str">
        <f t="shared" ca="1" si="19"/>
        <v>Radio</v>
      </c>
      <c r="I391">
        <v>53.513889983433494</v>
      </c>
      <c r="J391">
        <f>Table16[[#This Row],[Marketing_Spend]]/Table16[[#This Row],[Units_Sold]]</f>
        <v>1120.8459939130435</v>
      </c>
    </row>
    <row r="392" spans="1:10">
      <c r="A392" s="53">
        <v>53705</v>
      </c>
      <c r="B392" s="14" t="s">
        <v>11</v>
      </c>
      <c r="C392" t="str">
        <f t="shared" ca="1" si="20"/>
        <v>East</v>
      </c>
      <c r="D392" t="str">
        <f t="shared" si="21"/>
        <v>January</v>
      </c>
      <c r="E392" s="14">
        <v>98</v>
      </c>
      <c r="F3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392">
        <v>98921.903019885212</v>
      </c>
      <c r="H392" t="str">
        <f t="shared" ca="1" si="19"/>
        <v>TV</v>
      </c>
      <c r="I392">
        <v>61.381773580344841</v>
      </c>
      <c r="J392">
        <f>Table16[[#This Row],[Marketing_Spend]]/Table16[[#This Row],[Units_Sold]]</f>
        <v>1009.4071736722981</v>
      </c>
    </row>
    <row r="393" spans="1:10">
      <c r="A393" s="54">
        <v>53735</v>
      </c>
      <c r="B393" s="15" t="s">
        <v>10</v>
      </c>
      <c r="C393" t="str">
        <f t="shared" ca="1" si="20"/>
        <v>South</v>
      </c>
      <c r="D393" t="str">
        <f t="shared" si="21"/>
        <v>February</v>
      </c>
      <c r="E393" s="15">
        <v>93</v>
      </c>
      <c r="F3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393">
        <v>80353.928392453701</v>
      </c>
      <c r="H393" t="str">
        <f t="shared" ca="1" si="19"/>
        <v>Print</v>
      </c>
      <c r="I393">
        <v>26.737040894167869</v>
      </c>
      <c r="J393">
        <f>Table16[[#This Row],[Marketing_Spend]]/Table16[[#This Row],[Units_Sold]]</f>
        <v>864.02073540272795</v>
      </c>
    </row>
    <row r="394" spans="1:10">
      <c r="A394" s="53">
        <v>53765</v>
      </c>
      <c r="B394" s="14" t="s">
        <v>11</v>
      </c>
      <c r="C394" t="str">
        <f t="shared" ca="1" si="20"/>
        <v>East</v>
      </c>
      <c r="D394" t="str">
        <f t="shared" si="21"/>
        <v>March</v>
      </c>
      <c r="E394" s="14">
        <v>104</v>
      </c>
      <c r="F3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394">
        <v>122437.15712460942</v>
      </c>
      <c r="H394" t="str">
        <f t="shared" ca="1" si="19"/>
        <v>Online</v>
      </c>
      <c r="I394">
        <v>98.766071710089051</v>
      </c>
      <c r="J394">
        <f>Table16[[#This Row],[Marketing_Spend]]/Table16[[#This Row],[Units_Sold]]</f>
        <v>1177.2803569673983</v>
      </c>
    </row>
    <row r="395" spans="1:10">
      <c r="A395" s="54">
        <v>53795</v>
      </c>
      <c r="B395" s="15" t="s">
        <v>12</v>
      </c>
      <c r="C395" t="str">
        <f t="shared" ca="1" si="20"/>
        <v>East</v>
      </c>
      <c r="D395" t="str">
        <f t="shared" si="21"/>
        <v>April</v>
      </c>
      <c r="E395" s="15">
        <v>100</v>
      </c>
      <c r="F3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395">
        <v>146400.81444034519</v>
      </c>
      <c r="H395" t="str">
        <f t="shared" ca="1" si="19"/>
        <v>Online</v>
      </c>
      <c r="I395">
        <v>73.312584375593516</v>
      </c>
      <c r="J395">
        <f>Table16[[#This Row],[Marketing_Spend]]/Table16[[#This Row],[Units_Sold]]</f>
        <v>1464.008144403452</v>
      </c>
    </row>
    <row r="396" spans="1:10">
      <c r="A396" s="53">
        <v>53825</v>
      </c>
      <c r="B396" s="14" t="s">
        <v>12</v>
      </c>
      <c r="C396" t="str">
        <f t="shared" ca="1" si="20"/>
        <v>South</v>
      </c>
      <c r="D396" t="str">
        <f t="shared" si="21"/>
        <v>May</v>
      </c>
      <c r="E396" s="14">
        <v>89</v>
      </c>
      <c r="F3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396">
        <v>103922.62918047815</v>
      </c>
      <c r="H396" t="str">
        <f t="shared" ca="1" si="19"/>
        <v>Billboards</v>
      </c>
      <c r="I396">
        <v>42.832325477073795</v>
      </c>
      <c r="J396">
        <f>Table16[[#This Row],[Marketing_Spend]]/Table16[[#This Row],[Units_Sold]]</f>
        <v>1167.6699907918894</v>
      </c>
    </row>
    <row r="397" spans="1:10">
      <c r="A397" s="54">
        <v>53855</v>
      </c>
      <c r="B397" s="15" t="s">
        <v>10</v>
      </c>
      <c r="C397" t="str">
        <f t="shared" ca="1" si="20"/>
        <v>East</v>
      </c>
      <c r="D397" t="str">
        <f t="shared" si="21"/>
        <v>June</v>
      </c>
      <c r="E397" s="15">
        <v>86</v>
      </c>
      <c r="F3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397">
        <v>81918.634205279988</v>
      </c>
      <c r="H397" t="str">
        <f t="shared" ca="1" si="19"/>
        <v>TV</v>
      </c>
      <c r="I397">
        <v>80.215177969999999</v>
      </c>
      <c r="J397">
        <f>Table16[[#This Row],[Marketing_Spend]]/Table16[[#This Row],[Units_Sold]]</f>
        <v>952.54225820093006</v>
      </c>
    </row>
    <row r="398" spans="1:10">
      <c r="A398" s="53">
        <v>53885</v>
      </c>
      <c r="B398" s="14" t="s">
        <v>11</v>
      </c>
      <c r="C398" t="str">
        <f t="shared" ca="1" si="20"/>
        <v>West</v>
      </c>
      <c r="D398" t="str">
        <f t="shared" si="21"/>
        <v>July</v>
      </c>
      <c r="E398" s="14">
        <v>93</v>
      </c>
      <c r="F3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398">
        <v>69020.789498930506</v>
      </c>
      <c r="H398" t="str">
        <f t="shared" ca="1" si="19"/>
        <v>Print</v>
      </c>
      <c r="I398">
        <v>28.75858928551952</v>
      </c>
      <c r="J398">
        <f>Table16[[#This Row],[Marketing_Spend]]/Table16[[#This Row],[Units_Sold]]</f>
        <v>742.15902687022049</v>
      </c>
    </row>
    <row r="399" spans="1:10">
      <c r="A399" s="54">
        <v>53915</v>
      </c>
      <c r="B399" s="15" t="s">
        <v>13</v>
      </c>
      <c r="C399" t="str">
        <f t="shared" ca="1" si="20"/>
        <v>North</v>
      </c>
      <c r="D399" t="str">
        <f t="shared" si="21"/>
        <v>August</v>
      </c>
      <c r="E399" s="15">
        <v>104</v>
      </c>
      <c r="F3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399">
        <v>105159.51962442361</v>
      </c>
      <c r="H399" t="str">
        <f t="shared" ca="1" si="19"/>
        <v>Online</v>
      </c>
      <c r="I399">
        <v>97.266933504606683</v>
      </c>
      <c r="J399">
        <f>Table16[[#This Row],[Marketing_Spend]]/Table16[[#This Row],[Units_Sold]]</f>
        <v>1011.1492271579193</v>
      </c>
    </row>
    <row r="400" spans="1:10">
      <c r="A400" s="53">
        <v>53945</v>
      </c>
      <c r="B400" s="14" t="s">
        <v>14</v>
      </c>
      <c r="C400" t="str">
        <f t="shared" ca="1" si="20"/>
        <v>South</v>
      </c>
      <c r="D400" t="str">
        <f t="shared" si="21"/>
        <v>September</v>
      </c>
      <c r="E400" s="14">
        <v>91</v>
      </c>
      <c r="F4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00">
        <v>122077.54686632515</v>
      </c>
      <c r="H400" t="str">
        <f t="shared" ca="1" si="19"/>
        <v>Radio</v>
      </c>
      <c r="I400">
        <v>33.982799030669277</v>
      </c>
      <c r="J400">
        <f>Table16[[#This Row],[Marketing_Spend]]/Table16[[#This Row],[Units_Sold]]</f>
        <v>1341.5115040255512</v>
      </c>
    </row>
    <row r="401" spans="1:10">
      <c r="A401" s="54">
        <v>53975</v>
      </c>
      <c r="B401" s="15" t="s">
        <v>13</v>
      </c>
      <c r="C401" t="str">
        <f t="shared" ca="1" si="20"/>
        <v>North</v>
      </c>
      <c r="D401" t="str">
        <f t="shared" si="21"/>
        <v>October</v>
      </c>
      <c r="E401" s="15">
        <v>113</v>
      </c>
      <c r="F4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01">
        <v>102916.7736</v>
      </c>
      <c r="H401" t="str">
        <f t="shared" ca="1" si="19"/>
        <v>Print</v>
      </c>
      <c r="I401">
        <v>71.842425444417131</v>
      </c>
      <c r="J401">
        <f>Table16[[#This Row],[Marketing_Spend]]/Table16[[#This Row],[Units_Sold]]</f>
        <v>910.76790796460182</v>
      </c>
    </row>
    <row r="402" spans="1:10">
      <c r="A402" s="53">
        <v>54005</v>
      </c>
      <c r="B402" s="14" t="s">
        <v>12</v>
      </c>
      <c r="C402" t="str">
        <f t="shared" ca="1" si="20"/>
        <v>East</v>
      </c>
      <c r="D402" t="str">
        <f t="shared" si="21"/>
        <v>November</v>
      </c>
      <c r="E402" s="14">
        <v>103</v>
      </c>
      <c r="F40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02">
        <v>99951.923181622929</v>
      </c>
      <c r="H402" t="str">
        <f t="shared" ca="1" si="19"/>
        <v>TV</v>
      </c>
      <c r="I402">
        <v>80.215177969999999</v>
      </c>
      <c r="J402">
        <f>Table16[[#This Row],[Marketing_Spend]]/Table16[[#This Row],[Units_Sold]]</f>
        <v>970.40702118080515</v>
      </c>
    </row>
    <row r="403" spans="1:10">
      <c r="A403" s="54">
        <v>54035</v>
      </c>
      <c r="B403" s="15" t="s">
        <v>12</v>
      </c>
      <c r="C403" t="str">
        <f t="shared" ca="1" si="20"/>
        <v>East</v>
      </c>
      <c r="D403" t="str">
        <f t="shared" si="21"/>
        <v>December</v>
      </c>
      <c r="E403" s="15">
        <v>98</v>
      </c>
      <c r="F40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403">
        <v>88214.566964213882</v>
      </c>
      <c r="H403" t="str">
        <f t="shared" ca="1" si="19"/>
        <v>TV</v>
      </c>
      <c r="I403">
        <v>77.404910611882855</v>
      </c>
      <c r="J403">
        <f>Table16[[#This Row],[Marketing_Spend]]/Table16[[#This Row],[Units_Sold]]</f>
        <v>900.14864249197842</v>
      </c>
    </row>
    <row r="404" spans="1:10">
      <c r="A404" s="53">
        <v>54065</v>
      </c>
      <c r="B404" s="14" t="s">
        <v>12</v>
      </c>
      <c r="C404" t="str">
        <f t="shared" ca="1" si="20"/>
        <v>West</v>
      </c>
      <c r="D404" t="str">
        <f t="shared" si="21"/>
        <v>January</v>
      </c>
      <c r="E404" s="14">
        <v>100</v>
      </c>
      <c r="F40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04">
        <v>78156.72734563821</v>
      </c>
      <c r="H404" t="str">
        <f t="shared" ca="1" si="19"/>
        <v>Online</v>
      </c>
      <c r="I404">
        <v>82.145709379222481</v>
      </c>
      <c r="J404">
        <f>Table16[[#This Row],[Marketing_Spend]]/Table16[[#This Row],[Units_Sold]]</f>
        <v>781.56727345638205</v>
      </c>
    </row>
    <row r="405" spans="1:10">
      <c r="A405" s="54">
        <v>54095</v>
      </c>
      <c r="B405" s="15" t="s">
        <v>12</v>
      </c>
      <c r="C405" t="str">
        <f t="shared" ca="1" si="20"/>
        <v>West</v>
      </c>
      <c r="D405" t="str">
        <f t="shared" si="21"/>
        <v>February</v>
      </c>
      <c r="E405" s="15">
        <v>89</v>
      </c>
      <c r="F40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405">
        <v>116695.02652649765</v>
      </c>
      <c r="H405" t="str">
        <f t="shared" ca="1" si="19"/>
        <v>Online</v>
      </c>
      <c r="I405">
        <v>73.873578312914617</v>
      </c>
      <c r="J405">
        <f>Table16[[#This Row],[Marketing_Spend]]/Table16[[#This Row],[Units_Sold]]</f>
        <v>1311.1800733314342</v>
      </c>
    </row>
    <row r="406" spans="1:10">
      <c r="A406" s="53">
        <v>54125</v>
      </c>
      <c r="B406" s="14" t="s">
        <v>14</v>
      </c>
      <c r="C406" t="str">
        <f t="shared" ca="1" si="20"/>
        <v>South</v>
      </c>
      <c r="D406" t="str">
        <f t="shared" si="21"/>
        <v>March</v>
      </c>
      <c r="E406" s="14">
        <v>83</v>
      </c>
      <c r="F40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06">
        <v>118275.43242771171</v>
      </c>
      <c r="H406" t="str">
        <f t="shared" ca="1" si="19"/>
        <v>TV</v>
      </c>
      <c r="I406">
        <v>69.159956820415402</v>
      </c>
      <c r="J406">
        <f>Table16[[#This Row],[Marketing_Spend]]/Table16[[#This Row],[Units_Sold]]</f>
        <v>1425.0052099724303</v>
      </c>
    </row>
    <row r="407" spans="1:10">
      <c r="A407" s="54">
        <v>54155</v>
      </c>
      <c r="B407" s="15" t="s">
        <v>10</v>
      </c>
      <c r="C407" t="str">
        <f t="shared" ca="1" si="20"/>
        <v>North</v>
      </c>
      <c r="D407" t="str">
        <f t="shared" si="21"/>
        <v>April</v>
      </c>
      <c r="E407" s="15">
        <v>92</v>
      </c>
      <c r="F40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07">
        <v>69085.404266185331</v>
      </c>
      <c r="H407" t="str">
        <f t="shared" ca="1" si="19"/>
        <v>Radio</v>
      </c>
      <c r="I407">
        <v>91.397527516160935</v>
      </c>
      <c r="J407">
        <f>Table16[[#This Row],[Marketing_Spend]]/Table16[[#This Row],[Units_Sold]]</f>
        <v>750.92830724114492</v>
      </c>
    </row>
    <row r="408" spans="1:10">
      <c r="A408" s="53">
        <v>54185</v>
      </c>
      <c r="B408" s="14" t="s">
        <v>12</v>
      </c>
      <c r="C408" t="str">
        <f t="shared" ca="1" si="20"/>
        <v>West</v>
      </c>
      <c r="D408" t="str">
        <f t="shared" si="21"/>
        <v>May</v>
      </c>
      <c r="E408" s="14">
        <v>100</v>
      </c>
      <c r="F40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08">
        <v>131796.77956361367</v>
      </c>
      <c r="H408" t="str">
        <f t="shared" ca="1" si="19"/>
        <v>TV</v>
      </c>
      <c r="I408">
        <v>26.290136879180643</v>
      </c>
      <c r="J408">
        <f>Table16[[#This Row],[Marketing_Spend]]/Table16[[#This Row],[Units_Sold]]</f>
        <v>1317.9677956361368</v>
      </c>
    </row>
    <row r="409" spans="1:10">
      <c r="A409" s="54">
        <v>54215</v>
      </c>
      <c r="B409" s="15" t="s">
        <v>11</v>
      </c>
      <c r="C409" t="str">
        <f t="shared" ca="1" si="20"/>
        <v>East</v>
      </c>
      <c r="D409" t="str">
        <f t="shared" si="21"/>
        <v>June</v>
      </c>
      <c r="E409" s="15">
        <v>100</v>
      </c>
      <c r="F40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09">
        <v>111481.42441788003</v>
      </c>
      <c r="H409" t="str">
        <f t="shared" ca="1" si="19"/>
        <v>Online</v>
      </c>
      <c r="I409">
        <v>80.215177969999999</v>
      </c>
      <c r="J409">
        <f>Table16[[#This Row],[Marketing_Spend]]/Table16[[#This Row],[Units_Sold]]</f>
        <v>1114.8142441788002</v>
      </c>
    </row>
    <row r="410" spans="1:10">
      <c r="A410" s="53">
        <v>54245</v>
      </c>
      <c r="B410" s="14" t="s">
        <v>14</v>
      </c>
      <c r="C410" t="str">
        <f t="shared" ca="1" si="20"/>
        <v>North</v>
      </c>
      <c r="D410" t="str">
        <f t="shared" si="21"/>
        <v>July</v>
      </c>
      <c r="E410" s="14">
        <v>102</v>
      </c>
      <c r="F41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10">
        <v>127991.89290291586</v>
      </c>
      <c r="H410" t="str">
        <f t="shared" ca="1" si="19"/>
        <v>Billboards</v>
      </c>
      <c r="I410">
        <v>39.862998370467679</v>
      </c>
      <c r="J410">
        <f>Table16[[#This Row],[Marketing_Spend]]/Table16[[#This Row],[Units_Sold]]</f>
        <v>1254.8224794403516</v>
      </c>
    </row>
    <row r="411" spans="1:10">
      <c r="A411" s="54">
        <v>54275</v>
      </c>
      <c r="B411" s="15" t="s">
        <v>12</v>
      </c>
      <c r="C411" t="str">
        <f t="shared" ca="1" si="20"/>
        <v>South</v>
      </c>
      <c r="D411" t="str">
        <f t="shared" si="21"/>
        <v>August</v>
      </c>
      <c r="E411" s="15">
        <v>107</v>
      </c>
      <c r="F41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11">
        <v>73157.445030297706</v>
      </c>
      <c r="H411" t="str">
        <f t="shared" ca="1" si="19"/>
        <v>Billboards</v>
      </c>
      <c r="I411">
        <v>99.041116965233726</v>
      </c>
      <c r="J411">
        <f>Table16[[#This Row],[Marketing_Spend]]/Table16[[#This Row],[Units_Sold]]</f>
        <v>683.7144395354926</v>
      </c>
    </row>
    <row r="412" spans="1:10">
      <c r="A412" s="53">
        <v>54305</v>
      </c>
      <c r="B412" s="14" t="s">
        <v>11</v>
      </c>
      <c r="C412" t="str">
        <f t="shared" ca="1" si="20"/>
        <v>East</v>
      </c>
      <c r="D412" t="str">
        <f t="shared" si="21"/>
        <v>September</v>
      </c>
      <c r="E412" s="14">
        <v>103</v>
      </c>
      <c r="F41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12">
        <v>72683.516891691223</v>
      </c>
      <c r="H412" t="str">
        <f t="shared" ca="1" si="19"/>
        <v>TV</v>
      </c>
      <c r="I412">
        <v>51.151182373349883</v>
      </c>
      <c r="J412">
        <f>Table16[[#This Row],[Marketing_Spend]]/Table16[[#This Row],[Units_Sold]]</f>
        <v>705.66521254069153</v>
      </c>
    </row>
    <row r="413" spans="1:10">
      <c r="A413" s="54">
        <v>54335</v>
      </c>
      <c r="B413" s="15" t="s">
        <v>12</v>
      </c>
      <c r="C413" t="str">
        <f t="shared" ca="1" si="20"/>
        <v>West</v>
      </c>
      <c r="D413" t="str">
        <f t="shared" si="21"/>
        <v>October</v>
      </c>
      <c r="E413" s="15">
        <v>100</v>
      </c>
      <c r="F41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13">
        <v>97020.613804654058</v>
      </c>
      <c r="H413" t="str">
        <f t="shared" ca="1" si="19"/>
        <v>Online</v>
      </c>
      <c r="I413">
        <v>78.609015939231895</v>
      </c>
      <c r="J413">
        <f>Table16[[#This Row],[Marketing_Spend]]/Table16[[#This Row],[Units_Sold]]</f>
        <v>970.20613804654056</v>
      </c>
    </row>
    <row r="414" spans="1:10">
      <c r="A414" s="53">
        <v>54365</v>
      </c>
      <c r="B414" s="14" t="s">
        <v>10</v>
      </c>
      <c r="C414" t="str">
        <f t="shared" ca="1" si="20"/>
        <v>East</v>
      </c>
      <c r="D414" t="str">
        <f t="shared" si="21"/>
        <v>November</v>
      </c>
      <c r="E414" s="14">
        <v>100</v>
      </c>
      <c r="F41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14">
        <v>110055.68853790389</v>
      </c>
      <c r="H414" t="str">
        <f t="shared" ca="1" si="19"/>
        <v>Online</v>
      </c>
      <c r="I414">
        <v>80.215177969999999</v>
      </c>
      <c r="J414">
        <f>Table16[[#This Row],[Marketing_Spend]]/Table16[[#This Row],[Units_Sold]]</f>
        <v>1100.5568853790389</v>
      </c>
    </row>
    <row r="415" spans="1:10">
      <c r="A415" s="54">
        <v>54395</v>
      </c>
      <c r="B415" s="15" t="s">
        <v>14</v>
      </c>
      <c r="C415" t="str">
        <f t="shared" ca="1" si="20"/>
        <v>West</v>
      </c>
      <c r="D415" t="str">
        <f t="shared" si="21"/>
        <v>December</v>
      </c>
      <c r="E415" s="15">
        <v>85</v>
      </c>
      <c r="F41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415">
        <v>135927.21645853927</v>
      </c>
      <c r="H415" t="str">
        <f t="shared" ca="1" si="19"/>
        <v>Print</v>
      </c>
      <c r="I415">
        <v>36.966498998190218</v>
      </c>
      <c r="J415">
        <f>Table16[[#This Row],[Marketing_Spend]]/Table16[[#This Row],[Units_Sold]]</f>
        <v>1599.1437230416386</v>
      </c>
    </row>
    <row r="416" spans="1:10">
      <c r="A416" s="53">
        <v>54425</v>
      </c>
      <c r="B416" s="14" t="s">
        <v>10</v>
      </c>
      <c r="C416" t="str">
        <f t="shared" ca="1" si="20"/>
        <v>West</v>
      </c>
      <c r="D416" t="str">
        <f t="shared" si="21"/>
        <v>January</v>
      </c>
      <c r="E416" s="14">
        <v>107</v>
      </c>
      <c r="F41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16">
        <v>114121.57827630264</v>
      </c>
      <c r="H416" t="str">
        <f t="shared" ca="1" si="19"/>
        <v>Print</v>
      </c>
      <c r="I416">
        <v>39.119814416924108</v>
      </c>
      <c r="J416">
        <f>Table16[[#This Row],[Marketing_Spend]]/Table16[[#This Row],[Units_Sold]]</f>
        <v>1066.5568063205853</v>
      </c>
    </row>
    <row r="417" spans="1:10">
      <c r="A417" s="54">
        <v>54455</v>
      </c>
      <c r="B417" s="15" t="s">
        <v>14</v>
      </c>
      <c r="C417" t="str">
        <f t="shared" ca="1" si="20"/>
        <v>North</v>
      </c>
      <c r="D417" t="str">
        <f t="shared" si="21"/>
        <v>February</v>
      </c>
      <c r="E417" s="15">
        <v>106</v>
      </c>
      <c r="F41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417">
        <v>95146.374463759334</v>
      </c>
      <c r="H417" t="str">
        <f t="shared" ca="1" si="19"/>
        <v>TV</v>
      </c>
      <c r="I417">
        <v>42.502765084242725</v>
      </c>
      <c r="J417">
        <f>Table16[[#This Row],[Marketing_Spend]]/Table16[[#This Row],[Units_Sold]]</f>
        <v>897.60730626188047</v>
      </c>
    </row>
    <row r="418" spans="1:10">
      <c r="A418" s="53">
        <v>54485</v>
      </c>
      <c r="B418" s="14" t="s">
        <v>12</v>
      </c>
      <c r="C418" t="str">
        <f t="shared" ca="1" si="20"/>
        <v>West</v>
      </c>
      <c r="D418" t="str">
        <f t="shared" si="21"/>
        <v>March</v>
      </c>
      <c r="E418" s="14">
        <v>92</v>
      </c>
      <c r="F41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18">
        <v>79472.615846682165</v>
      </c>
      <c r="H418" t="str">
        <f t="shared" ca="1" si="19"/>
        <v>Online</v>
      </c>
      <c r="I418">
        <v>52.890182260750336</v>
      </c>
      <c r="J418">
        <f>Table16[[#This Row],[Marketing_Spend]]/Table16[[#This Row],[Units_Sold]]</f>
        <v>863.83278094219747</v>
      </c>
    </row>
    <row r="419" spans="1:10">
      <c r="A419" s="54">
        <v>54515</v>
      </c>
      <c r="B419" s="15" t="s">
        <v>12</v>
      </c>
      <c r="C419" t="str">
        <f t="shared" ca="1" si="20"/>
        <v>South</v>
      </c>
      <c r="D419" t="str">
        <f t="shared" si="21"/>
        <v>April</v>
      </c>
      <c r="E419" s="15">
        <v>110</v>
      </c>
      <c r="F41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19">
        <v>124600.011454383</v>
      </c>
      <c r="H419" t="str">
        <f t="shared" ca="1" si="19"/>
        <v>Online</v>
      </c>
      <c r="I419">
        <v>38.746005252042146</v>
      </c>
      <c r="J419">
        <f>Table16[[#This Row],[Marketing_Spend]]/Table16[[#This Row],[Units_Sold]]</f>
        <v>1132.7273768580274</v>
      </c>
    </row>
    <row r="420" spans="1:10">
      <c r="A420" s="53">
        <v>54545</v>
      </c>
      <c r="B420" s="14" t="s">
        <v>14</v>
      </c>
      <c r="C420" t="str">
        <f t="shared" ca="1" si="20"/>
        <v>North</v>
      </c>
      <c r="D420" t="str">
        <f t="shared" si="21"/>
        <v>May</v>
      </c>
      <c r="E420" s="14">
        <v>93</v>
      </c>
      <c r="F42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20">
        <v>80705.89148498571</v>
      </c>
      <c r="H420" t="str">
        <f t="shared" ca="1" si="19"/>
        <v>Radio</v>
      </c>
      <c r="I420">
        <v>21.572118619747826</v>
      </c>
      <c r="J420">
        <f>Table16[[#This Row],[Marketing_Spend]]/Table16[[#This Row],[Units_Sold]]</f>
        <v>867.80528478479255</v>
      </c>
    </row>
    <row r="421" spans="1:10">
      <c r="A421" s="54">
        <v>54575</v>
      </c>
      <c r="B421" s="15" t="s">
        <v>11</v>
      </c>
      <c r="C421" t="str">
        <f t="shared" ca="1" si="20"/>
        <v>North</v>
      </c>
      <c r="D421" t="str">
        <f t="shared" si="21"/>
        <v>June</v>
      </c>
      <c r="E421" s="15">
        <v>100</v>
      </c>
      <c r="F42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21">
        <v>132569.37109544643</v>
      </c>
      <c r="H421" t="str">
        <f t="shared" ca="1" si="19"/>
        <v>Radio</v>
      </c>
      <c r="I421">
        <v>90.351444544575642</v>
      </c>
      <c r="J421">
        <f>Table16[[#This Row],[Marketing_Spend]]/Table16[[#This Row],[Units_Sold]]</f>
        <v>1325.6937109544642</v>
      </c>
    </row>
    <row r="422" spans="1:10">
      <c r="A422" s="53">
        <v>54605</v>
      </c>
      <c r="B422" s="14" t="s">
        <v>11</v>
      </c>
      <c r="C422" t="str">
        <f t="shared" ca="1" si="20"/>
        <v>West</v>
      </c>
      <c r="D422" t="str">
        <f t="shared" si="21"/>
        <v>July</v>
      </c>
      <c r="E422" s="14">
        <v>117</v>
      </c>
      <c r="F42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22">
        <v>94312.307007869807</v>
      </c>
      <c r="H422" t="str">
        <f t="shared" ca="1" si="19"/>
        <v>TV</v>
      </c>
      <c r="I422">
        <v>97.248786510470723</v>
      </c>
      <c r="J422">
        <f>Table16[[#This Row],[Marketing_Spend]]/Table16[[#This Row],[Units_Sold]]</f>
        <v>806.08809408435729</v>
      </c>
    </row>
    <row r="423" spans="1:10">
      <c r="A423" s="54">
        <v>54635</v>
      </c>
      <c r="B423" s="15" t="s">
        <v>12</v>
      </c>
      <c r="C423" t="str">
        <f t="shared" ca="1" si="20"/>
        <v>West</v>
      </c>
      <c r="D423" t="str">
        <f t="shared" si="21"/>
        <v>July</v>
      </c>
      <c r="E423" s="15">
        <v>122</v>
      </c>
      <c r="F42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23">
        <v>131811.641452357</v>
      </c>
      <c r="H423" t="str">
        <f t="shared" ca="1" si="19"/>
        <v>Print</v>
      </c>
      <c r="I423">
        <v>65.454227669999995</v>
      </c>
      <c r="J423">
        <f>Table16[[#This Row],[Marketing_Spend]]/Table16[[#This Row],[Units_Sold]]</f>
        <v>1080.4232905930901</v>
      </c>
    </row>
    <row r="424" spans="1:10">
      <c r="A424" s="53">
        <v>54665</v>
      </c>
      <c r="B424" s="14" t="s">
        <v>12</v>
      </c>
      <c r="C424" t="str">
        <f t="shared" ca="1" si="20"/>
        <v>South</v>
      </c>
      <c r="D424" t="str">
        <f t="shared" si="21"/>
        <v>August</v>
      </c>
      <c r="E424" s="14">
        <v>90</v>
      </c>
      <c r="F42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24">
        <v>113578.62580118557</v>
      </c>
      <c r="H424" t="str">
        <f t="shared" ca="1" si="19"/>
        <v>Online</v>
      </c>
      <c r="I424">
        <v>47.080550354037825</v>
      </c>
      <c r="J424">
        <f>Table16[[#This Row],[Marketing_Spend]]/Table16[[#This Row],[Units_Sold]]</f>
        <v>1261.9847311242841</v>
      </c>
    </row>
    <row r="425" spans="1:10">
      <c r="A425" s="54">
        <v>54695</v>
      </c>
      <c r="B425" s="15" t="s">
        <v>10</v>
      </c>
      <c r="C425" t="str">
        <f t="shared" ca="1" si="20"/>
        <v>East</v>
      </c>
      <c r="D425" t="str">
        <f t="shared" si="21"/>
        <v>September</v>
      </c>
      <c r="E425" s="15">
        <v>113</v>
      </c>
      <c r="F42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25">
        <v>97260.090211150833</v>
      </c>
      <c r="H425" t="str">
        <f t="shared" ca="1" si="19"/>
        <v>Print</v>
      </c>
      <c r="I425">
        <v>20.567345021949677</v>
      </c>
      <c r="J425">
        <f>Table16[[#This Row],[Marketing_Spend]]/Table16[[#This Row],[Units_Sold]]</f>
        <v>860.70876293053834</v>
      </c>
    </row>
    <row r="426" spans="1:10">
      <c r="A426" s="53">
        <v>54725</v>
      </c>
      <c r="B426" s="14" t="s">
        <v>12</v>
      </c>
      <c r="C426" t="str">
        <f t="shared" ca="1" si="20"/>
        <v>North</v>
      </c>
      <c r="D426" t="str">
        <f t="shared" si="21"/>
        <v>October</v>
      </c>
      <c r="E426" s="14">
        <v>110</v>
      </c>
      <c r="F42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26">
        <v>89612.072563477472</v>
      </c>
      <c r="H426" t="str">
        <f t="shared" ca="1" si="19"/>
        <v>Radio</v>
      </c>
      <c r="I426">
        <v>65.454227669999995</v>
      </c>
      <c r="J426">
        <f>Table16[[#This Row],[Marketing_Spend]]/Table16[[#This Row],[Units_Sold]]</f>
        <v>814.65520512252249</v>
      </c>
    </row>
    <row r="427" spans="1:10">
      <c r="A427" s="54">
        <v>54755</v>
      </c>
      <c r="B427" s="15" t="s">
        <v>14</v>
      </c>
      <c r="C427" t="str">
        <f t="shared" ca="1" si="20"/>
        <v>East</v>
      </c>
      <c r="D427" t="str">
        <f t="shared" si="21"/>
        <v>November</v>
      </c>
      <c r="E427" s="15">
        <v>106</v>
      </c>
      <c r="F42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27">
        <f>128897.2893</f>
        <v>128897.2893</v>
      </c>
      <c r="H427" t="str">
        <f t="shared" ca="1" si="19"/>
        <v>Print</v>
      </c>
      <c r="I427">
        <v>80.215177969999999</v>
      </c>
      <c r="J427">
        <f>Table16[[#This Row],[Marketing_Spend]]/Table16[[#This Row],[Units_Sold]]</f>
        <v>1216.0121632075472</v>
      </c>
    </row>
    <row r="428" spans="1:10">
      <c r="A428" s="53">
        <v>54785</v>
      </c>
      <c r="B428" s="14" t="s">
        <v>11</v>
      </c>
      <c r="C428" t="str">
        <f t="shared" ca="1" si="20"/>
        <v>West</v>
      </c>
      <c r="D428" t="str">
        <f t="shared" si="21"/>
        <v>December</v>
      </c>
      <c r="E428" s="14">
        <v>92</v>
      </c>
      <c r="F42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428">
        <v>108566.33384750475</v>
      </c>
      <c r="H428" t="str">
        <f t="shared" ca="1" si="19"/>
        <v>Print</v>
      </c>
      <c r="I428">
        <v>31.728664028800253</v>
      </c>
      <c r="J428">
        <f>Table16[[#This Row],[Marketing_Spend]]/Table16[[#This Row],[Units_Sold]]</f>
        <v>1180.0688461685299</v>
      </c>
    </row>
    <row r="429" spans="1:10">
      <c r="A429" s="54">
        <v>54815</v>
      </c>
      <c r="B429" s="15" t="s">
        <v>11</v>
      </c>
      <c r="C429" t="str">
        <f t="shared" ca="1" si="20"/>
        <v>West</v>
      </c>
      <c r="D429" t="str">
        <f t="shared" si="21"/>
        <v>January</v>
      </c>
      <c r="E429" s="15">
        <v>121</v>
      </c>
      <c r="F42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29">
        <f>128897.2893</f>
        <v>128897.2893</v>
      </c>
      <c r="H429" t="str">
        <f t="shared" ca="1" si="19"/>
        <v>Radio</v>
      </c>
      <c r="I429">
        <v>32.773307949372061</v>
      </c>
      <c r="J429">
        <f>Table16[[#This Row],[Marketing_Spend]]/Table16[[#This Row],[Units_Sold]]</f>
        <v>1065.2668537190084</v>
      </c>
    </row>
    <row r="430" spans="1:10">
      <c r="A430" s="53">
        <v>54845</v>
      </c>
      <c r="B430" s="14" t="s">
        <v>10</v>
      </c>
      <c r="C430" t="str">
        <f t="shared" ca="1" si="20"/>
        <v>West</v>
      </c>
      <c r="D430" t="str">
        <f t="shared" si="21"/>
        <v>February</v>
      </c>
      <c r="E430" s="14">
        <v>89</v>
      </c>
      <c r="F43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430">
        <v>88123.771838625893</v>
      </c>
      <c r="H430" t="str">
        <f t="shared" ca="1" si="19"/>
        <v>Online</v>
      </c>
      <c r="I430">
        <v>83.206659997715022</v>
      </c>
      <c r="J430">
        <f>Table16[[#This Row],[Marketing_Spend]]/Table16[[#This Row],[Units_Sold]]</f>
        <v>990.1547397598415</v>
      </c>
    </row>
    <row r="431" spans="1:10">
      <c r="A431" s="54">
        <v>54875</v>
      </c>
      <c r="B431" s="15" t="s">
        <v>11</v>
      </c>
      <c r="C431" t="str">
        <f t="shared" ca="1" si="20"/>
        <v>West</v>
      </c>
      <c r="D431" t="str">
        <f t="shared" si="21"/>
        <v>March</v>
      </c>
      <c r="E431" s="15">
        <v>117</v>
      </c>
      <c r="F43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31">
        <v>102916.7736</v>
      </c>
      <c r="H431" t="str">
        <f t="shared" ca="1" si="19"/>
        <v>Print</v>
      </c>
      <c r="I431">
        <v>69.303259868331565</v>
      </c>
      <c r="J431">
        <f>Table16[[#This Row],[Marketing_Spend]]/Table16[[#This Row],[Units_Sold]]</f>
        <v>879.63054358974364</v>
      </c>
    </row>
    <row r="432" spans="1:10">
      <c r="A432" s="53">
        <v>54905</v>
      </c>
      <c r="B432" s="14" t="s">
        <v>11</v>
      </c>
      <c r="C432" t="str">
        <f t="shared" ca="1" si="20"/>
        <v>North</v>
      </c>
      <c r="D432" t="str">
        <f t="shared" si="21"/>
        <v>April</v>
      </c>
      <c r="E432" s="14">
        <v>106</v>
      </c>
      <c r="F43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32">
        <v>101571.540594383</v>
      </c>
      <c r="H432" t="str">
        <f t="shared" ca="1" si="19"/>
        <v>Radio</v>
      </c>
      <c r="I432">
        <v>23.588844610217361</v>
      </c>
      <c r="J432">
        <f>Table16[[#This Row],[Marketing_Spend]]/Table16[[#This Row],[Units_Sold]]</f>
        <v>958.22208107908489</v>
      </c>
    </row>
    <row r="433" spans="1:10">
      <c r="A433" s="54">
        <v>54935</v>
      </c>
      <c r="B433" s="15" t="s">
        <v>13</v>
      </c>
      <c r="C433" t="str">
        <f t="shared" ca="1" si="20"/>
        <v>East</v>
      </c>
      <c r="D433" t="str">
        <f t="shared" si="21"/>
        <v>May</v>
      </c>
      <c r="E433" s="15">
        <v>121</v>
      </c>
      <c r="F43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33">
        <v>57425.31811170376</v>
      </c>
      <c r="H433" t="str">
        <f t="shared" ca="1" si="19"/>
        <v>TV</v>
      </c>
      <c r="I433">
        <v>69.803759236982529</v>
      </c>
      <c r="J433">
        <f>Table16[[#This Row],[Marketing_Spend]]/Table16[[#This Row],[Units_Sold]]</f>
        <v>474.58940588184925</v>
      </c>
    </row>
    <row r="434" spans="1:10">
      <c r="A434" s="53">
        <v>54965</v>
      </c>
      <c r="B434" s="14" t="s">
        <v>14</v>
      </c>
      <c r="C434" t="str">
        <f t="shared" ca="1" si="20"/>
        <v>East</v>
      </c>
      <c r="D434" t="str">
        <f t="shared" si="21"/>
        <v>June</v>
      </c>
      <c r="E434" s="14">
        <v>95</v>
      </c>
      <c r="F43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34">
        <v>109163.36229577397</v>
      </c>
      <c r="H434" t="str">
        <f t="shared" ca="1" si="19"/>
        <v>Print</v>
      </c>
      <c r="I434">
        <v>44.713417827501289</v>
      </c>
      <c r="J434">
        <f>Table16[[#This Row],[Marketing_Spend]]/Table16[[#This Row],[Units_Sold]]</f>
        <v>1149.0880241660418</v>
      </c>
    </row>
    <row r="435" spans="1:10">
      <c r="A435" s="54">
        <v>54995</v>
      </c>
      <c r="B435" s="15" t="s">
        <v>13</v>
      </c>
      <c r="C435" t="str">
        <f t="shared" ca="1" si="20"/>
        <v>West</v>
      </c>
      <c r="D435" t="str">
        <f t="shared" si="21"/>
        <v>July</v>
      </c>
      <c r="E435" s="15">
        <v>91</v>
      </c>
      <c r="F43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35">
        <v>80405.575505663859</v>
      </c>
      <c r="H435" t="str">
        <f t="shared" ca="1" si="19"/>
        <v>TV</v>
      </c>
      <c r="I435">
        <v>49.498012437667676</v>
      </c>
      <c r="J435">
        <f>Table16[[#This Row],[Marketing_Spend]]/Table16[[#This Row],[Units_Sold]]</f>
        <v>883.57775280949295</v>
      </c>
    </row>
    <row r="436" spans="1:10">
      <c r="A436" s="53">
        <v>55025</v>
      </c>
      <c r="B436" s="14" t="s">
        <v>11</v>
      </c>
      <c r="C436" t="str">
        <f t="shared" ca="1" si="20"/>
        <v>North</v>
      </c>
      <c r="D436" t="str">
        <f t="shared" si="21"/>
        <v>August</v>
      </c>
      <c r="E436" s="14">
        <v>82</v>
      </c>
      <c r="F43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36">
        <v>76933.351935885104</v>
      </c>
      <c r="H436" t="str">
        <f t="shared" ca="1" si="19"/>
        <v>TV</v>
      </c>
      <c r="I436">
        <v>65.454227669999995</v>
      </c>
      <c r="J436">
        <f>Table16[[#This Row],[Marketing_Spend]]/Table16[[#This Row],[Units_Sold]]</f>
        <v>938.21160897420862</v>
      </c>
    </row>
    <row r="437" spans="1:10">
      <c r="A437" s="54">
        <v>55055</v>
      </c>
      <c r="B437" s="15" t="s">
        <v>10</v>
      </c>
      <c r="C437" t="str">
        <f t="shared" ca="1" si="20"/>
        <v>North</v>
      </c>
      <c r="D437" t="str">
        <f t="shared" si="21"/>
        <v>September</v>
      </c>
      <c r="E437" s="15">
        <v>100</v>
      </c>
      <c r="F43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37">
        <v>66253.113057785784</v>
      </c>
      <c r="H437" t="str">
        <f t="shared" ca="1" si="19"/>
        <v>TV</v>
      </c>
      <c r="I437">
        <v>80.215177969999999</v>
      </c>
      <c r="J437">
        <f>Table16[[#This Row],[Marketing_Spend]]/Table16[[#This Row],[Units_Sold]]</f>
        <v>662.53113057785788</v>
      </c>
    </row>
    <row r="438" spans="1:10">
      <c r="A438" s="53">
        <v>55085</v>
      </c>
      <c r="B438" s="14" t="s">
        <v>10</v>
      </c>
      <c r="C438" t="str">
        <f t="shared" ca="1" si="20"/>
        <v>South</v>
      </c>
      <c r="D438" t="str">
        <f t="shared" si="21"/>
        <v>October</v>
      </c>
      <c r="E438" s="14">
        <v>81</v>
      </c>
      <c r="F43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38">
        <v>64122.150042642192</v>
      </c>
      <c r="H438" t="str">
        <f t="shared" ca="1" si="19"/>
        <v>Billboards</v>
      </c>
      <c r="I438">
        <v>52.028530147186451</v>
      </c>
      <c r="J438">
        <f>Table16[[#This Row],[Marketing_Spend]]/Table16[[#This Row],[Units_Sold]]</f>
        <v>791.6314820079283</v>
      </c>
    </row>
    <row r="439" spans="1:10">
      <c r="A439" s="54">
        <v>55115</v>
      </c>
      <c r="B439" s="15" t="s">
        <v>11</v>
      </c>
      <c r="C439" t="str">
        <f t="shared" ca="1" si="20"/>
        <v>North</v>
      </c>
      <c r="D439" t="str">
        <f t="shared" si="21"/>
        <v>November</v>
      </c>
      <c r="E439" s="15">
        <v>101</v>
      </c>
      <c r="F43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39">
        <v>72891.049937754215</v>
      </c>
      <c r="H439" t="str">
        <f t="shared" ca="1" si="19"/>
        <v>Billboards</v>
      </c>
      <c r="I439">
        <v>95.772234880508378</v>
      </c>
      <c r="J439">
        <f>Table16[[#This Row],[Marketing_Spend]]/Table16[[#This Row],[Units_Sold]]</f>
        <v>721.69356374014069</v>
      </c>
    </row>
    <row r="440" spans="1:10">
      <c r="A440" s="53">
        <v>55145</v>
      </c>
      <c r="B440" s="14" t="s">
        <v>12</v>
      </c>
      <c r="C440" t="str">
        <f t="shared" ca="1" si="20"/>
        <v>North</v>
      </c>
      <c r="D440" t="str">
        <f t="shared" si="21"/>
        <v>December</v>
      </c>
      <c r="E440" s="14">
        <v>95</v>
      </c>
      <c r="F44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440">
        <v>85819.580847390185</v>
      </c>
      <c r="H440" t="str">
        <f t="shared" ca="1" si="19"/>
        <v>Radio</v>
      </c>
      <c r="I440">
        <v>52.51701743616578</v>
      </c>
      <c r="J440">
        <f>Table16[[#This Row],[Marketing_Spend]]/Table16[[#This Row],[Units_Sold]]</f>
        <v>903.36400891989672</v>
      </c>
    </row>
    <row r="441" spans="1:10">
      <c r="A441" s="54">
        <v>55175</v>
      </c>
      <c r="B441" s="15" t="s">
        <v>13</v>
      </c>
      <c r="C441" t="str">
        <f t="shared" ca="1" si="20"/>
        <v>South</v>
      </c>
      <c r="D441" t="str">
        <f t="shared" si="21"/>
        <v>January</v>
      </c>
      <c r="E441" s="15">
        <v>114</v>
      </c>
      <c r="F44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41">
        <v>139065.18275053136</v>
      </c>
      <c r="H441" t="str">
        <f t="shared" ca="1" si="19"/>
        <v>Print</v>
      </c>
      <c r="I441">
        <v>81.746882818408793</v>
      </c>
      <c r="J441">
        <f>Table16[[#This Row],[Marketing_Spend]]/Table16[[#This Row],[Units_Sold]]</f>
        <v>1219.870024127468</v>
      </c>
    </row>
    <row r="442" spans="1:10">
      <c r="A442" s="53">
        <v>55205</v>
      </c>
      <c r="B442" s="14" t="s">
        <v>11</v>
      </c>
      <c r="C442" t="str">
        <f t="shared" ca="1" si="20"/>
        <v>West</v>
      </c>
      <c r="D442" t="str">
        <f t="shared" si="21"/>
        <v>February</v>
      </c>
      <c r="E442" s="14">
        <v>92</v>
      </c>
      <c r="F44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442">
        <v>89482.406482095917</v>
      </c>
      <c r="H442" t="str">
        <f t="shared" ca="1" si="19"/>
        <v>Radio</v>
      </c>
      <c r="I442">
        <v>58.710181165140725</v>
      </c>
      <c r="J442">
        <f>Table16[[#This Row],[Marketing_Spend]]/Table16[[#This Row],[Units_Sold]]</f>
        <v>972.63485306626001</v>
      </c>
    </row>
    <row r="443" spans="1:10">
      <c r="A443" s="54">
        <v>55235</v>
      </c>
      <c r="B443" s="15" t="s">
        <v>10</v>
      </c>
      <c r="C443" t="str">
        <f t="shared" ca="1" si="20"/>
        <v>South</v>
      </c>
      <c r="D443" t="str">
        <f t="shared" si="21"/>
        <v>March</v>
      </c>
      <c r="E443" s="15">
        <v>113</v>
      </c>
      <c r="F44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43">
        <v>103555.00212536062</v>
      </c>
      <c r="H443" t="str">
        <f t="shared" ca="1" si="19"/>
        <v>Online</v>
      </c>
      <c r="I443">
        <v>91.802586121766723</v>
      </c>
      <c r="J443">
        <f>Table16[[#This Row],[Marketing_Spend]]/Table16[[#This Row],[Units_Sold]]</f>
        <v>916.41594801204087</v>
      </c>
    </row>
    <row r="444" spans="1:10">
      <c r="A444" s="53">
        <v>55265</v>
      </c>
      <c r="B444" s="14" t="s">
        <v>10</v>
      </c>
      <c r="C444" t="str">
        <f t="shared" ca="1" si="20"/>
        <v>South</v>
      </c>
      <c r="D444" t="str">
        <f t="shared" si="21"/>
        <v>April</v>
      </c>
      <c r="E444" s="14">
        <v>113</v>
      </c>
      <c r="F44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44">
        <v>108009.62773012658</v>
      </c>
      <c r="H444" t="str">
        <f t="shared" ca="1" si="19"/>
        <v>TV</v>
      </c>
      <c r="I444">
        <v>92.620899492014289</v>
      </c>
      <c r="J444">
        <f>Table16[[#This Row],[Marketing_Spend]]/Table16[[#This Row],[Units_Sold]]</f>
        <v>955.8374135409432</v>
      </c>
    </row>
    <row r="445" spans="1:10">
      <c r="A445" s="54">
        <v>55295</v>
      </c>
      <c r="B445" s="15" t="s">
        <v>13</v>
      </c>
      <c r="C445" t="str">
        <f t="shared" ca="1" si="20"/>
        <v>East</v>
      </c>
      <c r="D445" t="str">
        <f t="shared" si="21"/>
        <v>May</v>
      </c>
      <c r="E445" s="15">
        <v>120</v>
      </c>
      <c r="F44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45">
        <f>128897.2893</f>
        <v>128897.2893</v>
      </c>
      <c r="H445" t="str">
        <f t="shared" ca="1" si="19"/>
        <v>Online</v>
      </c>
      <c r="I445">
        <v>26.99334462968671</v>
      </c>
      <c r="J445">
        <f>Table16[[#This Row],[Marketing_Spend]]/Table16[[#This Row],[Units_Sold]]</f>
        <v>1074.1440775000001</v>
      </c>
    </row>
    <row r="446" spans="1:10">
      <c r="A446" s="53">
        <v>55325</v>
      </c>
      <c r="B446" s="14" t="s">
        <v>14</v>
      </c>
      <c r="C446" t="str">
        <f t="shared" ca="1" si="20"/>
        <v>West</v>
      </c>
      <c r="D446" t="str">
        <f t="shared" si="21"/>
        <v>June</v>
      </c>
      <c r="E446" s="14">
        <v>108</v>
      </c>
      <c r="F44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46">
        <v>98451.130785480127</v>
      </c>
      <c r="H446" t="str">
        <f t="shared" ca="1" si="19"/>
        <v>Print</v>
      </c>
      <c r="I446">
        <v>94.919466504818061</v>
      </c>
      <c r="J446">
        <f>Table16[[#This Row],[Marketing_Spend]]/Table16[[#This Row],[Units_Sold]]</f>
        <v>911.58454431000121</v>
      </c>
    </row>
    <row r="447" spans="1:10">
      <c r="A447" s="54">
        <v>55355</v>
      </c>
      <c r="B447" s="15" t="s">
        <v>11</v>
      </c>
      <c r="C447" t="str">
        <f t="shared" ca="1" si="20"/>
        <v>South</v>
      </c>
      <c r="D447" t="str">
        <f t="shared" si="21"/>
        <v>July</v>
      </c>
      <c r="E447" s="15">
        <v>99</v>
      </c>
      <c r="F44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47">
        <v>76094.1247280151</v>
      </c>
      <c r="H447" t="str">
        <f t="shared" ca="1" si="19"/>
        <v>Online</v>
      </c>
      <c r="I447">
        <v>86.042787321633256</v>
      </c>
      <c r="J447">
        <f>Table16[[#This Row],[Marketing_Spend]]/Table16[[#This Row],[Units_Sold]]</f>
        <v>768.62752250520305</v>
      </c>
    </row>
    <row r="448" spans="1:10">
      <c r="A448" s="53">
        <v>55385</v>
      </c>
      <c r="B448" s="14" t="s">
        <v>11</v>
      </c>
      <c r="C448" t="str">
        <f t="shared" ca="1" si="20"/>
        <v>West</v>
      </c>
      <c r="D448" t="str">
        <f t="shared" si="21"/>
        <v>August</v>
      </c>
      <c r="E448" s="14">
        <v>108</v>
      </c>
      <c r="F44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48">
        <v>129018.55096558423</v>
      </c>
      <c r="H448" t="str">
        <f t="shared" ca="1" si="19"/>
        <v>Radio</v>
      </c>
      <c r="I448">
        <v>83.304857145013358</v>
      </c>
      <c r="J448">
        <f>Table16[[#This Row],[Marketing_Spend]]/Table16[[#This Row],[Units_Sold]]</f>
        <v>1194.6162126442985</v>
      </c>
    </row>
    <row r="449" spans="1:10">
      <c r="A449" s="54">
        <v>55415</v>
      </c>
      <c r="B449" s="15" t="s">
        <v>14</v>
      </c>
      <c r="C449" t="str">
        <f t="shared" ca="1" si="20"/>
        <v>East</v>
      </c>
      <c r="D449" t="str">
        <f t="shared" si="21"/>
        <v>September</v>
      </c>
      <c r="E449" s="15">
        <v>98</v>
      </c>
      <c r="F44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49">
        <v>136143.93287275769</v>
      </c>
      <c r="H449" t="str">
        <f t="shared" ca="1" si="19"/>
        <v>Radio</v>
      </c>
      <c r="I449">
        <v>36.072907174841795</v>
      </c>
      <c r="J449">
        <f>Table16[[#This Row],[Marketing_Spend]]/Table16[[#This Row],[Units_Sold]]</f>
        <v>1389.2238048240581</v>
      </c>
    </row>
    <row r="450" spans="1:10">
      <c r="A450" s="53">
        <v>55445</v>
      </c>
      <c r="B450" s="14" t="s">
        <v>13</v>
      </c>
      <c r="C450" t="str">
        <f t="shared" ca="1" si="20"/>
        <v>West</v>
      </c>
      <c r="D450" t="str">
        <f t="shared" si="21"/>
        <v>October</v>
      </c>
      <c r="E450" s="14">
        <v>92</v>
      </c>
      <c r="F45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50">
        <v>66346.826117546283</v>
      </c>
      <c r="H450" t="str">
        <f t="shared" ref="H450:H501" ca="1" si="22">CHOOSE(RANDBETWEEN(1,5),"Online","TV","Radio","Print","Billboards")</f>
        <v>Radio</v>
      </c>
      <c r="I450">
        <v>84.409536700373195</v>
      </c>
      <c r="J450">
        <f>Table16[[#This Row],[Marketing_Spend]]/Table16[[#This Row],[Units_Sold]]</f>
        <v>721.16115345159005</v>
      </c>
    </row>
    <row r="451" spans="1:10">
      <c r="A451" s="54">
        <v>55475</v>
      </c>
      <c r="B451" s="15" t="s">
        <v>13</v>
      </c>
      <c r="C451" t="str">
        <f t="shared" ref="C451:C501" ca="1" si="23">CHOOSE(RANDBETWEEN(1,4),"North","South","East","West")</f>
        <v>North</v>
      </c>
      <c r="D451" t="str">
        <f t="shared" ref="D451:D501" si="24">TEXT(A451,"mmmm")</f>
        <v>November</v>
      </c>
      <c r="E451" s="15">
        <v>96</v>
      </c>
      <c r="F45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51">
        <v>79519.428182272415</v>
      </c>
      <c r="H451" t="str">
        <f t="shared" ca="1" si="22"/>
        <v>Radio</v>
      </c>
      <c r="I451">
        <v>88.01061877480295</v>
      </c>
      <c r="J451">
        <f>Table16[[#This Row],[Marketing_Spend]]/Table16[[#This Row],[Units_Sold]]</f>
        <v>828.32737689867099</v>
      </c>
    </row>
    <row r="452" spans="1:10">
      <c r="A452" s="53">
        <v>55505</v>
      </c>
      <c r="B452" s="14" t="s">
        <v>10</v>
      </c>
      <c r="C452" t="str">
        <f t="shared" ca="1" si="23"/>
        <v>South</v>
      </c>
      <c r="D452" t="str">
        <f t="shared" si="24"/>
        <v>December</v>
      </c>
      <c r="E452" s="14">
        <v>94</v>
      </c>
      <c r="F45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452">
        <f>128897.2893</f>
        <v>128897.2893</v>
      </c>
      <c r="H452" t="str">
        <f t="shared" ca="1" si="22"/>
        <v>Print</v>
      </c>
      <c r="I452">
        <v>43.132026756332074</v>
      </c>
      <c r="J452">
        <f>Table16[[#This Row],[Marketing_Spend]]/Table16[[#This Row],[Units_Sold]]</f>
        <v>1371.2477585106383</v>
      </c>
    </row>
    <row r="453" spans="1:10">
      <c r="A453" s="54">
        <v>55535</v>
      </c>
      <c r="B453" s="15" t="s">
        <v>14</v>
      </c>
      <c r="C453" t="str">
        <f t="shared" ca="1" si="23"/>
        <v>East</v>
      </c>
      <c r="D453" t="str">
        <f t="shared" si="24"/>
        <v>January</v>
      </c>
      <c r="E453" s="15">
        <v>75</v>
      </c>
      <c r="F45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53">
        <v>80709.244101796168</v>
      </c>
      <c r="H453" t="str">
        <f t="shared" ca="1" si="22"/>
        <v>TV</v>
      </c>
      <c r="I453">
        <v>96.180806268985904</v>
      </c>
      <c r="J453">
        <f>Table16[[#This Row],[Marketing_Spend]]/Table16[[#This Row],[Units_Sold]]</f>
        <v>1076.1232546906156</v>
      </c>
    </row>
    <row r="454" spans="1:10">
      <c r="A454" s="53">
        <v>55565</v>
      </c>
      <c r="B454" s="14" t="s">
        <v>13</v>
      </c>
      <c r="C454" t="str">
        <f t="shared" ca="1" si="23"/>
        <v>South</v>
      </c>
      <c r="D454" t="str">
        <f t="shared" si="24"/>
        <v>February</v>
      </c>
      <c r="E454" s="14">
        <v>97</v>
      </c>
      <c r="F45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454">
        <v>110119.31106911731</v>
      </c>
      <c r="H454" t="str">
        <f t="shared" ca="1" si="22"/>
        <v>Radio</v>
      </c>
      <c r="I454">
        <v>23.988811711933138</v>
      </c>
      <c r="J454">
        <f>Table16[[#This Row],[Marketing_Spend]]/Table16[[#This Row],[Units_Sold]]</f>
        <v>1135.250629578529</v>
      </c>
    </row>
    <row r="455" spans="1:10">
      <c r="A455" s="54">
        <v>55595</v>
      </c>
      <c r="B455" s="15" t="s">
        <v>12</v>
      </c>
      <c r="C455" t="str">
        <f t="shared" ca="1" si="23"/>
        <v>South</v>
      </c>
      <c r="D455" t="str">
        <f t="shared" si="24"/>
        <v>March</v>
      </c>
      <c r="E455" s="15">
        <v>100</v>
      </c>
      <c r="F45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55">
        <v>85434.555951867733</v>
      </c>
      <c r="H455" t="str">
        <f t="shared" ca="1" si="22"/>
        <v>Print</v>
      </c>
      <c r="I455">
        <v>31.992740259771175</v>
      </c>
      <c r="J455">
        <f>Table16[[#This Row],[Marketing_Spend]]/Table16[[#This Row],[Units_Sold]]</f>
        <v>854.34555951867731</v>
      </c>
    </row>
    <row r="456" spans="1:10">
      <c r="A456" s="53">
        <v>55625</v>
      </c>
      <c r="B456" s="14" t="s">
        <v>11</v>
      </c>
      <c r="C456" t="str">
        <f t="shared" ca="1" si="23"/>
        <v>West</v>
      </c>
      <c r="D456" t="str">
        <f t="shared" si="24"/>
        <v>April</v>
      </c>
      <c r="E456" s="14">
        <v>98</v>
      </c>
      <c r="F45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56">
        <v>143301.12135613203</v>
      </c>
      <c r="H456" t="str">
        <f t="shared" ca="1" si="22"/>
        <v>Radio</v>
      </c>
      <c r="I456">
        <v>63.006491044121148</v>
      </c>
      <c r="J456">
        <f>Table16[[#This Row],[Marketing_Spend]]/Table16[[#This Row],[Units_Sold]]</f>
        <v>1462.2563403686943</v>
      </c>
    </row>
    <row r="457" spans="1:10">
      <c r="A457" s="54">
        <v>55655</v>
      </c>
      <c r="B457" s="15" t="s">
        <v>10</v>
      </c>
      <c r="C457" t="str">
        <f t="shared" ca="1" si="23"/>
        <v>West</v>
      </c>
      <c r="D457" t="str">
        <f t="shared" si="24"/>
        <v>May</v>
      </c>
      <c r="E457" s="15">
        <v>121</v>
      </c>
      <c r="F45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57">
        <v>123810.97188687192</v>
      </c>
      <c r="H457" t="str">
        <f t="shared" ca="1" si="22"/>
        <v>Online</v>
      </c>
      <c r="I457">
        <v>66.063397689784779</v>
      </c>
      <c r="J457">
        <f>Table16[[#This Row],[Marketing_Spend]]/Table16[[#This Row],[Units_Sold]]</f>
        <v>1023.2311726187762</v>
      </c>
    </row>
    <row r="458" spans="1:10">
      <c r="A458" s="53">
        <v>55685</v>
      </c>
      <c r="B458" s="14" t="s">
        <v>14</v>
      </c>
      <c r="C458" t="str">
        <f t="shared" ca="1" si="23"/>
        <v>East</v>
      </c>
      <c r="D458" t="str">
        <f t="shared" si="24"/>
        <v>June</v>
      </c>
      <c r="E458" s="14">
        <v>103</v>
      </c>
      <c r="F45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58">
        <v>104251.4806126443</v>
      </c>
      <c r="H458" t="str">
        <f t="shared" ca="1" si="22"/>
        <v>Radio</v>
      </c>
      <c r="I458">
        <v>65.454227669999995</v>
      </c>
      <c r="J458">
        <f>Table16[[#This Row],[Marketing_Spend]]/Table16[[#This Row],[Units_Sold]]</f>
        <v>1012.1502972101389</v>
      </c>
    </row>
    <row r="459" spans="1:10">
      <c r="A459" s="54">
        <v>55715</v>
      </c>
      <c r="B459" s="15" t="s">
        <v>10</v>
      </c>
      <c r="C459" t="str">
        <f t="shared" ca="1" si="23"/>
        <v>South</v>
      </c>
      <c r="D459" t="str">
        <f t="shared" si="24"/>
        <v>July</v>
      </c>
      <c r="E459" s="15">
        <v>121</v>
      </c>
      <c r="F45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59">
        <v>120539.72526639464</v>
      </c>
      <c r="H459" t="str">
        <f t="shared" ca="1" si="22"/>
        <v>Billboards</v>
      </c>
      <c r="I459">
        <v>21.357530345237315</v>
      </c>
      <c r="J459">
        <f>Table16[[#This Row],[Marketing_Spend]]/Table16[[#This Row],[Units_Sold]]</f>
        <v>996.19607658177392</v>
      </c>
    </row>
    <row r="460" spans="1:10">
      <c r="A460" s="53">
        <v>55745</v>
      </c>
      <c r="B460" s="14" t="s">
        <v>13</v>
      </c>
      <c r="C460" t="str">
        <f t="shared" ca="1" si="23"/>
        <v>West</v>
      </c>
      <c r="D460" t="str">
        <f t="shared" si="24"/>
        <v>August</v>
      </c>
      <c r="E460" s="14">
        <v>103</v>
      </c>
      <c r="F46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60">
        <v>122118.00848714617</v>
      </c>
      <c r="H460" t="str">
        <f t="shared" ca="1" si="22"/>
        <v>Online</v>
      </c>
      <c r="I460">
        <v>96.829341969770425</v>
      </c>
      <c r="J460">
        <f>Table16[[#This Row],[Marketing_Spend]]/Table16[[#This Row],[Units_Sold]]</f>
        <v>1185.6117328849143</v>
      </c>
    </row>
    <row r="461" spans="1:10">
      <c r="A461" s="54">
        <v>55775</v>
      </c>
      <c r="B461" s="15" t="s">
        <v>13</v>
      </c>
      <c r="C461" t="str">
        <f t="shared" ca="1" si="23"/>
        <v>East</v>
      </c>
      <c r="D461" t="str">
        <f t="shared" si="24"/>
        <v>September</v>
      </c>
      <c r="E461" s="15">
        <v>91</v>
      </c>
      <c r="F46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61">
        <v>88721.050238835131</v>
      </c>
      <c r="H461" t="str">
        <f t="shared" ca="1" si="22"/>
        <v>Billboards</v>
      </c>
      <c r="I461">
        <v>23.567047418731519</v>
      </c>
      <c r="J461">
        <f>Table16[[#This Row],[Marketing_Spend]]/Table16[[#This Row],[Units_Sold]]</f>
        <v>974.9565960311553</v>
      </c>
    </row>
    <row r="462" spans="1:10">
      <c r="A462" s="53">
        <v>55805</v>
      </c>
      <c r="B462" s="14" t="s">
        <v>12</v>
      </c>
      <c r="C462" t="str">
        <f t="shared" ca="1" si="23"/>
        <v>North</v>
      </c>
      <c r="D462" t="str">
        <f t="shared" si="24"/>
        <v>October</v>
      </c>
      <c r="E462" s="14">
        <v>91</v>
      </c>
      <c r="F46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62">
        <v>83675.655109160711</v>
      </c>
      <c r="H462" t="str">
        <f t="shared" ca="1" si="22"/>
        <v>TV</v>
      </c>
      <c r="I462">
        <v>31.444956217872189</v>
      </c>
      <c r="J462">
        <f>Table16[[#This Row],[Marketing_Spend]]/Table16[[#This Row],[Units_Sold]]</f>
        <v>919.51269350726056</v>
      </c>
    </row>
    <row r="463" spans="1:10">
      <c r="A463" s="54">
        <v>55835</v>
      </c>
      <c r="B463" s="15" t="s">
        <v>11</v>
      </c>
      <c r="C463" t="str">
        <f t="shared" ca="1" si="23"/>
        <v>East</v>
      </c>
      <c r="D463" t="str">
        <f t="shared" si="24"/>
        <v>November</v>
      </c>
      <c r="E463" s="15">
        <v>100</v>
      </c>
      <c r="F46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63">
        <v>101562.86125939294</v>
      </c>
      <c r="H463" t="str">
        <f t="shared" ca="1" si="22"/>
        <v>Radio</v>
      </c>
      <c r="I463">
        <v>21.12116140208456</v>
      </c>
      <c r="J463">
        <f>Table16[[#This Row],[Marketing_Spend]]/Table16[[#This Row],[Units_Sold]]</f>
        <v>1015.6286125939295</v>
      </c>
    </row>
    <row r="464" spans="1:10">
      <c r="A464" s="53">
        <v>55865</v>
      </c>
      <c r="B464" s="14" t="s">
        <v>14</v>
      </c>
      <c r="C464" t="str">
        <f t="shared" ca="1" si="23"/>
        <v>East</v>
      </c>
      <c r="D464" t="str">
        <f t="shared" si="24"/>
        <v>December</v>
      </c>
      <c r="E464" s="14">
        <v>97</v>
      </c>
      <c r="F46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464">
        <v>117232.72248995888</v>
      </c>
      <c r="H464" t="str">
        <f t="shared" ca="1" si="22"/>
        <v>Online</v>
      </c>
      <c r="I464">
        <v>65.348674663527575</v>
      </c>
      <c r="J464">
        <f>Table16[[#This Row],[Marketing_Spend]]/Table16[[#This Row],[Units_Sold]]</f>
        <v>1208.5847679377205</v>
      </c>
    </row>
    <row r="465" spans="1:10">
      <c r="A465" s="54">
        <v>55895</v>
      </c>
      <c r="B465" s="15" t="s">
        <v>10</v>
      </c>
      <c r="C465" t="str">
        <f t="shared" ca="1" si="23"/>
        <v>South</v>
      </c>
      <c r="D465" t="str">
        <f t="shared" si="24"/>
        <v>January</v>
      </c>
      <c r="E465" s="15">
        <v>106</v>
      </c>
      <c r="F46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65">
        <v>102781.20797306835</v>
      </c>
      <c r="H465" t="str">
        <f t="shared" ca="1" si="22"/>
        <v>Billboards</v>
      </c>
      <c r="I465">
        <v>94.581350713677779</v>
      </c>
      <c r="J465">
        <f>Table16[[#This Row],[Marketing_Spend]]/Table16[[#This Row],[Units_Sold]]</f>
        <v>969.63403748177689</v>
      </c>
    </row>
    <row r="466" spans="1:10">
      <c r="A466" s="53">
        <v>55925</v>
      </c>
      <c r="B466" s="14" t="s">
        <v>11</v>
      </c>
      <c r="C466" t="str">
        <f t="shared" ca="1" si="23"/>
        <v>West</v>
      </c>
      <c r="D466" t="str">
        <f t="shared" si="24"/>
        <v>February</v>
      </c>
      <c r="E466" s="14">
        <v>110</v>
      </c>
      <c r="F46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466">
        <v>68460.070356180047</v>
      </c>
      <c r="H466" t="str">
        <f t="shared" ca="1" si="22"/>
        <v>Billboards</v>
      </c>
      <c r="I466">
        <v>73.275773286437129</v>
      </c>
      <c r="J466">
        <f>Table16[[#This Row],[Marketing_Spend]]/Table16[[#This Row],[Units_Sold]]</f>
        <v>622.36427596527312</v>
      </c>
    </row>
    <row r="467" spans="1:10">
      <c r="A467" s="54">
        <v>55955</v>
      </c>
      <c r="B467" s="15" t="s">
        <v>13</v>
      </c>
      <c r="C467" t="str">
        <f t="shared" ca="1" si="23"/>
        <v>East</v>
      </c>
      <c r="D467" t="str">
        <f t="shared" si="24"/>
        <v>March</v>
      </c>
      <c r="E467" s="15">
        <v>91</v>
      </c>
      <c r="F46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67">
        <v>83943.511120983152</v>
      </c>
      <c r="H467" t="str">
        <f t="shared" ca="1" si="22"/>
        <v>Print</v>
      </c>
      <c r="I467">
        <v>85.812597478434185</v>
      </c>
      <c r="J467">
        <f>Table16[[#This Row],[Marketing_Spend]]/Table16[[#This Row],[Units_Sold]]</f>
        <v>922.45616616464997</v>
      </c>
    </row>
    <row r="468" spans="1:10">
      <c r="A468" s="53">
        <v>55985</v>
      </c>
      <c r="B468" s="14" t="s">
        <v>11</v>
      </c>
      <c r="C468" t="str">
        <f t="shared" ca="1" si="23"/>
        <v>South</v>
      </c>
      <c r="D468" t="str">
        <f t="shared" si="24"/>
        <v>April</v>
      </c>
      <c r="E468" s="14">
        <v>103</v>
      </c>
      <c r="F46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68">
        <v>98520.542728112443</v>
      </c>
      <c r="H468" t="str">
        <f t="shared" ca="1" si="22"/>
        <v>Online</v>
      </c>
      <c r="I468">
        <v>21.062496276686407</v>
      </c>
      <c r="J468">
        <f>Table16[[#This Row],[Marketing_Spend]]/Table16[[#This Row],[Units_Sold]]</f>
        <v>956.51012357390721</v>
      </c>
    </row>
    <row r="469" spans="1:10">
      <c r="A469" s="54">
        <v>56015</v>
      </c>
      <c r="B469" s="15" t="s">
        <v>10</v>
      </c>
      <c r="C469" t="str">
        <f t="shared" ca="1" si="23"/>
        <v>North</v>
      </c>
      <c r="D469" t="str">
        <f t="shared" si="24"/>
        <v>May</v>
      </c>
      <c r="E469" s="15">
        <v>84</v>
      </c>
      <c r="F46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69">
        <v>98486.687913483402</v>
      </c>
      <c r="H469" t="str">
        <f t="shared" ca="1" si="22"/>
        <v>Online</v>
      </c>
      <c r="I469">
        <v>63.361223878378084</v>
      </c>
      <c r="J469">
        <f>Table16[[#This Row],[Marketing_Spend]]/Table16[[#This Row],[Units_Sold]]</f>
        <v>1172.4605703986119</v>
      </c>
    </row>
    <row r="470" spans="1:10">
      <c r="A470" s="53">
        <v>56045</v>
      </c>
      <c r="B470" s="14" t="s">
        <v>11</v>
      </c>
      <c r="C470" t="str">
        <f t="shared" ca="1" si="23"/>
        <v>North</v>
      </c>
      <c r="D470" t="str">
        <f t="shared" si="24"/>
        <v>June</v>
      </c>
      <c r="E470" s="14">
        <v>93</v>
      </c>
      <c r="F47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70">
        <v>139450.84353579616</v>
      </c>
      <c r="H470" t="str">
        <f t="shared" ca="1" si="22"/>
        <v>Billboards</v>
      </c>
      <c r="I470">
        <v>56.765038200441751</v>
      </c>
      <c r="J470">
        <f>Table16[[#This Row],[Marketing_Spend]]/Table16[[#This Row],[Units_Sold]]</f>
        <v>1499.4714358687759</v>
      </c>
    </row>
    <row r="471" spans="1:10">
      <c r="A471" s="54">
        <v>56075</v>
      </c>
      <c r="B471" s="15" t="s">
        <v>13</v>
      </c>
      <c r="C471" t="str">
        <f t="shared" ca="1" si="23"/>
        <v>West</v>
      </c>
      <c r="D471" t="str">
        <f t="shared" si="24"/>
        <v>July</v>
      </c>
      <c r="E471" s="15">
        <v>113</v>
      </c>
      <c r="F47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71">
        <v>72280.24115202004</v>
      </c>
      <c r="H471" t="str">
        <f t="shared" ca="1" si="22"/>
        <v>Print</v>
      </c>
      <c r="I471">
        <v>59.917435537663444</v>
      </c>
      <c r="J471">
        <f>Table16[[#This Row],[Marketing_Spend]]/Table16[[#This Row],[Units_Sold]]</f>
        <v>639.64815178778792</v>
      </c>
    </row>
    <row r="472" spans="1:10">
      <c r="A472" s="53">
        <v>56105</v>
      </c>
      <c r="B472" s="14" t="s">
        <v>11</v>
      </c>
      <c r="C472" t="str">
        <f t="shared" ca="1" si="23"/>
        <v>South</v>
      </c>
      <c r="D472" t="str">
        <f t="shared" si="24"/>
        <v>August</v>
      </c>
      <c r="E472" s="14">
        <v>105</v>
      </c>
      <c r="F47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72">
        <v>110111.78483671749</v>
      </c>
      <c r="H472" t="str">
        <f t="shared" ca="1" si="22"/>
        <v>Radio</v>
      </c>
      <c r="I472">
        <v>25.777054826815036</v>
      </c>
      <c r="J472">
        <f>Table16[[#This Row],[Marketing_Spend]]/Table16[[#This Row],[Units_Sold]]</f>
        <v>1048.683665111595</v>
      </c>
    </row>
    <row r="473" spans="1:10">
      <c r="A473" s="54">
        <v>56135</v>
      </c>
      <c r="B473" s="15" t="s">
        <v>14</v>
      </c>
      <c r="C473" t="str">
        <f t="shared" ca="1" si="23"/>
        <v>North</v>
      </c>
      <c r="D473" t="str">
        <f t="shared" si="24"/>
        <v>September</v>
      </c>
      <c r="E473" s="15">
        <v>83</v>
      </c>
      <c r="F47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73">
        <v>129782.26216656579</v>
      </c>
      <c r="H473" t="str">
        <f t="shared" ca="1" si="22"/>
        <v>Billboards</v>
      </c>
      <c r="I473">
        <v>74.754828885544597</v>
      </c>
      <c r="J473">
        <f>Table16[[#This Row],[Marketing_Spend]]/Table16[[#This Row],[Units_Sold]]</f>
        <v>1563.6417128501903</v>
      </c>
    </row>
    <row r="474" spans="1:10">
      <c r="A474" s="53">
        <v>56165</v>
      </c>
      <c r="B474" s="14" t="s">
        <v>11</v>
      </c>
      <c r="C474" t="str">
        <f t="shared" ca="1" si="23"/>
        <v>East</v>
      </c>
      <c r="D474" t="str">
        <f t="shared" si="24"/>
        <v>October</v>
      </c>
      <c r="E474" s="14">
        <v>96</v>
      </c>
      <c r="F47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74">
        <v>145428.99490845593</v>
      </c>
      <c r="H474" t="str">
        <f t="shared" ca="1" si="22"/>
        <v>TV</v>
      </c>
      <c r="I474">
        <v>60.257633188690754</v>
      </c>
      <c r="J474">
        <f>Table16[[#This Row],[Marketing_Spend]]/Table16[[#This Row],[Units_Sold]]</f>
        <v>1514.8853636297492</v>
      </c>
    </row>
    <row r="475" spans="1:10">
      <c r="A475" s="54">
        <v>56195</v>
      </c>
      <c r="B475" s="15" t="s">
        <v>14</v>
      </c>
      <c r="C475" t="str">
        <f t="shared" ca="1" si="23"/>
        <v>West</v>
      </c>
      <c r="D475" t="str">
        <f t="shared" si="24"/>
        <v>November</v>
      </c>
      <c r="E475" s="15">
        <v>107</v>
      </c>
      <c r="F47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75">
        <v>91912.051536320767</v>
      </c>
      <c r="H475" t="str">
        <f t="shared" ca="1" si="22"/>
        <v>Radio</v>
      </c>
      <c r="I475">
        <v>81.211907988901118</v>
      </c>
      <c r="J475">
        <f>Table16[[#This Row],[Marketing_Spend]]/Table16[[#This Row],[Units_Sold]]</f>
        <v>858.99113585346515</v>
      </c>
    </row>
    <row r="476" spans="1:10">
      <c r="A476" s="53">
        <v>56225</v>
      </c>
      <c r="B476" s="14" t="s">
        <v>11</v>
      </c>
      <c r="C476" t="str">
        <f t="shared" ca="1" si="23"/>
        <v>West</v>
      </c>
      <c r="D476" t="str">
        <f t="shared" si="24"/>
        <v>December</v>
      </c>
      <c r="E476" s="14">
        <v>83</v>
      </c>
      <c r="F47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476">
        <v>109828.589054404</v>
      </c>
      <c r="H476" t="str">
        <f t="shared" ca="1" si="22"/>
        <v>TV</v>
      </c>
      <c r="I476">
        <v>58.823250724937225</v>
      </c>
      <c r="J476">
        <f>Table16[[#This Row],[Marketing_Spend]]/Table16[[#This Row],[Units_Sold]]</f>
        <v>1323.2360127036627</v>
      </c>
    </row>
    <row r="477" spans="1:10">
      <c r="A477" s="54">
        <v>56255</v>
      </c>
      <c r="B477" s="15" t="s">
        <v>13</v>
      </c>
      <c r="C477" t="str">
        <f t="shared" ca="1" si="23"/>
        <v>South</v>
      </c>
      <c r="D477" t="str">
        <f t="shared" si="24"/>
        <v>January</v>
      </c>
      <c r="E477" s="15">
        <v>105</v>
      </c>
      <c r="F47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77">
        <v>111395.20714397293</v>
      </c>
      <c r="H477" t="str">
        <f t="shared" ca="1" si="22"/>
        <v>Billboards</v>
      </c>
      <c r="I477">
        <v>31.950530898114565</v>
      </c>
      <c r="J477">
        <f>Table16[[#This Row],[Marketing_Spend]]/Table16[[#This Row],[Units_Sold]]</f>
        <v>1060.9067347045041</v>
      </c>
    </row>
    <row r="478" spans="1:10">
      <c r="A478" s="53">
        <v>56285</v>
      </c>
      <c r="B478" s="14" t="s">
        <v>12</v>
      </c>
      <c r="C478" t="str">
        <f t="shared" ca="1" si="23"/>
        <v>South</v>
      </c>
      <c r="D478" t="str">
        <f t="shared" si="24"/>
        <v>February</v>
      </c>
      <c r="E478" s="14">
        <v>112</v>
      </c>
      <c r="F47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Valentine'sDrive</v>
      </c>
      <c r="G478">
        <v>103909.63463106581</v>
      </c>
      <c r="H478" t="str">
        <f t="shared" ca="1" si="22"/>
        <v>Billboards</v>
      </c>
      <c r="I478">
        <v>71.860556326225762</v>
      </c>
      <c r="J478">
        <f>Table16[[#This Row],[Marketing_Spend]]/Table16[[#This Row],[Units_Sold]]</f>
        <v>927.76459492023048</v>
      </c>
    </row>
    <row r="479" spans="1:10">
      <c r="A479" s="54">
        <v>56315</v>
      </c>
      <c r="B479" s="15" t="s">
        <v>12</v>
      </c>
      <c r="C479" t="str">
        <f t="shared" ca="1" si="23"/>
        <v>North</v>
      </c>
      <c r="D479" t="str">
        <f t="shared" si="24"/>
        <v>March</v>
      </c>
      <c r="E479" s="15">
        <v>99</v>
      </c>
      <c r="F47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79">
        <v>98023.095975213873</v>
      </c>
      <c r="H479" t="str">
        <f t="shared" ca="1" si="22"/>
        <v>Billboards</v>
      </c>
      <c r="I479">
        <v>33.790908968413298</v>
      </c>
      <c r="J479">
        <f>Table16[[#This Row],[Marketing_Spend]]/Table16[[#This Row],[Units_Sold]]</f>
        <v>990.13228257791786</v>
      </c>
    </row>
    <row r="480" spans="1:10">
      <c r="A480" s="53">
        <v>56345</v>
      </c>
      <c r="B480" s="14" t="s">
        <v>14</v>
      </c>
      <c r="C480" t="str">
        <f t="shared" ca="1" si="23"/>
        <v>North</v>
      </c>
      <c r="D480" t="str">
        <f t="shared" si="24"/>
        <v>April</v>
      </c>
      <c r="E480" s="14">
        <v>111</v>
      </c>
      <c r="F48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80">
        <v>108719.50779000092</v>
      </c>
      <c r="H480" t="str">
        <f t="shared" ca="1" si="22"/>
        <v>Radio</v>
      </c>
      <c r="I480">
        <v>89.791565068385196</v>
      </c>
      <c r="J480">
        <f>Table16[[#This Row],[Marketing_Spend]]/Table16[[#This Row],[Units_Sold]]</f>
        <v>979.45502513514339</v>
      </c>
    </row>
    <row r="481" spans="1:10">
      <c r="A481" s="54">
        <v>56375</v>
      </c>
      <c r="B481" s="15" t="s">
        <v>14</v>
      </c>
      <c r="C481" t="str">
        <f t="shared" ca="1" si="23"/>
        <v>South</v>
      </c>
      <c r="D481" t="str">
        <f t="shared" si="24"/>
        <v>May</v>
      </c>
      <c r="E481" s="15">
        <v>105</v>
      </c>
      <c r="F48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81">
        <v>49355.07829560629</v>
      </c>
      <c r="H481" t="str">
        <f t="shared" ca="1" si="22"/>
        <v>Radio</v>
      </c>
      <c r="I481">
        <v>69.049299125539321</v>
      </c>
      <c r="J481">
        <f>Table16[[#This Row],[Marketing_Spend]]/Table16[[#This Row],[Units_Sold]]</f>
        <v>470.04836472005991</v>
      </c>
    </row>
    <row r="482" spans="1:10">
      <c r="A482" s="53">
        <v>56405</v>
      </c>
      <c r="B482" s="14" t="s">
        <v>12</v>
      </c>
      <c r="C482" t="str">
        <f t="shared" ca="1" si="23"/>
        <v>East</v>
      </c>
      <c r="D482" t="str">
        <f t="shared" si="24"/>
        <v>June</v>
      </c>
      <c r="E482" s="14">
        <v>93</v>
      </c>
      <c r="F48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82">
        <v>113641.38980125263</v>
      </c>
      <c r="H482" t="str">
        <f t="shared" ca="1" si="22"/>
        <v>Radio</v>
      </c>
      <c r="I482">
        <v>32.57631068455634</v>
      </c>
      <c r="J482">
        <f>Table16[[#This Row],[Marketing_Spend]]/Table16[[#This Row],[Units_Sold]]</f>
        <v>1221.9504279704583</v>
      </c>
    </row>
    <row r="483" spans="1:10">
      <c r="A483" s="54">
        <v>56435</v>
      </c>
      <c r="B483" s="15" t="s">
        <v>13</v>
      </c>
      <c r="C483" t="str">
        <f t="shared" ca="1" si="23"/>
        <v>North</v>
      </c>
      <c r="D483" t="str">
        <f t="shared" si="24"/>
        <v>July</v>
      </c>
      <c r="E483" s="15">
        <v>109</v>
      </c>
      <c r="F48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83">
        <v>102523.55807323934</v>
      </c>
      <c r="H483" t="str">
        <f t="shared" ca="1" si="22"/>
        <v>Billboards</v>
      </c>
      <c r="I483">
        <v>96.987044598496539</v>
      </c>
      <c r="J483">
        <f>Table16[[#This Row],[Marketing_Spend]]/Table16[[#This Row],[Units_Sold]]</f>
        <v>940.58310158935171</v>
      </c>
    </row>
    <row r="484" spans="1:10">
      <c r="A484" s="53">
        <v>56465</v>
      </c>
      <c r="B484" s="14" t="s">
        <v>13</v>
      </c>
      <c r="C484" t="str">
        <f t="shared" ca="1" si="23"/>
        <v>North</v>
      </c>
      <c r="D484" t="str">
        <f t="shared" si="24"/>
        <v>August</v>
      </c>
      <c r="E484" s="14">
        <v>106</v>
      </c>
      <c r="F48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84">
        <v>95550.502064434695</v>
      </c>
      <c r="H484" t="str">
        <f t="shared" ca="1" si="22"/>
        <v>Billboards</v>
      </c>
      <c r="I484">
        <v>61.469237066825649</v>
      </c>
      <c r="J484">
        <f>Table16[[#This Row],[Marketing_Spend]]/Table16[[#This Row],[Units_Sold]]</f>
        <v>901.4198307965537</v>
      </c>
    </row>
    <row r="485" spans="1:10">
      <c r="A485" s="54">
        <v>56495</v>
      </c>
      <c r="B485" s="15" t="s">
        <v>11</v>
      </c>
      <c r="C485" t="str">
        <f t="shared" ca="1" si="23"/>
        <v>North</v>
      </c>
      <c r="D485" t="str">
        <f t="shared" si="24"/>
        <v>September</v>
      </c>
      <c r="E485" s="15">
        <v>106</v>
      </c>
      <c r="F48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85">
        <v>140937.24391439115</v>
      </c>
      <c r="H485" t="str">
        <f t="shared" ca="1" si="22"/>
        <v>Print</v>
      </c>
      <c r="I485">
        <v>25.831876149732402</v>
      </c>
      <c r="J485">
        <f>Table16[[#This Row],[Marketing_Spend]]/Table16[[#This Row],[Units_Sold]]</f>
        <v>1329.5966407018034</v>
      </c>
    </row>
    <row r="486" spans="1:10">
      <c r="A486" s="53">
        <v>56525</v>
      </c>
      <c r="B486" s="14" t="s">
        <v>14</v>
      </c>
      <c r="C486" t="str">
        <f t="shared" ca="1" si="23"/>
        <v>North</v>
      </c>
      <c r="D486" t="str">
        <f t="shared" si="24"/>
        <v>October</v>
      </c>
      <c r="E486" s="14">
        <v>103</v>
      </c>
      <c r="F48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86">
        <v>86501.319624188953</v>
      </c>
      <c r="H486" t="str">
        <f t="shared" ca="1" si="22"/>
        <v>Billboards</v>
      </c>
      <c r="I486">
        <v>70.146632353205376</v>
      </c>
      <c r="J486">
        <f>Table16[[#This Row],[Marketing_Spend]]/Table16[[#This Row],[Units_Sold]]</f>
        <v>839.81863712804807</v>
      </c>
    </row>
    <row r="487" spans="1:10">
      <c r="A487" s="54">
        <v>56555</v>
      </c>
      <c r="B487" s="15" t="s">
        <v>13</v>
      </c>
      <c r="C487" t="str">
        <f t="shared" ca="1" si="23"/>
        <v>North</v>
      </c>
      <c r="D487" t="str">
        <f t="shared" si="24"/>
        <v>November</v>
      </c>
      <c r="E487" s="15">
        <v>113</v>
      </c>
      <c r="F48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487">
        <v>91938.480218699391</v>
      </c>
      <c r="H487" t="str">
        <f t="shared" ca="1" si="22"/>
        <v>Online</v>
      </c>
      <c r="I487">
        <v>40.255912561024815</v>
      </c>
      <c r="J487">
        <f>Table16[[#This Row],[Marketing_Spend]]/Table16[[#This Row],[Units_Sold]]</f>
        <v>813.61486919203003</v>
      </c>
    </row>
    <row r="488" spans="1:10">
      <c r="A488" s="53">
        <v>56585</v>
      </c>
      <c r="B488" s="14" t="s">
        <v>10</v>
      </c>
      <c r="C488" t="str">
        <f t="shared" ca="1" si="23"/>
        <v>North</v>
      </c>
      <c r="D488" t="str">
        <f t="shared" si="24"/>
        <v>December</v>
      </c>
      <c r="E488" s="14">
        <v>111</v>
      </c>
      <c r="F48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488">
        <v>102916.7736</v>
      </c>
      <c r="H488" t="str">
        <f t="shared" ca="1" si="22"/>
        <v>Radio</v>
      </c>
      <c r="I488">
        <v>84.2954761501842</v>
      </c>
      <c r="J488">
        <f>Table16[[#This Row],[Marketing_Spend]]/Table16[[#This Row],[Units_Sold]]</f>
        <v>927.17814054054054</v>
      </c>
    </row>
    <row r="489" spans="1:10">
      <c r="A489" s="54">
        <v>56615</v>
      </c>
      <c r="B489" s="15" t="s">
        <v>11</v>
      </c>
      <c r="C489" t="str">
        <f t="shared" ca="1" si="23"/>
        <v>South</v>
      </c>
      <c r="D489" t="str">
        <f t="shared" si="24"/>
        <v>January</v>
      </c>
      <c r="E489" s="15">
        <v>100</v>
      </c>
      <c r="F48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89">
        <f>128897.2893</f>
        <v>128897.2893</v>
      </c>
      <c r="H489" t="str">
        <f t="shared" ca="1" si="22"/>
        <v>Billboards</v>
      </c>
      <c r="I489">
        <v>85.425765885295249</v>
      </c>
      <c r="J489">
        <f>Table16[[#This Row],[Marketing_Spend]]/Table16[[#This Row],[Units_Sold]]</f>
        <v>1288.9728930000001</v>
      </c>
    </row>
    <row r="490" spans="1:10">
      <c r="A490" s="53">
        <v>56645</v>
      </c>
      <c r="B490" s="14" t="s">
        <v>11</v>
      </c>
      <c r="C490" t="str">
        <f t="shared" ca="1" si="23"/>
        <v>North</v>
      </c>
      <c r="D490" t="str">
        <f t="shared" si="24"/>
        <v>January</v>
      </c>
      <c r="E490" s="14">
        <v>89</v>
      </c>
      <c r="F49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NewYearSale</v>
      </c>
      <c r="G490">
        <v>88997.69434126922</v>
      </c>
      <c r="H490" t="str">
        <f t="shared" ca="1" si="22"/>
        <v>Online</v>
      </c>
      <c r="I490">
        <v>98.315788468372943</v>
      </c>
      <c r="J490">
        <f>Table16[[#This Row],[Marketing_Spend]]/Table16[[#This Row],[Units_Sold]]</f>
        <v>999.9740937221261</v>
      </c>
    </row>
    <row r="491" spans="1:10">
      <c r="A491" s="54">
        <v>56675</v>
      </c>
      <c r="B491" s="15" t="s">
        <v>12</v>
      </c>
      <c r="C491" t="str">
        <f t="shared" ca="1" si="23"/>
        <v>North</v>
      </c>
      <c r="D491" t="str">
        <f t="shared" si="24"/>
        <v>March</v>
      </c>
      <c r="E491" s="15">
        <v>111</v>
      </c>
      <c r="F49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SpringPromo</v>
      </c>
      <c r="G491">
        <v>97059.491531382999</v>
      </c>
      <c r="H491" t="str">
        <f t="shared" ca="1" si="22"/>
        <v>Online</v>
      </c>
      <c r="I491">
        <v>60.149562481960295</v>
      </c>
      <c r="J491">
        <f>Table16[[#This Row],[Marketing_Spend]]/Table16[[#This Row],[Units_Sold]]</f>
        <v>874.409833616063</v>
      </c>
    </row>
    <row r="492" spans="1:10">
      <c r="A492" s="53">
        <v>56705</v>
      </c>
      <c r="B492" s="14" t="s">
        <v>14</v>
      </c>
      <c r="C492" t="str">
        <f t="shared" ca="1" si="23"/>
        <v>West</v>
      </c>
      <c r="D492" t="str">
        <f t="shared" si="24"/>
        <v>April</v>
      </c>
      <c r="E492" s="14">
        <v>104</v>
      </c>
      <c r="F492"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BloomingDeal</v>
      </c>
      <c r="G492">
        <v>102916.7736</v>
      </c>
      <c r="H492" t="str">
        <f t="shared" ca="1" si="22"/>
        <v>Print</v>
      </c>
      <c r="I492">
        <v>56.396550378218969</v>
      </c>
      <c r="J492">
        <f>Table16[[#This Row],[Marketing_Spend]]/Table16[[#This Row],[Units_Sold]]</f>
        <v>989.58436153846151</v>
      </c>
    </row>
    <row r="493" spans="1:10">
      <c r="A493" s="54">
        <v>56735</v>
      </c>
      <c r="B493" s="15" t="s">
        <v>13</v>
      </c>
      <c r="C493" t="str">
        <f t="shared" ca="1" si="23"/>
        <v>East</v>
      </c>
      <c r="D493" t="str">
        <f t="shared" si="24"/>
        <v>May</v>
      </c>
      <c r="E493" s="15">
        <v>100</v>
      </c>
      <c r="F493"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93">
        <v>104156.05014706627</v>
      </c>
      <c r="H493" t="str">
        <f t="shared" ca="1" si="22"/>
        <v>TV</v>
      </c>
      <c r="I493">
        <v>65.454227669999995</v>
      </c>
      <c r="J493">
        <f>Table16[[#This Row],[Marketing_Spend]]/Table16[[#This Row],[Units_Sold]]</f>
        <v>1041.5605014706628</v>
      </c>
    </row>
    <row r="494" spans="1:10">
      <c r="A494" s="53">
        <v>56765</v>
      </c>
      <c r="B494" s="14" t="s">
        <v>13</v>
      </c>
      <c r="C494" t="str">
        <f t="shared" ca="1" si="23"/>
        <v>North</v>
      </c>
      <c r="D494" t="str">
        <f t="shared" si="24"/>
        <v>May</v>
      </c>
      <c r="E494" s="14">
        <v>109</v>
      </c>
      <c r="F494"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Savings Be Wid You</v>
      </c>
      <c r="G494">
        <v>74147.493056954743</v>
      </c>
      <c r="H494" t="str">
        <f t="shared" ca="1" si="22"/>
        <v>Online</v>
      </c>
      <c r="I494">
        <v>30.597652507354127</v>
      </c>
      <c r="J494">
        <f>Table16[[#This Row],[Marketing_Spend]]/Table16[[#This Row],[Units_Sold]]</f>
        <v>680.25222988031874</v>
      </c>
    </row>
    <row r="495" spans="1:10">
      <c r="A495" s="54">
        <v>56795</v>
      </c>
      <c r="B495" s="15" t="s">
        <v>11</v>
      </c>
      <c r="C495" t="str">
        <f t="shared" ca="1" si="23"/>
        <v>West</v>
      </c>
      <c r="D495" t="str">
        <f t="shared" si="24"/>
        <v>June</v>
      </c>
      <c r="E495" s="15">
        <v>108</v>
      </c>
      <c r="F495"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SunshineSavings</v>
      </c>
      <c r="G495">
        <v>89356.628737456209</v>
      </c>
      <c r="H495" t="str">
        <f t="shared" ca="1" si="22"/>
        <v>Radio</v>
      </c>
      <c r="I495">
        <v>63.753241103449938</v>
      </c>
      <c r="J495">
        <f>Table16[[#This Row],[Marketing_Spend]]/Table16[[#This Row],[Units_Sold]]</f>
        <v>827.37619201348343</v>
      </c>
    </row>
    <row r="496" spans="1:10">
      <c r="A496" s="53">
        <v>56825</v>
      </c>
      <c r="B496" s="14" t="s">
        <v>14</v>
      </c>
      <c r="C496" t="str">
        <f t="shared" ca="1" si="23"/>
        <v>East</v>
      </c>
      <c r="D496" t="str">
        <f t="shared" si="24"/>
        <v>July</v>
      </c>
      <c r="E496" s="14">
        <v>100</v>
      </c>
      <c r="F496"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SummerSale</v>
      </c>
      <c r="G496">
        <v>87852.91133575578</v>
      </c>
      <c r="H496" t="str">
        <f t="shared" ca="1" si="22"/>
        <v>TV</v>
      </c>
      <c r="I496">
        <v>63.699808010468075</v>
      </c>
      <c r="J496">
        <f>Table16[[#This Row],[Marketing_Spend]]/Table16[[#This Row],[Units_Sold]]</f>
        <v>878.52911335755778</v>
      </c>
    </row>
    <row r="497" spans="1:10">
      <c r="A497" s="54">
        <v>56855</v>
      </c>
      <c r="B497" s="15" t="s">
        <v>14</v>
      </c>
      <c r="C497" t="str">
        <f t="shared" ca="1" si="23"/>
        <v>South</v>
      </c>
      <c r="D497" t="str">
        <f t="shared" si="24"/>
        <v>August</v>
      </c>
      <c r="E497" s="15">
        <v>104</v>
      </c>
      <c r="F497"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SummerFinale</v>
      </c>
      <c r="G497">
        <v>98455.579095539084</v>
      </c>
      <c r="H497" t="str">
        <f t="shared" ca="1" si="22"/>
        <v>Radio</v>
      </c>
      <c r="I497">
        <v>27.157849824830976</v>
      </c>
      <c r="J497">
        <f>Table16[[#This Row],[Marketing_Spend]]/Table16[[#This Row],[Units_Sold]]</f>
        <v>946.68826053402961</v>
      </c>
    </row>
    <row r="498" spans="1:10">
      <c r="A498" s="53">
        <v>56885</v>
      </c>
      <c r="B498" s="14" t="s">
        <v>14</v>
      </c>
      <c r="C498" t="str">
        <f t="shared" ca="1" si="23"/>
        <v>West</v>
      </c>
      <c r="D498" t="str">
        <f t="shared" si="24"/>
        <v>September</v>
      </c>
      <c r="E498" s="14">
        <v>106</v>
      </c>
      <c r="F498"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Autumn Arrivals</v>
      </c>
      <c r="G498">
        <v>108516.87317259658</v>
      </c>
      <c r="H498" t="str">
        <f t="shared" ca="1" si="22"/>
        <v>TV</v>
      </c>
      <c r="I498">
        <v>53.438726840553088</v>
      </c>
      <c r="J498">
        <f>Table16[[#This Row],[Marketing_Spend]]/Table16[[#This Row],[Units_Sold]]</f>
        <v>1023.7440865339299</v>
      </c>
    </row>
    <row r="499" spans="1:10">
      <c r="A499" s="54">
        <v>56915</v>
      </c>
      <c r="B499" s="15" t="s">
        <v>12</v>
      </c>
      <c r="C499" t="str">
        <f t="shared" ca="1" si="23"/>
        <v>West</v>
      </c>
      <c r="D499" t="str">
        <f t="shared" si="24"/>
        <v>October</v>
      </c>
      <c r="E499" s="15">
        <v>94</v>
      </c>
      <c r="F499"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Halloween Haul</v>
      </c>
      <c r="G499">
        <v>108364.11511775944</v>
      </c>
      <c r="H499" t="str">
        <f t="shared" ca="1" si="22"/>
        <v>Billboards</v>
      </c>
      <c r="I499">
        <v>88.262783885376152</v>
      </c>
      <c r="J499">
        <f>Table16[[#This Row],[Marketing_Spend]]/Table16[[#This Row],[Units_Sold]]</f>
        <v>1152.8097352953132</v>
      </c>
    </row>
    <row r="500" spans="1:10">
      <c r="A500" s="53">
        <v>56945</v>
      </c>
      <c r="B500" s="14" t="s">
        <v>13</v>
      </c>
      <c r="C500" t="str">
        <f t="shared" ca="1" si="23"/>
        <v>West</v>
      </c>
      <c r="D500" t="str">
        <f t="shared" si="24"/>
        <v>November</v>
      </c>
      <c r="E500" s="14">
        <v>81</v>
      </c>
      <c r="F500"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November Nirvana</v>
      </c>
      <c r="G500">
        <v>64479.764919031957</v>
      </c>
      <c r="H500" t="str">
        <f t="shared" ca="1" si="22"/>
        <v>Radio</v>
      </c>
      <c r="I500">
        <v>88.492289759572827</v>
      </c>
      <c r="J500">
        <f>Table16[[#This Row],[Marketing_Spend]]/Table16[[#This Row],[Units_Sold]]</f>
        <v>796.04648048187596</v>
      </c>
    </row>
    <row r="501" spans="1:10">
      <c r="A501" s="54">
        <v>56975</v>
      </c>
      <c r="B501" s="15" t="s">
        <v>14</v>
      </c>
      <c r="C501" t="str">
        <f t="shared" ca="1" si="23"/>
        <v>West</v>
      </c>
      <c r="D501" t="str">
        <f t="shared" si="24"/>
        <v>December</v>
      </c>
      <c r="E501" s="15">
        <v>95</v>
      </c>
      <c r="F501" t="str">
        <f>IF(Table16[[#This Row],[Month]]="January","NewYearSale",IF(Table16[[#This Row],[Month]]="February","Valentine'sDrive",IF(Table16[[#This Row],[Month]]="March","SpringPromo",IF(Table16[[#This Row],[Month]]="April","BloomingDeal",IF(Table16[[#This Row],[Month]]="May","Savings Be Wid You",IF(Table16[[#This Row],[Month]]="June","SunshineSavings",IF(Table16[[#This Row],[Month]]="July","SummerSale",IF(Table16[[#This Row],[Month]]="August","SummerFinale",IF(Table16[[#This Row],[Month]]="September","Autumn Arrivals",IF(Table16[[#This Row],[Month]]="October","Halloween Haul",IF(Table16[[#This Row],[Month]]="November","November Nirvana",IF(Table16[[#This Row],[Month]]="December","Winter Wonderland"))))))))))))</f>
        <v>Winter Wonderland</v>
      </c>
      <c r="G501">
        <v>121278.81975121712</v>
      </c>
      <c r="H501" t="str">
        <f t="shared" ca="1" si="22"/>
        <v>Radio</v>
      </c>
      <c r="I501">
        <v>27.939013193574482</v>
      </c>
      <c r="J501">
        <f>Table16[[#This Row],[Marketing_Spend]]/Table16[[#This Row],[Units_Sold]]</f>
        <v>1276.6191552759697</v>
      </c>
    </row>
  </sheetData>
  <conditionalFormatting sqref="A1:A501">
    <cfRule type="containsBlanks" dxfId="32" priority="9">
      <formula>LEN(TRIM(A1))=0</formula>
    </cfRule>
  </conditionalFormatting>
  <conditionalFormatting sqref="B1:B501">
    <cfRule type="containsBlanks" dxfId="31" priority="8">
      <formula>LEN(TRIM(B1))=0</formula>
    </cfRule>
  </conditionalFormatting>
  <conditionalFormatting sqref="E1:E501">
    <cfRule type="cellIs" dxfId="30" priority="6" operator="greaterThan">
      <formula>127</formula>
    </cfRule>
    <cfRule type="containsBlanks" dxfId="29" priority="7">
      <formula>LEN(TRIM(E1))=0</formula>
    </cfRule>
  </conditionalFormatting>
  <conditionalFormatting sqref="E2:E501">
    <cfRule type="cellIs" dxfId="28" priority="5" operator="notBetween">
      <formula>75</formula>
      <formula>127</formula>
    </cfRule>
  </conditionalFormatting>
  <conditionalFormatting sqref="G1:G501">
    <cfRule type="containsBlanks" dxfId="27" priority="4">
      <formula>LEN(TRIM(G1))=0</formula>
    </cfRule>
  </conditionalFormatting>
  <conditionalFormatting sqref="G2:G501">
    <cfRule type="cellIs" dxfId="26" priority="3" operator="greaterThan">
      <formula>157368.0611</formula>
    </cfRule>
  </conditionalFormatting>
  <conditionalFormatting sqref="I1:I501">
    <cfRule type="containsBlanks" dxfId="25" priority="2">
      <formula>LEN(TRIM(I1))=0</formula>
    </cfRule>
  </conditionalFormatting>
  <conditionalFormatting sqref="I2:I501">
    <cfRule type="cellIs" dxfId="24" priority="1" operator="greaterThan">
      <formula>99.94802404</formula>
    </cfRule>
  </conditionalFormatting>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E8965-6C80-4FCC-92A3-B7051E44794A}">
  <sheetPr codeName="Sheet72"/>
  <dimension ref="C2:L6"/>
  <sheetViews>
    <sheetView workbookViewId="0">
      <selection activeCell="J2" sqref="J2:L2"/>
    </sheetView>
  </sheetViews>
  <sheetFormatPr defaultRowHeight="14.4"/>
  <cols>
    <col min="3" max="3" width="7.88671875" customWidth="1"/>
    <col min="4" max="4" width="13.33203125" customWidth="1"/>
    <col min="5" max="5" width="9.88671875" bestFit="1" customWidth="1"/>
    <col min="7" max="7" width="14.109375" customWidth="1"/>
    <col min="8" max="8" width="13.109375" bestFit="1" customWidth="1"/>
    <col min="11" max="11" width="10.5546875" customWidth="1"/>
    <col min="12" max="12" width="14.5546875" customWidth="1"/>
  </cols>
  <sheetData>
    <row r="2" spans="3:12" ht="18">
      <c r="C2" s="25" t="s">
        <v>337</v>
      </c>
      <c r="D2" s="25"/>
      <c r="E2" s="18"/>
      <c r="G2" s="96" t="s">
        <v>338</v>
      </c>
      <c r="H2" s="18">
        <f>MIN(Table16[Cost per Unit Sold:])</f>
        <v>456.38829513461707</v>
      </c>
      <c r="J2" s="85" t="s">
        <v>7</v>
      </c>
      <c r="K2" s="85"/>
      <c r="L2" s="18">
        <f>SUM(Table16[Marketing_Spend])</f>
        <v>50428159.479048401</v>
      </c>
    </row>
    <row r="4" spans="3:12" ht="18">
      <c r="G4" s="74" t="s">
        <v>339</v>
      </c>
      <c r="H4" s="18" cm="1">
        <f t="array" ref="H4">SUM(Table16[Marketing_Spend]/Table16[Units_Sold])</f>
        <v>512704.99443361448</v>
      </c>
      <c r="J4" s="29" t="s">
        <v>274</v>
      </c>
      <c r="K4" s="29"/>
      <c r="L4" s="18" cm="1">
        <f t="array" ref="L4">SUM(automotive_demand_forecasting_dataset567[Units_Sold]*automotive_demand_forecasting_dataset567[Marketing_Spend])</f>
        <v>5008853888.7487745</v>
      </c>
    </row>
    <row r="6" spans="3:12" ht="18">
      <c r="J6" s="73" t="s">
        <v>340</v>
      </c>
      <c r="K6" s="73"/>
      <c r="L6" s="18">
        <f>(L4-L2)/L2</f>
        <v>98.326525903247045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141DA-041C-4362-8DA3-08A1EA68E7E1}">
  <sheetPr codeName="Sheet73"/>
  <dimension ref="C2:S5"/>
  <sheetViews>
    <sheetView zoomScale="78" workbookViewId="0"/>
  </sheetViews>
  <sheetFormatPr defaultRowHeight="14.4"/>
  <cols>
    <col min="1" max="3" width="8.88671875" style="69"/>
    <col min="4" max="4" width="10.6640625" style="69" customWidth="1"/>
    <col min="5" max="5" width="9" style="69" bestFit="1" customWidth="1"/>
    <col min="6" max="6" width="8.88671875" style="69"/>
    <col min="7" max="7" width="14.109375" style="69" customWidth="1"/>
    <col min="8" max="8" width="9" style="69" bestFit="1" customWidth="1"/>
    <col min="9" max="10" width="8.88671875" style="69"/>
    <col min="11" max="11" width="11.5546875" style="69" customWidth="1"/>
    <col min="12" max="12" width="14" style="69" customWidth="1"/>
    <col min="13" max="13" width="8.88671875" style="69"/>
    <col min="14" max="14" width="16.109375" style="69" customWidth="1"/>
    <col min="15" max="15" width="13.109375" style="69" bestFit="1" customWidth="1"/>
    <col min="16" max="17" width="8.88671875" style="69"/>
    <col min="18" max="18" width="7.6640625" style="69" customWidth="1"/>
    <col min="19" max="19" width="15.88671875" style="69" customWidth="1"/>
    <col min="20" max="16384" width="8.88671875" style="69"/>
  </cols>
  <sheetData>
    <row r="2" spans="3:19" ht="23.4">
      <c r="H2" s="139" t="s">
        <v>404</v>
      </c>
      <c r="I2" s="31"/>
      <c r="J2" s="31"/>
      <c r="K2" s="31"/>
      <c r="L2" s="31"/>
      <c r="M2" s="31"/>
      <c r="N2" s="31"/>
    </row>
    <row r="5" spans="3:19" ht="18">
      <c r="C5" s="73" t="s">
        <v>340</v>
      </c>
      <c r="D5" s="73"/>
      <c r="E5" s="18">
        <f>(S5-L5)/L5</f>
        <v>98.326525903247045</v>
      </c>
      <c r="G5" s="96" t="s">
        <v>338</v>
      </c>
      <c r="H5" s="18">
        <f>MIN(Table16[Cost per Unit Sold:])</f>
        <v>456.38829513461707</v>
      </c>
      <c r="J5" s="85" t="s">
        <v>7</v>
      </c>
      <c r="K5" s="85"/>
      <c r="L5" s="18">
        <f>SUM(Table16[Marketing_Spend])</f>
        <v>50428159.479048401</v>
      </c>
      <c r="N5" s="74" t="s">
        <v>339</v>
      </c>
      <c r="O5" s="18" cm="1">
        <f t="array" ref="O5">SUM(Table16[Marketing_Spend]/Table16[Units_Sold])</f>
        <v>512704.99443361448</v>
      </c>
      <c r="Q5" s="29" t="s">
        <v>274</v>
      </c>
      <c r="R5" s="29"/>
      <c r="S5" s="18" cm="1">
        <f t="array" ref="S5">SUM(automotive_demand_forecasting_dataset567[Units_Sold]*automotive_demand_forecasting_dataset567[Marketing_Spend])</f>
        <v>5008853888.7487745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20792-0620-4206-86DE-70038852D8EE}">
  <sheetPr codeName="Sheet14"/>
  <dimension ref="A1:N501"/>
  <sheetViews>
    <sheetView workbookViewId="0">
      <selection activeCell="G2" sqref="G2"/>
    </sheetView>
  </sheetViews>
  <sheetFormatPr defaultRowHeight="14.4"/>
  <cols>
    <col min="1" max="1" width="10.33203125" bestFit="1" customWidth="1"/>
    <col min="2" max="2" width="9" bestFit="1" customWidth="1"/>
    <col min="4" max="4" width="14.44140625" bestFit="1" customWidth="1"/>
    <col min="5" max="5" width="17.109375" customWidth="1"/>
    <col min="6" max="6" width="18.33203125" bestFit="1" customWidth="1"/>
  </cols>
  <sheetData>
    <row r="1" spans="1:14">
      <c r="A1" s="16" t="s">
        <v>0</v>
      </c>
      <c r="B1" t="s">
        <v>112</v>
      </c>
      <c r="C1" t="s">
        <v>113</v>
      </c>
      <c r="D1" t="s">
        <v>1</v>
      </c>
      <c r="E1" s="16" t="s">
        <v>2</v>
      </c>
      <c r="F1" t="s">
        <v>7</v>
      </c>
      <c r="G1" t="s">
        <v>114</v>
      </c>
      <c r="H1" t="s">
        <v>115</v>
      </c>
      <c r="I1" t="s">
        <v>116</v>
      </c>
    </row>
    <row r="2" spans="1:14">
      <c r="A2" s="53">
        <v>42005</v>
      </c>
      <c r="B2" t="str">
        <f>TEXT(Table9[[#This Row],[Date]], "mmm")</f>
        <v>Jan</v>
      </c>
      <c r="C2">
        <f>YEAR(Table9[[#This Row],[Date]])</f>
        <v>2015</v>
      </c>
      <c r="D2" t="s">
        <v>10</v>
      </c>
      <c r="E2" s="14">
        <v>96</v>
      </c>
      <c r="F2">
        <v>97675.419137560835</v>
      </c>
      <c r="G2" s="82">
        <f>_xlfn.FORECAST.LINEAR(Table9[[#This Row],[Date]],Table9[Units_Sold],Table9[Date])</f>
        <v>99.077532934131725</v>
      </c>
      <c r="H2">
        <f t="shared" ref="H2:H65" si="0">E2-G2</f>
        <v>-3.0775329341317246</v>
      </c>
      <c r="I2" s="8">
        <f t="shared" ref="I2:I65" si="1">H2/E2</f>
        <v>-3.2057634730538798E-2</v>
      </c>
    </row>
    <row r="3" spans="1:14">
      <c r="A3" s="54">
        <v>42035</v>
      </c>
      <c r="B3" t="str">
        <f>TEXT(Table9[[#This Row],[Date]], "mmm")</f>
        <v>Jan</v>
      </c>
      <c r="C3">
        <f>YEAR(Table9[[#This Row],[Date]])</f>
        <v>2015</v>
      </c>
      <c r="D3" t="s">
        <v>10</v>
      </c>
      <c r="E3" s="15">
        <v>107</v>
      </c>
      <c r="F3">
        <v>104294.26366341053</v>
      </c>
      <c r="G3" s="82">
        <f>_xlfn.FORECAST.LINEAR(Table9[[#This Row],[Date]],Table9[Units_Sold],Table9[Date])</f>
        <v>99.078697130788512</v>
      </c>
      <c r="H3">
        <f t="shared" si="0"/>
        <v>7.9213028692114875</v>
      </c>
      <c r="I3" s="8">
        <f t="shared" si="1"/>
        <v>7.4030867936555958E-2</v>
      </c>
      <c r="K3" s="49" t="s">
        <v>117</v>
      </c>
      <c r="L3" s="49"/>
      <c r="M3" s="49"/>
    </row>
    <row r="4" spans="1:14">
      <c r="A4" s="53">
        <v>42065</v>
      </c>
      <c r="B4" t="str">
        <f>TEXT(Table9[[#This Row],[Date]], "mmm")</f>
        <v>Mar</v>
      </c>
      <c r="C4">
        <f>YEAR(Table9[[#This Row],[Date]])</f>
        <v>2015</v>
      </c>
      <c r="D4" t="s">
        <v>11</v>
      </c>
      <c r="E4" s="14">
        <v>88</v>
      </c>
      <c r="F4">
        <v>131562.36115124368</v>
      </c>
      <c r="G4" s="82">
        <f>_xlfn.FORECAST.LINEAR(Table9[[#This Row],[Date]],Table9[Units_Sold],Table9[Date])</f>
        <v>99.0798613274453</v>
      </c>
      <c r="H4">
        <f t="shared" si="0"/>
        <v>-11.0798613274453</v>
      </c>
      <c r="I4" s="8">
        <f t="shared" si="1"/>
        <v>-0.12590751508460568</v>
      </c>
    </row>
    <row r="5" spans="1:14">
      <c r="A5" s="54">
        <v>42095</v>
      </c>
      <c r="B5" t="str">
        <f>TEXT(Table9[[#This Row],[Date]], "mmm")</f>
        <v>Apr</v>
      </c>
      <c r="C5">
        <f>YEAR(Table9[[#This Row],[Date]])</f>
        <v>2015</v>
      </c>
      <c r="D5" t="s">
        <v>12</v>
      </c>
      <c r="E5" s="15">
        <v>103</v>
      </c>
      <c r="F5">
        <v>119708.99371230436</v>
      </c>
      <c r="G5" s="82">
        <f>_xlfn.FORECAST.LINEAR(Table9[[#This Row],[Date]],Table9[Units_Sold],Table9[Date])</f>
        <v>99.081025524102088</v>
      </c>
      <c r="H5">
        <f t="shared" si="0"/>
        <v>3.9189744758979117</v>
      </c>
      <c r="I5" s="8">
        <f t="shared" si="1"/>
        <v>3.8048295882503996E-2</v>
      </c>
      <c r="K5" s="51" t="s">
        <v>118</v>
      </c>
      <c r="L5" s="52"/>
      <c r="M5" s="52"/>
    </row>
    <row r="6" spans="1:14">
      <c r="A6" s="53">
        <v>42125</v>
      </c>
      <c r="B6" t="str">
        <f>TEXT(Table9[[#This Row],[Date]], "mmm")</f>
        <v>May</v>
      </c>
      <c r="C6">
        <f>YEAR(Table9[[#This Row],[Date]])</f>
        <v>2015</v>
      </c>
      <c r="D6" t="s">
        <v>12</v>
      </c>
      <c r="E6" s="14">
        <v>111</v>
      </c>
      <c r="F6">
        <v>117383.09184993793</v>
      </c>
      <c r="G6" s="82">
        <f>_xlfn.FORECAST.LINEAR(Table9[[#This Row],[Date]],Table9[Units_Sold],Table9[Date])</f>
        <v>99.082189720758876</v>
      </c>
      <c r="H6">
        <f t="shared" si="0"/>
        <v>11.917810279241124</v>
      </c>
      <c r="I6" s="8">
        <f t="shared" si="1"/>
        <v>0.10736766017334345</v>
      </c>
      <c r="K6" s="50"/>
    </row>
    <row r="7" spans="1:14">
      <c r="A7" s="54">
        <v>42155</v>
      </c>
      <c r="B7" t="str">
        <f>TEXT(Table9[[#This Row],[Date]], "mmm")</f>
        <v>May</v>
      </c>
      <c r="C7">
        <f>YEAR(Table9[[#This Row],[Date]])</f>
        <v>2015</v>
      </c>
      <c r="D7" t="s">
        <v>12</v>
      </c>
      <c r="E7" s="15">
        <v>90</v>
      </c>
      <c r="F7">
        <v>90889.209479522586</v>
      </c>
      <c r="G7" s="82">
        <f>_xlfn.FORECAST.LINEAR(Table9[[#This Row],[Date]],Table9[Units_Sold],Table9[Date])</f>
        <v>99.083353917415664</v>
      </c>
      <c r="H7">
        <f t="shared" si="0"/>
        <v>-9.0833539174156641</v>
      </c>
      <c r="I7" s="8">
        <f t="shared" si="1"/>
        <v>-0.10092615463795182</v>
      </c>
      <c r="K7" s="32" t="s">
        <v>166</v>
      </c>
      <c r="L7" s="32"/>
      <c r="M7" s="32"/>
      <c r="N7" s="47"/>
    </row>
    <row r="8" spans="1:14">
      <c r="A8" s="53">
        <v>42185</v>
      </c>
      <c r="B8" t="str">
        <f>TEXT(Table9[[#This Row],[Date]], "mmm")</f>
        <v>Jun</v>
      </c>
      <c r="C8">
        <f>YEAR(Table9[[#This Row],[Date]])</f>
        <v>2015</v>
      </c>
      <c r="D8" t="s">
        <v>10</v>
      </c>
      <c r="E8" s="14">
        <v>94</v>
      </c>
      <c r="F8">
        <v>82215.183435433515</v>
      </c>
      <c r="G8" s="82">
        <f>_xlfn.FORECAST.LINEAR(Table9[[#This Row],[Date]],Table9[Units_Sold],Table9[Date])</f>
        <v>99.084518114072452</v>
      </c>
      <c r="H8">
        <f t="shared" si="0"/>
        <v>-5.084518114072452</v>
      </c>
      <c r="I8" s="8">
        <f t="shared" si="1"/>
        <v>-5.4090618234813322E-2</v>
      </c>
    </row>
    <row r="9" spans="1:14">
      <c r="A9" s="54">
        <v>42215</v>
      </c>
      <c r="B9" t="str">
        <f>TEXT(Table9[[#This Row],[Date]], "mmm")</f>
        <v>Jul</v>
      </c>
      <c r="C9">
        <f>YEAR(Table9[[#This Row],[Date]])</f>
        <v>2015</v>
      </c>
      <c r="D9" t="s">
        <v>13</v>
      </c>
      <c r="E9" s="15">
        <v>98</v>
      </c>
      <c r="F9">
        <v>119106.01116475507</v>
      </c>
      <c r="G9" s="82">
        <f>_xlfn.FORECAST.LINEAR(Table9[[#This Row],[Date]],Table9[Units_Sold],Table9[Date])</f>
        <v>99.08568231072924</v>
      </c>
      <c r="H9">
        <f t="shared" si="0"/>
        <v>-1.0856823107292399</v>
      </c>
      <c r="I9" s="8">
        <f t="shared" si="1"/>
        <v>-1.1078390925808571E-2</v>
      </c>
    </row>
    <row r="10" spans="1:14">
      <c r="A10" s="53">
        <v>42245</v>
      </c>
      <c r="B10" t="str">
        <f>TEXT(Table9[[#This Row],[Date]], "mmm")</f>
        <v>Aug</v>
      </c>
      <c r="C10">
        <f>YEAR(Table9[[#This Row],[Date]])</f>
        <v>2015</v>
      </c>
      <c r="D10" t="s">
        <v>10</v>
      </c>
      <c r="E10" s="14">
        <v>103</v>
      </c>
      <c r="F10">
        <v>117520.93585059588</v>
      </c>
      <c r="G10" s="82">
        <f>_xlfn.FORECAST.LINEAR(Table9[[#This Row],[Date]],Table9[Units_Sold],Table9[Date])</f>
        <v>99.086846507386028</v>
      </c>
      <c r="H10">
        <f t="shared" si="0"/>
        <v>3.9131534926139722</v>
      </c>
      <c r="I10" s="8">
        <f t="shared" si="1"/>
        <v>3.7991781481689052E-2</v>
      </c>
    </row>
    <row r="11" spans="1:14">
      <c r="A11" s="54">
        <v>42275</v>
      </c>
      <c r="B11" t="str">
        <f>TEXT(Table9[[#This Row],[Date]], "mmm")</f>
        <v>Sep</v>
      </c>
      <c r="C11">
        <f>YEAR(Table9[[#This Row],[Date]])</f>
        <v>2015</v>
      </c>
      <c r="D11" t="s">
        <v>13</v>
      </c>
      <c r="E11" s="15">
        <v>94</v>
      </c>
      <c r="F11">
        <f>IF(ISBLANK(F2), K13, F2)</f>
        <v>97675.419137560835</v>
      </c>
      <c r="G11" s="82">
        <f>_xlfn.FORECAST.LINEAR(Table9[[#This Row],[Date]],Table9[Units_Sold],Table9[Date])</f>
        <v>99.088010704042816</v>
      </c>
      <c r="H11">
        <f t="shared" si="0"/>
        <v>-5.0880107040428157</v>
      </c>
      <c r="I11" s="8">
        <f t="shared" si="1"/>
        <v>-5.4127773447264001E-2</v>
      </c>
    </row>
    <row r="12" spans="1:14">
      <c r="A12" s="53">
        <v>42305</v>
      </c>
      <c r="B12" t="str">
        <f>TEXT(Table9[[#This Row],[Date]], "mmm")</f>
        <v>Oct</v>
      </c>
      <c r="C12">
        <f>YEAR(Table9[[#This Row],[Date]])</f>
        <v>2015</v>
      </c>
      <c r="D12" t="s">
        <v>14</v>
      </c>
      <c r="E12" s="14">
        <v>99</v>
      </c>
      <c r="F12">
        <v>87920.387480615405</v>
      </c>
      <c r="G12" s="82">
        <f>_xlfn.FORECAST.LINEAR(Table9[[#This Row],[Date]],Table9[Units_Sold],Table9[Date])</f>
        <v>99.089174900699589</v>
      </c>
      <c r="H12">
        <f t="shared" si="0"/>
        <v>-8.9174900699589443E-2</v>
      </c>
      <c r="I12" s="8">
        <f t="shared" si="1"/>
        <v>-9.0075657272312571E-4</v>
      </c>
    </row>
    <row r="13" spans="1:14">
      <c r="A13" s="54">
        <v>42335</v>
      </c>
      <c r="B13" t="str">
        <f>TEXT(Table9[[#This Row],[Date]], "mmm")</f>
        <v>Nov</v>
      </c>
      <c r="C13">
        <f>YEAR(Table9[[#This Row],[Date]])</f>
        <v>2015</v>
      </c>
      <c r="D13" t="s">
        <v>10</v>
      </c>
      <c r="E13" s="15">
        <v>90</v>
      </c>
      <c r="F13">
        <v>95409.026892793059</v>
      </c>
      <c r="G13" s="82">
        <f>_xlfn.FORECAST.LINEAR(Table9[[#This Row],[Date]],Table9[Units_Sold],Table9[Date])</f>
        <v>99.090339097356377</v>
      </c>
      <c r="H13">
        <f t="shared" si="0"/>
        <v>-9.0903390973563774</v>
      </c>
      <c r="I13" s="8">
        <f t="shared" si="1"/>
        <v>-0.10100376774840419</v>
      </c>
    </row>
    <row r="14" spans="1:14">
      <c r="A14" s="53">
        <v>42365</v>
      </c>
      <c r="B14" t="str">
        <f>TEXT(Table9[[#This Row],[Date]], "mmm")</f>
        <v>Dec</v>
      </c>
      <c r="C14">
        <f>YEAR(Table9[[#This Row],[Date]])</f>
        <v>2015</v>
      </c>
      <c r="D14" t="s">
        <v>10</v>
      </c>
      <c r="E14" s="14">
        <v>100</v>
      </c>
      <c r="F14">
        <v>67210.316749491321</v>
      </c>
      <c r="G14" s="82">
        <f>_xlfn.FORECAST.LINEAR(Table9[[#This Row],[Date]],Table9[Units_Sold],Table9[Date])</f>
        <v>99.091503294013165</v>
      </c>
      <c r="H14">
        <f t="shared" si="0"/>
        <v>0.90849670598683474</v>
      </c>
      <c r="I14" s="8">
        <f t="shared" si="1"/>
        <v>9.0849670598683475E-3</v>
      </c>
    </row>
    <row r="15" spans="1:14">
      <c r="A15" s="54">
        <v>42395</v>
      </c>
      <c r="B15" t="str">
        <f>TEXT(Table9[[#This Row],[Date]], "mmm")</f>
        <v>Jan</v>
      </c>
      <c r="C15">
        <f>YEAR(Table9[[#This Row],[Date]])</f>
        <v>2016</v>
      </c>
      <c r="D15" t="s">
        <v>10</v>
      </c>
      <c r="E15" s="15">
        <v>103</v>
      </c>
      <c r="F15">
        <v>92150.57787878254</v>
      </c>
      <c r="G15" s="82">
        <f>_xlfn.FORECAST.LINEAR(Table9[[#This Row],[Date]],Table9[Units_Sold],Table9[Date])</f>
        <v>99.092667490669953</v>
      </c>
      <c r="H15">
        <f t="shared" si="0"/>
        <v>3.9073325093300468</v>
      </c>
      <c r="I15" s="8">
        <f t="shared" si="1"/>
        <v>3.793526708087424E-2</v>
      </c>
    </row>
    <row r="16" spans="1:14">
      <c r="A16" s="53">
        <v>42425</v>
      </c>
      <c r="B16" t="str">
        <f>TEXT(Table9[[#This Row],[Date]], "mmm")</f>
        <v>Feb</v>
      </c>
      <c r="C16">
        <f>YEAR(Table9[[#This Row],[Date]])</f>
        <v>2016</v>
      </c>
      <c r="D16" t="s">
        <v>12</v>
      </c>
      <c r="E16" s="14">
        <v>94</v>
      </c>
      <c r="F16">
        <v>119931.41021158894</v>
      </c>
      <c r="G16" s="82">
        <f>_xlfn.FORECAST.LINEAR(Table9[[#This Row],[Date]],Table9[Units_Sold],Table9[Date])</f>
        <v>99.093831687326741</v>
      </c>
      <c r="H16">
        <f t="shared" si="0"/>
        <v>-5.0938316873267411</v>
      </c>
      <c r="I16" s="8">
        <f t="shared" si="1"/>
        <v>-5.4189698801348309E-2</v>
      </c>
    </row>
    <row r="17" spans="1:9">
      <c r="A17" s="54">
        <v>42455</v>
      </c>
      <c r="B17" t="str">
        <f>TEXT(Table9[[#This Row],[Date]], "mmm")</f>
        <v>Mar</v>
      </c>
      <c r="C17">
        <f>YEAR(Table9[[#This Row],[Date]])</f>
        <v>2016</v>
      </c>
      <c r="D17" t="s">
        <v>12</v>
      </c>
      <c r="E17" s="15">
        <v>105</v>
      </c>
      <c r="F17">
        <v>100873.2838</v>
      </c>
      <c r="G17" s="82">
        <f>_xlfn.FORECAST.LINEAR(Table9[[#This Row],[Date]],Table9[Units_Sold],Table9[Date])</f>
        <v>99.094995883983529</v>
      </c>
      <c r="H17">
        <f t="shared" si="0"/>
        <v>5.905004116016471</v>
      </c>
      <c r="I17" s="8">
        <f t="shared" si="1"/>
        <v>5.6238134438252103E-2</v>
      </c>
    </row>
    <row r="18" spans="1:9">
      <c r="A18" s="53">
        <v>42485</v>
      </c>
      <c r="B18" t="str">
        <f>TEXT(Table9[[#This Row],[Date]], "mmm")</f>
        <v>Apr</v>
      </c>
      <c r="C18">
        <f>YEAR(Table9[[#This Row],[Date]])</f>
        <v>2016</v>
      </c>
      <c r="D18" t="s">
        <v>13</v>
      </c>
      <c r="E18" s="14">
        <v>86</v>
      </c>
      <c r="F18">
        <v>112809.59590401647</v>
      </c>
      <c r="G18" s="82">
        <f>_xlfn.FORECAST.LINEAR(Table9[[#This Row],[Date]],Table9[Units_Sold],Table9[Date])</f>
        <v>99.096160080640317</v>
      </c>
      <c r="H18">
        <f t="shared" si="0"/>
        <v>-13.096160080640317</v>
      </c>
      <c r="I18" s="8">
        <f t="shared" si="1"/>
        <v>-0.15228093117023625</v>
      </c>
    </row>
    <row r="19" spans="1:9">
      <c r="A19" s="54">
        <v>42515</v>
      </c>
      <c r="B19" t="str">
        <f>TEXT(Table9[[#This Row],[Date]], "mmm")</f>
        <v>May</v>
      </c>
      <c r="C19">
        <f>YEAR(Table9[[#This Row],[Date]])</f>
        <v>2016</v>
      </c>
      <c r="D19" t="s">
        <v>13</v>
      </c>
      <c r="E19" s="15">
        <v>92</v>
      </c>
      <c r="F19">
        <v>96189.93788004377</v>
      </c>
      <c r="G19" s="82">
        <f>_xlfn.FORECAST.LINEAR(Table9[[#This Row],[Date]],Table9[Units_Sold],Table9[Date])</f>
        <v>99.097324277297105</v>
      </c>
      <c r="H19">
        <f t="shared" si="0"/>
        <v>-7.0973242772971048</v>
      </c>
      <c r="I19" s="8">
        <f t="shared" si="1"/>
        <v>-7.7144829101055482E-2</v>
      </c>
    </row>
    <row r="20" spans="1:9">
      <c r="A20" s="53">
        <v>42545</v>
      </c>
      <c r="B20" t="str">
        <f>TEXT(Table9[[#This Row],[Date]], "mmm")</f>
        <v>Jun</v>
      </c>
      <c r="C20">
        <f>YEAR(Table9[[#This Row],[Date]])</f>
        <v>2016</v>
      </c>
      <c r="D20" t="s">
        <v>10</v>
      </c>
      <c r="E20" s="14">
        <v>94</v>
      </c>
      <c r="F20">
        <v>106481.14056443122</v>
      </c>
      <c r="G20" s="82">
        <f>_xlfn.FORECAST.LINEAR(Table9[[#This Row],[Date]],Table9[Units_Sold],Table9[Date])</f>
        <v>99.098488473953893</v>
      </c>
      <c r="H20">
        <f t="shared" si="0"/>
        <v>-5.0984884739538927</v>
      </c>
      <c r="I20" s="8">
        <f t="shared" si="1"/>
        <v>-5.4239239084615878E-2</v>
      </c>
    </row>
    <row r="21" spans="1:9">
      <c r="A21" s="54">
        <v>42575</v>
      </c>
      <c r="B21" t="str">
        <f>TEXT(Table9[[#This Row],[Date]], "mmm")</f>
        <v>Jul</v>
      </c>
      <c r="C21">
        <f>YEAR(Table9[[#This Row],[Date]])</f>
        <v>2016</v>
      </c>
      <c r="D21" t="s">
        <v>13</v>
      </c>
      <c r="E21" s="15">
        <v>101</v>
      </c>
      <c r="F21">
        <v>77046.172203686656</v>
      </c>
      <c r="G21" s="82">
        <f>_xlfn.FORECAST.LINEAR(Table9[[#This Row],[Date]],Table9[Units_Sold],Table9[Date])</f>
        <v>99.099652670610681</v>
      </c>
      <c r="H21">
        <f t="shared" si="0"/>
        <v>1.9003473293893194</v>
      </c>
      <c r="I21" s="8">
        <f t="shared" si="1"/>
        <v>1.8815320092963557E-2</v>
      </c>
    </row>
    <row r="22" spans="1:9">
      <c r="A22" s="53">
        <v>42605</v>
      </c>
      <c r="B22" t="str">
        <f>TEXT(Table9[[#This Row],[Date]], "mmm")</f>
        <v>Aug</v>
      </c>
      <c r="C22">
        <f>YEAR(Table9[[#This Row],[Date]])</f>
        <v>2016</v>
      </c>
      <c r="D22" t="s">
        <v>12</v>
      </c>
      <c r="E22" s="14">
        <v>103</v>
      </c>
      <c r="F22">
        <v>100873.2838</v>
      </c>
      <c r="G22" s="82">
        <f>_xlfn.FORECAST.LINEAR(Table9[[#This Row],[Date]],Table9[Units_Sold],Table9[Date])</f>
        <v>99.100816867267469</v>
      </c>
      <c r="H22">
        <f t="shared" si="0"/>
        <v>3.8991831327325315</v>
      </c>
      <c r="I22" s="8">
        <f t="shared" si="1"/>
        <v>3.7856146919733318E-2</v>
      </c>
    </row>
    <row r="23" spans="1:9">
      <c r="A23" s="54">
        <v>42635</v>
      </c>
      <c r="B23" t="str">
        <f>TEXT(Table9[[#This Row],[Date]], "mmm")</f>
        <v>Sep</v>
      </c>
      <c r="C23">
        <f>YEAR(Table9[[#This Row],[Date]])</f>
        <v>2016</v>
      </c>
      <c r="D23" t="s">
        <v>13</v>
      </c>
      <c r="E23" s="15">
        <v>84</v>
      </c>
      <c r="F23">
        <v>40177.280581985535</v>
      </c>
      <c r="G23" s="82">
        <f>_xlfn.FORECAST.LINEAR(Table9[[#This Row],[Date]],Table9[Units_Sold],Table9[Date])</f>
        <v>99.101981063924256</v>
      </c>
      <c r="H23">
        <f t="shared" si="0"/>
        <v>-15.101981063924256</v>
      </c>
      <c r="I23" s="8">
        <f t="shared" si="1"/>
        <v>-0.17978548885624115</v>
      </c>
    </row>
    <row r="24" spans="1:9">
      <c r="A24" s="53">
        <v>42665</v>
      </c>
      <c r="B24" t="str">
        <f>TEXT(Table9[[#This Row],[Date]], "mmm")</f>
        <v>Oct</v>
      </c>
      <c r="C24">
        <f>YEAR(Table9[[#This Row],[Date]])</f>
        <v>2016</v>
      </c>
      <c r="D24" t="s">
        <v>14</v>
      </c>
      <c r="E24" s="14">
        <v>76</v>
      </c>
      <c r="F24">
        <v>96262.076836760301</v>
      </c>
      <c r="G24" s="82">
        <f>_xlfn.FORECAST.LINEAR(Table9[[#This Row],[Date]],Table9[Units_Sold],Table9[Date])</f>
        <v>99.10314526058103</v>
      </c>
      <c r="H24">
        <f t="shared" si="0"/>
        <v>-23.10314526058103</v>
      </c>
      <c r="I24" s="8">
        <f t="shared" si="1"/>
        <v>-0.30398875342869774</v>
      </c>
    </row>
    <row r="25" spans="1:9">
      <c r="A25" s="54">
        <v>42695</v>
      </c>
      <c r="B25" t="str">
        <f>TEXT(Table9[[#This Row],[Date]], "mmm")</f>
        <v>Nov</v>
      </c>
      <c r="C25">
        <f>YEAR(Table9[[#This Row],[Date]])</f>
        <v>2016</v>
      </c>
      <c r="D25" t="s">
        <v>12</v>
      </c>
      <c r="E25" s="15">
        <v>100</v>
      </c>
      <c r="F25">
        <v>67390.535125697206</v>
      </c>
      <c r="G25" s="82">
        <f>_xlfn.FORECAST.LINEAR(Table9[[#This Row],[Date]],Table9[Units_Sold],Table9[Date])</f>
        <v>99.104309457237818</v>
      </c>
      <c r="H25">
        <f t="shared" si="0"/>
        <v>0.89569054276218196</v>
      </c>
      <c r="I25" s="8">
        <f t="shared" si="1"/>
        <v>8.9569054276218193E-3</v>
      </c>
    </row>
    <row r="26" spans="1:9">
      <c r="A26" s="53">
        <v>42725</v>
      </c>
      <c r="B26" t="str">
        <f>TEXT(Table9[[#This Row],[Date]], "mmm")</f>
        <v>Dec</v>
      </c>
      <c r="C26">
        <f>YEAR(Table9[[#This Row],[Date]])</f>
        <v>2016</v>
      </c>
      <c r="D26" t="s">
        <v>14</v>
      </c>
      <c r="E26" s="14">
        <v>111</v>
      </c>
      <c r="F26">
        <v>124119.89033093632</v>
      </c>
      <c r="G26" s="82">
        <f>_xlfn.FORECAST.LINEAR(Table9[[#This Row],[Date]],Table9[Units_Sold],Table9[Date])</f>
        <v>99.105473653894606</v>
      </c>
      <c r="H26">
        <f t="shared" si="0"/>
        <v>11.894526346105394</v>
      </c>
      <c r="I26" s="8">
        <f t="shared" si="1"/>
        <v>0.10715789500995851</v>
      </c>
    </row>
    <row r="27" spans="1:9">
      <c r="A27" s="54">
        <v>42755</v>
      </c>
      <c r="B27" t="str">
        <f>TEXT(Table9[[#This Row],[Date]], "mmm")</f>
        <v>Jan</v>
      </c>
      <c r="C27">
        <f>YEAR(Table9[[#This Row],[Date]])</f>
        <v>2017</v>
      </c>
      <c r="D27" t="s">
        <v>13</v>
      </c>
      <c r="E27" s="15">
        <v>93</v>
      </c>
      <c r="F27">
        <f>IF(ISBLANK(F18), K29, F18)</f>
        <v>112809.59590401647</v>
      </c>
      <c r="G27" s="82">
        <f>_xlfn.FORECAST.LINEAR(Table9[[#This Row],[Date]],Table9[Units_Sold],Table9[Date])</f>
        <v>99.106637850551394</v>
      </c>
      <c r="H27">
        <f t="shared" si="0"/>
        <v>-6.1066378505513939</v>
      </c>
      <c r="I27" s="8">
        <f t="shared" si="1"/>
        <v>-6.5662772586574131E-2</v>
      </c>
    </row>
    <row r="28" spans="1:9">
      <c r="A28" s="53">
        <v>42785</v>
      </c>
      <c r="B28" t="str">
        <f>TEXT(Table9[[#This Row],[Date]], "mmm")</f>
        <v>Feb</v>
      </c>
      <c r="C28">
        <f>YEAR(Table9[[#This Row],[Date]])</f>
        <v>2017</v>
      </c>
      <c r="D28" t="s">
        <v>11</v>
      </c>
      <c r="E28" s="14">
        <v>87</v>
      </c>
      <c r="F28">
        <f>IF(ISBLANK(F19), K30, F19)</f>
        <v>96189.93788004377</v>
      </c>
      <c r="G28" s="82">
        <f>_xlfn.FORECAST.LINEAR(Table9[[#This Row],[Date]],Table9[Units_Sold],Table9[Date])</f>
        <v>99.107802047208182</v>
      </c>
      <c r="H28">
        <f t="shared" si="0"/>
        <v>-12.107802047208182</v>
      </c>
      <c r="I28" s="8">
        <f t="shared" si="1"/>
        <v>-0.13917013847365725</v>
      </c>
    </row>
    <row r="29" spans="1:9">
      <c r="A29" s="54">
        <v>42815</v>
      </c>
      <c r="B29" t="str">
        <f>TEXT(Table9[[#This Row],[Date]], "mmm")</f>
        <v>Mar</v>
      </c>
      <c r="C29">
        <f>YEAR(Table9[[#This Row],[Date]])</f>
        <v>2017</v>
      </c>
      <c r="D29" t="s">
        <v>10</v>
      </c>
      <c r="E29" s="15">
        <v>108</v>
      </c>
      <c r="F29">
        <v>130420.1245431876</v>
      </c>
      <c r="G29" s="82">
        <f>_xlfn.FORECAST.LINEAR(Table9[[#This Row],[Date]],Table9[Units_Sold],Table9[Date])</f>
        <v>99.10896624386497</v>
      </c>
      <c r="H29">
        <f t="shared" si="0"/>
        <v>8.8910337561350303</v>
      </c>
      <c r="I29" s="8">
        <f t="shared" si="1"/>
        <v>8.2324386630879917E-2</v>
      </c>
    </row>
    <row r="30" spans="1:9">
      <c r="A30" s="53">
        <v>42845</v>
      </c>
      <c r="B30" t="str">
        <f>TEXT(Table9[[#This Row],[Date]], "mmm")</f>
        <v>Apr</v>
      </c>
      <c r="C30">
        <f>YEAR(Table9[[#This Row],[Date]])</f>
        <v>2017</v>
      </c>
      <c r="D30" t="s">
        <v>12</v>
      </c>
      <c r="E30" s="14">
        <v>106</v>
      </c>
      <c r="F30">
        <v>81021.669583503259</v>
      </c>
      <c r="G30" s="82">
        <f>_xlfn.FORECAST.LINEAR(Table9[[#This Row],[Date]],Table9[Units_Sold],Table9[Date])</f>
        <v>99.110130440521758</v>
      </c>
      <c r="H30">
        <f t="shared" si="0"/>
        <v>6.8898695594782424</v>
      </c>
      <c r="I30" s="8">
        <f t="shared" si="1"/>
        <v>6.4998769429040024E-2</v>
      </c>
    </row>
    <row r="31" spans="1:9">
      <c r="A31" s="54">
        <v>42875</v>
      </c>
      <c r="B31" t="str">
        <f>TEXT(Table9[[#This Row],[Date]], "mmm")</f>
        <v>May</v>
      </c>
      <c r="C31">
        <f>YEAR(Table9[[#This Row],[Date]])</f>
        <v>2017</v>
      </c>
      <c r="D31" t="s">
        <v>14</v>
      </c>
      <c r="E31" s="15">
        <v>108</v>
      </c>
      <c r="F31">
        <v>134947.26395831117</v>
      </c>
      <c r="G31" s="82">
        <f>_xlfn.FORECAST.LINEAR(Table9[[#This Row],[Date]],Table9[Units_Sold],Table9[Date])</f>
        <v>99.111294637178545</v>
      </c>
      <c r="H31">
        <f t="shared" si="0"/>
        <v>8.8887053628214545</v>
      </c>
      <c r="I31" s="8">
        <f t="shared" si="1"/>
        <v>8.2302827433531983E-2</v>
      </c>
    </row>
    <row r="32" spans="1:9">
      <c r="A32" s="53">
        <v>42905</v>
      </c>
      <c r="B32" t="str">
        <f>TEXT(Table9[[#This Row],[Date]], "mmm")</f>
        <v>Jun</v>
      </c>
      <c r="C32">
        <f>YEAR(Table9[[#This Row],[Date]])</f>
        <v>2017</v>
      </c>
      <c r="D32" t="s">
        <v>11</v>
      </c>
      <c r="E32" s="14">
        <v>96</v>
      </c>
      <c r="F32">
        <v>118643.83128520769</v>
      </c>
      <c r="G32" s="82">
        <f>_xlfn.FORECAST.LINEAR(Table9[[#This Row],[Date]],Table9[Units_Sold],Table9[Date])</f>
        <v>99.112458833835333</v>
      </c>
      <c r="H32">
        <f t="shared" si="0"/>
        <v>-3.1124588338353334</v>
      </c>
      <c r="I32" s="8">
        <f t="shared" si="1"/>
        <v>-3.2421446185784721E-2</v>
      </c>
    </row>
    <row r="33" spans="1:9">
      <c r="A33" s="54">
        <v>42935</v>
      </c>
      <c r="B33" t="str">
        <f>TEXT(Table9[[#This Row],[Date]], "mmm")</f>
        <v>Jul</v>
      </c>
      <c r="C33">
        <f>YEAR(Table9[[#This Row],[Date]])</f>
        <v>2017</v>
      </c>
      <c r="D33" t="s">
        <v>11</v>
      </c>
      <c r="E33" s="15">
        <v>113</v>
      </c>
      <c r="F33">
        <v>95268.894255621082</v>
      </c>
      <c r="G33" s="82">
        <f>_xlfn.FORECAST.LINEAR(Table9[[#This Row],[Date]],Table9[Units_Sold],Table9[Date])</f>
        <v>99.113623030492121</v>
      </c>
      <c r="H33">
        <f t="shared" si="0"/>
        <v>13.886376969507879</v>
      </c>
      <c r="I33" s="8">
        <f t="shared" si="1"/>
        <v>0.12288829176555645</v>
      </c>
    </row>
    <row r="34" spans="1:9">
      <c r="A34" s="53">
        <v>42965</v>
      </c>
      <c r="B34" t="str">
        <f>TEXT(Table9[[#This Row],[Date]], "mmm")</f>
        <v>Aug</v>
      </c>
      <c r="C34">
        <f>YEAR(Table9[[#This Row],[Date]])</f>
        <v>2017</v>
      </c>
      <c r="D34" t="s">
        <v>12</v>
      </c>
      <c r="E34" s="14">
        <v>95</v>
      </c>
      <c r="F34">
        <v>122712.40294365888</v>
      </c>
      <c r="G34" s="82">
        <f>_xlfn.FORECAST.LINEAR(Table9[[#This Row],[Date]],Table9[Units_Sold],Table9[Date])</f>
        <v>99.114787227148909</v>
      </c>
      <c r="H34">
        <f t="shared" si="0"/>
        <v>-4.1147872271489092</v>
      </c>
      <c r="I34" s="8">
        <f t="shared" si="1"/>
        <v>-4.3313549759462201E-2</v>
      </c>
    </row>
    <row r="35" spans="1:9">
      <c r="A35" s="54">
        <v>42995</v>
      </c>
      <c r="B35" t="str">
        <f>TEXT(Table9[[#This Row],[Date]], "mmm")</f>
        <v>Sep</v>
      </c>
      <c r="C35">
        <f>YEAR(Table9[[#This Row],[Date]])</f>
        <v>2017</v>
      </c>
      <c r="D35" t="s">
        <v>12</v>
      </c>
      <c r="E35" s="15">
        <v>94</v>
      </c>
      <c r="F35">
        <v>77874.129751767323</v>
      </c>
      <c r="G35" s="82">
        <f>_xlfn.FORECAST.LINEAR(Table9[[#This Row],[Date]],Table9[Units_Sold],Table9[Date])</f>
        <v>99.115951423805683</v>
      </c>
      <c r="H35">
        <f t="shared" si="0"/>
        <v>-5.1159514238056829</v>
      </c>
      <c r="I35" s="8">
        <f t="shared" si="1"/>
        <v>-5.4425015146868969E-2</v>
      </c>
    </row>
    <row r="36" spans="1:9">
      <c r="A36" s="53">
        <v>43025</v>
      </c>
      <c r="B36" t="str">
        <f>TEXT(Table9[[#This Row],[Date]], "mmm")</f>
        <v>Oct</v>
      </c>
      <c r="C36">
        <f>YEAR(Table9[[#This Row],[Date]])</f>
        <v>2017</v>
      </c>
      <c r="D36" t="s">
        <v>11</v>
      </c>
      <c r="E36" s="14">
        <v>107</v>
      </c>
      <c r="F36">
        <v>83509.716769446532</v>
      </c>
      <c r="G36" s="82">
        <f>_xlfn.FORECAST.LINEAR(Table9[[#This Row],[Date]],Table9[Units_Sold],Table9[Date])</f>
        <v>99.117115620462471</v>
      </c>
      <c r="H36">
        <f t="shared" si="0"/>
        <v>7.8828843795375292</v>
      </c>
      <c r="I36" s="8">
        <f t="shared" si="1"/>
        <v>7.3671816631191864E-2</v>
      </c>
    </row>
    <row r="37" spans="1:9">
      <c r="A37" s="54">
        <v>43055</v>
      </c>
      <c r="B37" t="str">
        <f>TEXT(Table9[[#This Row],[Date]], "mmm")</f>
        <v>Nov</v>
      </c>
      <c r="C37">
        <f>YEAR(Table9[[#This Row],[Date]])</f>
        <v>2017</v>
      </c>
      <c r="D37" t="s">
        <v>10</v>
      </c>
      <c r="E37" s="15">
        <v>114</v>
      </c>
      <c r="F37">
        <v>100873.2838</v>
      </c>
      <c r="G37" s="82">
        <f>_xlfn.FORECAST.LINEAR(Table9[[#This Row],[Date]],Table9[Units_Sold],Table9[Date])</f>
        <v>99.118279817119259</v>
      </c>
      <c r="H37">
        <f t="shared" si="0"/>
        <v>14.881720182880741</v>
      </c>
      <c r="I37" s="8">
        <f t="shared" si="1"/>
        <v>0.13054140511298895</v>
      </c>
    </row>
    <row r="38" spans="1:9">
      <c r="A38" s="53">
        <v>43085</v>
      </c>
      <c r="B38" t="str">
        <f>TEXT(Table9[[#This Row],[Date]], "mmm")</f>
        <v>Dec</v>
      </c>
      <c r="C38">
        <f>YEAR(Table9[[#This Row],[Date]])</f>
        <v>2017</v>
      </c>
      <c r="D38" t="s">
        <v>10</v>
      </c>
      <c r="E38" s="14">
        <v>86</v>
      </c>
      <c r="F38">
        <v>89420.445838719694</v>
      </c>
      <c r="G38" s="82">
        <f>_xlfn.FORECAST.LINEAR(Table9[[#This Row],[Date]],Table9[Units_Sold],Table9[Date])</f>
        <v>99.119444013776047</v>
      </c>
      <c r="H38">
        <f t="shared" si="0"/>
        <v>-13.119444013776047</v>
      </c>
      <c r="I38" s="8">
        <f t="shared" si="1"/>
        <v>-0.15255167457879124</v>
      </c>
    </row>
    <row r="39" spans="1:9">
      <c r="A39" s="54">
        <v>43115</v>
      </c>
      <c r="B39" t="str">
        <f>TEXT(Table9[[#This Row],[Date]], "mmm")</f>
        <v>Jan</v>
      </c>
      <c r="C39">
        <f>YEAR(Table9[[#This Row],[Date]])</f>
        <v>2018</v>
      </c>
      <c r="D39" t="s">
        <v>14</v>
      </c>
      <c r="E39" s="15">
        <v>100</v>
      </c>
      <c r="F39">
        <v>78868.847144794941</v>
      </c>
      <c r="G39" s="82">
        <f>_xlfn.FORECAST.LINEAR(Table9[[#This Row],[Date]],Table9[Units_Sold],Table9[Date])</f>
        <v>99.120608210432835</v>
      </c>
      <c r="H39">
        <f t="shared" si="0"/>
        <v>0.87939178956716546</v>
      </c>
      <c r="I39" s="8">
        <f t="shared" si="1"/>
        <v>8.793917895671655E-3</v>
      </c>
    </row>
    <row r="40" spans="1:9">
      <c r="A40" s="53">
        <v>43145</v>
      </c>
      <c r="B40" t="str">
        <f>TEXT(Table9[[#This Row],[Date]], "mmm")</f>
        <v>Feb</v>
      </c>
      <c r="C40">
        <f>YEAR(Table9[[#This Row],[Date]])</f>
        <v>2018</v>
      </c>
      <c r="D40" t="s">
        <v>10</v>
      </c>
      <c r="E40" s="14">
        <v>108</v>
      </c>
      <c r="F40">
        <v>124461.6613419065</v>
      </c>
      <c r="G40" s="82">
        <f>_xlfn.FORECAST.LINEAR(Table9[[#This Row],[Date]],Table9[Units_Sold],Table9[Date])</f>
        <v>99.121772407089622</v>
      </c>
      <c r="H40">
        <f t="shared" si="0"/>
        <v>8.8782275929103776</v>
      </c>
      <c r="I40" s="8">
        <f t="shared" si="1"/>
        <v>8.2205811045466454E-2</v>
      </c>
    </row>
    <row r="41" spans="1:9">
      <c r="A41" s="54">
        <v>43175</v>
      </c>
      <c r="B41" t="str">
        <f>TEXT(Table9[[#This Row],[Date]], "mmm")</f>
        <v>Mar</v>
      </c>
      <c r="C41">
        <f>YEAR(Table9[[#This Row],[Date]])</f>
        <v>2018</v>
      </c>
      <c r="D41" t="s">
        <v>11</v>
      </c>
      <c r="E41" s="15">
        <v>101</v>
      </c>
      <c r="F41">
        <v>94822.91199260336</v>
      </c>
      <c r="G41" s="82">
        <f>_xlfn.FORECAST.LINEAR(Table9[[#This Row],[Date]],Table9[Units_Sold],Table9[Date])</f>
        <v>99.12293660374641</v>
      </c>
      <c r="H41">
        <f t="shared" si="0"/>
        <v>1.8770633962535896</v>
      </c>
      <c r="I41" s="8">
        <f t="shared" si="1"/>
        <v>1.858478610152069E-2</v>
      </c>
    </row>
    <row r="42" spans="1:9">
      <c r="A42" s="53">
        <v>43205</v>
      </c>
      <c r="B42" t="str">
        <f>TEXT(Table9[[#This Row],[Date]], "mmm")</f>
        <v>Apr</v>
      </c>
      <c r="C42">
        <f>YEAR(Table9[[#This Row],[Date]])</f>
        <v>2018</v>
      </c>
      <c r="D42" t="s">
        <v>11</v>
      </c>
      <c r="E42" s="14">
        <v>94</v>
      </c>
      <c r="F42">
        <v>107050.09936713759</v>
      </c>
      <c r="G42" s="82">
        <f>_xlfn.FORECAST.LINEAR(Table9[[#This Row],[Date]],Table9[Units_Sold],Table9[Date])</f>
        <v>99.124100800403198</v>
      </c>
      <c r="H42">
        <f t="shared" si="0"/>
        <v>-5.1241008004031983</v>
      </c>
      <c r="I42" s="8">
        <f t="shared" si="1"/>
        <v>-5.4511710642587217E-2</v>
      </c>
    </row>
    <row r="43" spans="1:9">
      <c r="A43" s="54">
        <v>43235</v>
      </c>
      <c r="B43" t="str">
        <f>TEXT(Table9[[#This Row],[Date]], "mmm")</f>
        <v>May</v>
      </c>
      <c r="C43">
        <f>YEAR(Table9[[#This Row],[Date]])</f>
        <v>2018</v>
      </c>
      <c r="D43" t="s">
        <v>13</v>
      </c>
      <c r="E43" s="15">
        <v>116</v>
      </c>
      <c r="F43">
        <f>IF(ISBLANK(F34), K45, F34)</f>
        <v>122712.40294365888</v>
      </c>
      <c r="G43" s="82">
        <f>_xlfn.FORECAST.LINEAR(Table9[[#This Row],[Date]],Table9[Units_Sold],Table9[Date])</f>
        <v>99.125264997059986</v>
      </c>
      <c r="H43">
        <f t="shared" si="0"/>
        <v>16.874735002940014</v>
      </c>
      <c r="I43" s="8">
        <f t="shared" si="1"/>
        <v>0.14547185347362082</v>
      </c>
    </row>
    <row r="44" spans="1:9">
      <c r="A44" s="53">
        <v>43265</v>
      </c>
      <c r="B44" t="str">
        <f>TEXT(Table9[[#This Row],[Date]], "mmm")</f>
        <v>Jun</v>
      </c>
      <c r="C44">
        <f>YEAR(Table9[[#This Row],[Date]])</f>
        <v>2018</v>
      </c>
      <c r="D44" t="s">
        <v>11</v>
      </c>
      <c r="E44" s="14">
        <v>97</v>
      </c>
      <c r="F44">
        <v>63587.933989029654</v>
      </c>
      <c r="G44" s="82">
        <f>_xlfn.FORECAST.LINEAR(Table9[[#This Row],[Date]],Table9[Units_Sold],Table9[Date])</f>
        <v>99.126429193716774</v>
      </c>
      <c r="H44">
        <f t="shared" si="0"/>
        <v>-2.1264291937167741</v>
      </c>
      <c r="I44" s="8">
        <f t="shared" si="1"/>
        <v>-2.1921950450688392E-2</v>
      </c>
    </row>
    <row r="45" spans="1:9">
      <c r="A45" s="54">
        <v>43295</v>
      </c>
      <c r="B45" t="str">
        <f>TEXT(Table9[[#This Row],[Date]], "mmm")</f>
        <v>Jul</v>
      </c>
      <c r="C45">
        <f>YEAR(Table9[[#This Row],[Date]])</f>
        <v>2018</v>
      </c>
      <c r="D45" t="s">
        <v>10</v>
      </c>
      <c r="E45" s="15">
        <f>IF(ISBLANK(E2), S3, E2)</f>
        <v>96</v>
      </c>
      <c r="F45">
        <v>105401.14716782844</v>
      </c>
      <c r="G45" s="82">
        <f>_xlfn.FORECAST.LINEAR(Table9[[#This Row],[Date]],Table9[Units_Sold],Table9[Date])</f>
        <v>99.127593390373562</v>
      </c>
      <c r="H45">
        <f t="shared" si="0"/>
        <v>-3.127593390373562</v>
      </c>
      <c r="I45" s="8">
        <f t="shared" si="1"/>
        <v>-3.2579097816391268E-2</v>
      </c>
    </row>
    <row r="46" spans="1:9">
      <c r="A46" s="53">
        <v>43325</v>
      </c>
      <c r="B46" t="str">
        <f>TEXT(Table9[[#This Row],[Date]], "mmm")</f>
        <v>Aug</v>
      </c>
      <c r="C46">
        <f>YEAR(Table9[[#This Row],[Date]])</f>
        <v>2018</v>
      </c>
      <c r="D46" t="s">
        <v>14</v>
      </c>
      <c r="E46" s="14">
        <v>94</v>
      </c>
      <c r="F46">
        <v>61754.900491604465</v>
      </c>
      <c r="G46" s="82">
        <f>_xlfn.FORECAST.LINEAR(Table9[[#This Row],[Date]],Table9[Units_Sold],Table9[Date])</f>
        <v>99.128757587030336</v>
      </c>
      <c r="H46">
        <f t="shared" si="0"/>
        <v>-5.1287575870303357</v>
      </c>
      <c r="I46" s="8">
        <f t="shared" si="1"/>
        <v>-5.4561250925854635E-2</v>
      </c>
    </row>
    <row r="47" spans="1:9">
      <c r="A47" s="54">
        <v>43355</v>
      </c>
      <c r="B47" t="str">
        <f>TEXT(Table9[[#This Row],[Date]], "mmm")</f>
        <v>Sep</v>
      </c>
      <c r="C47">
        <f>YEAR(Table9[[#This Row],[Date]])</f>
        <v>2018</v>
      </c>
      <c r="D47" t="s">
        <v>13</v>
      </c>
      <c r="E47" s="15">
        <v>118</v>
      </c>
      <c r="F47">
        <v>98627.319078290631</v>
      </c>
      <c r="G47" s="82">
        <f>_xlfn.FORECAST.LINEAR(Table9[[#This Row],[Date]],Table9[Units_Sold],Table9[Date])</f>
        <v>99.129921783687124</v>
      </c>
      <c r="H47">
        <f t="shared" si="0"/>
        <v>18.870078216312876</v>
      </c>
      <c r="I47" s="8">
        <f t="shared" si="1"/>
        <v>0.15991591708739725</v>
      </c>
    </row>
    <row r="48" spans="1:9">
      <c r="A48" s="53">
        <v>43385</v>
      </c>
      <c r="B48" t="str">
        <f>TEXT(Table9[[#This Row],[Date]], "mmm")</f>
        <v>Oct</v>
      </c>
      <c r="C48">
        <f>YEAR(Table9[[#This Row],[Date]])</f>
        <v>2018</v>
      </c>
      <c r="D48" t="s">
        <v>10</v>
      </c>
      <c r="E48" s="14">
        <v>104</v>
      </c>
      <c r="F48">
        <v>72633.699223343792</v>
      </c>
      <c r="G48" s="82">
        <f>_xlfn.FORECAST.LINEAR(Table9[[#This Row],[Date]],Table9[Units_Sold],Table9[Date])</f>
        <v>99.131085980343912</v>
      </c>
      <c r="H48">
        <f t="shared" si="0"/>
        <v>4.8689140196560885</v>
      </c>
      <c r="I48" s="8">
        <f t="shared" si="1"/>
        <v>4.681648095823162E-2</v>
      </c>
    </row>
    <row r="49" spans="1:9">
      <c r="A49" s="54">
        <v>43415</v>
      </c>
      <c r="B49" t="str">
        <f>TEXT(Table9[[#This Row],[Date]], "mmm")</f>
        <v>Nov</v>
      </c>
      <c r="C49">
        <f>YEAR(Table9[[#This Row],[Date]])</f>
        <v>2018</v>
      </c>
      <c r="D49" t="s">
        <v>14</v>
      </c>
      <c r="E49" s="15">
        <f>IF(ISBLANK(E2), S3, E2)</f>
        <v>96</v>
      </c>
      <c r="F49">
        <v>139745.51998461617</v>
      </c>
      <c r="G49" s="82">
        <f>_xlfn.FORECAST.LINEAR(Table9[[#This Row],[Date]],Table9[Units_Sold],Table9[Date])</f>
        <v>99.132250177000699</v>
      </c>
      <c r="H49">
        <f t="shared" si="0"/>
        <v>-3.1322501770006994</v>
      </c>
      <c r="I49" s="8">
        <f t="shared" si="1"/>
        <v>-3.262760601042395E-2</v>
      </c>
    </row>
    <row r="50" spans="1:9">
      <c r="A50" s="53">
        <v>43445</v>
      </c>
      <c r="B50" t="str">
        <f>TEXT(Table9[[#This Row],[Date]], "mmm")</f>
        <v>Dec</v>
      </c>
      <c r="C50">
        <f>YEAR(Table9[[#This Row],[Date]])</f>
        <v>2018</v>
      </c>
      <c r="D50" t="s">
        <v>10</v>
      </c>
      <c r="E50" s="14">
        <v>115</v>
      </c>
      <c r="F50">
        <v>118227.25444349443</v>
      </c>
      <c r="G50" s="82">
        <f>_xlfn.FORECAST.LINEAR(Table9[[#This Row],[Date]],Table9[Units_Sold],Table9[Date])</f>
        <v>99.133414373657487</v>
      </c>
      <c r="H50">
        <f t="shared" si="0"/>
        <v>15.866585626342513</v>
      </c>
      <c r="I50" s="8">
        <f t="shared" si="1"/>
        <v>0.13797030979428271</v>
      </c>
    </row>
    <row r="51" spans="1:9">
      <c r="A51" s="54">
        <v>43475</v>
      </c>
      <c r="B51" t="str">
        <f>TEXT(Table9[[#This Row],[Date]], "mmm")</f>
        <v>Jan</v>
      </c>
      <c r="C51">
        <f>YEAR(Table9[[#This Row],[Date]])</f>
        <v>2019</v>
      </c>
      <c r="D51" t="s">
        <v>13</v>
      </c>
      <c r="E51" s="15">
        <v>94</v>
      </c>
      <c r="F51">
        <v>102115.07582542961</v>
      </c>
      <c r="G51" s="82">
        <f>_xlfn.FORECAST.LINEAR(Table9[[#This Row],[Date]],Table9[Units_Sold],Table9[Date])</f>
        <v>99.134578570314275</v>
      </c>
      <c r="H51">
        <f t="shared" si="0"/>
        <v>-5.1345785703142752</v>
      </c>
      <c r="I51" s="8">
        <f t="shared" si="1"/>
        <v>-5.4623176279939095E-2</v>
      </c>
    </row>
    <row r="52" spans="1:9">
      <c r="A52" s="53">
        <v>43505</v>
      </c>
      <c r="B52" t="str">
        <f>TEXT(Table9[[#This Row],[Date]], "mmm")</f>
        <v>Feb</v>
      </c>
      <c r="C52">
        <f>YEAR(Table9[[#This Row],[Date]])</f>
        <v>2019</v>
      </c>
      <c r="D52" t="s">
        <v>11</v>
      </c>
      <c r="E52" s="14">
        <v>91</v>
      </c>
      <c r="F52">
        <v>125274.13355309337</v>
      </c>
      <c r="G52" s="82">
        <f>_xlfn.FORECAST.LINEAR(Table9[[#This Row],[Date]],Table9[Units_Sold],Table9[Date])</f>
        <v>99.135742766971063</v>
      </c>
      <c r="H52">
        <f t="shared" si="0"/>
        <v>-8.1357427669710631</v>
      </c>
      <c r="I52" s="8">
        <f t="shared" si="1"/>
        <v>-8.9403766670011681E-2</v>
      </c>
    </row>
    <row r="53" spans="1:9">
      <c r="A53" s="54">
        <v>43535</v>
      </c>
      <c r="B53" t="str">
        <f>TEXT(Table9[[#This Row],[Date]], "mmm")</f>
        <v>Mar</v>
      </c>
      <c r="C53">
        <f>YEAR(Table9[[#This Row],[Date]])</f>
        <v>2019</v>
      </c>
      <c r="D53" t="s">
        <v>13</v>
      </c>
      <c r="E53" s="15">
        <v>110</v>
      </c>
      <c r="F53">
        <v>83073.680450685279</v>
      </c>
      <c r="G53" s="82">
        <f>_xlfn.FORECAST.LINEAR(Table9[[#This Row],[Date]],Table9[Units_Sold],Table9[Date])</f>
        <v>99.136906963627851</v>
      </c>
      <c r="H53">
        <f t="shared" si="0"/>
        <v>10.863093036372149</v>
      </c>
      <c r="I53" s="8">
        <f t="shared" si="1"/>
        <v>9.8755391239746804E-2</v>
      </c>
    </row>
    <row r="54" spans="1:9">
      <c r="A54" s="53">
        <v>43565</v>
      </c>
      <c r="B54" t="str">
        <f>TEXT(Table9[[#This Row],[Date]], "mmm")</f>
        <v>Apr</v>
      </c>
      <c r="C54">
        <f>YEAR(Table9[[#This Row],[Date]])</f>
        <v>2019</v>
      </c>
      <c r="D54" t="s">
        <v>11</v>
      </c>
      <c r="E54" s="14">
        <v>98</v>
      </c>
      <c r="F54">
        <v>110869.58757340186</v>
      </c>
      <c r="G54" s="82">
        <f>_xlfn.FORECAST.LINEAR(Table9[[#This Row],[Date]],Table9[Units_Sold],Table9[Date])</f>
        <v>99.138071160284639</v>
      </c>
      <c r="H54">
        <f t="shared" si="0"/>
        <v>-1.1380711602846389</v>
      </c>
      <c r="I54" s="8">
        <f t="shared" si="1"/>
        <v>-1.1612971023312643E-2</v>
      </c>
    </row>
    <row r="55" spans="1:9">
      <c r="A55" s="54">
        <v>43595</v>
      </c>
      <c r="B55" t="str">
        <f>TEXT(Table9[[#This Row],[Date]], "mmm")</f>
        <v>May</v>
      </c>
      <c r="C55">
        <f>YEAR(Table9[[#This Row],[Date]])</f>
        <v>2019</v>
      </c>
      <c r="D55" t="s">
        <v>13</v>
      </c>
      <c r="E55" s="15">
        <v>86</v>
      </c>
      <c r="F55">
        <v>103996.20867437427</v>
      </c>
      <c r="G55" s="82">
        <f>_xlfn.FORECAST.LINEAR(Table9[[#This Row],[Date]],Table9[Units_Sold],Table9[Date])</f>
        <v>99.139235356941427</v>
      </c>
      <c r="H55">
        <f t="shared" si="0"/>
        <v>-13.139235356941427</v>
      </c>
      <c r="I55" s="8">
        <f t="shared" si="1"/>
        <v>-0.1527818064760631</v>
      </c>
    </row>
    <row r="56" spans="1:9">
      <c r="A56" s="53">
        <v>43625</v>
      </c>
      <c r="B56" t="str">
        <f>TEXT(Table9[[#This Row],[Date]], "mmm")</f>
        <v>Jun</v>
      </c>
      <c r="C56">
        <f>YEAR(Table9[[#This Row],[Date]])</f>
        <v>2019</v>
      </c>
      <c r="D56" t="s">
        <v>12</v>
      </c>
      <c r="E56" s="14">
        <v>121</v>
      </c>
      <c r="F56">
        <v>105280.4016266734</v>
      </c>
      <c r="G56" s="82">
        <f>_xlfn.FORECAST.LINEAR(Table9[[#This Row],[Date]],Table9[Units_Sold],Table9[Date])</f>
        <v>99.140399553598215</v>
      </c>
      <c r="H56">
        <f t="shared" si="0"/>
        <v>21.859600446401785</v>
      </c>
      <c r="I56" s="8">
        <f t="shared" si="1"/>
        <v>0.18065785492894038</v>
      </c>
    </row>
    <row r="57" spans="1:9">
      <c r="A57" s="54">
        <v>43655</v>
      </c>
      <c r="B57" t="str">
        <f>TEXT(Table9[[#This Row],[Date]], "mmm")</f>
        <v>Jul</v>
      </c>
      <c r="C57">
        <f>YEAR(Table9[[#This Row],[Date]])</f>
        <v>2019</v>
      </c>
      <c r="D57" t="s">
        <v>10</v>
      </c>
      <c r="E57" s="15">
        <v>100</v>
      </c>
      <c r="F57">
        <v>125447.07000213536</v>
      </c>
      <c r="G57" s="82">
        <f>_xlfn.FORECAST.LINEAR(Table9[[#This Row],[Date]],Table9[Units_Sold],Table9[Date])</f>
        <v>99.141563750254988</v>
      </c>
      <c r="H57">
        <f t="shared" si="0"/>
        <v>0.85843624974501154</v>
      </c>
      <c r="I57" s="8">
        <f t="shared" si="1"/>
        <v>8.5843624974501157E-3</v>
      </c>
    </row>
    <row r="58" spans="1:9">
      <c r="A58" s="53">
        <v>43685</v>
      </c>
      <c r="B58" t="str">
        <f>TEXT(Table9[[#This Row],[Date]], "mmm")</f>
        <v>Aug</v>
      </c>
      <c r="C58">
        <f>YEAR(Table9[[#This Row],[Date]])</f>
        <v>2019</v>
      </c>
      <c r="D58" t="s">
        <v>10</v>
      </c>
      <c r="E58" s="14">
        <v>96</v>
      </c>
      <c r="F58">
        <v>114649.84205559605</v>
      </c>
      <c r="G58" s="82">
        <f>_xlfn.FORECAST.LINEAR(Table9[[#This Row],[Date]],Table9[Units_Sold],Table9[Date])</f>
        <v>99.142727946911776</v>
      </c>
      <c r="H58">
        <f t="shared" si="0"/>
        <v>-3.1427279469117764</v>
      </c>
      <c r="I58" s="8">
        <f t="shared" si="1"/>
        <v>-3.2736749446997671E-2</v>
      </c>
    </row>
    <row r="59" spans="1:9">
      <c r="A59" s="54">
        <v>43715</v>
      </c>
      <c r="B59" t="str">
        <f>TEXT(Table9[[#This Row],[Date]], "mmm")</f>
        <v>Sep</v>
      </c>
      <c r="C59">
        <f>YEAR(Table9[[#This Row],[Date]])</f>
        <v>2019</v>
      </c>
      <c r="D59" t="s">
        <v>12</v>
      </c>
      <c r="E59" s="15">
        <v>127</v>
      </c>
      <c r="F59">
        <v>105774.47325650047</v>
      </c>
      <c r="G59" s="82">
        <f>_xlfn.FORECAST.LINEAR(Table9[[#This Row],[Date]],Table9[Units_Sold],Table9[Date])</f>
        <v>99.143892143568564</v>
      </c>
      <c r="H59">
        <f t="shared" si="0"/>
        <v>27.856107856431436</v>
      </c>
      <c r="I59" s="8">
        <f t="shared" si="1"/>
        <v>0.21933943194040501</v>
      </c>
    </row>
    <row r="60" spans="1:9">
      <c r="A60" s="53">
        <v>43745</v>
      </c>
      <c r="B60" t="str">
        <f>TEXT(Table9[[#This Row],[Date]], "mmm")</f>
        <v>Oct</v>
      </c>
      <c r="C60">
        <f>YEAR(Table9[[#This Row],[Date]])</f>
        <v>2019</v>
      </c>
      <c r="D60" t="s">
        <v>11</v>
      </c>
      <c r="E60" s="14">
        <v>100</v>
      </c>
      <c r="F60">
        <v>66902.251275434071</v>
      </c>
      <c r="G60" s="82">
        <f>_xlfn.FORECAST.LINEAR(Table9[[#This Row],[Date]],Table9[Units_Sold],Table9[Date])</f>
        <v>99.145056340225352</v>
      </c>
      <c r="H60">
        <f t="shared" si="0"/>
        <v>0.85494365977464781</v>
      </c>
      <c r="I60" s="8">
        <f t="shared" si="1"/>
        <v>8.5494365977464779E-3</v>
      </c>
    </row>
    <row r="61" spans="1:9">
      <c r="A61" s="54">
        <v>43775</v>
      </c>
      <c r="B61" t="str">
        <f>TEXT(Table9[[#This Row],[Date]], "mmm")</f>
        <v>Nov</v>
      </c>
      <c r="C61">
        <f>YEAR(Table9[[#This Row],[Date]])</f>
        <v>2019</v>
      </c>
      <c r="D61" t="s">
        <v>10</v>
      </c>
      <c r="E61" s="15">
        <v>93</v>
      </c>
      <c r="F61">
        <v>80799.074094410724</v>
      </c>
      <c r="G61" s="82">
        <f>_xlfn.FORECAST.LINEAR(Table9[[#This Row],[Date]],Table9[Units_Sold],Table9[Date])</f>
        <v>99.14622053688214</v>
      </c>
      <c r="H61">
        <f t="shared" si="0"/>
        <v>-6.1462205368821401</v>
      </c>
      <c r="I61" s="8">
        <f t="shared" si="1"/>
        <v>-6.6088392869700432E-2</v>
      </c>
    </row>
    <row r="62" spans="1:9">
      <c r="A62" s="53">
        <v>43805</v>
      </c>
      <c r="B62" t="str">
        <f>TEXT(Table9[[#This Row],[Date]], "mmm")</f>
        <v>Dec</v>
      </c>
      <c r="C62">
        <f>YEAR(Table9[[#This Row],[Date]])</f>
        <v>2019</v>
      </c>
      <c r="D62" t="s">
        <v>12</v>
      </c>
      <c r="E62" s="14">
        <v>103</v>
      </c>
      <c r="F62">
        <v>97545.821328085513</v>
      </c>
      <c r="G62" s="82">
        <f>_xlfn.FORECAST.LINEAR(Table9[[#This Row],[Date]],Table9[Units_Sold],Table9[Date])</f>
        <v>99.147384733538928</v>
      </c>
      <c r="H62">
        <f t="shared" si="0"/>
        <v>3.852615266461072</v>
      </c>
      <c r="I62" s="8">
        <f t="shared" si="1"/>
        <v>3.740403171321429E-2</v>
      </c>
    </row>
    <row r="63" spans="1:9">
      <c r="A63" s="54">
        <v>43835</v>
      </c>
      <c r="B63" t="str">
        <f>TEXT(Table9[[#This Row],[Date]], "mmm")</f>
        <v>Jan</v>
      </c>
      <c r="C63">
        <f>YEAR(Table9[[#This Row],[Date]])</f>
        <v>2020</v>
      </c>
      <c r="D63" t="s">
        <v>10</v>
      </c>
      <c r="E63" s="15">
        <v>78</v>
      </c>
      <c r="F63">
        <v>101867.44748553302</v>
      </c>
      <c r="G63" s="82">
        <f>_xlfn.FORECAST.LINEAR(Table9[[#This Row],[Date]],Table9[Units_Sold],Table9[Date])</f>
        <v>99.148548930195716</v>
      </c>
      <c r="H63">
        <f t="shared" si="0"/>
        <v>-21.148548930195716</v>
      </c>
      <c r="I63" s="8">
        <f t="shared" si="1"/>
        <v>-0.27113524269481687</v>
      </c>
    </row>
    <row r="64" spans="1:9">
      <c r="A64" s="53">
        <v>43865</v>
      </c>
      <c r="B64" t="str">
        <f>TEXT(Table9[[#This Row],[Date]], "mmm")</f>
        <v>Feb</v>
      </c>
      <c r="C64">
        <f>YEAR(Table9[[#This Row],[Date]])</f>
        <v>2020</v>
      </c>
      <c r="D64" t="s">
        <v>14</v>
      </c>
      <c r="E64" s="14">
        <v>116</v>
      </c>
      <c r="F64">
        <v>77395.925506521526</v>
      </c>
      <c r="G64" s="82">
        <f>_xlfn.FORECAST.LINEAR(Table9[[#This Row],[Date]],Table9[Units_Sold],Table9[Date])</f>
        <v>99.149713126852504</v>
      </c>
      <c r="H64">
        <f t="shared" si="0"/>
        <v>16.850286873147496</v>
      </c>
      <c r="I64" s="8">
        <f t="shared" si="1"/>
        <v>0.14526109373403015</v>
      </c>
    </row>
    <row r="65" spans="1:9">
      <c r="A65" s="54">
        <v>43895</v>
      </c>
      <c r="B65" t="str">
        <f>TEXT(Table9[[#This Row],[Date]], "mmm")</f>
        <v>Mar</v>
      </c>
      <c r="C65">
        <f>YEAR(Table9[[#This Row],[Date]])</f>
        <v>2020</v>
      </c>
      <c r="D65" t="s">
        <v>11</v>
      </c>
      <c r="E65" s="15">
        <v>88</v>
      </c>
      <c r="F65">
        <v>148233.53351156841</v>
      </c>
      <c r="G65" s="82">
        <f>_xlfn.FORECAST.LINEAR(Table9[[#This Row],[Date]],Table9[Units_Sold],Table9[Date])</f>
        <v>99.150877323509292</v>
      </c>
      <c r="H65">
        <f t="shared" si="0"/>
        <v>-11.150877323509292</v>
      </c>
      <c r="I65" s="8">
        <f t="shared" si="1"/>
        <v>-0.12671451503987832</v>
      </c>
    </row>
    <row r="66" spans="1:9">
      <c r="A66" s="53">
        <v>43925</v>
      </c>
      <c r="B66" t="str">
        <f>TEXT(Table9[[#This Row],[Date]], "mmm")</f>
        <v>Apr</v>
      </c>
      <c r="C66">
        <f>YEAR(Table9[[#This Row],[Date]])</f>
        <v>2020</v>
      </c>
      <c r="D66" t="s">
        <v>14</v>
      </c>
      <c r="E66" s="14">
        <v>105</v>
      </c>
      <c r="F66">
        <v>130327.88110507146</v>
      </c>
      <c r="G66" s="82">
        <f>_xlfn.FORECAST.LINEAR(Table9[[#This Row],[Date]],Table9[Units_Sold],Table9[Date])</f>
        <v>99.15204152016608</v>
      </c>
      <c r="H66">
        <f t="shared" ref="H66:H129" si="2">E66-G66</f>
        <v>5.8479584798339204</v>
      </c>
      <c r="I66" s="8">
        <f t="shared" ref="I66:I129" si="3">H66/E66</f>
        <v>5.5694842665084954E-2</v>
      </c>
    </row>
    <row r="67" spans="1:9">
      <c r="A67" s="54">
        <v>43955</v>
      </c>
      <c r="B67" t="str">
        <f>TEXT(Table9[[#This Row],[Date]], "mmm")</f>
        <v>May</v>
      </c>
      <c r="C67">
        <f>YEAR(Table9[[#This Row],[Date]])</f>
        <v>2020</v>
      </c>
      <c r="D67" t="s">
        <v>11</v>
      </c>
      <c r="E67" s="15">
        <v>92</v>
      </c>
      <c r="F67">
        <v>112042.36640784967</v>
      </c>
      <c r="G67" s="82">
        <f>_xlfn.FORECAST.LINEAR(Table9[[#This Row],[Date]],Table9[Units_Sold],Table9[Date])</f>
        <v>99.153205716822868</v>
      </c>
      <c r="H67">
        <f t="shared" si="2"/>
        <v>-7.1532057168228675</v>
      </c>
      <c r="I67" s="8">
        <f t="shared" si="3"/>
        <v>-7.7752236052422471E-2</v>
      </c>
    </row>
    <row r="68" spans="1:9">
      <c r="A68" s="53">
        <v>43985</v>
      </c>
      <c r="B68" t="str">
        <f>TEXT(Table9[[#This Row],[Date]], "mmm")</f>
        <v>Jun</v>
      </c>
      <c r="C68">
        <f>YEAR(Table9[[#This Row],[Date]])</f>
        <v>2020</v>
      </c>
      <c r="D68" t="s">
        <v>12</v>
      </c>
      <c r="E68" s="14">
        <v>96</v>
      </c>
      <c r="F68">
        <v>101440.73722567489</v>
      </c>
      <c r="G68" s="82">
        <f>_xlfn.FORECAST.LINEAR(Table9[[#This Row],[Date]],Table9[Units_Sold],Table9[Date])</f>
        <v>99.154369913479641</v>
      </c>
      <c r="H68">
        <f t="shared" si="2"/>
        <v>-3.1543699134796412</v>
      </c>
      <c r="I68" s="8">
        <f t="shared" si="3"/>
        <v>-3.2858019932079596E-2</v>
      </c>
    </row>
    <row r="69" spans="1:9">
      <c r="A69" s="54">
        <v>44015</v>
      </c>
      <c r="B69" t="str">
        <f>TEXT(Table9[[#This Row],[Date]], "mmm")</f>
        <v>Jul</v>
      </c>
      <c r="C69">
        <f>YEAR(Table9[[#This Row],[Date]])</f>
        <v>2020</v>
      </c>
      <c r="D69" t="s">
        <v>11</v>
      </c>
      <c r="E69" s="15">
        <v>104</v>
      </c>
      <c r="F69">
        <v>95755.820601976971</v>
      </c>
      <c r="G69" s="82">
        <f>_xlfn.FORECAST.LINEAR(Table9[[#This Row],[Date]],Table9[Units_Sold],Table9[Date])</f>
        <v>99.155534110136429</v>
      </c>
      <c r="H69">
        <f t="shared" si="2"/>
        <v>4.8444658898635709</v>
      </c>
      <c r="I69" s="8">
        <f t="shared" si="3"/>
        <v>4.6581402787149721E-2</v>
      </c>
    </row>
    <row r="70" spans="1:9">
      <c r="A70" s="53">
        <v>44045</v>
      </c>
      <c r="B70" t="str">
        <f>TEXT(Table9[[#This Row],[Date]], "mmm")</f>
        <v>Aug</v>
      </c>
      <c r="C70">
        <f>YEAR(Table9[[#This Row],[Date]])</f>
        <v>2020</v>
      </c>
      <c r="D70" t="s">
        <v>11</v>
      </c>
      <c r="E70" s="14">
        <v>84</v>
      </c>
      <c r="F70">
        <v>80961.630799555292</v>
      </c>
      <c r="G70" s="82">
        <f>_xlfn.FORECAST.LINEAR(Table9[[#This Row],[Date]],Table9[Units_Sold],Table9[Date])</f>
        <v>99.156698306793217</v>
      </c>
      <c r="H70">
        <f t="shared" si="2"/>
        <v>-15.156698306793217</v>
      </c>
      <c r="I70" s="8">
        <f t="shared" si="3"/>
        <v>-0.18043688460468116</v>
      </c>
    </row>
    <row r="71" spans="1:9">
      <c r="A71" s="54">
        <v>44075</v>
      </c>
      <c r="B71" t="str">
        <f>TEXT(Table9[[#This Row],[Date]], "mmm")</f>
        <v>Sep</v>
      </c>
      <c r="C71">
        <f>YEAR(Table9[[#This Row],[Date]])</f>
        <v>2020</v>
      </c>
      <c r="D71" t="s">
        <v>12</v>
      </c>
      <c r="E71" s="15">
        <v>95</v>
      </c>
      <c r="F71">
        <v>101549.61037037725</v>
      </c>
      <c r="G71" s="82">
        <f>_xlfn.FORECAST.LINEAR(Table9[[#This Row],[Date]],Table9[Units_Sold],Table9[Date])</f>
        <v>99.157862503450005</v>
      </c>
      <c r="H71">
        <f t="shared" si="2"/>
        <v>-4.157862503450005</v>
      </c>
      <c r="I71" s="8">
        <f t="shared" si="3"/>
        <v>-4.3766973720526368E-2</v>
      </c>
    </row>
    <row r="72" spans="1:9">
      <c r="A72" s="53">
        <v>44105</v>
      </c>
      <c r="B72" t="str">
        <f>TEXT(Table9[[#This Row],[Date]], "mmm")</f>
        <v>Oct</v>
      </c>
      <c r="C72">
        <f>YEAR(Table9[[#This Row],[Date]])</f>
        <v>2020</v>
      </c>
      <c r="D72" t="s">
        <v>11</v>
      </c>
      <c r="E72" s="14">
        <v>105</v>
      </c>
      <c r="F72">
        <v>105155.05080285501</v>
      </c>
      <c r="G72" s="82">
        <f>_xlfn.FORECAST.LINEAR(Table9[[#This Row],[Date]],Table9[Units_Sold],Table9[Date])</f>
        <v>99.159026700106793</v>
      </c>
      <c r="H72">
        <f t="shared" si="2"/>
        <v>5.8409732998932071</v>
      </c>
      <c r="I72" s="8">
        <f t="shared" si="3"/>
        <v>5.5628317141840071E-2</v>
      </c>
    </row>
    <row r="73" spans="1:9">
      <c r="A73" s="54">
        <v>44135</v>
      </c>
      <c r="B73" t="str">
        <f>TEXT(Table9[[#This Row],[Date]], "mmm")</f>
        <v>Oct</v>
      </c>
      <c r="C73">
        <f>YEAR(Table9[[#This Row],[Date]])</f>
        <v>2020</v>
      </c>
      <c r="D73" t="s">
        <v>10</v>
      </c>
      <c r="E73" s="15">
        <v>100</v>
      </c>
      <c r="F73">
        <v>75164.788490367515</v>
      </c>
      <c r="G73" s="82">
        <f>_xlfn.FORECAST.LINEAR(Table9[[#This Row],[Date]],Table9[Units_Sold],Table9[Date])</f>
        <v>99.160190896763581</v>
      </c>
      <c r="H73">
        <f t="shared" si="2"/>
        <v>0.83980910323641922</v>
      </c>
      <c r="I73" s="8">
        <f t="shared" si="3"/>
        <v>8.3980910323641928E-3</v>
      </c>
    </row>
    <row r="74" spans="1:9">
      <c r="A74" s="53">
        <v>44165</v>
      </c>
      <c r="B74" t="str">
        <f>TEXT(Table9[[#This Row],[Date]], "mmm")</f>
        <v>Nov</v>
      </c>
      <c r="C74">
        <f>YEAR(Table9[[#This Row],[Date]])</f>
        <v>2020</v>
      </c>
      <c r="D74" t="s">
        <v>13</v>
      </c>
      <c r="E74" s="14">
        <v>104</v>
      </c>
      <c r="F74">
        <v>106683.52834489795</v>
      </c>
      <c r="G74" s="82">
        <f>_xlfn.FORECAST.LINEAR(Table9[[#This Row],[Date]],Table9[Units_Sold],Table9[Date])</f>
        <v>99.161355093420369</v>
      </c>
      <c r="H74">
        <f t="shared" si="2"/>
        <v>4.8386449065796313</v>
      </c>
      <c r="I74" s="8">
        <f t="shared" si="3"/>
        <v>4.6525431794034913E-2</v>
      </c>
    </row>
    <row r="75" spans="1:9">
      <c r="A75" s="54">
        <v>44195</v>
      </c>
      <c r="B75" t="str">
        <f>TEXT(Table9[[#This Row],[Date]], "mmm")</f>
        <v>Dec</v>
      </c>
      <c r="C75">
        <f>YEAR(Table9[[#This Row],[Date]])</f>
        <v>2020</v>
      </c>
      <c r="D75" t="s">
        <v>12</v>
      </c>
      <c r="E75" s="15">
        <v>106</v>
      </c>
      <c r="F75">
        <v>96894.819023505028</v>
      </c>
      <c r="G75" s="82">
        <f>_xlfn.FORECAST.LINEAR(Table9[[#This Row],[Date]],Table9[Units_Sold],Table9[Date])</f>
        <v>99.162519290077157</v>
      </c>
      <c r="H75">
        <f t="shared" si="2"/>
        <v>6.8374807099228434</v>
      </c>
      <c r="I75" s="8">
        <f t="shared" si="3"/>
        <v>6.4504534999272112E-2</v>
      </c>
    </row>
    <row r="76" spans="1:9">
      <c r="A76" s="53">
        <v>44225</v>
      </c>
      <c r="B76" t="str">
        <f>TEXT(Table9[[#This Row],[Date]], "mmm")</f>
        <v>Jan</v>
      </c>
      <c r="C76">
        <f>YEAR(Table9[[#This Row],[Date]])</f>
        <v>2021</v>
      </c>
      <c r="D76" t="s">
        <v>13</v>
      </c>
      <c r="E76" s="14">
        <v>120</v>
      </c>
      <c r="F76">
        <v>61843.848842452178</v>
      </c>
      <c r="G76" s="82">
        <f>_xlfn.FORECAST.LINEAR(Table9[[#This Row],[Date]],Table9[Units_Sold],Table9[Date])</f>
        <v>99.163683486733945</v>
      </c>
      <c r="H76">
        <f t="shared" si="2"/>
        <v>20.836316513266055</v>
      </c>
      <c r="I76" s="8">
        <f t="shared" si="3"/>
        <v>0.17363597094388381</v>
      </c>
    </row>
    <row r="77" spans="1:9">
      <c r="A77" s="54">
        <v>44255</v>
      </c>
      <c r="B77" t="str">
        <f>TEXT(Table9[[#This Row],[Date]], "mmm")</f>
        <v>Feb</v>
      </c>
      <c r="C77">
        <f>YEAR(Table9[[#This Row],[Date]])</f>
        <v>2021</v>
      </c>
      <c r="D77" t="s">
        <v>12</v>
      </c>
      <c r="E77" s="15">
        <f>IF(ISBLANK(E30), S31, E30)</f>
        <v>106</v>
      </c>
      <c r="F77">
        <v>82792.299784409959</v>
      </c>
      <c r="G77" s="82">
        <f>_xlfn.FORECAST.LINEAR(Table9[[#This Row],[Date]],Table9[Units_Sold],Table9[Date])</f>
        <v>99.164847683390732</v>
      </c>
      <c r="H77">
        <f t="shared" si="2"/>
        <v>6.8351523166092676</v>
      </c>
      <c r="I77" s="8">
        <f t="shared" si="3"/>
        <v>6.448256902461573E-2</v>
      </c>
    </row>
    <row r="78" spans="1:9">
      <c r="A78" s="53">
        <v>44285</v>
      </c>
      <c r="B78" t="str">
        <f>TEXT(Table9[[#This Row],[Date]], "mmm")</f>
        <v>Mar</v>
      </c>
      <c r="C78">
        <f>YEAR(Table9[[#This Row],[Date]])</f>
        <v>2021</v>
      </c>
      <c r="D78" t="s">
        <v>12</v>
      </c>
      <c r="E78" s="14">
        <v>118</v>
      </c>
      <c r="F78">
        <v>91727.889331567116</v>
      </c>
      <c r="G78" s="82">
        <f>_xlfn.FORECAST.LINEAR(Table9[[#This Row],[Date]],Table9[Units_Sold],Table9[Date])</f>
        <v>99.16601188004752</v>
      </c>
      <c r="H78">
        <f t="shared" si="2"/>
        <v>18.83398811995248</v>
      </c>
      <c r="I78" s="8">
        <f t="shared" si="3"/>
        <v>0.15961006881315662</v>
      </c>
    </row>
    <row r="79" spans="1:9">
      <c r="A79" s="54">
        <v>44315</v>
      </c>
      <c r="B79" t="str">
        <f>TEXT(Table9[[#This Row],[Date]], "mmm")</f>
        <v>Apr</v>
      </c>
      <c r="C79">
        <f>YEAR(Table9[[#This Row],[Date]])</f>
        <v>2021</v>
      </c>
      <c r="D79" t="s">
        <v>14</v>
      </c>
      <c r="E79" s="15">
        <v>92</v>
      </c>
      <c r="F79">
        <v>137753.75314680382</v>
      </c>
      <c r="G79" s="82">
        <f>_xlfn.FORECAST.LINEAR(Table9[[#This Row],[Date]],Table9[Units_Sold],Table9[Date])</f>
        <v>99.167176076704294</v>
      </c>
      <c r="H79">
        <f t="shared" si="2"/>
        <v>-7.167176076704294</v>
      </c>
      <c r="I79" s="8">
        <f t="shared" si="3"/>
        <v>-7.7904087790264059E-2</v>
      </c>
    </row>
    <row r="80" spans="1:9">
      <c r="A80" s="53">
        <v>44345</v>
      </c>
      <c r="B80" t="str">
        <f>TEXT(Table9[[#This Row],[Date]], "mmm")</f>
        <v>May</v>
      </c>
      <c r="C80">
        <f>YEAR(Table9[[#This Row],[Date]])</f>
        <v>2021</v>
      </c>
      <c r="D80" t="s">
        <v>14</v>
      </c>
      <c r="E80" s="14">
        <v>110</v>
      </c>
      <c r="F80">
        <v>111131.06249067516</v>
      </c>
      <c r="G80" s="82">
        <f>_xlfn.FORECAST.LINEAR(Table9[[#This Row],[Date]],Table9[Units_Sold],Table9[Date])</f>
        <v>99.168340273361082</v>
      </c>
      <c r="H80">
        <f t="shared" si="2"/>
        <v>10.831659726638918</v>
      </c>
      <c r="I80" s="8">
        <f t="shared" si="3"/>
        <v>9.846963387853562E-2</v>
      </c>
    </row>
    <row r="81" spans="1:9">
      <c r="A81" s="54">
        <v>44375</v>
      </c>
      <c r="B81" t="str">
        <f>TEXT(Table9[[#This Row],[Date]], "mmm")</f>
        <v>Jun</v>
      </c>
      <c r="C81">
        <f>YEAR(Table9[[#This Row],[Date]])</f>
        <v>2021</v>
      </c>
      <c r="D81" t="s">
        <v>11</v>
      </c>
      <c r="E81" s="15">
        <v>101</v>
      </c>
      <c r="F81">
        <v>73290.368618002176</v>
      </c>
      <c r="G81" s="82">
        <f>_xlfn.FORECAST.LINEAR(Table9[[#This Row],[Date]],Table9[Units_Sold],Table9[Date])</f>
        <v>99.16950447001787</v>
      </c>
      <c r="H81">
        <f t="shared" si="2"/>
        <v>1.8304955299821302</v>
      </c>
      <c r="I81" s="8">
        <f t="shared" si="3"/>
        <v>1.8123718118634953E-2</v>
      </c>
    </row>
    <row r="82" spans="1:9">
      <c r="A82" s="53">
        <v>44405</v>
      </c>
      <c r="B82" t="str">
        <f>TEXT(Table9[[#This Row],[Date]], "mmm")</f>
        <v>Jul</v>
      </c>
      <c r="C82">
        <f>YEAR(Table9[[#This Row],[Date]])</f>
        <v>2021</v>
      </c>
      <c r="D82" t="s">
        <v>13</v>
      </c>
      <c r="E82" s="14">
        <v>84</v>
      </c>
      <c r="F82">
        <v>109720.72578835273</v>
      </c>
      <c r="G82" s="82">
        <f>_xlfn.FORECAST.LINEAR(Table9[[#This Row],[Date]],Table9[Units_Sold],Table9[Date])</f>
        <v>99.170668666674658</v>
      </c>
      <c r="H82">
        <f t="shared" si="2"/>
        <v>-15.170668666674658</v>
      </c>
      <c r="I82" s="8">
        <f t="shared" si="3"/>
        <v>-0.18060319841279354</v>
      </c>
    </row>
    <row r="83" spans="1:9">
      <c r="A83" s="54">
        <v>44435</v>
      </c>
      <c r="B83" t="str">
        <f>TEXT(Table9[[#This Row],[Date]], "mmm")</f>
        <v>Aug</v>
      </c>
      <c r="C83">
        <f>YEAR(Table9[[#This Row],[Date]])</f>
        <v>2021</v>
      </c>
      <c r="D83" t="s">
        <v>12</v>
      </c>
      <c r="E83" s="15">
        <v>115</v>
      </c>
      <c r="F83">
        <v>69053.920221232693</v>
      </c>
      <c r="G83" s="82">
        <f>_xlfn.FORECAST.LINEAR(Table9[[#This Row],[Date]],Table9[Units_Sold],Table9[Date])</f>
        <v>99.171832863331446</v>
      </c>
      <c r="H83">
        <f t="shared" si="2"/>
        <v>15.828167136668554</v>
      </c>
      <c r="I83" s="8">
        <f t="shared" si="3"/>
        <v>0.13763623597103092</v>
      </c>
    </row>
    <row r="84" spans="1:9">
      <c r="A84" s="53">
        <v>44465</v>
      </c>
      <c r="B84" t="str">
        <f>TEXT(Table9[[#This Row],[Date]], "mmm")</f>
        <v>Sep</v>
      </c>
      <c r="C84">
        <f>YEAR(Table9[[#This Row],[Date]])</f>
        <v>2021</v>
      </c>
      <c r="D84" t="s">
        <v>11</v>
      </c>
      <c r="E84" s="14">
        <v>95</v>
      </c>
      <c r="F84">
        <v>121653.82107774146</v>
      </c>
      <c r="G84" s="82">
        <f>_xlfn.FORECAST.LINEAR(Table9[[#This Row],[Date]],Table9[Units_Sold],Table9[Date])</f>
        <v>99.172997059988234</v>
      </c>
      <c r="H84">
        <f t="shared" si="2"/>
        <v>-4.1729970599882336</v>
      </c>
      <c r="I84" s="8">
        <f t="shared" si="3"/>
        <v>-4.3926284841981404E-2</v>
      </c>
    </row>
    <row r="85" spans="1:9">
      <c r="A85" s="54">
        <v>44495</v>
      </c>
      <c r="B85" t="str">
        <f>TEXT(Table9[[#This Row],[Date]], "mmm")</f>
        <v>Oct</v>
      </c>
      <c r="C85">
        <f>YEAR(Table9[[#This Row],[Date]])</f>
        <v>2021</v>
      </c>
      <c r="D85" t="s">
        <v>10</v>
      </c>
      <c r="E85" s="15">
        <v>114</v>
      </c>
      <c r="F85">
        <v>90577.50696364243</v>
      </c>
      <c r="G85" s="82">
        <f>_xlfn.FORECAST.LINEAR(Table9[[#This Row],[Date]],Table9[Units_Sold],Table9[Date])</f>
        <v>99.174161256645021</v>
      </c>
      <c r="H85">
        <f t="shared" si="2"/>
        <v>14.825838743354979</v>
      </c>
      <c r="I85" s="8">
        <f t="shared" si="3"/>
        <v>0.13005121704697351</v>
      </c>
    </row>
    <row r="86" spans="1:9">
      <c r="A86" s="53">
        <v>44525</v>
      </c>
      <c r="B86" t="str">
        <f>TEXT(Table9[[#This Row],[Date]], "mmm")</f>
        <v>Nov</v>
      </c>
      <c r="C86">
        <f>YEAR(Table9[[#This Row],[Date]])</f>
        <v>2021</v>
      </c>
      <c r="D86" t="s">
        <v>12</v>
      </c>
      <c r="E86" s="14">
        <v>104</v>
      </c>
      <c r="F86">
        <v>98127.276225216585</v>
      </c>
      <c r="G86" s="82">
        <f>_xlfn.FORECAST.LINEAR(Table9[[#This Row],[Date]],Table9[Units_Sold],Table9[Date])</f>
        <v>99.175325453301809</v>
      </c>
      <c r="H86">
        <f t="shared" si="2"/>
        <v>4.8246745466981906</v>
      </c>
      <c r="I86" s="8">
        <f t="shared" si="3"/>
        <v>4.6391101410559528E-2</v>
      </c>
    </row>
    <row r="87" spans="1:9">
      <c r="A87" s="54">
        <v>44555</v>
      </c>
      <c r="B87" t="str">
        <f>TEXT(Table9[[#This Row],[Date]], "mmm")</f>
        <v>Dec</v>
      </c>
      <c r="C87">
        <f>YEAR(Table9[[#This Row],[Date]])</f>
        <v>2021</v>
      </c>
      <c r="D87" t="s">
        <v>10</v>
      </c>
      <c r="E87" s="15">
        <v>89</v>
      </c>
      <c r="F87">
        <v>126515.93295084379</v>
      </c>
      <c r="G87" s="82">
        <f>_xlfn.FORECAST.LINEAR(Table9[[#This Row],[Date]],Table9[Units_Sold],Table9[Date])</f>
        <v>99.176489649958597</v>
      </c>
      <c r="H87">
        <f t="shared" si="2"/>
        <v>-10.176489649958597</v>
      </c>
      <c r="I87" s="8">
        <f t="shared" si="3"/>
        <v>-0.11434258033661346</v>
      </c>
    </row>
    <row r="88" spans="1:9">
      <c r="A88" s="53">
        <v>44585</v>
      </c>
      <c r="B88" t="str">
        <f>TEXT(Table9[[#This Row],[Date]], "mmm")</f>
        <v>Jan</v>
      </c>
      <c r="C88">
        <f>YEAR(Table9[[#This Row],[Date]])</f>
        <v>2022</v>
      </c>
      <c r="D88" t="s">
        <v>11</v>
      </c>
      <c r="E88" s="14">
        <f>IF(ISBLANK(E41), S42, E41)</f>
        <v>101</v>
      </c>
      <c r="F88">
        <v>74256.728628315002</v>
      </c>
      <c r="G88" s="82">
        <f>_xlfn.FORECAST.LINEAR(Table9[[#This Row],[Date]],Table9[Units_Sold],Table9[Date])</f>
        <v>99.177653846615385</v>
      </c>
      <c r="H88">
        <f t="shared" si="2"/>
        <v>1.8223461533846148</v>
      </c>
      <c r="I88" s="8">
        <f t="shared" si="3"/>
        <v>1.8043031221629851E-2</v>
      </c>
    </row>
    <row r="89" spans="1:9">
      <c r="A89" s="54">
        <v>44615</v>
      </c>
      <c r="B89" t="str">
        <f>TEXT(Table9[[#This Row],[Date]], "mmm")</f>
        <v>Feb</v>
      </c>
      <c r="C89">
        <f>YEAR(Table9[[#This Row],[Date]])</f>
        <v>2022</v>
      </c>
      <c r="D89" t="s">
        <v>14</v>
      </c>
      <c r="E89" s="15">
        <v>85</v>
      </c>
      <c r="F89">
        <v>72057.636297740173</v>
      </c>
      <c r="G89" s="82">
        <f>_xlfn.FORECAST.LINEAR(Table9[[#This Row],[Date]],Table9[Units_Sold],Table9[Date])</f>
        <v>99.178818043272173</v>
      </c>
      <c r="H89">
        <f t="shared" si="2"/>
        <v>-14.178818043272173</v>
      </c>
      <c r="I89" s="8">
        <f t="shared" si="3"/>
        <v>-0.16680962403849614</v>
      </c>
    </row>
    <row r="90" spans="1:9">
      <c r="A90" s="53">
        <v>44645</v>
      </c>
      <c r="B90" t="str">
        <f>TEXT(Table9[[#This Row],[Date]], "mmm")</f>
        <v>Mar</v>
      </c>
      <c r="C90">
        <f>YEAR(Table9[[#This Row],[Date]])</f>
        <v>2022</v>
      </c>
      <c r="D90" t="s">
        <v>11</v>
      </c>
      <c r="E90" s="14">
        <v>101</v>
      </c>
      <c r="F90">
        <v>88328.013473079904</v>
      </c>
      <c r="G90" s="82">
        <f>_xlfn.FORECAST.LINEAR(Table9[[#This Row],[Date]],Table9[Units_Sold],Table9[Date])</f>
        <v>99.179982239928947</v>
      </c>
      <c r="H90">
        <f t="shared" si="2"/>
        <v>1.8200177600710532</v>
      </c>
      <c r="I90" s="8">
        <f t="shared" si="3"/>
        <v>1.8019977822485676E-2</v>
      </c>
    </row>
    <row r="91" spans="1:9">
      <c r="A91" s="54">
        <v>44675</v>
      </c>
      <c r="B91" t="str">
        <f>TEXT(Table9[[#This Row],[Date]], "mmm")</f>
        <v>Apr</v>
      </c>
      <c r="C91">
        <f>YEAR(Table9[[#This Row],[Date]])</f>
        <v>2022</v>
      </c>
      <c r="D91" t="s">
        <v>10</v>
      </c>
      <c r="E91" s="15">
        <v>104</v>
      </c>
      <c r="F91">
        <v>120767.57702038634</v>
      </c>
      <c r="G91" s="82">
        <f>_xlfn.FORECAST.LINEAR(Table9[[#This Row],[Date]],Table9[Units_Sold],Table9[Date])</f>
        <v>99.181146436585735</v>
      </c>
      <c r="H91">
        <f t="shared" si="2"/>
        <v>4.8188535634142653</v>
      </c>
      <c r="I91" s="8">
        <f t="shared" si="3"/>
        <v>4.6335130417444859E-2</v>
      </c>
    </row>
    <row r="92" spans="1:9">
      <c r="A92" s="53">
        <v>44705</v>
      </c>
      <c r="B92" t="str">
        <f>TEXT(Table9[[#This Row],[Date]], "mmm")</f>
        <v>May</v>
      </c>
      <c r="C92">
        <f>YEAR(Table9[[#This Row],[Date]])</f>
        <v>2022</v>
      </c>
      <c r="D92" t="s">
        <v>12</v>
      </c>
      <c r="E92" s="14">
        <v>106</v>
      </c>
      <c r="F92">
        <v>69613.078490463144</v>
      </c>
      <c r="G92" s="82">
        <f>_xlfn.FORECAST.LINEAR(Table9[[#This Row],[Date]],Table9[Units_Sold],Table9[Date])</f>
        <v>99.182310633242523</v>
      </c>
      <c r="H92">
        <f t="shared" si="2"/>
        <v>6.8176893667574774</v>
      </c>
      <c r="I92" s="8">
        <f t="shared" si="3"/>
        <v>6.4317824214693189E-2</v>
      </c>
    </row>
    <row r="93" spans="1:9">
      <c r="A93" s="54">
        <v>44735</v>
      </c>
      <c r="B93" t="str">
        <f>TEXT(Table9[[#This Row],[Date]], "mmm")</f>
        <v>Jun</v>
      </c>
      <c r="C93">
        <f>YEAR(Table9[[#This Row],[Date]])</f>
        <v>2022</v>
      </c>
      <c r="D93" t="s">
        <v>13</v>
      </c>
      <c r="E93" s="15">
        <v>95</v>
      </c>
      <c r="F93">
        <v>43356.888037788623</v>
      </c>
      <c r="G93" s="82">
        <f>_xlfn.FORECAST.LINEAR(Table9[[#This Row],[Date]],Table9[Units_Sold],Table9[Date])</f>
        <v>99.183474829899311</v>
      </c>
      <c r="H93">
        <f t="shared" si="2"/>
        <v>-4.1834748298993105</v>
      </c>
      <c r="I93" s="8">
        <f t="shared" si="3"/>
        <v>-4.4036577156834851E-2</v>
      </c>
    </row>
    <row r="94" spans="1:9">
      <c r="A94" s="53">
        <v>44765</v>
      </c>
      <c r="B94" t="str">
        <f>TEXT(Table9[[#This Row],[Date]], "mmm")</f>
        <v>Jul</v>
      </c>
      <c r="C94">
        <f>YEAR(Table9[[#This Row],[Date]])</f>
        <v>2022</v>
      </c>
      <c r="D94" t="s">
        <v>11</v>
      </c>
      <c r="E94" s="14">
        <v>104</v>
      </c>
      <c r="F94">
        <v>90976.822831820027</v>
      </c>
      <c r="G94" s="82">
        <f>_xlfn.FORECAST.LINEAR(Table9[[#This Row],[Date]],Table9[Units_Sold],Table9[Date])</f>
        <v>99.184639026556098</v>
      </c>
      <c r="H94">
        <f t="shared" si="2"/>
        <v>4.8153609734439016</v>
      </c>
      <c r="I94" s="8">
        <f t="shared" si="3"/>
        <v>4.6301547821575979E-2</v>
      </c>
    </row>
    <row r="95" spans="1:9">
      <c r="A95" s="54">
        <v>44795</v>
      </c>
      <c r="B95" t="str">
        <f>TEXT(Table9[[#This Row],[Date]], "mmm")</f>
        <v>Aug</v>
      </c>
      <c r="C95">
        <f>YEAR(Table9[[#This Row],[Date]])</f>
        <v>2022</v>
      </c>
      <c r="D95" t="s">
        <v>12</v>
      </c>
      <c r="E95" s="15">
        <v>105</v>
      </c>
      <c r="F95">
        <f>IF(ISBLANK(F86), K97, F86)</f>
        <v>98127.276225216585</v>
      </c>
      <c r="G95" s="82">
        <f>_xlfn.FORECAST.LINEAR(Table9[[#This Row],[Date]],Table9[Units_Sold],Table9[Date])</f>
        <v>99.185803223212886</v>
      </c>
      <c r="H95">
        <f t="shared" si="2"/>
        <v>5.8141967767871137</v>
      </c>
      <c r="I95" s="8">
        <f t="shared" si="3"/>
        <v>5.5373302636067746E-2</v>
      </c>
    </row>
    <row r="96" spans="1:9">
      <c r="A96" s="53">
        <v>44825</v>
      </c>
      <c r="B96" t="str">
        <f>TEXT(Table9[[#This Row],[Date]], "mmm")</f>
        <v>Sep</v>
      </c>
      <c r="C96">
        <f>YEAR(Table9[[#This Row],[Date]])</f>
        <v>2022</v>
      </c>
      <c r="D96" t="s">
        <v>14</v>
      </c>
      <c r="E96" s="14">
        <v>84</v>
      </c>
      <c r="F96">
        <v>124005.23499477659</v>
      </c>
      <c r="G96" s="82">
        <f>_xlfn.FORECAST.LINEAR(Table9[[#This Row],[Date]],Table9[Units_Sold],Table9[Date])</f>
        <v>99.186967419869674</v>
      </c>
      <c r="H96">
        <f t="shared" si="2"/>
        <v>-15.186967419869674</v>
      </c>
      <c r="I96" s="8">
        <f t="shared" si="3"/>
        <v>-0.18079723118892468</v>
      </c>
    </row>
    <row r="97" spans="1:9">
      <c r="A97" s="54">
        <v>44855</v>
      </c>
      <c r="B97" t="str">
        <f>TEXT(Table9[[#This Row],[Date]], "mmm")</f>
        <v>Oct</v>
      </c>
      <c r="C97">
        <f>YEAR(Table9[[#This Row],[Date]])</f>
        <v>2022</v>
      </c>
      <c r="D97" t="s">
        <v>14</v>
      </c>
      <c r="E97" s="15">
        <v>93</v>
      </c>
      <c r="F97">
        <v>90736.77275829202</v>
      </c>
      <c r="G97" s="82">
        <f>_xlfn.FORECAST.LINEAR(Table9[[#This Row],[Date]],Table9[Units_Sold],Table9[Date])</f>
        <v>99.188131616526462</v>
      </c>
      <c r="H97">
        <f t="shared" si="2"/>
        <v>-6.1881316165264622</v>
      </c>
      <c r="I97" s="8">
        <f t="shared" si="3"/>
        <v>-6.6539049640069486E-2</v>
      </c>
    </row>
    <row r="98" spans="1:9">
      <c r="A98" s="53">
        <v>44885</v>
      </c>
      <c r="B98" t="str">
        <f>TEXT(Table9[[#This Row],[Date]], "mmm")</f>
        <v>Nov</v>
      </c>
      <c r="C98">
        <f>YEAR(Table9[[#This Row],[Date]])</f>
        <v>2022</v>
      </c>
      <c r="D98" t="s">
        <v>14</v>
      </c>
      <c r="E98" s="14">
        <v>115</v>
      </c>
      <c r="F98">
        <v>91771.467857679949</v>
      </c>
      <c r="G98" s="82">
        <f>_xlfn.FORECAST.LINEAR(Table9[[#This Row],[Date]],Table9[Units_Sold],Table9[Date])</f>
        <v>99.18929581318325</v>
      </c>
      <c r="H98">
        <f t="shared" si="2"/>
        <v>15.81070418681675</v>
      </c>
      <c r="I98" s="8">
        <f t="shared" si="3"/>
        <v>0.13748438423318912</v>
      </c>
    </row>
    <row r="99" spans="1:9">
      <c r="A99" s="54">
        <v>44915</v>
      </c>
      <c r="B99" t="str">
        <f>TEXT(Table9[[#This Row],[Date]], "mmm")</f>
        <v>Dec</v>
      </c>
      <c r="C99">
        <f>YEAR(Table9[[#This Row],[Date]])</f>
        <v>2022</v>
      </c>
      <c r="D99" t="s">
        <v>12</v>
      </c>
      <c r="E99" s="15">
        <v>109</v>
      </c>
      <c r="F99">
        <v>123078.01468511495</v>
      </c>
      <c r="G99" s="82">
        <f>_xlfn.FORECAST.LINEAR(Table9[[#This Row],[Date]],Table9[Units_Sold],Table9[Date])</f>
        <v>99.190460009840038</v>
      </c>
      <c r="H99">
        <f t="shared" si="2"/>
        <v>9.809539990159962</v>
      </c>
      <c r="I99" s="8">
        <f t="shared" si="3"/>
        <v>8.9995779726238179E-2</v>
      </c>
    </row>
    <row r="100" spans="1:9">
      <c r="A100" s="53">
        <v>44945</v>
      </c>
      <c r="B100" t="str">
        <f>TEXT(Table9[[#This Row],[Date]], "mmm")</f>
        <v>Jan</v>
      </c>
      <c r="C100">
        <f>YEAR(Table9[[#This Row],[Date]])</f>
        <v>2023</v>
      </c>
      <c r="D100" t="s">
        <v>11</v>
      </c>
      <c r="E100" s="14">
        <v>102</v>
      </c>
      <c r="F100">
        <v>62605.166006091589</v>
      </c>
      <c r="G100" s="82">
        <f>_xlfn.FORECAST.LINEAR(Table9[[#This Row],[Date]],Table9[Units_Sold],Table9[Date])</f>
        <v>99.191624206496826</v>
      </c>
      <c r="H100">
        <f t="shared" si="2"/>
        <v>2.8083757935031741</v>
      </c>
      <c r="I100" s="8">
        <f t="shared" si="3"/>
        <v>2.7533096014737E-2</v>
      </c>
    </row>
    <row r="101" spans="1:9">
      <c r="A101" s="54">
        <v>44975</v>
      </c>
      <c r="B101" t="str">
        <f>TEXT(Table9[[#This Row],[Date]], "mmm")</f>
        <v>Feb</v>
      </c>
      <c r="C101">
        <f>YEAR(Table9[[#This Row],[Date]])</f>
        <v>2023</v>
      </c>
      <c r="D101" t="s">
        <v>12</v>
      </c>
      <c r="E101" s="15">
        <v>100</v>
      </c>
      <c r="F101">
        <v>92229.584496339812</v>
      </c>
      <c r="G101" s="82">
        <f>_xlfn.FORECAST.LINEAR(Table9[[#This Row],[Date]],Table9[Units_Sold],Table9[Date])</f>
        <v>99.1927884031536</v>
      </c>
      <c r="H101">
        <f t="shared" si="2"/>
        <v>0.80721159684640043</v>
      </c>
      <c r="I101" s="8">
        <f t="shared" si="3"/>
        <v>8.0721159684640047E-3</v>
      </c>
    </row>
    <row r="102" spans="1:9">
      <c r="A102" s="53">
        <v>45005</v>
      </c>
      <c r="B102" t="str">
        <f>TEXT(Table9[[#This Row],[Date]], "mmm")</f>
        <v>Mar</v>
      </c>
      <c r="C102">
        <f>YEAR(Table9[[#This Row],[Date]])</f>
        <v>2023</v>
      </c>
      <c r="D102" t="s">
        <v>12</v>
      </c>
      <c r="E102" s="14">
        <v>93</v>
      </c>
      <c r="F102">
        <v>103808.47779850116</v>
      </c>
      <c r="G102" s="82">
        <f>_xlfn.FORECAST.LINEAR(Table9[[#This Row],[Date]],Table9[Units_Sold],Table9[Date])</f>
        <v>99.193952599810387</v>
      </c>
      <c r="H102">
        <f t="shared" si="2"/>
        <v>-6.1939525998103875</v>
      </c>
      <c r="I102" s="8">
        <f t="shared" si="3"/>
        <v>-6.6601640858176214E-2</v>
      </c>
    </row>
    <row r="103" spans="1:9">
      <c r="A103" s="54">
        <v>45035</v>
      </c>
      <c r="B103" t="str">
        <f>TEXT(Table9[[#This Row],[Date]], "mmm")</f>
        <v>Apr</v>
      </c>
      <c r="C103">
        <f>YEAR(Table9[[#This Row],[Date]])</f>
        <v>2023</v>
      </c>
      <c r="D103" t="s">
        <v>13</v>
      </c>
      <c r="E103" s="15">
        <f>IF(ISBLANK(E56), S57, E56)</f>
        <v>121</v>
      </c>
      <c r="F103">
        <v>108984.37442570069</v>
      </c>
      <c r="G103" s="82">
        <f>_xlfn.FORECAST.LINEAR(Table9[[#This Row],[Date]],Table9[Units_Sold],Table9[Date])</f>
        <v>99.195116796467175</v>
      </c>
      <c r="H103">
        <f t="shared" si="2"/>
        <v>21.804883203532825</v>
      </c>
      <c r="I103" s="8">
        <f t="shared" si="3"/>
        <v>0.18020564631018862</v>
      </c>
    </row>
    <row r="104" spans="1:9">
      <c r="A104" s="53">
        <v>45065</v>
      </c>
      <c r="B104" t="str">
        <f>TEXT(Table9[[#This Row],[Date]], "mmm")</f>
        <v>May</v>
      </c>
      <c r="C104">
        <f>YEAR(Table9[[#This Row],[Date]])</f>
        <v>2023</v>
      </c>
      <c r="D104" t="s">
        <v>13</v>
      </c>
      <c r="E104" s="14">
        <v>117</v>
      </c>
      <c r="F104">
        <v>100873.2838</v>
      </c>
      <c r="G104" s="82">
        <f>_xlfn.FORECAST.LINEAR(Table9[[#This Row],[Date]],Table9[Units_Sold],Table9[Date])</f>
        <v>99.196280993123963</v>
      </c>
      <c r="H104">
        <f t="shared" si="2"/>
        <v>17.803719006876037</v>
      </c>
      <c r="I104" s="8">
        <f t="shared" si="3"/>
        <v>0.15216853852030801</v>
      </c>
    </row>
    <row r="105" spans="1:9">
      <c r="A105" s="54">
        <v>45095</v>
      </c>
      <c r="B105" t="str">
        <f>TEXT(Table9[[#This Row],[Date]], "mmm")</f>
        <v>Jun</v>
      </c>
      <c r="C105">
        <f>YEAR(Table9[[#This Row],[Date]])</f>
        <v>2023</v>
      </c>
      <c r="D105" t="s">
        <v>11</v>
      </c>
      <c r="E105" s="15">
        <v>98</v>
      </c>
      <c r="F105">
        <v>100688.82023411682</v>
      </c>
      <c r="G105" s="82">
        <f>_xlfn.FORECAST.LINEAR(Table9[[#This Row],[Date]],Table9[Units_Sold],Table9[Date])</f>
        <v>99.197445189780751</v>
      </c>
      <c r="H105">
        <f t="shared" si="2"/>
        <v>-1.1974451897807512</v>
      </c>
      <c r="I105" s="8">
        <f t="shared" si="3"/>
        <v>-1.2218828467150522E-2</v>
      </c>
    </row>
    <row r="106" spans="1:9">
      <c r="A106" s="53">
        <v>45125</v>
      </c>
      <c r="B106" t="str">
        <f>TEXT(Table9[[#This Row],[Date]], "mmm")</f>
        <v>Jul</v>
      </c>
      <c r="C106">
        <f>YEAR(Table9[[#This Row],[Date]])</f>
        <v>2023</v>
      </c>
      <c r="D106" t="s">
        <v>13</v>
      </c>
      <c r="E106" s="14">
        <v>94</v>
      </c>
      <c r="F106">
        <v>50233.452931740212</v>
      </c>
      <c r="G106" s="82">
        <f>_xlfn.FORECAST.LINEAR(Table9[[#This Row],[Date]],Table9[Units_Sold],Table9[Date])</f>
        <v>99.198609386437539</v>
      </c>
      <c r="H106">
        <f t="shared" si="2"/>
        <v>-5.1986093864375391</v>
      </c>
      <c r="I106" s="8">
        <f t="shared" si="3"/>
        <v>-5.5304355174867439E-2</v>
      </c>
    </row>
    <row r="107" spans="1:9">
      <c r="A107" s="54">
        <v>45155</v>
      </c>
      <c r="B107" t="str">
        <f>TEXT(Table9[[#This Row],[Date]], "mmm")</f>
        <v>Aug</v>
      </c>
      <c r="C107">
        <f>YEAR(Table9[[#This Row],[Date]])</f>
        <v>2023</v>
      </c>
      <c r="D107" t="s">
        <v>14</v>
      </c>
      <c r="E107" s="15">
        <v>112</v>
      </c>
      <c r="F107">
        <v>86835.031753323041</v>
      </c>
      <c r="G107" s="82">
        <f>_xlfn.FORECAST.LINEAR(Table9[[#This Row],[Date]],Table9[Units_Sold],Table9[Date])</f>
        <v>99.199773583094327</v>
      </c>
      <c r="H107">
        <f t="shared" si="2"/>
        <v>12.800226416905673</v>
      </c>
      <c r="I107" s="8">
        <f t="shared" si="3"/>
        <v>0.11428773586522922</v>
      </c>
    </row>
    <row r="108" spans="1:9">
      <c r="A108" s="53">
        <v>45185</v>
      </c>
      <c r="B108" t="str">
        <f>TEXT(Table9[[#This Row],[Date]], "mmm")</f>
        <v>Sep</v>
      </c>
      <c r="C108">
        <f>YEAR(Table9[[#This Row],[Date]])</f>
        <v>2023</v>
      </c>
      <c r="D108" t="s">
        <v>13</v>
      </c>
      <c r="E108" s="14">
        <v>89</v>
      </c>
      <c r="F108">
        <v>109070.17425108935</v>
      </c>
      <c r="G108" s="82">
        <f>_xlfn.FORECAST.LINEAR(Table9[[#This Row],[Date]],Table9[Units_Sold],Table9[Date])</f>
        <v>99.200937779751115</v>
      </c>
      <c r="H108">
        <f t="shared" si="2"/>
        <v>-10.200937779751115</v>
      </c>
      <c r="I108" s="8">
        <f t="shared" si="3"/>
        <v>-0.11461727842416983</v>
      </c>
    </row>
    <row r="109" spans="1:9">
      <c r="A109" s="54">
        <v>45215</v>
      </c>
      <c r="B109" t="str">
        <f>TEXT(Table9[[#This Row],[Date]], "mmm")</f>
        <v>Oct</v>
      </c>
      <c r="C109">
        <f>YEAR(Table9[[#This Row],[Date]])</f>
        <v>2023</v>
      </c>
      <c r="D109" t="s">
        <v>14</v>
      </c>
      <c r="E109" s="15">
        <v>119</v>
      </c>
      <c r="F109">
        <v>80354.119314906406</v>
      </c>
      <c r="G109" s="82">
        <f>_xlfn.FORECAST.LINEAR(Table9[[#This Row],[Date]],Table9[Units_Sold],Table9[Date])</f>
        <v>99.202101976407903</v>
      </c>
      <c r="H109">
        <f t="shared" si="2"/>
        <v>19.797898023592097</v>
      </c>
      <c r="I109" s="8">
        <f t="shared" si="3"/>
        <v>0.16636889095455543</v>
      </c>
    </row>
    <row r="110" spans="1:9">
      <c r="A110" s="53">
        <v>45245</v>
      </c>
      <c r="B110" t="str">
        <f>TEXT(Table9[[#This Row],[Date]], "mmm")</f>
        <v>Nov</v>
      </c>
      <c r="C110">
        <f>YEAR(Table9[[#This Row],[Date]])</f>
        <v>2023</v>
      </c>
      <c r="D110" t="s">
        <v>11</v>
      </c>
      <c r="E110" s="14">
        <v>102</v>
      </c>
      <c r="F110">
        <f>IF(ISBLANK(F101), K112, F101)</f>
        <v>92229.584496339812</v>
      </c>
      <c r="G110" s="82">
        <f>_xlfn.FORECAST.LINEAR(Table9[[#This Row],[Date]],Table9[Units_Sold],Table9[Date])</f>
        <v>99.203266173064691</v>
      </c>
      <c r="H110">
        <f t="shared" si="2"/>
        <v>2.7967338269353093</v>
      </c>
      <c r="I110" s="8">
        <f t="shared" si="3"/>
        <v>2.7418959087601072E-2</v>
      </c>
    </row>
    <row r="111" spans="1:9">
      <c r="A111" s="54">
        <v>45275</v>
      </c>
      <c r="B111" t="str">
        <f>TEXT(Table9[[#This Row],[Date]], "mmm")</f>
        <v>Dec</v>
      </c>
      <c r="C111">
        <f>YEAR(Table9[[#This Row],[Date]])</f>
        <v>2023</v>
      </c>
      <c r="D111" t="s">
        <v>12</v>
      </c>
      <c r="E111" s="15">
        <v>87</v>
      </c>
      <c r="F111">
        <v>108937.45001605396</v>
      </c>
      <c r="G111" s="82">
        <f>_xlfn.FORECAST.LINEAR(Table9[[#This Row],[Date]],Table9[Units_Sold],Table9[Date])</f>
        <v>99.204430369721479</v>
      </c>
      <c r="H111">
        <f t="shared" si="2"/>
        <v>-12.204430369721479</v>
      </c>
      <c r="I111" s="8">
        <f t="shared" si="3"/>
        <v>-0.14028080884737332</v>
      </c>
    </row>
    <row r="112" spans="1:9">
      <c r="A112" s="53">
        <v>45305</v>
      </c>
      <c r="B112" t="str">
        <f>TEXT(Table9[[#This Row],[Date]], "mmm")</f>
        <v>Jan</v>
      </c>
      <c r="C112">
        <f>YEAR(Table9[[#This Row],[Date]])</f>
        <v>2024</v>
      </c>
      <c r="D112" t="s">
        <v>12</v>
      </c>
      <c r="E112" s="14">
        <v>113</v>
      </c>
      <c r="F112">
        <v>93149.015982844707</v>
      </c>
      <c r="G112" s="82">
        <f>_xlfn.FORECAST.LINEAR(Table9[[#This Row],[Date]],Table9[Units_Sold],Table9[Date])</f>
        <v>99.205594566378252</v>
      </c>
      <c r="H112">
        <f t="shared" si="2"/>
        <v>13.794405433621748</v>
      </c>
      <c r="I112" s="8">
        <f t="shared" si="3"/>
        <v>0.12207438436833405</v>
      </c>
    </row>
    <row r="113" spans="1:9">
      <c r="A113" s="54">
        <v>45335</v>
      </c>
      <c r="B113" t="str">
        <f>TEXT(Table9[[#This Row],[Date]], "mmm")</f>
        <v>Feb</v>
      </c>
      <c r="C113">
        <f>YEAR(Table9[[#This Row],[Date]])</f>
        <v>2024</v>
      </c>
      <c r="D113" t="s">
        <v>13</v>
      </c>
      <c r="E113" s="15">
        <v>106</v>
      </c>
      <c r="F113">
        <v>103409.27541993142</v>
      </c>
      <c r="G113" s="82">
        <f>_xlfn.FORECAST.LINEAR(Table9[[#This Row],[Date]],Table9[Units_Sold],Table9[Date])</f>
        <v>99.20675876303504</v>
      </c>
      <c r="H113">
        <f t="shared" si="2"/>
        <v>6.7932412369649597</v>
      </c>
      <c r="I113" s="8">
        <f t="shared" si="3"/>
        <v>6.4087181480801503E-2</v>
      </c>
    </row>
    <row r="114" spans="1:9">
      <c r="A114" s="53">
        <v>45365</v>
      </c>
      <c r="B114" t="str">
        <f>TEXT(Table9[[#This Row],[Date]], "mmm")</f>
        <v>Mar</v>
      </c>
      <c r="C114">
        <f>YEAR(Table9[[#This Row],[Date]])</f>
        <v>2024</v>
      </c>
      <c r="D114" t="s">
        <v>14</v>
      </c>
      <c r="E114" s="14">
        <v>96</v>
      </c>
      <c r="F114">
        <v>80745.348694307759</v>
      </c>
      <c r="G114" s="82">
        <f>_xlfn.FORECAST.LINEAR(Table9[[#This Row],[Date]],Table9[Units_Sold],Table9[Date])</f>
        <v>99.207922959691828</v>
      </c>
      <c r="H114">
        <f t="shared" si="2"/>
        <v>-3.2079229596918282</v>
      </c>
      <c r="I114" s="8">
        <f t="shared" si="3"/>
        <v>-3.3415864163456543E-2</v>
      </c>
    </row>
    <row r="115" spans="1:9">
      <c r="A115" s="54">
        <v>45395</v>
      </c>
      <c r="B115" t="str">
        <f>TEXT(Table9[[#This Row],[Date]], "mmm")</f>
        <v>Apr</v>
      </c>
      <c r="C115">
        <f>YEAR(Table9[[#This Row],[Date]])</f>
        <v>2024</v>
      </c>
      <c r="D115" t="s">
        <v>10</v>
      </c>
      <c r="E115" s="15">
        <v>110</v>
      </c>
      <c r="F115">
        <v>95867.774406079072</v>
      </c>
      <c r="G115" s="82">
        <f>_xlfn.FORECAST.LINEAR(Table9[[#This Row],[Date]],Table9[Units_Sold],Table9[Date])</f>
        <v>99.209087156348616</v>
      </c>
      <c r="H115">
        <f t="shared" si="2"/>
        <v>10.790912843651384</v>
      </c>
      <c r="I115" s="8">
        <f t="shared" si="3"/>
        <v>9.8099207669558042E-2</v>
      </c>
    </row>
    <row r="116" spans="1:9">
      <c r="A116" s="53">
        <v>45425</v>
      </c>
      <c r="B116" t="str">
        <f>TEXT(Table9[[#This Row],[Date]], "mmm")</f>
        <v>May</v>
      </c>
      <c r="C116">
        <f>YEAR(Table9[[#This Row],[Date]])</f>
        <v>2024</v>
      </c>
      <c r="D116" t="s">
        <v>10</v>
      </c>
      <c r="E116" s="14">
        <v>100</v>
      </c>
      <c r="F116">
        <v>100873.2838</v>
      </c>
      <c r="G116" s="82">
        <f>_xlfn.FORECAST.LINEAR(Table9[[#This Row],[Date]],Table9[Units_Sold],Table9[Date])</f>
        <v>99.210251353005404</v>
      </c>
      <c r="H116">
        <f t="shared" si="2"/>
        <v>0.78974864699459602</v>
      </c>
      <c r="I116" s="8">
        <f t="shared" si="3"/>
        <v>7.8974864699459593E-3</v>
      </c>
    </row>
    <row r="117" spans="1:9">
      <c r="A117" s="54">
        <v>45455</v>
      </c>
      <c r="B117" t="str">
        <f>TEXT(Table9[[#This Row],[Date]], "mmm")</f>
        <v>Jun</v>
      </c>
      <c r="C117">
        <f>YEAR(Table9[[#This Row],[Date]])</f>
        <v>2024</v>
      </c>
      <c r="D117" t="s">
        <v>10</v>
      </c>
      <c r="E117" s="15">
        <f>IF(ISBLANK(E70), S71, E70)</f>
        <v>84</v>
      </c>
      <c r="F117">
        <v>103139.45921936868</v>
      </c>
      <c r="G117" s="82">
        <f>_xlfn.FORECAST.LINEAR(Table9[[#This Row],[Date]],Table9[Units_Sold],Table9[Date])</f>
        <v>99.211415549662192</v>
      </c>
      <c r="H117">
        <f t="shared" si="2"/>
        <v>-15.211415549662192</v>
      </c>
      <c r="I117" s="8">
        <f t="shared" si="3"/>
        <v>-0.18108828035312133</v>
      </c>
    </row>
    <row r="118" spans="1:9">
      <c r="A118" s="53">
        <v>45485</v>
      </c>
      <c r="B118" t="str">
        <f>TEXT(Table9[[#This Row],[Date]], "mmm")</f>
        <v>Jul</v>
      </c>
      <c r="C118">
        <f>YEAR(Table9[[#This Row],[Date]])</f>
        <v>2024</v>
      </c>
      <c r="D118" t="s">
        <v>12</v>
      </c>
      <c r="E118" s="14">
        <v>106</v>
      </c>
      <c r="F118">
        <v>88269.374608721293</v>
      </c>
      <c r="G118" s="82">
        <f>_xlfn.FORECAST.LINEAR(Table9[[#This Row],[Date]],Table9[Units_Sold],Table9[Date])</f>
        <v>99.21257974631898</v>
      </c>
      <c r="H118">
        <f t="shared" si="2"/>
        <v>6.7874202536810202</v>
      </c>
      <c r="I118" s="8">
        <f t="shared" si="3"/>
        <v>6.4032266544160568E-2</v>
      </c>
    </row>
    <row r="119" spans="1:9">
      <c r="A119" s="54">
        <v>45515</v>
      </c>
      <c r="B119" t="str">
        <f>TEXT(Table9[[#This Row],[Date]], "mmm")</f>
        <v>Aug</v>
      </c>
      <c r="C119">
        <f>YEAR(Table9[[#This Row],[Date]])</f>
        <v>2024</v>
      </c>
      <c r="D119" t="s">
        <v>12</v>
      </c>
      <c r="E119" s="15">
        <v>114</v>
      </c>
      <c r="F119">
        <v>104484.32808581585</v>
      </c>
      <c r="G119" s="82">
        <f>_xlfn.FORECAST.LINEAR(Table9[[#This Row],[Date]],Table9[Units_Sold],Table9[Date])</f>
        <v>99.213743942975768</v>
      </c>
      <c r="H119">
        <f t="shared" si="2"/>
        <v>14.786256057024232</v>
      </c>
      <c r="I119" s="8">
        <f t="shared" si="3"/>
        <v>0.12970400050021255</v>
      </c>
    </row>
    <row r="120" spans="1:9">
      <c r="A120" s="53">
        <v>45545</v>
      </c>
      <c r="B120" t="str">
        <f>TEXT(Table9[[#This Row],[Date]], "mmm")</f>
        <v>Sep</v>
      </c>
      <c r="C120">
        <f>YEAR(Table9[[#This Row],[Date]])</f>
        <v>2024</v>
      </c>
      <c r="D120" t="s">
        <v>14</v>
      </c>
      <c r="E120" s="14">
        <v>96</v>
      </c>
      <c r="F120">
        <v>114292.19581273236</v>
      </c>
      <c r="G120" s="82">
        <f>_xlfn.FORECAST.LINEAR(Table9[[#This Row],[Date]],Table9[Units_Sold],Table9[Date])</f>
        <v>99.214908139632556</v>
      </c>
      <c r="H120">
        <f t="shared" si="2"/>
        <v>-3.2149081396325556</v>
      </c>
      <c r="I120" s="8">
        <f t="shared" si="3"/>
        <v>-3.3488626454505788E-2</v>
      </c>
    </row>
    <row r="121" spans="1:9">
      <c r="A121" s="54">
        <v>45575</v>
      </c>
      <c r="B121" t="str">
        <f>TEXT(Table9[[#This Row],[Date]], "mmm")</f>
        <v>Oct</v>
      </c>
      <c r="C121">
        <f>YEAR(Table9[[#This Row],[Date]])</f>
        <v>2024</v>
      </c>
      <c r="D121" t="s">
        <v>13</v>
      </c>
      <c r="E121" s="15">
        <v>102</v>
      </c>
      <c r="F121">
        <v>59001.174428450438</v>
      </c>
      <c r="G121" s="82">
        <f>_xlfn.FORECAST.LINEAR(Table9[[#This Row],[Date]],Table9[Units_Sold],Table9[Date])</f>
        <v>99.216072336289344</v>
      </c>
      <c r="H121">
        <f t="shared" si="2"/>
        <v>2.7839276637106565</v>
      </c>
      <c r="I121" s="8">
        <f t="shared" si="3"/>
        <v>2.7293408467751534E-2</v>
      </c>
    </row>
    <row r="122" spans="1:9">
      <c r="A122" s="53">
        <v>45605</v>
      </c>
      <c r="B122" t="str">
        <f>TEXT(Table9[[#This Row],[Date]], "mmm")</f>
        <v>Nov</v>
      </c>
      <c r="C122">
        <f>YEAR(Table9[[#This Row],[Date]])</f>
        <v>2024</v>
      </c>
      <c r="D122" t="s">
        <v>10</v>
      </c>
      <c r="E122" s="14">
        <f>IF(ISBLANK(E75), S76, E75)</f>
        <v>106</v>
      </c>
      <c r="F122">
        <v>123181.48129911795</v>
      </c>
      <c r="G122" s="82">
        <f>_xlfn.FORECAST.LINEAR(Table9[[#This Row],[Date]],Table9[Units_Sold],Table9[Date])</f>
        <v>99.217236532946131</v>
      </c>
      <c r="H122">
        <f t="shared" si="2"/>
        <v>6.7827634670538686</v>
      </c>
      <c r="I122" s="8">
        <f t="shared" si="3"/>
        <v>6.3988334594847818E-2</v>
      </c>
    </row>
    <row r="123" spans="1:9">
      <c r="A123" s="54">
        <v>45635</v>
      </c>
      <c r="B123" t="str">
        <f>TEXT(Table9[[#This Row],[Date]], "mmm")</f>
        <v>Dec</v>
      </c>
      <c r="C123">
        <f>YEAR(Table9[[#This Row],[Date]])</f>
        <v>2024</v>
      </c>
      <c r="D123" t="s">
        <v>14</v>
      </c>
      <c r="E123" s="15">
        <v>93</v>
      </c>
      <c r="F123">
        <v>93274.905226378556</v>
      </c>
      <c r="G123" s="82">
        <f>_xlfn.FORECAST.LINEAR(Table9[[#This Row],[Date]],Table9[Units_Sold],Table9[Date])</f>
        <v>99.218400729602905</v>
      </c>
      <c r="H123">
        <f t="shared" si="2"/>
        <v>-6.2184007296029051</v>
      </c>
      <c r="I123" s="8">
        <f t="shared" si="3"/>
        <v>-6.6864523974224793E-2</v>
      </c>
    </row>
    <row r="124" spans="1:9">
      <c r="A124" s="53">
        <v>45665</v>
      </c>
      <c r="B124" t="str">
        <f>TEXT(Table9[[#This Row],[Date]], "mmm")</f>
        <v>Jan</v>
      </c>
      <c r="C124">
        <f>YEAR(Table9[[#This Row],[Date]])</f>
        <v>2025</v>
      </c>
      <c r="D124" t="s">
        <v>14</v>
      </c>
      <c r="E124" s="14">
        <v>100</v>
      </c>
      <c r="F124">
        <v>108509.79866480461</v>
      </c>
      <c r="G124" s="82">
        <f>_xlfn.FORECAST.LINEAR(Table9[[#This Row],[Date]],Table9[Units_Sold],Table9[Date])</f>
        <v>99.219564926259693</v>
      </c>
      <c r="H124">
        <f t="shared" si="2"/>
        <v>0.78043507374030696</v>
      </c>
      <c r="I124" s="8">
        <f t="shared" si="3"/>
        <v>7.8043507374030699E-3</v>
      </c>
    </row>
    <row r="125" spans="1:9">
      <c r="A125" s="54">
        <v>45695</v>
      </c>
      <c r="B125" t="str">
        <f>TEXT(Table9[[#This Row],[Date]], "mmm")</f>
        <v>Feb</v>
      </c>
      <c r="C125">
        <f>YEAR(Table9[[#This Row],[Date]])</f>
        <v>2025</v>
      </c>
      <c r="D125" t="s">
        <v>13</v>
      </c>
      <c r="E125" s="15">
        <v>111</v>
      </c>
      <c r="F125">
        <v>123944.93847290456</v>
      </c>
      <c r="G125" s="82">
        <f>_xlfn.FORECAST.LINEAR(Table9[[#This Row],[Date]],Table9[Units_Sold],Table9[Date])</f>
        <v>99.220729122916481</v>
      </c>
      <c r="H125">
        <f t="shared" si="2"/>
        <v>11.779270877083519</v>
      </c>
      <c r="I125" s="8">
        <f t="shared" si="3"/>
        <v>0.10611955745120287</v>
      </c>
    </row>
    <row r="126" spans="1:9">
      <c r="A126" s="53">
        <v>45725</v>
      </c>
      <c r="B126" t="str">
        <f>TEXT(Table9[[#This Row],[Date]], "mmm")</f>
        <v>Mar</v>
      </c>
      <c r="C126">
        <f>YEAR(Table9[[#This Row],[Date]])</f>
        <v>2025</v>
      </c>
      <c r="D126" t="s">
        <v>14</v>
      </c>
      <c r="E126" s="14">
        <v>87</v>
      </c>
      <c r="F126">
        <v>72566.526055390685</v>
      </c>
      <c r="G126" s="82">
        <f>_xlfn.FORECAST.LINEAR(Table9[[#This Row],[Date]],Table9[Units_Sold],Table9[Date])</f>
        <v>99.221893319573269</v>
      </c>
      <c r="H126">
        <f t="shared" si="2"/>
        <v>-12.221893319573269</v>
      </c>
      <c r="I126" s="8">
        <f t="shared" si="3"/>
        <v>-0.14048153240888814</v>
      </c>
    </row>
    <row r="127" spans="1:9">
      <c r="A127" s="54">
        <v>45755</v>
      </c>
      <c r="B127" t="str">
        <f>TEXT(Table9[[#This Row],[Date]], "mmm")</f>
        <v>Apr</v>
      </c>
      <c r="C127">
        <f>YEAR(Table9[[#This Row],[Date]])</f>
        <v>2025</v>
      </c>
      <c r="D127" t="s">
        <v>13</v>
      </c>
      <c r="E127" s="15">
        <v>100</v>
      </c>
      <c r="F127">
        <v>85811.17995144907</v>
      </c>
      <c r="G127" s="82">
        <f>_xlfn.FORECAST.LINEAR(Table9[[#This Row],[Date]],Table9[Units_Sold],Table9[Date])</f>
        <v>99.223057516230057</v>
      </c>
      <c r="H127">
        <f t="shared" si="2"/>
        <v>0.77694248376994324</v>
      </c>
      <c r="I127" s="8">
        <f t="shared" si="3"/>
        <v>7.769424837699432E-3</v>
      </c>
    </row>
    <row r="128" spans="1:9">
      <c r="A128" s="53">
        <v>45785</v>
      </c>
      <c r="B128" t="str">
        <f>TEXT(Table9[[#This Row],[Date]], "mmm")</f>
        <v>May</v>
      </c>
      <c r="C128">
        <f>YEAR(Table9[[#This Row],[Date]])</f>
        <v>2025</v>
      </c>
      <c r="D128" t="s">
        <v>11</v>
      </c>
      <c r="E128" s="14">
        <v>104</v>
      </c>
      <c r="F128">
        <v>100873.2838</v>
      </c>
      <c r="G128" s="82">
        <f>_xlfn.FORECAST.LINEAR(Table9[[#This Row],[Date]],Table9[Units_Sold],Table9[Date])</f>
        <v>99.224221712886845</v>
      </c>
      <c r="H128">
        <f t="shared" si="2"/>
        <v>4.7757782871131553</v>
      </c>
      <c r="I128" s="8">
        <f t="shared" si="3"/>
        <v>4.5920945068395724E-2</v>
      </c>
    </row>
    <row r="129" spans="1:9">
      <c r="A129" s="54">
        <v>45815</v>
      </c>
      <c r="B129" t="str">
        <f>TEXT(Table9[[#This Row],[Date]], "mmm")</f>
        <v>Jun</v>
      </c>
      <c r="C129">
        <f>YEAR(Table9[[#This Row],[Date]])</f>
        <v>2025</v>
      </c>
      <c r="D129" t="s">
        <v>13</v>
      </c>
      <c r="E129" s="15">
        <v>78</v>
      </c>
      <c r="F129">
        <v>84324.92957751143</v>
      </c>
      <c r="G129" s="82">
        <f>_xlfn.FORECAST.LINEAR(Table9[[#This Row],[Date]],Table9[Units_Sold],Table9[Date])</f>
        <v>99.225385909543633</v>
      </c>
      <c r="H129">
        <f t="shared" si="2"/>
        <v>-21.225385909543633</v>
      </c>
      <c r="I129" s="8">
        <f t="shared" si="3"/>
        <v>-0.27212033217363629</v>
      </c>
    </row>
    <row r="130" spans="1:9">
      <c r="A130" s="53">
        <v>45845</v>
      </c>
      <c r="B130" t="str">
        <f>TEXT(Table9[[#This Row],[Date]], "mmm")</f>
        <v>Jul</v>
      </c>
      <c r="C130">
        <f>YEAR(Table9[[#This Row],[Date]])</f>
        <v>2025</v>
      </c>
      <c r="D130" t="s">
        <v>10</v>
      </c>
      <c r="E130" s="14">
        <v>101</v>
      </c>
      <c r="F130">
        <v>134698.73151673615</v>
      </c>
      <c r="G130" s="82">
        <f>_xlfn.FORECAST.LINEAR(Table9[[#This Row],[Date]],Table9[Units_Sold],Table9[Date])</f>
        <v>99.22655010620042</v>
      </c>
      <c r="H130">
        <f t="shared" ref="H130:H193" si="4">E130-G130</f>
        <v>1.7734498937995795</v>
      </c>
      <c r="I130" s="8">
        <f t="shared" ref="I130:I193" si="5">H130/E130</f>
        <v>1.7558909839599797E-2</v>
      </c>
    </row>
    <row r="131" spans="1:9">
      <c r="A131" s="54">
        <v>45875</v>
      </c>
      <c r="B131" t="str">
        <f>TEXT(Table9[[#This Row],[Date]], "mmm")</f>
        <v>Aug</v>
      </c>
      <c r="C131">
        <f>YEAR(Table9[[#This Row],[Date]])</f>
        <v>2025</v>
      </c>
      <c r="D131" t="s">
        <v>10</v>
      </c>
      <c r="E131" s="15">
        <v>100</v>
      </c>
      <c r="F131">
        <f>IF(ISBLANK(F122), K133, F122)</f>
        <v>123181.48129911795</v>
      </c>
      <c r="G131" s="82">
        <f>_xlfn.FORECAST.LINEAR(Table9[[#This Row],[Date]],Table9[Units_Sold],Table9[Date])</f>
        <v>99.227714302857208</v>
      </c>
      <c r="H131">
        <f t="shared" si="4"/>
        <v>0.77228569714279161</v>
      </c>
      <c r="I131" s="8">
        <f t="shared" si="5"/>
        <v>7.7228569714279157E-3</v>
      </c>
    </row>
    <row r="132" spans="1:9">
      <c r="A132" s="53">
        <v>45905</v>
      </c>
      <c r="B132" t="str">
        <f>TEXT(Table9[[#This Row],[Date]], "mmm")</f>
        <v>Sep</v>
      </c>
      <c r="C132">
        <f>YEAR(Table9[[#This Row],[Date]])</f>
        <v>2025</v>
      </c>
      <c r="D132" t="s">
        <v>13</v>
      </c>
      <c r="E132" s="14">
        <v>109</v>
      </c>
      <c r="F132">
        <v>88889.064410262668</v>
      </c>
      <c r="G132" s="82">
        <f>_xlfn.FORECAST.LINEAR(Table9[[#This Row],[Date]],Table9[Units_Sold],Table9[Date])</f>
        <v>99.228878499513996</v>
      </c>
      <c r="H132">
        <f t="shared" si="4"/>
        <v>9.7711215004860037</v>
      </c>
      <c r="I132" s="8">
        <f t="shared" si="5"/>
        <v>8.9643316518220217E-2</v>
      </c>
    </row>
    <row r="133" spans="1:9">
      <c r="A133" s="54">
        <v>45935</v>
      </c>
      <c r="B133" t="str">
        <f>TEXT(Table9[[#This Row],[Date]], "mmm")</f>
        <v>Oct</v>
      </c>
      <c r="C133">
        <f>YEAR(Table9[[#This Row],[Date]])</f>
        <v>2025</v>
      </c>
      <c r="D133" t="s">
        <v>11</v>
      </c>
      <c r="E133" s="15">
        <v>98</v>
      </c>
      <c r="F133">
        <v>104087.78063205954</v>
      </c>
      <c r="G133" s="82">
        <f>_xlfn.FORECAST.LINEAR(Table9[[#This Row],[Date]],Table9[Units_Sold],Table9[Date])</f>
        <v>99.230042696170784</v>
      </c>
      <c r="H133">
        <f t="shared" si="4"/>
        <v>-1.2300426961707842</v>
      </c>
      <c r="I133" s="8">
        <f t="shared" si="5"/>
        <v>-1.2551456083375349E-2</v>
      </c>
    </row>
    <row r="134" spans="1:9">
      <c r="A134" s="53">
        <v>45965</v>
      </c>
      <c r="B134" t="str">
        <f>TEXT(Table9[[#This Row],[Date]], "mmm")</f>
        <v>Nov</v>
      </c>
      <c r="C134">
        <f>YEAR(Table9[[#This Row],[Date]])</f>
        <v>2025</v>
      </c>
      <c r="D134" t="s">
        <v>11</v>
      </c>
      <c r="E134" s="14">
        <v>111</v>
      </c>
      <c r="F134">
        <v>75957.009478478227</v>
      </c>
      <c r="G134" s="82">
        <f>_xlfn.FORECAST.LINEAR(Table9[[#This Row],[Date]],Table9[Units_Sold],Table9[Date])</f>
        <v>99.231206892827558</v>
      </c>
      <c r="H134">
        <f t="shared" si="4"/>
        <v>11.768793107172442</v>
      </c>
      <c r="I134" s="8">
        <f t="shared" si="5"/>
        <v>0.10602516312767966</v>
      </c>
    </row>
    <row r="135" spans="1:9">
      <c r="A135" s="54">
        <v>45995</v>
      </c>
      <c r="B135" t="str">
        <f>TEXT(Table9[[#This Row],[Date]], "mmm")</f>
        <v>Dec</v>
      </c>
      <c r="C135">
        <f>YEAR(Table9[[#This Row],[Date]])</f>
        <v>2025</v>
      </c>
      <c r="D135" t="s">
        <v>10</v>
      </c>
      <c r="E135" s="15">
        <v>97</v>
      </c>
      <c r="F135">
        <f>IF(ISBLANK(F126), K137, F126)</f>
        <v>72566.526055390685</v>
      </c>
      <c r="G135" s="82">
        <f>_xlfn.FORECAST.LINEAR(Table9[[#This Row],[Date]],Table9[Units_Sold],Table9[Date])</f>
        <v>99.232371089484346</v>
      </c>
      <c r="H135">
        <f t="shared" si="4"/>
        <v>-2.2323710894843458</v>
      </c>
      <c r="I135" s="8">
        <f t="shared" si="5"/>
        <v>-2.3014134943137587E-2</v>
      </c>
    </row>
    <row r="136" spans="1:9">
      <c r="A136" s="53">
        <v>46025</v>
      </c>
      <c r="B136" t="str">
        <f>TEXT(Table9[[#This Row],[Date]], "mmm")</f>
        <v>Jan</v>
      </c>
      <c r="C136">
        <f>YEAR(Table9[[#This Row],[Date]])</f>
        <v>2026</v>
      </c>
      <c r="D136" t="s">
        <v>11</v>
      </c>
      <c r="E136" s="14">
        <v>88</v>
      </c>
      <c r="F136">
        <v>106349.06522500351</v>
      </c>
      <c r="G136" s="82">
        <f>_xlfn.FORECAST.LINEAR(Table9[[#This Row],[Date]],Table9[Units_Sold],Table9[Date])</f>
        <v>99.233535286141134</v>
      </c>
      <c r="H136">
        <f t="shared" si="4"/>
        <v>-11.233535286141134</v>
      </c>
      <c r="I136" s="8">
        <f t="shared" si="5"/>
        <v>-0.1276538100697856</v>
      </c>
    </row>
    <row r="137" spans="1:9">
      <c r="A137" s="54">
        <v>46055</v>
      </c>
      <c r="B137" t="str">
        <f>TEXT(Table9[[#This Row],[Date]], "mmm")</f>
        <v>Feb</v>
      </c>
      <c r="C137">
        <f>YEAR(Table9[[#This Row],[Date]])</f>
        <v>2026</v>
      </c>
      <c r="D137" t="s">
        <v>14</v>
      </c>
      <c r="E137" s="15">
        <v>101</v>
      </c>
      <c r="F137">
        <v>93342.79191234977</v>
      </c>
      <c r="G137" s="82">
        <f>_xlfn.FORECAST.LINEAR(Table9[[#This Row],[Date]],Table9[Units_Sold],Table9[Date])</f>
        <v>99.234699482797922</v>
      </c>
      <c r="H137">
        <f t="shared" si="4"/>
        <v>1.7653005172020784</v>
      </c>
      <c r="I137" s="8">
        <f t="shared" si="5"/>
        <v>1.7478222942594834E-2</v>
      </c>
    </row>
    <row r="138" spans="1:9">
      <c r="A138" s="53">
        <v>46085</v>
      </c>
      <c r="B138" t="str">
        <f>TEXT(Table9[[#This Row],[Date]], "mmm")</f>
        <v>Mar</v>
      </c>
      <c r="C138">
        <f>YEAR(Table9[[#This Row],[Date]])</f>
        <v>2026</v>
      </c>
      <c r="D138" t="s">
        <v>12</v>
      </c>
      <c r="E138" s="14">
        <v>105</v>
      </c>
      <c r="F138">
        <v>98132.262822001037</v>
      </c>
      <c r="G138" s="82">
        <f>_xlfn.FORECAST.LINEAR(Table9[[#This Row],[Date]],Table9[Units_Sold],Table9[Date])</f>
        <v>99.23586367945471</v>
      </c>
      <c r="H138">
        <f t="shared" si="4"/>
        <v>5.7641363205452905</v>
      </c>
      <c r="I138" s="8">
        <f t="shared" si="5"/>
        <v>5.4896536386145625E-2</v>
      </c>
    </row>
    <row r="139" spans="1:9">
      <c r="A139" s="54">
        <v>46115</v>
      </c>
      <c r="B139" t="str">
        <f>TEXT(Table9[[#This Row],[Date]], "mmm")</f>
        <v>Apr</v>
      </c>
      <c r="C139">
        <f>YEAR(Table9[[#This Row],[Date]])</f>
        <v>2026</v>
      </c>
      <c r="D139" t="s">
        <v>14</v>
      </c>
      <c r="E139" s="15">
        <v>102</v>
      </c>
      <c r="F139">
        <v>89413.357751032585</v>
      </c>
      <c r="G139" s="82">
        <f>_xlfn.FORECAST.LINEAR(Table9[[#This Row],[Date]],Table9[Units_Sold],Table9[Date])</f>
        <v>99.237027876111497</v>
      </c>
      <c r="H139">
        <f t="shared" si="4"/>
        <v>2.7629721238885026</v>
      </c>
      <c r="I139" s="8">
        <f t="shared" si="5"/>
        <v>2.7087961998906888E-2</v>
      </c>
    </row>
    <row r="140" spans="1:9">
      <c r="A140" s="53">
        <v>46145</v>
      </c>
      <c r="B140" t="str">
        <f>TEXT(Table9[[#This Row],[Date]], "mmm")</f>
        <v>May</v>
      </c>
      <c r="C140">
        <f>YEAR(Table9[[#This Row],[Date]])</f>
        <v>2026</v>
      </c>
      <c r="D140" t="s">
        <v>10</v>
      </c>
      <c r="E140" s="14">
        <v>98</v>
      </c>
      <c r="F140">
        <v>69710.593816384659</v>
      </c>
      <c r="G140" s="82">
        <f>_xlfn.FORECAST.LINEAR(Table9[[#This Row],[Date]],Table9[Units_Sold],Table9[Date])</f>
        <v>99.238192072768285</v>
      </c>
      <c r="H140">
        <f t="shared" si="4"/>
        <v>-1.2381920727682854</v>
      </c>
      <c r="I140" s="8">
        <f t="shared" si="5"/>
        <v>-1.2634612987431484E-2</v>
      </c>
    </row>
    <row r="141" spans="1:9">
      <c r="A141" s="54">
        <v>46175</v>
      </c>
      <c r="B141" t="str">
        <f>TEXT(Table9[[#This Row],[Date]], "mmm")</f>
        <v>Jun</v>
      </c>
      <c r="C141">
        <f>YEAR(Table9[[#This Row],[Date]])</f>
        <v>2026</v>
      </c>
      <c r="D141" t="s">
        <v>11</v>
      </c>
      <c r="E141" s="15">
        <v>96</v>
      </c>
      <c r="F141">
        <v>106431.86422678478</v>
      </c>
      <c r="G141" s="82">
        <f>_xlfn.FORECAST.LINEAR(Table9[[#This Row],[Date]],Table9[Units_Sold],Table9[Date])</f>
        <v>99.239356269425073</v>
      </c>
      <c r="H141">
        <f t="shared" si="4"/>
        <v>-3.2393562694250733</v>
      </c>
      <c r="I141" s="8">
        <f t="shared" si="5"/>
        <v>-3.3743294473177844E-2</v>
      </c>
    </row>
    <row r="142" spans="1:9">
      <c r="A142" s="53">
        <v>46205</v>
      </c>
      <c r="B142" t="str">
        <f>TEXT(Table9[[#This Row],[Date]], "mmm")</f>
        <v>Jul</v>
      </c>
      <c r="C142">
        <f>YEAR(Table9[[#This Row],[Date]])</f>
        <v>2026</v>
      </c>
      <c r="D142" t="s">
        <v>13</v>
      </c>
      <c r="E142" s="14">
        <v>76</v>
      </c>
      <c r="F142">
        <v>135098.66143294482</v>
      </c>
      <c r="G142" s="82">
        <f>_xlfn.FORECAST.LINEAR(Table9[[#This Row],[Date]],Table9[Units_Sold],Table9[Date])</f>
        <v>99.240520466081861</v>
      </c>
      <c r="H142">
        <f t="shared" si="4"/>
        <v>-23.240520466081861</v>
      </c>
      <c r="I142" s="8">
        <f t="shared" si="5"/>
        <v>-0.30579632192212974</v>
      </c>
    </row>
    <row r="143" spans="1:9">
      <c r="A143" s="54">
        <v>46235</v>
      </c>
      <c r="B143" t="str">
        <f>TEXT(Table9[[#This Row],[Date]], "mmm")</f>
        <v>Aug</v>
      </c>
      <c r="C143">
        <f>YEAR(Table9[[#This Row],[Date]])</f>
        <v>2026</v>
      </c>
      <c r="D143" t="s">
        <v>12</v>
      </c>
      <c r="E143" s="15">
        <v>112</v>
      </c>
      <c r="F143">
        <v>100368.03261566877</v>
      </c>
      <c r="G143" s="82">
        <f>_xlfn.FORECAST.LINEAR(Table9[[#This Row],[Date]],Table9[Units_Sold],Table9[Date])</f>
        <v>99.241684662738649</v>
      </c>
      <c r="H143">
        <f t="shared" si="4"/>
        <v>12.758315337261351</v>
      </c>
      <c r="I143" s="8">
        <f t="shared" si="5"/>
        <v>0.11391352979697635</v>
      </c>
    </row>
    <row r="144" spans="1:9">
      <c r="A144" s="53">
        <v>46265</v>
      </c>
      <c r="B144" t="str">
        <f>TEXT(Table9[[#This Row],[Date]], "mmm")</f>
        <v>Aug</v>
      </c>
      <c r="C144">
        <f>YEAR(Table9[[#This Row],[Date]])</f>
        <v>2026</v>
      </c>
      <c r="D144" t="s">
        <v>13</v>
      </c>
      <c r="E144" s="14">
        <v>99</v>
      </c>
      <c r="F144">
        <f>IF(ISBLANK(F135), K146, F135)</f>
        <v>72566.526055390685</v>
      </c>
      <c r="G144" s="82">
        <f>_xlfn.FORECAST.LINEAR(Table9[[#This Row],[Date]],Table9[Units_Sold],Table9[Date])</f>
        <v>99.242848859395437</v>
      </c>
      <c r="H144">
        <f t="shared" si="4"/>
        <v>-0.24284885939543699</v>
      </c>
      <c r="I144" s="8">
        <f t="shared" si="5"/>
        <v>-2.4530187817720906E-3</v>
      </c>
    </row>
    <row r="145" spans="1:9">
      <c r="A145" s="54">
        <v>46295</v>
      </c>
      <c r="B145" t="str">
        <f>TEXT(Table9[[#This Row],[Date]], "mmm")</f>
        <v>Sep</v>
      </c>
      <c r="C145">
        <f>YEAR(Table9[[#This Row],[Date]])</f>
        <v>2026</v>
      </c>
      <c r="D145" t="s">
        <v>10</v>
      </c>
      <c r="E145" s="15">
        <v>100</v>
      </c>
      <c r="F145">
        <v>113854.45510233719</v>
      </c>
      <c r="G145" s="82">
        <f>_xlfn.FORECAST.LINEAR(Table9[[#This Row],[Date]],Table9[Units_Sold],Table9[Date])</f>
        <v>99.244013056052211</v>
      </c>
      <c r="H145">
        <f t="shared" si="4"/>
        <v>0.75598694394778931</v>
      </c>
      <c r="I145" s="8">
        <f t="shared" si="5"/>
        <v>7.5598694394778928E-3</v>
      </c>
    </row>
    <row r="146" spans="1:9">
      <c r="A146" s="53">
        <v>46325</v>
      </c>
      <c r="B146" t="str">
        <f>TEXT(Table9[[#This Row],[Date]], "mmm")</f>
        <v>Oct</v>
      </c>
      <c r="C146">
        <f>YEAR(Table9[[#This Row],[Date]])</f>
        <v>2026</v>
      </c>
      <c r="D146" t="s">
        <v>11</v>
      </c>
      <c r="E146" s="14">
        <v>89</v>
      </c>
      <c r="F146">
        <v>74613.390069066023</v>
      </c>
      <c r="G146" s="82">
        <f>_xlfn.FORECAST.LINEAR(Table9[[#This Row],[Date]],Table9[Units_Sold],Table9[Date])</f>
        <v>99.245177252708999</v>
      </c>
      <c r="H146">
        <f t="shared" si="4"/>
        <v>-10.245177252708999</v>
      </c>
      <c r="I146" s="8">
        <f t="shared" si="5"/>
        <v>-0.11511435115403369</v>
      </c>
    </row>
    <row r="147" spans="1:9">
      <c r="A147" s="54">
        <v>46355</v>
      </c>
      <c r="B147" t="str">
        <f>TEXT(Table9[[#This Row],[Date]], "mmm")</f>
        <v>Nov</v>
      </c>
      <c r="C147">
        <f>YEAR(Table9[[#This Row],[Date]])</f>
        <v>2026</v>
      </c>
      <c r="D147" t="s">
        <v>13</v>
      </c>
      <c r="E147" s="15">
        <f>IF(ISBLANK(E100), S101, E100)</f>
        <v>102</v>
      </c>
      <c r="F147">
        <v>134050.2931625921</v>
      </c>
      <c r="G147" s="82">
        <f>_xlfn.FORECAST.LINEAR(Table9[[#This Row],[Date]],Table9[Units_Sold],Table9[Date])</f>
        <v>99.246341449365787</v>
      </c>
      <c r="H147">
        <f t="shared" si="4"/>
        <v>2.7536585506342135</v>
      </c>
      <c r="I147" s="8">
        <f t="shared" si="5"/>
        <v>2.6996652457198171E-2</v>
      </c>
    </row>
    <row r="148" spans="1:9">
      <c r="A148" s="53">
        <v>46385</v>
      </c>
      <c r="B148" t="str">
        <f>TEXT(Table9[[#This Row],[Date]], "mmm")</f>
        <v>Dec</v>
      </c>
      <c r="C148">
        <f>YEAR(Table9[[#This Row],[Date]])</f>
        <v>2026</v>
      </c>
      <c r="D148" t="s">
        <v>13</v>
      </c>
      <c r="E148" s="14">
        <v>104</v>
      </c>
      <c r="F148">
        <v>104046.57592845603</v>
      </c>
      <c r="G148" s="82">
        <f>_xlfn.FORECAST.LINEAR(Table9[[#This Row],[Date]],Table9[Units_Sold],Table9[Date])</f>
        <v>99.247505646022574</v>
      </c>
      <c r="H148">
        <f t="shared" si="4"/>
        <v>4.7524943539774256</v>
      </c>
      <c r="I148" s="8">
        <f t="shared" si="5"/>
        <v>4.5697061095936783E-2</v>
      </c>
    </row>
    <row r="149" spans="1:9">
      <c r="A149" s="54">
        <v>46415</v>
      </c>
      <c r="B149" t="str">
        <f>TEXT(Table9[[#This Row],[Date]], "mmm")</f>
        <v>Jan</v>
      </c>
      <c r="C149">
        <f>YEAR(Table9[[#This Row],[Date]])</f>
        <v>2027</v>
      </c>
      <c r="D149" t="s">
        <v>12</v>
      </c>
      <c r="E149" s="15">
        <v>96</v>
      </c>
      <c r="F149">
        <v>132637.13798178217</v>
      </c>
      <c r="G149" s="82">
        <f>_xlfn.FORECAST.LINEAR(Table9[[#This Row],[Date]],Table9[Units_Sold],Table9[Date])</f>
        <v>99.248669842679362</v>
      </c>
      <c r="H149">
        <f t="shared" si="4"/>
        <v>-3.2486698426793623</v>
      </c>
      <c r="I149" s="8">
        <f t="shared" si="5"/>
        <v>-3.384031086124336E-2</v>
      </c>
    </row>
    <row r="150" spans="1:9">
      <c r="A150" s="53">
        <v>46445</v>
      </c>
      <c r="B150" t="str">
        <f>TEXT(Table9[[#This Row],[Date]], "mmm")</f>
        <v>Feb</v>
      </c>
      <c r="C150">
        <f>YEAR(Table9[[#This Row],[Date]])</f>
        <v>2027</v>
      </c>
      <c r="D150" t="s">
        <v>12</v>
      </c>
      <c r="E150" s="14">
        <v>100</v>
      </c>
      <c r="F150">
        <v>85339.340089520207</v>
      </c>
      <c r="G150" s="82">
        <f>_xlfn.FORECAST.LINEAR(Table9[[#This Row],[Date]],Table9[Units_Sold],Table9[Date])</f>
        <v>99.24983403933615</v>
      </c>
      <c r="H150">
        <f t="shared" si="4"/>
        <v>0.75016596066384977</v>
      </c>
      <c r="I150" s="8">
        <f t="shared" si="5"/>
        <v>7.501659606638498E-3</v>
      </c>
    </row>
    <row r="151" spans="1:9">
      <c r="A151" s="54">
        <v>46475</v>
      </c>
      <c r="B151" t="str">
        <f>TEXT(Table9[[#This Row],[Date]], "mmm")</f>
        <v>Mar</v>
      </c>
      <c r="C151">
        <f>YEAR(Table9[[#This Row],[Date]])</f>
        <v>2027</v>
      </c>
      <c r="D151" t="s">
        <v>11</v>
      </c>
      <c r="E151" s="15">
        <v>105</v>
      </c>
      <c r="F151">
        <v>136361.2384511565</v>
      </c>
      <c r="G151" s="82">
        <f>_xlfn.FORECAST.LINEAR(Table9[[#This Row],[Date]],Table9[Units_Sold],Table9[Date])</f>
        <v>99.250998235992938</v>
      </c>
      <c r="H151">
        <f t="shared" si="4"/>
        <v>5.7490017640070619</v>
      </c>
      <c r="I151" s="8">
        <f t="shared" si="5"/>
        <v>5.4752397752448209E-2</v>
      </c>
    </row>
    <row r="152" spans="1:9">
      <c r="A152" s="53">
        <v>46505</v>
      </c>
      <c r="B152" t="str">
        <f>TEXT(Table9[[#This Row],[Date]], "mmm")</f>
        <v>Apr</v>
      </c>
      <c r="C152">
        <f>YEAR(Table9[[#This Row],[Date]])</f>
        <v>2027</v>
      </c>
      <c r="D152" t="s">
        <v>12</v>
      </c>
      <c r="E152" s="14">
        <v>81</v>
      </c>
      <c r="F152">
        <v>115503.10988069566</v>
      </c>
      <c r="G152" s="82">
        <f>_xlfn.FORECAST.LINEAR(Table9[[#This Row],[Date]],Table9[Units_Sold],Table9[Date])</f>
        <v>99.252162432649726</v>
      </c>
      <c r="H152">
        <f t="shared" si="4"/>
        <v>-18.252162432649726</v>
      </c>
      <c r="I152" s="8">
        <f t="shared" si="5"/>
        <v>-0.22533533867468797</v>
      </c>
    </row>
    <row r="153" spans="1:9">
      <c r="A153" s="54">
        <v>46535</v>
      </c>
      <c r="B153" t="str">
        <f>TEXT(Table9[[#This Row],[Date]], "mmm")</f>
        <v>May</v>
      </c>
      <c r="C153">
        <f>YEAR(Table9[[#This Row],[Date]])</f>
        <v>2027</v>
      </c>
      <c r="D153" t="s">
        <v>13</v>
      </c>
      <c r="E153" s="15">
        <v>120</v>
      </c>
      <c r="F153">
        <v>111060.80171704717</v>
      </c>
      <c r="G153" s="82">
        <f>_xlfn.FORECAST.LINEAR(Table9[[#This Row],[Date]],Table9[Units_Sold],Table9[Date])</f>
        <v>99.253326629306514</v>
      </c>
      <c r="H153">
        <f t="shared" si="4"/>
        <v>20.746673370693486</v>
      </c>
      <c r="I153" s="8">
        <f t="shared" si="5"/>
        <v>0.17288894475577904</v>
      </c>
    </row>
    <row r="154" spans="1:9">
      <c r="A154" s="53">
        <v>46565</v>
      </c>
      <c r="B154" t="str">
        <f>TEXT(Table9[[#This Row],[Date]], "mmm")</f>
        <v>Jun</v>
      </c>
      <c r="C154">
        <f>YEAR(Table9[[#This Row],[Date]])</f>
        <v>2027</v>
      </c>
      <c r="D154" t="s">
        <v>13</v>
      </c>
      <c r="E154" s="14">
        <v>97</v>
      </c>
      <c r="F154">
        <v>104680.48908706296</v>
      </c>
      <c r="G154" s="82">
        <f>_xlfn.FORECAST.LINEAR(Table9[[#This Row],[Date]],Table9[Units_Sold],Table9[Date])</f>
        <v>99.254490825963302</v>
      </c>
      <c r="H154">
        <f t="shared" si="4"/>
        <v>-2.2544908259633019</v>
      </c>
      <c r="I154" s="8">
        <f t="shared" si="5"/>
        <v>-2.3242173463539195E-2</v>
      </c>
    </row>
    <row r="155" spans="1:9">
      <c r="A155" s="54">
        <v>46595</v>
      </c>
      <c r="B155" t="str">
        <f>TEXT(Table9[[#This Row],[Date]], "mmm")</f>
        <v>Jul</v>
      </c>
      <c r="C155">
        <f>YEAR(Table9[[#This Row],[Date]])</f>
        <v>2027</v>
      </c>
      <c r="D155" t="s">
        <v>10</v>
      </c>
      <c r="E155" s="15">
        <v>99</v>
      </c>
      <c r="F155">
        <v>95029.427638511013</v>
      </c>
      <c r="G155" s="82">
        <f>_xlfn.FORECAST.LINEAR(Table9[[#This Row],[Date]],Table9[Units_Sold],Table9[Date])</f>
        <v>99.25565502262009</v>
      </c>
      <c r="H155">
        <f t="shared" si="4"/>
        <v>-0.25565502262008977</v>
      </c>
      <c r="I155" s="8">
        <f t="shared" si="5"/>
        <v>-2.5823739658594924E-3</v>
      </c>
    </row>
    <row r="156" spans="1:9">
      <c r="A156" s="53">
        <v>46625</v>
      </c>
      <c r="B156" t="str">
        <f>TEXT(Table9[[#This Row],[Date]], "mmm")</f>
        <v>Aug</v>
      </c>
      <c r="C156">
        <f>YEAR(Table9[[#This Row],[Date]])</f>
        <v>2027</v>
      </c>
      <c r="D156" t="s">
        <v>13</v>
      </c>
      <c r="E156" s="14">
        <v>120</v>
      </c>
      <c r="F156">
        <v>124010.63316947746</v>
      </c>
      <c r="G156" s="82">
        <f>_xlfn.FORECAST.LINEAR(Table9[[#This Row],[Date]],Table9[Units_Sold],Table9[Date])</f>
        <v>99.256819219276878</v>
      </c>
      <c r="H156">
        <f t="shared" si="4"/>
        <v>20.743180780723122</v>
      </c>
      <c r="I156" s="8">
        <f t="shared" si="5"/>
        <v>0.17285983983935935</v>
      </c>
    </row>
    <row r="157" spans="1:9">
      <c r="A157" s="54">
        <v>46655</v>
      </c>
      <c r="B157" t="str">
        <f>TEXT(Table9[[#This Row],[Date]], "mmm")</f>
        <v>Sep</v>
      </c>
      <c r="C157">
        <f>YEAR(Table9[[#This Row],[Date]])</f>
        <v>2027</v>
      </c>
      <c r="D157" t="s">
        <v>11</v>
      </c>
      <c r="E157" s="15">
        <v>90</v>
      </c>
      <c r="F157">
        <v>102807.19739696094</v>
      </c>
      <c r="G157" s="82">
        <f>_xlfn.FORECAST.LINEAR(Table9[[#This Row],[Date]],Table9[Units_Sold],Table9[Date])</f>
        <v>99.257983415933651</v>
      </c>
      <c r="H157">
        <f t="shared" si="4"/>
        <v>-9.2579834159336514</v>
      </c>
      <c r="I157" s="8">
        <f t="shared" si="5"/>
        <v>-0.1028664823992628</v>
      </c>
    </row>
    <row r="158" spans="1:9">
      <c r="A158" s="53">
        <v>46685</v>
      </c>
      <c r="B158" t="str">
        <f>TEXT(Table9[[#This Row],[Date]], "mmm")</f>
        <v>Oct</v>
      </c>
      <c r="C158">
        <f>YEAR(Table9[[#This Row],[Date]])</f>
        <v>2027</v>
      </c>
      <c r="D158" t="s">
        <v>14</v>
      </c>
      <c r="E158" s="14">
        <v>85</v>
      </c>
      <c r="F158">
        <v>60658.605928256955</v>
      </c>
      <c r="G158" s="82">
        <f>_xlfn.FORECAST.LINEAR(Table9[[#This Row],[Date]],Table9[Units_Sold],Table9[Date])</f>
        <v>99.259147612590439</v>
      </c>
      <c r="H158">
        <f t="shared" si="4"/>
        <v>-14.259147612590439</v>
      </c>
      <c r="I158" s="8">
        <f t="shared" si="5"/>
        <v>-0.16775467779518163</v>
      </c>
    </row>
    <row r="159" spans="1:9">
      <c r="A159" s="54">
        <v>46715</v>
      </c>
      <c r="B159" t="str">
        <f>TEXT(Table9[[#This Row],[Date]], "mmm")</f>
        <v>Nov</v>
      </c>
      <c r="C159">
        <f>YEAR(Table9[[#This Row],[Date]])</f>
        <v>2027</v>
      </c>
      <c r="D159" t="s">
        <v>10</v>
      </c>
      <c r="E159" s="15">
        <v>84</v>
      </c>
      <c r="F159">
        <v>77656.270765859954</v>
      </c>
      <c r="G159" s="82">
        <f>_xlfn.FORECAST.LINEAR(Table9[[#This Row],[Date]],Table9[Units_Sold],Table9[Date])</f>
        <v>99.260311809247227</v>
      </c>
      <c r="H159">
        <f t="shared" si="4"/>
        <v>-15.260311809247227</v>
      </c>
      <c r="I159" s="8">
        <f t="shared" si="5"/>
        <v>-0.18167037868151462</v>
      </c>
    </row>
    <row r="160" spans="1:9">
      <c r="A160" s="53">
        <v>46745</v>
      </c>
      <c r="B160" t="str">
        <f>TEXT(Table9[[#This Row],[Date]], "mmm")</f>
        <v>Dec</v>
      </c>
      <c r="C160">
        <f>YEAR(Table9[[#This Row],[Date]])</f>
        <v>2027</v>
      </c>
      <c r="D160" t="s">
        <v>10</v>
      </c>
      <c r="E160" s="14">
        <f>IF(ISBLANK(E113), S114, E113)</f>
        <v>106</v>
      </c>
      <c r="F160">
        <v>96283.08495614506</v>
      </c>
      <c r="G160" s="82">
        <f>_xlfn.FORECAST.LINEAR(Table9[[#This Row],[Date]],Table9[Units_Sold],Table9[Date])</f>
        <v>99.261476005904015</v>
      </c>
      <c r="H160">
        <f t="shared" si="4"/>
        <v>6.7385239940959849</v>
      </c>
      <c r="I160" s="8">
        <f t="shared" si="5"/>
        <v>6.3570981076377223E-2</v>
      </c>
    </row>
    <row r="161" spans="1:9">
      <c r="A161" s="54">
        <v>46775</v>
      </c>
      <c r="B161" t="str">
        <f>TEXT(Table9[[#This Row],[Date]], "mmm")</f>
        <v>Jan</v>
      </c>
      <c r="C161">
        <f>YEAR(Table9[[#This Row],[Date]])</f>
        <v>2028</v>
      </c>
      <c r="D161" t="s">
        <v>11</v>
      </c>
      <c r="E161" s="15">
        <v>112</v>
      </c>
      <c r="F161">
        <v>106199.9796633111</v>
      </c>
      <c r="G161" s="82">
        <f>_xlfn.FORECAST.LINEAR(Table9[[#This Row],[Date]],Table9[Units_Sold],Table9[Date])</f>
        <v>99.262640202560803</v>
      </c>
      <c r="H161">
        <f t="shared" si="4"/>
        <v>12.737359797439197</v>
      </c>
      <c r="I161" s="8">
        <f t="shared" si="5"/>
        <v>0.11372642676284997</v>
      </c>
    </row>
    <row r="162" spans="1:9">
      <c r="A162" s="53">
        <v>46805</v>
      </c>
      <c r="B162" t="str">
        <f>TEXT(Table9[[#This Row],[Date]], "mmm")</f>
        <v>Feb</v>
      </c>
      <c r="C162">
        <f>YEAR(Table9[[#This Row],[Date]])</f>
        <v>2028</v>
      </c>
      <c r="D162" t="s">
        <v>11</v>
      </c>
      <c r="E162" s="14">
        <v>110</v>
      </c>
      <c r="F162">
        <v>98868.230222002079</v>
      </c>
      <c r="G162" s="82">
        <f>_xlfn.FORECAST.LINEAR(Table9[[#This Row],[Date]],Table9[Units_Sold],Table9[Date])</f>
        <v>99.263804399217591</v>
      </c>
      <c r="H162">
        <f t="shared" si="4"/>
        <v>10.736195600782409</v>
      </c>
      <c r="I162" s="8">
        <f t="shared" si="5"/>
        <v>9.7601778188930996E-2</v>
      </c>
    </row>
    <row r="163" spans="1:9">
      <c r="A163" s="54">
        <v>46835</v>
      </c>
      <c r="B163" t="str">
        <f>TEXT(Table9[[#This Row],[Date]], "mmm")</f>
        <v>Mar</v>
      </c>
      <c r="C163">
        <f>YEAR(Table9[[#This Row],[Date]])</f>
        <v>2028</v>
      </c>
      <c r="D163" t="s">
        <v>12</v>
      </c>
      <c r="E163" s="15">
        <v>86</v>
      </c>
      <c r="F163">
        <v>124379.41579587327</v>
      </c>
      <c r="G163" s="82">
        <f>_xlfn.FORECAST.LINEAR(Table9[[#This Row],[Date]],Table9[Units_Sold],Table9[Date])</f>
        <v>99.264968595874379</v>
      </c>
      <c r="H163">
        <f t="shared" si="4"/>
        <v>-13.264968595874379</v>
      </c>
      <c r="I163" s="8">
        <f t="shared" si="5"/>
        <v>-0.15424382088226021</v>
      </c>
    </row>
    <row r="164" spans="1:9">
      <c r="A164" s="53">
        <v>46865</v>
      </c>
      <c r="B164" t="str">
        <f>TEXT(Table9[[#This Row],[Date]], "mmm")</f>
        <v>Apr</v>
      </c>
      <c r="C164">
        <f>YEAR(Table9[[#This Row],[Date]])</f>
        <v>2028</v>
      </c>
      <c r="D164" t="s">
        <v>10</v>
      </c>
      <c r="E164" s="14">
        <v>104</v>
      </c>
      <c r="F164">
        <v>60977.9627192275</v>
      </c>
      <c r="G164" s="82">
        <f>_xlfn.FORECAST.LINEAR(Table9[[#This Row],[Date]],Table9[Units_Sold],Table9[Date])</f>
        <v>99.266132792531167</v>
      </c>
      <c r="H164">
        <f t="shared" si="4"/>
        <v>4.7338672074688333</v>
      </c>
      <c r="I164" s="8">
        <f t="shared" si="5"/>
        <v>4.5517953917969547E-2</v>
      </c>
    </row>
    <row r="165" spans="1:9">
      <c r="A165" s="54">
        <v>46895</v>
      </c>
      <c r="B165" t="str">
        <f>TEXT(Table9[[#This Row],[Date]], "mmm")</f>
        <v>May</v>
      </c>
      <c r="C165">
        <f>YEAR(Table9[[#This Row],[Date]])</f>
        <v>2028</v>
      </c>
      <c r="D165" t="s">
        <v>12</v>
      </c>
      <c r="E165" s="15">
        <v>107</v>
      </c>
      <c r="F165">
        <v>102871.7587301032</v>
      </c>
      <c r="G165" s="82">
        <f>_xlfn.FORECAST.LINEAR(Table9[[#This Row],[Date]],Table9[Units_Sold],Table9[Date])</f>
        <v>99.267296989187955</v>
      </c>
      <c r="H165">
        <f t="shared" si="4"/>
        <v>7.7327030108120454</v>
      </c>
      <c r="I165" s="8">
        <f t="shared" si="5"/>
        <v>7.2268252437495753E-2</v>
      </c>
    </row>
    <row r="166" spans="1:9">
      <c r="A166" s="53">
        <v>46925</v>
      </c>
      <c r="B166" t="str">
        <f>TEXT(Table9[[#This Row],[Date]], "mmm")</f>
        <v>Jun</v>
      </c>
      <c r="C166">
        <f>YEAR(Table9[[#This Row],[Date]])</f>
        <v>2028</v>
      </c>
      <c r="D166" t="s">
        <v>13</v>
      </c>
      <c r="E166" s="14">
        <v>93</v>
      </c>
      <c r="F166">
        <v>63640.415492256907</v>
      </c>
      <c r="G166" s="82">
        <f>_xlfn.FORECAST.LINEAR(Table9[[#This Row],[Date]],Table9[Units_Sold],Table9[Date])</f>
        <v>99.268461185844743</v>
      </c>
      <c r="H166">
        <f t="shared" si="4"/>
        <v>-6.2684611858447425</v>
      </c>
      <c r="I166" s="8">
        <f t="shared" si="5"/>
        <v>-6.7402808449943466E-2</v>
      </c>
    </row>
    <row r="167" spans="1:9">
      <c r="A167" s="54">
        <v>46955</v>
      </c>
      <c r="B167" t="str">
        <f>TEXT(Table9[[#This Row],[Date]], "mmm")</f>
        <v>Jul</v>
      </c>
      <c r="C167">
        <f>YEAR(Table9[[#This Row],[Date]])</f>
        <v>2028</v>
      </c>
      <c r="D167" t="s">
        <v>10</v>
      </c>
      <c r="E167" s="15">
        <v>108</v>
      </c>
      <c r="F167">
        <v>115194.24590968336</v>
      </c>
      <c r="G167" s="82">
        <f>_xlfn.FORECAST.LINEAR(Table9[[#This Row],[Date]],Table9[Units_Sold],Table9[Date])</f>
        <v>99.26962538250153</v>
      </c>
      <c r="H167">
        <f t="shared" si="4"/>
        <v>8.7303746174984695</v>
      </c>
      <c r="I167" s="8">
        <f t="shared" si="5"/>
        <v>8.083680201387472E-2</v>
      </c>
    </row>
    <row r="168" spans="1:9">
      <c r="A168" s="53">
        <v>46985</v>
      </c>
      <c r="B168" t="str">
        <f>TEXT(Table9[[#This Row],[Date]], "mmm")</f>
        <v>Aug</v>
      </c>
      <c r="C168">
        <f>YEAR(Table9[[#This Row],[Date]])</f>
        <v>2028</v>
      </c>
      <c r="D168" t="s">
        <v>10</v>
      </c>
      <c r="E168" s="14">
        <v>96</v>
      </c>
      <c r="F168">
        <v>98110.825711159938</v>
      </c>
      <c r="G168" s="82">
        <f>_xlfn.FORECAST.LINEAR(Table9[[#This Row],[Date]],Table9[Units_Sold],Table9[Date])</f>
        <v>99.270789579158304</v>
      </c>
      <c r="H168">
        <f t="shared" si="4"/>
        <v>-3.2707895791583042</v>
      </c>
      <c r="I168" s="8">
        <f t="shared" si="5"/>
        <v>-3.4070724782898999E-2</v>
      </c>
    </row>
    <row r="169" spans="1:9">
      <c r="A169" s="54">
        <v>47015</v>
      </c>
      <c r="B169" t="str">
        <f>TEXT(Table9[[#This Row],[Date]], "mmm")</f>
        <v>Sep</v>
      </c>
      <c r="C169">
        <f>YEAR(Table9[[#This Row],[Date]])</f>
        <v>2028</v>
      </c>
      <c r="D169" t="s">
        <v>14</v>
      </c>
      <c r="E169" s="15">
        <v>95</v>
      </c>
      <c r="F169">
        <f>IF(ISBLANK(F160), K171, F160)</f>
        <v>96283.08495614506</v>
      </c>
      <c r="G169" s="82">
        <f>_xlfn.FORECAST.LINEAR(Table9[[#This Row],[Date]],Table9[Units_Sold],Table9[Date])</f>
        <v>99.271953775815092</v>
      </c>
      <c r="H169">
        <f t="shared" si="4"/>
        <v>-4.2719537758150921</v>
      </c>
      <c r="I169" s="8">
        <f t="shared" si="5"/>
        <v>-4.4967934482264126E-2</v>
      </c>
    </row>
    <row r="170" spans="1:9">
      <c r="A170" s="53">
        <v>47045</v>
      </c>
      <c r="B170" t="str">
        <f>TEXT(Table9[[#This Row],[Date]], "mmm")</f>
        <v>Oct</v>
      </c>
      <c r="C170">
        <f>YEAR(Table9[[#This Row],[Date]])</f>
        <v>2028</v>
      </c>
      <c r="D170" t="s">
        <v>10</v>
      </c>
      <c r="E170" s="14">
        <v>112</v>
      </c>
      <c r="F170">
        <v>82722.340788204674</v>
      </c>
      <c r="G170" s="82">
        <f>_xlfn.FORECAST.LINEAR(Table9[[#This Row],[Date]],Table9[Units_Sold],Table9[Date])</f>
        <v>99.27311797247188</v>
      </c>
      <c r="H170">
        <f t="shared" si="4"/>
        <v>12.72688202752812</v>
      </c>
      <c r="I170" s="8">
        <f t="shared" si="5"/>
        <v>0.11363287524578679</v>
      </c>
    </row>
    <row r="171" spans="1:9">
      <c r="A171" s="54">
        <v>47075</v>
      </c>
      <c r="B171" t="str">
        <f>TEXT(Table9[[#This Row],[Date]], "mmm")</f>
        <v>Nov</v>
      </c>
      <c r="C171">
        <f>YEAR(Table9[[#This Row],[Date]])</f>
        <v>2028</v>
      </c>
      <c r="D171" t="s">
        <v>13</v>
      </c>
      <c r="E171" s="15">
        <v>108</v>
      </c>
      <c r="F171">
        <v>125589.29863315502</v>
      </c>
      <c r="G171" s="82">
        <f>_xlfn.FORECAST.LINEAR(Table9[[#This Row],[Date]],Table9[Units_Sold],Table9[Date])</f>
        <v>99.274282169128668</v>
      </c>
      <c r="H171">
        <f t="shared" si="4"/>
        <v>8.7257178308713321</v>
      </c>
      <c r="I171" s="8">
        <f t="shared" si="5"/>
        <v>8.0793683619179005E-2</v>
      </c>
    </row>
    <row r="172" spans="1:9">
      <c r="A172" s="53">
        <v>47105</v>
      </c>
      <c r="B172" t="str">
        <f>TEXT(Table9[[#This Row],[Date]], "mmm")</f>
        <v>Dec</v>
      </c>
      <c r="C172">
        <f>YEAR(Table9[[#This Row],[Date]])</f>
        <v>2028</v>
      </c>
      <c r="D172" t="s">
        <v>12</v>
      </c>
      <c r="E172" s="14">
        <v>85</v>
      </c>
      <c r="F172">
        <v>120834.49328117703</v>
      </c>
      <c r="G172" s="82">
        <f>_xlfn.FORECAST.LINEAR(Table9[[#This Row],[Date]],Table9[Units_Sold],Table9[Date])</f>
        <v>99.275446365785456</v>
      </c>
      <c r="H172">
        <f t="shared" si="4"/>
        <v>-14.275446365785456</v>
      </c>
      <c r="I172" s="8">
        <f t="shared" si="5"/>
        <v>-0.16794642783277006</v>
      </c>
    </row>
    <row r="173" spans="1:9">
      <c r="A173" s="54">
        <v>47135</v>
      </c>
      <c r="B173" t="str">
        <f>TEXT(Table9[[#This Row],[Date]], "mmm")</f>
        <v>Jan</v>
      </c>
      <c r="C173">
        <f>YEAR(Table9[[#This Row],[Date]])</f>
        <v>2029</v>
      </c>
      <c r="D173" t="s">
        <v>12</v>
      </c>
      <c r="E173" s="15">
        <f>IF(ISBLANK(E126), S127, E126)</f>
        <v>87</v>
      </c>
      <c r="F173">
        <v>111670.88606023775</v>
      </c>
      <c r="G173" s="82">
        <f>_xlfn.FORECAST.LINEAR(Table9[[#This Row],[Date]],Table9[Units_Sold],Table9[Date])</f>
        <v>99.276610562442244</v>
      </c>
      <c r="H173">
        <f t="shared" si="4"/>
        <v>-12.276610562442244</v>
      </c>
      <c r="I173" s="8">
        <f t="shared" si="5"/>
        <v>-0.14111046623496831</v>
      </c>
    </row>
    <row r="174" spans="1:9">
      <c r="A174" s="53">
        <v>47165</v>
      </c>
      <c r="B174" t="str">
        <f>TEXT(Table9[[#This Row],[Date]], "mmm")</f>
        <v>Feb</v>
      </c>
      <c r="C174">
        <f>YEAR(Table9[[#This Row],[Date]])</f>
        <v>2029</v>
      </c>
      <c r="D174" t="s">
        <v>14</v>
      </c>
      <c r="E174" s="14">
        <v>95</v>
      </c>
      <c r="F174">
        <f>IF(ISBLANK(F165), K176, F165)</f>
        <v>102871.7587301032</v>
      </c>
      <c r="G174" s="82">
        <f>_xlfn.FORECAST.LINEAR(Table9[[#This Row],[Date]],Table9[Units_Sold],Table9[Date])</f>
        <v>99.277774759099032</v>
      </c>
      <c r="H174">
        <f t="shared" si="4"/>
        <v>-4.2777747590990316</v>
      </c>
      <c r="I174" s="8">
        <f t="shared" si="5"/>
        <v>-4.5029207990516122E-2</v>
      </c>
    </row>
    <row r="175" spans="1:9">
      <c r="A175" s="54">
        <v>47195</v>
      </c>
      <c r="B175" t="str">
        <f>TEXT(Table9[[#This Row],[Date]], "mmm")</f>
        <v>Mar</v>
      </c>
      <c r="C175">
        <f>YEAR(Table9[[#This Row],[Date]])</f>
        <v>2029</v>
      </c>
      <c r="D175" t="s">
        <v>13</v>
      </c>
      <c r="E175" s="15">
        <v>97</v>
      </c>
      <c r="F175">
        <v>111597.14570590264</v>
      </c>
      <c r="G175" s="82">
        <f>_xlfn.FORECAST.LINEAR(Table9[[#This Row],[Date]],Table9[Units_Sold],Table9[Date])</f>
        <v>99.27893895575582</v>
      </c>
      <c r="H175">
        <f t="shared" si="4"/>
        <v>-2.2789389557558195</v>
      </c>
      <c r="I175" s="8">
        <f t="shared" si="5"/>
        <v>-2.349421603871979E-2</v>
      </c>
    </row>
    <row r="176" spans="1:9">
      <c r="A176" s="53">
        <v>47225</v>
      </c>
      <c r="B176" t="str">
        <f>TEXT(Table9[[#This Row],[Date]], "mmm")</f>
        <v>Apr</v>
      </c>
      <c r="C176">
        <f>YEAR(Table9[[#This Row],[Date]])</f>
        <v>2029</v>
      </c>
      <c r="D176" t="s">
        <v>12</v>
      </c>
      <c r="E176" s="14">
        <v>116</v>
      </c>
      <c r="F176">
        <v>85862.148640253028</v>
      </c>
      <c r="G176" s="82">
        <f>_xlfn.FORECAST.LINEAR(Table9[[#This Row],[Date]],Table9[Units_Sold],Table9[Date])</f>
        <v>99.280103152412607</v>
      </c>
      <c r="H176">
        <f t="shared" si="4"/>
        <v>16.719896847587393</v>
      </c>
      <c r="I176" s="8">
        <f t="shared" si="5"/>
        <v>0.14413704178954648</v>
      </c>
    </row>
    <row r="177" spans="1:9">
      <c r="A177" s="54">
        <v>47255</v>
      </c>
      <c r="B177" t="str">
        <f>TEXT(Table9[[#This Row],[Date]], "mmm")</f>
        <v>May</v>
      </c>
      <c r="C177">
        <f>YEAR(Table9[[#This Row],[Date]])</f>
        <v>2029</v>
      </c>
      <c r="D177" t="s">
        <v>11</v>
      </c>
      <c r="E177" s="15">
        <v>95</v>
      </c>
      <c r="F177">
        <v>117111.11318041425</v>
      </c>
      <c r="G177" s="82">
        <f>_xlfn.FORECAST.LINEAR(Table9[[#This Row],[Date]],Table9[Units_Sold],Table9[Date])</f>
        <v>99.281267349069395</v>
      </c>
      <c r="H177">
        <f t="shared" si="4"/>
        <v>-4.2812673490693953</v>
      </c>
      <c r="I177" s="8">
        <f t="shared" si="5"/>
        <v>-4.5065972095467317E-2</v>
      </c>
    </row>
    <row r="178" spans="1:9">
      <c r="A178" s="53">
        <v>47285</v>
      </c>
      <c r="B178" t="str">
        <f>TEXT(Table9[[#This Row],[Date]], "mmm")</f>
        <v>Jun</v>
      </c>
      <c r="C178">
        <f>YEAR(Table9[[#This Row],[Date]])</f>
        <v>2029</v>
      </c>
      <c r="D178" t="s">
        <v>13</v>
      </c>
      <c r="E178" s="14">
        <v>123</v>
      </c>
      <c r="F178">
        <v>132989.61788647843</v>
      </c>
      <c r="G178" s="82">
        <f>_xlfn.FORECAST.LINEAR(Table9[[#This Row],[Date]],Table9[Units_Sold],Table9[Date])</f>
        <v>99.282431545726183</v>
      </c>
      <c r="H178">
        <f t="shared" si="4"/>
        <v>23.717568454273817</v>
      </c>
      <c r="I178" s="8">
        <f t="shared" si="5"/>
        <v>0.19282575979084404</v>
      </c>
    </row>
    <row r="179" spans="1:9">
      <c r="A179" s="54">
        <v>47315</v>
      </c>
      <c r="B179" t="str">
        <f>TEXT(Table9[[#This Row],[Date]], "mmm")</f>
        <v>Jul</v>
      </c>
      <c r="C179">
        <f>YEAR(Table9[[#This Row],[Date]])</f>
        <v>2029</v>
      </c>
      <c r="D179" t="s">
        <v>13</v>
      </c>
      <c r="E179" s="15">
        <v>104</v>
      </c>
      <c r="F179">
        <v>121412.21119958372</v>
      </c>
      <c r="G179" s="82">
        <f>_xlfn.FORECAST.LINEAR(Table9[[#This Row],[Date]],Table9[Units_Sold],Table9[Date])</f>
        <v>99.283595742382957</v>
      </c>
      <c r="H179">
        <f t="shared" si="4"/>
        <v>4.7164042576170431</v>
      </c>
      <c r="I179" s="8">
        <f t="shared" si="5"/>
        <v>4.5350040938625415E-2</v>
      </c>
    </row>
    <row r="180" spans="1:9">
      <c r="A180" s="53">
        <v>47345</v>
      </c>
      <c r="B180" t="str">
        <f>TEXT(Table9[[#This Row],[Date]], "mmm")</f>
        <v>Aug</v>
      </c>
      <c r="C180">
        <f>YEAR(Table9[[#This Row],[Date]])</f>
        <v>2029</v>
      </c>
      <c r="D180" t="s">
        <v>14</v>
      </c>
      <c r="E180" s="14">
        <v>94</v>
      </c>
      <c r="F180">
        <v>85407.950603851816</v>
      </c>
      <c r="G180" s="82">
        <f>_xlfn.FORECAST.LINEAR(Table9[[#This Row],[Date]],Table9[Units_Sold],Table9[Date])</f>
        <v>99.284759939039745</v>
      </c>
      <c r="H180">
        <f t="shared" si="4"/>
        <v>-5.2847599390397448</v>
      </c>
      <c r="I180" s="8">
        <f t="shared" si="5"/>
        <v>-5.6220850415316437E-2</v>
      </c>
    </row>
    <row r="181" spans="1:9">
      <c r="A181" s="54">
        <v>47375</v>
      </c>
      <c r="B181" t="str">
        <f>TEXT(Table9[[#This Row],[Date]], "mmm")</f>
        <v>Sep</v>
      </c>
      <c r="C181">
        <f>YEAR(Table9[[#This Row],[Date]])</f>
        <v>2029</v>
      </c>
      <c r="D181" t="s">
        <v>12</v>
      </c>
      <c r="E181" s="15">
        <v>105</v>
      </c>
      <c r="F181">
        <v>100873.2838</v>
      </c>
      <c r="G181" s="82">
        <f>_xlfn.FORECAST.LINEAR(Table9[[#This Row],[Date]],Table9[Units_Sold],Table9[Date])</f>
        <v>99.285924135696533</v>
      </c>
      <c r="H181">
        <f t="shared" si="4"/>
        <v>5.7140758643034673</v>
      </c>
      <c r="I181" s="8">
        <f t="shared" si="5"/>
        <v>5.4419770136223497E-2</v>
      </c>
    </row>
    <row r="182" spans="1:9">
      <c r="A182" s="53">
        <v>47405</v>
      </c>
      <c r="B182" t="str">
        <f>TEXT(Table9[[#This Row],[Date]], "mmm")</f>
        <v>Oct</v>
      </c>
      <c r="C182">
        <f>YEAR(Table9[[#This Row],[Date]])</f>
        <v>2029</v>
      </c>
      <c r="D182" t="s">
        <v>13</v>
      </c>
      <c r="E182" s="14">
        <v>109</v>
      </c>
      <c r="F182">
        <v>74137.169124827051</v>
      </c>
      <c r="G182" s="82">
        <f>_xlfn.FORECAST.LINEAR(Table9[[#This Row],[Date]],Table9[Units_Sold],Table9[Date])</f>
        <v>99.287088332353321</v>
      </c>
      <c r="H182">
        <f t="shared" si="4"/>
        <v>9.7129116676466793</v>
      </c>
      <c r="I182" s="8">
        <f t="shared" si="5"/>
        <v>8.9109281354556688E-2</v>
      </c>
    </row>
    <row r="183" spans="1:9">
      <c r="A183" s="54">
        <v>47435</v>
      </c>
      <c r="B183" t="str">
        <f>TEXT(Table9[[#This Row],[Date]], "mmm")</f>
        <v>Nov</v>
      </c>
      <c r="C183">
        <f>YEAR(Table9[[#This Row],[Date]])</f>
        <v>2029</v>
      </c>
      <c r="D183" t="s">
        <v>12</v>
      </c>
      <c r="E183" s="15">
        <v>84</v>
      </c>
      <c r="F183">
        <v>111447.80622351351</v>
      </c>
      <c r="G183" s="82">
        <f>_xlfn.FORECAST.LINEAR(Table9[[#This Row],[Date]],Table9[Units_Sold],Table9[Date])</f>
        <v>99.288252529010109</v>
      </c>
      <c r="H183">
        <f t="shared" si="4"/>
        <v>-15.288252529010109</v>
      </c>
      <c r="I183" s="8">
        <f t="shared" si="5"/>
        <v>-0.18200300629773938</v>
      </c>
    </row>
    <row r="184" spans="1:9">
      <c r="A184" s="53">
        <v>47465</v>
      </c>
      <c r="B184" t="str">
        <f>TEXT(Table9[[#This Row],[Date]], "mmm")</f>
        <v>Dec</v>
      </c>
      <c r="C184">
        <f>YEAR(Table9[[#This Row],[Date]])</f>
        <v>2029</v>
      </c>
      <c r="D184" t="s">
        <v>11</v>
      </c>
      <c r="E184" s="14">
        <v>79</v>
      </c>
      <c r="F184">
        <v>109012.06825725078</v>
      </c>
      <c r="G184" s="82">
        <f>_xlfn.FORECAST.LINEAR(Table9[[#This Row],[Date]],Table9[Units_Sold],Table9[Date])</f>
        <v>99.289416725666896</v>
      </c>
      <c r="H184">
        <f t="shared" si="4"/>
        <v>-20.289416725666896</v>
      </c>
      <c r="I184" s="8">
        <f t="shared" si="5"/>
        <v>-0.25682805981856832</v>
      </c>
    </row>
    <row r="185" spans="1:9">
      <c r="A185" s="54">
        <v>47495</v>
      </c>
      <c r="B185" t="str">
        <f>TEXT(Table9[[#This Row],[Date]], "mmm")</f>
        <v>Jan</v>
      </c>
      <c r="C185">
        <f>YEAR(Table9[[#This Row],[Date]])</f>
        <v>2030</v>
      </c>
      <c r="D185" t="s">
        <v>14</v>
      </c>
      <c r="E185" s="15">
        <v>98</v>
      </c>
      <c r="F185">
        <v>62603.673209356719</v>
      </c>
      <c r="G185" s="82">
        <f>_xlfn.FORECAST.LINEAR(Table9[[#This Row],[Date]],Table9[Units_Sold],Table9[Date])</f>
        <v>99.290580922323684</v>
      </c>
      <c r="H185">
        <f t="shared" si="4"/>
        <v>-1.2905809223236844</v>
      </c>
      <c r="I185" s="8">
        <f t="shared" si="5"/>
        <v>-1.3169193084935554E-2</v>
      </c>
    </row>
    <row r="186" spans="1:9">
      <c r="A186" s="53">
        <v>47525</v>
      </c>
      <c r="B186" t="str">
        <f>TEXT(Table9[[#This Row],[Date]], "mmm")</f>
        <v>Feb</v>
      </c>
      <c r="C186">
        <f>YEAR(Table9[[#This Row],[Date]])</f>
        <v>2030</v>
      </c>
      <c r="D186" t="s">
        <v>11</v>
      </c>
      <c r="E186" s="14">
        <v>96</v>
      </c>
      <c r="F186">
        <v>76764.323121752721</v>
      </c>
      <c r="G186" s="82">
        <f>_xlfn.FORECAST.LINEAR(Table9[[#This Row],[Date]],Table9[Units_Sold],Table9[Date])</f>
        <v>99.291745118980472</v>
      </c>
      <c r="H186">
        <f t="shared" si="4"/>
        <v>-3.2917451189804723</v>
      </c>
      <c r="I186" s="8">
        <f t="shared" si="5"/>
        <v>-3.4289011656046586E-2</v>
      </c>
    </row>
    <row r="187" spans="1:9">
      <c r="A187" s="54">
        <v>47555</v>
      </c>
      <c r="B187" t="str">
        <f>TEXT(Table9[[#This Row],[Date]], "mmm")</f>
        <v>Mar</v>
      </c>
      <c r="C187">
        <f>YEAR(Table9[[#This Row],[Date]])</f>
        <v>2030</v>
      </c>
      <c r="D187" t="s">
        <v>14</v>
      </c>
      <c r="E187" s="15">
        <v>88</v>
      </c>
      <c r="F187">
        <v>94337.222065124661</v>
      </c>
      <c r="G187" s="82">
        <f>_xlfn.FORECAST.LINEAR(Table9[[#This Row],[Date]],Table9[Units_Sold],Table9[Date])</f>
        <v>99.29290931563726</v>
      </c>
      <c r="H187">
        <f t="shared" si="4"/>
        <v>-11.29290931563726</v>
      </c>
      <c r="I187" s="8">
        <f t="shared" si="5"/>
        <v>-0.12832851495042341</v>
      </c>
    </row>
    <row r="188" spans="1:9">
      <c r="A188" s="53">
        <v>47585</v>
      </c>
      <c r="B188" t="str">
        <f>TEXT(Table9[[#This Row],[Date]], "mmm")</f>
        <v>Apr</v>
      </c>
      <c r="C188">
        <f>YEAR(Table9[[#This Row],[Date]])</f>
        <v>2030</v>
      </c>
      <c r="D188" t="s">
        <v>13</v>
      </c>
      <c r="E188" s="14">
        <v>103</v>
      </c>
      <c r="F188">
        <v>93982.805057183476</v>
      </c>
      <c r="G188" s="82">
        <f>_xlfn.FORECAST.LINEAR(Table9[[#This Row],[Date]],Table9[Units_Sold],Table9[Date])</f>
        <v>99.294073512294048</v>
      </c>
      <c r="H188">
        <f t="shared" si="4"/>
        <v>3.7059264877059519</v>
      </c>
      <c r="I188" s="8">
        <f t="shared" si="5"/>
        <v>3.5979868812679144E-2</v>
      </c>
    </row>
    <row r="189" spans="1:9">
      <c r="A189" s="54">
        <v>47615</v>
      </c>
      <c r="B189" t="str">
        <f>TEXT(Table9[[#This Row],[Date]], "mmm")</f>
        <v>May</v>
      </c>
      <c r="C189">
        <f>YEAR(Table9[[#This Row],[Date]])</f>
        <v>2030</v>
      </c>
      <c r="D189" t="s">
        <v>14</v>
      </c>
      <c r="E189" s="15">
        <v>83</v>
      </c>
      <c r="F189">
        <v>75810.461291623898</v>
      </c>
      <c r="G189" s="82">
        <f>_xlfn.FORECAST.LINEAR(Table9[[#This Row],[Date]],Table9[Units_Sold],Table9[Date])</f>
        <v>99.295237708950836</v>
      </c>
      <c r="H189">
        <f t="shared" si="4"/>
        <v>-16.295237708950836</v>
      </c>
      <c r="I189" s="8">
        <f t="shared" si="5"/>
        <v>-0.19632816516808235</v>
      </c>
    </row>
    <row r="190" spans="1:9">
      <c r="A190" s="53">
        <v>47645</v>
      </c>
      <c r="B190" t="str">
        <f>TEXT(Table9[[#This Row],[Date]], "mmm")</f>
        <v>Jun</v>
      </c>
      <c r="C190">
        <f>YEAR(Table9[[#This Row],[Date]])</f>
        <v>2030</v>
      </c>
      <c r="D190" t="s">
        <v>10</v>
      </c>
      <c r="E190" s="14">
        <v>82</v>
      </c>
      <c r="F190">
        <v>107779.57458704368</v>
      </c>
      <c r="G190" s="82">
        <f>_xlfn.FORECAST.LINEAR(Table9[[#This Row],[Date]],Table9[Units_Sold],Table9[Date])</f>
        <v>99.29640190560761</v>
      </c>
      <c r="H190">
        <f t="shared" si="4"/>
        <v>-17.29640190560761</v>
      </c>
      <c r="I190" s="8">
        <f t="shared" si="5"/>
        <v>-0.21093173055619036</v>
      </c>
    </row>
    <row r="191" spans="1:9">
      <c r="A191" s="54">
        <v>47675</v>
      </c>
      <c r="B191" t="str">
        <f>TEXT(Table9[[#This Row],[Date]], "mmm")</f>
        <v>Jul</v>
      </c>
      <c r="C191">
        <f>YEAR(Table9[[#This Row],[Date]])</f>
        <v>2030</v>
      </c>
      <c r="D191" t="s">
        <v>12</v>
      </c>
      <c r="E191" s="15">
        <v>106</v>
      </c>
      <c r="F191">
        <v>105029.47217881025</v>
      </c>
      <c r="G191" s="82">
        <f>_xlfn.FORECAST.LINEAR(Table9[[#This Row],[Date]],Table9[Units_Sold],Table9[Date])</f>
        <v>99.297566102264398</v>
      </c>
      <c r="H191">
        <f t="shared" si="4"/>
        <v>6.7024338977356024</v>
      </c>
      <c r="I191" s="8">
        <f t="shared" si="5"/>
        <v>6.3230508469203792E-2</v>
      </c>
    </row>
    <row r="192" spans="1:9">
      <c r="A192" s="53">
        <v>47705</v>
      </c>
      <c r="B192" t="str">
        <f>TEXT(Table9[[#This Row],[Date]], "mmm")</f>
        <v>Aug</v>
      </c>
      <c r="C192">
        <f>YEAR(Table9[[#This Row],[Date]])</f>
        <v>2030</v>
      </c>
      <c r="D192" t="s">
        <v>12</v>
      </c>
      <c r="E192" s="14">
        <v>96</v>
      </c>
      <c r="F192">
        <v>96114.61736042962</v>
      </c>
      <c r="G192" s="82">
        <f>_xlfn.FORECAST.LINEAR(Table9[[#This Row],[Date]],Table9[Units_Sold],Table9[Date])</f>
        <v>99.298730298921186</v>
      </c>
      <c r="H192">
        <f t="shared" si="4"/>
        <v>-3.2987302989211855</v>
      </c>
      <c r="I192" s="8">
        <f t="shared" si="5"/>
        <v>-3.4361773947095685E-2</v>
      </c>
    </row>
    <row r="193" spans="1:9">
      <c r="A193" s="54">
        <v>47735</v>
      </c>
      <c r="B193" t="str">
        <f>TEXT(Table9[[#This Row],[Date]], "mmm")</f>
        <v>Sep</v>
      </c>
      <c r="C193">
        <f>YEAR(Table9[[#This Row],[Date]])</f>
        <v>2030</v>
      </c>
      <c r="D193" t="s">
        <v>10</v>
      </c>
      <c r="E193" s="15">
        <v>96</v>
      </c>
      <c r="F193">
        <v>84884.169996832745</v>
      </c>
      <c r="G193" s="82">
        <f>_xlfn.FORECAST.LINEAR(Table9[[#This Row],[Date]],Table9[Units_Sold],Table9[Date])</f>
        <v>99.299894495577973</v>
      </c>
      <c r="H193">
        <f t="shared" si="4"/>
        <v>-3.2998944955779734</v>
      </c>
      <c r="I193" s="8">
        <f t="shared" si="5"/>
        <v>-3.437390099560389E-2</v>
      </c>
    </row>
    <row r="194" spans="1:9">
      <c r="A194" s="53">
        <v>47765</v>
      </c>
      <c r="B194" t="str">
        <f>TEXT(Table9[[#This Row],[Date]], "mmm")</f>
        <v>Oct</v>
      </c>
      <c r="C194">
        <f>YEAR(Table9[[#This Row],[Date]])</f>
        <v>2030</v>
      </c>
      <c r="D194" t="s">
        <v>11</v>
      </c>
      <c r="E194" s="14">
        <v>109</v>
      </c>
      <c r="F194">
        <v>120974.14252833127</v>
      </c>
      <c r="G194" s="82">
        <f>_xlfn.FORECAST.LINEAR(Table9[[#This Row],[Date]],Table9[Units_Sold],Table9[Date])</f>
        <v>99.301058692234761</v>
      </c>
      <c r="H194">
        <f t="shared" ref="H194:H257" si="6">E194-G194</f>
        <v>9.6989413077652387</v>
      </c>
      <c r="I194" s="8">
        <f t="shared" ref="I194:I257" si="7">H194/E194</f>
        <v>8.8981112915277424E-2</v>
      </c>
    </row>
    <row r="195" spans="1:9">
      <c r="A195" s="54">
        <v>47795</v>
      </c>
      <c r="B195" t="str">
        <f>TEXT(Table9[[#This Row],[Date]], "mmm")</f>
        <v>Nov</v>
      </c>
      <c r="C195">
        <f>YEAR(Table9[[#This Row],[Date]])</f>
        <v>2030</v>
      </c>
      <c r="D195" t="s">
        <v>10</v>
      </c>
      <c r="E195" s="15">
        <v>98</v>
      </c>
      <c r="F195">
        <v>133108.1422617659</v>
      </c>
      <c r="G195" s="82">
        <f>_xlfn.FORECAST.LINEAR(Table9[[#This Row],[Date]],Table9[Units_Sold],Table9[Date])</f>
        <v>99.302222888891549</v>
      </c>
      <c r="H195">
        <f t="shared" si="6"/>
        <v>-1.3022228888915492</v>
      </c>
      <c r="I195" s="8">
        <f t="shared" si="7"/>
        <v>-1.3287988662158665E-2</v>
      </c>
    </row>
    <row r="196" spans="1:9">
      <c r="A196" s="53">
        <v>47825</v>
      </c>
      <c r="B196" t="str">
        <f>TEXT(Table9[[#This Row],[Date]], "mmm")</f>
        <v>Dec</v>
      </c>
      <c r="C196">
        <f>YEAR(Table9[[#This Row],[Date]])</f>
        <v>2030</v>
      </c>
      <c r="D196" t="s">
        <v>13</v>
      </c>
      <c r="E196" s="14">
        <v>86</v>
      </c>
      <c r="F196">
        <f>IF(ISBLANK(F187), K198, F187)</f>
        <v>94337.222065124661</v>
      </c>
      <c r="G196" s="82">
        <f>_xlfn.FORECAST.LINEAR(Table9[[#This Row],[Date]],Table9[Units_Sold],Table9[Date])</f>
        <v>99.303387085548337</v>
      </c>
      <c r="H196">
        <f t="shared" si="6"/>
        <v>-13.303387085548337</v>
      </c>
      <c r="I196" s="8">
        <f t="shared" si="7"/>
        <v>-0.15469054750637601</v>
      </c>
    </row>
    <row r="197" spans="1:9">
      <c r="A197" s="54">
        <v>47855</v>
      </c>
      <c r="B197" t="str">
        <f>TEXT(Table9[[#This Row],[Date]], "mmm")</f>
        <v>Jan</v>
      </c>
      <c r="C197">
        <f>YEAR(Table9[[#This Row],[Date]])</f>
        <v>2031</v>
      </c>
      <c r="D197" t="s">
        <v>13</v>
      </c>
      <c r="E197" s="15">
        <v>79</v>
      </c>
      <c r="F197">
        <v>87756.661656903583</v>
      </c>
      <c r="G197" s="82">
        <f>_xlfn.FORECAST.LINEAR(Table9[[#This Row],[Date]],Table9[Units_Sold],Table9[Date])</f>
        <v>99.304551282205125</v>
      </c>
      <c r="H197">
        <f t="shared" si="6"/>
        <v>-20.304551282205125</v>
      </c>
      <c r="I197" s="8">
        <f t="shared" si="7"/>
        <v>-0.2570196364836092</v>
      </c>
    </row>
    <row r="198" spans="1:9">
      <c r="A198" s="53">
        <v>47885</v>
      </c>
      <c r="B198" t="str">
        <f>TEXT(Table9[[#This Row],[Date]], "mmm")</f>
        <v>Feb</v>
      </c>
      <c r="C198">
        <f>YEAR(Table9[[#This Row],[Date]])</f>
        <v>2031</v>
      </c>
      <c r="D198" t="s">
        <v>12</v>
      </c>
      <c r="E198" s="14">
        <v>86</v>
      </c>
      <c r="F198">
        <v>109824.15330823993</v>
      </c>
      <c r="G198" s="82">
        <f>_xlfn.FORECAST.LINEAR(Table9[[#This Row],[Date]],Table9[Units_Sold],Table9[Date])</f>
        <v>99.305715478861913</v>
      </c>
      <c r="H198">
        <f t="shared" si="6"/>
        <v>-13.305715478861913</v>
      </c>
      <c r="I198" s="8">
        <f t="shared" si="7"/>
        <v>-0.15471762184723153</v>
      </c>
    </row>
    <row r="199" spans="1:9">
      <c r="A199" s="54">
        <v>47915</v>
      </c>
      <c r="B199" t="str">
        <f>TEXT(Table9[[#This Row],[Date]], "mmm")</f>
        <v>Mar</v>
      </c>
      <c r="C199">
        <f>YEAR(Table9[[#This Row],[Date]])</f>
        <v>2031</v>
      </c>
      <c r="D199" t="s">
        <v>13</v>
      </c>
      <c r="E199" s="15">
        <v>108</v>
      </c>
      <c r="F199">
        <v>92839.41240506027</v>
      </c>
      <c r="G199" s="82">
        <f>_xlfn.FORECAST.LINEAR(Table9[[#This Row],[Date]],Table9[Units_Sold],Table9[Date])</f>
        <v>99.306879675518701</v>
      </c>
      <c r="H199">
        <f t="shared" si="6"/>
        <v>8.6931203244812991</v>
      </c>
      <c r="I199" s="8">
        <f t="shared" si="7"/>
        <v>8.0491854856308331E-2</v>
      </c>
    </row>
    <row r="200" spans="1:9">
      <c r="A200" s="53">
        <v>47945</v>
      </c>
      <c r="B200" t="str">
        <f>TEXT(Table9[[#This Row],[Date]], "mmm")</f>
        <v>Apr</v>
      </c>
      <c r="C200">
        <f>YEAR(Table9[[#This Row],[Date]])</f>
        <v>2031</v>
      </c>
      <c r="D200" t="s">
        <v>12</v>
      </c>
      <c r="E200" s="14">
        <v>127</v>
      </c>
      <c r="F200">
        <v>97212.055986735315</v>
      </c>
      <c r="G200" s="82">
        <f>_xlfn.FORECAST.LINEAR(Table9[[#This Row],[Date]],Table9[Units_Sold],Table9[Date])</f>
        <v>99.308043872175489</v>
      </c>
      <c r="H200">
        <f t="shared" si="6"/>
        <v>27.691956127824511</v>
      </c>
      <c r="I200" s="8">
        <f t="shared" si="7"/>
        <v>0.2180468986442875</v>
      </c>
    </row>
    <row r="201" spans="1:9">
      <c r="A201" s="54">
        <v>47975</v>
      </c>
      <c r="B201" t="str">
        <f>TEXT(Table9[[#This Row],[Date]], "mmm")</f>
        <v>May</v>
      </c>
      <c r="C201">
        <f>YEAR(Table9[[#This Row],[Date]])</f>
        <v>2031</v>
      </c>
      <c r="D201" t="s">
        <v>10</v>
      </c>
      <c r="E201" s="15">
        <v>93</v>
      </c>
      <c r="F201">
        <v>114793.06303449343</v>
      </c>
      <c r="G201" s="82">
        <f>_xlfn.FORECAST.LINEAR(Table9[[#This Row],[Date]],Table9[Units_Sold],Table9[Date])</f>
        <v>99.309208068832262</v>
      </c>
      <c r="H201">
        <f t="shared" si="6"/>
        <v>-6.3092080688322625</v>
      </c>
      <c r="I201" s="8">
        <f t="shared" si="7"/>
        <v>-6.7840946976690991E-2</v>
      </c>
    </row>
    <row r="202" spans="1:9">
      <c r="A202" s="53">
        <v>48005</v>
      </c>
      <c r="B202" t="str">
        <f>TEXT(Table9[[#This Row],[Date]], "mmm")</f>
        <v>Jun</v>
      </c>
      <c r="C202">
        <f>YEAR(Table9[[#This Row],[Date]])</f>
        <v>2031</v>
      </c>
      <c r="D202" t="s">
        <v>10</v>
      </c>
      <c r="E202" s="14">
        <v>82</v>
      </c>
      <c r="F202">
        <v>61812.87824985414</v>
      </c>
      <c r="G202" s="82">
        <f>_xlfn.FORECAST.LINEAR(Table9[[#This Row],[Date]],Table9[Units_Sold],Table9[Date])</f>
        <v>99.31037226548905</v>
      </c>
      <c r="H202">
        <f t="shared" si="6"/>
        <v>-17.31037226548905</v>
      </c>
      <c r="I202" s="8">
        <f t="shared" si="7"/>
        <v>-0.21110210079864697</v>
      </c>
    </row>
    <row r="203" spans="1:9">
      <c r="A203" s="54">
        <v>48035</v>
      </c>
      <c r="B203" t="str">
        <f>TEXT(Table9[[#This Row],[Date]], "mmm")</f>
        <v>Jul</v>
      </c>
      <c r="C203">
        <f>YEAR(Table9[[#This Row],[Date]])</f>
        <v>2031</v>
      </c>
      <c r="D203" t="s">
        <v>10</v>
      </c>
      <c r="E203" s="15">
        <v>104</v>
      </c>
      <c r="F203">
        <v>126366.04649705338</v>
      </c>
      <c r="G203" s="82">
        <f>_xlfn.FORECAST.LINEAR(Table9[[#This Row],[Date]],Table9[Units_Sold],Table9[Date])</f>
        <v>99.311536462145838</v>
      </c>
      <c r="H203">
        <f t="shared" si="6"/>
        <v>4.6884635378541617</v>
      </c>
      <c r="I203" s="8">
        <f t="shared" si="7"/>
        <v>4.508138017167463E-2</v>
      </c>
    </row>
    <row r="204" spans="1:9">
      <c r="A204" s="53">
        <v>48065</v>
      </c>
      <c r="B204" t="str">
        <f>TEXT(Table9[[#This Row],[Date]], "mmm")</f>
        <v>Aug</v>
      </c>
      <c r="C204">
        <f>YEAR(Table9[[#This Row],[Date]])</f>
        <v>2031</v>
      </c>
      <c r="D204" t="s">
        <v>12</v>
      </c>
      <c r="E204" s="14">
        <v>99</v>
      </c>
      <c r="F204">
        <v>101453.61048658683</v>
      </c>
      <c r="G204" s="82">
        <f>_xlfn.FORECAST.LINEAR(Table9[[#This Row],[Date]],Table9[Units_Sold],Table9[Date])</f>
        <v>99.312700658802626</v>
      </c>
      <c r="H204">
        <f t="shared" si="6"/>
        <v>-0.31270065880262621</v>
      </c>
      <c r="I204" s="8">
        <f t="shared" si="7"/>
        <v>-3.1585925131578404E-3</v>
      </c>
    </row>
    <row r="205" spans="1:9">
      <c r="A205" s="54">
        <v>48095</v>
      </c>
      <c r="B205" t="str">
        <f>TEXT(Table9[[#This Row],[Date]], "mmm")</f>
        <v>Sep</v>
      </c>
      <c r="C205">
        <f>YEAR(Table9[[#This Row],[Date]])</f>
        <v>2031</v>
      </c>
      <c r="D205" t="s">
        <v>10</v>
      </c>
      <c r="E205" s="15">
        <v>102</v>
      </c>
      <c r="F205">
        <v>91770.137108756389</v>
      </c>
      <c r="G205" s="82">
        <f>_xlfn.FORECAST.LINEAR(Table9[[#This Row],[Date]],Table9[Units_Sold],Table9[Date])</f>
        <v>99.313864855459414</v>
      </c>
      <c r="H205">
        <f t="shared" si="6"/>
        <v>2.6861351445405859</v>
      </c>
      <c r="I205" s="8">
        <f t="shared" si="7"/>
        <v>2.6334658279809665E-2</v>
      </c>
    </row>
    <row r="206" spans="1:9">
      <c r="A206" s="53">
        <v>48125</v>
      </c>
      <c r="B206" t="str">
        <f>TEXT(Table9[[#This Row],[Date]], "mmm")</f>
        <v>Oct</v>
      </c>
      <c r="C206">
        <f>YEAR(Table9[[#This Row],[Date]])</f>
        <v>2031</v>
      </c>
      <c r="D206" t="s">
        <v>10</v>
      </c>
      <c r="E206" s="14">
        <v>76</v>
      </c>
      <c r="F206">
        <v>98215.31691557102</v>
      </c>
      <c r="G206" s="82">
        <f>_xlfn.FORECAST.LINEAR(Table9[[#This Row],[Date]],Table9[Units_Sold],Table9[Date])</f>
        <v>99.315029052116202</v>
      </c>
      <c r="H206">
        <f t="shared" si="6"/>
        <v>-23.315029052116202</v>
      </c>
      <c r="I206" s="8">
        <f t="shared" si="7"/>
        <v>-0.30677669805416058</v>
      </c>
    </row>
    <row r="207" spans="1:9">
      <c r="A207" s="54">
        <v>48155</v>
      </c>
      <c r="B207" t="str">
        <f>TEXT(Table9[[#This Row],[Date]], "mmm")</f>
        <v>Nov</v>
      </c>
      <c r="C207">
        <f>YEAR(Table9[[#This Row],[Date]])</f>
        <v>2031</v>
      </c>
      <c r="D207" t="s">
        <v>11</v>
      </c>
      <c r="E207" s="15">
        <v>99</v>
      </c>
      <c r="F207">
        <v>99248.587100410368</v>
      </c>
      <c r="G207" s="82">
        <f>_xlfn.FORECAST.LINEAR(Table9[[#This Row],[Date]],Table9[Units_Sold],Table9[Date])</f>
        <v>99.31619324877299</v>
      </c>
      <c r="H207">
        <f t="shared" si="6"/>
        <v>-0.31619324877298993</v>
      </c>
      <c r="I207" s="8">
        <f t="shared" si="7"/>
        <v>-3.193871199727171E-3</v>
      </c>
    </row>
    <row r="208" spans="1:9">
      <c r="A208" s="53">
        <v>48185</v>
      </c>
      <c r="B208" t="str">
        <f>TEXT(Table9[[#This Row],[Date]], "mmm")</f>
        <v>Dec</v>
      </c>
      <c r="C208">
        <f>YEAR(Table9[[#This Row],[Date]])</f>
        <v>2031</v>
      </c>
      <c r="D208" t="s">
        <v>10</v>
      </c>
      <c r="E208" s="14">
        <v>93</v>
      </c>
      <c r="F208">
        <v>65375.973931101493</v>
      </c>
      <c r="G208" s="82">
        <f>_xlfn.FORECAST.LINEAR(Table9[[#This Row],[Date]],Table9[Units_Sold],Table9[Date])</f>
        <v>99.317357445429778</v>
      </c>
      <c r="H208">
        <f t="shared" si="6"/>
        <v>-6.3173574454297778</v>
      </c>
      <c r="I208" s="8">
        <f t="shared" si="7"/>
        <v>-6.7928574682040624E-2</v>
      </c>
    </row>
    <row r="209" spans="1:9">
      <c r="A209" s="54">
        <v>48215</v>
      </c>
      <c r="B209" t="str">
        <f>TEXT(Table9[[#This Row],[Date]], "mmm")</f>
        <v>Jan</v>
      </c>
      <c r="C209">
        <f>YEAR(Table9[[#This Row],[Date]])</f>
        <v>2032</v>
      </c>
      <c r="D209" t="s">
        <v>13</v>
      </c>
      <c r="E209" s="15">
        <v>99</v>
      </c>
      <c r="F209">
        <v>129898.76454906471</v>
      </c>
      <c r="G209" s="82">
        <f>_xlfn.FORECAST.LINEAR(Table9[[#This Row],[Date]],Table9[Units_Sold],Table9[Date])</f>
        <v>99.318521642086566</v>
      </c>
      <c r="H209">
        <f t="shared" si="6"/>
        <v>-0.31852164208656575</v>
      </c>
      <c r="I209" s="8">
        <f t="shared" si="7"/>
        <v>-3.2173903241067246E-3</v>
      </c>
    </row>
    <row r="210" spans="1:9">
      <c r="A210" s="53">
        <v>48245</v>
      </c>
      <c r="B210" t="str">
        <f>TEXT(Table9[[#This Row],[Date]], "mmm")</f>
        <v>Feb</v>
      </c>
      <c r="C210">
        <f>YEAR(Table9[[#This Row],[Date]])</f>
        <v>2032</v>
      </c>
      <c r="D210" t="s">
        <v>12</v>
      </c>
      <c r="E210" s="14">
        <v>102</v>
      </c>
      <c r="F210">
        <v>100826.51264541237</v>
      </c>
      <c r="G210" s="82">
        <f>_xlfn.FORECAST.LINEAR(Table9[[#This Row],[Date]],Table9[Units_Sold],Table9[Date])</f>
        <v>99.319685838743354</v>
      </c>
      <c r="H210">
        <f t="shared" si="6"/>
        <v>2.6803141612566463</v>
      </c>
      <c r="I210" s="8">
        <f t="shared" si="7"/>
        <v>2.627758981624163E-2</v>
      </c>
    </row>
    <row r="211" spans="1:9">
      <c r="A211" s="54">
        <v>48275</v>
      </c>
      <c r="B211" t="str">
        <f>TEXT(Table9[[#This Row],[Date]], "mmm")</f>
        <v>Mar</v>
      </c>
      <c r="C211">
        <f>YEAR(Table9[[#This Row],[Date]])</f>
        <v>2032</v>
      </c>
      <c r="D211" t="s">
        <v>11</v>
      </c>
      <c r="E211" s="15">
        <v>106</v>
      </c>
      <c r="F211">
        <v>108860.04260894751</v>
      </c>
      <c r="G211" s="82">
        <f>_xlfn.FORECAST.LINEAR(Table9[[#This Row],[Date]],Table9[Units_Sold],Table9[Date])</f>
        <v>99.320850035400142</v>
      </c>
      <c r="H211">
        <f t="shared" si="6"/>
        <v>6.6791499645998584</v>
      </c>
      <c r="I211" s="8">
        <f t="shared" si="7"/>
        <v>6.3010848722640178E-2</v>
      </c>
    </row>
    <row r="212" spans="1:9">
      <c r="A212" s="53">
        <v>48305</v>
      </c>
      <c r="B212" t="str">
        <f>TEXT(Table9[[#This Row],[Date]], "mmm")</f>
        <v>Apr</v>
      </c>
      <c r="C212">
        <f>YEAR(Table9[[#This Row],[Date]])</f>
        <v>2032</v>
      </c>
      <c r="D212" t="s">
        <v>14</v>
      </c>
      <c r="E212" s="14">
        <v>94</v>
      </c>
      <c r="F212">
        <v>119030.99541148086</v>
      </c>
      <c r="G212" s="82">
        <f>_xlfn.FORECAST.LINEAR(Table9[[#This Row],[Date]],Table9[Units_Sold],Table9[Date])</f>
        <v>99.322014232056915</v>
      </c>
      <c r="H212">
        <f t="shared" si="6"/>
        <v>-5.3220142320569153</v>
      </c>
      <c r="I212" s="8">
        <f t="shared" si="7"/>
        <v>-5.6617172681456544E-2</v>
      </c>
    </row>
    <row r="213" spans="1:9">
      <c r="A213" s="54">
        <v>48335</v>
      </c>
      <c r="B213" t="str">
        <f>TEXT(Table9[[#This Row],[Date]], "mmm")</f>
        <v>May</v>
      </c>
      <c r="C213">
        <f>YEAR(Table9[[#This Row],[Date]])</f>
        <v>2032</v>
      </c>
      <c r="D213" t="s">
        <v>12</v>
      </c>
      <c r="E213" s="15">
        <v>105</v>
      </c>
      <c r="F213">
        <v>79576.750848793992</v>
      </c>
      <c r="G213" s="82">
        <f>_xlfn.FORECAST.LINEAR(Table9[[#This Row],[Date]],Table9[Units_Sold],Table9[Date])</f>
        <v>99.323178428713703</v>
      </c>
      <c r="H213">
        <f t="shared" si="6"/>
        <v>5.6768215712862968</v>
      </c>
      <c r="I213" s="8">
        <f t="shared" si="7"/>
        <v>5.4064967345583782E-2</v>
      </c>
    </row>
    <row r="214" spans="1:9">
      <c r="A214" s="53">
        <v>48365</v>
      </c>
      <c r="B214" t="str">
        <f>TEXT(Table9[[#This Row],[Date]], "mmm")</f>
        <v>May</v>
      </c>
      <c r="C214">
        <f>YEAR(Table9[[#This Row],[Date]])</f>
        <v>2032</v>
      </c>
      <c r="D214" t="s">
        <v>13</v>
      </c>
      <c r="E214" s="14">
        <v>100</v>
      </c>
      <c r="F214">
        <v>109469.43798070456</v>
      </c>
      <c r="G214" s="82">
        <f>_xlfn.FORECAST.LINEAR(Table9[[#This Row],[Date]],Table9[Units_Sold],Table9[Date])</f>
        <v>99.324342625370491</v>
      </c>
      <c r="H214">
        <f t="shared" si="6"/>
        <v>0.67565737462950892</v>
      </c>
      <c r="I214" s="8">
        <f t="shared" si="7"/>
        <v>6.7565737462950892E-3</v>
      </c>
    </row>
    <row r="215" spans="1:9">
      <c r="A215" s="54">
        <v>48395</v>
      </c>
      <c r="B215" t="str">
        <f>TEXT(Table9[[#This Row],[Date]], "mmm")</f>
        <v>Jun</v>
      </c>
      <c r="C215">
        <f>YEAR(Table9[[#This Row],[Date]])</f>
        <v>2032</v>
      </c>
      <c r="D215" t="s">
        <v>12</v>
      </c>
      <c r="E215" s="15">
        <v>122</v>
      </c>
      <c r="F215">
        <v>94647.17818202413</v>
      </c>
      <c r="G215" s="82">
        <f>_xlfn.FORECAST.LINEAR(Table9[[#This Row],[Date]],Table9[Units_Sold],Table9[Date])</f>
        <v>99.325506822027279</v>
      </c>
      <c r="H215">
        <f t="shared" si="6"/>
        <v>22.674493177972721</v>
      </c>
      <c r="I215" s="8">
        <f t="shared" si="7"/>
        <v>0.18585650145879279</v>
      </c>
    </row>
    <row r="216" spans="1:9">
      <c r="A216" s="53">
        <v>48425</v>
      </c>
      <c r="B216" t="str">
        <f>TEXT(Table9[[#This Row],[Date]], "mmm")</f>
        <v>Jul</v>
      </c>
      <c r="C216">
        <f>YEAR(Table9[[#This Row],[Date]])</f>
        <v>2032</v>
      </c>
      <c r="D216" t="s">
        <v>13</v>
      </c>
      <c r="E216" s="14">
        <v>103</v>
      </c>
      <c r="F216">
        <v>116935.41550432987</v>
      </c>
      <c r="G216" s="82">
        <f>_xlfn.FORECAST.LINEAR(Table9[[#This Row],[Date]],Table9[Units_Sold],Table9[Date])</f>
        <v>99.326671018684067</v>
      </c>
      <c r="H216">
        <f t="shared" si="6"/>
        <v>3.6733289813159331</v>
      </c>
      <c r="I216" s="8">
        <f t="shared" si="7"/>
        <v>3.5663388168115859E-2</v>
      </c>
    </row>
    <row r="217" spans="1:9">
      <c r="A217" s="54">
        <v>48455</v>
      </c>
      <c r="B217" t="str">
        <f>TEXT(Table9[[#This Row],[Date]], "mmm")</f>
        <v>Aug</v>
      </c>
      <c r="C217">
        <f>YEAR(Table9[[#This Row],[Date]])</f>
        <v>2032</v>
      </c>
      <c r="D217" t="s">
        <v>13</v>
      </c>
      <c r="E217" s="15">
        <v>119</v>
      </c>
      <c r="F217">
        <f>IF(ISBLANK(F208), K219, F208)</f>
        <v>65375.973931101493</v>
      </c>
      <c r="G217" s="82">
        <f>_xlfn.FORECAST.LINEAR(Table9[[#This Row],[Date]],Table9[Units_Sold],Table9[Date])</f>
        <v>99.327835215340855</v>
      </c>
      <c r="H217">
        <f t="shared" si="6"/>
        <v>19.672164784659145</v>
      </c>
      <c r="I217" s="8">
        <f t="shared" si="7"/>
        <v>0.16531230911478273</v>
      </c>
    </row>
    <row r="218" spans="1:9">
      <c r="A218" s="53">
        <v>48485</v>
      </c>
      <c r="B218" t="str">
        <f>TEXT(Table9[[#This Row],[Date]], "mmm")</f>
        <v>Sep</v>
      </c>
      <c r="C218">
        <f>YEAR(Table9[[#This Row],[Date]])</f>
        <v>2032</v>
      </c>
      <c r="D218" t="s">
        <v>14</v>
      </c>
      <c r="E218" s="14">
        <v>76</v>
      </c>
      <c r="F218">
        <v>98018.113995174615</v>
      </c>
      <c r="G218" s="82">
        <f>_xlfn.FORECAST.LINEAR(Table9[[#This Row],[Date]],Table9[Units_Sold],Table9[Date])</f>
        <v>99.328999411997643</v>
      </c>
      <c r="H218">
        <f t="shared" si="6"/>
        <v>-23.328999411997643</v>
      </c>
      <c r="I218" s="8">
        <f t="shared" si="7"/>
        <v>-0.30696051857891637</v>
      </c>
    </row>
    <row r="219" spans="1:9">
      <c r="A219" s="54">
        <v>48515</v>
      </c>
      <c r="B219" t="str">
        <f>TEXT(Table9[[#This Row],[Date]], "mmm")</f>
        <v>Oct</v>
      </c>
      <c r="C219">
        <f>YEAR(Table9[[#This Row],[Date]])</f>
        <v>2032</v>
      </c>
      <c r="D219" t="s">
        <v>12</v>
      </c>
      <c r="E219" s="15">
        <v>96</v>
      </c>
      <c r="F219">
        <v>87943.586884320772</v>
      </c>
      <c r="G219" s="82">
        <f>_xlfn.FORECAST.LINEAR(Table9[[#This Row],[Date]],Table9[Units_Sold],Table9[Date])</f>
        <v>99.330163608654431</v>
      </c>
      <c r="H219">
        <f t="shared" si="6"/>
        <v>-3.3301636086544306</v>
      </c>
      <c r="I219" s="8">
        <f t="shared" si="7"/>
        <v>-3.4689204256816986E-2</v>
      </c>
    </row>
    <row r="220" spans="1:9">
      <c r="A220" s="53">
        <v>48545</v>
      </c>
      <c r="B220" t="str">
        <f>TEXT(Table9[[#This Row],[Date]], "mmm")</f>
        <v>Nov</v>
      </c>
      <c r="C220">
        <f>YEAR(Table9[[#This Row],[Date]])</f>
        <v>2032</v>
      </c>
      <c r="D220" t="s">
        <v>14</v>
      </c>
      <c r="E220" s="14">
        <v>103</v>
      </c>
      <c r="F220">
        <v>108645.25901268311</v>
      </c>
      <c r="G220" s="82">
        <f>_xlfn.FORECAST.LINEAR(Table9[[#This Row],[Date]],Table9[Units_Sold],Table9[Date])</f>
        <v>99.331327805311219</v>
      </c>
      <c r="H220">
        <f t="shared" si="6"/>
        <v>3.6686721946887815</v>
      </c>
      <c r="I220" s="8">
        <f t="shared" si="7"/>
        <v>3.5618176647463896E-2</v>
      </c>
    </row>
    <row r="221" spans="1:9">
      <c r="A221" s="54">
        <v>48575</v>
      </c>
      <c r="B221" t="str">
        <f>TEXT(Table9[[#This Row],[Date]], "mmm")</f>
        <v>Dec</v>
      </c>
      <c r="C221">
        <f>YEAR(Table9[[#This Row],[Date]])</f>
        <v>2032</v>
      </c>
      <c r="D221" t="s">
        <v>14</v>
      </c>
      <c r="E221" s="15">
        <v>111</v>
      </c>
      <c r="F221">
        <v>109400.88374736405</v>
      </c>
      <c r="G221" s="82">
        <f>_xlfn.FORECAST.LINEAR(Table9[[#This Row],[Date]],Table9[Units_Sold],Table9[Date])</f>
        <v>99.332492001968006</v>
      </c>
      <c r="H221">
        <f t="shared" si="6"/>
        <v>11.667507998031994</v>
      </c>
      <c r="I221" s="8">
        <f t="shared" si="7"/>
        <v>0.10511268466695489</v>
      </c>
    </row>
    <row r="222" spans="1:9">
      <c r="A222" s="53">
        <v>48605</v>
      </c>
      <c r="B222" t="str">
        <f>TEXT(Table9[[#This Row],[Date]], "mmm")</f>
        <v>Jan</v>
      </c>
      <c r="C222">
        <f>YEAR(Table9[[#This Row],[Date]])</f>
        <v>2033</v>
      </c>
      <c r="D222" t="s">
        <v>12</v>
      </c>
      <c r="E222" s="14">
        <v>97</v>
      </c>
      <c r="F222">
        <v>85847.48210355948</v>
      </c>
      <c r="G222" s="82">
        <f>_xlfn.FORECAST.LINEAR(Table9[[#This Row],[Date]],Table9[Units_Sold],Table9[Date])</f>
        <v>99.333656198624794</v>
      </c>
      <c r="H222">
        <f t="shared" si="6"/>
        <v>-2.3336561986247943</v>
      </c>
      <c r="I222" s="8">
        <f t="shared" si="7"/>
        <v>-2.4058311326028807E-2</v>
      </c>
    </row>
    <row r="223" spans="1:9">
      <c r="A223" s="54">
        <v>48635</v>
      </c>
      <c r="B223" t="str">
        <f>TEXT(Table9[[#This Row],[Date]], "mmm")</f>
        <v>Feb</v>
      </c>
      <c r="C223">
        <f>YEAR(Table9[[#This Row],[Date]])</f>
        <v>2033</v>
      </c>
      <c r="D223" t="s">
        <v>10</v>
      </c>
      <c r="E223" s="15">
        <v>112</v>
      </c>
      <c r="F223">
        <v>85756.522716479129</v>
      </c>
      <c r="G223" s="82">
        <f>_xlfn.FORECAST.LINEAR(Table9[[#This Row],[Date]],Table9[Units_Sold],Table9[Date])</f>
        <v>99.334820395281568</v>
      </c>
      <c r="H223">
        <f t="shared" si="6"/>
        <v>12.665179604718432</v>
      </c>
      <c r="I223" s="8">
        <f t="shared" si="7"/>
        <v>0.11308196075641457</v>
      </c>
    </row>
    <row r="224" spans="1:9">
      <c r="A224" s="53">
        <v>48665</v>
      </c>
      <c r="B224" t="str">
        <f>TEXT(Table9[[#This Row],[Date]], "mmm")</f>
        <v>Mar</v>
      </c>
      <c r="C224">
        <f>YEAR(Table9[[#This Row],[Date]])</f>
        <v>2033</v>
      </c>
      <c r="D224" t="s">
        <v>10</v>
      </c>
      <c r="E224" s="14">
        <v>99</v>
      </c>
      <c r="F224">
        <v>97786.692628853416</v>
      </c>
      <c r="G224" s="82">
        <f>_xlfn.FORECAST.LINEAR(Table9[[#This Row],[Date]],Table9[Units_Sold],Table9[Date])</f>
        <v>99.335984591938356</v>
      </c>
      <c r="H224">
        <f t="shared" si="6"/>
        <v>-0.33598459193835595</v>
      </c>
      <c r="I224" s="8">
        <f t="shared" si="7"/>
        <v>-3.3937837569530905E-3</v>
      </c>
    </row>
    <row r="225" spans="1:9">
      <c r="A225" s="54">
        <v>48695</v>
      </c>
      <c r="B225" t="str">
        <f>TEXT(Table9[[#This Row],[Date]], "mmm")</f>
        <v>Apr</v>
      </c>
      <c r="C225">
        <f>YEAR(Table9[[#This Row],[Date]])</f>
        <v>2033</v>
      </c>
      <c r="D225" t="s">
        <v>14</v>
      </c>
      <c r="E225" s="15">
        <v>124</v>
      </c>
      <c r="F225">
        <v>82067.155453695828</v>
      </c>
      <c r="G225" s="82">
        <f>_xlfn.FORECAST.LINEAR(Table9[[#This Row],[Date]],Table9[Units_Sold],Table9[Date])</f>
        <v>99.337148788595144</v>
      </c>
      <c r="H225">
        <f t="shared" si="6"/>
        <v>24.662851211404856</v>
      </c>
      <c r="I225" s="8">
        <f t="shared" si="7"/>
        <v>0.19889396138229723</v>
      </c>
    </row>
    <row r="226" spans="1:9">
      <c r="A226" s="53">
        <v>48725</v>
      </c>
      <c r="B226" t="str">
        <f>TEXT(Table9[[#This Row],[Date]], "mmm")</f>
        <v>May</v>
      </c>
      <c r="C226">
        <f>YEAR(Table9[[#This Row],[Date]])</f>
        <v>2033</v>
      </c>
      <c r="D226" t="s">
        <v>11</v>
      </c>
      <c r="E226" s="14">
        <v>91</v>
      </c>
      <c r="F226">
        <v>116839.67390904254</v>
      </c>
      <c r="G226" s="82">
        <f>_xlfn.FORECAST.LINEAR(Table9[[#This Row],[Date]],Table9[Units_Sold],Table9[Date])</f>
        <v>99.338312985251932</v>
      </c>
      <c r="H226">
        <f t="shared" si="6"/>
        <v>-8.3383129852519318</v>
      </c>
      <c r="I226" s="8">
        <f t="shared" si="7"/>
        <v>-9.1629813024746501E-2</v>
      </c>
    </row>
    <row r="227" spans="1:9">
      <c r="A227" s="54">
        <v>48755</v>
      </c>
      <c r="B227" t="str">
        <f>TEXT(Table9[[#This Row],[Date]], "mmm")</f>
        <v>Jun</v>
      </c>
      <c r="C227">
        <f>YEAR(Table9[[#This Row],[Date]])</f>
        <v>2033</v>
      </c>
      <c r="D227" t="s">
        <v>14</v>
      </c>
      <c r="E227" s="15">
        <v>103</v>
      </c>
      <c r="F227">
        <v>92615.855991051081</v>
      </c>
      <c r="G227" s="82">
        <f>_xlfn.FORECAST.LINEAR(Table9[[#This Row],[Date]],Table9[Units_Sold],Table9[Date])</f>
        <v>99.33947718190872</v>
      </c>
      <c r="H227">
        <f t="shared" si="6"/>
        <v>3.6605228180912803</v>
      </c>
      <c r="I227" s="8">
        <f t="shared" si="7"/>
        <v>3.5539056486323113E-2</v>
      </c>
    </row>
    <row r="228" spans="1:9">
      <c r="A228" s="53">
        <v>48785</v>
      </c>
      <c r="B228" t="str">
        <f>TEXT(Table9[[#This Row],[Date]], "mmm")</f>
        <v>Jul</v>
      </c>
      <c r="C228">
        <f>YEAR(Table9[[#This Row],[Date]])</f>
        <v>2033</v>
      </c>
      <c r="D228" t="s">
        <v>14</v>
      </c>
      <c r="E228" s="14">
        <v>86</v>
      </c>
      <c r="F228">
        <v>41860.235613567173</v>
      </c>
      <c r="G228" s="82">
        <f>_xlfn.FORECAST.LINEAR(Table9[[#This Row],[Date]],Table9[Units_Sold],Table9[Date])</f>
        <v>99.340641378565508</v>
      </c>
      <c r="H228">
        <f t="shared" si="6"/>
        <v>-13.340641378565508</v>
      </c>
      <c r="I228" s="8">
        <f t="shared" si="7"/>
        <v>-0.15512373696006404</v>
      </c>
    </row>
    <row r="229" spans="1:9">
      <c r="A229" s="54">
        <v>48815</v>
      </c>
      <c r="B229" t="str">
        <f>TEXT(Table9[[#This Row],[Date]], "mmm")</f>
        <v>Aug</v>
      </c>
      <c r="C229">
        <f>YEAR(Table9[[#This Row],[Date]])</f>
        <v>2033</v>
      </c>
      <c r="D229" t="s">
        <v>14</v>
      </c>
      <c r="E229" s="15">
        <v>101</v>
      </c>
      <c r="F229">
        <v>92503.558867563872</v>
      </c>
      <c r="G229" s="82">
        <f>_xlfn.FORECAST.LINEAR(Table9[[#This Row],[Date]],Table9[Units_Sold],Table9[Date])</f>
        <v>99.341805575222295</v>
      </c>
      <c r="H229">
        <f t="shared" si="6"/>
        <v>1.6581944247777045</v>
      </c>
      <c r="I229" s="8">
        <f t="shared" si="7"/>
        <v>1.6417766581957472E-2</v>
      </c>
    </row>
    <row r="230" spans="1:9">
      <c r="A230" s="53">
        <v>48845</v>
      </c>
      <c r="B230" t="str">
        <f>TEXT(Table9[[#This Row],[Date]], "mmm")</f>
        <v>Sep</v>
      </c>
      <c r="C230">
        <f>YEAR(Table9[[#This Row],[Date]])</f>
        <v>2033</v>
      </c>
      <c r="D230" t="s">
        <v>10</v>
      </c>
      <c r="E230" s="14">
        <v>101</v>
      </c>
      <c r="F230">
        <v>79229.123583120556</v>
      </c>
      <c r="G230" s="82">
        <f>_xlfn.FORECAST.LINEAR(Table9[[#This Row],[Date]],Table9[Units_Sold],Table9[Date])</f>
        <v>99.342969771879083</v>
      </c>
      <c r="H230">
        <f t="shared" si="6"/>
        <v>1.6570302281209166</v>
      </c>
      <c r="I230" s="8">
        <f t="shared" si="7"/>
        <v>1.6406239882385314E-2</v>
      </c>
    </row>
    <row r="231" spans="1:9">
      <c r="A231" s="54">
        <v>48875</v>
      </c>
      <c r="B231" t="str">
        <f>TEXT(Table9[[#This Row],[Date]], "mmm")</f>
        <v>Oct</v>
      </c>
      <c r="C231">
        <f>YEAR(Table9[[#This Row],[Date]])</f>
        <v>2033</v>
      </c>
      <c r="D231" t="s">
        <v>10</v>
      </c>
      <c r="E231" s="15">
        <v>101</v>
      </c>
      <c r="F231">
        <v>67374.483690781082</v>
      </c>
      <c r="G231" s="82">
        <f>_xlfn.FORECAST.LINEAR(Table9[[#This Row],[Date]],Table9[Units_Sold],Table9[Date])</f>
        <v>99.344133968535871</v>
      </c>
      <c r="H231">
        <f t="shared" si="6"/>
        <v>1.6558660314641287</v>
      </c>
      <c r="I231" s="8">
        <f t="shared" si="7"/>
        <v>1.6394713182813155E-2</v>
      </c>
    </row>
    <row r="232" spans="1:9">
      <c r="A232" s="53">
        <v>48905</v>
      </c>
      <c r="B232" t="str">
        <f>TEXT(Table9[[#This Row],[Date]], "mmm")</f>
        <v>Nov</v>
      </c>
      <c r="C232">
        <f>YEAR(Table9[[#This Row],[Date]])</f>
        <v>2033</v>
      </c>
      <c r="D232" t="s">
        <v>10</v>
      </c>
      <c r="E232" s="14">
        <v>113</v>
      </c>
      <c r="F232">
        <v>75251.467235548553</v>
      </c>
      <c r="G232" s="82">
        <f>_xlfn.FORECAST.LINEAR(Table9[[#This Row],[Date]],Table9[Units_Sold],Table9[Date])</f>
        <v>99.345298165192659</v>
      </c>
      <c r="H232">
        <f t="shared" si="6"/>
        <v>13.654701834807341</v>
      </c>
      <c r="I232" s="8">
        <f t="shared" si="7"/>
        <v>0.12083806933457823</v>
      </c>
    </row>
    <row r="233" spans="1:9">
      <c r="A233" s="54">
        <v>48935</v>
      </c>
      <c r="B233" t="str">
        <f>TEXT(Table9[[#This Row],[Date]], "mmm")</f>
        <v>Dec</v>
      </c>
      <c r="C233">
        <f>YEAR(Table9[[#This Row],[Date]])</f>
        <v>2033</v>
      </c>
      <c r="D233" t="s">
        <v>14</v>
      </c>
      <c r="E233" s="15">
        <v>87</v>
      </c>
      <c r="F233">
        <v>102188.1694366594</v>
      </c>
      <c r="G233" s="82">
        <f>_xlfn.FORECAST.LINEAR(Table9[[#This Row],[Date]],Table9[Units_Sold],Table9[Date])</f>
        <v>99.346462361849447</v>
      </c>
      <c r="H233">
        <f t="shared" si="6"/>
        <v>-12.346462361849447</v>
      </c>
      <c r="I233" s="8">
        <f t="shared" si="7"/>
        <v>-0.14191336048102812</v>
      </c>
    </row>
    <row r="234" spans="1:9">
      <c r="A234" s="53">
        <v>48965</v>
      </c>
      <c r="B234" t="str">
        <f>TEXT(Table9[[#This Row],[Date]], "mmm")</f>
        <v>Jan</v>
      </c>
      <c r="C234">
        <f>YEAR(Table9[[#This Row],[Date]])</f>
        <v>2034</v>
      </c>
      <c r="D234" t="s">
        <v>11</v>
      </c>
      <c r="E234" s="14">
        <v>108</v>
      </c>
      <c r="F234">
        <f>IF(ISBLANK(F225), K236, F225)</f>
        <v>82067.155453695828</v>
      </c>
      <c r="G234" s="82">
        <f>_xlfn.FORECAST.LINEAR(Table9[[#This Row],[Date]],Table9[Units_Sold],Table9[Date])</f>
        <v>99.347626558506221</v>
      </c>
      <c r="H234">
        <f t="shared" si="6"/>
        <v>8.6523734414937792</v>
      </c>
      <c r="I234" s="8">
        <f t="shared" si="7"/>
        <v>8.0114568902720174E-2</v>
      </c>
    </row>
    <row r="235" spans="1:9">
      <c r="A235" s="54">
        <v>48995</v>
      </c>
      <c r="B235" t="str">
        <f>TEXT(Table9[[#This Row],[Date]], "mmm")</f>
        <v>Feb</v>
      </c>
      <c r="C235">
        <f>YEAR(Table9[[#This Row],[Date]])</f>
        <v>2034</v>
      </c>
      <c r="D235" t="s">
        <v>10</v>
      </c>
      <c r="E235" s="15">
        <v>100</v>
      </c>
      <c r="F235">
        <v>106263.6894772996</v>
      </c>
      <c r="G235" s="82">
        <f>_xlfn.FORECAST.LINEAR(Table9[[#This Row],[Date]],Table9[Units_Sold],Table9[Date])</f>
        <v>99.348790755163009</v>
      </c>
      <c r="H235">
        <f t="shared" si="6"/>
        <v>0.65120924483699127</v>
      </c>
      <c r="I235" s="8">
        <f t="shared" si="7"/>
        <v>6.512092448369913E-3</v>
      </c>
    </row>
    <row r="236" spans="1:9">
      <c r="A236" s="53">
        <v>49025</v>
      </c>
      <c r="B236" t="str">
        <f>TEXT(Table9[[#This Row],[Date]], "mmm")</f>
        <v>Mar</v>
      </c>
      <c r="C236">
        <f>YEAR(Table9[[#This Row],[Date]])</f>
        <v>2034</v>
      </c>
      <c r="D236" t="s">
        <v>12</v>
      </c>
      <c r="E236" s="14">
        <v>87</v>
      </c>
      <c r="F236">
        <v>87869.932235685206</v>
      </c>
      <c r="G236" s="82">
        <f>_xlfn.FORECAST.LINEAR(Table9[[#This Row],[Date]],Table9[Units_Sold],Table9[Date])</f>
        <v>99.349954951819797</v>
      </c>
      <c r="H236">
        <f t="shared" si="6"/>
        <v>-12.349954951819797</v>
      </c>
      <c r="I236" s="8">
        <f t="shared" si="7"/>
        <v>-0.141953505193331</v>
      </c>
    </row>
    <row r="237" spans="1:9">
      <c r="A237" s="54">
        <v>49055</v>
      </c>
      <c r="B237" t="str">
        <f>TEXT(Table9[[#This Row],[Date]], "mmm")</f>
        <v>Apr</v>
      </c>
      <c r="C237">
        <f>YEAR(Table9[[#This Row],[Date]])</f>
        <v>2034</v>
      </c>
      <c r="D237" t="s">
        <v>12</v>
      </c>
      <c r="E237" s="15">
        <v>96</v>
      </c>
      <c r="F237">
        <v>109118.08390341405</v>
      </c>
      <c r="G237" s="82">
        <f>_xlfn.FORECAST.LINEAR(Table9[[#This Row],[Date]],Table9[Units_Sold],Table9[Date])</f>
        <v>99.351119148476585</v>
      </c>
      <c r="H237">
        <f t="shared" si="6"/>
        <v>-3.3511191484765845</v>
      </c>
      <c r="I237" s="8">
        <f t="shared" si="7"/>
        <v>-3.490749112996442E-2</v>
      </c>
    </row>
    <row r="238" spans="1:9">
      <c r="A238" s="53">
        <v>49085</v>
      </c>
      <c r="B238" t="str">
        <f>TEXT(Table9[[#This Row],[Date]], "mmm")</f>
        <v>May</v>
      </c>
      <c r="C238">
        <f>YEAR(Table9[[#This Row],[Date]])</f>
        <v>2034</v>
      </c>
      <c r="D238" t="s">
        <v>12</v>
      </c>
      <c r="E238" s="14">
        <v>97</v>
      </c>
      <c r="F238">
        <f>IF(ISBLANK(F229), K240, F229)</f>
        <v>92503.558867563872</v>
      </c>
      <c r="G238" s="82">
        <f>_xlfn.FORECAST.LINEAR(Table9[[#This Row],[Date]],Table9[Units_Sold],Table9[Date])</f>
        <v>99.352283345133372</v>
      </c>
      <c r="H238">
        <f t="shared" si="6"/>
        <v>-2.3522833451333724</v>
      </c>
      <c r="I238" s="8">
        <f t="shared" si="7"/>
        <v>-2.4250343764261571E-2</v>
      </c>
    </row>
    <row r="239" spans="1:9">
      <c r="A239" s="54">
        <v>49115</v>
      </c>
      <c r="B239" t="str">
        <f>TEXT(Table9[[#This Row],[Date]], "mmm")</f>
        <v>Jun</v>
      </c>
      <c r="C239">
        <f>YEAR(Table9[[#This Row],[Date]])</f>
        <v>2034</v>
      </c>
      <c r="D239" t="s">
        <v>13</v>
      </c>
      <c r="E239" s="15">
        <v>116</v>
      </c>
      <c r="F239">
        <v>86107.992616737116</v>
      </c>
      <c r="G239" s="82">
        <f>_xlfn.FORECAST.LINEAR(Table9[[#This Row],[Date]],Table9[Units_Sold],Table9[Date])</f>
        <v>99.35344754179016</v>
      </c>
      <c r="H239">
        <f t="shared" si="6"/>
        <v>16.64655245820984</v>
      </c>
      <c r="I239" s="8">
        <f t="shared" si="7"/>
        <v>0.14350476257077449</v>
      </c>
    </row>
    <row r="240" spans="1:9">
      <c r="A240" s="53">
        <v>49145</v>
      </c>
      <c r="B240" t="str">
        <f>TEXT(Table9[[#This Row],[Date]], "mmm")</f>
        <v>Jul</v>
      </c>
      <c r="C240">
        <f>YEAR(Table9[[#This Row],[Date]])</f>
        <v>2034</v>
      </c>
      <c r="D240" t="s">
        <v>14</v>
      </c>
      <c r="E240" s="14">
        <v>100</v>
      </c>
      <c r="F240">
        <v>76912.746635340314</v>
      </c>
      <c r="G240" s="82">
        <f>_xlfn.FORECAST.LINEAR(Table9[[#This Row],[Date]],Table9[Units_Sold],Table9[Date])</f>
        <v>99.354611738446948</v>
      </c>
      <c r="H240">
        <f t="shared" si="6"/>
        <v>0.64538826155305173</v>
      </c>
      <c r="I240" s="8">
        <f t="shared" si="7"/>
        <v>6.4538826155305174E-3</v>
      </c>
    </row>
    <row r="241" spans="1:9">
      <c r="A241" s="54">
        <v>49175</v>
      </c>
      <c r="B241" t="str">
        <f>TEXT(Table9[[#This Row],[Date]], "mmm")</f>
        <v>Aug</v>
      </c>
      <c r="C241">
        <f>YEAR(Table9[[#This Row],[Date]])</f>
        <v>2034</v>
      </c>
      <c r="D241" t="s">
        <v>12</v>
      </c>
      <c r="E241" s="15">
        <v>97</v>
      </c>
      <c r="F241">
        <v>64963.423864965618</v>
      </c>
      <c r="G241" s="82">
        <f>_xlfn.FORECAST.LINEAR(Table9[[#This Row],[Date]],Table9[Units_Sold],Table9[Date])</f>
        <v>99.355775935103736</v>
      </c>
      <c r="H241">
        <f t="shared" si="6"/>
        <v>-2.3557759351037362</v>
      </c>
      <c r="I241" s="8">
        <f t="shared" si="7"/>
        <v>-2.4286349846430268E-2</v>
      </c>
    </row>
    <row r="242" spans="1:9">
      <c r="A242" s="53">
        <v>49205</v>
      </c>
      <c r="B242" t="str">
        <f>TEXT(Table9[[#This Row],[Date]], "mmm")</f>
        <v>Sep</v>
      </c>
      <c r="C242">
        <f>YEAR(Table9[[#This Row],[Date]])</f>
        <v>2034</v>
      </c>
      <c r="D242" t="s">
        <v>14</v>
      </c>
      <c r="E242" s="14">
        <v>100</v>
      </c>
      <c r="F242">
        <f>IF(ISBLANK(F233), K244, F233)</f>
        <v>102188.1694366594</v>
      </c>
      <c r="G242" s="82">
        <f>_xlfn.FORECAST.LINEAR(Table9[[#This Row],[Date]],Table9[Units_Sold],Table9[Date])</f>
        <v>99.356940131760524</v>
      </c>
      <c r="H242">
        <f t="shared" si="6"/>
        <v>0.64305986823947592</v>
      </c>
      <c r="I242" s="8">
        <f t="shared" si="7"/>
        <v>6.4305986823947588E-3</v>
      </c>
    </row>
    <row r="243" spans="1:9">
      <c r="A243" s="54">
        <v>49235</v>
      </c>
      <c r="B243" t="str">
        <f>TEXT(Table9[[#This Row],[Date]], "mmm")</f>
        <v>Oct</v>
      </c>
      <c r="C243">
        <f>YEAR(Table9[[#This Row],[Date]])</f>
        <v>2034</v>
      </c>
      <c r="D243" t="s">
        <v>12</v>
      </c>
      <c r="E243" s="15">
        <v>99</v>
      </c>
      <c r="F243">
        <v>103161.06979840263</v>
      </c>
      <c r="G243" s="82">
        <f>_xlfn.FORECAST.LINEAR(Table9[[#This Row],[Date]],Table9[Units_Sold],Table9[Date])</f>
        <v>99.358104328417312</v>
      </c>
      <c r="H243">
        <f t="shared" si="6"/>
        <v>-0.35810432841731199</v>
      </c>
      <c r="I243" s="8">
        <f t="shared" si="7"/>
        <v>-3.6172154385587072E-3</v>
      </c>
    </row>
    <row r="244" spans="1:9">
      <c r="A244" s="53">
        <v>49265</v>
      </c>
      <c r="B244" t="str">
        <f>TEXT(Table9[[#This Row],[Date]], "mmm")</f>
        <v>Nov</v>
      </c>
      <c r="C244">
        <f>YEAR(Table9[[#This Row],[Date]])</f>
        <v>2034</v>
      </c>
      <c r="D244" t="s">
        <v>11</v>
      </c>
      <c r="E244" s="14">
        <v>100</v>
      </c>
      <c r="F244">
        <v>98067.526599702207</v>
      </c>
      <c r="G244" s="82">
        <f>_xlfn.FORECAST.LINEAR(Table9[[#This Row],[Date]],Table9[Units_Sold],Table9[Date])</f>
        <v>99.3592685250741</v>
      </c>
      <c r="H244">
        <f t="shared" si="6"/>
        <v>0.6407314749259001</v>
      </c>
      <c r="I244" s="8">
        <f t="shared" si="7"/>
        <v>6.4073147492590011E-3</v>
      </c>
    </row>
    <row r="245" spans="1:9">
      <c r="A245" s="54">
        <v>49295</v>
      </c>
      <c r="B245" t="str">
        <f>TEXT(Table9[[#This Row],[Date]], "mmm")</f>
        <v>Dec</v>
      </c>
      <c r="C245">
        <f>YEAR(Table9[[#This Row],[Date]])</f>
        <v>2034</v>
      </c>
      <c r="D245" t="s">
        <v>14</v>
      </c>
      <c r="E245" s="15">
        <v>100</v>
      </c>
      <c r="F245">
        <v>91680.661441052827</v>
      </c>
      <c r="G245" s="82">
        <f>_xlfn.FORECAST.LINEAR(Table9[[#This Row],[Date]],Table9[Units_Sold],Table9[Date])</f>
        <v>99.360432721730874</v>
      </c>
      <c r="H245">
        <f t="shared" si="6"/>
        <v>0.6395672782691264</v>
      </c>
      <c r="I245" s="8">
        <f t="shared" si="7"/>
        <v>6.395672782691264E-3</v>
      </c>
    </row>
    <row r="246" spans="1:9">
      <c r="A246" s="53">
        <v>49325</v>
      </c>
      <c r="B246" t="str">
        <f>TEXT(Table9[[#This Row],[Date]], "mmm")</f>
        <v>Jan</v>
      </c>
      <c r="C246">
        <f>YEAR(Table9[[#This Row],[Date]])</f>
        <v>2035</v>
      </c>
      <c r="D246" t="s">
        <v>12</v>
      </c>
      <c r="E246" s="14">
        <v>82</v>
      </c>
      <c r="F246">
        <v>81085.078786064376</v>
      </c>
      <c r="G246" s="82">
        <f>_xlfn.FORECAST.LINEAR(Table9[[#This Row],[Date]],Table9[Units_Sold],Table9[Date])</f>
        <v>99.361596918387662</v>
      </c>
      <c r="H246">
        <f t="shared" si="6"/>
        <v>-17.361596918387662</v>
      </c>
      <c r="I246" s="8">
        <f t="shared" si="7"/>
        <v>-0.2117267916876544</v>
      </c>
    </row>
    <row r="247" spans="1:9">
      <c r="A247" s="54">
        <v>49355</v>
      </c>
      <c r="B247" t="str">
        <f>TEXT(Table9[[#This Row],[Date]], "mmm")</f>
        <v>Feb</v>
      </c>
      <c r="C247">
        <f>YEAR(Table9[[#This Row],[Date]])</f>
        <v>2035</v>
      </c>
      <c r="D247" t="s">
        <v>10</v>
      </c>
      <c r="E247" s="15">
        <v>87</v>
      </c>
      <c r="F247">
        <v>112164.92383369937</v>
      </c>
      <c r="G247" s="82">
        <f>_xlfn.FORECAST.LINEAR(Table9[[#This Row],[Date]],Table9[Units_Sold],Table9[Date])</f>
        <v>99.362761115044449</v>
      </c>
      <c r="H247">
        <f t="shared" si="6"/>
        <v>-12.362761115044449</v>
      </c>
      <c r="I247" s="8">
        <f t="shared" si="7"/>
        <v>-0.14210070247177528</v>
      </c>
    </row>
    <row r="248" spans="1:9">
      <c r="A248" s="53">
        <v>49385</v>
      </c>
      <c r="B248" t="str">
        <f>TEXT(Table9[[#This Row],[Date]], "mmm")</f>
        <v>Mar</v>
      </c>
      <c r="C248">
        <f>YEAR(Table9[[#This Row],[Date]])</f>
        <v>2035</v>
      </c>
      <c r="D248" t="s">
        <v>14</v>
      </c>
      <c r="E248" s="14">
        <v>87</v>
      </c>
      <c r="F248">
        <v>73657.361601068304</v>
      </c>
      <c r="G248" s="82">
        <f>_xlfn.FORECAST.LINEAR(Table9[[#This Row],[Date]],Table9[Units_Sold],Table9[Date])</f>
        <v>99.363925311701237</v>
      </c>
      <c r="H248">
        <f t="shared" si="6"/>
        <v>-12.363925311701237</v>
      </c>
      <c r="I248" s="8">
        <f t="shared" si="7"/>
        <v>-0.14211408404254297</v>
      </c>
    </row>
    <row r="249" spans="1:9">
      <c r="A249" s="54">
        <v>49415</v>
      </c>
      <c r="B249" t="str">
        <f>TEXT(Table9[[#This Row],[Date]], "mmm")</f>
        <v>Apr</v>
      </c>
      <c r="C249">
        <f>YEAR(Table9[[#This Row],[Date]])</f>
        <v>2035</v>
      </c>
      <c r="D249" t="s">
        <v>13</v>
      </c>
      <c r="E249" s="15">
        <v>90</v>
      </c>
      <c r="F249">
        <v>115520.5582768695</v>
      </c>
      <c r="G249" s="82">
        <f>_xlfn.FORECAST.LINEAR(Table9[[#This Row],[Date]],Table9[Units_Sold],Table9[Date])</f>
        <v>99.365089508358025</v>
      </c>
      <c r="H249">
        <f t="shared" si="6"/>
        <v>-9.3650895083580252</v>
      </c>
      <c r="I249" s="8">
        <f t="shared" si="7"/>
        <v>-0.10405655009286695</v>
      </c>
    </row>
    <row r="250" spans="1:9">
      <c r="A250" s="53">
        <v>49445</v>
      </c>
      <c r="B250" t="str">
        <f>TEXT(Table9[[#This Row],[Date]], "mmm")</f>
        <v>May</v>
      </c>
      <c r="C250">
        <f>YEAR(Table9[[#This Row],[Date]])</f>
        <v>2035</v>
      </c>
      <c r="D250" t="s">
        <v>10</v>
      </c>
      <c r="E250" s="14">
        <v>115</v>
      </c>
      <c r="F250">
        <v>79955.6596214655</v>
      </c>
      <c r="G250" s="82">
        <f>_xlfn.FORECAST.LINEAR(Table9[[#This Row],[Date]],Table9[Units_Sold],Table9[Date])</f>
        <v>99.366253705014813</v>
      </c>
      <c r="H250">
        <f t="shared" si="6"/>
        <v>15.633746294985187</v>
      </c>
      <c r="I250" s="8">
        <f t="shared" si="7"/>
        <v>0.13594561995639293</v>
      </c>
    </row>
    <row r="251" spans="1:9">
      <c r="A251" s="54">
        <v>49475</v>
      </c>
      <c r="B251" t="str">
        <f>TEXT(Table9[[#This Row],[Date]], "mmm")</f>
        <v>Jun</v>
      </c>
      <c r="C251">
        <f>YEAR(Table9[[#This Row],[Date]])</f>
        <v>2035</v>
      </c>
      <c r="D251" t="s">
        <v>10</v>
      </c>
      <c r="E251" s="15">
        <v>105</v>
      </c>
      <c r="F251">
        <v>84951.295252939308</v>
      </c>
      <c r="G251" s="82">
        <f>_xlfn.FORECAST.LINEAR(Table9[[#This Row],[Date]],Table9[Units_Sold],Table9[Date])</f>
        <v>99.367417901671601</v>
      </c>
      <c r="H251">
        <f t="shared" si="6"/>
        <v>5.632582098328399</v>
      </c>
      <c r="I251" s="8">
        <f t="shared" si="7"/>
        <v>5.3643639031699039E-2</v>
      </c>
    </row>
    <row r="252" spans="1:9">
      <c r="A252" s="53">
        <v>49505</v>
      </c>
      <c r="B252" t="str">
        <f>TEXT(Table9[[#This Row],[Date]], "mmm")</f>
        <v>Jul</v>
      </c>
      <c r="C252">
        <f>YEAR(Table9[[#This Row],[Date]])</f>
        <v>2035</v>
      </c>
      <c r="D252" t="s">
        <v>13</v>
      </c>
      <c r="E252" s="14">
        <v>90</v>
      </c>
      <c r="F252">
        <v>70664.296187686457</v>
      </c>
      <c r="G252" s="82">
        <f>_xlfn.FORECAST.LINEAR(Table9[[#This Row],[Date]],Table9[Units_Sold],Table9[Date])</f>
        <v>99.368582098328389</v>
      </c>
      <c r="H252">
        <f t="shared" si="6"/>
        <v>-9.368582098328389</v>
      </c>
      <c r="I252" s="8">
        <f t="shared" si="7"/>
        <v>-0.1040953566480932</v>
      </c>
    </row>
    <row r="253" spans="1:9">
      <c r="A253" s="54">
        <v>49535</v>
      </c>
      <c r="B253" t="str">
        <f>TEXT(Table9[[#This Row],[Date]], "mmm")</f>
        <v>Aug</v>
      </c>
      <c r="C253">
        <f>YEAR(Table9[[#This Row],[Date]])</f>
        <v>2035</v>
      </c>
      <c r="D253" t="s">
        <v>10</v>
      </c>
      <c r="E253" s="15">
        <v>89</v>
      </c>
      <c r="F253">
        <v>89971.957062287271</v>
      </c>
      <c r="G253" s="82">
        <f>_xlfn.FORECAST.LINEAR(Table9[[#This Row],[Date]],Table9[Units_Sold],Table9[Date])</f>
        <v>99.369746294985177</v>
      </c>
      <c r="H253">
        <f t="shared" si="6"/>
        <v>-10.369746294985177</v>
      </c>
      <c r="I253" s="8">
        <f t="shared" si="7"/>
        <v>-0.11651400331444019</v>
      </c>
    </row>
    <row r="254" spans="1:9">
      <c r="A254" s="53">
        <v>49565</v>
      </c>
      <c r="B254" t="str">
        <f>TEXT(Table9[[#This Row],[Date]], "mmm")</f>
        <v>Sep</v>
      </c>
      <c r="C254">
        <f>YEAR(Table9[[#This Row],[Date]])</f>
        <v>2035</v>
      </c>
      <c r="D254" t="s">
        <v>10</v>
      </c>
      <c r="E254" s="14">
        <v>89</v>
      </c>
      <c r="F254">
        <v>119506.24916955958</v>
      </c>
      <c r="G254" s="82">
        <f>_xlfn.FORECAST.LINEAR(Table9[[#This Row],[Date]],Table9[Units_Sold],Table9[Date])</f>
        <v>99.370910491641965</v>
      </c>
      <c r="H254">
        <f t="shared" si="6"/>
        <v>-10.370910491641965</v>
      </c>
      <c r="I254" s="8">
        <f t="shared" si="7"/>
        <v>-0.11652708417575242</v>
      </c>
    </row>
    <row r="255" spans="1:9">
      <c r="A255" s="54">
        <v>49595</v>
      </c>
      <c r="B255" t="str">
        <f>TEXT(Table9[[#This Row],[Date]], "mmm")</f>
        <v>Oct</v>
      </c>
      <c r="C255">
        <f>YEAR(Table9[[#This Row],[Date]])</f>
        <v>2035</v>
      </c>
      <c r="D255" t="s">
        <v>12</v>
      </c>
      <c r="E255" s="15">
        <v>86</v>
      </c>
      <c r="F255">
        <v>110312.56176887912</v>
      </c>
      <c r="G255" s="82">
        <f>_xlfn.FORECAST.LINEAR(Table9[[#This Row],[Date]],Table9[Units_Sold],Table9[Date])</f>
        <v>99.372074688298753</v>
      </c>
      <c r="H255">
        <f t="shared" si="6"/>
        <v>-13.372074688298753</v>
      </c>
      <c r="I255" s="8">
        <f t="shared" si="7"/>
        <v>-0.1554892405616134</v>
      </c>
    </row>
    <row r="256" spans="1:9">
      <c r="A256" s="53">
        <v>49625</v>
      </c>
      <c r="B256" t="str">
        <f>TEXT(Table9[[#This Row],[Date]], "mmm")</f>
        <v>Nov</v>
      </c>
      <c r="C256">
        <f>YEAR(Table9[[#This Row],[Date]])</f>
        <v>2035</v>
      </c>
      <c r="D256" t="s">
        <v>12</v>
      </c>
      <c r="E256" s="14">
        <v>91</v>
      </c>
      <c r="F256">
        <v>119568.4422405607</v>
      </c>
      <c r="G256" s="82">
        <f>_xlfn.FORECAST.LINEAR(Table9[[#This Row],[Date]],Table9[Units_Sold],Table9[Date])</f>
        <v>99.373238884955526</v>
      </c>
      <c r="H256">
        <f t="shared" si="6"/>
        <v>-8.3732388849555264</v>
      </c>
      <c r="I256" s="8">
        <f t="shared" si="7"/>
        <v>-9.20136141203904E-2</v>
      </c>
    </row>
    <row r="257" spans="1:9">
      <c r="A257" s="54">
        <v>49655</v>
      </c>
      <c r="B257" t="str">
        <f>TEXT(Table9[[#This Row],[Date]], "mmm")</f>
        <v>Dec</v>
      </c>
      <c r="C257">
        <f>YEAR(Table9[[#This Row],[Date]])</f>
        <v>2035</v>
      </c>
      <c r="D257" t="s">
        <v>14</v>
      </c>
      <c r="E257" s="15">
        <v>100</v>
      </c>
      <c r="F257">
        <v>110442.85091867871</v>
      </c>
      <c r="G257" s="82">
        <f>_xlfn.FORECAST.LINEAR(Table9[[#This Row],[Date]],Table9[Units_Sold],Table9[Date])</f>
        <v>99.374403081612314</v>
      </c>
      <c r="H257">
        <f t="shared" si="6"/>
        <v>0.62559691838768572</v>
      </c>
      <c r="I257" s="8">
        <f t="shared" si="7"/>
        <v>6.2559691838768574E-3</v>
      </c>
    </row>
    <row r="258" spans="1:9">
      <c r="A258" s="53">
        <v>49685</v>
      </c>
      <c r="B258" t="str">
        <f>TEXT(Table9[[#This Row],[Date]], "mmm")</f>
        <v>Jan</v>
      </c>
      <c r="C258">
        <f>YEAR(Table9[[#This Row],[Date]])</f>
        <v>2036</v>
      </c>
      <c r="D258" t="s">
        <v>14</v>
      </c>
      <c r="E258" s="14">
        <v>104</v>
      </c>
      <c r="F258">
        <v>77926.60342939262</v>
      </c>
      <c r="G258" s="82">
        <f>_xlfn.FORECAST.LINEAR(Table9[[#This Row],[Date]],Table9[Units_Sold],Table9[Date])</f>
        <v>99.375567278269102</v>
      </c>
      <c r="H258">
        <f t="shared" ref="H258:H321" si="8">E258-G258</f>
        <v>4.6244327217308978</v>
      </c>
      <c r="I258" s="8">
        <f t="shared" ref="I258:I321" si="9">H258/E258</f>
        <v>4.4465699247412477E-2</v>
      </c>
    </row>
    <row r="259" spans="1:9">
      <c r="A259" s="54">
        <v>49715</v>
      </c>
      <c r="B259" t="str">
        <f>TEXT(Table9[[#This Row],[Date]], "mmm")</f>
        <v>Feb</v>
      </c>
      <c r="C259">
        <f>YEAR(Table9[[#This Row],[Date]])</f>
        <v>2036</v>
      </c>
      <c r="D259" t="s">
        <v>14</v>
      </c>
      <c r="E259" s="15">
        <v>80</v>
      </c>
      <c r="F259">
        <v>93384.215513448857</v>
      </c>
      <c r="G259" s="82">
        <f>_xlfn.FORECAST.LINEAR(Table9[[#This Row],[Date]],Table9[Units_Sold],Table9[Date])</f>
        <v>99.37673147492589</v>
      </c>
      <c r="H259">
        <f t="shared" si="8"/>
        <v>-19.37673147492589</v>
      </c>
      <c r="I259" s="8">
        <f t="shared" si="9"/>
        <v>-0.24220914343657363</v>
      </c>
    </row>
    <row r="260" spans="1:9">
      <c r="A260" s="53">
        <v>49745</v>
      </c>
      <c r="B260" t="str">
        <f>TEXT(Table9[[#This Row],[Date]], "mmm")</f>
        <v>Mar</v>
      </c>
      <c r="C260">
        <f>YEAR(Table9[[#This Row],[Date]])</f>
        <v>2036</v>
      </c>
      <c r="D260" t="s">
        <v>12</v>
      </c>
      <c r="E260" s="14">
        <v>110</v>
      </c>
      <c r="F260">
        <v>84396.017417650743</v>
      </c>
      <c r="G260" s="82">
        <f>_xlfn.FORECAST.LINEAR(Table9[[#This Row],[Date]],Table9[Units_Sold],Table9[Date])</f>
        <v>99.377895671582678</v>
      </c>
      <c r="H260">
        <f t="shared" si="8"/>
        <v>10.622104328417322</v>
      </c>
      <c r="I260" s="8">
        <f t="shared" si="9"/>
        <v>9.6564584803793832E-2</v>
      </c>
    </row>
    <row r="261" spans="1:9">
      <c r="A261" s="54">
        <v>49775</v>
      </c>
      <c r="B261" t="str">
        <f>TEXT(Table9[[#This Row],[Date]], "mmm")</f>
        <v>Apr</v>
      </c>
      <c r="C261">
        <f>YEAR(Table9[[#This Row],[Date]])</f>
        <v>2036</v>
      </c>
      <c r="D261" t="s">
        <v>14</v>
      </c>
      <c r="E261" s="15">
        <v>90</v>
      </c>
      <c r="F261">
        <v>126611.4980807808</v>
      </c>
      <c r="G261" s="82">
        <f>_xlfn.FORECAST.LINEAR(Table9[[#This Row],[Date]],Table9[Units_Sold],Table9[Date])</f>
        <v>99.379059868239466</v>
      </c>
      <c r="H261">
        <f t="shared" si="8"/>
        <v>-9.3790598682394659</v>
      </c>
      <c r="I261" s="8">
        <f t="shared" si="9"/>
        <v>-0.10421177631377185</v>
      </c>
    </row>
    <row r="262" spans="1:9">
      <c r="A262" s="53">
        <v>49805</v>
      </c>
      <c r="B262" t="str">
        <f>TEXT(Table9[[#This Row],[Date]], "mmm")</f>
        <v>May</v>
      </c>
      <c r="C262">
        <f>YEAR(Table9[[#This Row],[Date]])</f>
        <v>2036</v>
      </c>
      <c r="D262" t="s">
        <v>10</v>
      </c>
      <c r="E262" s="14">
        <v>96</v>
      </c>
      <c r="F262">
        <v>76064.227071473768</v>
      </c>
      <c r="G262" s="82">
        <f>_xlfn.FORECAST.LINEAR(Table9[[#This Row],[Date]],Table9[Units_Sold],Table9[Date])</f>
        <v>99.380224064896254</v>
      </c>
      <c r="H262">
        <f t="shared" si="8"/>
        <v>-3.3802240648962538</v>
      </c>
      <c r="I262" s="8">
        <f t="shared" si="9"/>
        <v>-3.5210667342669311E-2</v>
      </c>
    </row>
    <row r="263" spans="1:9">
      <c r="A263" s="54">
        <v>49835</v>
      </c>
      <c r="B263" t="str">
        <f>TEXT(Table9[[#This Row],[Date]], "mmm")</f>
        <v>Jun</v>
      </c>
      <c r="C263">
        <f>YEAR(Table9[[#This Row],[Date]])</f>
        <v>2036</v>
      </c>
      <c r="D263" t="s">
        <v>12</v>
      </c>
      <c r="E263" s="15">
        <v>103</v>
      </c>
      <c r="F263">
        <v>117873.95378778221</v>
      </c>
      <c r="G263" s="82">
        <f>_xlfn.FORECAST.LINEAR(Table9[[#This Row],[Date]],Table9[Units_Sold],Table9[Date])</f>
        <v>99.381388261553042</v>
      </c>
      <c r="H263">
        <f t="shared" si="8"/>
        <v>3.6186117384469583</v>
      </c>
      <c r="I263" s="8">
        <f t="shared" si="9"/>
        <v>3.5132152800455903E-2</v>
      </c>
    </row>
    <row r="264" spans="1:9">
      <c r="A264" s="53">
        <v>49865</v>
      </c>
      <c r="B264" t="str">
        <f>TEXT(Table9[[#This Row],[Date]], "mmm")</f>
        <v>Jul</v>
      </c>
      <c r="C264">
        <f>YEAR(Table9[[#This Row],[Date]])</f>
        <v>2036</v>
      </c>
      <c r="D264" t="s">
        <v>14</v>
      </c>
      <c r="E264" s="14">
        <v>99</v>
      </c>
      <c r="F264">
        <v>117859.07740217539</v>
      </c>
      <c r="G264" s="82">
        <f>_xlfn.FORECAST.LINEAR(Table9[[#This Row],[Date]],Table9[Units_Sold],Table9[Date])</f>
        <v>99.38255245820983</v>
      </c>
      <c r="H264">
        <f t="shared" si="8"/>
        <v>-0.38255245820982964</v>
      </c>
      <c r="I264" s="8">
        <f t="shared" si="9"/>
        <v>-3.8641662445437338E-3</v>
      </c>
    </row>
    <row r="265" spans="1:9">
      <c r="A265" s="54">
        <v>49895</v>
      </c>
      <c r="B265" t="str">
        <f>TEXT(Table9[[#This Row],[Date]], "mmm")</f>
        <v>Aug</v>
      </c>
      <c r="C265">
        <f>YEAR(Table9[[#This Row],[Date]])</f>
        <v>2036</v>
      </c>
      <c r="D265" t="s">
        <v>10</v>
      </c>
      <c r="E265" s="15">
        <f>IF(ISBLANK(E218), S219, E218)</f>
        <v>76</v>
      </c>
      <c r="F265">
        <v>136592.40403432175</v>
      </c>
      <c r="G265" s="82">
        <f>_xlfn.FORECAST.LINEAR(Table9[[#This Row],[Date]],Table9[Units_Sold],Table9[Date])</f>
        <v>99.383716654866618</v>
      </c>
      <c r="H265">
        <f t="shared" si="8"/>
        <v>-23.383716654866618</v>
      </c>
      <c r="I265" s="8">
        <f t="shared" si="9"/>
        <v>-0.30768048230087652</v>
      </c>
    </row>
    <row r="266" spans="1:9">
      <c r="A266" s="53">
        <v>49925</v>
      </c>
      <c r="B266" t="str">
        <f>TEXT(Table9[[#This Row],[Date]], "mmm")</f>
        <v>Sep</v>
      </c>
      <c r="C266">
        <f>YEAR(Table9[[#This Row],[Date]])</f>
        <v>2036</v>
      </c>
      <c r="D266" t="s">
        <v>14</v>
      </c>
      <c r="E266" s="14">
        <v>106</v>
      </c>
      <c r="F266">
        <v>91806.268147410054</v>
      </c>
      <c r="G266" s="82">
        <f>_xlfn.FORECAST.LINEAR(Table9[[#This Row],[Date]],Table9[Units_Sold],Table9[Date])</f>
        <v>99.384880851523405</v>
      </c>
      <c r="H266">
        <f t="shared" si="8"/>
        <v>6.6151191484765945</v>
      </c>
      <c r="I266" s="8">
        <f t="shared" si="9"/>
        <v>6.2406784419590515E-2</v>
      </c>
    </row>
    <row r="267" spans="1:9">
      <c r="A267" s="54">
        <v>49955</v>
      </c>
      <c r="B267" t="str">
        <f>TEXT(Table9[[#This Row],[Date]], "mmm")</f>
        <v>Oct</v>
      </c>
      <c r="C267">
        <f>YEAR(Table9[[#This Row],[Date]])</f>
        <v>2036</v>
      </c>
      <c r="D267" t="s">
        <v>11</v>
      </c>
      <c r="E267" s="15">
        <v>100</v>
      </c>
      <c r="F267">
        <v>114246.44319160325</v>
      </c>
      <c r="G267" s="82">
        <f>_xlfn.FORECAST.LINEAR(Table9[[#This Row],[Date]],Table9[Units_Sold],Table9[Date])</f>
        <v>99.386045048180193</v>
      </c>
      <c r="H267">
        <f t="shared" si="8"/>
        <v>0.61395495181980664</v>
      </c>
      <c r="I267" s="8">
        <f t="shared" si="9"/>
        <v>6.1395495181980663E-3</v>
      </c>
    </row>
    <row r="268" spans="1:9">
      <c r="A268" s="53">
        <v>49985</v>
      </c>
      <c r="B268" t="str">
        <f>TEXT(Table9[[#This Row],[Date]], "mmm")</f>
        <v>Nov</v>
      </c>
      <c r="C268">
        <f>YEAR(Table9[[#This Row],[Date]])</f>
        <v>2036</v>
      </c>
      <c r="D268" t="s">
        <v>14</v>
      </c>
      <c r="E268" s="14">
        <v>85</v>
      </c>
      <c r="F268">
        <v>145633.03673077686</v>
      </c>
      <c r="G268" s="82">
        <f>_xlfn.FORECAST.LINEAR(Table9[[#This Row],[Date]],Table9[Units_Sold],Table9[Date])</f>
        <v>99.387209244836967</v>
      </c>
      <c r="H268">
        <f t="shared" si="8"/>
        <v>-14.387209244836967</v>
      </c>
      <c r="I268" s="8">
        <f t="shared" si="9"/>
        <v>-0.16926128523337608</v>
      </c>
    </row>
    <row r="269" spans="1:9">
      <c r="A269" s="54">
        <v>50015</v>
      </c>
      <c r="B269" t="str">
        <f>TEXT(Table9[[#This Row],[Date]], "mmm")</f>
        <v>Dec</v>
      </c>
      <c r="C269">
        <f>YEAR(Table9[[#This Row],[Date]])</f>
        <v>2036</v>
      </c>
      <c r="D269" t="s">
        <v>11</v>
      </c>
      <c r="E269" s="15">
        <v>101</v>
      </c>
      <c r="F269">
        <v>87647.166461326065</v>
      </c>
      <c r="G269" s="82">
        <f>_xlfn.FORECAST.LINEAR(Table9[[#This Row],[Date]],Table9[Units_Sold],Table9[Date])</f>
        <v>99.388373441493755</v>
      </c>
      <c r="H269">
        <f t="shared" si="8"/>
        <v>1.611626558506245</v>
      </c>
      <c r="I269" s="8">
        <f t="shared" si="9"/>
        <v>1.5956698599071732E-2</v>
      </c>
    </row>
    <row r="270" spans="1:9">
      <c r="A270" s="53">
        <v>50045</v>
      </c>
      <c r="B270" t="str">
        <f>TEXT(Table9[[#This Row],[Date]], "mmm")</f>
        <v>Jan</v>
      </c>
      <c r="C270">
        <f>YEAR(Table9[[#This Row],[Date]])</f>
        <v>2037</v>
      </c>
      <c r="D270" t="s">
        <v>14</v>
      </c>
      <c r="E270" s="14">
        <v>93</v>
      </c>
      <c r="F270">
        <v>69299.195049352798</v>
      </c>
      <c r="G270" s="82">
        <f>_xlfn.FORECAST.LINEAR(Table9[[#This Row],[Date]],Table9[Units_Sold],Table9[Date])</f>
        <v>99.389537638150543</v>
      </c>
      <c r="H270">
        <f t="shared" si="8"/>
        <v>-6.3895376381505429</v>
      </c>
      <c r="I270" s="8">
        <f t="shared" si="9"/>
        <v>-6.8704705786564971E-2</v>
      </c>
    </row>
    <row r="271" spans="1:9">
      <c r="A271" s="54">
        <v>50075</v>
      </c>
      <c r="B271" t="str">
        <f>TEXT(Table9[[#This Row],[Date]], "mmm")</f>
        <v>Feb</v>
      </c>
      <c r="C271">
        <f>YEAR(Table9[[#This Row],[Date]])</f>
        <v>2037</v>
      </c>
      <c r="D271" t="s">
        <v>13</v>
      </c>
      <c r="E271" s="15">
        <v>91</v>
      </c>
      <c r="F271">
        <v>62399.79932184473</v>
      </c>
      <c r="G271" s="82">
        <f>_xlfn.FORECAST.LINEAR(Table9[[#This Row],[Date]],Table9[Units_Sold],Table9[Date])</f>
        <v>99.390701834807331</v>
      </c>
      <c r="H271">
        <f t="shared" si="8"/>
        <v>-8.3907018348073308</v>
      </c>
      <c r="I271" s="8">
        <f t="shared" si="9"/>
        <v>-9.2205514668212432E-2</v>
      </c>
    </row>
    <row r="272" spans="1:9">
      <c r="A272" s="53">
        <v>50105</v>
      </c>
      <c r="B272" t="str">
        <f>TEXT(Table9[[#This Row],[Date]], "mmm")</f>
        <v>Mar</v>
      </c>
      <c r="C272">
        <f>YEAR(Table9[[#This Row],[Date]])</f>
        <v>2037</v>
      </c>
      <c r="D272" t="s">
        <v>14</v>
      </c>
      <c r="E272" s="14">
        <v>103</v>
      </c>
      <c r="F272">
        <v>114254.24057722662</v>
      </c>
      <c r="G272" s="82">
        <f>_xlfn.FORECAST.LINEAR(Table9[[#This Row],[Date]],Table9[Units_Sold],Table9[Date])</f>
        <v>99.391866031464119</v>
      </c>
      <c r="H272">
        <f t="shared" si="8"/>
        <v>3.6081339685358813</v>
      </c>
      <c r="I272" s="8">
        <f t="shared" si="9"/>
        <v>3.5030426878989142E-2</v>
      </c>
    </row>
    <row r="273" spans="1:9">
      <c r="A273" s="54">
        <v>50135</v>
      </c>
      <c r="B273" t="str">
        <f>TEXT(Table9[[#This Row],[Date]], "mmm")</f>
        <v>Apr</v>
      </c>
      <c r="C273">
        <f>YEAR(Table9[[#This Row],[Date]])</f>
        <v>2037</v>
      </c>
      <c r="D273" t="s">
        <v>12</v>
      </c>
      <c r="E273" s="15">
        <v>109</v>
      </c>
      <c r="F273">
        <v>62336.995838828327</v>
      </c>
      <c r="G273" s="82">
        <f>_xlfn.FORECAST.LINEAR(Table9[[#This Row],[Date]],Table9[Units_Sold],Table9[Date])</f>
        <v>99.393030228120907</v>
      </c>
      <c r="H273">
        <f t="shared" si="8"/>
        <v>9.6069697718790934</v>
      </c>
      <c r="I273" s="8">
        <f t="shared" si="9"/>
        <v>8.8137337356688925E-2</v>
      </c>
    </row>
    <row r="274" spans="1:9">
      <c r="A274" s="53">
        <v>50165</v>
      </c>
      <c r="B274" t="str">
        <f>TEXT(Table9[[#This Row],[Date]], "mmm")</f>
        <v>May</v>
      </c>
      <c r="C274">
        <f>YEAR(Table9[[#This Row],[Date]])</f>
        <v>2037</v>
      </c>
      <c r="D274" t="s">
        <v>12</v>
      </c>
      <c r="E274" s="14">
        <v>83</v>
      </c>
      <c r="F274">
        <v>92553.618941241541</v>
      </c>
      <c r="G274" s="82">
        <f>_xlfn.FORECAST.LINEAR(Table9[[#This Row],[Date]],Table9[Units_Sold],Table9[Date])</f>
        <v>99.394194424777695</v>
      </c>
      <c r="H274">
        <f t="shared" si="8"/>
        <v>-16.394194424777695</v>
      </c>
      <c r="I274" s="8">
        <f t="shared" si="9"/>
        <v>-0.19752041475635776</v>
      </c>
    </row>
    <row r="275" spans="1:9">
      <c r="A275" s="54">
        <v>50195</v>
      </c>
      <c r="B275" t="str">
        <f>TEXT(Table9[[#This Row],[Date]], "mmm")</f>
        <v>Jun</v>
      </c>
      <c r="C275">
        <f>YEAR(Table9[[#This Row],[Date]])</f>
        <v>2037</v>
      </c>
      <c r="D275" t="s">
        <v>11</v>
      </c>
      <c r="E275" s="15">
        <v>102</v>
      </c>
      <c r="F275">
        <v>108746.26374077922</v>
      </c>
      <c r="G275" s="82">
        <f>_xlfn.FORECAST.LINEAR(Table9[[#This Row],[Date]],Table9[Units_Sold],Table9[Date])</f>
        <v>99.395358621434482</v>
      </c>
      <c r="H275">
        <f t="shared" si="8"/>
        <v>2.6046413785655176</v>
      </c>
      <c r="I275" s="8">
        <f t="shared" si="9"/>
        <v>2.5535699789858014E-2</v>
      </c>
    </row>
    <row r="276" spans="1:9">
      <c r="A276" s="53">
        <v>50225</v>
      </c>
      <c r="B276" t="str">
        <f>TEXT(Table9[[#This Row],[Date]], "mmm")</f>
        <v>Jul</v>
      </c>
      <c r="C276">
        <f>YEAR(Table9[[#This Row],[Date]])</f>
        <v>2037</v>
      </c>
      <c r="D276" t="s">
        <v>12</v>
      </c>
      <c r="E276" s="14">
        <v>98</v>
      </c>
      <c r="F276">
        <v>103703.51073659828</v>
      </c>
      <c r="G276" s="82">
        <f>_xlfn.FORECAST.LINEAR(Table9[[#This Row],[Date]],Table9[Units_Sold],Table9[Date])</f>
        <v>99.39652281809127</v>
      </c>
      <c r="H276">
        <f t="shared" si="8"/>
        <v>-1.3965228180912703</v>
      </c>
      <c r="I276" s="8">
        <f t="shared" si="9"/>
        <v>-1.4250232837666023E-2</v>
      </c>
    </row>
    <row r="277" spans="1:9">
      <c r="A277" s="54">
        <v>50255</v>
      </c>
      <c r="B277" t="str">
        <f>TEXT(Table9[[#This Row],[Date]], "mmm")</f>
        <v>Aug</v>
      </c>
      <c r="C277">
        <f>YEAR(Table9[[#This Row],[Date]])</f>
        <v>2037</v>
      </c>
      <c r="D277" t="s">
        <v>10</v>
      </c>
      <c r="E277" s="15">
        <v>93</v>
      </c>
      <c r="F277">
        <v>108508.89728368344</v>
      </c>
      <c r="G277" s="82">
        <f>_xlfn.FORECAST.LINEAR(Table9[[#This Row],[Date]],Table9[Units_Sold],Table9[Date])</f>
        <v>99.397687014748058</v>
      </c>
      <c r="H277">
        <f t="shared" si="8"/>
        <v>-6.3976870147480582</v>
      </c>
      <c r="I277" s="8">
        <f t="shared" si="9"/>
        <v>-6.8792333491914603E-2</v>
      </c>
    </row>
    <row r="278" spans="1:9">
      <c r="A278" s="53">
        <v>50285</v>
      </c>
      <c r="B278" t="str">
        <f>TEXT(Table9[[#This Row],[Date]], "mmm")</f>
        <v>Sep</v>
      </c>
      <c r="C278">
        <f>YEAR(Table9[[#This Row],[Date]])</f>
        <v>2037</v>
      </c>
      <c r="D278" t="s">
        <v>13</v>
      </c>
      <c r="E278" s="14">
        <v>104</v>
      </c>
      <c r="F278">
        <f>IF(ISBLANK(F269), K280, F269)</f>
        <v>87647.166461326065</v>
      </c>
      <c r="G278" s="82">
        <f>_xlfn.FORECAST.LINEAR(Table9[[#This Row],[Date]],Table9[Units_Sold],Table9[Date])</f>
        <v>99.398851211404832</v>
      </c>
      <c r="H278">
        <f t="shared" si="8"/>
        <v>4.6011487885951681</v>
      </c>
      <c r="I278" s="8">
        <f t="shared" si="9"/>
        <v>4.4241815274953536E-2</v>
      </c>
    </row>
    <row r="279" spans="1:9">
      <c r="A279" s="54">
        <v>50315</v>
      </c>
      <c r="B279" t="str">
        <f>TEXT(Table9[[#This Row],[Date]], "mmm")</f>
        <v>Oct</v>
      </c>
      <c r="C279">
        <f>YEAR(Table9[[#This Row],[Date]])</f>
        <v>2037</v>
      </c>
      <c r="D279" t="s">
        <v>13</v>
      </c>
      <c r="E279" s="15">
        <v>96</v>
      </c>
      <c r="F279">
        <v>125577.31626626787</v>
      </c>
      <c r="G279" s="82">
        <f>_xlfn.FORECAST.LINEAR(Table9[[#This Row],[Date]],Table9[Units_Sold],Table9[Date])</f>
        <v>99.40001540806162</v>
      </c>
      <c r="H279">
        <f t="shared" si="8"/>
        <v>-3.4000154080616198</v>
      </c>
      <c r="I279" s="8">
        <f t="shared" si="9"/>
        <v>-3.541682716730854E-2</v>
      </c>
    </row>
    <row r="280" spans="1:9">
      <c r="A280" s="53">
        <v>50345</v>
      </c>
      <c r="B280" t="str">
        <f>TEXT(Table9[[#This Row],[Date]], "mmm")</f>
        <v>Nov</v>
      </c>
      <c r="C280">
        <f>YEAR(Table9[[#This Row],[Date]])</f>
        <v>2037</v>
      </c>
      <c r="D280" t="s">
        <v>10</v>
      </c>
      <c r="E280" s="14">
        <v>103</v>
      </c>
      <c r="F280">
        <v>80953.672385224054</v>
      </c>
      <c r="G280" s="82">
        <f>_xlfn.FORECAST.LINEAR(Table9[[#This Row],[Date]],Table9[Units_Sold],Table9[Date])</f>
        <v>99.401179604718408</v>
      </c>
      <c r="H280">
        <f t="shared" si="8"/>
        <v>3.5988203952815923</v>
      </c>
      <c r="I280" s="8">
        <f t="shared" si="9"/>
        <v>3.4940003837685363E-2</v>
      </c>
    </row>
    <row r="281" spans="1:9">
      <c r="A281" s="54">
        <v>50375</v>
      </c>
      <c r="B281" t="str">
        <f>TEXT(Table9[[#This Row],[Date]], "mmm")</f>
        <v>Dec</v>
      </c>
      <c r="C281">
        <f>YEAR(Table9[[#This Row],[Date]])</f>
        <v>2037</v>
      </c>
      <c r="D281" t="s">
        <v>11</v>
      </c>
      <c r="E281" s="15">
        <v>85</v>
      </c>
      <c r="F281">
        <v>86460.097230829371</v>
      </c>
      <c r="G281" s="82">
        <f>_xlfn.FORECAST.LINEAR(Table9[[#This Row],[Date]],Table9[Units_Sold],Table9[Date])</f>
        <v>99.402343801375196</v>
      </c>
      <c r="H281">
        <f t="shared" si="8"/>
        <v>-14.402343801375196</v>
      </c>
      <c r="I281" s="8">
        <f t="shared" si="9"/>
        <v>-0.16943933883970819</v>
      </c>
    </row>
    <row r="282" spans="1:9">
      <c r="A282" s="53">
        <v>50405</v>
      </c>
      <c r="B282" t="str">
        <f>TEXT(Table9[[#This Row],[Date]], "mmm")</f>
        <v>Dec</v>
      </c>
      <c r="C282">
        <f>YEAR(Table9[[#This Row],[Date]])</f>
        <v>2037</v>
      </c>
      <c r="D282" t="s">
        <v>10</v>
      </c>
      <c r="E282" s="14">
        <v>92</v>
      </c>
      <c r="F282">
        <v>84546.811094583521</v>
      </c>
      <c r="G282" s="82">
        <f>_xlfn.FORECAST.LINEAR(Table9[[#This Row],[Date]],Table9[Units_Sold],Table9[Date])</f>
        <v>99.403507998031984</v>
      </c>
      <c r="H282">
        <f t="shared" si="8"/>
        <v>-7.4035079980319836</v>
      </c>
      <c r="I282" s="8">
        <f t="shared" si="9"/>
        <v>-8.0472913022086784E-2</v>
      </c>
    </row>
    <row r="283" spans="1:9">
      <c r="A283" s="54">
        <v>50435</v>
      </c>
      <c r="B283" t="str">
        <f>TEXT(Table9[[#This Row],[Date]], "mmm")</f>
        <v>Jan</v>
      </c>
      <c r="C283">
        <f>YEAR(Table9[[#This Row],[Date]])</f>
        <v>2038</v>
      </c>
      <c r="D283" t="s">
        <v>10</v>
      </c>
      <c r="E283" s="15">
        <v>90</v>
      </c>
      <c r="F283">
        <v>116603.8362372522</v>
      </c>
      <c r="G283" s="82">
        <f>_xlfn.FORECAST.LINEAR(Table9[[#This Row],[Date]],Table9[Units_Sold],Table9[Date])</f>
        <v>99.404672194688771</v>
      </c>
      <c r="H283">
        <f t="shared" si="8"/>
        <v>-9.4046721946887715</v>
      </c>
      <c r="I283" s="8">
        <f t="shared" si="9"/>
        <v>-0.10449635771876413</v>
      </c>
    </row>
    <row r="284" spans="1:9">
      <c r="A284" s="53">
        <v>50465</v>
      </c>
      <c r="B284" t="str">
        <f>TEXT(Table9[[#This Row],[Date]], "mmm")</f>
        <v>Mar</v>
      </c>
      <c r="C284">
        <f>YEAR(Table9[[#This Row],[Date]])</f>
        <v>2038</v>
      </c>
      <c r="D284" t="s">
        <v>13</v>
      </c>
      <c r="E284" s="14">
        <v>83</v>
      </c>
      <c r="F284">
        <v>118007.97176790127</v>
      </c>
      <c r="G284" s="82">
        <f>_xlfn.FORECAST.LINEAR(Table9[[#This Row],[Date]],Table9[Units_Sold],Table9[Date])</f>
        <v>99.405836391345559</v>
      </c>
      <c r="H284">
        <f t="shared" si="8"/>
        <v>-16.405836391345559</v>
      </c>
      <c r="I284" s="8">
        <f t="shared" si="9"/>
        <v>-0.19766067941380192</v>
      </c>
    </row>
    <row r="285" spans="1:9">
      <c r="A285" s="54">
        <v>50495</v>
      </c>
      <c r="B285" t="str">
        <f>TEXT(Table9[[#This Row],[Date]], "mmm")</f>
        <v>Mar</v>
      </c>
      <c r="C285">
        <f>YEAR(Table9[[#This Row],[Date]])</f>
        <v>2038</v>
      </c>
      <c r="D285" t="s">
        <v>14</v>
      </c>
      <c r="E285" s="15">
        <v>86</v>
      </c>
      <c r="F285">
        <v>109024.50638637017</v>
      </c>
      <c r="G285" s="82">
        <f>_xlfn.FORECAST.LINEAR(Table9[[#This Row],[Date]],Table9[Units_Sold],Table9[Date])</f>
        <v>99.407000588002347</v>
      </c>
      <c r="H285">
        <f t="shared" si="8"/>
        <v>-13.407000588002347</v>
      </c>
      <c r="I285" s="8">
        <f t="shared" si="9"/>
        <v>-0.1558953556744459</v>
      </c>
    </row>
    <row r="286" spans="1:9">
      <c r="A286" s="53">
        <v>50525</v>
      </c>
      <c r="B286" t="str">
        <f>TEXT(Table9[[#This Row],[Date]], "mmm")</f>
        <v>Apr</v>
      </c>
      <c r="C286">
        <f>YEAR(Table9[[#This Row],[Date]])</f>
        <v>2038</v>
      </c>
      <c r="D286" t="s">
        <v>13</v>
      </c>
      <c r="E286" s="14">
        <v>110</v>
      </c>
      <c r="F286">
        <v>123669.87333779855</v>
      </c>
      <c r="G286" s="82">
        <f>_xlfn.FORECAST.LINEAR(Table9[[#This Row],[Date]],Table9[Units_Sold],Table9[Date])</f>
        <v>99.408164784659135</v>
      </c>
      <c r="H286">
        <f t="shared" si="8"/>
        <v>10.591835215340865</v>
      </c>
      <c r="I286" s="8">
        <f t="shared" si="9"/>
        <v>9.6289411048553319E-2</v>
      </c>
    </row>
    <row r="287" spans="1:9">
      <c r="A287" s="54">
        <v>50555</v>
      </c>
      <c r="B287" t="str">
        <f>TEXT(Table9[[#This Row],[Date]], "mmm")</f>
        <v>May</v>
      </c>
      <c r="C287">
        <f>YEAR(Table9[[#This Row],[Date]])</f>
        <v>2038</v>
      </c>
      <c r="D287" t="s">
        <v>13</v>
      </c>
      <c r="E287" s="15">
        <v>89</v>
      </c>
      <c r="F287">
        <v>76439.182652472387</v>
      </c>
      <c r="G287" s="82">
        <f>_xlfn.FORECAST.LINEAR(Table9[[#This Row],[Date]],Table9[Units_Sold],Table9[Date])</f>
        <v>99.409328981315923</v>
      </c>
      <c r="H287">
        <f t="shared" si="8"/>
        <v>-10.409328981315923</v>
      </c>
      <c r="I287" s="8">
        <f t="shared" si="9"/>
        <v>-0.11695875259905532</v>
      </c>
    </row>
    <row r="288" spans="1:9">
      <c r="A288" s="53">
        <v>50585</v>
      </c>
      <c r="B288" t="str">
        <f>TEXT(Table9[[#This Row],[Date]], "mmm")</f>
        <v>Jun</v>
      </c>
      <c r="C288">
        <f>YEAR(Table9[[#This Row],[Date]])</f>
        <v>2038</v>
      </c>
      <c r="D288" t="s">
        <v>12</v>
      </c>
      <c r="E288" s="14">
        <v>118</v>
      </c>
      <c r="F288">
        <v>133344.48223102273</v>
      </c>
      <c r="G288" s="82">
        <f>_xlfn.FORECAST.LINEAR(Table9[[#This Row],[Date]],Table9[Units_Sold],Table9[Date])</f>
        <v>99.410493177972711</v>
      </c>
      <c r="H288">
        <f t="shared" si="8"/>
        <v>18.589506822027289</v>
      </c>
      <c r="I288" s="8">
        <f t="shared" si="9"/>
        <v>0.15753819340701092</v>
      </c>
    </row>
    <row r="289" spans="1:9">
      <c r="A289" s="54">
        <v>50615</v>
      </c>
      <c r="B289" t="str">
        <f>TEXT(Table9[[#This Row],[Date]], "mmm")</f>
        <v>Jul</v>
      </c>
      <c r="C289">
        <f>YEAR(Table9[[#This Row],[Date]])</f>
        <v>2038</v>
      </c>
      <c r="D289" t="s">
        <v>10</v>
      </c>
      <c r="E289" s="15">
        <v>102</v>
      </c>
      <c r="F289">
        <v>130464.77243424517</v>
      </c>
      <c r="G289" s="82">
        <f>_xlfn.FORECAST.LINEAR(Table9[[#This Row],[Date]],Table9[Units_Sold],Table9[Date])</f>
        <v>99.411657374629499</v>
      </c>
      <c r="H289">
        <f t="shared" si="8"/>
        <v>2.5883426253705011</v>
      </c>
      <c r="I289" s="8">
        <f t="shared" si="9"/>
        <v>2.5375908091867658E-2</v>
      </c>
    </row>
    <row r="290" spans="1:9">
      <c r="A290" s="53">
        <v>50645</v>
      </c>
      <c r="B290" t="str">
        <f>TEXT(Table9[[#This Row],[Date]], "mmm")</f>
        <v>Aug</v>
      </c>
      <c r="C290">
        <f>YEAR(Table9[[#This Row],[Date]])</f>
        <v>2038</v>
      </c>
      <c r="D290" t="s">
        <v>13</v>
      </c>
      <c r="E290" s="14">
        <v>108</v>
      </c>
      <c r="F290">
        <v>114712.43994491494</v>
      </c>
      <c r="G290" s="82">
        <f>_xlfn.FORECAST.LINEAR(Table9[[#This Row],[Date]],Table9[Units_Sold],Table9[Date])</f>
        <v>99.412821571286273</v>
      </c>
      <c r="H290">
        <f t="shared" si="8"/>
        <v>8.5871784287137274</v>
      </c>
      <c r="I290" s="8">
        <f t="shared" si="9"/>
        <v>7.9510911376978952E-2</v>
      </c>
    </row>
    <row r="291" spans="1:9">
      <c r="A291" s="54">
        <v>50675</v>
      </c>
      <c r="B291" t="str">
        <f>TEXT(Table9[[#This Row],[Date]], "mmm")</f>
        <v>Sep</v>
      </c>
      <c r="C291">
        <f>YEAR(Table9[[#This Row],[Date]])</f>
        <v>2038</v>
      </c>
      <c r="D291" t="s">
        <v>10</v>
      </c>
      <c r="E291" s="15">
        <v>95</v>
      </c>
      <c r="F291">
        <v>135635.97817542119</v>
      </c>
      <c r="G291" s="82">
        <f>_xlfn.FORECAST.LINEAR(Table9[[#This Row],[Date]],Table9[Units_Sold],Table9[Date])</f>
        <v>99.413985767943061</v>
      </c>
      <c r="H291">
        <f t="shared" si="8"/>
        <v>-4.4139857679430605</v>
      </c>
      <c r="I291" s="8">
        <f t="shared" si="9"/>
        <v>-4.6463008083611167E-2</v>
      </c>
    </row>
    <row r="292" spans="1:9">
      <c r="A292" s="53">
        <v>50705</v>
      </c>
      <c r="B292" t="str">
        <f>TEXT(Table9[[#This Row],[Date]], "mmm")</f>
        <v>Oct</v>
      </c>
      <c r="C292">
        <f>YEAR(Table9[[#This Row],[Date]])</f>
        <v>2038</v>
      </c>
      <c r="D292" t="s">
        <v>12</v>
      </c>
      <c r="E292" s="14">
        <v>100</v>
      </c>
      <c r="F292">
        <v>66867.535846444516</v>
      </c>
      <c r="G292" s="82">
        <f>_xlfn.FORECAST.LINEAR(Table9[[#This Row],[Date]],Table9[Units_Sold],Table9[Date])</f>
        <v>99.415149964599848</v>
      </c>
      <c r="H292">
        <f t="shared" si="8"/>
        <v>0.58485003540015157</v>
      </c>
      <c r="I292" s="8">
        <f t="shared" si="9"/>
        <v>5.848500354001516E-3</v>
      </c>
    </row>
    <row r="293" spans="1:9">
      <c r="A293" s="54">
        <v>50735</v>
      </c>
      <c r="B293" t="str">
        <f>TEXT(Table9[[#This Row],[Date]], "mmm")</f>
        <v>Nov</v>
      </c>
      <c r="C293">
        <f>YEAR(Table9[[#This Row],[Date]])</f>
        <v>2038</v>
      </c>
      <c r="D293" t="s">
        <v>10</v>
      </c>
      <c r="E293" s="15">
        <v>86</v>
      </c>
      <c r="F293">
        <v>89511.037274746966</v>
      </c>
      <c r="G293" s="82">
        <f>_xlfn.FORECAST.LINEAR(Table9[[#This Row],[Date]],Table9[Units_Sold],Table9[Date])</f>
        <v>99.416314161256636</v>
      </c>
      <c r="H293">
        <f t="shared" si="8"/>
        <v>-13.416314161256636</v>
      </c>
      <c r="I293" s="8">
        <f t="shared" si="9"/>
        <v>-0.15600365303786787</v>
      </c>
    </row>
    <row r="294" spans="1:9">
      <c r="A294" s="53">
        <v>50765</v>
      </c>
      <c r="B294" t="str">
        <f>TEXT(Table9[[#This Row],[Date]], "mmm")</f>
        <v>Dec</v>
      </c>
      <c r="C294">
        <f>YEAR(Table9[[#This Row],[Date]])</f>
        <v>2038</v>
      </c>
      <c r="D294" t="s">
        <v>13</v>
      </c>
      <c r="E294" s="14">
        <v>94</v>
      </c>
      <c r="F294">
        <v>85293.930786360957</v>
      </c>
      <c r="G294" s="82">
        <f>_xlfn.FORECAST.LINEAR(Table9[[#This Row],[Date]],Table9[Units_Sold],Table9[Date])</f>
        <v>99.417478357913424</v>
      </c>
      <c r="H294">
        <f t="shared" si="8"/>
        <v>-5.4174783579134242</v>
      </c>
      <c r="I294" s="8">
        <f t="shared" si="9"/>
        <v>-5.7632748488440681E-2</v>
      </c>
    </row>
    <row r="295" spans="1:9">
      <c r="A295" s="54">
        <v>50795</v>
      </c>
      <c r="B295" t="str">
        <f>TEXT(Table9[[#This Row],[Date]], "mmm")</f>
        <v>Jan</v>
      </c>
      <c r="C295">
        <f>YEAR(Table9[[#This Row],[Date]])</f>
        <v>2039</v>
      </c>
      <c r="D295" t="s">
        <v>10</v>
      </c>
      <c r="E295" s="15">
        <v>88</v>
      </c>
      <c r="F295">
        <v>114429.58647514686</v>
      </c>
      <c r="G295" s="82">
        <f>_xlfn.FORECAST.LINEAR(Table9[[#This Row],[Date]],Table9[Units_Sold],Table9[Date])</f>
        <v>99.418642554570212</v>
      </c>
      <c r="H295">
        <f t="shared" si="8"/>
        <v>-11.418642554570212</v>
      </c>
      <c r="I295" s="8">
        <f t="shared" si="9"/>
        <v>-0.12975730175647968</v>
      </c>
    </row>
    <row r="296" spans="1:9">
      <c r="A296" s="53">
        <v>50825</v>
      </c>
      <c r="B296" t="str">
        <f>TEXT(Table9[[#This Row],[Date]], "mmm")</f>
        <v>Feb</v>
      </c>
      <c r="C296">
        <f>YEAR(Table9[[#This Row],[Date]])</f>
        <v>2039</v>
      </c>
      <c r="D296" t="s">
        <v>12</v>
      </c>
      <c r="E296" s="14">
        <v>100</v>
      </c>
      <c r="F296">
        <v>78997.185207957082</v>
      </c>
      <c r="G296" s="82">
        <f>_xlfn.FORECAST.LINEAR(Table9[[#This Row],[Date]],Table9[Units_Sold],Table9[Date])</f>
        <v>99.419806751227</v>
      </c>
      <c r="H296">
        <f t="shared" si="8"/>
        <v>0.58019324877299994</v>
      </c>
      <c r="I296" s="8">
        <f t="shared" si="9"/>
        <v>5.8019324877299997E-3</v>
      </c>
    </row>
    <row r="297" spans="1:9">
      <c r="A297" s="54">
        <v>50855</v>
      </c>
      <c r="B297" t="str">
        <f>TEXT(Table9[[#This Row],[Date]], "mmm")</f>
        <v>Mar</v>
      </c>
      <c r="C297">
        <f>YEAR(Table9[[#This Row],[Date]])</f>
        <v>2039</v>
      </c>
      <c r="D297" t="s">
        <v>14</v>
      </c>
      <c r="E297" s="15">
        <v>95</v>
      </c>
      <c r="F297">
        <v>115149.90298674972</v>
      </c>
      <c r="G297" s="82">
        <f>_xlfn.FORECAST.LINEAR(Table9[[#This Row],[Date]],Table9[Units_Sold],Table9[Date])</f>
        <v>99.420970947883788</v>
      </c>
      <c r="H297">
        <f t="shared" si="8"/>
        <v>-4.420970947883788</v>
      </c>
      <c r="I297" s="8">
        <f t="shared" si="9"/>
        <v>-4.6536536293513557E-2</v>
      </c>
    </row>
    <row r="298" spans="1:9">
      <c r="A298" s="53">
        <v>50885</v>
      </c>
      <c r="B298" t="str">
        <f>TEXT(Table9[[#This Row],[Date]], "mmm")</f>
        <v>Apr</v>
      </c>
      <c r="C298">
        <f>YEAR(Table9[[#This Row],[Date]])</f>
        <v>2039</v>
      </c>
      <c r="D298" t="s">
        <v>10</v>
      </c>
      <c r="E298" s="14">
        <v>95</v>
      </c>
      <c r="F298">
        <v>127410.72287993427</v>
      </c>
      <c r="G298" s="82">
        <f>_xlfn.FORECAST.LINEAR(Table9[[#This Row],[Date]],Table9[Units_Sold],Table9[Date])</f>
        <v>99.422135144540576</v>
      </c>
      <c r="H298">
        <f t="shared" si="8"/>
        <v>-4.4221351445405759</v>
      </c>
      <c r="I298" s="8">
        <f t="shared" si="9"/>
        <v>-4.6548790995163958E-2</v>
      </c>
    </row>
    <row r="299" spans="1:9">
      <c r="A299" s="54">
        <v>50915</v>
      </c>
      <c r="B299" t="str">
        <f>TEXT(Table9[[#This Row],[Date]], "mmm")</f>
        <v>May</v>
      </c>
      <c r="C299">
        <f>YEAR(Table9[[#This Row],[Date]])</f>
        <v>2039</v>
      </c>
      <c r="D299" t="s">
        <v>13</v>
      </c>
      <c r="E299" s="15">
        <v>92</v>
      </c>
      <c r="F299">
        <v>113904.05800167998</v>
      </c>
      <c r="G299" s="82">
        <f>_xlfn.FORECAST.LINEAR(Table9[[#This Row],[Date]],Table9[Units_Sold],Table9[Date])</f>
        <v>99.423299341197364</v>
      </c>
      <c r="H299">
        <f t="shared" si="8"/>
        <v>-7.4232993411973638</v>
      </c>
      <c r="I299" s="8">
        <f t="shared" si="9"/>
        <v>-8.0688036317362655E-2</v>
      </c>
    </row>
    <row r="300" spans="1:9">
      <c r="A300" s="53">
        <v>50945</v>
      </c>
      <c r="B300" t="str">
        <f>TEXT(Table9[[#This Row],[Date]], "mmm")</f>
        <v>Jun</v>
      </c>
      <c r="C300">
        <f>YEAR(Table9[[#This Row],[Date]])</f>
        <v>2039</v>
      </c>
      <c r="D300" t="s">
        <v>12</v>
      </c>
      <c r="E300" s="14">
        <v>108</v>
      </c>
      <c r="F300">
        <v>105675.02047323002</v>
      </c>
      <c r="G300" s="82">
        <f>_xlfn.FORECAST.LINEAR(Table9[[#This Row],[Date]],Table9[Units_Sold],Table9[Date])</f>
        <v>99.424463537854152</v>
      </c>
      <c r="H300">
        <f t="shared" si="8"/>
        <v>8.5755364621458483</v>
      </c>
      <c r="I300" s="8">
        <f t="shared" si="9"/>
        <v>7.9403115390239337E-2</v>
      </c>
    </row>
    <row r="301" spans="1:9">
      <c r="A301" s="54">
        <v>50975</v>
      </c>
      <c r="B301" t="str">
        <f>TEXT(Table9[[#This Row],[Date]], "mmm")</f>
        <v>Jul</v>
      </c>
      <c r="C301">
        <f>YEAR(Table9[[#This Row],[Date]])</f>
        <v>2039</v>
      </c>
      <c r="D301" t="s">
        <v>13</v>
      </c>
      <c r="E301" s="15">
        <v>99</v>
      </c>
      <c r="F301">
        <v>80242.533181985025</v>
      </c>
      <c r="G301" s="82">
        <f>_xlfn.FORECAST.LINEAR(Table9[[#This Row],[Date]],Table9[Units_Sold],Table9[Date])</f>
        <v>99.425627734510925</v>
      </c>
      <c r="H301">
        <f t="shared" si="8"/>
        <v>-0.42562773451092539</v>
      </c>
      <c r="I301" s="8">
        <f t="shared" si="9"/>
        <v>-4.2992700455649025E-3</v>
      </c>
    </row>
    <row r="302" spans="1:9">
      <c r="A302" s="53">
        <v>51005</v>
      </c>
      <c r="B302" t="str">
        <f>TEXT(Table9[[#This Row],[Date]], "mmm")</f>
        <v>Aug</v>
      </c>
      <c r="C302">
        <f>YEAR(Table9[[#This Row],[Date]])</f>
        <v>2039</v>
      </c>
      <c r="D302" t="s">
        <v>13</v>
      </c>
      <c r="E302" s="14">
        <v>95</v>
      </c>
      <c r="F302">
        <v>83062.980677492713</v>
      </c>
      <c r="G302" s="82">
        <f>_xlfn.FORECAST.LINEAR(Table9[[#This Row],[Date]],Table9[Units_Sold],Table9[Date])</f>
        <v>99.426791931167713</v>
      </c>
      <c r="H302">
        <f t="shared" si="8"/>
        <v>-4.4267919311677133</v>
      </c>
      <c r="I302" s="8">
        <f t="shared" si="9"/>
        <v>-4.6597809801765401E-2</v>
      </c>
    </row>
    <row r="303" spans="1:9">
      <c r="A303" s="54">
        <v>51035</v>
      </c>
      <c r="B303" t="str">
        <f>TEXT(Table9[[#This Row],[Date]], "mmm")</f>
        <v>Sep</v>
      </c>
      <c r="C303">
        <f>YEAR(Table9[[#This Row],[Date]])</f>
        <v>2039</v>
      </c>
      <c r="D303" t="s">
        <v>10</v>
      </c>
      <c r="E303" s="15">
        <v>86</v>
      </c>
      <c r="F303">
        <v>124992.37810593334</v>
      </c>
      <c r="G303" s="82">
        <f>_xlfn.FORECAST.LINEAR(Table9[[#This Row],[Date]],Table9[Units_Sold],Table9[Date])</f>
        <v>99.427956127824501</v>
      </c>
      <c r="H303">
        <f t="shared" si="8"/>
        <v>-13.427956127824501</v>
      </c>
      <c r="I303" s="8">
        <f t="shared" si="9"/>
        <v>-0.15613902474214536</v>
      </c>
    </row>
    <row r="304" spans="1:9">
      <c r="A304" s="53">
        <v>51065</v>
      </c>
      <c r="B304" t="str">
        <f>TEXT(Table9[[#This Row],[Date]], "mmm")</f>
        <v>Oct</v>
      </c>
      <c r="C304">
        <f>YEAR(Table9[[#This Row],[Date]])</f>
        <v>2039</v>
      </c>
      <c r="D304" t="s">
        <v>13</v>
      </c>
      <c r="E304" s="14">
        <v>120</v>
      </c>
      <c r="F304">
        <v>115586.98007810664</v>
      </c>
      <c r="G304" s="82">
        <f>_xlfn.FORECAST.LINEAR(Table9[[#This Row],[Date]],Table9[Units_Sold],Table9[Date])</f>
        <v>99.429120324481289</v>
      </c>
      <c r="H304">
        <f t="shared" si="8"/>
        <v>20.570879675518711</v>
      </c>
      <c r="I304" s="8">
        <f t="shared" si="9"/>
        <v>0.17142399729598926</v>
      </c>
    </row>
    <row r="305" spans="1:9">
      <c r="A305" s="54">
        <v>51095</v>
      </c>
      <c r="B305" t="str">
        <f>TEXT(Table9[[#This Row],[Date]], "mmm")</f>
        <v>Nov</v>
      </c>
      <c r="C305">
        <f>YEAR(Table9[[#This Row],[Date]])</f>
        <v>2039</v>
      </c>
      <c r="D305" t="s">
        <v>10</v>
      </c>
      <c r="E305" s="15">
        <v>81</v>
      </c>
      <c r="F305">
        <v>99219.609612449116</v>
      </c>
      <c r="G305" s="82">
        <f>_xlfn.FORECAST.LINEAR(Table9[[#This Row],[Date]],Table9[Units_Sold],Table9[Date])</f>
        <v>99.430284521138077</v>
      </c>
      <c r="H305">
        <f t="shared" si="8"/>
        <v>-18.430284521138077</v>
      </c>
      <c r="I305" s="8">
        <f t="shared" si="9"/>
        <v>-0.22753437680417379</v>
      </c>
    </row>
    <row r="306" spans="1:9">
      <c r="A306" s="53">
        <v>51125</v>
      </c>
      <c r="B306" t="str">
        <f>TEXT(Table9[[#This Row],[Date]], "mmm")</f>
        <v>Dec</v>
      </c>
      <c r="C306">
        <f>YEAR(Table9[[#This Row],[Date]])</f>
        <v>2039</v>
      </c>
      <c r="D306" t="s">
        <v>14</v>
      </c>
      <c r="E306" s="14">
        <v>102</v>
      </c>
      <c r="F306">
        <v>91641.809084682187</v>
      </c>
      <c r="G306" s="82">
        <f>_xlfn.FORECAST.LINEAR(Table9[[#This Row],[Date]],Table9[Units_Sold],Table9[Date])</f>
        <v>99.431448717794865</v>
      </c>
      <c r="H306">
        <f t="shared" si="8"/>
        <v>2.5685512822051351</v>
      </c>
      <c r="I306" s="8">
        <f t="shared" si="9"/>
        <v>2.5181875315736617E-2</v>
      </c>
    </row>
    <row r="307" spans="1:9">
      <c r="A307" s="54">
        <v>51155</v>
      </c>
      <c r="B307" t="str">
        <f>TEXT(Table9[[#This Row],[Date]], "mmm")</f>
        <v>Jan</v>
      </c>
      <c r="C307">
        <f>YEAR(Table9[[#This Row],[Date]])</f>
        <v>2040</v>
      </c>
      <c r="D307" t="s">
        <v>13</v>
      </c>
      <c r="E307" s="15">
        <v>87</v>
      </c>
      <c r="F307">
        <v>59483.842537772463</v>
      </c>
      <c r="G307" s="82">
        <f>_xlfn.FORECAST.LINEAR(Table9[[#This Row],[Date]],Table9[Units_Sold],Table9[Date])</f>
        <v>99.432612914451653</v>
      </c>
      <c r="H307">
        <f t="shared" si="8"/>
        <v>-12.432612914451653</v>
      </c>
      <c r="I307" s="8">
        <f t="shared" si="9"/>
        <v>-0.14290359671783509</v>
      </c>
    </row>
    <row r="308" spans="1:9">
      <c r="A308" s="53">
        <v>51185</v>
      </c>
      <c r="B308" t="str">
        <f>TEXT(Table9[[#This Row],[Date]], "mmm")</f>
        <v>Feb</v>
      </c>
      <c r="C308">
        <f>YEAR(Table9[[#This Row],[Date]])</f>
        <v>2040</v>
      </c>
      <c r="D308" t="s">
        <v>13</v>
      </c>
      <c r="E308" s="14">
        <v>90</v>
      </c>
      <c r="F308">
        <v>78582.951626311231</v>
      </c>
      <c r="G308" s="82">
        <f>_xlfn.FORECAST.LINEAR(Table9[[#This Row],[Date]],Table9[Units_Sold],Table9[Date])</f>
        <v>99.433777111108441</v>
      </c>
      <c r="H308">
        <f t="shared" si="8"/>
        <v>-9.4337771111084407</v>
      </c>
      <c r="I308" s="8">
        <f t="shared" si="9"/>
        <v>-0.10481974567898268</v>
      </c>
    </row>
    <row r="309" spans="1:9">
      <c r="A309" s="54">
        <v>51215</v>
      </c>
      <c r="B309" t="str">
        <f>TEXT(Table9[[#This Row],[Date]], "mmm")</f>
        <v>Mar</v>
      </c>
      <c r="C309">
        <f>YEAR(Table9[[#This Row],[Date]])</f>
        <v>2040</v>
      </c>
      <c r="D309" t="s">
        <v>13</v>
      </c>
      <c r="E309" s="15">
        <v>89</v>
      </c>
      <c r="F309">
        <v>138228.38174279447</v>
      </c>
      <c r="G309" s="82">
        <f>_xlfn.FORECAST.LINEAR(Table9[[#This Row],[Date]],Table9[Units_Sold],Table9[Date])</f>
        <v>99.434941307765229</v>
      </c>
      <c r="H309">
        <f t="shared" si="8"/>
        <v>-10.434941307765229</v>
      </c>
      <c r="I309" s="8">
        <f t="shared" si="9"/>
        <v>-0.11724653154792392</v>
      </c>
    </row>
    <row r="310" spans="1:9">
      <c r="A310" s="53">
        <v>51245</v>
      </c>
      <c r="B310" t="str">
        <f>TEXT(Table9[[#This Row],[Date]], "mmm")</f>
        <v>Apr</v>
      </c>
      <c r="C310">
        <f>YEAR(Table9[[#This Row],[Date]])</f>
        <v>2040</v>
      </c>
      <c r="D310" t="s">
        <v>11</v>
      </c>
      <c r="E310" s="14">
        <v>105</v>
      </c>
      <c r="F310">
        <v>74390.888579950668</v>
      </c>
      <c r="G310" s="82">
        <f>_xlfn.FORECAST.LINEAR(Table9[[#This Row],[Date]],Table9[Units_Sold],Table9[Date])</f>
        <v>99.436105504422017</v>
      </c>
      <c r="H310">
        <f t="shared" si="8"/>
        <v>5.5638944955779834</v>
      </c>
      <c r="I310" s="8">
        <f t="shared" si="9"/>
        <v>5.2989471386456988E-2</v>
      </c>
    </row>
    <row r="311" spans="1:9">
      <c r="A311" s="54">
        <v>51275</v>
      </c>
      <c r="B311" t="str">
        <f>TEXT(Table9[[#This Row],[Date]], "mmm")</f>
        <v>May</v>
      </c>
      <c r="C311">
        <f>YEAR(Table9[[#This Row],[Date]])</f>
        <v>2040</v>
      </c>
      <c r="D311" t="s">
        <v>11</v>
      </c>
      <c r="E311" s="15">
        <v>96</v>
      </c>
      <c r="F311">
        <v>103789.59642442162</v>
      </c>
      <c r="G311" s="82">
        <f>_xlfn.FORECAST.LINEAR(Table9[[#This Row],[Date]],Table9[Units_Sold],Table9[Date])</f>
        <v>99.437269701078804</v>
      </c>
      <c r="H311">
        <f t="shared" si="8"/>
        <v>-3.4372697010788045</v>
      </c>
      <c r="I311" s="8">
        <f t="shared" si="9"/>
        <v>-3.580489271957088E-2</v>
      </c>
    </row>
    <row r="312" spans="1:9">
      <c r="A312" s="53">
        <v>51305</v>
      </c>
      <c r="B312" t="str">
        <f>TEXT(Table9[[#This Row],[Date]], "mmm")</f>
        <v>Jun</v>
      </c>
      <c r="C312">
        <f>YEAR(Table9[[#This Row],[Date]])</f>
        <v>2040</v>
      </c>
      <c r="D312" t="s">
        <v>12</v>
      </c>
      <c r="E312" s="14">
        <v>97</v>
      </c>
      <c r="F312">
        <v>120148.87946390397</v>
      </c>
      <c r="G312" s="82">
        <f>_xlfn.FORECAST.LINEAR(Table9[[#This Row],[Date]],Table9[Units_Sold],Table9[Date])</f>
        <v>99.438433897735578</v>
      </c>
      <c r="H312">
        <f t="shared" si="8"/>
        <v>-2.4384338977355782</v>
      </c>
      <c r="I312" s="8">
        <f t="shared" si="9"/>
        <v>-2.5138493791088436E-2</v>
      </c>
    </row>
    <row r="313" spans="1:9">
      <c r="A313" s="54">
        <v>51335</v>
      </c>
      <c r="B313" t="str">
        <f>TEXT(Table9[[#This Row],[Date]], "mmm")</f>
        <v>Jul</v>
      </c>
      <c r="C313">
        <f>YEAR(Table9[[#This Row],[Date]])</f>
        <v>2040</v>
      </c>
      <c r="D313" t="s">
        <v>11</v>
      </c>
      <c r="E313" s="15">
        <v>98</v>
      </c>
      <c r="F313">
        <v>74901.546639954147</v>
      </c>
      <c r="G313" s="82">
        <f>_xlfn.FORECAST.LINEAR(Table9[[#This Row],[Date]],Table9[Units_Sold],Table9[Date])</f>
        <v>99.439598094392366</v>
      </c>
      <c r="H313">
        <f t="shared" si="8"/>
        <v>-1.4395980943923661</v>
      </c>
      <c r="I313" s="8">
        <f t="shared" si="9"/>
        <v>-1.4689776473391491E-2</v>
      </c>
    </row>
    <row r="314" spans="1:9">
      <c r="A314" s="53">
        <v>51365</v>
      </c>
      <c r="B314" t="str">
        <f>TEXT(Table9[[#This Row],[Date]], "mmm")</f>
        <v>Aug</v>
      </c>
      <c r="C314">
        <f>YEAR(Table9[[#This Row],[Date]])</f>
        <v>2040</v>
      </c>
      <c r="D314" t="s">
        <v>12</v>
      </c>
      <c r="E314" s="14">
        <v>100</v>
      </c>
      <c r="F314">
        <v>103694.20949562166</v>
      </c>
      <c r="G314" s="82">
        <f>_xlfn.FORECAST.LINEAR(Table9[[#This Row],[Date]],Table9[Units_Sold],Table9[Date])</f>
        <v>99.440762291049154</v>
      </c>
      <c r="H314">
        <f t="shared" si="8"/>
        <v>0.55923770895084601</v>
      </c>
      <c r="I314" s="8">
        <f t="shared" si="9"/>
        <v>5.5923770895084605E-3</v>
      </c>
    </row>
    <row r="315" spans="1:9">
      <c r="A315" s="54">
        <v>51395</v>
      </c>
      <c r="B315" t="str">
        <f>TEXT(Table9[[#This Row],[Date]], "mmm")</f>
        <v>Sep</v>
      </c>
      <c r="C315">
        <f>YEAR(Table9[[#This Row],[Date]])</f>
        <v>2040</v>
      </c>
      <c r="D315" t="s">
        <v>11</v>
      </c>
      <c r="E315" s="15">
        <v>108</v>
      </c>
      <c r="F315">
        <v>118758.3107502131</v>
      </c>
      <c r="G315" s="82">
        <f>_xlfn.FORECAST.LINEAR(Table9[[#This Row],[Date]],Table9[Units_Sold],Table9[Date])</f>
        <v>99.441926487705942</v>
      </c>
      <c r="H315">
        <f t="shared" si="8"/>
        <v>8.5580735122940581</v>
      </c>
      <c r="I315" s="8">
        <f t="shared" si="9"/>
        <v>7.9241421410130172E-2</v>
      </c>
    </row>
    <row r="316" spans="1:9">
      <c r="A316" s="53">
        <v>51425</v>
      </c>
      <c r="B316" t="str">
        <f>TEXT(Table9[[#This Row],[Date]], "mmm")</f>
        <v>Oct</v>
      </c>
      <c r="C316">
        <f>YEAR(Table9[[#This Row],[Date]])</f>
        <v>2040</v>
      </c>
      <c r="D316" t="s">
        <v>14</v>
      </c>
      <c r="E316" s="14">
        <v>92</v>
      </c>
      <c r="F316">
        <v>100249.986438145</v>
      </c>
      <c r="G316" s="82">
        <f>_xlfn.FORECAST.LINEAR(Table9[[#This Row],[Date]],Table9[Units_Sold],Table9[Date])</f>
        <v>99.44309068436273</v>
      </c>
      <c r="H316">
        <f t="shared" si="8"/>
        <v>-7.4430906843627298</v>
      </c>
      <c r="I316" s="8">
        <f t="shared" si="9"/>
        <v>-8.0903159612638373E-2</v>
      </c>
    </row>
    <row r="317" spans="1:9">
      <c r="A317" s="54">
        <v>51455</v>
      </c>
      <c r="B317" t="str">
        <f>TEXT(Table9[[#This Row],[Date]], "mmm")</f>
        <v>Nov</v>
      </c>
      <c r="C317">
        <f>YEAR(Table9[[#This Row],[Date]])</f>
        <v>2040</v>
      </c>
      <c r="D317" t="s">
        <v>12</v>
      </c>
      <c r="E317" s="15">
        <v>97</v>
      </c>
      <c r="F317">
        <v>100873.2838</v>
      </c>
      <c r="G317" s="82">
        <f>_xlfn.FORECAST.LINEAR(Table9[[#This Row],[Date]],Table9[Units_Sold],Table9[Date])</f>
        <v>99.444254881019518</v>
      </c>
      <c r="H317">
        <f t="shared" si="8"/>
        <v>-2.4442548810195177</v>
      </c>
      <c r="I317" s="8">
        <f t="shared" si="9"/>
        <v>-2.5198503928036266E-2</v>
      </c>
    </row>
    <row r="318" spans="1:9">
      <c r="A318" s="53">
        <v>51485</v>
      </c>
      <c r="B318" t="str">
        <f>TEXT(Table9[[#This Row],[Date]], "mmm")</f>
        <v>Dec</v>
      </c>
      <c r="C318">
        <f>YEAR(Table9[[#This Row],[Date]])</f>
        <v>2040</v>
      </c>
      <c r="D318" t="s">
        <v>11</v>
      </c>
      <c r="E318" s="14">
        <v>116</v>
      </c>
      <c r="F318">
        <v>66628.014822436089</v>
      </c>
      <c r="G318" s="82">
        <f>_xlfn.FORECAST.LINEAR(Table9[[#This Row],[Date]],Table9[Units_Sold],Table9[Date])</f>
        <v>99.445419077676306</v>
      </c>
      <c r="H318">
        <f t="shared" si="8"/>
        <v>16.554580922323694</v>
      </c>
      <c r="I318" s="8">
        <f t="shared" si="9"/>
        <v>0.14271190450279048</v>
      </c>
    </row>
    <row r="319" spans="1:9">
      <c r="A319" s="54">
        <v>51515</v>
      </c>
      <c r="B319" t="str">
        <f>TEXT(Table9[[#This Row],[Date]], "mmm")</f>
        <v>Jan</v>
      </c>
      <c r="C319">
        <f>YEAR(Table9[[#This Row],[Date]])</f>
        <v>2041</v>
      </c>
      <c r="D319" t="s">
        <v>14</v>
      </c>
      <c r="E319" s="15">
        <f>IF(ISBLANK(E272), S273, E272)</f>
        <v>103</v>
      </c>
      <c r="F319">
        <v>121174.57059767758</v>
      </c>
      <c r="G319" s="82">
        <f>_xlfn.FORECAST.LINEAR(Table9[[#This Row],[Date]],Table9[Units_Sold],Table9[Date])</f>
        <v>99.446583274333094</v>
      </c>
      <c r="H319">
        <f t="shared" si="8"/>
        <v>3.5534167256669065</v>
      </c>
      <c r="I319" s="8">
        <f t="shared" si="9"/>
        <v>3.4499191511329186E-2</v>
      </c>
    </row>
    <row r="320" spans="1:9">
      <c r="A320" s="53">
        <v>51545</v>
      </c>
      <c r="B320" t="str">
        <f>TEXT(Table9[[#This Row],[Date]], "mmm")</f>
        <v>Feb</v>
      </c>
      <c r="C320">
        <f>YEAR(Table9[[#This Row],[Date]])</f>
        <v>2041</v>
      </c>
      <c r="D320" t="s">
        <v>11</v>
      </c>
      <c r="E320" s="14">
        <v>87</v>
      </c>
      <c r="F320">
        <v>96543.965252070717</v>
      </c>
      <c r="G320" s="82">
        <f>_xlfn.FORECAST.LINEAR(Table9[[#This Row],[Date]],Table9[Units_Sold],Table9[Date])</f>
        <v>99.447747470989881</v>
      </c>
      <c r="H320">
        <f t="shared" si="8"/>
        <v>-12.447747470989881</v>
      </c>
      <c r="I320" s="8">
        <f t="shared" si="9"/>
        <v>-0.14307755713781473</v>
      </c>
    </row>
    <row r="321" spans="1:9">
      <c r="A321" s="54">
        <v>51575</v>
      </c>
      <c r="B321" t="str">
        <f>TEXT(Table9[[#This Row],[Date]], "mmm")</f>
        <v>Mar</v>
      </c>
      <c r="C321">
        <f>YEAR(Table9[[#This Row],[Date]])</f>
        <v>2041</v>
      </c>
      <c r="D321" t="s">
        <v>10</v>
      </c>
      <c r="E321" s="15">
        <v>103</v>
      </c>
      <c r="F321">
        <v>115438.4030967335</v>
      </c>
      <c r="G321" s="82">
        <f>_xlfn.FORECAST.LINEAR(Table9[[#This Row],[Date]],Table9[Units_Sold],Table9[Date])</f>
        <v>99.448911667646669</v>
      </c>
      <c r="H321">
        <f t="shared" si="8"/>
        <v>3.5510883323533307</v>
      </c>
      <c r="I321" s="8">
        <f t="shared" si="9"/>
        <v>3.4476585751003208E-2</v>
      </c>
    </row>
    <row r="322" spans="1:9">
      <c r="A322" s="53">
        <v>51605</v>
      </c>
      <c r="B322" t="str">
        <f>TEXT(Table9[[#This Row],[Date]], "mmm")</f>
        <v>Apr</v>
      </c>
      <c r="C322">
        <f>YEAR(Table9[[#This Row],[Date]])</f>
        <v>2041</v>
      </c>
      <c r="D322" t="s">
        <v>10</v>
      </c>
      <c r="E322" s="14">
        <v>115</v>
      </c>
      <c r="F322">
        <v>108826.14303398492</v>
      </c>
      <c r="G322" s="82">
        <f>_xlfn.FORECAST.LINEAR(Table9[[#This Row],[Date]],Table9[Units_Sold],Table9[Date])</f>
        <v>99.450075864303457</v>
      </c>
      <c r="H322">
        <f t="shared" ref="H322:H385" si="10">E322-G322</f>
        <v>15.549924135696543</v>
      </c>
      <c r="I322" s="8">
        <f t="shared" ref="I322:I385" si="11">H322/E322</f>
        <v>0.13521673161475253</v>
      </c>
    </row>
    <row r="323" spans="1:9">
      <c r="A323" s="54">
        <v>51635</v>
      </c>
      <c r="B323" t="str">
        <f>TEXT(Table9[[#This Row],[Date]], "mmm")</f>
        <v>May</v>
      </c>
      <c r="C323">
        <f>YEAR(Table9[[#This Row],[Date]])</f>
        <v>2041</v>
      </c>
      <c r="D323" t="s">
        <v>14</v>
      </c>
      <c r="E323" s="15">
        <v>88</v>
      </c>
      <c r="F323">
        <v>85336.876057800066</v>
      </c>
      <c r="G323" s="82">
        <f>_xlfn.FORECAST.LINEAR(Table9[[#This Row],[Date]],Table9[Units_Sold],Table9[Date])</f>
        <v>99.451240060960231</v>
      </c>
      <c r="H323">
        <f t="shared" si="10"/>
        <v>-11.451240060960231</v>
      </c>
      <c r="I323" s="8">
        <f t="shared" si="11"/>
        <v>-0.13012772796545716</v>
      </c>
    </row>
    <row r="324" spans="1:9">
      <c r="A324" s="53">
        <v>51665</v>
      </c>
      <c r="B324" t="str">
        <f>TEXT(Table9[[#This Row],[Date]], "mmm")</f>
        <v>Jun</v>
      </c>
      <c r="C324">
        <f>YEAR(Table9[[#This Row],[Date]])</f>
        <v>2041</v>
      </c>
      <c r="D324" t="s">
        <v>13</v>
      </c>
      <c r="E324" s="14">
        <v>100</v>
      </c>
      <c r="F324">
        <v>104579.9278491868</v>
      </c>
      <c r="G324" s="82">
        <f>_xlfn.FORECAST.LINEAR(Table9[[#This Row],[Date]],Table9[Units_Sold],Table9[Date])</f>
        <v>99.452404257617019</v>
      </c>
      <c r="H324">
        <f t="shared" si="10"/>
        <v>0.54759574238298114</v>
      </c>
      <c r="I324" s="8">
        <f t="shared" si="11"/>
        <v>5.4759574238298116E-3</v>
      </c>
    </row>
    <row r="325" spans="1:9">
      <c r="A325" s="54">
        <v>51695</v>
      </c>
      <c r="B325" t="str">
        <f>TEXT(Table9[[#This Row],[Date]], "mmm")</f>
        <v>Jul</v>
      </c>
      <c r="C325">
        <f>YEAR(Table9[[#This Row],[Date]])</f>
        <v>2041</v>
      </c>
      <c r="D325" t="s">
        <v>13</v>
      </c>
      <c r="E325" s="15">
        <v>108</v>
      </c>
      <c r="F325">
        <v>62841.970972034258</v>
      </c>
      <c r="G325" s="82">
        <f>_xlfn.FORECAST.LINEAR(Table9[[#This Row],[Date]],Table9[Units_Sold],Table9[Date])</f>
        <v>99.453568454273807</v>
      </c>
      <c r="H325">
        <f t="shared" si="10"/>
        <v>8.5464315457261932</v>
      </c>
      <c r="I325" s="8">
        <f t="shared" si="11"/>
        <v>7.9133625423390683E-2</v>
      </c>
    </row>
    <row r="326" spans="1:9">
      <c r="A326" s="53">
        <v>51725</v>
      </c>
      <c r="B326" t="str">
        <f>TEXT(Table9[[#This Row],[Date]], "mmm")</f>
        <v>Aug</v>
      </c>
      <c r="C326">
        <f>YEAR(Table9[[#This Row],[Date]])</f>
        <v>2041</v>
      </c>
      <c r="D326" t="s">
        <v>10</v>
      </c>
      <c r="E326" s="14">
        <f>IF(ISBLANK(E279), S280, E279)</f>
        <v>96</v>
      </c>
      <c r="F326">
        <v>112064.95001142788</v>
      </c>
      <c r="G326" s="82">
        <f>_xlfn.FORECAST.LINEAR(Table9[[#This Row],[Date]],Table9[Units_Sold],Table9[Date])</f>
        <v>99.454732650930595</v>
      </c>
      <c r="H326">
        <f t="shared" si="10"/>
        <v>-3.4547326509305947</v>
      </c>
      <c r="I326" s="8">
        <f t="shared" si="11"/>
        <v>-3.5986798447193692E-2</v>
      </c>
    </row>
    <row r="327" spans="1:9">
      <c r="A327" s="54">
        <v>51755</v>
      </c>
      <c r="B327" t="str">
        <f>TEXT(Table9[[#This Row],[Date]], "mmm")</f>
        <v>Sep</v>
      </c>
      <c r="C327">
        <f>YEAR(Table9[[#This Row],[Date]])</f>
        <v>2041</v>
      </c>
      <c r="D327" t="s">
        <v>10</v>
      </c>
      <c r="E327" s="15">
        <v>86</v>
      </c>
      <c r="F327">
        <v>105963.16931981052</v>
      </c>
      <c r="G327" s="82">
        <f>_xlfn.FORECAST.LINEAR(Table9[[#This Row],[Date]],Table9[Units_Sold],Table9[Date])</f>
        <v>99.455896847587383</v>
      </c>
      <c r="H327">
        <f t="shared" si="10"/>
        <v>-13.455896847587383</v>
      </c>
      <c r="I327" s="8">
        <f t="shared" si="11"/>
        <v>-0.15646391683241143</v>
      </c>
    </row>
    <row r="328" spans="1:9">
      <c r="A328" s="53">
        <v>51785</v>
      </c>
      <c r="B328" t="str">
        <f>TEXT(Table9[[#This Row],[Date]], "mmm")</f>
        <v>Oct</v>
      </c>
      <c r="C328">
        <f>YEAR(Table9[[#This Row],[Date]])</f>
        <v>2041</v>
      </c>
      <c r="D328" t="s">
        <v>13</v>
      </c>
      <c r="E328" s="14">
        <v>87</v>
      </c>
      <c r="F328">
        <v>112773.20337286204</v>
      </c>
      <c r="G328" s="82">
        <f>_xlfn.FORECAST.LINEAR(Table9[[#This Row],[Date]],Table9[Units_Sold],Table9[Date])</f>
        <v>99.45706104424417</v>
      </c>
      <c r="H328">
        <f t="shared" si="10"/>
        <v>-12.45706104424417</v>
      </c>
      <c r="I328" s="8">
        <f t="shared" si="11"/>
        <v>-0.143184609703956</v>
      </c>
    </row>
    <row r="329" spans="1:9">
      <c r="A329" s="54">
        <v>51815</v>
      </c>
      <c r="B329" t="str">
        <f>TEXT(Table9[[#This Row],[Date]], "mmm")</f>
        <v>Nov</v>
      </c>
      <c r="C329">
        <f>YEAR(Table9[[#This Row],[Date]])</f>
        <v>2041</v>
      </c>
      <c r="D329" t="s">
        <v>12</v>
      </c>
      <c r="E329" s="15">
        <v>109</v>
      </c>
      <c r="F329">
        <v>121162.366501743</v>
      </c>
      <c r="G329" s="82">
        <f>_xlfn.FORECAST.LINEAR(Table9[[#This Row],[Date]],Table9[Units_Sold],Table9[Date])</f>
        <v>99.458225240900958</v>
      </c>
      <c r="H329">
        <f t="shared" si="10"/>
        <v>9.5417747590990416</v>
      </c>
      <c r="I329" s="8">
        <f t="shared" si="11"/>
        <v>8.7539217973385708E-2</v>
      </c>
    </row>
    <row r="330" spans="1:9">
      <c r="A330" s="53">
        <v>51845</v>
      </c>
      <c r="B330" t="str">
        <f>TEXT(Table9[[#This Row],[Date]], "mmm")</f>
        <v>Dec</v>
      </c>
      <c r="C330">
        <f>YEAR(Table9[[#This Row],[Date]])</f>
        <v>2041</v>
      </c>
      <c r="D330" t="s">
        <v>13</v>
      </c>
      <c r="E330" s="14">
        <v>91</v>
      </c>
      <c r="F330">
        <v>107352.39680419421</v>
      </c>
      <c r="G330" s="82">
        <f>_xlfn.FORECAST.LINEAR(Table9[[#This Row],[Date]],Table9[Units_Sold],Table9[Date])</f>
        <v>99.459389437557746</v>
      </c>
      <c r="H330">
        <f t="shared" si="10"/>
        <v>-8.4593894375577463</v>
      </c>
      <c r="I330" s="8">
        <f t="shared" si="11"/>
        <v>-9.2960323489645558E-2</v>
      </c>
    </row>
    <row r="331" spans="1:9">
      <c r="A331" s="54">
        <v>51875</v>
      </c>
      <c r="B331" t="str">
        <f>TEXT(Table9[[#This Row],[Date]], "mmm")</f>
        <v>Jan</v>
      </c>
      <c r="C331">
        <f>YEAR(Table9[[#This Row],[Date]])</f>
        <v>2042</v>
      </c>
      <c r="D331" t="s">
        <v>11</v>
      </c>
      <c r="E331" s="15">
        <v>107</v>
      </c>
      <c r="F331">
        <v>102961.78839596553</v>
      </c>
      <c r="G331" s="82">
        <f>_xlfn.FORECAST.LINEAR(Table9[[#This Row],[Date]],Table9[Units_Sold],Table9[Date])</f>
        <v>99.460553634214534</v>
      </c>
      <c r="H331">
        <f t="shared" si="10"/>
        <v>7.5394463657854658</v>
      </c>
      <c r="I331" s="8">
        <f t="shared" si="11"/>
        <v>7.0462115568088471E-2</v>
      </c>
    </row>
    <row r="332" spans="1:9">
      <c r="A332" s="53">
        <v>51905</v>
      </c>
      <c r="B332" t="str">
        <f>TEXT(Table9[[#This Row],[Date]], "mmm")</f>
        <v>Feb</v>
      </c>
      <c r="C332">
        <f>YEAR(Table9[[#This Row],[Date]])</f>
        <v>2042</v>
      </c>
      <c r="D332" t="s">
        <v>12</v>
      </c>
      <c r="E332" s="14">
        <v>106</v>
      </c>
      <c r="F332">
        <v>82378.633266774152</v>
      </c>
      <c r="G332" s="82">
        <f>_xlfn.FORECAST.LINEAR(Table9[[#This Row],[Date]],Table9[Units_Sold],Table9[Date])</f>
        <v>99.461717830871322</v>
      </c>
      <c r="H332">
        <f t="shared" si="10"/>
        <v>6.5382821691286779</v>
      </c>
      <c r="I332" s="8">
        <f t="shared" si="11"/>
        <v>6.1681907255930923E-2</v>
      </c>
    </row>
    <row r="333" spans="1:9">
      <c r="A333" s="54">
        <v>51935</v>
      </c>
      <c r="B333" t="str">
        <f>TEXT(Table9[[#This Row],[Date]], "mmm")</f>
        <v>Mar</v>
      </c>
      <c r="C333">
        <f>YEAR(Table9[[#This Row],[Date]])</f>
        <v>2042</v>
      </c>
      <c r="D333" t="s">
        <v>11</v>
      </c>
      <c r="E333" s="15">
        <v>92</v>
      </c>
      <c r="F333">
        <v>85755.584727018984</v>
      </c>
      <c r="G333" s="82">
        <f>_xlfn.FORECAST.LINEAR(Table9[[#This Row],[Date]],Table9[Units_Sold],Table9[Date])</f>
        <v>99.46288202752811</v>
      </c>
      <c r="H333">
        <f t="shared" si="10"/>
        <v>-7.46288202752811</v>
      </c>
      <c r="I333" s="8">
        <f t="shared" si="11"/>
        <v>-8.1118282907914244E-2</v>
      </c>
    </row>
    <row r="334" spans="1:9">
      <c r="A334" s="53">
        <v>51965</v>
      </c>
      <c r="B334" t="str">
        <f>TEXT(Table9[[#This Row],[Date]], "mmm")</f>
        <v>Apr</v>
      </c>
      <c r="C334">
        <f>YEAR(Table9[[#This Row],[Date]])</f>
        <v>2042</v>
      </c>
      <c r="D334" t="s">
        <v>10</v>
      </c>
      <c r="E334" s="14">
        <v>90</v>
      </c>
      <c r="F334">
        <v>100873.2838</v>
      </c>
      <c r="G334" s="82">
        <f>_xlfn.FORECAST.LINEAR(Table9[[#This Row],[Date]],Table9[Units_Sold],Table9[Date])</f>
        <v>99.464046224184884</v>
      </c>
      <c r="H334">
        <f t="shared" si="10"/>
        <v>-9.4640462241848837</v>
      </c>
      <c r="I334" s="8">
        <f t="shared" si="11"/>
        <v>-0.10515606915760982</v>
      </c>
    </row>
    <row r="335" spans="1:9">
      <c r="A335" s="54">
        <v>51995</v>
      </c>
      <c r="B335" t="str">
        <f>TEXT(Table9[[#This Row],[Date]], "mmm")</f>
        <v>May</v>
      </c>
      <c r="C335">
        <f>YEAR(Table9[[#This Row],[Date]])</f>
        <v>2042</v>
      </c>
      <c r="D335" t="s">
        <v>12</v>
      </c>
      <c r="E335" s="15">
        <v>102</v>
      </c>
      <c r="F335">
        <v>100873.2838</v>
      </c>
      <c r="G335" s="82">
        <f>_xlfn.FORECAST.LINEAR(Table9[[#This Row],[Date]],Table9[Units_Sold],Table9[Date])</f>
        <v>99.465210420841672</v>
      </c>
      <c r="H335">
        <f t="shared" si="10"/>
        <v>2.5347895791583284</v>
      </c>
      <c r="I335" s="8">
        <f t="shared" si="11"/>
        <v>2.4850878227042433E-2</v>
      </c>
    </row>
    <row r="336" spans="1:9">
      <c r="A336" s="53">
        <v>52025</v>
      </c>
      <c r="B336" t="str">
        <f>TEXT(Table9[[#This Row],[Date]], "mmm")</f>
        <v>Jun</v>
      </c>
      <c r="C336">
        <f>YEAR(Table9[[#This Row],[Date]])</f>
        <v>2042</v>
      </c>
      <c r="D336" t="s">
        <v>11</v>
      </c>
      <c r="E336" s="14">
        <v>99</v>
      </c>
      <c r="F336">
        <v>95237.791273758921</v>
      </c>
      <c r="G336" s="82">
        <f>_xlfn.FORECAST.LINEAR(Table9[[#This Row],[Date]],Table9[Units_Sold],Table9[Date])</f>
        <v>99.46637461749846</v>
      </c>
      <c r="H336">
        <f t="shared" si="10"/>
        <v>-0.46637461749845954</v>
      </c>
      <c r="I336" s="8">
        <f t="shared" si="11"/>
        <v>-4.7108547222066621E-3</v>
      </c>
    </row>
    <row r="337" spans="1:9">
      <c r="A337" s="54">
        <v>52055</v>
      </c>
      <c r="B337" t="str">
        <f>TEXT(Table9[[#This Row],[Date]], "mmm")</f>
        <v>Jul</v>
      </c>
      <c r="C337">
        <f>YEAR(Table9[[#This Row],[Date]])</f>
        <v>2042</v>
      </c>
      <c r="D337" t="s">
        <v>11</v>
      </c>
      <c r="E337" s="15">
        <v>88</v>
      </c>
      <c r="F337">
        <v>100920.05494506548</v>
      </c>
      <c r="G337" s="82">
        <f>_xlfn.FORECAST.LINEAR(Table9[[#This Row],[Date]],Table9[Units_Sold],Table9[Date])</f>
        <v>99.467538814155247</v>
      </c>
      <c r="H337">
        <f t="shared" si="10"/>
        <v>-11.467538814155247</v>
      </c>
      <c r="I337" s="8">
        <f t="shared" si="11"/>
        <v>-0.13031294106994598</v>
      </c>
    </row>
    <row r="338" spans="1:9">
      <c r="A338" s="53">
        <v>52085</v>
      </c>
      <c r="B338" t="str">
        <f>TEXT(Table9[[#This Row],[Date]], "mmm")</f>
        <v>Aug</v>
      </c>
      <c r="C338">
        <f>YEAR(Table9[[#This Row],[Date]])</f>
        <v>2042</v>
      </c>
      <c r="D338" t="s">
        <v>12</v>
      </c>
      <c r="E338" s="14">
        <v>100</v>
      </c>
      <c r="F338">
        <v>81907.712500124675</v>
      </c>
      <c r="G338" s="82">
        <f>_xlfn.FORECAST.LINEAR(Table9[[#This Row],[Date]],Table9[Units_Sold],Table9[Date])</f>
        <v>99.468703010812035</v>
      </c>
      <c r="H338">
        <f t="shared" si="10"/>
        <v>0.53129698918796464</v>
      </c>
      <c r="I338" s="8">
        <f t="shared" si="11"/>
        <v>5.3129698918796464E-3</v>
      </c>
    </row>
    <row r="339" spans="1:9">
      <c r="A339" s="54">
        <v>52115</v>
      </c>
      <c r="B339" t="str">
        <f>TEXT(Table9[[#This Row],[Date]], "mmm")</f>
        <v>Sep</v>
      </c>
      <c r="C339">
        <f>YEAR(Table9[[#This Row],[Date]])</f>
        <v>2042</v>
      </c>
      <c r="D339" t="s">
        <v>14</v>
      </c>
      <c r="E339" s="15">
        <f>IF(ISBLANK(E292), S293, E292)</f>
        <v>100</v>
      </c>
      <c r="F339">
        <v>123455.13690534889</v>
      </c>
      <c r="G339" s="82">
        <f>_xlfn.FORECAST.LINEAR(Table9[[#This Row],[Date]],Table9[Units_Sold],Table9[Date])</f>
        <v>99.469867207468823</v>
      </c>
      <c r="H339">
        <f t="shared" si="10"/>
        <v>0.53013279253117673</v>
      </c>
      <c r="I339" s="8">
        <f t="shared" si="11"/>
        <v>5.3013279253117671E-3</v>
      </c>
    </row>
    <row r="340" spans="1:9">
      <c r="A340" s="53">
        <v>52145</v>
      </c>
      <c r="B340" t="str">
        <f>TEXT(Table9[[#This Row],[Date]], "mmm")</f>
        <v>Oct</v>
      </c>
      <c r="C340">
        <f>YEAR(Table9[[#This Row],[Date]])</f>
        <v>2042</v>
      </c>
      <c r="D340" t="s">
        <v>13</v>
      </c>
      <c r="E340" s="14">
        <v>106</v>
      </c>
      <c r="F340">
        <v>113308.33647383557</v>
      </c>
      <c r="G340" s="82">
        <f>_xlfn.FORECAST.LINEAR(Table9[[#This Row],[Date]],Table9[Units_Sold],Table9[Date])</f>
        <v>99.471031404125611</v>
      </c>
      <c r="H340">
        <f t="shared" si="10"/>
        <v>6.5289685958743888</v>
      </c>
      <c r="I340" s="8">
        <f t="shared" si="11"/>
        <v>6.1594043357305554E-2</v>
      </c>
    </row>
    <row r="341" spans="1:9">
      <c r="A341" s="54">
        <v>52175</v>
      </c>
      <c r="B341" t="str">
        <f>TEXT(Table9[[#This Row],[Date]], "mmm")</f>
        <v>Nov</v>
      </c>
      <c r="C341">
        <f>YEAR(Table9[[#This Row],[Date]])</f>
        <v>2042</v>
      </c>
      <c r="D341" t="s">
        <v>11</v>
      </c>
      <c r="E341" s="15">
        <f>IF(ISBLANK(E294), S295, E294)</f>
        <v>94</v>
      </c>
      <c r="F341">
        <v>138824.34872927499</v>
      </c>
      <c r="G341" s="82">
        <f>_xlfn.FORECAST.LINEAR(Table9[[#This Row],[Date]],Table9[Units_Sold],Table9[Date])</f>
        <v>99.472195600782399</v>
      </c>
      <c r="H341">
        <f t="shared" si="10"/>
        <v>-5.4721956007823991</v>
      </c>
      <c r="I341" s="8">
        <f t="shared" si="11"/>
        <v>-5.8214846816834032E-2</v>
      </c>
    </row>
    <row r="342" spans="1:9">
      <c r="A342" s="53">
        <v>52205</v>
      </c>
      <c r="B342" t="str">
        <f>TEXT(Table9[[#This Row],[Date]], "mmm")</f>
        <v>Dec</v>
      </c>
      <c r="C342">
        <f>YEAR(Table9[[#This Row],[Date]])</f>
        <v>2042</v>
      </c>
      <c r="D342" t="s">
        <v>13</v>
      </c>
      <c r="E342" s="14">
        <v>98</v>
      </c>
      <c r="F342">
        <v>82433.538456405222</v>
      </c>
      <c r="G342" s="82">
        <f>_xlfn.FORECAST.LINEAR(Table9[[#This Row],[Date]],Table9[Units_Sold],Table9[Date])</f>
        <v>99.473359797439187</v>
      </c>
      <c r="H342">
        <f t="shared" si="10"/>
        <v>-1.473359797439187</v>
      </c>
      <c r="I342" s="8">
        <f t="shared" si="11"/>
        <v>-1.5034283647338643E-2</v>
      </c>
    </row>
    <row r="343" spans="1:9">
      <c r="A343" s="54">
        <v>52235</v>
      </c>
      <c r="B343" t="str">
        <f>TEXT(Table9[[#This Row],[Date]], "mmm")</f>
        <v>Jan</v>
      </c>
      <c r="C343">
        <f>YEAR(Table9[[#This Row],[Date]])</f>
        <v>2043</v>
      </c>
      <c r="D343" t="s">
        <v>13</v>
      </c>
      <c r="E343" s="15">
        <v>119</v>
      </c>
      <c r="F343">
        <v>92439.84201963566</v>
      </c>
      <c r="G343" s="82">
        <f>_xlfn.FORECAST.LINEAR(Table9[[#This Row],[Date]],Table9[Units_Sold],Table9[Date])</f>
        <v>99.474523994095975</v>
      </c>
      <c r="H343">
        <f t="shared" si="10"/>
        <v>19.525476005904025</v>
      </c>
      <c r="I343" s="8">
        <f t="shared" si="11"/>
        <v>0.16407963030171449</v>
      </c>
    </row>
    <row r="344" spans="1:9">
      <c r="A344" s="53">
        <v>52265</v>
      </c>
      <c r="B344" t="str">
        <f>TEXT(Table9[[#This Row],[Date]], "mmm")</f>
        <v>Feb</v>
      </c>
      <c r="C344">
        <f>YEAR(Table9[[#This Row],[Date]])</f>
        <v>2043</v>
      </c>
      <c r="D344" t="s">
        <v>10</v>
      </c>
      <c r="E344" s="14">
        <v>99</v>
      </c>
      <c r="F344">
        <v>104628.91845051144</v>
      </c>
      <c r="G344" s="82">
        <f>_xlfn.FORECAST.LINEAR(Table9[[#This Row],[Date]],Table9[Units_Sold],Table9[Date])</f>
        <v>99.475688190752763</v>
      </c>
      <c r="H344">
        <f t="shared" si="10"/>
        <v>-0.47568819075276281</v>
      </c>
      <c r="I344" s="8">
        <f t="shared" si="11"/>
        <v>-4.8049312197248764E-3</v>
      </c>
    </row>
    <row r="345" spans="1:9">
      <c r="A345" s="54">
        <v>52295</v>
      </c>
      <c r="B345" t="str">
        <f>TEXT(Table9[[#This Row],[Date]], "mmm")</f>
        <v>Mar</v>
      </c>
      <c r="C345">
        <f>YEAR(Table9[[#This Row],[Date]])</f>
        <v>2043</v>
      </c>
      <c r="D345" t="s">
        <v>13</v>
      </c>
      <c r="E345" s="15">
        <v>87</v>
      </c>
      <c r="F345">
        <v>112929.79075451542</v>
      </c>
      <c r="G345" s="82">
        <f>_xlfn.FORECAST.LINEAR(Table9[[#This Row],[Date]],Table9[Units_Sold],Table9[Date])</f>
        <v>99.476852387409537</v>
      </c>
      <c r="H345">
        <f t="shared" si="10"/>
        <v>-12.476852387409537</v>
      </c>
      <c r="I345" s="8">
        <f t="shared" si="11"/>
        <v>-0.14341209640700617</v>
      </c>
    </row>
    <row r="346" spans="1:9">
      <c r="A346" s="53">
        <v>52325</v>
      </c>
      <c r="B346" t="str">
        <f>TEXT(Table9[[#This Row],[Date]], "mmm")</f>
        <v>Apr</v>
      </c>
      <c r="C346">
        <f>YEAR(Table9[[#This Row],[Date]])</f>
        <v>2043</v>
      </c>
      <c r="D346" t="s">
        <v>11</v>
      </c>
      <c r="E346" s="14">
        <f>IF(ISBLANK(E299), S300, E299)</f>
        <v>92</v>
      </c>
      <c r="F346">
        <v>95686.647249047353</v>
      </c>
      <c r="G346" s="82">
        <f>_xlfn.FORECAST.LINEAR(Table9[[#This Row],[Date]],Table9[Units_Sold],Table9[Date])</f>
        <v>99.478016584066324</v>
      </c>
      <c r="H346">
        <f t="shared" si="10"/>
        <v>-7.4780165840663244</v>
      </c>
      <c r="I346" s="8">
        <f t="shared" si="11"/>
        <v>-8.1282788957242655E-2</v>
      </c>
    </row>
    <row r="347" spans="1:9">
      <c r="A347" s="54">
        <v>52355</v>
      </c>
      <c r="B347" t="str">
        <f>TEXT(Table9[[#This Row],[Date]], "mmm")</f>
        <v>May</v>
      </c>
      <c r="C347">
        <f>YEAR(Table9[[#This Row],[Date]])</f>
        <v>2043</v>
      </c>
      <c r="D347" t="s">
        <v>10</v>
      </c>
      <c r="E347" s="15">
        <v>103</v>
      </c>
      <c r="F347">
        <v>82540.778190925994</v>
      </c>
      <c r="G347" s="82">
        <f>_xlfn.FORECAST.LINEAR(Table9[[#This Row],[Date]],Table9[Units_Sold],Table9[Date])</f>
        <v>99.479180780723112</v>
      </c>
      <c r="H347">
        <f t="shared" si="10"/>
        <v>3.5208192192768877</v>
      </c>
      <c r="I347" s="8">
        <f t="shared" si="11"/>
        <v>3.41827108667659E-2</v>
      </c>
    </row>
    <row r="348" spans="1:9">
      <c r="A348" s="53">
        <v>52385</v>
      </c>
      <c r="B348" t="str">
        <f>TEXT(Table9[[#This Row],[Date]], "mmm")</f>
        <v>Jun</v>
      </c>
      <c r="C348">
        <f>YEAR(Table9[[#This Row],[Date]])</f>
        <v>2043</v>
      </c>
      <c r="D348" t="s">
        <v>12</v>
      </c>
      <c r="E348" s="14">
        <v>79</v>
      </c>
      <c r="F348">
        <v>117628.15057847142</v>
      </c>
      <c r="G348" s="82">
        <f>_xlfn.FORECAST.LINEAR(Table9[[#This Row],[Date]],Table9[Units_Sold],Table9[Date])</f>
        <v>99.4803449773799</v>
      </c>
      <c r="H348">
        <f t="shared" si="10"/>
        <v>-20.4803449773799</v>
      </c>
      <c r="I348" s="8">
        <f t="shared" si="11"/>
        <v>-0.25924487313139116</v>
      </c>
    </row>
    <row r="349" spans="1:9">
      <c r="A349" s="54">
        <v>52415</v>
      </c>
      <c r="B349" t="str">
        <f>TEXT(Table9[[#This Row],[Date]], "mmm")</f>
        <v>Jul</v>
      </c>
      <c r="C349">
        <f>YEAR(Table9[[#This Row],[Date]])</f>
        <v>2043</v>
      </c>
      <c r="D349" t="s">
        <v>11</v>
      </c>
      <c r="E349" s="15">
        <v>110</v>
      </c>
      <c r="F349">
        <v>114422.70725091163</v>
      </c>
      <c r="G349" s="82">
        <f>_xlfn.FORECAST.LINEAR(Table9[[#This Row],[Date]],Table9[Units_Sold],Table9[Date])</f>
        <v>99.481509174036688</v>
      </c>
      <c r="H349">
        <f t="shared" si="10"/>
        <v>10.518490825963312</v>
      </c>
      <c r="I349" s="8">
        <f t="shared" si="11"/>
        <v>9.5622643872393748E-2</v>
      </c>
    </row>
    <row r="350" spans="1:9">
      <c r="A350" s="53">
        <v>52445</v>
      </c>
      <c r="B350" t="str">
        <f>TEXT(Table9[[#This Row],[Date]], "mmm")</f>
        <v>Aug</v>
      </c>
      <c r="C350">
        <f>YEAR(Table9[[#This Row],[Date]])</f>
        <v>2043</v>
      </c>
      <c r="D350" t="s">
        <v>10</v>
      </c>
      <c r="E350" s="14">
        <v>95</v>
      </c>
      <c r="F350">
        <v>81674.517988725507</v>
      </c>
      <c r="G350" s="82">
        <f>_xlfn.FORECAST.LINEAR(Table9[[#This Row],[Date]],Table9[Units_Sold],Table9[Date])</f>
        <v>99.482673370693476</v>
      </c>
      <c r="H350">
        <f t="shared" si="10"/>
        <v>-4.482673370693476</v>
      </c>
      <c r="I350" s="8">
        <f t="shared" si="11"/>
        <v>-4.7186035480983955E-2</v>
      </c>
    </row>
    <row r="351" spans="1:9">
      <c r="A351" s="54">
        <v>52475</v>
      </c>
      <c r="B351" t="str">
        <f>TEXT(Table9[[#This Row],[Date]], "mmm")</f>
        <v>Sep</v>
      </c>
      <c r="C351">
        <f>YEAR(Table9[[#This Row],[Date]])</f>
        <v>2043</v>
      </c>
      <c r="D351" t="s">
        <v>10</v>
      </c>
      <c r="E351" s="15">
        <v>101</v>
      </c>
      <c r="F351">
        <v>127108.85602210992</v>
      </c>
      <c r="G351" s="82">
        <f>_xlfn.FORECAST.LINEAR(Table9[[#This Row],[Date]],Table9[Units_Sold],Table9[Date])</f>
        <v>99.483837567350264</v>
      </c>
      <c r="H351">
        <f t="shared" si="10"/>
        <v>1.516162432649736</v>
      </c>
      <c r="I351" s="8">
        <f t="shared" si="11"/>
        <v>1.5011509234155802E-2</v>
      </c>
    </row>
    <row r="352" spans="1:9">
      <c r="A352" s="53">
        <v>52505</v>
      </c>
      <c r="B352" t="str">
        <f>TEXT(Table9[[#This Row],[Date]], "mmm")</f>
        <v>Oct</v>
      </c>
      <c r="C352">
        <f>YEAR(Table9[[#This Row],[Date]])</f>
        <v>2043</v>
      </c>
      <c r="D352" t="s">
        <v>13</v>
      </c>
      <c r="E352" s="14">
        <v>95</v>
      </c>
      <c r="F352">
        <v>123403.97418393208</v>
      </c>
      <c r="G352" s="82">
        <f>_xlfn.FORECAST.LINEAR(Table9[[#This Row],[Date]],Table9[Units_Sold],Table9[Date])</f>
        <v>99.485001764007052</v>
      </c>
      <c r="H352">
        <f t="shared" si="10"/>
        <v>-4.4850017640070519</v>
      </c>
      <c r="I352" s="8">
        <f t="shared" si="11"/>
        <v>-4.7210544884284757E-2</v>
      </c>
    </row>
    <row r="353" spans="1:9">
      <c r="A353" s="54">
        <v>52535</v>
      </c>
      <c r="B353" t="str">
        <f>TEXT(Table9[[#This Row],[Date]], "mmm")</f>
        <v>Oct</v>
      </c>
      <c r="C353">
        <f>YEAR(Table9[[#This Row],[Date]])</f>
        <v>2043</v>
      </c>
      <c r="D353" t="s">
        <v>12</v>
      </c>
      <c r="E353" s="15">
        <v>107</v>
      </c>
      <c r="F353">
        <v>102685.92994495586</v>
      </c>
      <c r="G353" s="82">
        <f>_xlfn.FORECAST.LINEAR(Table9[[#This Row],[Date]],Table9[Units_Sold],Table9[Date])</f>
        <v>99.48616596066384</v>
      </c>
      <c r="H353">
        <f t="shared" si="10"/>
        <v>7.5138340393361602</v>
      </c>
      <c r="I353" s="8">
        <f t="shared" si="11"/>
        <v>7.0222748031179061E-2</v>
      </c>
    </row>
    <row r="354" spans="1:9">
      <c r="A354" s="53">
        <v>52565</v>
      </c>
      <c r="B354" t="str">
        <f>TEXT(Table9[[#This Row],[Date]], "mmm")</f>
        <v>Nov</v>
      </c>
      <c r="C354">
        <f>YEAR(Table9[[#This Row],[Date]])</f>
        <v>2043</v>
      </c>
      <c r="D354" t="s">
        <v>11</v>
      </c>
      <c r="E354" s="14">
        <v>91</v>
      </c>
      <c r="F354">
        <v>101591.95724752072</v>
      </c>
      <c r="G354" s="82">
        <f>_xlfn.FORECAST.LINEAR(Table9[[#This Row],[Date]],Table9[Units_Sold],Table9[Date])</f>
        <v>99.487330157320628</v>
      </c>
      <c r="H354">
        <f t="shared" si="10"/>
        <v>-8.4873301573206277</v>
      </c>
      <c r="I354" s="8">
        <f t="shared" si="11"/>
        <v>-9.3267364366160746E-2</v>
      </c>
    </row>
    <row r="355" spans="1:9">
      <c r="A355" s="54">
        <v>52595</v>
      </c>
      <c r="B355" t="str">
        <f>TEXT(Table9[[#This Row],[Date]], "mmm")</f>
        <v>Dec</v>
      </c>
      <c r="C355">
        <f>YEAR(Table9[[#This Row],[Date]])</f>
        <v>2043</v>
      </c>
      <c r="D355" t="s">
        <v>11</v>
      </c>
      <c r="E355" s="15">
        <v>87</v>
      </c>
      <c r="F355">
        <v>111081.15542231814</v>
      </c>
      <c r="G355" s="82">
        <f>_xlfn.FORECAST.LINEAR(Table9[[#This Row],[Date]],Table9[Units_Sold],Table9[Date])</f>
        <v>99.488494353977416</v>
      </c>
      <c r="H355">
        <f t="shared" si="10"/>
        <v>-12.488494353977416</v>
      </c>
      <c r="I355" s="8">
        <f t="shared" si="11"/>
        <v>-0.14354591211468293</v>
      </c>
    </row>
    <row r="356" spans="1:9">
      <c r="A356" s="53">
        <v>52625</v>
      </c>
      <c r="B356" t="str">
        <f>TEXT(Table9[[#This Row],[Date]], "mmm")</f>
        <v>Jan</v>
      </c>
      <c r="C356">
        <f>YEAR(Table9[[#This Row],[Date]])</f>
        <v>2044</v>
      </c>
      <c r="D356" t="s">
        <v>13</v>
      </c>
      <c r="E356" s="14">
        <v>100</v>
      </c>
      <c r="F356">
        <v>82765.938594874839</v>
      </c>
      <c r="G356" s="82">
        <f>_xlfn.FORECAST.LINEAR(Table9[[#This Row],[Date]],Table9[Units_Sold],Table9[Date])</f>
        <v>99.489658550634189</v>
      </c>
      <c r="H356">
        <f t="shared" si="10"/>
        <v>0.51034144936581072</v>
      </c>
      <c r="I356" s="8">
        <f t="shared" si="11"/>
        <v>5.1034144936581071E-3</v>
      </c>
    </row>
    <row r="357" spans="1:9">
      <c r="A357" s="54">
        <v>52655</v>
      </c>
      <c r="B357" t="str">
        <f>TEXT(Table9[[#This Row],[Date]], "mmm")</f>
        <v>Feb</v>
      </c>
      <c r="C357">
        <f>YEAR(Table9[[#This Row],[Date]])</f>
        <v>2044</v>
      </c>
      <c r="D357" t="s">
        <v>12</v>
      </c>
      <c r="E357" s="15">
        <v>117</v>
      </c>
      <c r="F357">
        <v>100600.62958328164</v>
      </c>
      <c r="G357" s="82">
        <f>_xlfn.FORECAST.LINEAR(Table9[[#This Row],[Date]],Table9[Units_Sold],Table9[Date])</f>
        <v>99.490822747290977</v>
      </c>
      <c r="H357">
        <f t="shared" si="10"/>
        <v>17.509177252709023</v>
      </c>
      <c r="I357" s="8">
        <f t="shared" si="11"/>
        <v>0.14965108762999166</v>
      </c>
    </row>
    <row r="358" spans="1:9">
      <c r="A358" s="53">
        <v>52685</v>
      </c>
      <c r="B358" t="str">
        <f>TEXT(Table9[[#This Row],[Date]], "mmm")</f>
        <v>Mar</v>
      </c>
      <c r="C358">
        <f>YEAR(Table9[[#This Row],[Date]])</f>
        <v>2044</v>
      </c>
      <c r="D358" t="s">
        <v>11</v>
      </c>
      <c r="E358" s="14">
        <v>102</v>
      </c>
      <c r="F358">
        <v>56952.329107816389</v>
      </c>
      <c r="G358" s="82">
        <f>_xlfn.FORECAST.LINEAR(Table9[[#This Row],[Date]],Table9[Units_Sold],Table9[Date])</f>
        <v>99.491986943947765</v>
      </c>
      <c r="H358">
        <f t="shared" si="10"/>
        <v>2.5080130560522349</v>
      </c>
      <c r="I358" s="8">
        <f t="shared" si="11"/>
        <v>2.4588363294629753E-2</v>
      </c>
    </row>
    <row r="359" spans="1:9">
      <c r="A359" s="54">
        <v>52715</v>
      </c>
      <c r="B359" t="str">
        <f>TEXT(Table9[[#This Row],[Date]], "mmm")</f>
        <v>Apr</v>
      </c>
      <c r="C359">
        <f>YEAR(Table9[[#This Row],[Date]])</f>
        <v>2044</v>
      </c>
      <c r="D359" t="s">
        <v>12</v>
      </c>
      <c r="E359" s="15">
        <v>88</v>
      </c>
      <c r="F359">
        <v>117529.11291005871</v>
      </c>
      <c r="G359" s="82">
        <f>_xlfn.FORECAST.LINEAR(Table9[[#This Row],[Date]],Table9[Units_Sold],Table9[Date])</f>
        <v>99.493151140604553</v>
      </c>
      <c r="H359">
        <f t="shared" si="10"/>
        <v>-11.493151140604553</v>
      </c>
      <c r="I359" s="8">
        <f t="shared" si="11"/>
        <v>-0.13060399023414265</v>
      </c>
    </row>
    <row r="360" spans="1:9">
      <c r="A360" s="53">
        <v>52745</v>
      </c>
      <c r="B360" t="str">
        <f>TEXT(Table9[[#This Row],[Date]], "mmm")</f>
        <v>May</v>
      </c>
      <c r="C360">
        <f>YEAR(Table9[[#This Row],[Date]])</f>
        <v>2044</v>
      </c>
      <c r="D360" t="s">
        <v>11</v>
      </c>
      <c r="E360" s="14">
        <v>100</v>
      </c>
      <c r="F360">
        <v>68770.135551162821</v>
      </c>
      <c r="G360" s="82">
        <f>_xlfn.FORECAST.LINEAR(Table9[[#This Row],[Date]],Table9[Units_Sold],Table9[Date])</f>
        <v>99.494315337261341</v>
      </c>
      <c r="H360">
        <f t="shared" si="10"/>
        <v>0.50568466273865909</v>
      </c>
      <c r="I360" s="8">
        <f t="shared" si="11"/>
        <v>5.0568466273865909E-3</v>
      </c>
    </row>
    <row r="361" spans="1:9">
      <c r="A361" s="54">
        <v>52775</v>
      </c>
      <c r="B361" t="str">
        <f>TEXT(Table9[[#This Row],[Date]], "mmm")</f>
        <v>Jun</v>
      </c>
      <c r="C361">
        <f>YEAR(Table9[[#This Row],[Date]])</f>
        <v>2044</v>
      </c>
      <c r="D361" t="s">
        <v>13</v>
      </c>
      <c r="E361" s="15">
        <v>81</v>
      </c>
      <c r="F361">
        <v>130068.39656857998</v>
      </c>
      <c r="G361" s="82">
        <f>_xlfn.FORECAST.LINEAR(Table9[[#This Row],[Date]],Table9[Units_Sold],Table9[Date])</f>
        <v>99.495479533918129</v>
      </c>
      <c r="H361">
        <f t="shared" si="10"/>
        <v>-18.495479533918129</v>
      </c>
      <c r="I361" s="8">
        <f t="shared" si="11"/>
        <v>-0.22833925350516207</v>
      </c>
    </row>
    <row r="362" spans="1:9">
      <c r="A362" s="53">
        <v>52805</v>
      </c>
      <c r="B362" t="str">
        <f>TEXT(Table9[[#This Row],[Date]], "mmm")</f>
        <v>Jul</v>
      </c>
      <c r="C362">
        <f>YEAR(Table9[[#This Row],[Date]])</f>
        <v>2044</v>
      </c>
      <c r="D362" t="s">
        <v>14</v>
      </c>
      <c r="E362" s="14">
        <v>91</v>
      </c>
      <c r="F362">
        <v>93397.598120670998</v>
      </c>
      <c r="G362" s="82">
        <f>_xlfn.FORECAST.LINEAR(Table9[[#This Row],[Date]],Table9[Units_Sold],Table9[Date])</f>
        <v>99.496643730574917</v>
      </c>
      <c r="H362">
        <f t="shared" si="10"/>
        <v>-8.4966437305749167</v>
      </c>
      <c r="I362" s="8">
        <f t="shared" si="11"/>
        <v>-9.3369711324999091E-2</v>
      </c>
    </row>
    <row r="363" spans="1:9">
      <c r="A363" s="54">
        <v>52835</v>
      </c>
      <c r="B363" t="str">
        <f>TEXT(Table9[[#This Row],[Date]], "mmm")</f>
        <v>Aug</v>
      </c>
      <c r="C363">
        <f>YEAR(Table9[[#This Row],[Date]])</f>
        <v>2044</v>
      </c>
      <c r="D363" t="s">
        <v>11</v>
      </c>
      <c r="E363" s="15">
        <v>90</v>
      </c>
      <c r="F363">
        <v>95766.66036137646</v>
      </c>
      <c r="G363" s="82">
        <f>_xlfn.FORECAST.LINEAR(Table9[[#This Row],[Date]],Table9[Units_Sold],Table9[Date])</f>
        <v>99.497807927231705</v>
      </c>
      <c r="H363">
        <f t="shared" si="10"/>
        <v>-9.4978079272317046</v>
      </c>
      <c r="I363" s="8">
        <f t="shared" si="11"/>
        <v>-0.10553119919146338</v>
      </c>
    </row>
    <row r="364" spans="1:9">
      <c r="A364" s="53">
        <v>52865</v>
      </c>
      <c r="B364" t="str">
        <f>TEXT(Table9[[#This Row],[Date]], "mmm")</f>
        <v>Sep</v>
      </c>
      <c r="C364">
        <f>YEAR(Table9[[#This Row],[Date]])</f>
        <v>2044</v>
      </c>
      <c r="D364" t="s">
        <v>10</v>
      </c>
      <c r="E364" s="14">
        <v>102</v>
      </c>
      <c r="F364">
        <v>87445.321878309886</v>
      </c>
      <c r="G364" s="82">
        <f>_xlfn.FORECAST.LINEAR(Table9[[#This Row],[Date]],Table9[Units_Sold],Table9[Date])</f>
        <v>99.498972123888493</v>
      </c>
      <c r="H364">
        <f t="shared" si="10"/>
        <v>2.5010278761115075</v>
      </c>
      <c r="I364" s="8">
        <f t="shared" si="11"/>
        <v>2.4519881138348111E-2</v>
      </c>
    </row>
    <row r="365" spans="1:9">
      <c r="A365" s="54">
        <v>52895</v>
      </c>
      <c r="B365" t="str">
        <f>TEXT(Table9[[#This Row],[Date]], "mmm")</f>
        <v>Oct</v>
      </c>
      <c r="C365">
        <f>YEAR(Table9[[#This Row],[Date]])</f>
        <v>2044</v>
      </c>
      <c r="D365" t="s">
        <v>10</v>
      </c>
      <c r="E365" s="15">
        <v>109</v>
      </c>
      <c r="F365">
        <v>94239.222521558477</v>
      </c>
      <c r="G365" s="82">
        <f>_xlfn.FORECAST.LINEAR(Table9[[#This Row],[Date]],Table9[Units_Sold],Table9[Date])</f>
        <v>99.50013632054528</v>
      </c>
      <c r="H365">
        <f t="shared" si="10"/>
        <v>9.4998636794547195</v>
      </c>
      <c r="I365" s="8">
        <f t="shared" si="11"/>
        <v>8.7154712655547889E-2</v>
      </c>
    </row>
    <row r="366" spans="1:9">
      <c r="A366" s="53">
        <v>52925</v>
      </c>
      <c r="B366" t="str">
        <f>TEXT(Table9[[#This Row],[Date]], "mmm")</f>
        <v>Nov</v>
      </c>
      <c r="C366">
        <f>YEAR(Table9[[#This Row],[Date]])</f>
        <v>2044</v>
      </c>
      <c r="D366" t="s">
        <v>14</v>
      </c>
      <c r="E366" s="14">
        <v>101</v>
      </c>
      <c r="F366">
        <v>128370.62690296074</v>
      </c>
      <c r="G366" s="82">
        <f>_xlfn.FORECAST.LINEAR(Table9[[#This Row],[Date]],Table9[Units_Sold],Table9[Date])</f>
        <v>99.501300517202068</v>
      </c>
      <c r="H366">
        <f t="shared" si="10"/>
        <v>1.4986994827979316</v>
      </c>
      <c r="I366" s="8">
        <f t="shared" si="11"/>
        <v>1.4838608740573581E-2</v>
      </c>
    </row>
    <row r="367" spans="1:9">
      <c r="A367" s="54">
        <v>52955</v>
      </c>
      <c r="B367" t="str">
        <f>TEXT(Table9[[#This Row],[Date]], "mmm")</f>
        <v>Dec</v>
      </c>
      <c r="C367">
        <f>YEAR(Table9[[#This Row],[Date]])</f>
        <v>2044</v>
      </c>
      <c r="D367" t="s">
        <v>11</v>
      </c>
      <c r="E367" s="15">
        <v>97</v>
      </c>
      <c r="F367">
        <v>50243.826869298413</v>
      </c>
      <c r="G367" s="82">
        <f>_xlfn.FORECAST.LINEAR(Table9[[#This Row],[Date]],Table9[Units_Sold],Table9[Date])</f>
        <v>99.502464713858842</v>
      </c>
      <c r="H367">
        <f t="shared" si="10"/>
        <v>-2.5024647138588421</v>
      </c>
      <c r="I367" s="8">
        <f t="shared" si="11"/>
        <v>-2.5798605297513835E-2</v>
      </c>
    </row>
    <row r="368" spans="1:9">
      <c r="A368" s="53">
        <v>52985</v>
      </c>
      <c r="B368" t="str">
        <f>TEXT(Table9[[#This Row],[Date]], "mmm")</f>
        <v>Jan</v>
      </c>
      <c r="C368">
        <f>YEAR(Table9[[#This Row],[Date]])</f>
        <v>2045</v>
      </c>
      <c r="D368" t="s">
        <v>10</v>
      </c>
      <c r="E368" s="14">
        <v>88</v>
      </c>
      <c r="F368">
        <v>125539.30772176376</v>
      </c>
      <c r="G368" s="82">
        <f>_xlfn.FORECAST.LINEAR(Table9[[#This Row],[Date]],Table9[Units_Sold],Table9[Date])</f>
        <v>99.50362891051563</v>
      </c>
      <c r="H368">
        <f t="shared" si="10"/>
        <v>-11.50362891051563</v>
      </c>
      <c r="I368" s="8">
        <f t="shared" si="11"/>
        <v>-0.13072305580131396</v>
      </c>
    </row>
    <row r="369" spans="1:9">
      <c r="A369" s="54">
        <v>53015</v>
      </c>
      <c r="B369" t="str">
        <f>TEXT(Table9[[#This Row],[Date]], "mmm")</f>
        <v>Feb</v>
      </c>
      <c r="C369">
        <f>YEAR(Table9[[#This Row],[Date]])</f>
        <v>2045</v>
      </c>
      <c r="D369" t="s">
        <v>10</v>
      </c>
      <c r="E369" s="15">
        <v>100</v>
      </c>
      <c r="F369">
        <v>106760.46962203416</v>
      </c>
      <c r="G369" s="82">
        <f>_xlfn.FORECAST.LINEAR(Table9[[#This Row],[Date]],Table9[Units_Sold],Table9[Date])</f>
        <v>99.504793107172418</v>
      </c>
      <c r="H369">
        <f t="shared" si="10"/>
        <v>0.49520689282758212</v>
      </c>
      <c r="I369" s="8">
        <f t="shared" si="11"/>
        <v>4.9520689282758212E-3</v>
      </c>
    </row>
    <row r="370" spans="1:9">
      <c r="A370" s="53">
        <v>53045</v>
      </c>
      <c r="B370" t="str">
        <f>TEXT(Table9[[#This Row],[Date]], "mmm")</f>
        <v>Mar</v>
      </c>
      <c r="C370">
        <f>YEAR(Table9[[#This Row],[Date]])</f>
        <v>2045</v>
      </c>
      <c r="D370" t="s">
        <v>11</v>
      </c>
      <c r="E370" s="14">
        <v>104</v>
      </c>
      <c r="F370">
        <v>75859.567042855691</v>
      </c>
      <c r="G370" s="82">
        <f>_xlfn.FORECAST.LINEAR(Table9[[#This Row],[Date]],Table9[Units_Sold],Table9[Date])</f>
        <v>99.505957303829206</v>
      </c>
      <c r="H370">
        <f t="shared" si="10"/>
        <v>4.4940426961707942</v>
      </c>
      <c r="I370" s="8">
        <f t="shared" si="11"/>
        <v>4.3211949001642255E-2</v>
      </c>
    </row>
    <row r="371" spans="1:9">
      <c r="A371" s="54">
        <v>53075</v>
      </c>
      <c r="B371" t="str">
        <f>TEXT(Table9[[#This Row],[Date]], "mmm")</f>
        <v>Apr</v>
      </c>
      <c r="C371">
        <f>YEAR(Table9[[#This Row],[Date]])</f>
        <v>2045</v>
      </c>
      <c r="D371" t="s">
        <v>12</v>
      </c>
      <c r="E371" s="15">
        <v>106</v>
      </c>
      <c r="F371">
        <v>78493.75213901524</v>
      </c>
      <c r="G371" s="82">
        <f>_xlfn.FORECAST.LINEAR(Table9[[#This Row],[Date]],Table9[Units_Sold],Table9[Date])</f>
        <v>99.507121500485994</v>
      </c>
      <c r="H371">
        <f t="shared" si="10"/>
        <v>6.4928784995140063</v>
      </c>
      <c r="I371" s="8">
        <f t="shared" si="11"/>
        <v>6.1253570750132137E-2</v>
      </c>
    </row>
    <row r="372" spans="1:9">
      <c r="A372" s="53">
        <v>53105</v>
      </c>
      <c r="B372" t="str">
        <f>TEXT(Table9[[#This Row],[Date]], "mmm")</f>
        <v>May</v>
      </c>
      <c r="C372">
        <f>YEAR(Table9[[#This Row],[Date]])</f>
        <v>2045</v>
      </c>
      <c r="D372" t="s">
        <v>11</v>
      </c>
      <c r="E372" s="14">
        <v>91</v>
      </c>
      <c r="F372">
        <v>133527.86054416405</v>
      </c>
      <c r="G372" s="82">
        <f>_xlfn.FORECAST.LINEAR(Table9[[#This Row],[Date]],Table9[Units_Sold],Table9[Date])</f>
        <v>99.508285697142782</v>
      </c>
      <c r="H372">
        <f t="shared" si="10"/>
        <v>-8.5082856971427816</v>
      </c>
      <c r="I372" s="8">
        <f t="shared" si="11"/>
        <v>-9.3497645023547057E-2</v>
      </c>
    </row>
    <row r="373" spans="1:9">
      <c r="A373" s="54">
        <v>53135</v>
      </c>
      <c r="B373" t="str">
        <f>TEXT(Table9[[#This Row],[Date]], "mmm")</f>
        <v>Jun</v>
      </c>
      <c r="C373">
        <f>YEAR(Table9[[#This Row],[Date]])</f>
        <v>2045</v>
      </c>
      <c r="D373" t="s">
        <v>12</v>
      </c>
      <c r="E373" s="15">
        <v>110</v>
      </c>
      <c r="F373">
        <v>81089.862401145379</v>
      </c>
      <c r="G373" s="82">
        <f>_xlfn.FORECAST.LINEAR(Table9[[#This Row],[Date]],Table9[Units_Sold],Table9[Date])</f>
        <v>99.50944989379957</v>
      </c>
      <c r="H373">
        <f t="shared" si="10"/>
        <v>10.49055010620043</v>
      </c>
      <c r="I373" s="8">
        <f t="shared" si="11"/>
        <v>9.5368637329094827E-2</v>
      </c>
    </row>
    <row r="374" spans="1:9">
      <c r="A374" s="53">
        <v>53165</v>
      </c>
      <c r="B374" t="str">
        <f>TEXT(Table9[[#This Row],[Date]], "mmm")</f>
        <v>Jul</v>
      </c>
      <c r="C374">
        <f>YEAR(Table9[[#This Row],[Date]])</f>
        <v>2045</v>
      </c>
      <c r="D374" t="s">
        <v>14</v>
      </c>
      <c r="E374" s="14">
        <v>104</v>
      </c>
      <c r="F374">
        <v>76932.989788080813</v>
      </c>
      <c r="G374" s="82">
        <f>_xlfn.FORECAST.LINEAR(Table9[[#This Row],[Date]],Table9[Units_Sold],Table9[Date])</f>
        <v>99.510614090456357</v>
      </c>
      <c r="H374">
        <f t="shared" si="10"/>
        <v>4.4893859095436426</v>
      </c>
      <c r="I374" s="8">
        <f t="shared" si="11"/>
        <v>4.3167172207150412E-2</v>
      </c>
    </row>
    <row r="375" spans="1:9">
      <c r="A375" s="54">
        <v>53195</v>
      </c>
      <c r="B375" t="str">
        <f>TEXT(Table9[[#This Row],[Date]], "mmm")</f>
        <v>Aug</v>
      </c>
      <c r="C375">
        <f>YEAR(Table9[[#This Row],[Date]])</f>
        <v>2045</v>
      </c>
      <c r="D375" t="s">
        <v>13</v>
      </c>
      <c r="E375" s="15">
        <v>85</v>
      </c>
      <c r="F375">
        <v>122746.29084729459</v>
      </c>
      <c r="G375" s="82">
        <f>_xlfn.FORECAST.LINEAR(Table9[[#This Row],[Date]],Table9[Units_Sold],Table9[Date])</f>
        <v>99.511778287113145</v>
      </c>
      <c r="H375">
        <f t="shared" si="10"/>
        <v>-14.511778287113145</v>
      </c>
      <c r="I375" s="8">
        <f t="shared" si="11"/>
        <v>-0.17072680337780172</v>
      </c>
    </row>
    <row r="376" spans="1:9">
      <c r="A376" s="53">
        <v>53225</v>
      </c>
      <c r="B376" t="str">
        <f>TEXT(Table9[[#This Row],[Date]], "mmm")</f>
        <v>Sep</v>
      </c>
      <c r="C376">
        <f>YEAR(Table9[[#This Row],[Date]])</f>
        <v>2045</v>
      </c>
      <c r="D376" t="s">
        <v>14</v>
      </c>
      <c r="E376" s="14">
        <v>107</v>
      </c>
      <c r="F376">
        <v>106771.05752571828</v>
      </c>
      <c r="G376" s="82">
        <f>_xlfn.FORECAST.LINEAR(Table9[[#This Row],[Date]],Table9[Units_Sold],Table9[Date])</f>
        <v>99.512942483769933</v>
      </c>
      <c r="H376">
        <f t="shared" si="10"/>
        <v>7.4870575162300668</v>
      </c>
      <c r="I376" s="8">
        <f t="shared" si="11"/>
        <v>6.9972500151682868E-2</v>
      </c>
    </row>
    <row r="377" spans="1:9">
      <c r="A377" s="54">
        <v>53255</v>
      </c>
      <c r="B377" t="str">
        <f>TEXT(Table9[[#This Row],[Date]], "mmm")</f>
        <v>Oct</v>
      </c>
      <c r="C377">
        <f>YEAR(Table9[[#This Row],[Date]])</f>
        <v>2045</v>
      </c>
      <c r="D377" t="s">
        <v>13</v>
      </c>
      <c r="E377" s="15">
        <v>111</v>
      </c>
      <c r="F377">
        <v>81241.488469272022</v>
      </c>
      <c r="G377" s="82">
        <f>_xlfn.FORECAST.LINEAR(Table9[[#This Row],[Date]],Table9[Units_Sold],Table9[Date])</f>
        <v>99.514106680426721</v>
      </c>
      <c r="H377">
        <f t="shared" si="10"/>
        <v>11.485893319573279</v>
      </c>
      <c r="I377" s="8">
        <f t="shared" si="11"/>
        <v>0.10347651639255206</v>
      </c>
    </row>
    <row r="378" spans="1:9">
      <c r="A378" s="53">
        <v>53285</v>
      </c>
      <c r="B378" t="str">
        <f>TEXT(Table9[[#This Row],[Date]], "mmm")</f>
        <v>Nov</v>
      </c>
      <c r="C378">
        <f>YEAR(Table9[[#This Row],[Date]])</f>
        <v>2045</v>
      </c>
      <c r="D378" t="s">
        <v>10</v>
      </c>
      <c r="E378" s="14">
        <f>IF(ISBLANK(E331), S332, E331)</f>
        <v>107</v>
      </c>
      <c r="F378">
        <v>104332.49950809238</v>
      </c>
      <c r="G378" s="82">
        <f>_xlfn.FORECAST.LINEAR(Table9[[#This Row],[Date]],Table9[Units_Sold],Table9[Date])</f>
        <v>99.515270877083509</v>
      </c>
      <c r="H378">
        <f t="shared" si="10"/>
        <v>7.484729122916491</v>
      </c>
      <c r="I378" s="8">
        <f t="shared" si="11"/>
        <v>6.995073946650926E-2</v>
      </c>
    </row>
    <row r="379" spans="1:9">
      <c r="A379" s="54">
        <v>53315</v>
      </c>
      <c r="B379" t="str">
        <f>TEXT(Table9[[#This Row],[Date]], "mmm")</f>
        <v>Dec</v>
      </c>
      <c r="C379">
        <f>YEAR(Table9[[#This Row],[Date]])</f>
        <v>2045</v>
      </c>
      <c r="D379" t="s">
        <v>10</v>
      </c>
      <c r="E379" s="15">
        <v>94</v>
      </c>
      <c r="F379">
        <v>79484.946327194455</v>
      </c>
      <c r="G379" s="82">
        <f>_xlfn.FORECAST.LINEAR(Table9[[#This Row],[Date]],Table9[Units_Sold],Table9[Date])</f>
        <v>99.516435073740283</v>
      </c>
      <c r="H379">
        <f t="shared" si="10"/>
        <v>-5.5164350737402827</v>
      </c>
      <c r="I379" s="8">
        <f t="shared" si="11"/>
        <v>-5.8685479507875352E-2</v>
      </c>
    </row>
    <row r="380" spans="1:9">
      <c r="A380" s="53">
        <v>53345</v>
      </c>
      <c r="B380" t="str">
        <f>TEXT(Table9[[#This Row],[Date]], "mmm")</f>
        <v>Jan</v>
      </c>
      <c r="C380">
        <f>YEAR(Table9[[#This Row],[Date]])</f>
        <v>2046</v>
      </c>
      <c r="D380" t="s">
        <v>10</v>
      </c>
      <c r="E380" s="14">
        <v>91</v>
      </c>
      <c r="F380">
        <v>122016.4279684521</v>
      </c>
      <c r="G380" s="82">
        <f>_xlfn.FORECAST.LINEAR(Table9[[#This Row],[Date]],Table9[Units_Sold],Table9[Date])</f>
        <v>99.517599270397071</v>
      </c>
      <c r="H380">
        <f t="shared" si="10"/>
        <v>-8.5175992703970707</v>
      </c>
      <c r="I380" s="8">
        <f t="shared" si="11"/>
        <v>-9.3599991982385389E-2</v>
      </c>
    </row>
    <row r="381" spans="1:9">
      <c r="A381" s="54">
        <v>53375</v>
      </c>
      <c r="B381" t="str">
        <f>TEXT(Table9[[#This Row],[Date]], "mmm")</f>
        <v>Feb</v>
      </c>
      <c r="C381">
        <f>YEAR(Table9[[#This Row],[Date]])</f>
        <v>2046</v>
      </c>
      <c r="D381" t="s">
        <v>12</v>
      </c>
      <c r="E381" s="15">
        <v>89</v>
      </c>
      <c r="F381">
        <v>121227.41929746268</v>
      </c>
      <c r="G381" s="82">
        <f>_xlfn.FORECAST.LINEAR(Table9[[#This Row],[Date]],Table9[Units_Sold],Table9[Date])</f>
        <v>99.518763467053859</v>
      </c>
      <c r="H381">
        <f t="shared" si="10"/>
        <v>-10.518763467053859</v>
      </c>
      <c r="I381" s="8">
        <f t="shared" si="11"/>
        <v>-0.11818835356240291</v>
      </c>
    </row>
    <row r="382" spans="1:9">
      <c r="A382" s="53">
        <v>53405</v>
      </c>
      <c r="B382" t="str">
        <f>TEXT(Table9[[#This Row],[Date]], "mmm")</f>
        <v>Mar</v>
      </c>
      <c r="C382">
        <f>YEAR(Table9[[#This Row],[Date]])</f>
        <v>2046</v>
      </c>
      <c r="D382" t="s">
        <v>13</v>
      </c>
      <c r="E382" s="14">
        <v>98</v>
      </c>
      <c r="F382">
        <v>110640.12397643886</v>
      </c>
      <c r="G382" s="82">
        <f>_xlfn.FORECAST.LINEAR(Table9[[#This Row],[Date]],Table9[Units_Sold],Table9[Date])</f>
        <v>99.519927663710646</v>
      </c>
      <c r="H382">
        <f t="shared" si="10"/>
        <v>-1.5199276637106465</v>
      </c>
      <c r="I382" s="8">
        <f t="shared" si="11"/>
        <v>-1.5509465956231086E-2</v>
      </c>
    </row>
    <row r="383" spans="1:9">
      <c r="A383" s="54">
        <v>53435</v>
      </c>
      <c r="B383" t="str">
        <f>TEXT(Table9[[#This Row],[Date]], "mmm")</f>
        <v>Apr</v>
      </c>
      <c r="C383">
        <f>YEAR(Table9[[#This Row],[Date]])</f>
        <v>2046</v>
      </c>
      <c r="D383" t="s">
        <v>10</v>
      </c>
      <c r="E383" s="15">
        <v>110</v>
      </c>
      <c r="F383">
        <v>107233.22122494034</v>
      </c>
      <c r="G383" s="82">
        <f>_xlfn.FORECAST.LINEAR(Table9[[#This Row],[Date]],Table9[Units_Sold],Table9[Date])</f>
        <v>99.521091860367434</v>
      </c>
      <c r="H383">
        <f t="shared" si="10"/>
        <v>10.478908139632566</v>
      </c>
      <c r="I383" s="8">
        <f t="shared" si="11"/>
        <v>9.5262801269386965E-2</v>
      </c>
    </row>
    <row r="384" spans="1:9">
      <c r="A384" s="53">
        <v>53465</v>
      </c>
      <c r="B384" t="str">
        <f>TEXT(Table9[[#This Row],[Date]], "mmm")</f>
        <v>May</v>
      </c>
      <c r="C384">
        <f>YEAR(Table9[[#This Row],[Date]])</f>
        <v>2046</v>
      </c>
      <c r="D384" t="s">
        <v>11</v>
      </c>
      <c r="E384" s="14">
        <v>93</v>
      </c>
      <c r="F384">
        <v>135223.76249734749</v>
      </c>
      <c r="G384" s="82">
        <f>_xlfn.FORECAST.LINEAR(Table9[[#This Row],[Date]],Table9[Units_Sold],Table9[Date])</f>
        <v>99.522256057024222</v>
      </c>
      <c r="H384">
        <f t="shared" si="10"/>
        <v>-6.5222560570242223</v>
      </c>
      <c r="I384" s="8">
        <f t="shared" si="11"/>
        <v>-7.0131785559400237E-2</v>
      </c>
    </row>
    <row r="385" spans="1:9">
      <c r="A385" s="54">
        <v>53495</v>
      </c>
      <c r="B385" t="str">
        <f>TEXT(Table9[[#This Row],[Date]], "mmm")</f>
        <v>Jun</v>
      </c>
      <c r="C385">
        <f>YEAR(Table9[[#This Row],[Date]])</f>
        <v>2046</v>
      </c>
      <c r="D385" t="s">
        <v>13</v>
      </c>
      <c r="E385" s="15">
        <v>103</v>
      </c>
      <c r="F385">
        <f>IF(ISBLANK(F376), K387, F376)</f>
        <v>106771.05752571828</v>
      </c>
      <c r="G385" s="82">
        <f>_xlfn.FORECAST.LINEAR(Table9[[#This Row],[Date]],Table9[Units_Sold],Table9[Date])</f>
        <v>99.52342025368101</v>
      </c>
      <c r="H385">
        <f t="shared" si="10"/>
        <v>3.4765797463189898</v>
      </c>
      <c r="I385" s="8">
        <f t="shared" si="11"/>
        <v>3.3753201420572719E-2</v>
      </c>
    </row>
    <row r="386" spans="1:9">
      <c r="A386" s="53">
        <v>53525</v>
      </c>
      <c r="B386" t="str">
        <f>TEXT(Table9[[#This Row],[Date]], "mmm")</f>
        <v>Jul</v>
      </c>
      <c r="C386">
        <f>YEAR(Table9[[#This Row],[Date]])</f>
        <v>2046</v>
      </c>
      <c r="D386" t="s">
        <v>13</v>
      </c>
      <c r="E386" s="14">
        <f>IF(ISBLANK(E339), S340, E339)</f>
        <v>100</v>
      </c>
      <c r="F386">
        <v>76362.517491583974</v>
      </c>
      <c r="G386" s="82">
        <f>_xlfn.FORECAST.LINEAR(Table9[[#This Row],[Date]],Table9[Units_Sold],Table9[Date])</f>
        <v>99.524584450337798</v>
      </c>
      <c r="H386">
        <f t="shared" ref="H386:H449" si="12">E386-G386</f>
        <v>0.4754155496622019</v>
      </c>
      <c r="I386" s="8">
        <f t="shared" ref="I386:I449" si="13">H386/E386</f>
        <v>4.754155496622019E-3</v>
      </c>
    </row>
    <row r="387" spans="1:9">
      <c r="A387" s="54">
        <v>53555</v>
      </c>
      <c r="B387" t="str">
        <f>TEXT(Table9[[#This Row],[Date]], "mmm")</f>
        <v>Aug</v>
      </c>
      <c r="C387">
        <f>YEAR(Table9[[#This Row],[Date]])</f>
        <v>2046</v>
      </c>
      <c r="D387" t="s">
        <v>12</v>
      </c>
      <c r="E387" s="15">
        <v>101</v>
      </c>
      <c r="F387">
        <f>IF(ISBLANK(F378), K389, F378)</f>
        <v>104332.49950809238</v>
      </c>
      <c r="G387" s="82">
        <f>_xlfn.FORECAST.LINEAR(Table9[[#This Row],[Date]],Table9[Units_Sold],Table9[Date])</f>
        <v>99.525748646994586</v>
      </c>
      <c r="H387">
        <f t="shared" si="12"/>
        <v>1.474251353005414</v>
      </c>
      <c r="I387" s="8">
        <f t="shared" si="13"/>
        <v>1.4596548049558554E-2</v>
      </c>
    </row>
    <row r="388" spans="1:9">
      <c r="A388" s="53">
        <v>53585</v>
      </c>
      <c r="B388" t="str">
        <f>TEXT(Table9[[#This Row],[Date]], "mmm")</f>
        <v>Sep</v>
      </c>
      <c r="C388">
        <f>YEAR(Table9[[#This Row],[Date]])</f>
        <v>2046</v>
      </c>
      <c r="D388" t="s">
        <v>14</v>
      </c>
      <c r="E388" s="14">
        <v>94</v>
      </c>
      <c r="F388">
        <v>100873.2838</v>
      </c>
      <c r="G388" s="82">
        <f>_xlfn.FORECAST.LINEAR(Table9[[#This Row],[Date]],Table9[Units_Sold],Table9[Date])</f>
        <v>99.526912843651374</v>
      </c>
      <c r="H388">
        <f t="shared" si="12"/>
        <v>-5.5269128436513739</v>
      </c>
      <c r="I388" s="8">
        <f t="shared" si="13"/>
        <v>-5.8796945145227382E-2</v>
      </c>
    </row>
    <row r="389" spans="1:9">
      <c r="A389" s="54">
        <v>53615</v>
      </c>
      <c r="B389" t="str">
        <f>TEXT(Table9[[#This Row],[Date]], "mmm")</f>
        <v>Oct</v>
      </c>
      <c r="C389">
        <f>YEAR(Table9[[#This Row],[Date]])</f>
        <v>2046</v>
      </c>
      <c r="D389" t="s">
        <v>12</v>
      </c>
      <c r="E389" s="15">
        <v>108</v>
      </c>
      <c r="F389">
        <v>79704.810136282962</v>
      </c>
      <c r="G389" s="82">
        <f>_xlfn.FORECAST.LINEAR(Table9[[#This Row],[Date]],Table9[Units_Sold],Table9[Date])</f>
        <v>99.528077040308148</v>
      </c>
      <c r="H389">
        <f t="shared" si="12"/>
        <v>8.4719229596918524</v>
      </c>
      <c r="I389" s="8">
        <f t="shared" si="13"/>
        <v>7.8443731108257891E-2</v>
      </c>
    </row>
    <row r="390" spans="1:9">
      <c r="A390" s="53">
        <v>53645</v>
      </c>
      <c r="B390" t="str">
        <f>TEXT(Table9[[#This Row],[Date]], "mmm")</f>
        <v>Nov</v>
      </c>
      <c r="C390">
        <f>YEAR(Table9[[#This Row],[Date]])</f>
        <v>2046</v>
      </c>
      <c r="D390" t="s">
        <v>10</v>
      </c>
      <c r="E390" s="14">
        <v>113</v>
      </c>
      <c r="F390">
        <v>92770.744666120285</v>
      </c>
      <c r="G390" s="82">
        <f>_xlfn.FORECAST.LINEAR(Table9[[#This Row],[Date]],Table9[Units_Sold],Table9[Date])</f>
        <v>99.529241236964936</v>
      </c>
      <c r="H390">
        <f t="shared" si="12"/>
        <v>13.470758763035064</v>
      </c>
      <c r="I390" s="8">
        <f t="shared" si="13"/>
        <v>0.11921025454013331</v>
      </c>
    </row>
    <row r="391" spans="1:9">
      <c r="A391" s="54">
        <v>53675</v>
      </c>
      <c r="B391" t="str">
        <f>TEXT(Table9[[#This Row],[Date]], "mmm")</f>
        <v>Dec</v>
      </c>
      <c r="C391">
        <f>YEAR(Table9[[#This Row],[Date]])</f>
        <v>2046</v>
      </c>
      <c r="D391" t="s">
        <v>11</v>
      </c>
      <c r="E391" s="15">
        <v>115</v>
      </c>
      <c r="F391">
        <f>IF(ISBLANK(F382), K393, F382)</f>
        <v>110640.12397643886</v>
      </c>
      <c r="G391" s="82">
        <f>_xlfn.FORECAST.LINEAR(Table9[[#This Row],[Date]],Table9[Units_Sold],Table9[Date])</f>
        <v>99.530405433621723</v>
      </c>
      <c r="H391">
        <f t="shared" si="12"/>
        <v>15.469594566378277</v>
      </c>
      <c r="I391" s="8">
        <f t="shared" si="13"/>
        <v>0.13451821362068067</v>
      </c>
    </row>
    <row r="392" spans="1:9">
      <c r="A392" s="53">
        <v>53705</v>
      </c>
      <c r="B392" t="str">
        <f>TEXT(Table9[[#This Row],[Date]], "mmm")</f>
        <v>Jan</v>
      </c>
      <c r="C392">
        <f>YEAR(Table9[[#This Row],[Date]])</f>
        <v>2047</v>
      </c>
      <c r="D392" t="s">
        <v>11</v>
      </c>
      <c r="E392" s="14">
        <v>98</v>
      </c>
      <c r="F392">
        <v>98921.903019885212</v>
      </c>
      <c r="G392" s="82">
        <f>_xlfn.FORECAST.LINEAR(Table9[[#This Row],[Date]],Table9[Units_Sold],Table9[Date])</f>
        <v>99.531569630278511</v>
      </c>
      <c r="H392">
        <f t="shared" si="12"/>
        <v>-1.5315696302785113</v>
      </c>
      <c r="I392" s="8">
        <f t="shared" si="13"/>
        <v>-1.5628261533454198E-2</v>
      </c>
    </row>
    <row r="393" spans="1:9">
      <c r="A393" s="54">
        <v>53735</v>
      </c>
      <c r="B393" t="str">
        <f>TEXT(Table9[[#This Row],[Date]], "mmm")</f>
        <v>Feb</v>
      </c>
      <c r="C393">
        <f>YEAR(Table9[[#This Row],[Date]])</f>
        <v>2047</v>
      </c>
      <c r="D393" t="s">
        <v>10</v>
      </c>
      <c r="E393" s="15">
        <v>93</v>
      </c>
      <c r="F393">
        <v>80353.928392453701</v>
      </c>
      <c r="G393" s="82">
        <f>_xlfn.FORECAST.LINEAR(Table9[[#This Row],[Date]],Table9[Units_Sold],Table9[Date])</f>
        <v>99.532733826935299</v>
      </c>
      <c r="H393">
        <f t="shared" si="12"/>
        <v>-6.5327338269352992</v>
      </c>
      <c r="I393" s="8">
        <f t="shared" si="13"/>
        <v>-7.0244449751992469E-2</v>
      </c>
    </row>
    <row r="394" spans="1:9">
      <c r="A394" s="53">
        <v>53765</v>
      </c>
      <c r="B394" t="str">
        <f>TEXT(Table9[[#This Row],[Date]], "mmm")</f>
        <v>Mar</v>
      </c>
      <c r="C394">
        <f>YEAR(Table9[[#This Row],[Date]])</f>
        <v>2047</v>
      </c>
      <c r="D394" t="s">
        <v>11</v>
      </c>
      <c r="E394" s="14">
        <v>104</v>
      </c>
      <c r="F394">
        <v>122437.15712460942</v>
      </c>
      <c r="G394" s="82">
        <f>_xlfn.FORECAST.LINEAR(Table9[[#This Row],[Date]],Table9[Units_Sold],Table9[Date])</f>
        <v>99.533898023592087</v>
      </c>
      <c r="H394">
        <f t="shared" si="12"/>
        <v>4.4661019764079128</v>
      </c>
      <c r="I394" s="8">
        <f t="shared" si="13"/>
        <v>4.2943288234691471E-2</v>
      </c>
    </row>
    <row r="395" spans="1:9">
      <c r="A395" s="54">
        <v>53795</v>
      </c>
      <c r="B395" t="str">
        <f>TEXT(Table9[[#This Row],[Date]], "mmm")</f>
        <v>Apr</v>
      </c>
      <c r="C395">
        <f>YEAR(Table9[[#This Row],[Date]])</f>
        <v>2047</v>
      </c>
      <c r="D395" t="s">
        <v>12</v>
      </c>
      <c r="E395" s="15">
        <v>100</v>
      </c>
      <c r="F395">
        <v>146400.81444034519</v>
      </c>
      <c r="G395" s="82">
        <f>_xlfn.FORECAST.LINEAR(Table9[[#This Row],[Date]],Table9[Units_Sold],Table9[Date])</f>
        <v>99.535062220248875</v>
      </c>
      <c r="H395">
        <f t="shared" si="12"/>
        <v>0.46493777975112494</v>
      </c>
      <c r="I395" s="8">
        <f t="shared" si="13"/>
        <v>4.6493777975112494E-3</v>
      </c>
    </row>
    <row r="396" spans="1:9">
      <c r="A396" s="53">
        <v>53825</v>
      </c>
      <c r="B396" t="str">
        <f>TEXT(Table9[[#This Row],[Date]], "mmm")</f>
        <v>May</v>
      </c>
      <c r="C396">
        <f>YEAR(Table9[[#This Row],[Date]])</f>
        <v>2047</v>
      </c>
      <c r="D396" t="s">
        <v>12</v>
      </c>
      <c r="E396" s="14">
        <v>89</v>
      </c>
      <c r="F396">
        <v>103922.62918047815</v>
      </c>
      <c r="G396" s="82">
        <f>_xlfn.FORECAST.LINEAR(Table9[[#This Row],[Date]],Table9[Units_Sold],Table9[Date])</f>
        <v>99.536226416905663</v>
      </c>
      <c r="H396">
        <f t="shared" si="12"/>
        <v>-10.536226416905663</v>
      </c>
      <c r="I396" s="8">
        <f t="shared" si="13"/>
        <v>-0.1183845664820861</v>
      </c>
    </row>
    <row r="397" spans="1:9">
      <c r="A397" s="54">
        <v>53855</v>
      </c>
      <c r="B397" t="str">
        <f>TEXT(Table9[[#This Row],[Date]], "mmm")</f>
        <v>Jun</v>
      </c>
      <c r="C397">
        <f>YEAR(Table9[[#This Row],[Date]])</f>
        <v>2047</v>
      </c>
      <c r="D397" t="s">
        <v>10</v>
      </c>
      <c r="E397" s="15">
        <v>86</v>
      </c>
      <c r="F397">
        <v>81918.634205279988</v>
      </c>
      <c r="G397" s="82">
        <f>_xlfn.FORECAST.LINEAR(Table9[[#This Row],[Date]],Table9[Units_Sold],Table9[Date])</f>
        <v>99.537390613562451</v>
      </c>
      <c r="H397">
        <f t="shared" si="12"/>
        <v>-13.537390613562451</v>
      </c>
      <c r="I397" s="8">
        <f t="shared" si="13"/>
        <v>-0.15741151876235407</v>
      </c>
    </row>
    <row r="398" spans="1:9">
      <c r="A398" s="53">
        <v>53885</v>
      </c>
      <c r="B398" t="str">
        <f>TEXT(Table9[[#This Row],[Date]], "mmm")</f>
        <v>Jul</v>
      </c>
      <c r="C398">
        <f>YEAR(Table9[[#This Row],[Date]])</f>
        <v>2047</v>
      </c>
      <c r="D398" t="s">
        <v>11</v>
      </c>
      <c r="E398" s="14">
        <v>93</v>
      </c>
      <c r="F398">
        <v>69020.789498930506</v>
      </c>
      <c r="G398" s="82">
        <f>_xlfn.FORECAST.LINEAR(Table9[[#This Row],[Date]],Table9[Units_Sold],Table9[Date])</f>
        <v>99.538554810219239</v>
      </c>
      <c r="H398">
        <f t="shared" si="12"/>
        <v>-6.5385548102192388</v>
      </c>
      <c r="I398" s="8">
        <f t="shared" si="13"/>
        <v>-7.0307040970099335E-2</v>
      </c>
    </row>
    <row r="399" spans="1:9">
      <c r="A399" s="54">
        <v>53915</v>
      </c>
      <c r="B399" t="str">
        <f>TEXT(Table9[[#This Row],[Date]], "mmm")</f>
        <v>Aug</v>
      </c>
      <c r="C399">
        <f>YEAR(Table9[[#This Row],[Date]])</f>
        <v>2047</v>
      </c>
      <c r="D399" t="s">
        <v>13</v>
      </c>
      <c r="E399" s="15">
        <v>104</v>
      </c>
      <c r="F399">
        <v>105159.51962442361</v>
      </c>
      <c r="G399" s="82">
        <f>_xlfn.FORECAST.LINEAR(Table9[[#This Row],[Date]],Table9[Units_Sold],Table9[Date])</f>
        <v>99.539719006876027</v>
      </c>
      <c r="H399">
        <f t="shared" si="12"/>
        <v>4.4602809931239733</v>
      </c>
      <c r="I399" s="8">
        <f t="shared" si="13"/>
        <v>4.288731724157667E-2</v>
      </c>
    </row>
    <row r="400" spans="1:9">
      <c r="A400" s="53">
        <v>53945</v>
      </c>
      <c r="B400" t="str">
        <f>TEXT(Table9[[#This Row],[Date]], "mmm")</f>
        <v>Sep</v>
      </c>
      <c r="C400">
        <f>YEAR(Table9[[#This Row],[Date]])</f>
        <v>2047</v>
      </c>
      <c r="D400" t="s">
        <v>14</v>
      </c>
      <c r="E400" s="14">
        <v>91</v>
      </c>
      <c r="F400">
        <v>122077.54686632515</v>
      </c>
      <c r="G400" s="82">
        <f>_xlfn.FORECAST.LINEAR(Table9[[#This Row],[Date]],Table9[Units_Sold],Table9[Date])</f>
        <v>99.540883203532815</v>
      </c>
      <c r="H400">
        <f t="shared" si="12"/>
        <v>-8.5408832035328146</v>
      </c>
      <c r="I400" s="8">
        <f t="shared" si="13"/>
        <v>-9.3855859379481474E-2</v>
      </c>
    </row>
    <row r="401" spans="1:9">
      <c r="A401" s="54">
        <v>53975</v>
      </c>
      <c r="B401" t="str">
        <f>TEXT(Table9[[#This Row],[Date]], "mmm")</f>
        <v>Oct</v>
      </c>
      <c r="C401">
        <f>YEAR(Table9[[#This Row],[Date]])</f>
        <v>2047</v>
      </c>
      <c r="D401" t="s">
        <v>13</v>
      </c>
      <c r="E401" s="15">
        <v>113</v>
      </c>
      <c r="F401">
        <v>100873.2838</v>
      </c>
      <c r="G401" s="82">
        <f>_xlfn.FORECAST.LINEAR(Table9[[#This Row],[Date]],Table9[Units_Sold],Table9[Date])</f>
        <v>99.542047400189588</v>
      </c>
      <c r="H401">
        <f t="shared" si="12"/>
        <v>13.457952599810412</v>
      </c>
      <c r="I401" s="8">
        <f t="shared" si="13"/>
        <v>0.11909692566203904</v>
      </c>
    </row>
    <row r="402" spans="1:9">
      <c r="A402" s="53">
        <v>54005</v>
      </c>
      <c r="B402" t="str">
        <f>TEXT(Table9[[#This Row],[Date]], "mmm")</f>
        <v>Nov</v>
      </c>
      <c r="C402">
        <f>YEAR(Table9[[#This Row],[Date]])</f>
        <v>2047</v>
      </c>
      <c r="D402" t="s">
        <v>12</v>
      </c>
      <c r="E402" s="14">
        <v>103</v>
      </c>
      <c r="F402">
        <v>99951.923181622929</v>
      </c>
      <c r="G402" s="82">
        <f>_xlfn.FORECAST.LINEAR(Table9[[#This Row],[Date]],Table9[Units_Sold],Table9[Date])</f>
        <v>99.543211596846376</v>
      </c>
      <c r="H402">
        <f t="shared" si="12"/>
        <v>3.4567884031536238</v>
      </c>
      <c r="I402" s="8">
        <f t="shared" si="13"/>
        <v>3.3561052457802172E-2</v>
      </c>
    </row>
    <row r="403" spans="1:9">
      <c r="A403" s="54">
        <v>54035</v>
      </c>
      <c r="B403" t="str">
        <f>TEXT(Table9[[#This Row],[Date]], "mmm")</f>
        <v>Dec</v>
      </c>
      <c r="C403">
        <f>YEAR(Table9[[#This Row],[Date]])</f>
        <v>2047</v>
      </c>
      <c r="D403" t="s">
        <v>12</v>
      </c>
      <c r="E403" s="15">
        <v>98</v>
      </c>
      <c r="F403">
        <v>88214.566964213882</v>
      </c>
      <c r="G403" s="82">
        <f>_xlfn.FORECAST.LINEAR(Table9[[#This Row],[Date]],Table9[Units_Sold],Table9[Date])</f>
        <v>99.544375793503164</v>
      </c>
      <c r="H403">
        <f t="shared" si="12"/>
        <v>-1.5443757935031641</v>
      </c>
      <c r="I403" s="8">
        <f t="shared" si="13"/>
        <v>-1.5758936668399635E-2</v>
      </c>
    </row>
    <row r="404" spans="1:9">
      <c r="A404" s="53">
        <v>54065</v>
      </c>
      <c r="B404" t="str">
        <f>TEXT(Table9[[#This Row],[Date]], "mmm")</f>
        <v>Jan</v>
      </c>
      <c r="C404">
        <f>YEAR(Table9[[#This Row],[Date]])</f>
        <v>2048</v>
      </c>
      <c r="D404" t="s">
        <v>12</v>
      </c>
      <c r="E404" s="14">
        <v>100</v>
      </c>
      <c r="F404">
        <v>78156.72734563821</v>
      </c>
      <c r="G404" s="82">
        <f>_xlfn.FORECAST.LINEAR(Table9[[#This Row],[Date]],Table9[Units_Sold],Table9[Date])</f>
        <v>99.545539990159952</v>
      </c>
      <c r="H404">
        <f t="shared" si="12"/>
        <v>0.45446000984004797</v>
      </c>
      <c r="I404" s="8">
        <f t="shared" si="13"/>
        <v>4.5446000984004798E-3</v>
      </c>
    </row>
    <row r="405" spans="1:9">
      <c r="A405" s="54">
        <v>54095</v>
      </c>
      <c r="B405" t="str">
        <f>TEXT(Table9[[#This Row],[Date]], "mmm")</f>
        <v>Feb</v>
      </c>
      <c r="C405">
        <f>YEAR(Table9[[#This Row],[Date]])</f>
        <v>2048</v>
      </c>
      <c r="D405" t="s">
        <v>12</v>
      </c>
      <c r="E405" s="15">
        <v>89</v>
      </c>
      <c r="F405">
        <v>116695.02652649765</v>
      </c>
      <c r="G405" s="82">
        <f>_xlfn.FORECAST.LINEAR(Table9[[#This Row],[Date]],Table9[Units_Sold],Table9[Date])</f>
        <v>99.54670418681674</v>
      </c>
      <c r="H405">
        <f t="shared" si="12"/>
        <v>-10.54670418681674</v>
      </c>
      <c r="I405" s="8">
        <f t="shared" si="13"/>
        <v>-0.11850229423389595</v>
      </c>
    </row>
    <row r="406" spans="1:9">
      <c r="A406" s="53">
        <v>54125</v>
      </c>
      <c r="B406" t="str">
        <f>TEXT(Table9[[#This Row],[Date]], "mmm")</f>
        <v>Mar</v>
      </c>
      <c r="C406">
        <f>YEAR(Table9[[#This Row],[Date]])</f>
        <v>2048</v>
      </c>
      <c r="D406" t="s">
        <v>14</v>
      </c>
      <c r="E406" s="14">
        <v>83</v>
      </c>
      <c r="F406">
        <v>118275.43242771171</v>
      </c>
      <c r="G406" s="82">
        <f>_xlfn.FORECAST.LINEAR(Table9[[#This Row],[Date]],Table9[Units_Sold],Table9[Date])</f>
        <v>99.547868383473528</v>
      </c>
      <c r="H406">
        <f t="shared" si="12"/>
        <v>-16.547868383473528</v>
      </c>
      <c r="I406" s="8">
        <f t="shared" si="13"/>
        <v>-0.19937190823462081</v>
      </c>
    </row>
    <row r="407" spans="1:9">
      <c r="A407" s="54">
        <v>54155</v>
      </c>
      <c r="B407" t="str">
        <f>TEXT(Table9[[#This Row],[Date]], "mmm")</f>
        <v>Apr</v>
      </c>
      <c r="C407">
        <f>YEAR(Table9[[#This Row],[Date]])</f>
        <v>2048</v>
      </c>
      <c r="D407" t="s">
        <v>10</v>
      </c>
      <c r="E407" s="15">
        <v>92</v>
      </c>
      <c r="F407">
        <v>69085.404266185331</v>
      </c>
      <c r="G407" s="82">
        <f>_xlfn.FORECAST.LINEAR(Table9[[#This Row],[Date]],Table9[Units_Sold],Table9[Date])</f>
        <v>99.549032580130316</v>
      </c>
      <c r="H407">
        <f t="shared" si="12"/>
        <v>-7.5490325801303158</v>
      </c>
      <c r="I407" s="8">
        <f t="shared" si="13"/>
        <v>-8.2054701957938209E-2</v>
      </c>
    </row>
    <row r="408" spans="1:9">
      <c r="A408" s="53">
        <v>54185</v>
      </c>
      <c r="B408" t="str">
        <f>TEXT(Table9[[#This Row],[Date]], "mmm")</f>
        <v>May</v>
      </c>
      <c r="C408">
        <f>YEAR(Table9[[#This Row],[Date]])</f>
        <v>2048</v>
      </c>
      <c r="D408" t="s">
        <v>12</v>
      </c>
      <c r="E408" s="14">
        <f>IF(ISBLANK(E361), S362, E361)</f>
        <v>81</v>
      </c>
      <c r="F408">
        <v>131796.77956361367</v>
      </c>
      <c r="G408" s="82">
        <f>_xlfn.FORECAST.LINEAR(Table9[[#This Row],[Date]],Table9[Units_Sold],Table9[Date])</f>
        <v>99.550196776787104</v>
      </c>
      <c r="H408">
        <f t="shared" si="12"/>
        <v>-18.550196776787104</v>
      </c>
      <c r="I408" s="8">
        <f t="shared" si="13"/>
        <v>-0.22901477502206302</v>
      </c>
    </row>
    <row r="409" spans="1:9">
      <c r="A409" s="54">
        <v>54215</v>
      </c>
      <c r="B409" t="str">
        <f>TEXT(Table9[[#This Row],[Date]], "mmm")</f>
        <v>Jun</v>
      </c>
      <c r="C409">
        <f>YEAR(Table9[[#This Row],[Date]])</f>
        <v>2048</v>
      </c>
      <c r="D409" t="s">
        <v>11</v>
      </c>
      <c r="E409" s="15">
        <f>IF(ISBLANK(E362), S363, E362)</f>
        <v>91</v>
      </c>
      <c r="F409">
        <v>111481.42441788003</v>
      </c>
      <c r="G409" s="82">
        <f>_xlfn.FORECAST.LINEAR(Table9[[#This Row],[Date]],Table9[Units_Sold],Table9[Date])</f>
        <v>99.551360973443892</v>
      </c>
      <c r="H409">
        <f t="shared" si="12"/>
        <v>-8.5513609734438916</v>
      </c>
      <c r="I409" s="8">
        <f t="shared" si="13"/>
        <v>-9.397099970817463E-2</v>
      </c>
    </row>
    <row r="410" spans="1:9">
      <c r="A410" s="53">
        <v>54245</v>
      </c>
      <c r="B410" t="str">
        <f>TEXT(Table9[[#This Row],[Date]], "mmm")</f>
        <v>Jul</v>
      </c>
      <c r="C410">
        <f>YEAR(Table9[[#This Row],[Date]])</f>
        <v>2048</v>
      </c>
      <c r="D410" t="s">
        <v>14</v>
      </c>
      <c r="E410" s="14">
        <v>102</v>
      </c>
      <c r="F410">
        <v>127991.89290291586</v>
      </c>
      <c r="G410" s="82">
        <f>_xlfn.FORECAST.LINEAR(Table9[[#This Row],[Date]],Table9[Units_Sold],Table9[Date])</f>
        <v>99.552525170100679</v>
      </c>
      <c r="H410">
        <f t="shared" si="12"/>
        <v>2.4474748298993205</v>
      </c>
      <c r="I410" s="8">
        <f t="shared" si="13"/>
        <v>2.3994851273522751E-2</v>
      </c>
    </row>
    <row r="411" spans="1:9">
      <c r="A411" s="54">
        <v>54275</v>
      </c>
      <c r="B411" t="str">
        <f>TEXT(Table9[[#This Row],[Date]], "mmm")</f>
        <v>Aug</v>
      </c>
      <c r="C411">
        <f>YEAR(Table9[[#This Row],[Date]])</f>
        <v>2048</v>
      </c>
      <c r="D411" t="s">
        <v>12</v>
      </c>
      <c r="E411" s="15">
        <v>107</v>
      </c>
      <c r="F411">
        <v>73157.445030297706</v>
      </c>
      <c r="G411" s="82">
        <f>_xlfn.FORECAST.LINEAR(Table9[[#This Row],[Date]],Table9[Units_Sold],Table9[Date])</f>
        <v>99.553689366757453</v>
      </c>
      <c r="H411">
        <f t="shared" si="12"/>
        <v>7.4463106332425468</v>
      </c>
      <c r="I411" s="8">
        <f t="shared" si="13"/>
        <v>6.9591688161145304E-2</v>
      </c>
    </row>
    <row r="412" spans="1:9">
      <c r="A412" s="53">
        <v>54305</v>
      </c>
      <c r="B412" t="str">
        <f>TEXT(Table9[[#This Row],[Date]], "mmm")</f>
        <v>Sep</v>
      </c>
      <c r="C412">
        <f>YEAR(Table9[[#This Row],[Date]])</f>
        <v>2048</v>
      </c>
      <c r="D412" t="s">
        <v>11</v>
      </c>
      <c r="E412" s="14">
        <v>103</v>
      </c>
      <c r="F412">
        <v>72683.516891691223</v>
      </c>
      <c r="G412" s="82">
        <f>_xlfn.FORECAST.LINEAR(Table9[[#This Row],[Date]],Table9[Units_Sold],Table9[Date])</f>
        <v>99.554853563414241</v>
      </c>
      <c r="H412">
        <f t="shared" si="12"/>
        <v>3.4451464365857589</v>
      </c>
      <c r="I412" s="8">
        <f t="shared" si="13"/>
        <v>3.3448023656172415E-2</v>
      </c>
    </row>
    <row r="413" spans="1:9">
      <c r="A413" s="54">
        <v>54335</v>
      </c>
      <c r="B413" t="str">
        <f>TEXT(Table9[[#This Row],[Date]], "mmm")</f>
        <v>Oct</v>
      </c>
      <c r="C413">
        <f>YEAR(Table9[[#This Row],[Date]])</f>
        <v>2048</v>
      </c>
      <c r="D413" t="s">
        <v>12</v>
      </c>
      <c r="E413" s="15">
        <v>100</v>
      </c>
      <c r="F413">
        <v>97020.613804654058</v>
      </c>
      <c r="G413" s="82">
        <f>_xlfn.FORECAST.LINEAR(Table9[[#This Row],[Date]],Table9[Units_Sold],Table9[Date])</f>
        <v>99.556017760071029</v>
      </c>
      <c r="H413">
        <f t="shared" si="12"/>
        <v>0.44398223992897101</v>
      </c>
      <c r="I413" s="8">
        <f t="shared" si="13"/>
        <v>4.4398223992897102E-3</v>
      </c>
    </row>
    <row r="414" spans="1:9">
      <c r="A414" s="53">
        <v>54365</v>
      </c>
      <c r="B414" t="str">
        <f>TEXT(Table9[[#This Row],[Date]], "mmm")</f>
        <v>Nov</v>
      </c>
      <c r="C414">
        <f>YEAR(Table9[[#This Row],[Date]])</f>
        <v>2048</v>
      </c>
      <c r="D414" t="s">
        <v>10</v>
      </c>
      <c r="E414" s="14">
        <f>IF(ISBLANK(E367), S368, E367)</f>
        <v>97</v>
      </c>
      <c r="F414">
        <v>110055.68853790389</v>
      </c>
      <c r="G414" s="82">
        <f>_xlfn.FORECAST.LINEAR(Table9[[#This Row],[Date]],Table9[Units_Sold],Table9[Date])</f>
        <v>99.557181956727817</v>
      </c>
      <c r="H414">
        <f t="shared" si="12"/>
        <v>-2.5571819567278169</v>
      </c>
      <c r="I414" s="8">
        <f t="shared" si="13"/>
        <v>-2.6362700584822856E-2</v>
      </c>
    </row>
    <row r="415" spans="1:9">
      <c r="A415" s="54">
        <v>54395</v>
      </c>
      <c r="B415" t="str">
        <f>TEXT(Table9[[#This Row],[Date]], "mmm")</f>
        <v>Dec</v>
      </c>
      <c r="C415">
        <f>YEAR(Table9[[#This Row],[Date]])</f>
        <v>2048</v>
      </c>
      <c r="D415" t="s">
        <v>14</v>
      </c>
      <c r="E415" s="15">
        <v>85</v>
      </c>
      <c r="F415">
        <v>135927.21645853927</v>
      </c>
      <c r="G415" s="82">
        <f>_xlfn.FORECAST.LINEAR(Table9[[#This Row],[Date]],Table9[Units_Sold],Table9[Date])</f>
        <v>99.558346153384605</v>
      </c>
      <c r="H415">
        <f t="shared" si="12"/>
        <v>-14.558346153384605</v>
      </c>
      <c r="I415" s="8">
        <f t="shared" si="13"/>
        <v>-0.17127466062805419</v>
      </c>
    </row>
    <row r="416" spans="1:9">
      <c r="A416" s="53">
        <v>54425</v>
      </c>
      <c r="B416" t="str">
        <f>TEXT(Table9[[#This Row],[Date]], "mmm")</f>
        <v>Jan</v>
      </c>
      <c r="C416">
        <f>YEAR(Table9[[#This Row],[Date]])</f>
        <v>2049</v>
      </c>
      <c r="D416" t="s">
        <v>10</v>
      </c>
      <c r="E416" s="14">
        <v>107</v>
      </c>
      <c r="F416">
        <v>114121.57827630264</v>
      </c>
      <c r="G416" s="82">
        <f>_xlfn.FORECAST.LINEAR(Table9[[#This Row],[Date]],Table9[Units_Sold],Table9[Date])</f>
        <v>99.559510350041393</v>
      </c>
      <c r="H416">
        <f t="shared" si="12"/>
        <v>7.4404896499586073</v>
      </c>
      <c r="I416" s="8">
        <f t="shared" si="13"/>
        <v>6.9537286448211277E-2</v>
      </c>
    </row>
    <row r="417" spans="1:9">
      <c r="A417" s="54">
        <v>54455</v>
      </c>
      <c r="B417" t="str">
        <f>TEXT(Table9[[#This Row],[Date]], "mmm")</f>
        <v>Feb</v>
      </c>
      <c r="C417">
        <f>YEAR(Table9[[#This Row],[Date]])</f>
        <v>2049</v>
      </c>
      <c r="D417" t="s">
        <v>14</v>
      </c>
      <c r="E417" s="15">
        <v>106</v>
      </c>
      <c r="F417">
        <v>95146.374463759334</v>
      </c>
      <c r="G417" s="82">
        <f>_xlfn.FORECAST.LINEAR(Table9[[#This Row],[Date]],Table9[Units_Sold],Table9[Date])</f>
        <v>99.560674546698181</v>
      </c>
      <c r="H417">
        <f t="shared" si="12"/>
        <v>6.4393254533018194</v>
      </c>
      <c r="I417" s="8">
        <f t="shared" si="13"/>
        <v>6.0748353333036034E-2</v>
      </c>
    </row>
    <row r="418" spans="1:9">
      <c r="A418" s="53">
        <v>54485</v>
      </c>
      <c r="B418" t="str">
        <f>TEXT(Table9[[#This Row],[Date]], "mmm")</f>
        <v>Mar</v>
      </c>
      <c r="C418">
        <f>YEAR(Table9[[#This Row],[Date]])</f>
        <v>2049</v>
      </c>
      <c r="D418" t="s">
        <v>12</v>
      </c>
      <c r="E418" s="14">
        <v>92</v>
      </c>
      <c r="F418">
        <v>79472.615846682165</v>
      </c>
      <c r="G418" s="82">
        <f>_xlfn.FORECAST.LINEAR(Table9[[#This Row],[Date]],Table9[Units_Sold],Table9[Date])</f>
        <v>99.561838743354969</v>
      </c>
      <c r="H418">
        <f t="shared" si="12"/>
        <v>-7.5618387433549685</v>
      </c>
      <c r="I418" s="8">
        <f t="shared" si="13"/>
        <v>-8.219389938429314E-2</v>
      </c>
    </row>
    <row r="419" spans="1:9">
      <c r="A419" s="54">
        <v>54515</v>
      </c>
      <c r="B419" t="str">
        <f>TEXT(Table9[[#This Row],[Date]], "mmm")</f>
        <v>Apr</v>
      </c>
      <c r="C419">
        <f>YEAR(Table9[[#This Row],[Date]])</f>
        <v>2049</v>
      </c>
      <c r="D419" t="s">
        <v>12</v>
      </c>
      <c r="E419" s="15">
        <v>110</v>
      </c>
      <c r="F419">
        <v>124600.011454383</v>
      </c>
      <c r="G419" s="82">
        <f>_xlfn.FORECAST.LINEAR(Table9[[#This Row],[Date]],Table9[Units_Sold],Table9[Date])</f>
        <v>99.563002940011756</v>
      </c>
      <c r="H419">
        <f t="shared" si="12"/>
        <v>10.436997059988244</v>
      </c>
      <c r="I419" s="8">
        <f t="shared" si="13"/>
        <v>9.4881791454438577E-2</v>
      </c>
    </row>
    <row r="420" spans="1:9">
      <c r="A420" s="53">
        <v>54545</v>
      </c>
      <c r="B420" t="str">
        <f>TEXT(Table9[[#This Row],[Date]], "mmm")</f>
        <v>May</v>
      </c>
      <c r="C420">
        <f>YEAR(Table9[[#This Row],[Date]])</f>
        <v>2049</v>
      </c>
      <c r="D420" t="s">
        <v>14</v>
      </c>
      <c r="E420" s="14">
        <v>93</v>
      </c>
      <c r="F420">
        <v>80705.89148498571</v>
      </c>
      <c r="G420" s="82">
        <f>_xlfn.FORECAST.LINEAR(Table9[[#This Row],[Date]],Table9[Units_Sold],Table9[Date])</f>
        <v>99.564167136668544</v>
      </c>
      <c r="H420">
        <f t="shared" si="12"/>
        <v>-6.5641671366685443</v>
      </c>
      <c r="I420" s="8">
        <f t="shared" si="13"/>
        <v>-7.058244232976929E-2</v>
      </c>
    </row>
    <row r="421" spans="1:9">
      <c r="A421" s="54">
        <v>54575</v>
      </c>
      <c r="B421" t="str">
        <f>TEXT(Table9[[#This Row],[Date]], "mmm")</f>
        <v>Jun</v>
      </c>
      <c r="C421">
        <f>YEAR(Table9[[#This Row],[Date]])</f>
        <v>2049</v>
      </c>
      <c r="D421" t="s">
        <v>11</v>
      </c>
      <c r="E421" s="15">
        <f>IF(ISBLANK(E374), S375, E374)</f>
        <v>104</v>
      </c>
      <c r="F421">
        <v>132569.37109544643</v>
      </c>
      <c r="G421" s="82">
        <f>_xlfn.FORECAST.LINEAR(Table9[[#This Row],[Date]],Table9[Units_Sold],Table9[Date])</f>
        <v>99.565331333325332</v>
      </c>
      <c r="H421">
        <f t="shared" si="12"/>
        <v>4.4346686666746677</v>
      </c>
      <c r="I421" s="8">
        <f t="shared" si="13"/>
        <v>4.2641044871871807E-2</v>
      </c>
    </row>
    <row r="422" spans="1:9">
      <c r="A422" s="53">
        <v>54605</v>
      </c>
      <c r="B422" t="str">
        <f>TEXT(Table9[[#This Row],[Date]], "mmm")</f>
        <v>Jul</v>
      </c>
      <c r="C422">
        <f>YEAR(Table9[[#This Row],[Date]])</f>
        <v>2049</v>
      </c>
      <c r="D422" t="s">
        <v>11</v>
      </c>
      <c r="E422" s="14">
        <v>117</v>
      </c>
      <c r="F422">
        <v>94312.307007869807</v>
      </c>
      <c r="G422" s="82">
        <f>_xlfn.FORECAST.LINEAR(Table9[[#This Row],[Date]],Table9[Units_Sold],Table9[Date])</f>
        <v>99.56649552998212</v>
      </c>
      <c r="H422">
        <f t="shared" si="12"/>
        <v>17.43350447001788</v>
      </c>
      <c r="I422" s="8">
        <f t="shared" si="13"/>
        <v>0.14900431170955453</v>
      </c>
    </row>
    <row r="423" spans="1:9">
      <c r="A423" s="54">
        <v>54635</v>
      </c>
      <c r="B423" t="str">
        <f>TEXT(Table9[[#This Row],[Date]], "mmm")</f>
        <v>Jul</v>
      </c>
      <c r="C423">
        <f>YEAR(Table9[[#This Row],[Date]])</f>
        <v>2049</v>
      </c>
      <c r="D423" t="s">
        <v>12</v>
      </c>
      <c r="E423" s="15">
        <v>122</v>
      </c>
      <c r="F423">
        <v>131811.641452357</v>
      </c>
      <c r="G423" s="82">
        <f>_xlfn.FORECAST.LINEAR(Table9[[#This Row],[Date]],Table9[Units_Sold],Table9[Date])</f>
        <v>99.567659726638894</v>
      </c>
      <c r="H423">
        <f t="shared" si="12"/>
        <v>22.432340273361106</v>
      </c>
      <c r="I423" s="8">
        <f t="shared" si="13"/>
        <v>0.18387164158492711</v>
      </c>
    </row>
    <row r="424" spans="1:9">
      <c r="A424" s="53">
        <v>54665</v>
      </c>
      <c r="B424" t="str">
        <f>TEXT(Table9[[#This Row],[Date]], "mmm")</f>
        <v>Aug</v>
      </c>
      <c r="C424">
        <f>YEAR(Table9[[#This Row],[Date]])</f>
        <v>2049</v>
      </c>
      <c r="D424" t="s">
        <v>12</v>
      </c>
      <c r="E424" s="14">
        <v>90</v>
      </c>
      <c r="F424">
        <v>113578.62580118557</v>
      </c>
      <c r="G424" s="82">
        <f>_xlfn.FORECAST.LINEAR(Table9[[#This Row],[Date]],Table9[Units_Sold],Table9[Date])</f>
        <v>99.568823923295682</v>
      </c>
      <c r="H424">
        <f t="shared" si="12"/>
        <v>-9.5688239232956818</v>
      </c>
      <c r="I424" s="8">
        <f t="shared" si="13"/>
        <v>-0.10632026581439646</v>
      </c>
    </row>
    <row r="425" spans="1:9">
      <c r="A425" s="54">
        <v>54695</v>
      </c>
      <c r="B425" t="str">
        <f>TEXT(Table9[[#This Row],[Date]], "mmm")</f>
        <v>Sep</v>
      </c>
      <c r="C425">
        <f>YEAR(Table9[[#This Row],[Date]])</f>
        <v>2049</v>
      </c>
      <c r="D425" t="s">
        <v>10</v>
      </c>
      <c r="E425" s="15">
        <v>113</v>
      </c>
      <c r="F425">
        <v>97260.090211150833</v>
      </c>
      <c r="G425" s="82">
        <f>_xlfn.FORECAST.LINEAR(Table9[[#This Row],[Date]],Table9[Units_Sold],Table9[Date])</f>
        <v>99.56998811995247</v>
      </c>
      <c r="H425">
        <f t="shared" si="12"/>
        <v>13.43001188004753</v>
      </c>
      <c r="I425" s="8">
        <f t="shared" si="13"/>
        <v>0.11884966265528787</v>
      </c>
    </row>
    <row r="426" spans="1:9">
      <c r="A426" s="53">
        <v>54725</v>
      </c>
      <c r="B426" t="str">
        <f>TEXT(Table9[[#This Row],[Date]], "mmm")</f>
        <v>Oct</v>
      </c>
      <c r="C426">
        <f>YEAR(Table9[[#This Row],[Date]])</f>
        <v>2049</v>
      </c>
      <c r="D426" t="s">
        <v>12</v>
      </c>
      <c r="E426" s="14">
        <v>110</v>
      </c>
      <c r="F426">
        <v>89612.072563477472</v>
      </c>
      <c r="G426" s="82">
        <f>_xlfn.FORECAST.LINEAR(Table9[[#This Row],[Date]],Table9[Units_Sold],Table9[Date])</f>
        <v>99.571152316609258</v>
      </c>
      <c r="H426">
        <f t="shared" si="12"/>
        <v>10.428847683390742</v>
      </c>
      <c r="I426" s="8">
        <f t="shared" si="13"/>
        <v>9.4807706212643117E-2</v>
      </c>
    </row>
    <row r="427" spans="1:9">
      <c r="A427" s="54">
        <v>54755</v>
      </c>
      <c r="B427" t="str">
        <f>TEXT(Table9[[#This Row],[Date]], "mmm")</f>
        <v>Nov</v>
      </c>
      <c r="C427">
        <f>YEAR(Table9[[#This Row],[Date]])</f>
        <v>2049</v>
      </c>
      <c r="D427" t="s">
        <v>14</v>
      </c>
      <c r="E427" s="15">
        <v>106</v>
      </c>
      <c r="F427">
        <f>IF(ISBLANK(F418), K429, F418)</f>
        <v>79472.615846682165</v>
      </c>
      <c r="G427" s="82">
        <f>_xlfn.FORECAST.LINEAR(Table9[[#This Row],[Date]],Table9[Units_Sold],Table9[Date])</f>
        <v>99.572316513266045</v>
      </c>
      <c r="H427">
        <f t="shared" si="12"/>
        <v>6.4276834867339545</v>
      </c>
      <c r="I427" s="8">
        <f t="shared" si="13"/>
        <v>6.063852345975429E-2</v>
      </c>
    </row>
    <row r="428" spans="1:9">
      <c r="A428" s="53">
        <v>54785</v>
      </c>
      <c r="B428" t="str">
        <f>TEXT(Table9[[#This Row],[Date]], "mmm")</f>
        <v>Dec</v>
      </c>
      <c r="C428">
        <f>YEAR(Table9[[#This Row],[Date]])</f>
        <v>2049</v>
      </c>
      <c r="D428" t="s">
        <v>11</v>
      </c>
      <c r="E428" s="14">
        <v>92</v>
      </c>
      <c r="F428">
        <v>108566.33384750475</v>
      </c>
      <c r="G428" s="82">
        <f>_xlfn.FORECAST.LINEAR(Table9[[#This Row],[Date]],Table9[Units_Sold],Table9[Date])</f>
        <v>99.573480709922833</v>
      </c>
      <c r="H428">
        <f t="shared" si="12"/>
        <v>-7.5734807099228334</v>
      </c>
      <c r="I428" s="8">
        <f t="shared" si="13"/>
        <v>-8.2320442499161234E-2</v>
      </c>
    </row>
    <row r="429" spans="1:9">
      <c r="A429" s="54">
        <v>54815</v>
      </c>
      <c r="B429" t="str">
        <f>TEXT(Table9[[#This Row],[Date]], "mmm")</f>
        <v>Jan</v>
      </c>
      <c r="C429">
        <f>YEAR(Table9[[#This Row],[Date]])</f>
        <v>2050</v>
      </c>
      <c r="D429" t="s">
        <v>11</v>
      </c>
      <c r="E429" s="15">
        <v>121</v>
      </c>
      <c r="F429">
        <f>IF(ISBLANK(F420), K431, F420)</f>
        <v>80705.89148498571</v>
      </c>
      <c r="G429" s="82">
        <f>_xlfn.FORECAST.LINEAR(Table9[[#This Row],[Date]],Table9[Units_Sold],Table9[Date])</f>
        <v>99.574644906579621</v>
      </c>
      <c r="H429">
        <f t="shared" si="12"/>
        <v>21.425355093420379</v>
      </c>
      <c r="I429" s="8">
        <f t="shared" si="13"/>
        <v>0.1770690503588461</v>
      </c>
    </row>
    <row r="430" spans="1:9">
      <c r="A430" s="53">
        <v>54845</v>
      </c>
      <c r="B430" t="str">
        <f>TEXT(Table9[[#This Row],[Date]], "mmm")</f>
        <v>Feb</v>
      </c>
      <c r="C430">
        <f>YEAR(Table9[[#This Row],[Date]])</f>
        <v>2050</v>
      </c>
      <c r="D430" t="s">
        <v>10</v>
      </c>
      <c r="E430" s="14">
        <v>89</v>
      </c>
      <c r="F430">
        <v>88123.771838625893</v>
      </c>
      <c r="G430" s="82">
        <f>_xlfn.FORECAST.LINEAR(Table9[[#This Row],[Date]],Table9[Units_Sold],Table9[Date])</f>
        <v>99.575809103236409</v>
      </c>
      <c r="H430">
        <f t="shared" si="12"/>
        <v>-10.575809103236409</v>
      </c>
      <c r="I430" s="8">
        <f t="shared" si="13"/>
        <v>-0.11882931576670122</v>
      </c>
    </row>
    <row r="431" spans="1:9">
      <c r="A431" s="54">
        <v>54875</v>
      </c>
      <c r="B431" t="str">
        <f>TEXT(Table9[[#This Row],[Date]], "mmm")</f>
        <v>Mar</v>
      </c>
      <c r="C431">
        <f>YEAR(Table9[[#This Row],[Date]])</f>
        <v>2050</v>
      </c>
      <c r="D431" t="s">
        <v>11</v>
      </c>
      <c r="E431" s="15">
        <v>117</v>
      </c>
      <c r="F431">
        <v>100873.2838</v>
      </c>
      <c r="G431" s="82">
        <f>_xlfn.FORECAST.LINEAR(Table9[[#This Row],[Date]],Table9[Units_Sold],Table9[Date])</f>
        <v>99.576973299893197</v>
      </c>
      <c r="H431">
        <f t="shared" si="12"/>
        <v>17.423026700106803</v>
      </c>
      <c r="I431" s="8">
        <f t="shared" si="13"/>
        <v>0.14891475812057098</v>
      </c>
    </row>
    <row r="432" spans="1:9">
      <c r="A432" s="53">
        <v>54905</v>
      </c>
      <c r="B432" t="str">
        <f>TEXT(Table9[[#This Row],[Date]], "mmm")</f>
        <v>Apr</v>
      </c>
      <c r="C432">
        <f>YEAR(Table9[[#This Row],[Date]])</f>
        <v>2050</v>
      </c>
      <c r="D432" t="s">
        <v>11</v>
      </c>
      <c r="E432" s="14">
        <v>106</v>
      </c>
      <c r="F432">
        <v>101571.540594383</v>
      </c>
      <c r="G432" s="82">
        <f>_xlfn.FORECAST.LINEAR(Table9[[#This Row],[Date]],Table9[Units_Sold],Table9[Date])</f>
        <v>99.578137496549985</v>
      </c>
      <c r="H432">
        <f t="shared" si="12"/>
        <v>6.421862503450015</v>
      </c>
      <c r="I432" s="8">
        <f t="shared" si="13"/>
        <v>6.0583608523113348E-2</v>
      </c>
    </row>
    <row r="433" spans="1:9">
      <c r="A433" s="54">
        <v>54935</v>
      </c>
      <c r="B433" t="str">
        <f>TEXT(Table9[[#This Row],[Date]], "mmm")</f>
        <v>May</v>
      </c>
      <c r="C433">
        <f>YEAR(Table9[[#This Row],[Date]])</f>
        <v>2050</v>
      </c>
      <c r="D433" t="s">
        <v>13</v>
      </c>
      <c r="E433" s="15">
        <v>121</v>
      </c>
      <c r="F433">
        <v>57425.31811170376</v>
      </c>
      <c r="G433" s="82">
        <f>_xlfn.FORECAST.LINEAR(Table9[[#This Row],[Date]],Table9[Units_Sold],Table9[Date])</f>
        <v>99.579301693206773</v>
      </c>
      <c r="H433">
        <f t="shared" si="12"/>
        <v>21.420698306793227</v>
      </c>
      <c r="I433" s="8">
        <f t="shared" si="13"/>
        <v>0.1770305645189523</v>
      </c>
    </row>
    <row r="434" spans="1:9">
      <c r="A434" s="53">
        <v>54965</v>
      </c>
      <c r="B434" t="str">
        <f>TEXT(Table9[[#This Row],[Date]], "mmm")</f>
        <v>Jun</v>
      </c>
      <c r="C434">
        <f>YEAR(Table9[[#This Row],[Date]])</f>
        <v>2050</v>
      </c>
      <c r="D434" t="s">
        <v>14</v>
      </c>
      <c r="E434" s="14">
        <v>95</v>
      </c>
      <c r="F434">
        <v>109163.36229577397</v>
      </c>
      <c r="G434" s="82">
        <f>_xlfn.FORECAST.LINEAR(Table9[[#This Row],[Date]],Table9[Units_Sold],Table9[Date])</f>
        <v>99.580465889863547</v>
      </c>
      <c r="H434">
        <f t="shared" si="12"/>
        <v>-4.5804658898635466</v>
      </c>
      <c r="I434" s="8">
        <f t="shared" si="13"/>
        <v>-4.8215430419616283E-2</v>
      </c>
    </row>
    <row r="435" spans="1:9">
      <c r="A435" s="54">
        <v>54995</v>
      </c>
      <c r="B435" t="str">
        <f>TEXT(Table9[[#This Row],[Date]], "mmm")</f>
        <v>Jul</v>
      </c>
      <c r="C435">
        <f>YEAR(Table9[[#This Row],[Date]])</f>
        <v>2050</v>
      </c>
      <c r="D435" t="s">
        <v>13</v>
      </c>
      <c r="E435" s="15">
        <v>91</v>
      </c>
      <c r="F435">
        <v>80405.575505663859</v>
      </c>
      <c r="G435" s="82">
        <f>_xlfn.FORECAST.LINEAR(Table9[[#This Row],[Date]],Table9[Units_Sold],Table9[Date])</f>
        <v>99.581630086520335</v>
      </c>
      <c r="H435">
        <f t="shared" si="12"/>
        <v>-8.5816300865203345</v>
      </c>
      <c r="I435" s="8">
        <f t="shared" si="13"/>
        <v>-9.4303627324399286E-2</v>
      </c>
    </row>
    <row r="436" spans="1:9">
      <c r="A436" s="53">
        <v>55025</v>
      </c>
      <c r="B436" t="str">
        <f>TEXT(Table9[[#This Row],[Date]], "mmm")</f>
        <v>Aug</v>
      </c>
      <c r="C436">
        <f>YEAR(Table9[[#This Row],[Date]])</f>
        <v>2050</v>
      </c>
      <c r="D436" t="s">
        <v>11</v>
      </c>
      <c r="E436" s="14">
        <v>82</v>
      </c>
      <c r="F436">
        <v>76933.351935885104</v>
      </c>
      <c r="G436" s="82">
        <f>_xlfn.FORECAST.LINEAR(Table9[[#This Row],[Date]],Table9[Units_Sold],Table9[Date])</f>
        <v>99.582794283177122</v>
      </c>
      <c r="H436">
        <f t="shared" si="12"/>
        <v>-17.582794283177122</v>
      </c>
      <c r="I436" s="8">
        <f t="shared" si="13"/>
        <v>-0.21442432052655028</v>
      </c>
    </row>
    <row r="437" spans="1:9">
      <c r="A437" s="54">
        <v>55055</v>
      </c>
      <c r="B437" t="str">
        <f>TEXT(Table9[[#This Row],[Date]], "mmm")</f>
        <v>Sep</v>
      </c>
      <c r="C437">
        <f>YEAR(Table9[[#This Row],[Date]])</f>
        <v>2050</v>
      </c>
      <c r="D437" t="s">
        <v>10</v>
      </c>
      <c r="E437" s="15">
        <v>100</v>
      </c>
      <c r="F437">
        <v>66253.113057785784</v>
      </c>
      <c r="G437" s="82">
        <f>_xlfn.FORECAST.LINEAR(Table9[[#This Row],[Date]],Table9[Units_Sold],Table9[Date])</f>
        <v>99.58395847983391</v>
      </c>
      <c r="H437">
        <f t="shared" si="12"/>
        <v>0.41604152016608964</v>
      </c>
      <c r="I437" s="8">
        <f t="shared" si="13"/>
        <v>4.1604152016608961E-3</v>
      </c>
    </row>
    <row r="438" spans="1:9">
      <c r="A438" s="53">
        <v>55085</v>
      </c>
      <c r="B438" t="str">
        <f>TEXT(Table9[[#This Row],[Date]], "mmm")</f>
        <v>Oct</v>
      </c>
      <c r="C438">
        <f>YEAR(Table9[[#This Row],[Date]])</f>
        <v>2050</v>
      </c>
      <c r="D438" t="s">
        <v>10</v>
      </c>
      <c r="E438" s="14">
        <v>81</v>
      </c>
      <c r="F438">
        <v>64122.150042642192</v>
      </c>
      <c r="G438" s="82">
        <f>_xlfn.FORECAST.LINEAR(Table9[[#This Row],[Date]],Table9[Units_Sold],Table9[Date])</f>
        <v>99.585122676490698</v>
      </c>
      <c r="H438">
        <f t="shared" si="12"/>
        <v>-18.585122676490698</v>
      </c>
      <c r="I438" s="8">
        <f t="shared" si="13"/>
        <v>-0.22944595896902098</v>
      </c>
    </row>
    <row r="439" spans="1:9">
      <c r="A439" s="54">
        <v>55115</v>
      </c>
      <c r="B439" t="str">
        <f>TEXT(Table9[[#This Row],[Date]], "mmm")</f>
        <v>Nov</v>
      </c>
      <c r="C439">
        <f>YEAR(Table9[[#This Row],[Date]])</f>
        <v>2050</v>
      </c>
      <c r="D439" t="s">
        <v>11</v>
      </c>
      <c r="E439" s="15">
        <v>101</v>
      </c>
      <c r="F439">
        <v>72891.049937754215</v>
      </c>
      <c r="G439" s="82">
        <f>_xlfn.FORECAST.LINEAR(Table9[[#This Row],[Date]],Table9[Units_Sold],Table9[Date])</f>
        <v>99.586286873147486</v>
      </c>
      <c r="H439">
        <f t="shared" si="12"/>
        <v>1.4137131268525138</v>
      </c>
      <c r="I439" s="8">
        <f t="shared" si="13"/>
        <v>1.3997159671807067E-2</v>
      </c>
    </row>
    <row r="440" spans="1:9">
      <c r="A440" s="53">
        <v>55145</v>
      </c>
      <c r="B440" t="str">
        <f>TEXT(Table9[[#This Row],[Date]], "mmm")</f>
        <v>Dec</v>
      </c>
      <c r="C440">
        <f>YEAR(Table9[[#This Row],[Date]])</f>
        <v>2050</v>
      </c>
      <c r="D440" t="s">
        <v>12</v>
      </c>
      <c r="E440" s="14">
        <v>95</v>
      </c>
      <c r="F440">
        <v>85819.580847390185</v>
      </c>
      <c r="G440" s="82">
        <f>_xlfn.FORECAST.LINEAR(Table9[[#This Row],[Date]],Table9[Units_Sold],Table9[Date])</f>
        <v>99.587451069804274</v>
      </c>
      <c r="H440">
        <f t="shared" si="12"/>
        <v>-4.5874510698042741</v>
      </c>
      <c r="I440" s="8">
        <f t="shared" si="13"/>
        <v>-4.8288958629518673E-2</v>
      </c>
    </row>
    <row r="441" spans="1:9">
      <c r="A441" s="54">
        <v>55175</v>
      </c>
      <c r="B441" t="str">
        <f>TEXT(Table9[[#This Row],[Date]], "mmm")</f>
        <v>Jan</v>
      </c>
      <c r="C441">
        <f>YEAR(Table9[[#This Row],[Date]])</f>
        <v>2051</v>
      </c>
      <c r="D441" t="s">
        <v>13</v>
      </c>
      <c r="E441" s="15">
        <v>114</v>
      </c>
      <c r="F441">
        <v>139065.18275053136</v>
      </c>
      <c r="G441" s="82">
        <f>_xlfn.FORECAST.LINEAR(Table9[[#This Row],[Date]],Table9[Units_Sold],Table9[Date])</f>
        <v>99.588615266461062</v>
      </c>
      <c r="H441">
        <f t="shared" si="12"/>
        <v>14.411384733538938</v>
      </c>
      <c r="I441" s="8">
        <f t="shared" si="13"/>
        <v>0.12641565555735912</v>
      </c>
    </row>
    <row r="442" spans="1:9">
      <c r="A442" s="53">
        <v>55205</v>
      </c>
      <c r="B442" t="str">
        <f>TEXT(Table9[[#This Row],[Date]], "mmm")</f>
        <v>Feb</v>
      </c>
      <c r="C442">
        <f>YEAR(Table9[[#This Row],[Date]])</f>
        <v>2051</v>
      </c>
      <c r="D442" t="s">
        <v>11</v>
      </c>
      <c r="E442" s="14">
        <v>92</v>
      </c>
      <c r="F442">
        <v>89482.406482095917</v>
      </c>
      <c r="G442" s="82">
        <f>_xlfn.FORECAST.LINEAR(Table9[[#This Row],[Date]],Table9[Units_Sold],Table9[Date])</f>
        <v>99.58977946311785</v>
      </c>
      <c r="H442">
        <f t="shared" si="12"/>
        <v>-7.5897794631178499</v>
      </c>
      <c r="I442" s="8">
        <f t="shared" si="13"/>
        <v>-8.2497602859976635E-2</v>
      </c>
    </row>
    <row r="443" spans="1:9">
      <c r="A443" s="54">
        <v>55235</v>
      </c>
      <c r="B443" t="str">
        <f>TEXT(Table9[[#This Row],[Date]], "mmm")</f>
        <v>Mar</v>
      </c>
      <c r="C443">
        <f>YEAR(Table9[[#This Row],[Date]])</f>
        <v>2051</v>
      </c>
      <c r="D443" t="s">
        <v>10</v>
      </c>
      <c r="E443" s="15">
        <v>113</v>
      </c>
      <c r="F443">
        <v>103555.00212536062</v>
      </c>
      <c r="G443" s="82">
        <f>_xlfn.FORECAST.LINEAR(Table9[[#This Row],[Date]],Table9[Units_Sold],Table9[Date])</f>
        <v>99.590943659774638</v>
      </c>
      <c r="H443">
        <f t="shared" si="12"/>
        <v>13.409056340225362</v>
      </c>
      <c r="I443" s="8">
        <f t="shared" si="13"/>
        <v>0.11866421540022444</v>
      </c>
    </row>
    <row r="444" spans="1:9">
      <c r="A444" s="53">
        <v>55265</v>
      </c>
      <c r="B444" t="str">
        <f>TEXT(Table9[[#This Row],[Date]], "mmm")</f>
        <v>Apr</v>
      </c>
      <c r="C444">
        <f>YEAR(Table9[[#This Row],[Date]])</f>
        <v>2051</v>
      </c>
      <c r="D444" t="s">
        <v>10</v>
      </c>
      <c r="E444" s="14">
        <v>113</v>
      </c>
      <c r="F444">
        <v>108009.62773012658</v>
      </c>
      <c r="G444" s="82">
        <f>_xlfn.FORECAST.LINEAR(Table9[[#This Row],[Date]],Table9[Units_Sold],Table9[Date])</f>
        <v>99.592107856431426</v>
      </c>
      <c r="H444">
        <f t="shared" si="12"/>
        <v>13.407892143568574</v>
      </c>
      <c r="I444" s="8">
        <f t="shared" si="13"/>
        <v>0.11865391277494314</v>
      </c>
    </row>
    <row r="445" spans="1:9">
      <c r="A445" s="54">
        <v>55295</v>
      </c>
      <c r="B445" t="str">
        <f>TEXT(Table9[[#This Row],[Date]], "mmm")</f>
        <v>May</v>
      </c>
      <c r="C445">
        <f>YEAR(Table9[[#This Row],[Date]])</f>
        <v>2051</v>
      </c>
      <c r="D445" t="s">
        <v>13</v>
      </c>
      <c r="E445" s="15">
        <v>120</v>
      </c>
      <c r="F445">
        <f>IF(ISBLANK(F436), K447, F436)</f>
        <v>76933.351935885104</v>
      </c>
      <c r="G445" s="82">
        <f>_xlfn.FORECAST.LINEAR(Table9[[#This Row],[Date]],Table9[Units_Sold],Table9[Date])</f>
        <v>99.593272053088199</v>
      </c>
      <c r="H445">
        <f t="shared" si="12"/>
        <v>20.406727946911801</v>
      </c>
      <c r="I445" s="8">
        <f t="shared" si="13"/>
        <v>0.170056066224265</v>
      </c>
    </row>
    <row r="446" spans="1:9">
      <c r="A446" s="53">
        <v>55325</v>
      </c>
      <c r="B446" t="str">
        <f>TEXT(Table9[[#This Row],[Date]], "mmm")</f>
        <v>Jun</v>
      </c>
      <c r="C446">
        <f>YEAR(Table9[[#This Row],[Date]])</f>
        <v>2051</v>
      </c>
      <c r="D446" t="s">
        <v>14</v>
      </c>
      <c r="E446" s="14">
        <v>108</v>
      </c>
      <c r="F446">
        <v>98451.130785480127</v>
      </c>
      <c r="G446" s="82">
        <f>_xlfn.FORECAST.LINEAR(Table9[[#This Row],[Date]],Table9[Units_Sold],Table9[Date])</f>
        <v>99.594436249744987</v>
      </c>
      <c r="H446">
        <f t="shared" si="12"/>
        <v>8.4055637502550127</v>
      </c>
      <c r="I446" s="8">
        <f t="shared" si="13"/>
        <v>7.7829293983842709E-2</v>
      </c>
    </row>
    <row r="447" spans="1:9">
      <c r="A447" s="54">
        <v>55355</v>
      </c>
      <c r="B447" t="str">
        <f>TEXT(Table9[[#This Row],[Date]], "mmm")</f>
        <v>Jul</v>
      </c>
      <c r="C447">
        <f>YEAR(Table9[[#This Row],[Date]])</f>
        <v>2051</v>
      </c>
      <c r="D447" t="s">
        <v>11</v>
      </c>
      <c r="E447" s="15">
        <v>99</v>
      </c>
      <c r="F447">
        <v>76094.1247280151</v>
      </c>
      <c r="G447" s="82">
        <f>_xlfn.FORECAST.LINEAR(Table9[[#This Row],[Date]],Table9[Units_Sold],Table9[Date])</f>
        <v>99.595600446401775</v>
      </c>
      <c r="H447">
        <f t="shared" si="12"/>
        <v>-0.59560044640177523</v>
      </c>
      <c r="I447" s="8">
        <f t="shared" si="13"/>
        <v>-6.0161661252704571E-3</v>
      </c>
    </row>
    <row r="448" spans="1:9">
      <c r="A448" s="53">
        <v>55385</v>
      </c>
      <c r="B448" t="str">
        <f>TEXT(Table9[[#This Row],[Date]], "mmm")</f>
        <v>Aug</v>
      </c>
      <c r="C448">
        <f>YEAR(Table9[[#This Row],[Date]])</f>
        <v>2051</v>
      </c>
      <c r="D448" t="s">
        <v>11</v>
      </c>
      <c r="E448" s="14">
        <v>108</v>
      </c>
      <c r="F448">
        <v>129018.55096558423</v>
      </c>
      <c r="G448" s="82">
        <f>_xlfn.FORECAST.LINEAR(Table9[[#This Row],[Date]],Table9[Units_Sold],Table9[Date])</f>
        <v>99.596764643058563</v>
      </c>
      <c r="H448">
        <f t="shared" si="12"/>
        <v>8.4032353569414369</v>
      </c>
      <c r="I448" s="8">
        <f t="shared" si="13"/>
        <v>7.7807734786494789E-2</v>
      </c>
    </row>
    <row r="449" spans="1:9">
      <c r="A449" s="54">
        <v>55415</v>
      </c>
      <c r="B449" t="str">
        <f>TEXT(Table9[[#This Row],[Date]], "mmm")</f>
        <v>Sep</v>
      </c>
      <c r="C449">
        <f>YEAR(Table9[[#This Row],[Date]])</f>
        <v>2051</v>
      </c>
      <c r="D449" t="s">
        <v>14</v>
      </c>
      <c r="E449" s="15">
        <v>98</v>
      </c>
      <c r="F449">
        <v>136143.93287275769</v>
      </c>
      <c r="G449" s="82">
        <f>_xlfn.FORECAST.LINEAR(Table9[[#This Row],[Date]],Table9[Units_Sold],Table9[Date])</f>
        <v>99.597928839715351</v>
      </c>
      <c r="H449">
        <f t="shared" si="12"/>
        <v>-1.597928839715351</v>
      </c>
      <c r="I449" s="8">
        <f t="shared" si="13"/>
        <v>-1.6305396323626032E-2</v>
      </c>
    </row>
    <row r="450" spans="1:9">
      <c r="A450" s="53">
        <v>55445</v>
      </c>
      <c r="B450" t="str">
        <f>TEXT(Table9[[#This Row],[Date]], "mmm")</f>
        <v>Oct</v>
      </c>
      <c r="C450">
        <f>YEAR(Table9[[#This Row],[Date]])</f>
        <v>2051</v>
      </c>
      <c r="D450" t="s">
        <v>13</v>
      </c>
      <c r="E450" s="14">
        <v>92</v>
      </c>
      <c r="F450">
        <v>66346.826117546283</v>
      </c>
      <c r="G450" s="82">
        <f>_xlfn.FORECAST.LINEAR(Table9[[#This Row],[Date]],Table9[Units_Sold],Table9[Date])</f>
        <v>99.599093036372139</v>
      </c>
      <c r="H450">
        <f t="shared" ref="H450:H501" si="14">E450-G450</f>
        <v>-7.599093036372139</v>
      </c>
      <c r="I450" s="8">
        <f t="shared" ref="I450:I501" si="15">H450/E450</f>
        <v>-8.2598837351871082E-2</v>
      </c>
    </row>
    <row r="451" spans="1:9">
      <c r="A451" s="54">
        <v>55475</v>
      </c>
      <c r="B451" t="str">
        <f>TEXT(Table9[[#This Row],[Date]], "mmm")</f>
        <v>Nov</v>
      </c>
      <c r="C451">
        <f>YEAR(Table9[[#This Row],[Date]])</f>
        <v>2051</v>
      </c>
      <c r="D451" t="s">
        <v>13</v>
      </c>
      <c r="E451" s="15">
        <v>96</v>
      </c>
      <c r="F451">
        <v>79519.428182272415</v>
      </c>
      <c r="G451" s="82">
        <f>_xlfn.FORECAST.LINEAR(Table9[[#This Row],[Date]],Table9[Units_Sold],Table9[Date])</f>
        <v>99.600257233028927</v>
      </c>
      <c r="H451">
        <f t="shared" si="14"/>
        <v>-3.6002572330289269</v>
      </c>
      <c r="I451" s="8">
        <f t="shared" si="15"/>
        <v>-3.7502679510717986E-2</v>
      </c>
    </row>
    <row r="452" spans="1:9">
      <c r="A452" s="53">
        <v>55505</v>
      </c>
      <c r="B452" t="str">
        <f>TEXT(Table9[[#This Row],[Date]], "mmm")</f>
        <v>Dec</v>
      </c>
      <c r="C452">
        <f>YEAR(Table9[[#This Row],[Date]])</f>
        <v>2051</v>
      </c>
      <c r="D452" t="s">
        <v>10</v>
      </c>
      <c r="E452" s="14">
        <v>94</v>
      </c>
      <c r="F452">
        <f>IF(ISBLANK(F443), K454, F443)</f>
        <v>103555.00212536062</v>
      </c>
      <c r="G452" s="82">
        <f>_xlfn.FORECAST.LINEAR(Table9[[#This Row],[Date]],Table9[Units_Sold],Table9[Date])</f>
        <v>99.601421429685715</v>
      </c>
      <c r="H452">
        <f t="shared" si="14"/>
        <v>-5.6014214296857148</v>
      </c>
      <c r="I452" s="8">
        <f t="shared" si="15"/>
        <v>-5.9589589677507604E-2</v>
      </c>
    </row>
    <row r="453" spans="1:9">
      <c r="A453" s="54">
        <v>55535</v>
      </c>
      <c r="B453" t="str">
        <f>TEXT(Table9[[#This Row],[Date]], "mmm")</f>
        <v>Jan</v>
      </c>
      <c r="C453">
        <f>YEAR(Table9[[#This Row],[Date]])</f>
        <v>2052</v>
      </c>
      <c r="D453" t="s">
        <v>14</v>
      </c>
      <c r="E453" s="15">
        <v>75</v>
      </c>
      <c r="F453">
        <v>80709.244101796168</v>
      </c>
      <c r="G453" s="82">
        <f>_xlfn.FORECAST.LINEAR(Table9[[#This Row],[Date]],Table9[Units_Sold],Table9[Date])</f>
        <v>99.602585626342503</v>
      </c>
      <c r="H453">
        <f t="shared" si="14"/>
        <v>-24.602585626342503</v>
      </c>
      <c r="I453" s="8">
        <f t="shared" si="15"/>
        <v>-0.32803447501790006</v>
      </c>
    </row>
    <row r="454" spans="1:9">
      <c r="A454" s="53">
        <v>55565</v>
      </c>
      <c r="B454" t="str">
        <f>TEXT(Table9[[#This Row],[Date]], "mmm")</f>
        <v>Feb</v>
      </c>
      <c r="C454">
        <f>YEAR(Table9[[#This Row],[Date]])</f>
        <v>2052</v>
      </c>
      <c r="D454" t="s">
        <v>13</v>
      </c>
      <c r="E454" s="14">
        <v>97</v>
      </c>
      <c r="F454">
        <v>110119.31106911731</v>
      </c>
      <c r="G454" s="82">
        <f>_xlfn.FORECAST.LINEAR(Table9[[#This Row],[Date]],Table9[Units_Sold],Table9[Date])</f>
        <v>99.603749822999291</v>
      </c>
      <c r="H454">
        <f t="shared" si="14"/>
        <v>-2.6037498229992906</v>
      </c>
      <c r="I454" s="8">
        <f t="shared" si="15"/>
        <v>-2.6842781680405058E-2</v>
      </c>
    </row>
    <row r="455" spans="1:9">
      <c r="A455" s="54">
        <v>55595</v>
      </c>
      <c r="B455" t="str">
        <f>TEXT(Table9[[#This Row],[Date]], "mmm")</f>
        <v>Mar</v>
      </c>
      <c r="C455">
        <f>YEAR(Table9[[#This Row],[Date]])</f>
        <v>2052</v>
      </c>
      <c r="D455" t="s">
        <v>12</v>
      </c>
      <c r="E455" s="15">
        <v>100</v>
      </c>
      <c r="F455">
        <v>85434.555951867733</v>
      </c>
      <c r="G455" s="82">
        <f>_xlfn.FORECAST.LINEAR(Table9[[#This Row],[Date]],Table9[Units_Sold],Table9[Date])</f>
        <v>99.604914019656078</v>
      </c>
      <c r="H455">
        <f t="shared" si="14"/>
        <v>0.39508598034392151</v>
      </c>
      <c r="I455" s="8">
        <f t="shared" si="15"/>
        <v>3.9508598034392155E-3</v>
      </c>
    </row>
    <row r="456" spans="1:9">
      <c r="A456" s="53">
        <v>55625</v>
      </c>
      <c r="B456" t="str">
        <f>TEXT(Table9[[#This Row],[Date]], "mmm")</f>
        <v>Apr</v>
      </c>
      <c r="C456">
        <f>YEAR(Table9[[#This Row],[Date]])</f>
        <v>2052</v>
      </c>
      <c r="D456" t="s">
        <v>11</v>
      </c>
      <c r="E456" s="14">
        <v>98</v>
      </c>
      <c r="F456">
        <v>143301.12135613203</v>
      </c>
      <c r="G456" s="82">
        <f>_xlfn.FORECAST.LINEAR(Table9[[#This Row],[Date]],Table9[Units_Sold],Table9[Date])</f>
        <v>99.606078216312852</v>
      </c>
      <c r="H456">
        <f t="shared" si="14"/>
        <v>-1.6060782163128522</v>
      </c>
      <c r="I456" s="8">
        <f t="shared" si="15"/>
        <v>-1.6388553227682165E-2</v>
      </c>
    </row>
    <row r="457" spans="1:9">
      <c r="A457" s="54">
        <v>55655</v>
      </c>
      <c r="B457" t="str">
        <f>TEXT(Table9[[#This Row],[Date]], "mmm")</f>
        <v>May</v>
      </c>
      <c r="C457">
        <f>YEAR(Table9[[#This Row],[Date]])</f>
        <v>2052</v>
      </c>
      <c r="D457" t="s">
        <v>10</v>
      </c>
      <c r="E457" s="15">
        <v>121</v>
      </c>
      <c r="F457">
        <v>123810.97188687192</v>
      </c>
      <c r="G457" s="82">
        <f>_xlfn.FORECAST.LINEAR(Table9[[#This Row],[Date]],Table9[Units_Sold],Table9[Date])</f>
        <v>99.60724241296964</v>
      </c>
      <c r="H457">
        <f t="shared" si="14"/>
        <v>21.39275758703036</v>
      </c>
      <c r="I457" s="8">
        <f t="shared" si="15"/>
        <v>0.17679964947958976</v>
      </c>
    </row>
    <row r="458" spans="1:9">
      <c r="A458" s="53">
        <v>55685</v>
      </c>
      <c r="B458" t="str">
        <f>TEXT(Table9[[#This Row],[Date]], "mmm")</f>
        <v>Jun</v>
      </c>
      <c r="C458">
        <f>YEAR(Table9[[#This Row],[Date]])</f>
        <v>2052</v>
      </c>
      <c r="D458" t="s">
        <v>14</v>
      </c>
      <c r="E458" s="14">
        <v>103</v>
      </c>
      <c r="F458">
        <v>104251.4806126443</v>
      </c>
      <c r="G458" s="82">
        <f>_xlfn.FORECAST.LINEAR(Table9[[#This Row],[Date]],Table9[Units_Sold],Table9[Date])</f>
        <v>99.608406609626428</v>
      </c>
      <c r="H458">
        <f t="shared" si="14"/>
        <v>3.391593390373572</v>
      </c>
      <c r="I458" s="8">
        <f t="shared" si="15"/>
        <v>3.2928091168675455E-2</v>
      </c>
    </row>
    <row r="459" spans="1:9">
      <c r="A459" s="54">
        <v>55715</v>
      </c>
      <c r="B459" t="str">
        <f>TEXT(Table9[[#This Row],[Date]], "mmm")</f>
        <v>Jul</v>
      </c>
      <c r="C459">
        <f>YEAR(Table9[[#This Row],[Date]])</f>
        <v>2052</v>
      </c>
      <c r="D459" t="s">
        <v>10</v>
      </c>
      <c r="E459" s="15">
        <v>121</v>
      </c>
      <c r="F459">
        <v>120539.72526639464</v>
      </c>
      <c r="G459" s="82">
        <f>_xlfn.FORECAST.LINEAR(Table9[[#This Row],[Date]],Table9[Units_Sold],Table9[Date])</f>
        <v>99.609570806283216</v>
      </c>
      <c r="H459">
        <f t="shared" si="14"/>
        <v>21.390429193716784</v>
      </c>
      <c r="I459" s="8">
        <f t="shared" si="15"/>
        <v>0.17678040655964283</v>
      </c>
    </row>
    <row r="460" spans="1:9">
      <c r="A460" s="53">
        <v>55745</v>
      </c>
      <c r="B460" t="str">
        <f>TEXT(Table9[[#This Row],[Date]], "mmm")</f>
        <v>Aug</v>
      </c>
      <c r="C460">
        <f>YEAR(Table9[[#This Row],[Date]])</f>
        <v>2052</v>
      </c>
      <c r="D460" t="s">
        <v>13</v>
      </c>
      <c r="E460" s="14">
        <v>103</v>
      </c>
      <c r="F460">
        <v>122118.00848714617</v>
      </c>
      <c r="G460" s="82">
        <f>_xlfn.FORECAST.LINEAR(Table9[[#This Row],[Date]],Table9[Units_Sold],Table9[Date])</f>
        <v>99.610735002940004</v>
      </c>
      <c r="H460">
        <f t="shared" si="14"/>
        <v>3.3892649970599962</v>
      </c>
      <c r="I460" s="8">
        <f t="shared" si="15"/>
        <v>3.2905485408349477E-2</v>
      </c>
    </row>
    <row r="461" spans="1:9">
      <c r="A461" s="54">
        <v>55775</v>
      </c>
      <c r="B461" t="str">
        <f>TEXT(Table9[[#This Row],[Date]], "mmm")</f>
        <v>Sep</v>
      </c>
      <c r="C461">
        <f>YEAR(Table9[[#This Row],[Date]])</f>
        <v>2052</v>
      </c>
      <c r="D461" t="s">
        <v>13</v>
      </c>
      <c r="E461" s="15">
        <v>91</v>
      </c>
      <c r="F461">
        <v>88721.050238835131</v>
      </c>
      <c r="G461" s="82">
        <f>_xlfn.FORECAST.LINEAR(Table9[[#This Row],[Date]],Table9[Units_Sold],Table9[Date])</f>
        <v>99.611899199596792</v>
      </c>
      <c r="H461">
        <f t="shared" si="14"/>
        <v>-8.6118991995967917</v>
      </c>
      <c r="I461" s="8">
        <f t="shared" si="15"/>
        <v>-9.4636254940624082E-2</v>
      </c>
    </row>
    <row r="462" spans="1:9">
      <c r="A462" s="53">
        <v>55805</v>
      </c>
      <c r="B462" t="str">
        <f>TEXT(Table9[[#This Row],[Date]], "mmm")</f>
        <v>Oct</v>
      </c>
      <c r="C462">
        <f>YEAR(Table9[[#This Row],[Date]])</f>
        <v>2052</v>
      </c>
      <c r="D462" t="s">
        <v>12</v>
      </c>
      <c r="E462" s="14">
        <v>91</v>
      </c>
      <c r="F462">
        <v>83675.655109160711</v>
      </c>
      <c r="G462" s="82">
        <f>_xlfn.FORECAST.LINEAR(Table9[[#This Row],[Date]],Table9[Units_Sold],Table9[Date])</f>
        <v>99.61306339625358</v>
      </c>
      <c r="H462">
        <f t="shared" si="14"/>
        <v>-8.6130633962535796</v>
      </c>
      <c r="I462" s="8">
        <f t="shared" si="15"/>
        <v>-9.4649048310478892E-2</v>
      </c>
    </row>
    <row r="463" spans="1:9">
      <c r="A463" s="54">
        <v>55835</v>
      </c>
      <c r="B463" t="str">
        <f>TEXT(Table9[[#This Row],[Date]], "mmm")</f>
        <v>Nov</v>
      </c>
      <c r="C463">
        <f>YEAR(Table9[[#This Row],[Date]])</f>
        <v>2052</v>
      </c>
      <c r="D463" t="s">
        <v>11</v>
      </c>
      <c r="E463" s="15">
        <f>IF(ISBLANK(E416), S417, E416)</f>
        <v>107</v>
      </c>
      <c r="F463">
        <v>101562.86125939294</v>
      </c>
      <c r="G463" s="82">
        <f>_xlfn.FORECAST.LINEAR(Table9[[#This Row],[Date]],Table9[Units_Sold],Table9[Date])</f>
        <v>99.614227592910368</v>
      </c>
      <c r="H463">
        <f t="shared" si="14"/>
        <v>7.3857724070896325</v>
      </c>
      <c r="I463" s="8">
        <f t="shared" si="15"/>
        <v>6.902591034663208E-2</v>
      </c>
    </row>
    <row r="464" spans="1:9">
      <c r="A464" s="53">
        <v>55865</v>
      </c>
      <c r="B464" t="str">
        <f>TEXT(Table9[[#This Row],[Date]], "mmm")</f>
        <v>Dec</v>
      </c>
      <c r="C464">
        <f>YEAR(Table9[[#This Row],[Date]])</f>
        <v>2052</v>
      </c>
      <c r="D464" t="s">
        <v>14</v>
      </c>
      <c r="E464" s="14">
        <v>97</v>
      </c>
      <c r="F464">
        <v>117232.72248995888</v>
      </c>
      <c r="G464" s="82">
        <f>_xlfn.FORECAST.LINEAR(Table9[[#This Row],[Date]],Table9[Units_Sold],Table9[Date])</f>
        <v>99.615391789567155</v>
      </c>
      <c r="H464">
        <f t="shared" si="14"/>
        <v>-2.6153917895671555</v>
      </c>
      <c r="I464" s="8">
        <f t="shared" si="15"/>
        <v>-2.6962801954300571E-2</v>
      </c>
    </row>
    <row r="465" spans="1:9">
      <c r="A465" s="54">
        <v>55895</v>
      </c>
      <c r="B465" t="str">
        <f>TEXT(Table9[[#This Row],[Date]], "mmm")</f>
        <v>Jan</v>
      </c>
      <c r="C465">
        <f>YEAR(Table9[[#This Row],[Date]])</f>
        <v>2053</v>
      </c>
      <c r="D465" t="s">
        <v>10</v>
      </c>
      <c r="E465" s="15">
        <v>106</v>
      </c>
      <c r="F465">
        <v>102781.20797306835</v>
      </c>
      <c r="G465" s="82">
        <f>_xlfn.FORECAST.LINEAR(Table9[[#This Row],[Date]],Table9[Units_Sold],Table9[Date])</f>
        <v>99.616555986223943</v>
      </c>
      <c r="H465">
        <f t="shared" si="14"/>
        <v>6.3834440137760566</v>
      </c>
      <c r="I465" s="8">
        <f t="shared" si="15"/>
        <v>6.0221169941283556E-2</v>
      </c>
    </row>
    <row r="466" spans="1:9">
      <c r="A466" s="53">
        <v>55925</v>
      </c>
      <c r="B466" t="str">
        <f>TEXT(Table9[[#This Row],[Date]], "mmm")</f>
        <v>Feb</v>
      </c>
      <c r="C466">
        <f>YEAR(Table9[[#This Row],[Date]])</f>
        <v>2053</v>
      </c>
      <c r="D466" t="s">
        <v>11</v>
      </c>
      <c r="E466" s="14">
        <v>110</v>
      </c>
      <c r="F466">
        <v>68460.070356180047</v>
      </c>
      <c r="G466" s="82">
        <f>_xlfn.FORECAST.LINEAR(Table9[[#This Row],[Date]],Table9[Units_Sold],Table9[Date])</f>
        <v>99.617720182880731</v>
      </c>
      <c r="H466">
        <f t="shared" si="14"/>
        <v>10.382279817119269</v>
      </c>
      <c r="I466" s="8">
        <f t="shared" si="15"/>
        <v>9.4384361973811531E-2</v>
      </c>
    </row>
    <row r="467" spans="1:9">
      <c r="A467" s="54">
        <v>55955</v>
      </c>
      <c r="B467" t="str">
        <f>TEXT(Table9[[#This Row],[Date]], "mmm")</f>
        <v>Mar</v>
      </c>
      <c r="C467">
        <f>YEAR(Table9[[#This Row],[Date]])</f>
        <v>2053</v>
      </c>
      <c r="D467" t="s">
        <v>13</v>
      </c>
      <c r="E467" s="15">
        <v>91</v>
      </c>
      <c r="F467">
        <v>83943.511120983152</v>
      </c>
      <c r="G467" s="82">
        <f>_xlfn.FORECAST.LINEAR(Table9[[#This Row],[Date]],Table9[Units_Sold],Table9[Date])</f>
        <v>99.618884379537505</v>
      </c>
      <c r="H467">
        <f t="shared" si="14"/>
        <v>-8.618884379537505</v>
      </c>
      <c r="I467" s="8">
        <f t="shared" si="15"/>
        <v>-9.4713015159752806E-2</v>
      </c>
    </row>
    <row r="468" spans="1:9">
      <c r="A468" s="53">
        <v>55985</v>
      </c>
      <c r="B468" t="str">
        <f>TEXT(Table9[[#This Row],[Date]], "mmm")</f>
        <v>Apr</v>
      </c>
      <c r="C468">
        <f>YEAR(Table9[[#This Row],[Date]])</f>
        <v>2053</v>
      </c>
      <c r="D468" t="s">
        <v>11</v>
      </c>
      <c r="E468" s="14">
        <v>103</v>
      </c>
      <c r="F468">
        <v>98520.542728112443</v>
      </c>
      <c r="G468" s="82">
        <f>_xlfn.FORECAST.LINEAR(Table9[[#This Row],[Date]],Table9[Units_Sold],Table9[Date])</f>
        <v>99.620048576194293</v>
      </c>
      <c r="H468">
        <f t="shared" si="14"/>
        <v>3.3799514238057071</v>
      </c>
      <c r="I468" s="8">
        <f t="shared" si="15"/>
        <v>3.2815062367045698E-2</v>
      </c>
    </row>
    <row r="469" spans="1:9">
      <c r="A469" s="54">
        <v>56015</v>
      </c>
      <c r="B469" t="str">
        <f>TEXT(Table9[[#This Row],[Date]], "mmm")</f>
        <v>May</v>
      </c>
      <c r="C469">
        <f>YEAR(Table9[[#This Row],[Date]])</f>
        <v>2053</v>
      </c>
      <c r="D469" t="s">
        <v>10</v>
      </c>
      <c r="E469" s="15">
        <v>84</v>
      </c>
      <c r="F469">
        <v>98486.687913483402</v>
      </c>
      <c r="G469" s="82">
        <f>_xlfn.FORECAST.LINEAR(Table9[[#This Row],[Date]],Table9[Units_Sold],Table9[Date])</f>
        <v>99.621212772851081</v>
      </c>
      <c r="H469">
        <f t="shared" si="14"/>
        <v>-15.621212772851081</v>
      </c>
      <c r="I469" s="8">
        <f t="shared" si="15"/>
        <v>-0.18596681872441762</v>
      </c>
    </row>
    <row r="470" spans="1:9">
      <c r="A470" s="53">
        <v>56045</v>
      </c>
      <c r="B470" t="str">
        <f>TEXT(Table9[[#This Row],[Date]], "mmm")</f>
        <v>Jun</v>
      </c>
      <c r="C470">
        <f>YEAR(Table9[[#This Row],[Date]])</f>
        <v>2053</v>
      </c>
      <c r="D470" t="s">
        <v>11</v>
      </c>
      <c r="E470" s="14">
        <v>93</v>
      </c>
      <c r="F470">
        <v>139450.84353579616</v>
      </c>
      <c r="G470" s="82">
        <f>_xlfn.FORECAST.LINEAR(Table9[[#This Row],[Date]],Table9[Units_Sold],Table9[Date])</f>
        <v>99.622376969507869</v>
      </c>
      <c r="H470">
        <f t="shared" si="14"/>
        <v>-6.6223769695078687</v>
      </c>
      <c r="I470" s="8">
        <f t="shared" si="15"/>
        <v>-7.1208354510837304E-2</v>
      </c>
    </row>
    <row r="471" spans="1:9">
      <c r="A471" s="54">
        <v>56075</v>
      </c>
      <c r="B471" t="str">
        <f>TEXT(Table9[[#This Row],[Date]], "mmm")</f>
        <v>Jul</v>
      </c>
      <c r="C471">
        <f>YEAR(Table9[[#This Row],[Date]])</f>
        <v>2053</v>
      </c>
      <c r="D471" t="s">
        <v>13</v>
      </c>
      <c r="E471" s="15">
        <v>113</v>
      </c>
      <c r="F471">
        <v>72280.24115202004</v>
      </c>
      <c r="G471" s="82">
        <f>_xlfn.FORECAST.LINEAR(Table9[[#This Row],[Date]],Table9[Units_Sold],Table9[Date])</f>
        <v>99.623541166164657</v>
      </c>
      <c r="H471">
        <f t="shared" si="14"/>
        <v>13.376458833835343</v>
      </c>
      <c r="I471" s="8">
        <f t="shared" si="15"/>
        <v>0.11837574189234817</v>
      </c>
    </row>
    <row r="472" spans="1:9">
      <c r="A472" s="53">
        <v>56105</v>
      </c>
      <c r="B472" t="str">
        <f>TEXT(Table9[[#This Row],[Date]], "mmm")</f>
        <v>Aug</v>
      </c>
      <c r="C472">
        <f>YEAR(Table9[[#This Row],[Date]])</f>
        <v>2053</v>
      </c>
      <c r="D472" t="s">
        <v>11</v>
      </c>
      <c r="E472" s="14">
        <v>105</v>
      </c>
      <c r="F472">
        <v>110111.78483671749</v>
      </c>
      <c r="G472" s="82">
        <f>_xlfn.FORECAST.LINEAR(Table9[[#This Row],[Date]],Table9[Units_Sold],Table9[Date])</f>
        <v>99.624705362821445</v>
      </c>
      <c r="H472">
        <f t="shared" si="14"/>
        <v>5.3752946371785555</v>
      </c>
      <c r="I472" s="8">
        <f t="shared" si="15"/>
        <v>5.1193282258843384E-2</v>
      </c>
    </row>
    <row r="473" spans="1:9">
      <c r="A473" s="54">
        <v>56135</v>
      </c>
      <c r="B473" t="str">
        <f>TEXT(Table9[[#This Row],[Date]], "mmm")</f>
        <v>Sep</v>
      </c>
      <c r="C473">
        <f>YEAR(Table9[[#This Row],[Date]])</f>
        <v>2053</v>
      </c>
      <c r="D473" t="s">
        <v>14</v>
      </c>
      <c r="E473" s="15">
        <v>83</v>
      </c>
      <c r="F473">
        <v>129782.26216656579</v>
      </c>
      <c r="G473" s="82">
        <f>_xlfn.FORECAST.LINEAR(Table9[[#This Row],[Date]],Table9[Units_Sold],Table9[Date])</f>
        <v>99.625869559478232</v>
      </c>
      <c r="H473">
        <f t="shared" si="14"/>
        <v>-16.625869559478232</v>
      </c>
      <c r="I473" s="8">
        <f t="shared" si="15"/>
        <v>-0.20031168143949676</v>
      </c>
    </row>
    <row r="474" spans="1:9">
      <c r="A474" s="53">
        <v>56165</v>
      </c>
      <c r="B474" t="str">
        <f>TEXT(Table9[[#This Row],[Date]], "mmm")</f>
        <v>Oct</v>
      </c>
      <c r="C474">
        <f>YEAR(Table9[[#This Row],[Date]])</f>
        <v>2053</v>
      </c>
      <c r="D474" t="s">
        <v>11</v>
      </c>
      <c r="E474" s="14">
        <v>96</v>
      </c>
      <c r="F474">
        <v>145428.99490845593</v>
      </c>
      <c r="G474" s="82">
        <f>_xlfn.FORECAST.LINEAR(Table9[[#This Row],[Date]],Table9[Units_Sold],Table9[Date])</f>
        <v>99.62703375613502</v>
      </c>
      <c r="H474">
        <f t="shared" si="14"/>
        <v>-3.6270337561350203</v>
      </c>
      <c r="I474" s="8">
        <f t="shared" si="15"/>
        <v>-3.7781601626406459E-2</v>
      </c>
    </row>
    <row r="475" spans="1:9">
      <c r="A475" s="54">
        <v>56195</v>
      </c>
      <c r="B475" t="str">
        <f>TEXT(Table9[[#This Row],[Date]], "mmm")</f>
        <v>Nov</v>
      </c>
      <c r="C475">
        <f>YEAR(Table9[[#This Row],[Date]])</f>
        <v>2053</v>
      </c>
      <c r="D475" t="s">
        <v>14</v>
      </c>
      <c r="E475" s="15">
        <v>107</v>
      </c>
      <c r="F475">
        <v>91912.051536320767</v>
      </c>
      <c r="G475" s="82">
        <f>_xlfn.FORECAST.LINEAR(Table9[[#This Row],[Date]],Table9[Units_Sold],Table9[Date])</f>
        <v>99.628197952791808</v>
      </c>
      <c r="H475">
        <f t="shared" si="14"/>
        <v>7.3718020472081918</v>
      </c>
      <c r="I475" s="8">
        <f t="shared" si="15"/>
        <v>6.8895346235590571E-2</v>
      </c>
    </row>
    <row r="476" spans="1:9">
      <c r="A476" s="53">
        <v>56225</v>
      </c>
      <c r="B476" t="str">
        <f>TEXT(Table9[[#This Row],[Date]], "mmm")</f>
        <v>Dec</v>
      </c>
      <c r="C476">
        <f>YEAR(Table9[[#This Row],[Date]])</f>
        <v>2053</v>
      </c>
      <c r="D476" t="s">
        <v>11</v>
      </c>
      <c r="E476" s="14">
        <v>83</v>
      </c>
      <c r="F476">
        <v>109828.589054404</v>
      </c>
      <c r="G476" s="82">
        <f>_xlfn.FORECAST.LINEAR(Table9[[#This Row],[Date]],Table9[Units_Sold],Table9[Date])</f>
        <v>99.629362149448596</v>
      </c>
      <c r="H476">
        <f t="shared" si="14"/>
        <v>-16.629362149448596</v>
      </c>
      <c r="I476" s="8">
        <f t="shared" si="15"/>
        <v>-0.20035376083673007</v>
      </c>
    </row>
    <row r="477" spans="1:9">
      <c r="A477" s="54">
        <v>56255</v>
      </c>
      <c r="B477" t="str">
        <f>TEXT(Table9[[#This Row],[Date]], "mmm")</f>
        <v>Jan</v>
      </c>
      <c r="C477">
        <f>YEAR(Table9[[#This Row],[Date]])</f>
        <v>2054</v>
      </c>
      <c r="D477" t="s">
        <v>13</v>
      </c>
      <c r="E477" s="15">
        <v>105</v>
      </c>
      <c r="F477">
        <v>111395.20714397293</v>
      </c>
      <c r="G477" s="82">
        <f>_xlfn.FORECAST.LINEAR(Table9[[#This Row],[Date]],Table9[Units_Sold],Table9[Date])</f>
        <v>99.630526346105384</v>
      </c>
      <c r="H477">
        <f t="shared" si="14"/>
        <v>5.3694736538946159</v>
      </c>
      <c r="I477" s="8">
        <f t="shared" si="15"/>
        <v>5.1137844322805867E-2</v>
      </c>
    </row>
    <row r="478" spans="1:9">
      <c r="A478" s="53">
        <v>56285</v>
      </c>
      <c r="B478" t="str">
        <f>TEXT(Table9[[#This Row],[Date]], "mmm")</f>
        <v>Feb</v>
      </c>
      <c r="C478">
        <f>YEAR(Table9[[#This Row],[Date]])</f>
        <v>2054</v>
      </c>
      <c r="D478" t="s">
        <v>12</v>
      </c>
      <c r="E478" s="14">
        <v>112</v>
      </c>
      <c r="F478">
        <v>103909.63463106581</v>
      </c>
      <c r="G478" s="82">
        <f>_xlfn.FORECAST.LINEAR(Table9[[#This Row],[Date]],Table9[Units_Sold],Table9[Date])</f>
        <v>99.631690542762158</v>
      </c>
      <c r="H478">
        <f t="shared" si="14"/>
        <v>12.368309457237842</v>
      </c>
      <c r="I478" s="8">
        <f t="shared" si="15"/>
        <v>0.11043133443962359</v>
      </c>
    </row>
    <row r="479" spans="1:9">
      <c r="A479" s="54">
        <v>56315</v>
      </c>
      <c r="B479" t="str">
        <f>TEXT(Table9[[#This Row],[Date]], "mmm")</f>
        <v>Mar</v>
      </c>
      <c r="C479">
        <f>YEAR(Table9[[#This Row],[Date]])</f>
        <v>2054</v>
      </c>
      <c r="D479" t="s">
        <v>12</v>
      </c>
      <c r="E479" s="15">
        <v>99</v>
      </c>
      <c r="F479">
        <v>98023.095975213873</v>
      </c>
      <c r="G479" s="82">
        <f>_xlfn.FORECAST.LINEAR(Table9[[#This Row],[Date]],Table9[Units_Sold],Table9[Date])</f>
        <v>99.632854739418946</v>
      </c>
      <c r="H479">
        <f t="shared" si="14"/>
        <v>-0.63285473941894566</v>
      </c>
      <c r="I479" s="8">
        <f t="shared" si="15"/>
        <v>-6.3924721153428852E-3</v>
      </c>
    </row>
    <row r="480" spans="1:9">
      <c r="A480" s="53">
        <v>56345</v>
      </c>
      <c r="B480" t="str">
        <f>TEXT(Table9[[#This Row],[Date]], "mmm")</f>
        <v>Apr</v>
      </c>
      <c r="C480">
        <f>YEAR(Table9[[#This Row],[Date]])</f>
        <v>2054</v>
      </c>
      <c r="D480" t="s">
        <v>14</v>
      </c>
      <c r="E480" s="14">
        <v>111</v>
      </c>
      <c r="F480">
        <v>108719.50779000092</v>
      </c>
      <c r="G480" s="82">
        <f>_xlfn.FORECAST.LINEAR(Table9[[#This Row],[Date]],Table9[Units_Sold],Table9[Date])</f>
        <v>99.634018936075734</v>
      </c>
      <c r="H480">
        <f t="shared" si="14"/>
        <v>11.365981063924266</v>
      </c>
      <c r="I480" s="8">
        <f t="shared" si="15"/>
        <v>0.10239622580111951</v>
      </c>
    </row>
    <row r="481" spans="1:9">
      <c r="A481" s="54">
        <v>56375</v>
      </c>
      <c r="B481" t="str">
        <f>TEXT(Table9[[#This Row],[Date]], "mmm")</f>
        <v>May</v>
      </c>
      <c r="C481">
        <f>YEAR(Table9[[#This Row],[Date]])</f>
        <v>2054</v>
      </c>
      <c r="D481" t="s">
        <v>14</v>
      </c>
      <c r="E481" s="15">
        <v>105</v>
      </c>
      <c r="F481">
        <v>49355.07829560629</v>
      </c>
      <c r="G481" s="82">
        <f>_xlfn.FORECAST.LINEAR(Table9[[#This Row],[Date]],Table9[Units_Sold],Table9[Date])</f>
        <v>99.635183132732521</v>
      </c>
      <c r="H481">
        <f t="shared" si="14"/>
        <v>5.3648168672674785</v>
      </c>
      <c r="I481" s="8">
        <f t="shared" si="15"/>
        <v>5.1093493973975987E-2</v>
      </c>
    </row>
    <row r="482" spans="1:9">
      <c r="A482" s="53">
        <v>56405</v>
      </c>
      <c r="B482" t="str">
        <f>TEXT(Table9[[#This Row],[Date]], "mmm")</f>
        <v>Jun</v>
      </c>
      <c r="C482">
        <f>YEAR(Table9[[#This Row],[Date]])</f>
        <v>2054</v>
      </c>
      <c r="D482" t="s">
        <v>12</v>
      </c>
      <c r="E482" s="14">
        <v>93</v>
      </c>
      <c r="F482">
        <v>113641.38980125263</v>
      </c>
      <c r="G482" s="82">
        <f>_xlfn.FORECAST.LINEAR(Table9[[#This Row],[Date]],Table9[Units_Sold],Table9[Date])</f>
        <v>99.636347329389309</v>
      </c>
      <c r="H482">
        <f t="shared" si="14"/>
        <v>-6.6363473293893094</v>
      </c>
      <c r="I482" s="8">
        <f t="shared" si="15"/>
        <v>-7.1358573434293651E-2</v>
      </c>
    </row>
    <row r="483" spans="1:9">
      <c r="A483" s="54">
        <v>56435</v>
      </c>
      <c r="B483" t="str">
        <f>TEXT(Table9[[#This Row],[Date]], "mmm")</f>
        <v>Jul</v>
      </c>
      <c r="C483">
        <f>YEAR(Table9[[#This Row],[Date]])</f>
        <v>2054</v>
      </c>
      <c r="D483" t="s">
        <v>13</v>
      </c>
      <c r="E483" s="15">
        <v>109</v>
      </c>
      <c r="F483">
        <v>102523.55807323934</v>
      </c>
      <c r="G483" s="82">
        <f>_xlfn.FORECAST.LINEAR(Table9[[#This Row],[Date]],Table9[Units_Sold],Table9[Date])</f>
        <v>99.637511526046097</v>
      </c>
      <c r="H483">
        <f t="shared" si="14"/>
        <v>9.3624884739539027</v>
      </c>
      <c r="I483" s="8">
        <f t="shared" si="15"/>
        <v>8.5894389669301865E-2</v>
      </c>
    </row>
    <row r="484" spans="1:9">
      <c r="A484" s="53">
        <v>56465</v>
      </c>
      <c r="B484" t="str">
        <f>TEXT(Table9[[#This Row],[Date]], "mmm")</f>
        <v>Aug</v>
      </c>
      <c r="C484">
        <f>YEAR(Table9[[#This Row],[Date]])</f>
        <v>2054</v>
      </c>
      <c r="D484" t="s">
        <v>13</v>
      </c>
      <c r="E484" s="14">
        <v>106</v>
      </c>
      <c r="F484">
        <v>95550.502064434695</v>
      </c>
      <c r="G484" s="82">
        <f>_xlfn.FORECAST.LINEAR(Table9[[#This Row],[Date]],Table9[Units_Sold],Table9[Date])</f>
        <v>99.638675722702885</v>
      </c>
      <c r="H484">
        <f t="shared" si="14"/>
        <v>6.3613242772971148</v>
      </c>
      <c r="I484" s="8">
        <f t="shared" si="15"/>
        <v>6.0012493182048252E-2</v>
      </c>
    </row>
    <row r="485" spans="1:9">
      <c r="A485" s="54">
        <v>56495</v>
      </c>
      <c r="B485" t="str">
        <f>TEXT(Table9[[#This Row],[Date]], "mmm")</f>
        <v>Sep</v>
      </c>
      <c r="C485">
        <f>YEAR(Table9[[#This Row],[Date]])</f>
        <v>2054</v>
      </c>
      <c r="D485" t="s">
        <v>11</v>
      </c>
      <c r="E485" s="15">
        <v>106</v>
      </c>
      <c r="F485">
        <v>140937.24391439115</v>
      </c>
      <c r="G485" s="82">
        <f>_xlfn.FORECAST.LINEAR(Table9[[#This Row],[Date]],Table9[Units_Sold],Table9[Date])</f>
        <v>99.639839919359673</v>
      </c>
      <c r="H485">
        <f t="shared" si="14"/>
        <v>6.3601600806403269</v>
      </c>
      <c r="I485" s="8">
        <f t="shared" si="15"/>
        <v>6.0001510194720067E-2</v>
      </c>
    </row>
    <row r="486" spans="1:9">
      <c r="A486" s="53">
        <v>56525</v>
      </c>
      <c r="B486" t="str">
        <f>TEXT(Table9[[#This Row],[Date]], "mmm")</f>
        <v>Oct</v>
      </c>
      <c r="C486">
        <f>YEAR(Table9[[#This Row],[Date]])</f>
        <v>2054</v>
      </c>
      <c r="D486" t="s">
        <v>14</v>
      </c>
      <c r="E486" s="14">
        <v>103</v>
      </c>
      <c r="F486">
        <v>86501.319624188953</v>
      </c>
      <c r="G486" s="82">
        <f>_xlfn.FORECAST.LINEAR(Table9[[#This Row],[Date]],Table9[Units_Sold],Table9[Date])</f>
        <v>99.641004116016461</v>
      </c>
      <c r="H486">
        <f t="shared" si="14"/>
        <v>3.358995883983539</v>
      </c>
      <c r="I486" s="8">
        <f t="shared" si="15"/>
        <v>3.2611610524112031E-2</v>
      </c>
    </row>
    <row r="487" spans="1:9">
      <c r="A487" s="54">
        <v>56555</v>
      </c>
      <c r="B487" t="str">
        <f>TEXT(Table9[[#This Row],[Date]], "mmm")</f>
        <v>Nov</v>
      </c>
      <c r="C487">
        <f>YEAR(Table9[[#This Row],[Date]])</f>
        <v>2054</v>
      </c>
      <c r="D487" t="s">
        <v>13</v>
      </c>
      <c r="E487" s="15">
        <v>113</v>
      </c>
      <c r="F487">
        <v>91938.480218699391</v>
      </c>
      <c r="G487" s="82">
        <f>_xlfn.FORECAST.LINEAR(Table9[[#This Row],[Date]],Table9[Units_Sold],Table9[Date])</f>
        <v>99.642168312673249</v>
      </c>
      <c r="H487">
        <f t="shared" si="14"/>
        <v>13.357831687326751</v>
      </c>
      <c r="I487" s="8">
        <f t="shared" si="15"/>
        <v>0.11821089988784736</v>
      </c>
    </row>
    <row r="488" spans="1:9">
      <c r="A488" s="53">
        <v>56585</v>
      </c>
      <c r="B488" t="str">
        <f>TEXT(Table9[[#This Row],[Date]], "mmm")</f>
        <v>Dec</v>
      </c>
      <c r="C488">
        <f>YEAR(Table9[[#This Row],[Date]])</f>
        <v>2054</v>
      </c>
      <c r="D488" t="s">
        <v>10</v>
      </c>
      <c r="E488" s="14">
        <v>111</v>
      </c>
      <c r="F488">
        <v>100873.2838</v>
      </c>
      <c r="G488" s="82">
        <f>_xlfn.FORECAST.LINEAR(Table9[[#This Row],[Date]],Table9[Units_Sold],Table9[Date])</f>
        <v>99.643332509330037</v>
      </c>
      <c r="H488">
        <f t="shared" si="14"/>
        <v>11.356667490669963</v>
      </c>
      <c r="I488" s="8">
        <f t="shared" si="15"/>
        <v>0.10231231973576543</v>
      </c>
    </row>
    <row r="489" spans="1:9">
      <c r="A489" s="54">
        <v>56615</v>
      </c>
      <c r="B489" t="str">
        <f>TEXT(Table9[[#This Row],[Date]], "mmm")</f>
        <v>Jan</v>
      </c>
      <c r="C489">
        <f>YEAR(Table9[[#This Row],[Date]])</f>
        <v>2055</v>
      </c>
      <c r="D489" t="s">
        <v>11</v>
      </c>
      <c r="E489" s="15">
        <f>IF(ISBLANK(E442), S443, E442)</f>
        <v>92</v>
      </c>
      <c r="F489">
        <f>IF(ISBLANK(F480), K491, F480)</f>
        <v>108719.50779000092</v>
      </c>
      <c r="G489" s="82">
        <f>_xlfn.FORECAST.LINEAR(Table9[[#This Row],[Date]],Table9[Units_Sold],Table9[Date])</f>
        <v>99.644496705986811</v>
      </c>
      <c r="H489">
        <f t="shared" si="14"/>
        <v>-7.6444967059868105</v>
      </c>
      <c r="I489" s="8">
        <f t="shared" si="15"/>
        <v>-8.3092355499856635E-2</v>
      </c>
    </row>
    <row r="490" spans="1:9">
      <c r="A490" s="53">
        <v>56645</v>
      </c>
      <c r="B490" t="str">
        <f>TEXT(Table9[[#This Row],[Date]], "mmm")</f>
        <v>Jan</v>
      </c>
      <c r="C490">
        <f>YEAR(Table9[[#This Row],[Date]])</f>
        <v>2055</v>
      </c>
      <c r="D490" t="s">
        <v>11</v>
      </c>
      <c r="E490" s="14">
        <v>89</v>
      </c>
      <c r="F490">
        <v>88997.69434126922</v>
      </c>
      <c r="G490" s="82">
        <f>_xlfn.FORECAST.LINEAR(Table9[[#This Row],[Date]],Table9[Units_Sold],Table9[Date])</f>
        <v>99.645660902643598</v>
      </c>
      <c r="H490">
        <f t="shared" si="14"/>
        <v>-10.645660902643598</v>
      </c>
      <c r="I490" s="8">
        <f t="shared" si="15"/>
        <v>-0.11961416744543368</v>
      </c>
    </row>
    <row r="491" spans="1:9">
      <c r="A491" s="54">
        <v>56675</v>
      </c>
      <c r="B491" t="str">
        <f>TEXT(Table9[[#This Row],[Date]], "mmm")</f>
        <v>Mar</v>
      </c>
      <c r="C491">
        <f>YEAR(Table9[[#This Row],[Date]])</f>
        <v>2055</v>
      </c>
      <c r="D491" t="s">
        <v>12</v>
      </c>
      <c r="E491" s="15">
        <v>111</v>
      </c>
      <c r="F491">
        <v>97059.491531382999</v>
      </c>
      <c r="G491" s="82">
        <f>_xlfn.FORECAST.LINEAR(Table9[[#This Row],[Date]],Table9[Units_Sold],Table9[Date])</f>
        <v>99.646825099300386</v>
      </c>
      <c r="H491">
        <f t="shared" si="14"/>
        <v>11.353174900699614</v>
      </c>
      <c r="I491" s="8">
        <f t="shared" si="15"/>
        <v>0.10228085496125779</v>
      </c>
    </row>
    <row r="492" spans="1:9">
      <c r="A492" s="53">
        <v>56705</v>
      </c>
      <c r="B492" t="str">
        <f>TEXT(Table9[[#This Row],[Date]], "mmm")</f>
        <v>Apr</v>
      </c>
      <c r="C492">
        <f>YEAR(Table9[[#This Row],[Date]])</f>
        <v>2055</v>
      </c>
      <c r="D492" t="s">
        <v>14</v>
      </c>
      <c r="E492" s="14">
        <v>104</v>
      </c>
      <c r="F492">
        <v>100873.2838</v>
      </c>
      <c r="G492" s="82">
        <f>_xlfn.FORECAST.LINEAR(Table9[[#This Row],[Date]],Table9[Units_Sold],Table9[Date])</f>
        <v>99.647989295957174</v>
      </c>
      <c r="H492">
        <f t="shared" si="14"/>
        <v>4.3520107040428258</v>
      </c>
      <c r="I492" s="8">
        <f t="shared" si="15"/>
        <v>4.1846256769642556E-2</v>
      </c>
    </row>
    <row r="493" spans="1:9">
      <c r="A493" s="54">
        <v>56735</v>
      </c>
      <c r="B493" t="str">
        <f>TEXT(Table9[[#This Row],[Date]], "mmm")</f>
        <v>May</v>
      </c>
      <c r="C493">
        <f>YEAR(Table9[[#This Row],[Date]])</f>
        <v>2055</v>
      </c>
      <c r="D493" t="s">
        <v>13</v>
      </c>
      <c r="E493" s="15">
        <f>IF(ISBLANK(E446), S447, E446)</f>
        <v>108</v>
      </c>
      <c r="F493">
        <v>104156.05014706627</v>
      </c>
      <c r="G493" s="82">
        <f>_xlfn.FORECAST.LINEAR(Table9[[#This Row],[Date]],Table9[Units_Sold],Table9[Date])</f>
        <v>99.649153492613962</v>
      </c>
      <c r="H493">
        <f t="shared" si="14"/>
        <v>8.3508465073860378</v>
      </c>
      <c r="I493" s="8">
        <f t="shared" si="15"/>
        <v>7.7322652846167017E-2</v>
      </c>
    </row>
    <row r="494" spans="1:9">
      <c r="A494" s="53">
        <v>56765</v>
      </c>
      <c r="B494" t="str">
        <f>TEXT(Table9[[#This Row],[Date]], "mmm")</f>
        <v>May</v>
      </c>
      <c r="C494">
        <f>YEAR(Table9[[#This Row],[Date]])</f>
        <v>2055</v>
      </c>
      <c r="D494" t="s">
        <v>13</v>
      </c>
      <c r="E494" s="14">
        <v>109</v>
      </c>
      <c r="F494">
        <v>74147.493056954743</v>
      </c>
      <c r="G494" s="82">
        <f>_xlfn.FORECAST.LINEAR(Table9[[#This Row],[Date]],Table9[Units_Sold],Table9[Date])</f>
        <v>99.65031768927075</v>
      </c>
      <c r="H494">
        <f t="shared" si="14"/>
        <v>9.3496823107292499</v>
      </c>
      <c r="I494" s="8">
        <f t="shared" si="15"/>
        <v>8.5776901933295874E-2</v>
      </c>
    </row>
    <row r="495" spans="1:9">
      <c r="A495" s="54">
        <v>56795</v>
      </c>
      <c r="B495" t="str">
        <f>TEXT(Table9[[#This Row],[Date]], "mmm")</f>
        <v>Jun</v>
      </c>
      <c r="C495">
        <f>YEAR(Table9[[#This Row],[Date]])</f>
        <v>2055</v>
      </c>
      <c r="D495" t="s">
        <v>11</v>
      </c>
      <c r="E495" s="15">
        <v>108</v>
      </c>
      <c r="F495">
        <v>89356.628737456209</v>
      </c>
      <c r="G495" s="82">
        <f>_xlfn.FORECAST.LINEAR(Table9[[#This Row],[Date]],Table9[Units_Sold],Table9[Date])</f>
        <v>99.651481885927538</v>
      </c>
      <c r="H495">
        <f t="shared" si="14"/>
        <v>8.348518114072462</v>
      </c>
      <c r="I495" s="8">
        <f t="shared" si="15"/>
        <v>7.7301093648819097E-2</v>
      </c>
    </row>
    <row r="496" spans="1:9">
      <c r="A496" s="53">
        <v>56825</v>
      </c>
      <c r="B496" t="str">
        <f>TEXT(Table9[[#This Row],[Date]], "mmm")</f>
        <v>Jul</v>
      </c>
      <c r="C496">
        <f>YEAR(Table9[[#This Row],[Date]])</f>
        <v>2055</v>
      </c>
      <c r="D496" t="s">
        <v>14</v>
      </c>
      <c r="E496" s="14">
        <v>127</v>
      </c>
      <c r="F496">
        <v>87852.91133575578</v>
      </c>
      <c r="G496" s="82">
        <f>_xlfn.FORECAST.LINEAR(Table9[[#This Row],[Date]],Table9[Units_Sold],Table9[Date])</f>
        <v>99.652646082584326</v>
      </c>
      <c r="H496">
        <f t="shared" si="14"/>
        <v>27.347353917415674</v>
      </c>
      <c r="I496" s="8">
        <f t="shared" si="15"/>
        <v>0.21533349541272184</v>
      </c>
    </row>
    <row r="497" spans="1:9">
      <c r="A497" s="54">
        <v>56855</v>
      </c>
      <c r="B497" t="str">
        <f>TEXT(Table9[[#This Row],[Date]], "mmm")</f>
        <v>Aug</v>
      </c>
      <c r="C497">
        <f>YEAR(Table9[[#This Row],[Date]])</f>
        <v>2055</v>
      </c>
      <c r="D497" t="s">
        <v>14</v>
      </c>
      <c r="E497" s="15">
        <v>104</v>
      </c>
      <c r="F497">
        <v>98455.579095539084</v>
      </c>
      <c r="G497" s="82">
        <f>_xlfn.FORECAST.LINEAR(Table9[[#This Row],[Date]],Table9[Units_Sold],Table9[Date])</f>
        <v>99.653810279241114</v>
      </c>
      <c r="H497">
        <f t="shared" si="14"/>
        <v>4.3461897207588862</v>
      </c>
      <c r="I497" s="8">
        <f t="shared" si="15"/>
        <v>4.1790285776527755E-2</v>
      </c>
    </row>
    <row r="498" spans="1:9">
      <c r="A498" s="53">
        <v>56885</v>
      </c>
      <c r="B498" t="str">
        <f>TEXT(Table9[[#This Row],[Date]], "mmm")</f>
        <v>Sep</v>
      </c>
      <c r="C498">
        <f>YEAR(Table9[[#This Row],[Date]])</f>
        <v>2055</v>
      </c>
      <c r="D498" t="s">
        <v>14</v>
      </c>
      <c r="E498" s="14">
        <v>106</v>
      </c>
      <c r="F498">
        <v>108516.87317259658</v>
      </c>
      <c r="G498" s="82">
        <f>_xlfn.FORECAST.LINEAR(Table9[[#This Row],[Date]],Table9[Units_Sold],Table9[Date])</f>
        <v>99.654974475897902</v>
      </c>
      <c r="H498">
        <f t="shared" si="14"/>
        <v>6.3450255241020983</v>
      </c>
      <c r="I498" s="8">
        <f t="shared" si="15"/>
        <v>5.9858731359453757E-2</v>
      </c>
    </row>
    <row r="499" spans="1:9">
      <c r="A499" s="54">
        <v>56915</v>
      </c>
      <c r="B499" t="str">
        <f>TEXT(Table9[[#This Row],[Date]], "mmm")</f>
        <v>Oct</v>
      </c>
      <c r="C499">
        <f>YEAR(Table9[[#This Row],[Date]])</f>
        <v>2055</v>
      </c>
      <c r="D499" t="s">
        <v>12</v>
      </c>
      <c r="E499" s="15">
        <v>94</v>
      </c>
      <c r="F499">
        <v>108364.11511775944</v>
      </c>
      <c r="G499" s="82">
        <f>_xlfn.FORECAST.LINEAR(Table9[[#This Row],[Date]],Table9[Units_Sold],Table9[Date])</f>
        <v>99.65613867255469</v>
      </c>
      <c r="H499">
        <f t="shared" si="14"/>
        <v>-5.6561386725546896</v>
      </c>
      <c r="I499" s="8">
        <f t="shared" si="15"/>
        <v>-6.0171688005900954E-2</v>
      </c>
    </row>
    <row r="500" spans="1:9">
      <c r="A500" s="53">
        <v>56945</v>
      </c>
      <c r="B500" t="str">
        <f>TEXT(Table9[[#This Row],[Date]], "mmm")</f>
        <v>Nov</v>
      </c>
      <c r="C500">
        <f>YEAR(Table9[[#This Row],[Date]])</f>
        <v>2055</v>
      </c>
      <c r="D500" t="s">
        <v>13</v>
      </c>
      <c r="E500" s="14">
        <v>81</v>
      </c>
      <c r="F500">
        <v>64479.764919031957</v>
      </c>
      <c r="G500" s="82">
        <f>_xlfn.FORECAST.LINEAR(Table9[[#This Row],[Date]],Table9[Units_Sold],Table9[Date])</f>
        <v>99.657302869211463</v>
      </c>
      <c r="H500">
        <f t="shared" si="14"/>
        <v>-18.657302869211463</v>
      </c>
      <c r="I500" s="8">
        <f t="shared" si="15"/>
        <v>-0.23033707245940077</v>
      </c>
    </row>
    <row r="501" spans="1:9">
      <c r="A501" s="54">
        <v>56975</v>
      </c>
      <c r="B501" t="str">
        <f>TEXT(Table9[[#This Row],[Date]], "mmm")</f>
        <v>Dec</v>
      </c>
      <c r="C501">
        <f>YEAR(Table9[[#This Row],[Date]])</f>
        <v>2055</v>
      </c>
      <c r="D501" t="s">
        <v>14</v>
      </c>
      <c r="E501" s="15">
        <v>95</v>
      </c>
      <c r="F501">
        <v>121278.81975121712</v>
      </c>
      <c r="G501" s="82">
        <f>_xlfn.FORECAST.LINEAR(Table9[[#This Row],[Date]],Table9[Units_Sold],Table9[Date])</f>
        <v>99.658467065868251</v>
      </c>
      <c r="H501">
        <f t="shared" si="14"/>
        <v>-4.6584670658682512</v>
      </c>
      <c r="I501" s="8">
        <f t="shared" si="15"/>
        <v>-4.9036495430192117E-2</v>
      </c>
    </row>
  </sheetData>
  <conditionalFormatting sqref="A1:A501">
    <cfRule type="containsBlanks" dxfId="23" priority="7">
      <formula>LEN(TRIM(A1))=0</formula>
    </cfRule>
  </conditionalFormatting>
  <conditionalFormatting sqref="D1:D501">
    <cfRule type="containsBlanks" dxfId="22" priority="3">
      <formula>LEN(TRIM(D1))=0</formula>
    </cfRule>
  </conditionalFormatting>
  <conditionalFormatting sqref="E1:E501">
    <cfRule type="cellIs" dxfId="21" priority="5" operator="greaterThan">
      <formula>127</formula>
    </cfRule>
    <cfRule type="containsBlanks" dxfId="20" priority="6">
      <formula>LEN(TRIM(E1))=0</formula>
    </cfRule>
  </conditionalFormatting>
  <conditionalFormatting sqref="E2:E501">
    <cfRule type="cellIs" dxfId="19" priority="4" operator="notBetween">
      <formula>75</formula>
      <formula>127</formula>
    </cfRule>
  </conditionalFormatting>
  <conditionalFormatting sqref="F1:F501">
    <cfRule type="containsBlanks" dxfId="18" priority="2">
      <formula>LEN(TRIM(F1))=0</formula>
    </cfRule>
  </conditionalFormatting>
  <conditionalFormatting sqref="F2:F501">
    <cfRule type="cellIs" dxfId="17" priority="1" operator="greaterThan">
      <formula>157368.0611</formula>
    </cfRule>
  </conditionalFormatting>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64E49-F22E-4D02-A61C-11F94501AB01}">
  <sheetPr codeName="Sheet16"/>
  <dimension ref="A3:B8"/>
  <sheetViews>
    <sheetView workbookViewId="0">
      <selection activeCell="S14" sqref="S14"/>
    </sheetView>
  </sheetViews>
  <sheetFormatPr defaultRowHeight="14.4"/>
  <cols>
    <col min="1" max="1" width="12.5546875" bestFit="1" customWidth="1"/>
    <col min="2" max="2" width="16.5546875" bestFit="1" customWidth="1"/>
    <col min="3" max="5" width="6" bestFit="1" customWidth="1"/>
    <col min="6" max="6" width="10.77734375" bestFit="1" customWidth="1"/>
  </cols>
  <sheetData>
    <row r="3" spans="1:2">
      <c r="A3" s="3" t="s">
        <v>37</v>
      </c>
      <c r="B3" t="s">
        <v>39</v>
      </c>
    </row>
    <row r="4" spans="1:2">
      <c r="A4" s="4" t="s">
        <v>13</v>
      </c>
      <c r="B4">
        <v>266</v>
      </c>
    </row>
    <row r="5" spans="1:2">
      <c r="A5" s="4" t="s">
        <v>11</v>
      </c>
      <c r="B5">
        <v>523</v>
      </c>
    </row>
    <row r="6" spans="1:2">
      <c r="A6" s="4" t="s">
        <v>12</v>
      </c>
      <c r="B6">
        <v>1184</v>
      </c>
    </row>
    <row r="7" spans="1:2">
      <c r="A7" s="4" t="s">
        <v>14</v>
      </c>
      <c r="B7">
        <v>92</v>
      </c>
    </row>
    <row r="8" spans="1:2">
      <c r="A8" s="4" t="s">
        <v>38</v>
      </c>
      <c r="B8">
        <v>2065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72271-52C4-486D-9936-E0C0ECE3A008}">
  <sheetPr codeName="Sheet18"/>
  <dimension ref="A3:B16"/>
  <sheetViews>
    <sheetView workbookViewId="0">
      <selection activeCell="K20" sqref="K20"/>
    </sheetView>
  </sheetViews>
  <sheetFormatPr defaultRowHeight="14.4"/>
  <cols>
    <col min="1" max="1" width="12.5546875" bestFit="1" customWidth="1"/>
    <col min="2" max="2" width="16.5546875" bestFit="1" customWidth="1"/>
  </cols>
  <sheetData>
    <row r="3" spans="1:2">
      <c r="A3" s="3" t="s">
        <v>37</v>
      </c>
      <c r="B3" t="s">
        <v>39</v>
      </c>
    </row>
    <row r="4" spans="1:2">
      <c r="A4" s="4" t="s">
        <v>66</v>
      </c>
      <c r="B4">
        <v>87</v>
      </c>
    </row>
    <row r="5" spans="1:2">
      <c r="A5" s="4" t="s">
        <v>67</v>
      </c>
      <c r="B5">
        <v>90</v>
      </c>
    </row>
    <row r="6" spans="1:2">
      <c r="A6" s="4" t="s">
        <v>68</v>
      </c>
      <c r="B6">
        <v>89</v>
      </c>
    </row>
    <row r="7" spans="1:2">
      <c r="A7" s="4" t="s">
        <v>69</v>
      </c>
      <c r="B7">
        <v>105</v>
      </c>
    </row>
    <row r="8" spans="1:2">
      <c r="A8" s="4" t="s">
        <v>65</v>
      </c>
      <c r="B8">
        <v>96</v>
      </c>
    </row>
    <row r="9" spans="1:2">
      <c r="A9" s="4" t="s">
        <v>70</v>
      </c>
      <c r="B9">
        <v>97</v>
      </c>
    </row>
    <row r="10" spans="1:2">
      <c r="A10" s="4" t="s">
        <v>71</v>
      </c>
      <c r="B10">
        <v>98</v>
      </c>
    </row>
    <row r="11" spans="1:2">
      <c r="A11" s="4" t="s">
        <v>72</v>
      </c>
      <c r="B11">
        <v>990</v>
      </c>
    </row>
    <row r="12" spans="1:2">
      <c r="A12" s="4" t="s">
        <v>73</v>
      </c>
      <c r="B12">
        <v>108</v>
      </c>
    </row>
    <row r="13" spans="1:2">
      <c r="A13" s="4" t="s">
        <v>74</v>
      </c>
      <c r="B13">
        <v>92</v>
      </c>
    </row>
    <row r="14" spans="1:2">
      <c r="A14" s="4" t="s">
        <v>75</v>
      </c>
      <c r="B14">
        <v>97</v>
      </c>
    </row>
    <row r="15" spans="1:2">
      <c r="A15" s="4" t="s">
        <v>76</v>
      </c>
      <c r="B15">
        <v>116</v>
      </c>
    </row>
    <row r="16" spans="1:2">
      <c r="A16" s="4" t="s">
        <v>38</v>
      </c>
      <c r="B16">
        <v>2065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E1855-94C9-46BD-A928-4E2BD23D4DF5}">
  <dimension ref="D3:N5"/>
  <sheetViews>
    <sheetView workbookViewId="0">
      <selection activeCell="R12" sqref="R12"/>
    </sheetView>
  </sheetViews>
  <sheetFormatPr defaultRowHeight="14.4"/>
  <cols>
    <col min="1" max="4" width="8.88671875" style="32"/>
    <col min="5" max="5" width="14.5546875" style="32" customWidth="1"/>
    <col min="6" max="8" width="8.88671875" style="32"/>
    <col min="9" max="9" width="17.6640625" style="32" customWidth="1"/>
    <col min="10" max="16384" width="8.88671875" style="32"/>
  </cols>
  <sheetData>
    <row r="3" spans="4:14" ht="25.8">
      <c r="F3" s="98" t="s">
        <v>387</v>
      </c>
      <c r="G3" s="98"/>
      <c r="H3" s="98"/>
      <c r="I3" s="98"/>
      <c r="J3" s="70"/>
      <c r="K3" s="70"/>
      <c r="L3" s="145"/>
    </row>
    <row r="5" spans="4:14" ht="18">
      <c r="D5" s="128" t="s">
        <v>388</v>
      </c>
      <c r="E5" s="17"/>
      <c r="F5" s="18" t="str">
        <f>INDEX(automotive_demand_forecasting_dataset567[Month],MATCH(MAX(automotive_demand_forecasting_dataset567[Units_Sold]),automotive_demand_forecasting_dataset567[Units_Sold],0))</f>
        <v>April</v>
      </c>
      <c r="H5" s="144" t="s">
        <v>389</v>
      </c>
      <c r="I5" s="84"/>
      <c r="J5" s="18">
        <f ca="1">SUMIFS(automotive_demand_forecasting_dataset567[Units_Sold],automotive_demand_forecasting_dataset567[Date], "&gt;=01-01-"&amp;YEAR(TODAY()))</f>
        <v>37417</v>
      </c>
      <c r="L5" s="130" t="s">
        <v>390</v>
      </c>
      <c r="M5" s="130"/>
      <c r="N5" s="18">
        <f ca="1">AVERAGEIFS(automotive_demand_forecasting_dataset567[Units_Sold],automotive_demand_forecasting_dataset567[Date], "&lt;="&amp;TODAY())</f>
        <v>100.10852713178295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C354-0EC2-47C9-9B71-9334E3F32E1B}">
  <dimension ref="B2:L2"/>
  <sheetViews>
    <sheetView workbookViewId="0">
      <selection activeCell="J2" sqref="J2:L2"/>
    </sheetView>
  </sheetViews>
  <sheetFormatPr defaultRowHeight="14.4"/>
  <cols>
    <col min="3" max="3" width="14.109375" customWidth="1"/>
    <col min="7" max="7" width="17.77734375" customWidth="1"/>
    <col min="11" max="11" width="15.88671875" customWidth="1"/>
  </cols>
  <sheetData>
    <row r="2" spans="2:12" ht="18">
      <c r="B2" s="128" t="s">
        <v>388</v>
      </c>
      <c r="C2" s="17"/>
      <c r="D2" s="18" t="str">
        <f>INDEX(automotive_demand_forecasting_dataset567[Month],MATCH(MAX(automotive_demand_forecasting_dataset567[Units_Sold]),automotive_demand_forecasting_dataset567[Units_Sold],0))</f>
        <v>April</v>
      </c>
      <c r="F2" s="144" t="s">
        <v>389</v>
      </c>
      <c r="G2" s="84"/>
      <c r="H2" s="18">
        <f ca="1">SUMIFS(automotive_demand_forecasting_dataset567[Units_Sold],automotive_demand_forecasting_dataset567[Date], "&gt;=01-01-"&amp;YEAR(TODAY()))</f>
        <v>37417</v>
      </c>
      <c r="J2" s="130" t="s">
        <v>390</v>
      </c>
      <c r="K2" s="130"/>
      <c r="L2" s="18">
        <f ca="1">AVERAGEIFS(automotive_demand_forecasting_dataset567[Units_Sold],automotive_demand_forecasting_dataset567[Date], "&lt;="&amp;TODAY())</f>
        <v>100.10852713178295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06701-354B-4812-B94D-7ECC58703CCD}">
  <sheetPr codeName="Sheet19"/>
  <dimension ref="A3:B8"/>
  <sheetViews>
    <sheetView workbookViewId="0">
      <selection activeCell="O11" sqref="O11"/>
    </sheetView>
  </sheetViews>
  <sheetFormatPr defaultRowHeight="14.4"/>
  <cols>
    <col min="1" max="1" width="12.5546875" bestFit="1" customWidth="1"/>
    <col min="2" max="2" width="22.77734375" bestFit="1" customWidth="1"/>
    <col min="3" max="3" width="29.6640625" bestFit="1" customWidth="1"/>
  </cols>
  <sheetData>
    <row r="3" spans="1:2">
      <c r="A3" s="3" t="s">
        <v>37</v>
      </c>
      <c r="B3" t="s">
        <v>77</v>
      </c>
    </row>
    <row r="4" spans="1:2">
      <c r="A4" s="4" t="s">
        <v>13</v>
      </c>
      <c r="B4">
        <v>276295.1759068782</v>
      </c>
    </row>
    <row r="5" spans="1:2">
      <c r="A5" s="4" t="s">
        <v>11</v>
      </c>
      <c r="B5">
        <v>438468.35721697565</v>
      </c>
    </row>
    <row r="6" spans="1:2">
      <c r="A6" s="4" t="s">
        <v>12</v>
      </c>
      <c r="B6">
        <v>381211.150072861</v>
      </c>
    </row>
    <row r="7" spans="1:2">
      <c r="A7" s="4" t="s">
        <v>14</v>
      </c>
      <c r="B7">
        <v>100249.986438145</v>
      </c>
    </row>
    <row r="8" spans="1:2">
      <c r="A8" s="4" t="s">
        <v>38</v>
      </c>
      <c r="B8">
        <v>1196224.6696348598</v>
      </c>
    </row>
  </sheetData>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47C21-B900-4F53-B26E-C69EDC8933F2}">
  <sheetPr codeName="Sheet20"/>
  <dimension ref="A3:B6"/>
  <sheetViews>
    <sheetView workbookViewId="0">
      <selection activeCell="G26" sqref="G26"/>
    </sheetView>
  </sheetViews>
  <sheetFormatPr defaultRowHeight="14.4"/>
  <cols>
    <col min="1" max="1" width="12.5546875" bestFit="1" customWidth="1"/>
    <col min="2" max="2" width="19.77734375" bestFit="1" customWidth="1"/>
  </cols>
  <sheetData>
    <row r="3" spans="1:2">
      <c r="A3" s="3" t="s">
        <v>37</v>
      </c>
      <c r="B3" t="s">
        <v>79</v>
      </c>
    </row>
    <row r="4" spans="1:2">
      <c r="A4" s="4" t="s">
        <v>44</v>
      </c>
      <c r="B4">
        <v>97</v>
      </c>
    </row>
    <row r="5" spans="1:2">
      <c r="A5" s="4" t="s">
        <v>43</v>
      </c>
      <c r="B5">
        <v>543.5</v>
      </c>
    </row>
    <row r="6" spans="1:2">
      <c r="A6" s="4" t="s">
        <v>38</v>
      </c>
      <c r="B6">
        <v>394.66666666666669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29126-DE19-443F-8C5C-F52F9F99FD51}">
  <sheetPr codeName="Sheet21"/>
  <dimension ref="A3:D503"/>
  <sheetViews>
    <sheetView workbookViewId="0">
      <selection activeCell="H7" sqref="H7"/>
    </sheetView>
  </sheetViews>
  <sheetFormatPr defaultRowHeight="14.4"/>
  <cols>
    <col min="1" max="1" width="12.5546875" bestFit="1" customWidth="1"/>
    <col min="2" max="2" width="22.88671875" bestFit="1" customWidth="1"/>
    <col min="3" max="3" width="16.5546875" bestFit="1" customWidth="1"/>
    <col min="4" max="100" width="22.88671875" bestFit="1" customWidth="1"/>
    <col min="101" max="101" width="27.6640625" bestFit="1" customWidth="1"/>
    <col min="102" max="102" width="21.44140625" bestFit="1" customWidth="1"/>
  </cols>
  <sheetData>
    <row r="3" spans="1:4">
      <c r="A3" s="3" t="s">
        <v>37</v>
      </c>
      <c r="B3" t="s">
        <v>78</v>
      </c>
      <c r="C3" s="16" t="s">
        <v>2</v>
      </c>
      <c r="D3" s="16" t="s">
        <v>3</v>
      </c>
    </row>
    <row r="4" spans="1:4">
      <c r="A4" s="4">
        <v>87</v>
      </c>
      <c r="B4">
        <v>23150.985102104612</v>
      </c>
      <c r="C4" s="14">
        <v>96</v>
      </c>
      <c r="D4" s="14">
        <v>27205.390763642099</v>
      </c>
    </row>
    <row r="5" spans="1:4">
      <c r="A5" s="4">
        <v>89</v>
      </c>
      <c r="B5">
        <v>42898.546688271592</v>
      </c>
      <c r="C5" s="15">
        <v>107</v>
      </c>
      <c r="D5" s="15">
        <v>31886.059375322606</v>
      </c>
    </row>
    <row r="6" spans="1:4">
      <c r="A6" s="4">
        <v>90</v>
      </c>
      <c r="B6">
        <v>29558.589758243725</v>
      </c>
      <c r="C6" s="14">
        <v>88</v>
      </c>
      <c r="D6" s="14">
        <f>IF(ISBLANK(D4), M7, D4)</f>
        <v>27205.390763642099</v>
      </c>
    </row>
    <row r="7" spans="1:4">
      <c r="A7" s="4">
        <v>92</v>
      </c>
      <c r="B7">
        <v>28104.361295062565</v>
      </c>
      <c r="C7" s="15">
        <v>103</v>
      </c>
      <c r="D7" s="15">
        <v>29671.248694635098</v>
      </c>
    </row>
    <row r="8" spans="1:4">
      <c r="A8" s="4">
        <v>96</v>
      </c>
      <c r="B8">
        <v>38195.584027220335</v>
      </c>
      <c r="C8" s="14">
        <v>111</v>
      </c>
      <c r="D8" s="14">
        <v>27224.002366534009</v>
      </c>
    </row>
    <row r="9" spans="1:4">
      <c r="A9" s="4">
        <v>97</v>
      </c>
      <c r="B9">
        <v>33685.301134935195</v>
      </c>
      <c r="C9" s="15">
        <v>90</v>
      </c>
      <c r="D9" s="15">
        <v>39405.785347202953</v>
      </c>
    </row>
    <row r="10" spans="1:4">
      <c r="A10" s="4">
        <v>98</v>
      </c>
      <c r="B10">
        <v>27232.058791460026</v>
      </c>
      <c r="C10" s="14">
        <v>94</v>
      </c>
      <c r="D10" s="14">
        <v>22759.93049791878</v>
      </c>
    </row>
    <row r="11" spans="1:4">
      <c r="A11" s="4">
        <v>105</v>
      </c>
      <c r="B11">
        <v>25981.627160151347</v>
      </c>
      <c r="C11" s="15">
        <v>98</v>
      </c>
      <c r="D11" s="15">
        <v>19005.97021689959</v>
      </c>
    </row>
    <row r="12" spans="1:4">
      <c r="A12" s="4">
        <v>108</v>
      </c>
      <c r="B12">
        <v>38141.983115642688</v>
      </c>
      <c r="C12" s="14">
        <v>103</v>
      </c>
      <c r="D12" s="14">
        <v>32200.072250266661</v>
      </c>
    </row>
    <row r="13" spans="1:4">
      <c r="A13" s="4">
        <v>116</v>
      </c>
      <c r="B13">
        <v>27091.595430256781</v>
      </c>
      <c r="C13" s="15">
        <v>94</v>
      </c>
      <c r="D13" s="15">
        <v>27489.728878236943</v>
      </c>
    </row>
    <row r="14" spans="1:4">
      <c r="A14" s="4">
        <v>990</v>
      </c>
      <c r="B14">
        <v>32844.915395926379</v>
      </c>
      <c r="C14" s="14">
        <v>99</v>
      </c>
      <c r="D14" s="14">
        <v>24893.835914346433</v>
      </c>
    </row>
    <row r="15" spans="1:4">
      <c r="A15" s="4" t="s">
        <v>38</v>
      </c>
      <c r="B15">
        <v>31714.23741951754</v>
      </c>
      <c r="C15" s="15">
        <v>90</v>
      </c>
      <c r="D15" s="15">
        <v>33541.782236496765</v>
      </c>
    </row>
    <row r="16" spans="1:4">
      <c r="C16" s="14">
        <v>100</v>
      </c>
      <c r="D16" s="14">
        <v>31219.003568855995</v>
      </c>
    </row>
    <row r="17" spans="3:4">
      <c r="C17" s="15">
        <v>103</v>
      </c>
      <c r="D17" s="15">
        <v>27179.606846316357</v>
      </c>
    </row>
    <row r="18" spans="3:4">
      <c r="C18" s="14">
        <v>94</v>
      </c>
      <c r="D18" s="14">
        <v>23598.478006645528</v>
      </c>
    </row>
    <row r="19" spans="3:4">
      <c r="C19" s="15">
        <v>105</v>
      </c>
      <c r="D19" s="15">
        <v>34362.286641400722</v>
      </c>
    </row>
    <row r="20" spans="3:4">
      <c r="C20" s="14">
        <v>86</v>
      </c>
      <c r="D20" s="14">
        <v>33251.005889793305</v>
      </c>
    </row>
    <row r="21" spans="3:4">
      <c r="C21" s="15">
        <v>92</v>
      </c>
      <c r="D21" s="15">
        <v>29504.120681103086</v>
      </c>
    </row>
    <row r="22" spans="3:4">
      <c r="C22" s="14">
        <v>94</v>
      </c>
      <c r="D22" s="14">
        <v>39233.184980238329</v>
      </c>
    </row>
    <row r="23" spans="3:4">
      <c r="C23" s="15">
        <v>101</v>
      </c>
      <c r="D23" s="15">
        <v>24649.576168369236</v>
      </c>
    </row>
    <row r="24" spans="3:4">
      <c r="C24" s="14">
        <v>103</v>
      </c>
      <c r="D24" s="14">
        <v>22372.374145376307</v>
      </c>
    </row>
    <row r="25" spans="3:4">
      <c r="C25" s="15">
        <v>84</v>
      </c>
      <c r="D25" s="15">
        <v>26540.459650593777</v>
      </c>
    </row>
    <row r="26" spans="3:4">
      <c r="C26" s="14">
        <v>76</v>
      </c>
      <c r="D26" s="14">
        <v>29772.069918222511</v>
      </c>
    </row>
    <row r="27" spans="3:4">
      <c r="C27" s="15">
        <v>100</v>
      </c>
      <c r="D27" s="15">
        <v>31216.697246613458</v>
      </c>
    </row>
    <row r="28" spans="3:4">
      <c r="C28" s="14">
        <v>111</v>
      </c>
      <c r="D28" s="14">
        <v>28793.819710718351</v>
      </c>
    </row>
    <row r="29" spans="3:4">
      <c r="C29" s="15">
        <v>93</v>
      </c>
      <c r="D29" s="15">
        <f>IF(ISBLANK(D4), M7, D4)</f>
        <v>27205.390763642099</v>
      </c>
    </row>
    <row r="30" spans="3:4">
      <c r="C30" s="14">
        <v>87</v>
      </c>
      <c r="D30" s="14">
        <v>23742.30287904778</v>
      </c>
    </row>
    <row r="31" spans="3:4">
      <c r="C31" s="15">
        <v>108</v>
      </c>
      <c r="D31" s="15">
        <v>37218.823020366297</v>
      </c>
    </row>
    <row r="32" spans="3:4">
      <c r="C32" s="14">
        <v>106</v>
      </c>
      <c r="D32" s="14">
        <v>29589.244108037157</v>
      </c>
    </row>
    <row r="33" spans="3:4">
      <c r="C33" s="15">
        <v>108</v>
      </c>
      <c r="D33" s="15">
        <v>35586.479157940637</v>
      </c>
    </row>
    <row r="34" spans="3:4">
      <c r="C34" s="14">
        <v>96</v>
      </c>
      <c r="D34" s="14">
        <v>31713.626731888522</v>
      </c>
    </row>
    <row r="35" spans="3:4">
      <c r="C35" s="15">
        <v>113</v>
      </c>
      <c r="D35" s="15">
        <v>32283.766095768919</v>
      </c>
    </row>
    <row r="36" spans="3:4">
      <c r="C36" s="14">
        <v>95</v>
      </c>
      <c r="D36" s="14">
        <v>32848.836401161017</v>
      </c>
    </row>
    <row r="37" spans="3:4">
      <c r="C37" s="15">
        <v>94</v>
      </c>
      <c r="D37" s="15">
        <v>32238.542800086576</v>
      </c>
    </row>
    <row r="38" spans="3:4">
      <c r="C38" s="14">
        <v>107</v>
      </c>
      <c r="D38" s="14">
        <v>33213.61379933772</v>
      </c>
    </row>
    <row r="39" spans="3:4">
      <c r="C39" s="15">
        <v>114</v>
      </c>
      <c r="D39" s="15">
        <v>36645.76265066216</v>
      </c>
    </row>
    <row r="40" spans="3:4">
      <c r="C40" s="14">
        <v>86</v>
      </c>
      <c r="D40" s="14">
        <v>30982.605848507352</v>
      </c>
    </row>
    <row r="41" spans="3:4">
      <c r="C41" s="15">
        <v>100</v>
      </c>
      <c r="D41" s="15">
        <v>33545.018787942565</v>
      </c>
    </row>
    <row r="42" spans="3:4">
      <c r="C42" s="14">
        <v>108</v>
      </c>
      <c r="D42" s="14">
        <v>29551.321528563865</v>
      </c>
    </row>
    <row r="43" spans="3:4">
      <c r="C43" s="15">
        <v>101</v>
      </c>
      <c r="D43" s="15">
        <v>37200.586077247368</v>
      </c>
    </row>
    <row r="44" spans="3:4">
      <c r="C44" s="14">
        <v>94</v>
      </c>
      <c r="D44" s="14">
        <v>26618.038489703653</v>
      </c>
    </row>
    <row r="45" spans="3:4">
      <c r="C45" s="15">
        <v>116</v>
      </c>
      <c r="D45" s="15">
        <v>39004.702164554081</v>
      </c>
    </row>
    <row r="46" spans="3:4">
      <c r="C46" s="14">
        <v>97</v>
      </c>
      <c r="D46" s="14">
        <v>29799.210246778282</v>
      </c>
    </row>
    <row r="47" spans="3:4">
      <c r="C47" s="15">
        <f>IF(ISBLANK(C4), O5, C4)</f>
        <v>96</v>
      </c>
      <c r="D47" s="15">
        <v>22846.124489409758</v>
      </c>
    </row>
    <row r="48" spans="3:4">
      <c r="C48" s="14">
        <v>94</v>
      </c>
      <c r="D48" s="14">
        <v>30640.522074553948</v>
      </c>
    </row>
    <row r="49" spans="3:4">
      <c r="C49" s="15">
        <v>118</v>
      </c>
      <c r="D49" s="15">
        <v>26594.741712625597</v>
      </c>
    </row>
    <row r="50" spans="3:4">
      <c r="C50" s="14">
        <v>104</v>
      </c>
      <c r="D50" s="14">
        <v>34203.21774494362</v>
      </c>
    </row>
    <row r="51" spans="3:4">
      <c r="C51" s="15">
        <f>IF(ISBLANK(C4), O5, C4)</f>
        <v>96</v>
      </c>
      <c r="D51" s="15">
        <v>26736.880103488045</v>
      </c>
    </row>
    <row r="52" spans="3:4">
      <c r="C52" s="14">
        <v>115</v>
      </c>
      <c r="D52" s="14">
        <v>27769.082833926102</v>
      </c>
    </row>
    <row r="53" spans="3:4">
      <c r="C53" s="15">
        <v>94</v>
      </c>
      <c r="D53" s="15">
        <v>20552.296345272345</v>
      </c>
    </row>
    <row r="54" spans="3:4">
      <c r="C54" s="14">
        <v>91</v>
      </c>
      <c r="D54" s="14">
        <v>27738.468403754618</v>
      </c>
    </row>
    <row r="55" spans="3:4">
      <c r="C55" s="15">
        <v>110</v>
      </c>
      <c r="D55" s="15">
        <v>17880.603366855219</v>
      </c>
    </row>
    <row r="56" spans="3:4">
      <c r="C56" s="14">
        <v>98</v>
      </c>
      <c r="D56" s="14">
        <v>22080.485882571382</v>
      </c>
    </row>
    <row r="57" spans="3:4">
      <c r="C57" s="15">
        <v>86</v>
      </c>
      <c r="D57" s="15">
        <v>33802.073280721488</v>
      </c>
    </row>
    <row r="58" spans="3:4">
      <c r="C58" s="14">
        <v>121</v>
      </c>
      <c r="D58" s="14">
        <f>IF(ISBLANK(D33), M36, D33)</f>
        <v>35586.479157940637</v>
      </c>
    </row>
    <row r="59" spans="3:4">
      <c r="C59" s="15">
        <v>100</v>
      </c>
      <c r="D59" s="15">
        <v>32127.287808924822</v>
      </c>
    </row>
    <row r="60" spans="3:4">
      <c r="C60" s="14">
        <v>96</v>
      </c>
      <c r="D60" s="14">
        <v>25165.119284353936</v>
      </c>
    </row>
    <row r="61" spans="3:4">
      <c r="C61" s="15">
        <v>127</v>
      </c>
      <c r="D61" s="15">
        <v>29761.4432192901</v>
      </c>
    </row>
    <row r="62" spans="3:4">
      <c r="C62" s="14">
        <v>100</v>
      </c>
      <c r="D62" s="14">
        <v>29981.987304547158</v>
      </c>
    </row>
    <row r="63" spans="3:4">
      <c r="C63" s="15">
        <v>93</v>
      </c>
      <c r="D63" s="15">
        <v>24208.176554037287</v>
      </c>
    </row>
    <row r="64" spans="3:4">
      <c r="C64" s="14">
        <v>103</v>
      </c>
      <c r="D64" s="14">
        <v>37516.991508835752</v>
      </c>
    </row>
    <row r="65" spans="3:4">
      <c r="C65" s="15">
        <v>78</v>
      </c>
      <c r="D65" s="15">
        <v>34386.811452878355</v>
      </c>
    </row>
    <row r="66" spans="3:4">
      <c r="C66" s="14">
        <v>116</v>
      </c>
      <c r="D66" s="14">
        <v>30599.02924</v>
      </c>
    </row>
    <row r="67" spans="3:4">
      <c r="C67" s="15">
        <v>88</v>
      </c>
      <c r="D67" s="15">
        <v>30134.429194972654</v>
      </c>
    </row>
    <row r="68" spans="3:4">
      <c r="C68" s="14">
        <v>105</v>
      </c>
      <c r="D68" s="14">
        <v>31041.914039737763</v>
      </c>
    </row>
    <row r="69" spans="3:4">
      <c r="C69" s="15">
        <v>92</v>
      </c>
      <c r="D69" s="15">
        <v>19791.325657878548</v>
      </c>
    </row>
    <row r="70" spans="3:4">
      <c r="C70" s="14">
        <v>96</v>
      </c>
      <c r="D70" s="14">
        <v>28764.113087397014</v>
      </c>
    </row>
    <row r="71" spans="3:4">
      <c r="C71" s="15">
        <v>104</v>
      </c>
      <c r="D71" s="15">
        <v>26590.078760011005</v>
      </c>
    </row>
    <row r="72" spans="3:4">
      <c r="C72" s="14">
        <v>84</v>
      </c>
      <c r="D72" s="14">
        <v>30599.02924</v>
      </c>
    </row>
    <row r="73" spans="3:4">
      <c r="C73" s="15">
        <v>95</v>
      </c>
      <c r="D73" s="15">
        <v>28594.498535570227</v>
      </c>
    </row>
    <row r="74" spans="3:4">
      <c r="C74" s="14">
        <v>105</v>
      </c>
      <c r="D74" s="14">
        <v>38988.432634247612</v>
      </c>
    </row>
    <row r="75" spans="3:4">
      <c r="C75" s="15">
        <v>100</v>
      </c>
      <c r="D75" s="15">
        <v>33204.214306335052</v>
      </c>
    </row>
    <row r="76" spans="3:4">
      <c r="C76" s="14">
        <v>104</v>
      </c>
      <c r="D76" s="14">
        <v>27144.105051086015</v>
      </c>
    </row>
    <row r="77" spans="3:4">
      <c r="C77" s="15">
        <v>106</v>
      </c>
      <c r="D77" s="15">
        <v>32862.913906780792</v>
      </c>
    </row>
    <row r="78" spans="3:4">
      <c r="C78" s="14">
        <v>120</v>
      </c>
      <c r="D78" s="14">
        <v>36996.777182930011</v>
      </c>
    </row>
    <row r="79" spans="3:4">
      <c r="C79" s="15">
        <f>IF(ISBLANK(C32), O33, C32)</f>
        <v>106</v>
      </c>
      <c r="D79" s="15">
        <f>IF(ISBLANK(D54), M57, D54)</f>
        <v>27738.468403754618</v>
      </c>
    </row>
    <row r="80" spans="3:4">
      <c r="C80" s="14">
        <v>118</v>
      </c>
      <c r="D80" s="14">
        <v>30298.151849600872</v>
      </c>
    </row>
    <row r="81" spans="3:4">
      <c r="C81" s="15">
        <v>92</v>
      </c>
      <c r="D81" s="15">
        <v>26765.31611147213</v>
      </c>
    </row>
    <row r="82" spans="3:4">
      <c r="C82" s="14">
        <v>110</v>
      </c>
      <c r="D82" s="14">
        <v>33491.116568067948</v>
      </c>
    </row>
    <row r="83" spans="3:4">
      <c r="C83" s="15">
        <v>101</v>
      </c>
      <c r="D83" s="15">
        <v>31967.426927108747</v>
      </c>
    </row>
    <row r="84" spans="3:4">
      <c r="C84" s="14">
        <v>84</v>
      </c>
      <c r="D84" s="14">
        <v>34475.966100138663</v>
      </c>
    </row>
    <row r="85" spans="3:4">
      <c r="C85" s="15">
        <v>115</v>
      </c>
      <c r="D85" s="15">
        <v>33175.859008409847</v>
      </c>
    </row>
    <row r="86" spans="3:4">
      <c r="C86" s="14">
        <v>95</v>
      </c>
      <c r="D86" s="14">
        <v>35247.763576596677</v>
      </c>
    </row>
    <row r="87" spans="3:4">
      <c r="C87" s="15">
        <v>114</v>
      </c>
      <c r="D87" s="15">
        <v>27323.823942197159</v>
      </c>
    </row>
    <row r="88" spans="3:4">
      <c r="C88" s="14">
        <v>104</v>
      </c>
      <c r="D88" s="14">
        <v>36586.970328171628</v>
      </c>
    </row>
    <row r="89" spans="3:4">
      <c r="C89" s="15">
        <v>89</v>
      </c>
      <c r="D89" s="15">
        <v>30987.998023461998</v>
      </c>
    </row>
    <row r="90" spans="3:4">
      <c r="C90" s="14">
        <f>IF(ISBLANK(C43), O44, C43)</f>
        <v>101</v>
      </c>
      <c r="D90" s="14">
        <v>40376.304363126328</v>
      </c>
    </row>
    <row r="91" spans="3:4">
      <c r="C91" s="15">
        <v>85</v>
      </c>
      <c r="D91" s="15">
        <v>26554.060909552161</v>
      </c>
    </row>
    <row r="92" spans="3:4">
      <c r="C92" s="14">
        <v>101</v>
      </c>
      <c r="D92" s="14">
        <v>38679.819015826244</v>
      </c>
    </row>
    <row r="93" spans="3:4">
      <c r="C93" s="15">
        <v>104</v>
      </c>
      <c r="D93" s="15">
        <v>30989.553917313238</v>
      </c>
    </row>
    <row r="94" spans="3:4">
      <c r="C94" s="14">
        <v>106</v>
      </c>
      <c r="D94" s="14">
        <f>IF(ISBLANK(D69), M72, D69)</f>
        <v>19791.325657878548</v>
      </c>
    </row>
    <row r="95" spans="3:4">
      <c r="C95" s="15">
        <v>95</v>
      </c>
      <c r="D95" s="15">
        <v>27580.570829728393</v>
      </c>
    </row>
    <row r="96" spans="3:4">
      <c r="C96" s="14">
        <v>104</v>
      </c>
      <c r="D96" s="14">
        <v>28398.2634590284</v>
      </c>
    </row>
    <row r="97" spans="3:4">
      <c r="C97" s="15">
        <v>105</v>
      </c>
      <c r="D97" s="15">
        <v>32120.829732009581</v>
      </c>
    </row>
    <row r="98" spans="3:4">
      <c r="C98" s="14">
        <v>84</v>
      </c>
      <c r="D98" s="14">
        <v>32614.177440177496</v>
      </c>
    </row>
    <row r="99" spans="3:4">
      <c r="C99" s="15">
        <v>93</v>
      </c>
      <c r="D99" s="15">
        <v>27131.499980307104</v>
      </c>
    </row>
    <row r="100" spans="3:4">
      <c r="C100" s="14">
        <v>115</v>
      </c>
      <c r="D100" s="14">
        <v>29878.227038695084</v>
      </c>
    </row>
    <row r="101" spans="3:4">
      <c r="C101" s="15">
        <v>109</v>
      </c>
      <c r="D101" s="15">
        <v>40711.351793059323</v>
      </c>
    </row>
    <row r="102" spans="3:4">
      <c r="C102" s="14">
        <v>102</v>
      </c>
      <c r="D102" s="14">
        <v>38637.715850503555</v>
      </c>
    </row>
    <row r="103" spans="3:4">
      <c r="C103" s="15">
        <v>100</v>
      </c>
      <c r="D103" s="15">
        <v>32181.618348370161</v>
      </c>
    </row>
    <row r="104" spans="3:4">
      <c r="C104" s="14">
        <v>93</v>
      </c>
      <c r="D104" s="14">
        <v>30190.017390841</v>
      </c>
    </row>
    <row r="105" spans="3:4">
      <c r="C105" s="15">
        <f>IF(ISBLANK(C58), O59, C58)</f>
        <v>121</v>
      </c>
      <c r="D105" s="15">
        <v>30600.156633591305</v>
      </c>
    </row>
    <row r="106" spans="3:4">
      <c r="C106" s="14">
        <v>117</v>
      </c>
      <c r="D106" s="14">
        <v>33067.589863652087</v>
      </c>
    </row>
    <row r="107" spans="3:4">
      <c r="C107" s="15">
        <v>98</v>
      </c>
      <c r="D107" s="15">
        <v>24886.037174007972</v>
      </c>
    </row>
    <row r="108" spans="3:4">
      <c r="C108" s="14">
        <v>94</v>
      </c>
      <c r="D108" s="14">
        <v>28713.117312883274</v>
      </c>
    </row>
    <row r="109" spans="3:4">
      <c r="C109" s="15">
        <v>112</v>
      </c>
      <c r="D109" s="15">
        <v>21657.079630612054</v>
      </c>
    </row>
    <row r="110" spans="3:4">
      <c r="C110" s="14">
        <v>89</v>
      </c>
      <c r="D110" s="14">
        <v>31996.115613026395</v>
      </c>
    </row>
    <row r="111" spans="3:4">
      <c r="C111" s="15">
        <v>119</v>
      </c>
      <c r="D111" s="15">
        <v>33235.979698513707</v>
      </c>
    </row>
    <row r="112" spans="3:4">
      <c r="C112" s="14">
        <v>102</v>
      </c>
      <c r="D112" s="14">
        <v>27584.067688503128</v>
      </c>
    </row>
    <row r="113" spans="3:4">
      <c r="C113" s="15">
        <v>87</v>
      </c>
      <c r="D113" s="15">
        <v>37869.933816450168</v>
      </c>
    </row>
    <row r="114" spans="3:4">
      <c r="C114" s="14">
        <v>113</v>
      </c>
      <c r="D114" s="14">
        <v>23871.171684988294</v>
      </c>
    </row>
    <row r="115" spans="3:4">
      <c r="C115" s="15">
        <v>106</v>
      </c>
      <c r="D115" s="15">
        <v>22678.125598950901</v>
      </c>
    </row>
    <row r="116" spans="3:4">
      <c r="C116" s="14">
        <v>96</v>
      </c>
      <c r="D116" s="14">
        <f>IF(ISBLANK(D91), M94, D91)</f>
        <v>26554.060909552161</v>
      </c>
    </row>
    <row r="117" spans="3:4">
      <c r="C117" s="15">
        <v>110</v>
      </c>
      <c r="D117" s="15">
        <v>35235.49151306077</v>
      </c>
    </row>
    <row r="118" spans="3:4">
      <c r="C118" s="14">
        <v>100</v>
      </c>
      <c r="D118" s="14">
        <v>38419.638457289344</v>
      </c>
    </row>
    <row r="119" spans="3:4">
      <c r="C119" s="15">
        <f>IF(ISBLANK(C72), O73, C72)</f>
        <v>84</v>
      </c>
      <c r="D119" s="15">
        <v>27705.578685655299</v>
      </c>
    </row>
    <row r="120" spans="3:4">
      <c r="C120" s="14">
        <v>106</v>
      </c>
      <c r="D120" s="14">
        <v>35393.404167156477</v>
      </c>
    </row>
    <row r="121" spans="3:4">
      <c r="C121" s="15">
        <v>114</v>
      </c>
      <c r="D121" s="15">
        <v>29807.457652496465</v>
      </c>
    </row>
    <row r="122" spans="3:4">
      <c r="C122" s="14">
        <v>96</v>
      </c>
      <c r="D122" s="14">
        <v>29136.863500295902</v>
      </c>
    </row>
    <row r="123" spans="3:4">
      <c r="C123" s="15">
        <v>102</v>
      </c>
      <c r="D123" s="15">
        <v>34418.299687433362</v>
      </c>
    </row>
    <row r="124" spans="3:4">
      <c r="C124" s="14">
        <f>IF(ISBLANK(C77), O78, C77)</f>
        <v>106</v>
      </c>
      <c r="D124" s="14">
        <v>33261.614392067095</v>
      </c>
    </row>
    <row r="125" spans="3:4">
      <c r="C125" s="15">
        <v>93</v>
      </c>
      <c r="D125" s="15">
        <v>22118.039215078752</v>
      </c>
    </row>
    <row r="126" spans="3:4">
      <c r="C126" s="14">
        <v>100</v>
      </c>
      <c r="D126" s="14">
        <v>37382.701748629479</v>
      </c>
    </row>
    <row r="127" spans="3:4">
      <c r="C127" s="15">
        <v>111</v>
      </c>
      <c r="D127" s="15">
        <v>36900.456770737255</v>
      </c>
    </row>
    <row r="128" spans="3:4">
      <c r="C128" s="14">
        <v>87</v>
      </c>
      <c r="D128" s="14">
        <f>IF(ISBLANK(D103), M106, D103)</f>
        <v>32181.618348370161</v>
      </c>
    </row>
    <row r="129" spans="3:4">
      <c r="C129" s="15">
        <v>100</v>
      </c>
      <c r="D129" s="15">
        <v>31979.017667187047</v>
      </c>
    </row>
    <row r="130" spans="3:4">
      <c r="C130" s="14">
        <v>104</v>
      </c>
      <c r="D130" s="14">
        <v>32470.150931413693</v>
      </c>
    </row>
    <row r="131" spans="3:4">
      <c r="C131" s="15">
        <v>78</v>
      </c>
      <c r="D131" s="15">
        <v>30599.02924</v>
      </c>
    </row>
    <row r="132" spans="3:4">
      <c r="C132" s="14">
        <v>101</v>
      </c>
      <c r="D132" s="14">
        <v>27248.474230772899</v>
      </c>
    </row>
    <row r="133" spans="3:4">
      <c r="C133" s="15">
        <v>100</v>
      </c>
      <c r="D133" s="15">
        <v>26641.883160309742</v>
      </c>
    </row>
    <row r="134" spans="3:4">
      <c r="C134" s="14">
        <v>109</v>
      </c>
      <c r="D134" s="14">
        <v>29872.229645042775</v>
      </c>
    </row>
    <row r="135" spans="3:4">
      <c r="C135" s="15">
        <v>98</v>
      </c>
      <c r="D135" s="15">
        <v>35863.645096296823</v>
      </c>
    </row>
    <row r="136" spans="3:4">
      <c r="C136" s="14">
        <v>111</v>
      </c>
      <c r="D136" s="14">
        <v>32718.000772972162</v>
      </c>
    </row>
    <row r="137" spans="3:4">
      <c r="C137" s="15">
        <v>97</v>
      </c>
      <c r="D137" s="15">
        <v>28146.928339569469</v>
      </c>
    </row>
    <row r="138" spans="3:4">
      <c r="C138" s="14">
        <v>88</v>
      </c>
      <c r="D138" s="14">
        <v>33858.493553241722</v>
      </c>
    </row>
    <row r="139" spans="3:4">
      <c r="C139" s="15">
        <v>101</v>
      </c>
      <c r="D139" s="15">
        <v>30599.02924</v>
      </c>
    </row>
    <row r="140" spans="3:4">
      <c r="C140" s="14">
        <v>105</v>
      </c>
      <c r="D140" s="14">
        <v>35743.828501860517</v>
      </c>
    </row>
    <row r="141" spans="3:4">
      <c r="C141" s="15">
        <v>102</v>
      </c>
      <c r="D141" s="15">
        <v>21301.4311061095</v>
      </c>
    </row>
    <row r="142" spans="3:4">
      <c r="C142" s="14">
        <v>98</v>
      </c>
      <c r="D142" s="14">
        <v>28187.795292984338</v>
      </c>
    </row>
    <row r="143" spans="3:4">
      <c r="C143" s="15">
        <v>96</v>
      </c>
      <c r="D143" s="15">
        <v>24401.650526869282</v>
      </c>
    </row>
    <row r="144" spans="3:4">
      <c r="C144" s="14">
        <v>76</v>
      </c>
      <c r="D144" s="14">
        <v>23526.59262139547</v>
      </c>
    </row>
    <row r="145" spans="3:4">
      <c r="C145" s="15">
        <v>112</v>
      </c>
      <c r="D145" s="15">
        <v>35804.133936892598</v>
      </c>
    </row>
    <row r="146" spans="3:4">
      <c r="C146" s="14">
        <v>99</v>
      </c>
      <c r="D146" s="14">
        <v>27661.493993440545</v>
      </c>
    </row>
    <row r="147" spans="3:4">
      <c r="C147" s="15">
        <v>100</v>
      </c>
      <c r="D147" s="15">
        <v>31732.519408653578</v>
      </c>
    </row>
    <row r="148" spans="3:4">
      <c r="C148" s="14">
        <v>89</v>
      </c>
      <c r="D148" s="14">
        <v>29765.397105604079</v>
      </c>
    </row>
    <row r="149" spans="3:4">
      <c r="C149" s="15">
        <f>IF(ISBLANK(C102), O103, C102)</f>
        <v>102</v>
      </c>
      <c r="D149" s="15">
        <v>32385.204136115608</v>
      </c>
    </row>
    <row r="150" spans="3:4">
      <c r="C150" s="14">
        <v>104</v>
      </c>
      <c r="D150" s="14">
        <v>30384.109455301277</v>
      </c>
    </row>
    <row r="151" spans="3:4">
      <c r="C151" s="15">
        <v>96</v>
      </c>
      <c r="D151" s="15">
        <v>23585.038879057152</v>
      </c>
    </row>
    <row r="152" spans="3:4">
      <c r="C152" s="14">
        <v>100</v>
      </c>
      <c r="D152" s="14">
        <v>34981.334097235696</v>
      </c>
    </row>
    <row r="153" spans="3:4">
      <c r="C153" s="15">
        <v>105</v>
      </c>
      <c r="D153" s="15">
        <v>27531.217084193438</v>
      </c>
    </row>
    <row r="154" spans="3:4">
      <c r="C154" s="14">
        <v>81</v>
      </c>
      <c r="D154" s="14">
        <v>22217.090506701243</v>
      </c>
    </row>
    <row r="155" spans="3:4">
      <c r="C155" s="15">
        <v>120</v>
      </c>
      <c r="D155" s="15">
        <v>27859.424195170439</v>
      </c>
    </row>
    <row r="156" spans="3:4">
      <c r="C156" s="14">
        <v>97</v>
      </c>
      <c r="D156" s="14">
        <v>37503.798953171558</v>
      </c>
    </row>
    <row r="157" spans="3:4">
      <c r="C157" s="15">
        <v>99</v>
      </c>
      <c r="D157" s="15">
        <v>34251.108710567467</v>
      </c>
    </row>
    <row r="158" spans="3:4">
      <c r="C158" s="14">
        <v>120</v>
      </c>
      <c r="D158" s="14">
        <v>28256.739327960706</v>
      </c>
    </row>
    <row r="159" spans="3:4">
      <c r="C159" s="15">
        <v>90</v>
      </c>
      <c r="D159" s="15">
        <v>28253.711478407855</v>
      </c>
    </row>
    <row r="160" spans="3:4">
      <c r="C160" s="14">
        <v>85</v>
      </c>
      <c r="D160" s="14">
        <v>28391.824743913086</v>
      </c>
    </row>
    <row r="161" spans="3:4">
      <c r="C161" s="15">
        <v>84</v>
      </c>
      <c r="D161" s="15">
        <v>40383.739917804203</v>
      </c>
    </row>
    <row r="162" spans="3:4">
      <c r="C162" s="14">
        <f>IF(ISBLANK(C115), O116, C115)</f>
        <v>106</v>
      </c>
      <c r="D162" s="14">
        <v>31909.677261157765</v>
      </c>
    </row>
    <row r="163" spans="3:4">
      <c r="C163" s="15">
        <v>112</v>
      </c>
      <c r="D163" s="15">
        <v>32150.20823595535</v>
      </c>
    </row>
    <row r="164" spans="3:4">
      <c r="C164" s="14">
        <v>110</v>
      </c>
      <c r="D164" s="14">
        <v>35151.417270159211</v>
      </c>
    </row>
    <row r="165" spans="3:4">
      <c r="C165" s="15">
        <v>86</v>
      </c>
      <c r="D165" s="15">
        <v>31193.945795132568</v>
      </c>
    </row>
    <row r="166" spans="3:4">
      <c r="C166" s="14">
        <v>104</v>
      </c>
      <c r="D166" s="14">
        <v>30599.02924</v>
      </c>
    </row>
    <row r="167" spans="3:4">
      <c r="C167" s="15">
        <v>107</v>
      </c>
      <c r="D167" s="15">
        <v>29018.250754575107</v>
      </c>
    </row>
    <row r="168" spans="3:4">
      <c r="C168" s="14">
        <v>93</v>
      </c>
      <c r="D168" s="14">
        <v>29641.993702929682</v>
      </c>
    </row>
    <row r="169" spans="3:4">
      <c r="C169" s="15">
        <v>108</v>
      </c>
      <c r="D169" s="15">
        <v>29813.888817450792</v>
      </c>
    </row>
    <row r="170" spans="3:4">
      <c r="C170" s="14">
        <v>96</v>
      </c>
      <c r="D170" s="14">
        <v>33638.147718184897</v>
      </c>
    </row>
    <row r="171" spans="3:4">
      <c r="C171" s="15">
        <v>95</v>
      </c>
      <c r="D171" s="15">
        <v>30259.729429036499</v>
      </c>
    </row>
    <row r="172" spans="3:4">
      <c r="C172" s="14">
        <v>112</v>
      </c>
      <c r="D172" s="14">
        <v>33663.200386077893</v>
      </c>
    </row>
    <row r="173" spans="3:4">
      <c r="C173" s="15">
        <v>108</v>
      </c>
      <c r="D173" s="15">
        <v>29596.417099457089</v>
      </c>
    </row>
    <row r="174" spans="3:4">
      <c r="C174" s="14">
        <v>85</v>
      </c>
      <c r="D174" s="14">
        <v>30393.175951580452</v>
      </c>
    </row>
    <row r="175" spans="3:4">
      <c r="C175" s="15">
        <f>IF(ISBLANK(C128), O129, C128)</f>
        <v>87</v>
      </c>
      <c r="D175" s="15">
        <v>20008.996577339462</v>
      </c>
    </row>
    <row r="176" spans="3:4">
      <c r="C176" s="14">
        <v>95</v>
      </c>
      <c r="D176" s="14">
        <v>34581.638373512411</v>
      </c>
    </row>
    <row r="177" spans="3:4">
      <c r="C177" s="15">
        <v>97</v>
      </c>
      <c r="D177" s="15">
        <v>31732.442379489963</v>
      </c>
    </row>
    <row r="178" spans="3:4">
      <c r="C178" s="14">
        <v>116</v>
      </c>
      <c r="D178" s="14">
        <v>34990.050549298263</v>
      </c>
    </row>
    <row r="179" spans="3:4">
      <c r="C179" s="15">
        <v>95</v>
      </c>
      <c r="D179" s="15">
        <v>30599.02924</v>
      </c>
    </row>
    <row r="180" spans="3:4">
      <c r="C180" s="14">
        <v>123</v>
      </c>
      <c r="D180" s="14">
        <v>40441.87352390364</v>
      </c>
    </row>
    <row r="181" spans="3:4">
      <c r="C181" s="15">
        <v>104</v>
      </c>
      <c r="D181" s="15">
        <v>29302.051859224131</v>
      </c>
    </row>
    <row r="182" spans="3:4">
      <c r="C182" s="14">
        <v>94</v>
      </c>
      <c r="D182" s="14">
        <v>35540.914083687581</v>
      </c>
    </row>
    <row r="183" spans="3:4">
      <c r="C183" s="15">
        <v>105</v>
      </c>
      <c r="D183" s="15">
        <v>24800.470364372348</v>
      </c>
    </row>
    <row r="184" spans="3:4">
      <c r="C184" s="14">
        <v>109</v>
      </c>
      <c r="D184" s="14">
        <v>33063.869525312846</v>
      </c>
    </row>
    <row r="185" spans="3:4">
      <c r="C185" s="15">
        <v>84</v>
      </c>
      <c r="D185" s="15">
        <v>24732.922184131719</v>
      </c>
    </row>
    <row r="186" spans="3:4">
      <c r="C186" s="14">
        <v>79</v>
      </c>
      <c r="D186" s="14">
        <v>26881.155196520973</v>
      </c>
    </row>
    <row r="187" spans="3:4">
      <c r="C187" s="15">
        <v>98</v>
      </c>
      <c r="D187" s="15">
        <v>39570.156769333931</v>
      </c>
    </row>
    <row r="188" spans="3:4">
      <c r="C188" s="14">
        <v>96</v>
      </c>
      <c r="D188" s="14">
        <v>29046.587996183269</v>
      </c>
    </row>
    <row r="189" spans="3:4">
      <c r="C189" s="15">
        <v>88</v>
      </c>
      <c r="D189" s="15">
        <v>31087.164365898614</v>
      </c>
    </row>
    <row r="190" spans="3:4">
      <c r="C190" s="14">
        <v>103</v>
      </c>
      <c r="D190" s="14">
        <v>34350.338653443774</v>
      </c>
    </row>
    <row r="191" spans="3:4">
      <c r="C191" s="15">
        <v>83</v>
      </c>
      <c r="D191" s="15">
        <v>32478.409439863022</v>
      </c>
    </row>
    <row r="192" spans="3:4">
      <c r="C192" s="14">
        <v>82</v>
      </c>
      <c r="D192" s="14">
        <v>30752.094525717883</v>
      </c>
    </row>
    <row r="193" spans="3:4">
      <c r="C193" s="15">
        <v>106</v>
      </c>
      <c r="D193" s="15">
        <v>31824.805012331126</v>
      </c>
    </row>
    <row r="194" spans="3:4">
      <c r="C194" s="14">
        <v>96</v>
      </c>
      <c r="D194" s="14">
        <v>42017.077926191378</v>
      </c>
    </row>
    <row r="195" spans="3:4">
      <c r="C195" s="15">
        <v>96</v>
      </c>
      <c r="D195" s="15">
        <v>29711.906014832071</v>
      </c>
    </row>
    <row r="196" spans="3:4">
      <c r="C196" s="14">
        <v>109</v>
      </c>
      <c r="D196" s="14">
        <v>31005.495233574838</v>
      </c>
    </row>
    <row r="197" spans="3:4">
      <c r="C197" s="15">
        <v>98</v>
      </c>
      <c r="D197" s="15">
        <v>35253.271980038058</v>
      </c>
    </row>
    <row r="198" spans="3:4">
      <c r="C198" s="14">
        <v>86</v>
      </c>
      <c r="D198" s="14">
        <v>35527.629664789922</v>
      </c>
    </row>
    <row r="199" spans="3:4">
      <c r="C199" s="15">
        <v>79</v>
      </c>
      <c r="D199" s="15">
        <v>35935.1515278019</v>
      </c>
    </row>
    <row r="200" spans="3:4">
      <c r="C200" s="14">
        <v>86</v>
      </c>
      <c r="D200" s="14">
        <f>IF(ISBLANK(D175), M178, D175)</f>
        <v>20008.996577339462</v>
      </c>
    </row>
    <row r="201" spans="3:4">
      <c r="C201" s="15">
        <v>108</v>
      </c>
      <c r="D201" s="15">
        <v>24284.97543634758</v>
      </c>
    </row>
    <row r="202" spans="3:4">
      <c r="C202" s="14">
        <v>127</v>
      </c>
      <c r="D202" s="14">
        <v>38167.15766150548</v>
      </c>
    </row>
    <row r="203" spans="3:4">
      <c r="C203" s="15">
        <v>93</v>
      </c>
      <c r="D203" s="15">
        <v>24268.27303490656</v>
      </c>
    </row>
    <row r="204" spans="3:4">
      <c r="C204" s="14">
        <v>82</v>
      </c>
      <c r="D204" s="14">
        <v>31513.177326195168</v>
      </c>
    </row>
    <row r="205" spans="3:4">
      <c r="C205" s="15">
        <v>104</v>
      </c>
      <c r="D205" s="15">
        <v>26228.62074990321</v>
      </c>
    </row>
    <row r="206" spans="3:4">
      <c r="C206" s="14">
        <v>99</v>
      </c>
      <c r="D206" s="14">
        <v>29679.308267035038</v>
      </c>
    </row>
    <row r="207" spans="3:4">
      <c r="C207" s="15">
        <v>102</v>
      </c>
      <c r="D207" s="15">
        <v>31643.812051517401</v>
      </c>
    </row>
    <row r="208" spans="3:4">
      <c r="C208" s="14">
        <v>76</v>
      </c>
      <c r="D208" s="14">
        <f>IF(ISBLANK(D183), M186, D183)</f>
        <v>24800.470364372348</v>
      </c>
    </row>
    <row r="209" spans="3:4">
      <c r="C209" s="15">
        <v>99</v>
      </c>
      <c r="D209" s="15">
        <v>32109.603771176422</v>
      </c>
    </row>
    <row r="210" spans="3:4">
      <c r="C210" s="14">
        <v>93</v>
      </c>
      <c r="D210" s="14">
        <v>38068.556345293233</v>
      </c>
    </row>
    <row r="211" spans="3:4">
      <c r="C211" s="15">
        <v>99</v>
      </c>
      <c r="D211" s="15">
        <v>32267.671507569899</v>
      </c>
    </row>
    <row r="212" spans="3:4">
      <c r="C212" s="14">
        <v>102</v>
      </c>
      <c r="D212" s="14">
        <v>28779.216823546758</v>
      </c>
    </row>
    <row r="213" spans="3:4">
      <c r="C213" s="15">
        <v>106</v>
      </c>
      <c r="D213" s="15">
        <v>34820.435841441787</v>
      </c>
    </row>
    <row r="214" spans="3:4">
      <c r="C214" s="14">
        <v>94</v>
      </c>
      <c r="D214" s="14">
        <v>35947.352444623204</v>
      </c>
    </row>
    <row r="215" spans="3:4">
      <c r="C215" s="15">
        <v>105</v>
      </c>
      <c r="D215" s="15">
        <v>23861.960924315037</v>
      </c>
    </row>
    <row r="216" spans="3:4">
      <c r="C216" s="14">
        <v>100</v>
      </c>
      <c r="D216" s="14">
        <v>32987.000349249291</v>
      </c>
    </row>
    <row r="217" spans="3:4">
      <c r="C217" s="15">
        <v>122</v>
      </c>
      <c r="D217" s="15">
        <v>33505.863711554492</v>
      </c>
    </row>
    <row r="218" spans="3:4">
      <c r="C218" s="14">
        <v>103</v>
      </c>
      <c r="D218" s="14">
        <v>28512.182483200042</v>
      </c>
    </row>
    <row r="219" spans="3:4">
      <c r="C219" s="15">
        <v>119</v>
      </c>
      <c r="D219" s="15">
        <v>36878.534066558095</v>
      </c>
    </row>
    <row r="220" spans="3:4">
      <c r="C220" s="14">
        <v>76</v>
      </c>
      <c r="D220" s="14">
        <v>29249.722064837366</v>
      </c>
    </row>
    <row r="221" spans="3:4">
      <c r="C221" s="15">
        <v>96</v>
      </c>
      <c r="D221" s="15">
        <f>IF(ISBLANK(D196), M199, D196)</f>
        <v>31005.495233574838</v>
      </c>
    </row>
    <row r="222" spans="3:4">
      <c r="C222" s="14">
        <v>103</v>
      </c>
      <c r="D222" s="14">
        <v>29134.640878580652</v>
      </c>
    </row>
    <row r="223" spans="3:4">
      <c r="C223" s="15">
        <v>111</v>
      </c>
      <c r="D223" s="15">
        <v>30077.895237907338</v>
      </c>
    </row>
    <row r="224" spans="3:4">
      <c r="C224" s="14">
        <v>97</v>
      </c>
      <c r="D224" s="14">
        <v>24518.624565523991</v>
      </c>
    </row>
    <row r="225" spans="3:4">
      <c r="C225" s="15">
        <v>112</v>
      </c>
      <c r="D225" s="15">
        <v>22799.745587028527</v>
      </c>
    </row>
    <row r="226" spans="3:4">
      <c r="C226" s="14">
        <v>99</v>
      </c>
      <c r="D226" s="14">
        <v>37972.525316124862</v>
      </c>
    </row>
    <row r="227" spans="3:4">
      <c r="C227" s="15">
        <v>124</v>
      </c>
      <c r="D227" s="15">
        <v>25765.193258408362</v>
      </c>
    </row>
    <row r="228" spans="3:4">
      <c r="C228" s="14">
        <v>91</v>
      </c>
      <c r="D228" s="14">
        <v>25043.038252718463</v>
      </c>
    </row>
    <row r="229" spans="3:4">
      <c r="C229" s="15">
        <v>103</v>
      </c>
      <c r="D229" s="15">
        <v>19233.049431981424</v>
      </c>
    </row>
    <row r="230" spans="3:4">
      <c r="C230" s="14">
        <v>86</v>
      </c>
      <c r="D230" s="14">
        <v>26805.191261552489</v>
      </c>
    </row>
    <row r="231" spans="3:4">
      <c r="C231" s="15">
        <v>101</v>
      </c>
      <c r="D231" s="15">
        <v>23384.55103296251</v>
      </c>
    </row>
    <row r="232" spans="3:4">
      <c r="C232" s="14">
        <v>101</v>
      </c>
      <c r="D232" s="14">
        <v>38210.075800681843</v>
      </c>
    </row>
    <row r="233" spans="3:4">
      <c r="C233" s="15">
        <v>101</v>
      </c>
      <c r="D233" s="15">
        <v>35049.085446713172</v>
      </c>
    </row>
    <row r="234" spans="3:4">
      <c r="C234" s="14">
        <v>113</v>
      </c>
      <c r="D234" s="14">
        <v>26559.248274111382</v>
      </c>
    </row>
    <row r="235" spans="3:4">
      <c r="C235" s="15">
        <v>87</v>
      </c>
      <c r="D235" s="15">
        <v>41262.17902672154</v>
      </c>
    </row>
    <row r="236" spans="3:4">
      <c r="C236" s="14">
        <v>108</v>
      </c>
      <c r="D236" s="14">
        <v>34908.827434957973</v>
      </c>
    </row>
    <row r="237" spans="3:4">
      <c r="C237" s="15">
        <v>100</v>
      </c>
      <c r="D237" s="15">
        <v>30599.02924</v>
      </c>
    </row>
    <row r="238" spans="3:4">
      <c r="C238" s="14">
        <v>87</v>
      </c>
      <c r="D238" s="14">
        <v>17502.971425632135</v>
      </c>
    </row>
    <row r="239" spans="3:4">
      <c r="C239" s="15">
        <v>96</v>
      </c>
      <c r="D239" s="15">
        <v>41454.712862953711</v>
      </c>
    </row>
    <row r="240" spans="3:4">
      <c r="C240" s="14">
        <v>97</v>
      </c>
      <c r="D240" s="14">
        <v>23052.137666182018</v>
      </c>
    </row>
    <row r="241" spans="3:4">
      <c r="C241" s="15">
        <v>116</v>
      </c>
      <c r="D241" s="15">
        <f>IF(ISBLANK(D216), M219, D216)</f>
        <v>32987.000349249291</v>
      </c>
    </row>
    <row r="242" spans="3:4">
      <c r="C242" s="14">
        <v>100</v>
      </c>
      <c r="D242" s="14">
        <v>35112.852160048198</v>
      </c>
    </row>
    <row r="243" spans="3:4">
      <c r="C243" s="15">
        <v>97</v>
      </c>
      <c r="D243" s="15">
        <v>42198.762031696366</v>
      </c>
    </row>
    <row r="244" spans="3:4">
      <c r="C244" s="14">
        <v>100</v>
      </c>
      <c r="D244" s="14">
        <v>36921.364092552591</v>
      </c>
    </row>
    <row r="245" spans="3:4">
      <c r="C245" s="15">
        <v>99</v>
      </c>
      <c r="D245" s="15">
        <v>32819.545600261801</v>
      </c>
    </row>
    <row r="246" spans="3:4">
      <c r="C246" s="14">
        <v>100</v>
      </c>
      <c r="D246" s="14">
        <v>32973.771708326429</v>
      </c>
    </row>
    <row r="247" spans="3:4">
      <c r="C247" s="15">
        <v>100</v>
      </c>
      <c r="D247" s="15">
        <v>34267.077793901539</v>
      </c>
    </row>
    <row r="248" spans="3:4">
      <c r="C248" s="14">
        <v>82</v>
      </c>
      <c r="D248" s="14">
        <v>33794.642948933826</v>
      </c>
    </row>
    <row r="249" spans="3:4">
      <c r="C249" s="15">
        <v>87</v>
      </c>
      <c r="D249" s="15">
        <v>31405.95711984688</v>
      </c>
    </row>
    <row r="250" spans="3:4">
      <c r="C250" s="14">
        <v>87</v>
      </c>
      <c r="D250" s="14">
        <v>30521.005519759379</v>
      </c>
    </row>
    <row r="251" spans="3:4">
      <c r="C251" s="15">
        <v>90</v>
      </c>
      <c r="D251" s="15">
        <v>29687.034360502388</v>
      </c>
    </row>
    <row r="252" spans="3:4">
      <c r="C252" s="14">
        <v>115</v>
      </c>
      <c r="D252" s="14">
        <v>26230.17705566662</v>
      </c>
    </row>
    <row r="253" spans="3:4">
      <c r="C253" s="15">
        <v>105</v>
      </c>
      <c r="D253" s="15">
        <v>28596.624615666129</v>
      </c>
    </row>
    <row r="254" spans="3:4">
      <c r="C254" s="14">
        <v>90</v>
      </c>
      <c r="D254" s="14">
        <v>21535.21592902307</v>
      </c>
    </row>
    <row r="255" spans="3:4">
      <c r="C255" s="15">
        <v>89</v>
      </c>
      <c r="D255" s="15">
        <v>29508.30186602625</v>
      </c>
    </row>
    <row r="256" spans="3:4">
      <c r="C256" s="14">
        <v>89</v>
      </c>
      <c r="D256" s="14">
        <v>25057.044464245413</v>
      </c>
    </row>
    <row r="257" spans="3:4">
      <c r="C257" s="15">
        <v>86</v>
      </c>
      <c r="D257" s="15">
        <f>IF(ISBLANK(D232), M235, D232)</f>
        <v>38210.075800681843</v>
      </c>
    </row>
    <row r="258" spans="3:4">
      <c r="C258" s="14">
        <v>91</v>
      </c>
      <c r="D258" s="14">
        <v>30899.470755767394</v>
      </c>
    </row>
    <row r="259" spans="3:4">
      <c r="C259" s="15">
        <v>100</v>
      </c>
      <c r="D259" s="15">
        <v>36960.011431722996</v>
      </c>
    </row>
    <row r="260" spans="3:4">
      <c r="C260" s="14">
        <v>104</v>
      </c>
      <c r="D260" s="14">
        <v>34591.583030011563</v>
      </c>
    </row>
    <row r="261" spans="3:4">
      <c r="C261" s="15">
        <v>80</v>
      </c>
      <c r="D261" s="15">
        <v>22147.496981884113</v>
      </c>
    </row>
    <row r="262" spans="3:4">
      <c r="C262" s="14">
        <v>110</v>
      </c>
      <c r="D262" s="14">
        <v>25051.859317148312</v>
      </c>
    </row>
    <row r="263" spans="3:4">
      <c r="C263" s="15">
        <v>90</v>
      </c>
      <c r="D263" s="15">
        <v>34703.855939941081</v>
      </c>
    </row>
    <row r="264" spans="3:4">
      <c r="C264" s="14">
        <v>96</v>
      </c>
      <c r="D264" s="14">
        <v>25087.563032308452</v>
      </c>
    </row>
    <row r="265" spans="3:4">
      <c r="C265" s="15">
        <v>103</v>
      </c>
      <c r="D265" s="15">
        <v>28876.834250014876</v>
      </c>
    </row>
    <row r="266" spans="3:4">
      <c r="C266" s="14">
        <v>99</v>
      </c>
      <c r="D266" s="14">
        <v>32750.260495122759</v>
      </c>
    </row>
    <row r="267" spans="3:4">
      <c r="C267" s="15">
        <f>IF(ISBLANK(C220), O221, C220)</f>
        <v>76</v>
      </c>
      <c r="D267" s="15">
        <v>25158.277725681823</v>
      </c>
    </row>
    <row r="268" spans="3:4">
      <c r="C268" s="14">
        <v>106</v>
      </c>
      <c r="D268" s="14">
        <v>30526.877530729798</v>
      </c>
    </row>
    <row r="269" spans="3:4">
      <c r="C269" s="15">
        <v>100</v>
      </c>
      <c r="D269" s="15">
        <f>IF(ISBLANK(D244), M247, D244)</f>
        <v>36921.364092552591</v>
      </c>
    </row>
    <row r="270" spans="3:4">
      <c r="C270" s="14">
        <v>85</v>
      </c>
      <c r="D270" s="14">
        <v>26993.161780243932</v>
      </c>
    </row>
    <row r="271" spans="3:4">
      <c r="C271" s="15">
        <v>101</v>
      </c>
      <c r="D271" s="15">
        <v>31598.909670712685</v>
      </c>
    </row>
    <row r="272" spans="3:4">
      <c r="C272" s="14">
        <v>93</v>
      </c>
      <c r="D272" s="14">
        <v>22035.031332341656</v>
      </c>
    </row>
    <row r="273" spans="3:4">
      <c r="C273" s="15">
        <v>91</v>
      </c>
      <c r="D273" s="15">
        <v>32202.373689801996</v>
      </c>
    </row>
    <row r="274" spans="3:4">
      <c r="C274" s="14">
        <v>103</v>
      </c>
      <c r="D274" s="14">
        <v>29901.811005366595</v>
      </c>
    </row>
    <row r="275" spans="3:4">
      <c r="C275" s="15">
        <v>109</v>
      </c>
      <c r="D275" s="15">
        <v>30599.02924</v>
      </c>
    </row>
    <row r="276" spans="3:4">
      <c r="C276" s="14">
        <v>83</v>
      </c>
      <c r="D276" s="14">
        <v>31119.570670323308</v>
      </c>
    </row>
    <row r="277" spans="3:4">
      <c r="C277" s="15">
        <v>102</v>
      </c>
      <c r="D277" s="15">
        <v>36820.702149869219</v>
      </c>
    </row>
    <row r="278" spans="3:4">
      <c r="C278" s="14">
        <v>98</v>
      </c>
      <c r="D278" s="14">
        <v>30626.122513239538</v>
      </c>
    </row>
    <row r="279" spans="3:4">
      <c r="C279" s="15">
        <v>93</v>
      </c>
      <c r="D279" s="15">
        <v>27852.972294373736</v>
      </c>
    </row>
    <row r="280" spans="3:4">
      <c r="C280" s="14">
        <v>104</v>
      </c>
      <c r="D280" s="14">
        <v>30611.487515161418</v>
      </c>
    </row>
    <row r="281" spans="3:4">
      <c r="C281" s="15">
        <v>96</v>
      </c>
      <c r="D281" s="15">
        <v>32716.490145181939</v>
      </c>
    </row>
    <row r="282" spans="3:4">
      <c r="C282" s="14">
        <v>103</v>
      </c>
      <c r="D282" s="14">
        <v>30244.300351628521</v>
      </c>
    </row>
    <row r="283" spans="3:4">
      <c r="C283" s="15">
        <v>85</v>
      </c>
      <c r="D283" s="15">
        <v>30202.958456019413</v>
      </c>
    </row>
    <row r="284" spans="3:4">
      <c r="C284" s="14">
        <v>92</v>
      </c>
      <c r="D284" s="14">
        <v>26490.041560966223</v>
      </c>
    </row>
    <row r="285" spans="3:4">
      <c r="C285" s="15">
        <v>90</v>
      </c>
      <c r="D285" s="15">
        <v>26685.495412245258</v>
      </c>
    </row>
    <row r="286" spans="3:4">
      <c r="C286" s="14">
        <v>83</v>
      </c>
      <c r="D286" s="14">
        <v>22986.973641001532</v>
      </c>
    </row>
    <row r="287" spans="3:4">
      <c r="C287" s="15">
        <v>86</v>
      </c>
      <c r="D287" s="15">
        <v>38747.883715934695</v>
      </c>
    </row>
    <row r="288" spans="3:4">
      <c r="C288" s="14">
        <v>110</v>
      </c>
      <c r="D288" s="14">
        <v>23780.683823043575</v>
      </c>
    </row>
    <row r="289" spans="3:4">
      <c r="C289" s="15">
        <v>89</v>
      </c>
      <c r="D289" s="15">
        <f>IF(ISBLANK(D264), M267, D264)</f>
        <v>25087.563032308452</v>
      </c>
    </row>
    <row r="290" spans="3:4">
      <c r="C290" s="14">
        <v>118</v>
      </c>
      <c r="D290" s="14">
        <v>30599.02924</v>
      </c>
    </row>
    <row r="291" spans="3:4">
      <c r="C291" s="15">
        <v>102</v>
      </c>
      <c r="D291" s="15">
        <v>34474.621884722204</v>
      </c>
    </row>
    <row r="292" spans="3:4">
      <c r="C292" s="14">
        <v>108</v>
      </c>
      <c r="D292" s="14">
        <v>28525.25160853986</v>
      </c>
    </row>
    <row r="293" spans="3:4">
      <c r="C293" s="15">
        <v>95</v>
      </c>
      <c r="D293" s="15">
        <v>36238.710363368671</v>
      </c>
    </row>
    <row r="294" spans="3:4">
      <c r="C294" s="14">
        <v>100</v>
      </c>
      <c r="D294" s="14">
        <v>26632.546878780657</v>
      </c>
    </row>
    <row r="295" spans="3:4">
      <c r="C295" s="15">
        <v>86</v>
      </c>
      <c r="D295" s="15">
        <v>31394.970811119008</v>
      </c>
    </row>
    <row r="296" spans="3:4">
      <c r="C296" s="14">
        <v>94</v>
      </c>
      <c r="D296" s="14">
        <v>25823.264733701213</v>
      </c>
    </row>
    <row r="297" spans="3:4">
      <c r="C297" s="15">
        <v>88</v>
      </c>
      <c r="D297" s="15">
        <v>40725.745638866938</v>
      </c>
    </row>
    <row r="298" spans="3:4">
      <c r="C298" s="14">
        <v>100</v>
      </c>
      <c r="D298" s="14">
        <v>24062.007904852435</v>
      </c>
    </row>
    <row r="299" spans="3:4">
      <c r="C299" s="15">
        <v>95</v>
      </c>
      <c r="D299" s="15">
        <v>31549.103551135137</v>
      </c>
    </row>
    <row r="300" spans="3:4">
      <c r="C300" s="14">
        <v>95</v>
      </c>
      <c r="D300" s="14">
        <v>33168.884404660494</v>
      </c>
    </row>
    <row r="301" spans="3:4">
      <c r="C301" s="15">
        <v>92</v>
      </c>
      <c r="D301" s="15">
        <v>32068.995487257493</v>
      </c>
    </row>
    <row r="302" spans="3:4">
      <c r="C302" s="14">
        <v>108</v>
      </c>
      <c r="D302" s="14">
        <v>29073.561705611457</v>
      </c>
    </row>
    <row r="303" spans="3:4">
      <c r="C303" s="15">
        <v>99</v>
      </c>
      <c r="D303" s="15">
        <v>29350.896501332871</v>
      </c>
    </row>
    <row r="304" spans="3:4">
      <c r="C304" s="14">
        <v>95</v>
      </c>
      <c r="D304" s="14">
        <v>30219.057359895549</v>
      </c>
    </row>
    <row r="305" spans="3:4">
      <c r="C305" s="15">
        <v>86</v>
      </c>
      <c r="D305" s="15">
        <v>29264.989991857557</v>
      </c>
    </row>
    <row r="306" spans="3:4">
      <c r="C306" s="14">
        <v>120</v>
      </c>
      <c r="D306" s="14">
        <v>34819.395583974547</v>
      </c>
    </row>
    <row r="307" spans="3:4">
      <c r="C307" s="15">
        <v>81</v>
      </c>
      <c r="D307" s="15">
        <v>41052.61500795676</v>
      </c>
    </row>
    <row r="308" spans="3:4">
      <c r="C308" s="14">
        <v>102</v>
      </c>
      <c r="D308" s="14">
        <v>30599.02924</v>
      </c>
    </row>
    <row r="309" spans="3:4">
      <c r="C309" s="15">
        <v>87</v>
      </c>
      <c r="D309" s="15">
        <v>23150.985102104612</v>
      </c>
    </row>
    <row r="310" spans="3:4">
      <c r="C310" s="14">
        <v>90</v>
      </c>
      <c r="D310" s="14">
        <v>29558.589758243725</v>
      </c>
    </row>
    <row r="311" spans="3:4">
      <c r="C311" s="15">
        <v>89</v>
      </c>
      <c r="D311" s="15">
        <v>42898.546688271592</v>
      </c>
    </row>
    <row r="312" spans="3:4">
      <c r="C312" s="14">
        <v>105</v>
      </c>
      <c r="D312" s="14">
        <v>25981.627160151347</v>
      </c>
    </row>
    <row r="313" spans="3:4">
      <c r="C313" s="15">
        <v>96</v>
      </c>
      <c r="D313" s="15">
        <v>38195.584027220335</v>
      </c>
    </row>
    <row r="314" spans="3:4">
      <c r="C314" s="14">
        <v>97</v>
      </c>
      <c r="D314" s="14">
        <v>38388.504070382201</v>
      </c>
    </row>
    <row r="315" spans="3:4">
      <c r="C315" s="15">
        <v>98</v>
      </c>
      <c r="D315" s="15">
        <v>27232.058791460026</v>
      </c>
    </row>
    <row r="316" spans="3:4">
      <c r="C316" s="14">
        <v>100</v>
      </c>
      <c r="D316" s="14">
        <v>32844.915395926379</v>
      </c>
    </row>
    <row r="317" spans="3:4">
      <c r="C317" s="15">
        <v>108</v>
      </c>
      <c r="D317" s="15">
        <v>38141.983115642688</v>
      </c>
    </row>
    <row r="318" spans="3:4">
      <c r="C318" s="14">
        <v>92</v>
      </c>
      <c r="D318" s="14">
        <v>28104.361295062565</v>
      </c>
    </row>
    <row r="319" spans="3:4">
      <c r="C319" s="15">
        <v>97</v>
      </c>
      <c r="D319" s="15">
        <v>28982.098199488191</v>
      </c>
    </row>
    <row r="320" spans="3:4">
      <c r="C320" s="14">
        <v>116</v>
      </c>
      <c r="D320" s="14">
        <v>27091.595430256781</v>
      </c>
    </row>
    <row r="321" spans="3:4">
      <c r="C321" s="15">
        <f>IF(ISBLANK(C274), O275, C274)</f>
        <v>103</v>
      </c>
      <c r="D321" s="15">
        <v>24926.216346535664</v>
      </c>
    </row>
    <row r="322" spans="3:4">
      <c r="C322" s="14">
        <v>87</v>
      </c>
      <c r="D322" s="14">
        <v>26753.612274669966</v>
      </c>
    </row>
    <row r="323" spans="3:4">
      <c r="C323" s="15">
        <v>103</v>
      </c>
      <c r="D323" s="15">
        <v>23880.298666188719</v>
      </c>
    </row>
    <row r="324" spans="3:4">
      <c r="C324" s="14">
        <v>115</v>
      </c>
      <c r="D324" s="14">
        <v>30170.417341296132</v>
      </c>
    </row>
    <row r="325" spans="3:4">
      <c r="C325" s="15">
        <v>88</v>
      </c>
      <c r="D325" s="15">
        <v>26150.13384470679</v>
      </c>
    </row>
    <row r="326" spans="3:4">
      <c r="C326" s="14">
        <v>100</v>
      </c>
      <c r="D326" s="14">
        <v>31168.92955895374</v>
      </c>
    </row>
    <row r="327" spans="3:4">
      <c r="C327" s="15">
        <v>108</v>
      </c>
      <c r="D327" s="15">
        <v>22220.521768981864</v>
      </c>
    </row>
    <row r="328" spans="3:4">
      <c r="C328" s="14">
        <f>IF(ISBLANK(C281), O282, C281)</f>
        <v>96</v>
      </c>
      <c r="D328" s="14">
        <v>31654.401161072285</v>
      </c>
    </row>
    <row r="329" spans="3:4">
      <c r="C329" s="15">
        <v>86</v>
      </c>
      <c r="D329" s="15">
        <v>34167.644808044621</v>
      </c>
    </row>
    <row r="330" spans="3:4">
      <c r="C330" s="14">
        <v>87</v>
      </c>
      <c r="D330" s="14">
        <v>20031.321787142722</v>
      </c>
    </row>
    <row r="331" spans="3:4">
      <c r="C331" s="15">
        <v>109</v>
      </c>
      <c r="D331" s="15">
        <v>31870.282849237861</v>
      </c>
    </row>
    <row r="332" spans="3:4">
      <c r="C332" s="14">
        <v>91</v>
      </c>
      <c r="D332" s="14">
        <v>36138.344962366464</v>
      </c>
    </row>
    <row r="333" spans="3:4">
      <c r="C333" s="15">
        <v>107</v>
      </c>
      <c r="D333" s="15">
        <v>23951.794906543972</v>
      </c>
    </row>
    <row r="334" spans="3:4">
      <c r="C334" s="14">
        <v>106</v>
      </c>
      <c r="D334" s="14">
        <v>38362.861934188521</v>
      </c>
    </row>
    <row r="335" spans="3:4">
      <c r="C335" s="15">
        <v>92</v>
      </c>
      <c r="D335" s="15">
        <v>32095.095046830225</v>
      </c>
    </row>
    <row r="336" spans="3:4">
      <c r="C336" s="14">
        <v>90</v>
      </c>
      <c r="D336" s="14">
        <v>26474.940721207957</v>
      </c>
    </row>
    <row r="337" spans="3:4">
      <c r="C337" s="15">
        <v>102</v>
      </c>
      <c r="D337" s="15">
        <v>29721.15461171147</v>
      </c>
    </row>
    <row r="338" spans="3:4">
      <c r="C338" s="14">
        <v>99</v>
      </c>
      <c r="D338" s="14">
        <v>32791.634562608611</v>
      </c>
    </row>
    <row r="339" spans="3:4">
      <c r="C339" s="15">
        <v>88</v>
      </c>
      <c r="D339" s="15">
        <f>IF(ISBLANK(D314), M317, D314)</f>
        <v>38388.504070382201</v>
      </c>
    </row>
    <row r="340" spans="3:4">
      <c r="C340" s="14">
        <v>100</v>
      </c>
      <c r="D340" s="14">
        <v>32693.779962231845</v>
      </c>
    </row>
    <row r="341" spans="3:4">
      <c r="C341" s="15">
        <f>IF(ISBLANK(C294), O295, C294)</f>
        <v>100</v>
      </c>
      <c r="D341" s="15">
        <v>25396.632034603168</v>
      </c>
    </row>
    <row r="342" spans="3:4">
      <c r="C342" s="14">
        <v>106</v>
      </c>
      <c r="D342" s="14">
        <v>30846.80412018039</v>
      </c>
    </row>
    <row r="343" spans="3:4">
      <c r="C343" s="15">
        <f>IF(ISBLANK(C296), O297, C296)</f>
        <v>94</v>
      </c>
      <c r="D343" s="15">
        <v>22931.427515475101</v>
      </c>
    </row>
    <row r="344" spans="3:4">
      <c r="C344" s="14">
        <v>98</v>
      </c>
      <c r="D344" s="14">
        <v>29443.8696932565</v>
      </c>
    </row>
    <row r="345" spans="3:4">
      <c r="C345" s="15">
        <v>119</v>
      </c>
      <c r="D345" s="15">
        <v>30599.02924</v>
      </c>
    </row>
    <row r="346" spans="3:4">
      <c r="C346" s="14">
        <v>99</v>
      </c>
      <c r="D346" s="14">
        <v>26322.350287051166</v>
      </c>
    </row>
    <row r="347" spans="3:4">
      <c r="C347" s="15">
        <v>87</v>
      </c>
      <c r="D347" s="15">
        <v>36180.465876052185</v>
      </c>
    </row>
    <row r="348" spans="3:4">
      <c r="C348" s="14">
        <f>IF(ISBLANK(C301), O302, C301)</f>
        <v>92</v>
      </c>
      <c r="D348" s="14">
        <v>35456.550602971343</v>
      </c>
    </row>
    <row r="349" spans="3:4">
      <c r="C349" s="15">
        <v>103</v>
      </c>
      <c r="D349" s="15">
        <v>33045.690604535885</v>
      </c>
    </row>
    <row r="350" spans="3:4">
      <c r="C350" s="14">
        <v>79</v>
      </c>
      <c r="D350" s="14">
        <v>24538.436176637104</v>
      </c>
    </row>
    <row r="351" spans="3:4">
      <c r="C351" s="15">
        <v>110</v>
      </c>
      <c r="D351" s="15">
        <v>28417.957751525992</v>
      </c>
    </row>
    <row r="352" spans="3:4">
      <c r="C352" s="14">
        <v>95</v>
      </c>
      <c r="D352" s="14">
        <v>36065.488499895917</v>
      </c>
    </row>
    <row r="353" spans="3:4">
      <c r="C353" s="15">
        <v>101</v>
      </c>
      <c r="D353" s="15">
        <v>30708.584568199523</v>
      </c>
    </row>
    <row r="354" spans="3:4">
      <c r="C354" s="14">
        <v>95</v>
      </c>
      <c r="D354" s="14">
        <v>41596.64769990847</v>
      </c>
    </row>
    <row r="355" spans="3:4">
      <c r="C355" s="15">
        <v>107</v>
      </c>
      <c r="D355" s="15">
        <v>31966.589196971858</v>
      </c>
    </row>
    <row r="356" spans="3:4">
      <c r="C356" s="14">
        <v>91</v>
      </c>
      <c r="D356" s="14">
        <f>IF(ISBLANK(D331), M334, D331)</f>
        <v>31870.282849237861</v>
      </c>
    </row>
    <row r="357" spans="3:4">
      <c r="C357" s="15">
        <v>87</v>
      </c>
      <c r="D357" s="15">
        <v>28454.417678987495</v>
      </c>
    </row>
    <row r="358" spans="3:4">
      <c r="C358" s="14">
        <v>100</v>
      </c>
      <c r="D358" s="14">
        <v>30667.704523911412</v>
      </c>
    </row>
    <row r="359" spans="3:4">
      <c r="C359" s="15">
        <v>117</v>
      </c>
      <c r="D359" s="15">
        <v>29237.650818097281</v>
      </c>
    </row>
    <row r="360" spans="3:4">
      <c r="C360" s="14">
        <v>102</v>
      </c>
      <c r="D360" s="14">
        <f>IF(ISBLANK(D335), M338, D335)</f>
        <v>32095.095046830225</v>
      </c>
    </row>
    <row r="361" spans="3:4">
      <c r="C361" s="15">
        <v>88</v>
      </c>
      <c r="D361" s="15">
        <v>34783.511583972919</v>
      </c>
    </row>
    <row r="362" spans="3:4">
      <c r="C362" s="14">
        <v>100</v>
      </c>
      <c r="D362" s="14">
        <v>26070.052697460254</v>
      </c>
    </row>
    <row r="363" spans="3:4">
      <c r="C363" s="15">
        <v>81</v>
      </c>
      <c r="D363" s="15">
        <v>23343.83523221111</v>
      </c>
    </row>
    <row r="364" spans="3:4">
      <c r="C364" s="14">
        <v>91</v>
      </c>
      <c r="D364" s="14">
        <v>20818.973134483516</v>
      </c>
    </row>
    <row r="365" spans="3:4">
      <c r="C365" s="15">
        <v>90</v>
      </c>
      <c r="D365" s="15">
        <v>32539.956634562717</v>
      </c>
    </row>
    <row r="366" spans="3:4">
      <c r="C366" s="14">
        <v>102</v>
      </c>
      <c r="D366" s="14">
        <v>24483.166969130631</v>
      </c>
    </row>
    <row r="367" spans="3:4">
      <c r="C367" s="15">
        <v>109</v>
      </c>
      <c r="D367" s="15">
        <v>19235.547035237585</v>
      </c>
    </row>
    <row r="368" spans="3:4">
      <c r="C368" s="14">
        <v>101</v>
      </c>
      <c r="D368" s="14">
        <v>31942.893022654822</v>
      </c>
    </row>
    <row r="369" spans="3:4">
      <c r="C369" s="15">
        <v>97</v>
      </c>
      <c r="D369" s="15">
        <v>42464.997587163954</v>
      </c>
    </row>
    <row r="370" spans="3:4">
      <c r="C370" s="14">
        <v>88</v>
      </c>
      <c r="D370" s="14">
        <v>29969.645442300534</v>
      </c>
    </row>
    <row r="371" spans="3:4">
      <c r="C371" s="15">
        <v>100</v>
      </c>
      <c r="D371" s="15">
        <v>34192.453872258207</v>
      </c>
    </row>
    <row r="372" spans="3:4">
      <c r="C372" s="14">
        <v>104</v>
      </c>
      <c r="D372" s="14">
        <v>30409.146792737825</v>
      </c>
    </row>
    <row r="373" spans="3:4">
      <c r="C373" s="15">
        <v>106</v>
      </c>
      <c r="D373" s="15">
        <v>29505.551734044286</v>
      </c>
    </row>
    <row r="374" spans="3:4">
      <c r="C374" s="14">
        <v>91</v>
      </c>
      <c r="D374" s="14">
        <v>34595.382414938846</v>
      </c>
    </row>
    <row r="375" spans="3:4">
      <c r="C375" s="15">
        <v>110</v>
      </c>
      <c r="D375" s="15">
        <v>28548.627279056742</v>
      </c>
    </row>
    <row r="376" spans="3:4">
      <c r="C376" s="14">
        <v>104</v>
      </c>
      <c r="D376" s="14">
        <v>31336.961570359515</v>
      </c>
    </row>
    <row r="377" spans="3:4">
      <c r="C377" s="15">
        <v>85</v>
      </c>
      <c r="D377" s="15">
        <v>31608.489030980068</v>
      </c>
    </row>
    <row r="378" spans="3:4">
      <c r="C378" s="14">
        <v>107</v>
      </c>
      <c r="D378" s="14">
        <v>26659.547731784754</v>
      </c>
    </row>
    <row r="379" spans="3:4">
      <c r="C379" s="15">
        <v>111</v>
      </c>
      <c r="D379" s="15">
        <v>34960.211747682617</v>
      </c>
    </row>
    <row r="380" spans="3:4">
      <c r="C380" s="14">
        <f>IF(ISBLANK(C333), O334, C333)</f>
        <v>107</v>
      </c>
      <c r="D380" s="14">
        <v>29125.201216522957</v>
      </c>
    </row>
    <row r="381" spans="3:4">
      <c r="C381" s="15">
        <v>94</v>
      </c>
      <c r="D381" s="15">
        <v>26221.274202535777</v>
      </c>
    </row>
    <row r="382" spans="3:4">
      <c r="C382" s="14">
        <v>91</v>
      </c>
      <c r="D382" s="14">
        <v>32682.549217852018</v>
      </c>
    </row>
    <row r="383" spans="3:4">
      <c r="C383" s="15">
        <v>89</v>
      </c>
      <c r="D383" s="15">
        <v>25507.660091044814</v>
      </c>
    </row>
    <row r="384" spans="3:4">
      <c r="C384" s="14">
        <v>98</v>
      </c>
      <c r="D384" s="14">
        <v>30140.90578684564</v>
      </c>
    </row>
    <row r="385" spans="3:4">
      <c r="C385" s="15">
        <v>110</v>
      </c>
      <c r="D385" s="15">
        <v>29954.405016778983</v>
      </c>
    </row>
    <row r="386" spans="3:4">
      <c r="C386" s="14">
        <v>93</v>
      </c>
      <c r="D386" s="14">
        <v>35429.477829157891</v>
      </c>
    </row>
    <row r="387" spans="3:4">
      <c r="C387" s="15">
        <v>103</v>
      </c>
      <c r="D387" s="15">
        <v>32373.491164399762</v>
      </c>
    </row>
    <row r="388" spans="3:4">
      <c r="C388" s="14">
        <f>IF(ISBLANK(C341), O342, C341)</f>
        <v>100</v>
      </c>
      <c r="D388" s="14">
        <f>IF(ISBLANK(D363), M366, D363)</f>
        <v>23343.83523221111</v>
      </c>
    </row>
    <row r="389" spans="3:4">
      <c r="C389" s="15">
        <v>101</v>
      </c>
      <c r="D389" s="15">
        <v>34088.831496001432</v>
      </c>
    </row>
    <row r="390" spans="3:4">
      <c r="C390" s="14">
        <v>94</v>
      </c>
      <c r="D390" s="14">
        <v>30599.02924</v>
      </c>
    </row>
    <row r="391" spans="3:4">
      <c r="C391" s="15">
        <v>108</v>
      </c>
      <c r="D391" s="15">
        <v>32789.051531759309</v>
      </c>
    </row>
    <row r="392" spans="3:4">
      <c r="C392" s="14">
        <v>113</v>
      </c>
      <c r="D392" s="14">
        <v>30051.763099216903</v>
      </c>
    </row>
    <row r="393" spans="3:4">
      <c r="C393" s="15">
        <v>115</v>
      </c>
      <c r="D393" s="15">
        <v>23440.818838249201</v>
      </c>
    </row>
    <row r="394" spans="3:4">
      <c r="C394" s="14">
        <v>98</v>
      </c>
      <c r="D394" s="14">
        <v>24674.431684623138</v>
      </c>
    </row>
    <row r="395" spans="3:4">
      <c r="C395" s="15">
        <v>93</v>
      </c>
      <c r="D395" s="15">
        <v>28473.876478226663</v>
      </c>
    </row>
    <row r="396" spans="3:4">
      <c r="C396" s="14">
        <v>104</v>
      </c>
      <c r="D396" s="14">
        <v>26952.438989203583</v>
      </c>
    </row>
    <row r="397" spans="3:4">
      <c r="C397" s="15">
        <v>100</v>
      </c>
      <c r="D397" s="15">
        <v>29065.143485072771</v>
      </c>
    </row>
    <row r="398" spans="3:4">
      <c r="C398" s="14">
        <v>89</v>
      </c>
      <c r="D398" s="14">
        <f>IF(ISBLANK(D373), M376, D373)</f>
        <v>29505.551734044286</v>
      </c>
    </row>
    <row r="399" spans="3:4">
      <c r="C399" s="15">
        <v>86</v>
      </c>
      <c r="D399" s="15">
        <v>32648.463771783652</v>
      </c>
    </row>
    <row r="400" spans="3:4">
      <c r="C400" s="14">
        <v>93</v>
      </c>
      <c r="D400" s="14">
        <v>29647.506109704544</v>
      </c>
    </row>
    <row r="401" spans="3:4">
      <c r="C401" s="15">
        <v>104</v>
      </c>
      <c r="D401" s="15">
        <v>32432.50821913101</v>
      </c>
    </row>
    <row r="402" spans="3:4">
      <c r="C402" s="14">
        <v>91</v>
      </c>
      <c r="D402" s="14">
        <f>IF(ISBLANK(D377), M380, D377)</f>
        <v>31608.489030980068</v>
      </c>
    </row>
    <row r="403" spans="3:4">
      <c r="C403" s="15">
        <v>113</v>
      </c>
      <c r="D403" s="15">
        <v>20122.667168230644</v>
      </c>
    </row>
    <row r="404" spans="3:4">
      <c r="C404" s="14">
        <v>103</v>
      </c>
      <c r="D404" s="14">
        <v>25303.323030906227</v>
      </c>
    </row>
    <row r="405" spans="3:4">
      <c r="C405" s="15">
        <v>98</v>
      </c>
      <c r="D405" s="15">
        <v>29279.562221391923</v>
      </c>
    </row>
    <row r="406" spans="3:4">
      <c r="C406" s="14">
        <v>100</v>
      </c>
      <c r="D406" s="14">
        <v>23951.526285794462</v>
      </c>
    </row>
    <row r="407" spans="3:4">
      <c r="C407" s="15">
        <v>89</v>
      </c>
      <c r="D407" s="15">
        <v>32999.643649981022</v>
      </c>
    </row>
    <row r="408" spans="3:4">
      <c r="C408" s="14">
        <v>83</v>
      </c>
      <c r="D408" s="14">
        <v>37653.754161718491</v>
      </c>
    </row>
    <row r="409" spans="3:4">
      <c r="C409" s="15">
        <v>92</v>
      </c>
      <c r="D409" s="15">
        <v>36093.809258486581</v>
      </c>
    </row>
    <row r="410" spans="3:4">
      <c r="C410" s="14">
        <f>IF(ISBLANK(C363), O364, C363)</f>
        <v>81</v>
      </c>
      <c r="D410" s="14">
        <v>28932.785645348958</v>
      </c>
    </row>
    <row r="411" spans="3:4">
      <c r="C411" s="15">
        <f>IF(ISBLANK(C364), O365, C364)</f>
        <v>91</v>
      </c>
      <c r="D411" s="15">
        <v>37453.630684249758</v>
      </c>
    </row>
    <row r="412" spans="3:4">
      <c r="C412" s="14">
        <v>102</v>
      </c>
      <c r="D412" s="14">
        <v>30743.337286010559</v>
      </c>
    </row>
    <row r="413" spans="3:4">
      <c r="C413" s="15">
        <v>107</v>
      </c>
      <c r="D413" s="15">
        <v>28314.570144409805</v>
      </c>
    </row>
    <row r="414" spans="3:4">
      <c r="C414" s="14">
        <v>103</v>
      </c>
      <c r="D414" s="14">
        <v>30599.02924</v>
      </c>
    </row>
    <row r="415" spans="3:4">
      <c r="C415" s="15">
        <v>100</v>
      </c>
      <c r="D415" s="15">
        <f>IF(ISBLANK(D390), M393, D390)</f>
        <v>30599.02924</v>
      </c>
    </row>
    <row r="416" spans="3:4">
      <c r="C416" s="14">
        <f>IF(ISBLANK(C369), O370, C369)</f>
        <v>97</v>
      </c>
      <c r="D416" s="14">
        <v>28059.115907293857</v>
      </c>
    </row>
    <row r="417" spans="3:4">
      <c r="C417" s="15">
        <v>85</v>
      </c>
      <c r="D417" s="15">
        <v>30852.08111187744</v>
      </c>
    </row>
    <row r="418" spans="3:4">
      <c r="C418" s="14">
        <v>107</v>
      </c>
      <c r="D418" s="14">
        <v>30802.869905249325</v>
      </c>
    </row>
    <row r="419" spans="3:4">
      <c r="C419" s="15">
        <v>106</v>
      </c>
      <c r="D419" s="15">
        <v>30015.230100767072</v>
      </c>
    </row>
    <row r="420" spans="3:4">
      <c r="C420" s="14">
        <v>92</v>
      </c>
      <c r="D420" s="14">
        <v>32184.690848731749</v>
      </c>
    </row>
    <row r="421" spans="3:4">
      <c r="C421" s="15">
        <v>110</v>
      </c>
      <c r="D421" s="15">
        <v>35953.231373931703</v>
      </c>
    </row>
    <row r="422" spans="3:4">
      <c r="C422" s="14">
        <v>93</v>
      </c>
      <c r="D422" s="14">
        <v>34747.770677206616</v>
      </c>
    </row>
    <row r="423" spans="3:4">
      <c r="C423" s="15">
        <f>IF(ISBLANK(C376), O377, C376)</f>
        <v>104</v>
      </c>
      <c r="D423" s="15">
        <v>22575.510157750483</v>
      </c>
    </row>
    <row r="424" spans="3:4">
      <c r="C424" s="14">
        <v>117</v>
      </c>
      <c r="D424" s="14">
        <v>17230.394325490226</v>
      </c>
    </row>
    <row r="425" spans="3:4">
      <c r="C425" s="15">
        <v>122</v>
      </c>
      <c r="D425" s="15">
        <v>34671.599556196365</v>
      </c>
    </row>
    <row r="426" spans="3:4">
      <c r="C426" s="14">
        <v>90</v>
      </c>
      <c r="D426" s="14">
        <v>23165.606507922894</v>
      </c>
    </row>
    <row r="427" spans="3:4">
      <c r="C427" s="15">
        <v>113</v>
      </c>
      <c r="D427" s="15">
        <v>28876.172990536583</v>
      </c>
    </row>
    <row r="428" spans="3:4">
      <c r="C428" s="14">
        <v>110</v>
      </c>
      <c r="D428" s="14">
        <v>24149.434869703204</v>
      </c>
    </row>
    <row r="429" spans="3:4">
      <c r="C429" s="15">
        <v>106</v>
      </c>
      <c r="D429" s="15">
        <v>20990.097812099899</v>
      </c>
    </row>
    <row r="430" spans="3:4">
      <c r="C430" s="14">
        <v>92</v>
      </c>
      <c r="D430" s="14">
        <v>32707.313641023939</v>
      </c>
    </row>
    <row r="431" spans="3:4">
      <c r="C431" s="15">
        <v>121</v>
      </c>
      <c r="D431" s="15">
        <v>33795.775801513235</v>
      </c>
    </row>
    <row r="432" spans="3:4">
      <c r="C432" s="14">
        <v>89</v>
      </c>
      <c r="D432" s="14">
        <v>27117.447996366402</v>
      </c>
    </row>
    <row r="433" spans="3:4">
      <c r="C433" s="15">
        <v>117</v>
      </c>
      <c r="D433" s="15">
        <v>30599.02924</v>
      </c>
    </row>
    <row r="434" spans="3:4">
      <c r="C434" s="14">
        <v>106</v>
      </c>
      <c r="D434" s="14">
        <v>27268.777758737586</v>
      </c>
    </row>
    <row r="435" spans="3:4">
      <c r="C435" s="15">
        <v>121</v>
      </c>
      <c r="D435" s="15">
        <v>31959.020027012732</v>
      </c>
    </row>
    <row r="436" spans="3:4">
      <c r="C436" s="14">
        <v>95</v>
      </c>
      <c r="D436" s="14">
        <v>22605.442156129357</v>
      </c>
    </row>
    <row r="437" spans="3:4">
      <c r="C437" s="15">
        <v>91</v>
      </c>
      <c r="D437" s="15">
        <v>30916.799598895777</v>
      </c>
    </row>
    <row r="438" spans="3:4">
      <c r="C438" s="14">
        <v>82</v>
      </c>
      <c r="D438" s="14">
        <v>30599.02924</v>
      </c>
    </row>
    <row r="439" spans="3:4">
      <c r="C439" s="15">
        <v>100</v>
      </c>
      <c r="D439" s="15">
        <v>32896.457498005439</v>
      </c>
    </row>
    <row r="440" spans="3:4">
      <c r="C440" s="14">
        <v>81</v>
      </c>
      <c r="D440" s="14">
        <v>30597.901842070765</v>
      </c>
    </row>
    <row r="441" spans="3:4">
      <c r="C441" s="15">
        <v>101</v>
      </c>
      <c r="D441" s="15">
        <v>25134.655295592223</v>
      </c>
    </row>
    <row r="442" spans="3:4">
      <c r="C442" s="14">
        <v>95</v>
      </c>
      <c r="D442" s="14">
        <v>35982.857508322457</v>
      </c>
    </row>
    <row r="443" spans="3:4">
      <c r="C443" s="15">
        <v>114</v>
      </c>
      <c r="D443" s="15">
        <v>29207.352134865148</v>
      </c>
    </row>
    <row r="444" spans="3:4">
      <c r="C444" s="14">
        <v>92</v>
      </c>
      <c r="D444" s="14">
        <f>IF(ISBLANK(D419), M422, D419)</f>
        <v>30015.230100767072</v>
      </c>
    </row>
    <row r="445" spans="3:4">
      <c r="C445" s="15">
        <v>113</v>
      </c>
      <c r="D445" s="15">
        <v>25333.660204634019</v>
      </c>
    </row>
    <row r="446" spans="3:4">
      <c r="C446" s="14">
        <v>113</v>
      </c>
      <c r="D446" s="14">
        <v>27783.588744042449</v>
      </c>
    </row>
    <row r="447" spans="3:4">
      <c r="C447" s="15">
        <v>120</v>
      </c>
      <c r="D447" s="15">
        <v>25575.986429865494</v>
      </c>
    </row>
    <row r="448" spans="3:4">
      <c r="C448" s="14">
        <v>108</v>
      </c>
      <c r="D448" s="14">
        <v>29135.269700382883</v>
      </c>
    </row>
    <row r="449" spans="3:4">
      <c r="C449" s="15">
        <v>99</v>
      </c>
      <c r="D449" s="15">
        <v>38558.542400711718</v>
      </c>
    </row>
    <row r="450" spans="3:4">
      <c r="C450" s="14">
        <v>108</v>
      </c>
      <c r="D450" s="14">
        <v>23140.494285343219</v>
      </c>
    </row>
    <row r="451" spans="3:4">
      <c r="C451" s="15">
        <v>98</v>
      </c>
      <c r="D451" s="15">
        <v>21932.193010616294</v>
      </c>
    </row>
    <row r="452" spans="3:4">
      <c r="C452" s="14">
        <v>92</v>
      </c>
      <c r="D452" s="14">
        <v>37355.85163746804</v>
      </c>
    </row>
    <row r="453" spans="3:4">
      <c r="C453" s="15">
        <v>96</v>
      </c>
      <c r="D453" s="15">
        <v>28953.381614240669</v>
      </c>
    </row>
    <row r="454" spans="3:4">
      <c r="C454" s="14">
        <v>94</v>
      </c>
      <c r="D454" s="14">
        <v>26654.636306700417</v>
      </c>
    </row>
    <row r="455" spans="3:4">
      <c r="C455" s="15">
        <v>75</v>
      </c>
      <c r="D455" s="15">
        <v>35199.52343698038</v>
      </c>
    </row>
    <row r="456" spans="3:4">
      <c r="C456" s="14">
        <v>97</v>
      </c>
      <c r="D456" s="14">
        <v>26971.922301315681</v>
      </c>
    </row>
    <row r="457" spans="3:4">
      <c r="C457" s="15">
        <v>100</v>
      </c>
      <c r="D457" s="15">
        <f>IF(ISBLANK(D432), M435, D432)</f>
        <v>27117.447996366402</v>
      </c>
    </row>
    <row r="458" spans="3:4">
      <c r="C458" s="14">
        <v>98</v>
      </c>
      <c r="D458" s="14">
        <v>33389.629356696343</v>
      </c>
    </row>
    <row r="459" spans="3:4">
      <c r="C459" s="15">
        <v>121</v>
      </c>
      <c r="D459" s="15">
        <v>27560.442959271488</v>
      </c>
    </row>
    <row r="460" spans="3:4">
      <c r="C460" s="14">
        <v>103</v>
      </c>
      <c r="D460" s="14">
        <v>40786.541066327518</v>
      </c>
    </row>
    <row r="461" spans="3:4">
      <c r="C461" s="15">
        <v>121</v>
      </c>
      <c r="D461" s="15">
        <f>IF(ISBLANK(D436), M439, D436)</f>
        <v>22605.442156129357</v>
      </c>
    </row>
    <row r="462" spans="3:4">
      <c r="C462" s="14">
        <v>103</v>
      </c>
      <c r="D462" s="14">
        <v>33710.476860046532</v>
      </c>
    </row>
    <row r="463" spans="3:4">
      <c r="C463" s="15">
        <v>91</v>
      </c>
      <c r="D463" s="15">
        <v>31496.462902032461</v>
      </c>
    </row>
    <row r="464" spans="3:4">
      <c r="C464" s="14">
        <v>91</v>
      </c>
      <c r="D464" s="14">
        <v>36508.706446993994</v>
      </c>
    </row>
    <row r="465" spans="3:4">
      <c r="C465" s="15">
        <f>IF(ISBLANK(C418), O419, C418)</f>
        <v>107</v>
      </c>
      <c r="D465" s="15">
        <v>37807.555983634265</v>
      </c>
    </row>
    <row r="466" spans="3:4">
      <c r="C466" s="14">
        <v>97</v>
      </c>
      <c r="D466" s="14">
        <v>30160.020745328835</v>
      </c>
    </row>
    <row r="467" spans="3:4">
      <c r="C467" s="15">
        <v>106</v>
      </c>
      <c r="D467" s="15">
        <v>26232.910648269084</v>
      </c>
    </row>
    <row r="468" spans="3:4">
      <c r="C468" s="14">
        <v>110</v>
      </c>
      <c r="D468" s="14">
        <v>32299.860714695584</v>
      </c>
    </row>
    <row r="469" spans="3:4">
      <c r="C469" s="15">
        <v>91</v>
      </c>
      <c r="D469" s="15">
        <v>26611.423151239469</v>
      </c>
    </row>
    <row r="470" spans="3:4">
      <c r="C470" s="14">
        <v>103</v>
      </c>
      <c r="D470" s="14">
        <v>40066.936237633112</v>
      </c>
    </row>
    <row r="471" spans="3:4">
      <c r="C471" s="15">
        <v>84</v>
      </c>
      <c r="D471" s="15">
        <v>30682.676655413688</v>
      </c>
    </row>
    <row r="472" spans="3:4">
      <c r="C472" s="14">
        <v>93</v>
      </c>
      <c r="D472" s="14">
        <v>28173.392243439455</v>
      </c>
    </row>
    <row r="473" spans="3:4">
      <c r="C473" s="15">
        <v>113</v>
      </c>
      <c r="D473" s="15">
        <v>30599.02924</v>
      </c>
    </row>
    <row r="474" spans="3:4">
      <c r="C474" s="14">
        <v>105</v>
      </c>
      <c r="D474" s="14">
        <v>23264.368552351516</v>
      </c>
    </row>
    <row r="475" spans="3:4">
      <c r="C475" s="15">
        <v>83</v>
      </c>
      <c r="D475" s="15">
        <v>25141.929807446744</v>
      </c>
    </row>
    <row r="476" spans="3:4">
      <c r="C476" s="14">
        <v>96</v>
      </c>
      <c r="D476" s="14">
        <v>36002.069539722128</v>
      </c>
    </row>
    <row r="477" spans="3:4">
      <c r="C477" s="15">
        <v>107</v>
      </c>
      <c r="D477" s="15">
        <v>26715.528605143023</v>
      </c>
    </row>
    <row r="478" spans="3:4">
      <c r="C478" s="14">
        <v>83</v>
      </c>
      <c r="D478" s="14">
        <v>24765.445086590302</v>
      </c>
    </row>
    <row r="479" spans="3:4">
      <c r="C479" s="15">
        <v>105</v>
      </c>
      <c r="D479" s="15">
        <v>32683.26376263643</v>
      </c>
    </row>
    <row r="480" spans="3:4">
      <c r="C480" s="14">
        <v>112</v>
      </c>
      <c r="D480" s="14">
        <v>35928.520773314987</v>
      </c>
    </row>
    <row r="481" spans="3:4">
      <c r="C481" s="15">
        <v>99</v>
      </c>
      <c r="D481" s="15">
        <v>33594.766553325331</v>
      </c>
    </row>
    <row r="482" spans="3:4">
      <c r="C482" s="14">
        <v>111</v>
      </c>
      <c r="D482" s="14">
        <v>34980.238429029079</v>
      </c>
    </row>
    <row r="483" spans="3:4">
      <c r="C483" s="15">
        <v>105</v>
      </c>
      <c r="D483" s="15">
        <v>26216.024557152698</v>
      </c>
    </row>
    <row r="484" spans="3:4">
      <c r="C484" s="14">
        <v>93</v>
      </c>
      <c r="D484" s="14">
        <v>22890.94666629078</v>
      </c>
    </row>
    <row r="485" spans="3:4">
      <c r="C485" s="15">
        <v>109</v>
      </c>
      <c r="D485" s="15">
        <v>37506.668259777434</v>
      </c>
    </row>
    <row r="486" spans="3:4">
      <c r="C486" s="14">
        <v>106</v>
      </c>
      <c r="D486" s="14">
        <v>28386.60080578932</v>
      </c>
    </row>
    <row r="487" spans="3:4">
      <c r="C487" s="15">
        <v>106</v>
      </c>
      <c r="D487" s="15">
        <v>28745.834917724762</v>
      </c>
    </row>
    <row r="488" spans="3:4">
      <c r="C488" s="14">
        <v>103</v>
      </c>
      <c r="D488" s="14">
        <v>36640.970709245288</v>
      </c>
    </row>
    <row r="489" spans="3:4">
      <c r="C489" s="15">
        <v>113</v>
      </c>
      <c r="D489" s="15">
        <v>32781.150047003299</v>
      </c>
    </row>
    <row r="490" spans="3:4">
      <c r="C490" s="14">
        <v>111</v>
      </c>
      <c r="D490" s="14">
        <v>30599.02924</v>
      </c>
    </row>
    <row r="491" spans="3:4">
      <c r="C491" s="15">
        <f>IF(ISBLANK(C444), O445, C444)</f>
        <v>92</v>
      </c>
      <c r="D491" s="15">
        <v>40825.011724505421</v>
      </c>
    </row>
    <row r="492" spans="3:4">
      <c r="C492" s="14">
        <v>89</v>
      </c>
      <c r="D492" s="14">
        <v>26782.408848099287</v>
      </c>
    </row>
    <row r="493" spans="3:4">
      <c r="C493" s="15">
        <v>111</v>
      </c>
      <c r="D493" s="15">
        <v>34639.200640406183</v>
      </c>
    </row>
    <row r="494" spans="3:4">
      <c r="C494" s="14">
        <v>104</v>
      </c>
      <c r="D494" s="14">
        <f>IF(ISBLANK(D469), M472, D469)</f>
        <v>26611.423151239469</v>
      </c>
    </row>
    <row r="495" spans="3:4">
      <c r="C495" s="15">
        <f>IF(ISBLANK(C448), O449, C448)</f>
        <v>108</v>
      </c>
      <c r="D495" s="15">
        <v>31342.961394316284</v>
      </c>
    </row>
    <row r="496" spans="3:4">
      <c r="C496" s="14">
        <v>109</v>
      </c>
      <c r="D496" s="14">
        <v>37642.342132062658</v>
      </c>
    </row>
    <row r="497" spans="3:4">
      <c r="C497" s="15">
        <v>108</v>
      </c>
      <c r="D497" s="15">
        <v>32539.178781448118</v>
      </c>
    </row>
    <row r="498" spans="3:4">
      <c r="C498" s="14">
        <v>127</v>
      </c>
      <c r="D498" s="14">
        <v>32691.480395248163</v>
      </c>
    </row>
    <row r="499" spans="3:4">
      <c r="C499" s="15">
        <v>104</v>
      </c>
      <c r="D499" s="15">
        <v>35362.536686549014</v>
      </c>
    </row>
    <row r="500" spans="3:4">
      <c r="C500" s="14">
        <v>106</v>
      </c>
      <c r="D500" s="14">
        <v>28175.236352285574</v>
      </c>
    </row>
    <row r="501" spans="3:4">
      <c r="C501" s="15">
        <v>94</v>
      </c>
      <c r="D501" s="15">
        <v>25803.951663304968</v>
      </c>
    </row>
    <row r="502" spans="3:4">
      <c r="C502" s="14">
        <v>81</v>
      </c>
      <c r="D502" s="14">
        <v>24775.954029894834</v>
      </c>
    </row>
    <row r="503" spans="3:4">
      <c r="C503" s="15">
        <v>95</v>
      </c>
      <c r="D503" s="15">
        <v>20168.217053119992</v>
      </c>
    </row>
  </sheetData>
  <conditionalFormatting sqref="C3:C503">
    <cfRule type="cellIs" dxfId="16" priority="6" operator="greaterThan">
      <formula>127</formula>
    </cfRule>
    <cfRule type="containsBlanks" dxfId="15" priority="7">
      <formula>LEN(TRIM(C3))=0</formula>
    </cfRule>
  </conditionalFormatting>
  <conditionalFormatting sqref="C4:C503">
    <cfRule type="cellIs" dxfId="14" priority="5" operator="notBetween">
      <formula>75</formula>
      <formula>127</formula>
    </cfRule>
  </conditionalFormatting>
  <conditionalFormatting sqref="D3:D503">
    <cfRule type="containsBlanks" dxfId="13" priority="4">
      <formula>LEN(TRIM(D3))=0</formula>
    </cfRule>
  </conditionalFormatting>
  <conditionalFormatting sqref="D4:D503">
    <cfRule type="cellIs" dxfId="12" priority="1" operator="notBetween">
      <formula>17044.78854</formula>
      <formula>42898.54669</formula>
    </cfRule>
    <cfRule type="cellIs" dxfId="11" priority="2" operator="lessThan">
      <formula>15575.63284</formula>
    </cfRule>
    <cfRule type="cellIs" dxfId="10" priority="3" operator="greaterThan">
      <formula>45475.55713</formula>
    </cfRule>
  </conditionalFormatting>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A8572-AE51-47C4-A835-2C478B2473F5}">
  <sheetPr codeName="Sheet24"/>
  <dimension ref="B3:Q32"/>
  <sheetViews>
    <sheetView topLeftCell="E1" workbookViewId="0">
      <selection activeCell="N21" sqref="N21:P21"/>
    </sheetView>
  </sheetViews>
  <sheetFormatPr defaultRowHeight="14.4"/>
  <cols>
    <col min="3" max="3" width="17.109375" customWidth="1"/>
    <col min="4" max="4" width="14.44140625" bestFit="1" customWidth="1"/>
    <col min="9" max="9" width="20.21875" customWidth="1"/>
    <col min="10" max="10" width="16.88671875" customWidth="1"/>
    <col min="15" max="15" width="11.5546875" customWidth="1"/>
    <col min="16" max="16" width="14.44140625" bestFit="1" customWidth="1"/>
    <col min="17" max="17" width="16" customWidth="1"/>
  </cols>
  <sheetData>
    <row r="3" spans="2:17" ht="18">
      <c r="B3" s="17" t="s">
        <v>80</v>
      </c>
      <c r="C3" s="17"/>
      <c r="D3" s="18">
        <f>SUM(automotive_demand_forecasting_dataset567[Units_Sold])</f>
        <v>49650</v>
      </c>
      <c r="H3" s="20" t="s">
        <v>82</v>
      </c>
      <c r="I3" s="19"/>
      <c r="J3" s="18">
        <f>AVERAGE(automotive_demand_forecasting_dataset567[Average_Price])</f>
        <v>30839.047633206559</v>
      </c>
      <c r="N3" s="23" t="s">
        <v>83</v>
      </c>
      <c r="O3" s="21"/>
      <c r="P3" s="18">
        <f>SUM(automotive_demand_forecasting_dataset567[Estimated Revenue])</f>
        <v>1531263165.9894783</v>
      </c>
    </row>
    <row r="9" spans="2:17">
      <c r="G9" s="22"/>
    </row>
    <row r="11" spans="2:17">
      <c r="B11" s="2" t="s">
        <v>81</v>
      </c>
      <c r="N11" s="2" t="s">
        <v>87</v>
      </c>
    </row>
    <row r="13" spans="2:17">
      <c r="H13" s="2" t="s">
        <v>84</v>
      </c>
    </row>
    <row r="16" spans="2:17" ht="18">
      <c r="B16" s="25" t="s">
        <v>86</v>
      </c>
      <c r="C16" s="24"/>
      <c r="D16" s="18">
        <f>SUM(automotive_demand_forecasting_dataset567[Marketing_Spend])</f>
        <v>50428159.479048401</v>
      </c>
      <c r="H16" s="27" t="s">
        <v>85</v>
      </c>
      <c r="I16" s="26"/>
      <c r="J16" s="18">
        <f>D3/D16</f>
        <v>9.8456894943049224E-4</v>
      </c>
      <c r="N16" s="28" t="s">
        <v>89</v>
      </c>
      <c r="O16" s="28"/>
      <c r="P16" s="28"/>
      <c r="Q16" s="18">
        <f>D3/D16</f>
        <v>9.8456894943049224E-4</v>
      </c>
    </row>
    <row r="18" spans="8:16">
      <c r="N18" s="2" t="s">
        <v>90</v>
      </c>
    </row>
    <row r="21" spans="8:16" ht="18">
      <c r="N21" s="29" t="s">
        <v>88</v>
      </c>
      <c r="O21" s="29"/>
      <c r="P21" s="18">
        <f>SUM(automotive_demand_forecasting_dataset567[Online_Interest_Index])</f>
        <v>30655.208472010316</v>
      </c>
    </row>
    <row r="32" spans="8:16">
      <c r="H32" s="2" t="s">
        <v>91</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C203E-AAE0-4C49-84A8-2C14EE58446F}">
  <sheetPr codeName="Sheet25"/>
  <dimension ref="D3:V8"/>
  <sheetViews>
    <sheetView showGridLines="0" zoomScale="62" zoomScaleNormal="53" zoomScaleSheetLayoutView="98" workbookViewId="0"/>
  </sheetViews>
  <sheetFormatPr defaultRowHeight="14.4"/>
  <cols>
    <col min="1" max="4" width="8.88671875" style="30"/>
    <col min="5" max="5" width="16" style="30" customWidth="1"/>
    <col min="6" max="6" width="11.44140625" style="30" bestFit="1" customWidth="1"/>
    <col min="7" max="8" width="8.88671875" style="30"/>
    <col min="9" max="9" width="24.77734375" style="30" customWidth="1"/>
    <col min="10" max="10" width="14.77734375" style="30" bestFit="1" customWidth="1"/>
    <col min="11" max="12" width="8.88671875" style="30"/>
    <col min="13" max="13" width="21.5546875" style="30" customWidth="1"/>
    <col min="14" max="14" width="20.5546875" style="30" bestFit="1" customWidth="1"/>
    <col min="15" max="16" width="8.88671875" style="30"/>
    <col min="17" max="17" width="28" style="30" customWidth="1"/>
    <col min="18" max="18" width="20.5546875" style="30" bestFit="1" customWidth="1"/>
    <col min="19" max="20" width="8.88671875" style="30"/>
    <col min="21" max="21" width="35.44140625" style="30" customWidth="1"/>
    <col min="22" max="22" width="14.77734375" style="30" bestFit="1" customWidth="1"/>
    <col min="23" max="16384" width="8.88671875" style="30"/>
  </cols>
  <sheetData>
    <row r="3" spans="4:22" ht="46.2">
      <c r="I3" s="39"/>
      <c r="J3" s="38" t="s">
        <v>98</v>
      </c>
      <c r="K3" s="38"/>
      <c r="L3" s="38"/>
      <c r="M3" s="38"/>
      <c r="N3" s="39"/>
      <c r="O3" s="39"/>
      <c r="P3" s="39"/>
      <c r="Q3" s="39"/>
      <c r="R3" s="39"/>
      <c r="S3" s="39"/>
    </row>
    <row r="8" spans="4:22" ht="25.8">
      <c r="D8" s="40" t="s">
        <v>80</v>
      </c>
      <c r="E8" s="40"/>
      <c r="F8" s="41">
        <f>SUM(automotive_demand_forecasting_dataset567[Units_Sold])</f>
        <v>49650</v>
      </c>
      <c r="H8" s="155" t="s">
        <v>82</v>
      </c>
      <c r="I8" s="155"/>
      <c r="J8" s="41">
        <f>AVERAGE(automotive_demand_forecasting_dataset567[Average_Price])</f>
        <v>30839.047633206559</v>
      </c>
      <c r="L8" s="42" t="s">
        <v>83</v>
      </c>
      <c r="M8" s="43"/>
      <c r="N8" s="41">
        <f>SUM(automotive_demand_forecasting_dataset567[Estimated Revenue])</f>
        <v>1531263165.9894783</v>
      </c>
      <c r="P8" s="44" t="s">
        <v>86</v>
      </c>
      <c r="Q8" s="44"/>
      <c r="R8" s="41">
        <f>SUM(automotive_demand_forecasting_dataset567[Marketing_Spend])</f>
        <v>50428159.479048401</v>
      </c>
      <c r="T8" s="45" t="s">
        <v>88</v>
      </c>
      <c r="U8" s="45"/>
      <c r="V8" s="41">
        <f>SUM(automotive_demand_forecasting_dataset567[Online_Interest_Index])</f>
        <v>30655.208472010316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6FAD-2844-40E6-A79D-547DBF6DEE2C}">
  <sheetPr codeName="Sheet26"/>
  <dimension ref="B3:P21"/>
  <sheetViews>
    <sheetView workbookViewId="0">
      <selection activeCell="M19" sqref="M19"/>
    </sheetView>
  </sheetViews>
  <sheetFormatPr defaultRowHeight="14.4"/>
  <cols>
    <col min="1" max="4" width="8.88671875" style="57"/>
    <col min="5" max="5" width="15.77734375" style="57" customWidth="1"/>
    <col min="6" max="6" width="3.88671875" style="57" customWidth="1"/>
    <col min="7" max="7" width="5.6640625" style="57" customWidth="1"/>
    <col min="8" max="8" width="8.88671875" style="57"/>
    <col min="9" max="9" width="33" style="57" customWidth="1"/>
    <col min="10" max="10" width="10.5546875" style="57" customWidth="1"/>
    <col min="11" max="11" width="10.33203125" style="57" customWidth="1"/>
    <col min="12" max="12" width="8.88671875" style="57"/>
    <col min="13" max="13" width="11" style="57" customWidth="1"/>
    <col min="14" max="14" width="11.21875" style="57" customWidth="1"/>
    <col min="15" max="15" width="19.33203125" style="57" customWidth="1"/>
    <col min="16" max="16" width="14.44140625" style="57" customWidth="1"/>
    <col min="17" max="16384" width="8.88671875" style="57"/>
  </cols>
  <sheetData>
    <row r="3" spans="2:16">
      <c r="B3" s="13" t="s">
        <v>96</v>
      </c>
      <c r="C3" s="13"/>
      <c r="D3" s="13"/>
      <c r="E3" s="13"/>
      <c r="F3" s="13"/>
      <c r="I3" s="36" t="s">
        <v>148</v>
      </c>
      <c r="L3" s="68" t="s">
        <v>142</v>
      </c>
      <c r="M3" s="21"/>
      <c r="N3" s="21"/>
      <c r="O3" s="21"/>
    </row>
    <row r="5" spans="2:16">
      <c r="B5" s="32" t="s">
        <v>133</v>
      </c>
      <c r="C5" s="32"/>
      <c r="D5" s="32"/>
      <c r="E5" s="32"/>
      <c r="F5" s="32"/>
      <c r="I5" s="60" t="s">
        <v>127</v>
      </c>
      <c r="L5" s="11" t="s">
        <v>143</v>
      </c>
      <c r="M5" s="12"/>
      <c r="N5" s="12"/>
      <c r="O5" s="12"/>
      <c r="P5" s="12"/>
    </row>
    <row r="6" spans="2:16">
      <c r="L6" s="11" t="s">
        <v>144</v>
      </c>
      <c r="M6" s="12"/>
      <c r="N6" s="12"/>
      <c r="O6" s="12"/>
      <c r="P6" s="12"/>
    </row>
    <row r="7" spans="2:16">
      <c r="B7" s="58" t="s">
        <v>147</v>
      </c>
      <c r="C7" s="58"/>
      <c r="D7" s="58"/>
      <c r="E7" s="58"/>
      <c r="F7" s="58"/>
      <c r="G7" s="58"/>
      <c r="I7" s="64" t="s">
        <v>139</v>
      </c>
      <c r="J7" s="64"/>
      <c r="K7" s="67"/>
      <c r="L7" s="11" t="s">
        <v>145</v>
      </c>
      <c r="M7" s="12"/>
      <c r="N7" s="12"/>
      <c r="O7" s="12"/>
      <c r="P7" s="12"/>
    </row>
    <row r="8" spans="2:16">
      <c r="I8" s="56"/>
      <c r="J8" s="56"/>
    </row>
    <row r="9" spans="2:16">
      <c r="B9" s="61" t="s">
        <v>129</v>
      </c>
      <c r="C9" s="55"/>
      <c r="D9" s="55"/>
      <c r="I9" s="49" t="s">
        <v>117</v>
      </c>
      <c r="J9" s="56"/>
      <c r="L9" s="70" t="s">
        <v>146</v>
      </c>
      <c r="M9" s="70"/>
      <c r="N9" s="70"/>
      <c r="O9" s="70"/>
      <c r="P9" s="69"/>
    </row>
    <row r="10" spans="2:16">
      <c r="B10" s="61" t="s">
        <v>128</v>
      </c>
      <c r="C10" s="55"/>
      <c r="D10" s="55"/>
      <c r="I10" s="52" t="s">
        <v>140</v>
      </c>
      <c r="J10" s="56"/>
    </row>
    <row r="11" spans="2:16">
      <c r="B11" s="61" t="s">
        <v>130</v>
      </c>
      <c r="C11" s="55"/>
      <c r="D11" s="55"/>
      <c r="L11" s="71" t="s">
        <v>149</v>
      </c>
      <c r="M11" s="71"/>
      <c r="N11" s="71"/>
    </row>
    <row r="12" spans="2:16">
      <c r="B12" s="61" t="s">
        <v>131</v>
      </c>
      <c r="C12" s="55"/>
      <c r="D12" s="55"/>
      <c r="I12" s="66" t="s">
        <v>141</v>
      </c>
      <c r="J12" s="67"/>
    </row>
    <row r="13" spans="2:16">
      <c r="B13" s="61" t="s">
        <v>132</v>
      </c>
      <c r="C13" s="55"/>
      <c r="D13" s="55"/>
      <c r="I13" s="65"/>
      <c r="L13" s="100" t="s">
        <v>425</v>
      </c>
      <c r="M13" s="121"/>
    </row>
    <row r="14" spans="2:16">
      <c r="I14" s="32" t="s">
        <v>119</v>
      </c>
    </row>
    <row r="15" spans="2:16">
      <c r="B15" s="62" t="s">
        <v>134</v>
      </c>
      <c r="C15" s="62"/>
      <c r="D15" s="59"/>
      <c r="E15" s="13" t="s">
        <v>36</v>
      </c>
      <c r="F15" s="59"/>
      <c r="I15" s="32" t="s">
        <v>120</v>
      </c>
      <c r="L15" s="30" t="s">
        <v>426</v>
      </c>
      <c r="M15" s="30"/>
    </row>
    <row r="16" spans="2:16">
      <c r="B16" s="59"/>
      <c r="C16" s="59"/>
      <c r="D16" s="59"/>
      <c r="E16" s="59"/>
      <c r="F16" s="59"/>
      <c r="I16" s="32" t="s">
        <v>121</v>
      </c>
      <c r="L16" s="30" t="s">
        <v>427</v>
      </c>
      <c r="M16" s="30"/>
    </row>
    <row r="17" spans="2:9">
      <c r="B17" s="59" t="s">
        <v>135</v>
      </c>
      <c r="C17" s="59"/>
      <c r="D17" s="59"/>
      <c r="E17" s="59"/>
      <c r="F17" s="59"/>
      <c r="I17" s="32" t="s">
        <v>122</v>
      </c>
    </row>
    <row r="18" spans="2:9">
      <c r="B18" s="63" t="s">
        <v>136</v>
      </c>
      <c r="C18" s="59"/>
      <c r="D18" s="59"/>
      <c r="E18" s="59"/>
      <c r="F18" s="59"/>
      <c r="I18" s="32" t="s">
        <v>125</v>
      </c>
    </row>
    <row r="19" spans="2:9">
      <c r="B19" s="63" t="s">
        <v>137</v>
      </c>
      <c r="C19" s="59"/>
      <c r="D19" s="59"/>
      <c r="E19" s="59"/>
      <c r="F19" s="59"/>
      <c r="I19" s="32" t="s">
        <v>126</v>
      </c>
    </row>
    <row r="20" spans="2:9">
      <c r="B20" s="63" t="s">
        <v>138</v>
      </c>
      <c r="C20" s="59"/>
      <c r="D20" s="59"/>
      <c r="E20" s="59"/>
      <c r="F20" s="59"/>
    </row>
    <row r="21" spans="2:9">
      <c r="B21" s="59"/>
      <c r="C21" s="59"/>
      <c r="D21" s="59"/>
      <c r="E21" s="59"/>
      <c r="F21" s="59"/>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C6CCC-A149-4E07-AFCF-A3E5F16256CB}">
  <sheetPr codeName="Sheet27"/>
  <dimension ref="A1:D12"/>
  <sheetViews>
    <sheetView workbookViewId="0">
      <selection activeCell="D18" sqref="D18"/>
    </sheetView>
  </sheetViews>
  <sheetFormatPr defaultRowHeight="14.4"/>
  <cols>
    <col min="1" max="1" width="12.5546875" bestFit="1" customWidth="1"/>
    <col min="2" max="2" width="16.5546875" bestFit="1" customWidth="1"/>
    <col min="3" max="3" width="19.6640625" bestFit="1" customWidth="1"/>
    <col min="4" max="4" width="22.77734375" bestFit="1" customWidth="1"/>
    <col min="5" max="5" width="16.109375" bestFit="1" customWidth="1"/>
  </cols>
  <sheetData>
    <row r="1" spans="1:4">
      <c r="A1" s="3" t="s">
        <v>4</v>
      </c>
      <c r="B1" t="s">
        <v>151</v>
      </c>
    </row>
    <row r="3" spans="1:4">
      <c r="A3" s="3" t="s">
        <v>37</v>
      </c>
      <c r="B3" t="s">
        <v>39</v>
      </c>
      <c r="C3" t="s">
        <v>150</v>
      </c>
      <c r="D3" t="s">
        <v>77</v>
      </c>
    </row>
    <row r="4" spans="1:4">
      <c r="A4" s="4" t="s">
        <v>13</v>
      </c>
      <c r="B4">
        <v>12569</v>
      </c>
      <c r="C4">
        <v>3724959.1996401814</v>
      </c>
      <c r="D4">
        <v>10747350.710823013</v>
      </c>
    </row>
    <row r="5" spans="1:4">
      <c r="A5" s="4" t="s">
        <v>11</v>
      </c>
      <c r="B5">
        <v>9022</v>
      </c>
      <c r="C5">
        <v>3520522.3482760335</v>
      </c>
      <c r="D5">
        <v>10906035.748521531</v>
      </c>
    </row>
    <row r="6" spans="1:4">
      <c r="A6" s="4" t="s">
        <v>10</v>
      </c>
      <c r="B6">
        <v>13372</v>
      </c>
      <c r="C6">
        <v>4001562.8923041048</v>
      </c>
      <c r="D6">
        <v>14635516.742584277</v>
      </c>
    </row>
    <row r="7" spans="1:4">
      <c r="A7" s="4" t="s">
        <v>12</v>
      </c>
      <c r="B7">
        <v>15647</v>
      </c>
      <c r="C7">
        <v>3508075.9305531988</v>
      </c>
      <c r="D7">
        <v>14199248.640529215</v>
      </c>
    </row>
    <row r="8" spans="1:4">
      <c r="A8" s="4" t="s">
        <v>14</v>
      </c>
      <c r="B8">
        <v>10200</v>
      </c>
      <c r="C8">
        <v>3345370.0301046725</v>
      </c>
      <c r="D8">
        <v>10738060.589382561</v>
      </c>
    </row>
    <row r="9" spans="1:4">
      <c r="A9" s="4" t="s">
        <v>38</v>
      </c>
      <c r="B9">
        <v>60810</v>
      </c>
      <c r="C9">
        <v>18100490.400878191</v>
      </c>
      <c r="D9">
        <v>61226212.431840599</v>
      </c>
    </row>
    <row r="12" spans="1:4">
      <c r="B12" s="2" t="s">
        <v>152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79538-8103-4C6C-80CA-9C5AA694E9BD}">
  <sheetPr codeName="Sheet28"/>
  <dimension ref="A3:G17"/>
  <sheetViews>
    <sheetView workbookViewId="0">
      <selection activeCell="P19" sqref="P19"/>
    </sheetView>
  </sheetViews>
  <sheetFormatPr defaultRowHeight="14.4"/>
  <cols>
    <col min="1" max="1" width="16.5546875" bestFit="1" customWidth="1"/>
    <col min="2" max="2" width="15.5546875" bestFit="1" customWidth="1"/>
    <col min="3" max="3" width="9.88671875" bestFit="1" customWidth="1"/>
    <col min="4" max="4" width="6.21875" bestFit="1" customWidth="1"/>
    <col min="5" max="6" width="6" bestFit="1" customWidth="1"/>
    <col min="7" max="7" width="10.77734375" bestFit="1" customWidth="1"/>
  </cols>
  <sheetData>
    <row r="3" spans="1:7">
      <c r="A3" s="3" t="s">
        <v>39</v>
      </c>
      <c r="B3" s="3" t="s">
        <v>111</v>
      </c>
    </row>
    <row r="4" spans="1:7">
      <c r="A4" s="3" t="s">
        <v>37</v>
      </c>
      <c r="B4" t="s">
        <v>13</v>
      </c>
      <c r="C4" t="s">
        <v>11</v>
      </c>
      <c r="D4" t="s">
        <v>10</v>
      </c>
      <c r="E4" t="s">
        <v>12</v>
      </c>
      <c r="F4" t="s">
        <v>14</v>
      </c>
      <c r="G4" t="s">
        <v>38</v>
      </c>
    </row>
    <row r="5" spans="1:7">
      <c r="A5" s="4" t="s">
        <v>100</v>
      </c>
      <c r="B5">
        <v>1010</v>
      </c>
      <c r="C5">
        <v>825</v>
      </c>
      <c r="D5">
        <v>954</v>
      </c>
      <c r="E5">
        <v>488</v>
      </c>
      <c r="F5">
        <v>1519</v>
      </c>
      <c r="G5">
        <v>4796</v>
      </c>
    </row>
    <row r="6" spans="1:7">
      <c r="A6" s="4" t="s">
        <v>101</v>
      </c>
      <c r="B6">
        <v>495</v>
      </c>
      <c r="C6">
        <v>673</v>
      </c>
      <c r="D6">
        <v>2608</v>
      </c>
      <c r="E6">
        <v>2805</v>
      </c>
      <c r="F6">
        <v>583</v>
      </c>
      <c r="G6">
        <v>7164</v>
      </c>
    </row>
    <row r="7" spans="1:7">
      <c r="A7" s="4" t="s">
        <v>102</v>
      </c>
      <c r="B7">
        <v>763</v>
      </c>
      <c r="C7">
        <v>1108</v>
      </c>
      <c r="D7">
        <v>423</v>
      </c>
      <c r="E7">
        <v>2096</v>
      </c>
      <c r="F7">
        <v>725</v>
      </c>
      <c r="G7">
        <v>5115</v>
      </c>
    </row>
    <row r="8" spans="1:7">
      <c r="A8" s="4" t="s">
        <v>103</v>
      </c>
      <c r="B8">
        <v>1469</v>
      </c>
      <c r="C8">
        <v>604</v>
      </c>
      <c r="D8">
        <v>933</v>
      </c>
      <c r="E8">
        <v>1912</v>
      </c>
      <c r="F8">
        <v>822</v>
      </c>
      <c r="G8">
        <v>5740</v>
      </c>
    </row>
    <row r="9" spans="1:7">
      <c r="A9" s="4" t="s">
        <v>65</v>
      </c>
      <c r="B9">
        <v>2222</v>
      </c>
      <c r="C9">
        <v>762</v>
      </c>
      <c r="D9">
        <v>810</v>
      </c>
      <c r="E9">
        <v>890</v>
      </c>
      <c r="F9">
        <v>587</v>
      </c>
      <c r="G9">
        <v>5271</v>
      </c>
    </row>
    <row r="10" spans="1:7">
      <c r="A10" s="4" t="s">
        <v>104</v>
      </c>
      <c r="B10">
        <v>1706</v>
      </c>
      <c r="C10">
        <v>890</v>
      </c>
      <c r="D10">
        <v>543</v>
      </c>
      <c r="E10">
        <v>1047</v>
      </c>
      <c r="F10">
        <v>409</v>
      </c>
      <c r="G10">
        <v>4595</v>
      </c>
    </row>
    <row r="11" spans="1:7">
      <c r="A11" s="4" t="s">
        <v>105</v>
      </c>
      <c r="B11">
        <v>1270</v>
      </c>
      <c r="C11">
        <v>926</v>
      </c>
      <c r="D11">
        <v>735</v>
      </c>
      <c r="E11">
        <v>432</v>
      </c>
      <c r="F11">
        <v>709</v>
      </c>
      <c r="G11">
        <v>4072</v>
      </c>
    </row>
    <row r="12" spans="1:7">
      <c r="A12" s="4" t="s">
        <v>106</v>
      </c>
      <c r="B12">
        <v>939</v>
      </c>
      <c r="C12">
        <v>469</v>
      </c>
      <c r="D12">
        <v>672</v>
      </c>
      <c r="E12">
        <v>2324</v>
      </c>
      <c r="F12">
        <v>505</v>
      </c>
      <c r="G12">
        <v>4909</v>
      </c>
    </row>
    <row r="13" spans="1:7">
      <c r="A13" s="4" t="s">
        <v>107</v>
      </c>
      <c r="B13">
        <v>689</v>
      </c>
      <c r="C13">
        <v>502</v>
      </c>
      <c r="D13">
        <v>2021</v>
      </c>
      <c r="E13">
        <v>421</v>
      </c>
      <c r="F13">
        <v>1136</v>
      </c>
      <c r="G13">
        <v>4769</v>
      </c>
    </row>
    <row r="14" spans="1:7">
      <c r="A14" s="4" t="s">
        <v>108</v>
      </c>
      <c r="B14">
        <v>1031</v>
      </c>
      <c r="C14">
        <v>804</v>
      </c>
      <c r="D14">
        <v>797</v>
      </c>
      <c r="E14">
        <v>991</v>
      </c>
      <c r="F14">
        <v>667</v>
      </c>
      <c r="G14">
        <v>4290</v>
      </c>
    </row>
    <row r="15" spans="1:7">
      <c r="A15" s="4" t="s">
        <v>109</v>
      </c>
      <c r="B15">
        <v>502</v>
      </c>
      <c r="C15">
        <v>604</v>
      </c>
      <c r="D15">
        <v>975</v>
      </c>
      <c r="E15">
        <v>1558</v>
      </c>
      <c r="F15">
        <v>617</v>
      </c>
      <c r="G15">
        <v>4256</v>
      </c>
    </row>
    <row r="16" spans="1:7">
      <c r="A16" s="4" t="s">
        <v>110</v>
      </c>
      <c r="B16">
        <v>473</v>
      </c>
      <c r="C16">
        <v>855</v>
      </c>
      <c r="D16">
        <v>1901</v>
      </c>
      <c r="E16">
        <v>683</v>
      </c>
      <c r="F16">
        <v>1921</v>
      </c>
      <c r="G16">
        <v>5833</v>
      </c>
    </row>
    <row r="17" spans="1:7">
      <c r="A17" s="4" t="s">
        <v>38</v>
      </c>
      <c r="B17">
        <v>12569</v>
      </c>
      <c r="C17">
        <v>9022</v>
      </c>
      <c r="D17">
        <v>13372</v>
      </c>
      <c r="E17">
        <v>15647</v>
      </c>
      <c r="F17">
        <v>10200</v>
      </c>
      <c r="G17">
        <v>60810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611CE-507C-4C0A-8140-275C7D1AA673}">
  <sheetPr codeName="Sheet29"/>
  <dimension ref="B2:L6"/>
  <sheetViews>
    <sheetView workbookViewId="0">
      <selection activeCell="G19" sqref="G19"/>
    </sheetView>
  </sheetViews>
  <sheetFormatPr defaultRowHeight="14.4"/>
  <cols>
    <col min="2" max="2" width="19.77734375" customWidth="1"/>
    <col min="3" max="3" width="12.5546875" customWidth="1"/>
    <col min="4" max="4" width="15.77734375" bestFit="1" customWidth="1"/>
    <col min="7" max="7" width="19.88671875" customWidth="1"/>
    <col min="8" max="8" width="15.77734375" bestFit="1" customWidth="1"/>
    <col min="11" max="11" width="14.6640625" customWidth="1"/>
    <col min="12" max="12" width="15.77734375" bestFit="1" customWidth="1"/>
  </cols>
  <sheetData>
    <row r="2" spans="2:12" ht="18">
      <c r="B2" s="17" t="s">
        <v>80</v>
      </c>
      <c r="C2" s="75">
        <v>49684</v>
      </c>
      <c r="E2" s="74" t="s">
        <v>153</v>
      </c>
      <c r="F2" s="74"/>
      <c r="G2" s="74"/>
      <c r="H2" s="75">
        <v>97.916666666666671</v>
      </c>
      <c r="J2" s="28" t="s">
        <v>154</v>
      </c>
      <c r="K2" s="28"/>
      <c r="L2" s="76">
        <f>CORREL(automotive_demand_forecasting_dataset567[Units_Sold],automotive_demand_forecasting_dataset567[Average_Price])</f>
        <v>4.214103946213652E-3</v>
      </c>
    </row>
    <row r="3" spans="2:12">
      <c r="B3" t="s">
        <v>159</v>
      </c>
      <c r="E3" t="s">
        <v>158</v>
      </c>
      <c r="J3" t="s">
        <v>157</v>
      </c>
    </row>
    <row r="5" spans="2:12" ht="18">
      <c r="B5" s="73" t="s">
        <v>155</v>
      </c>
      <c r="C5" s="73"/>
      <c r="D5" s="76">
        <f>CORREL(automotive_demand_forecasting_dataset567[Units_Sold],automotive_demand_forecasting_dataset567[Competitor_Sales])</f>
        <v>2.1979262529163209E-2</v>
      </c>
      <c r="F5" s="77" t="s">
        <v>160</v>
      </c>
      <c r="G5" s="77"/>
      <c r="H5" s="75">
        <v>68.578240502247652</v>
      </c>
    </row>
    <row r="6" spans="2:12">
      <c r="B6" t="s">
        <v>156</v>
      </c>
      <c r="F6" t="s">
        <v>161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AA905-3967-4C7D-A001-C7810394CF34}">
  <sheetPr codeName="Sheet30"/>
  <dimension ref="C2:U4"/>
  <sheetViews>
    <sheetView topLeftCell="E1" workbookViewId="0"/>
  </sheetViews>
  <sheetFormatPr defaultRowHeight="14.4"/>
  <cols>
    <col min="1" max="2" width="8.88671875" style="72"/>
    <col min="3" max="3" width="19" style="72" customWidth="1"/>
    <col min="4" max="7" width="8.88671875" style="72"/>
    <col min="8" max="8" width="17.33203125" style="72" customWidth="1"/>
    <col min="9" max="9" width="8.88671875" style="72" customWidth="1"/>
    <col min="10" max="10" width="11.88671875" style="72" customWidth="1"/>
    <col min="11" max="11" width="8.88671875" style="72"/>
    <col min="12" max="12" width="14.6640625" style="72" customWidth="1"/>
    <col min="13" max="15" width="8.88671875" style="72"/>
    <col min="16" max="16" width="9.6640625" style="72" customWidth="1"/>
    <col min="17" max="16384" width="8.88671875" style="72"/>
  </cols>
  <sheetData>
    <row r="2" spans="3:21" ht="25.8">
      <c r="H2" s="44" t="s">
        <v>162</v>
      </c>
      <c r="I2" s="44"/>
      <c r="J2" s="44"/>
      <c r="K2" s="52"/>
      <c r="L2" s="52"/>
      <c r="M2" s="52"/>
    </row>
    <row r="4" spans="3:21" ht="18">
      <c r="C4" s="17" t="s">
        <v>80</v>
      </c>
      <c r="D4" s="75">
        <v>49684</v>
      </c>
      <c r="F4" s="74" t="s">
        <v>153</v>
      </c>
      <c r="G4" s="74"/>
      <c r="H4" s="74"/>
      <c r="I4" s="75">
        <v>97.916666666666671</v>
      </c>
      <c r="K4" s="28" t="s">
        <v>154</v>
      </c>
      <c r="L4" s="28"/>
      <c r="M4" s="76">
        <f>CORREL(automotive_demand_forecasting_dataset567[Units_Sold],automotive_demand_forecasting_dataset567[Average_Price])</f>
        <v>4.214103946213652E-3</v>
      </c>
      <c r="O4" s="73" t="s">
        <v>155</v>
      </c>
      <c r="P4" s="73"/>
      <c r="Q4" s="76">
        <f>CORREL(automotive_demand_forecasting_dataset567[Units_Sold],automotive_demand_forecasting_dataset567[Competitor_Sales])</f>
        <v>2.1979262529163209E-2</v>
      </c>
      <c r="S4" s="77" t="s">
        <v>160</v>
      </c>
      <c r="T4" s="77"/>
      <c r="U4" s="75">
        <v>68.578240502247652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50F18-338A-4C82-98F5-E223E9D5EC3D}">
  <sheetPr codeName="Sheet9"/>
  <dimension ref="A1:P502"/>
  <sheetViews>
    <sheetView workbookViewId="0">
      <selection activeCell="H8" sqref="H8"/>
    </sheetView>
  </sheetViews>
  <sheetFormatPr defaultRowHeight="14.4"/>
  <cols>
    <col min="1" max="1" width="10.33203125" bestFit="1" customWidth="1"/>
    <col min="2" max="2" width="12.21875" bestFit="1" customWidth="1"/>
    <col min="3" max="3" width="10" bestFit="1" customWidth="1"/>
    <col min="6" max="6" width="14.5546875" customWidth="1"/>
    <col min="7" max="7" width="9.33203125" bestFit="1" customWidth="1"/>
    <col min="8" max="8" width="19.5546875" bestFit="1" customWidth="1"/>
  </cols>
  <sheetData>
    <row r="1" spans="1:16">
      <c r="A1" s="78" t="s">
        <v>0</v>
      </c>
      <c r="B1" s="16" t="s">
        <v>64</v>
      </c>
      <c r="C1" s="16" t="s">
        <v>2</v>
      </c>
      <c r="F1" s="2" t="s">
        <v>233</v>
      </c>
      <c r="G1" s="2" t="s">
        <v>112</v>
      </c>
      <c r="H1" s="2" t="s">
        <v>234</v>
      </c>
      <c r="I1" s="2"/>
    </row>
    <row r="2" spans="1:16">
      <c r="A2" s="79">
        <v>42005</v>
      </c>
      <c r="B2" s="14" t="str">
        <f>TEXT(A2,"mmmm")</f>
        <v>January</v>
      </c>
      <c r="C2" s="14">
        <v>96</v>
      </c>
      <c r="F2" s="102">
        <v>56976</v>
      </c>
      <c r="G2" t="str">
        <f>TEXT(F2,"mmmm")</f>
        <v>December</v>
      </c>
      <c r="H2" s="103">
        <f>_xlfn.FORECAST.LINEAR(F2,C2:C501,A2:A501)</f>
        <v>99.65850587242349</v>
      </c>
    </row>
    <row r="3" spans="1:16">
      <c r="A3" s="80">
        <v>42035</v>
      </c>
      <c r="B3" s="14" t="str">
        <f t="shared" ref="B3:B66" si="0">TEXT(A3,"mmmm")</f>
        <v>January</v>
      </c>
      <c r="C3" s="15">
        <v>107</v>
      </c>
      <c r="F3" s="102">
        <v>56999</v>
      </c>
      <c r="G3" t="str">
        <f>TEXT(F3,"mmmm")</f>
        <v>January</v>
      </c>
      <c r="H3" s="103">
        <f t="shared" ref="H3:H4" si="1">_xlfn.FORECAST.LINEAR(F3,C3:C502,A3:A502)</f>
        <v>99.647004177028762</v>
      </c>
    </row>
    <row r="4" spans="1:16">
      <c r="A4" s="79">
        <v>42065</v>
      </c>
      <c r="B4" s="14" t="str">
        <f t="shared" si="0"/>
        <v>March</v>
      </c>
      <c r="C4" s="14">
        <v>88</v>
      </c>
      <c r="F4" s="102">
        <v>57102</v>
      </c>
      <c r="G4" t="str">
        <f>TEXT(F4,"mmmm")</f>
        <v>May</v>
      </c>
      <c r="H4" s="103">
        <f t="shared" si="1"/>
        <v>99.683269903766373</v>
      </c>
      <c r="K4" s="32" t="s">
        <v>258</v>
      </c>
      <c r="L4" s="32"/>
      <c r="M4" s="32"/>
      <c r="N4" s="32"/>
      <c r="O4" s="32"/>
      <c r="P4" s="32"/>
    </row>
    <row r="5" spans="1:16">
      <c r="A5" s="80">
        <v>42095</v>
      </c>
      <c r="B5" s="14" t="str">
        <f t="shared" si="0"/>
        <v>April</v>
      </c>
      <c r="C5" s="15">
        <v>103</v>
      </c>
    </row>
    <row r="6" spans="1:16">
      <c r="A6" s="79">
        <v>42125</v>
      </c>
      <c r="B6" s="14" t="str">
        <f t="shared" si="0"/>
        <v>May</v>
      </c>
      <c r="C6" s="14">
        <v>111</v>
      </c>
    </row>
    <row r="7" spans="1:16">
      <c r="A7" s="80">
        <v>42155</v>
      </c>
      <c r="B7" s="14" t="str">
        <f t="shared" si="0"/>
        <v>May</v>
      </c>
      <c r="C7" s="15">
        <v>90</v>
      </c>
    </row>
    <row r="8" spans="1:16">
      <c r="A8" s="79">
        <v>42185</v>
      </c>
      <c r="B8" s="14" t="str">
        <f t="shared" si="0"/>
        <v>June</v>
      </c>
      <c r="C8" s="14">
        <v>94</v>
      </c>
    </row>
    <row r="9" spans="1:16">
      <c r="A9" s="80">
        <v>42215</v>
      </c>
      <c r="B9" s="14" t="str">
        <f t="shared" si="0"/>
        <v>July</v>
      </c>
      <c r="C9" s="15">
        <v>98</v>
      </c>
    </row>
    <row r="10" spans="1:16">
      <c r="A10" s="79">
        <v>42245</v>
      </c>
      <c r="B10" s="14" t="str">
        <f t="shared" si="0"/>
        <v>August</v>
      </c>
      <c r="C10" s="14">
        <v>103</v>
      </c>
    </row>
    <row r="11" spans="1:16">
      <c r="A11" s="80">
        <v>42275</v>
      </c>
      <c r="B11" s="14" t="str">
        <f t="shared" si="0"/>
        <v>September</v>
      </c>
      <c r="C11" s="15">
        <v>94</v>
      </c>
    </row>
    <row r="12" spans="1:16">
      <c r="A12" s="79">
        <v>42305</v>
      </c>
      <c r="B12" s="14" t="str">
        <f t="shared" si="0"/>
        <v>October</v>
      </c>
      <c r="C12" s="14">
        <v>99</v>
      </c>
    </row>
    <row r="13" spans="1:16">
      <c r="A13" s="80">
        <v>42335</v>
      </c>
      <c r="B13" s="14" t="str">
        <f t="shared" si="0"/>
        <v>November</v>
      </c>
      <c r="C13" s="15">
        <v>90</v>
      </c>
    </row>
    <row r="14" spans="1:16">
      <c r="A14" s="79">
        <v>42365</v>
      </c>
      <c r="B14" s="14" t="str">
        <f t="shared" si="0"/>
        <v>December</v>
      </c>
      <c r="C14" s="14">
        <v>100</v>
      </c>
    </row>
    <row r="15" spans="1:16">
      <c r="A15" s="80">
        <v>42395</v>
      </c>
      <c r="B15" s="14" t="str">
        <f t="shared" si="0"/>
        <v>January</v>
      </c>
      <c r="C15" s="15">
        <v>103</v>
      </c>
    </row>
    <row r="16" spans="1:16">
      <c r="A16" s="79">
        <v>42425</v>
      </c>
      <c r="B16" s="14" t="str">
        <f t="shared" si="0"/>
        <v>February</v>
      </c>
      <c r="C16" s="14">
        <v>94</v>
      </c>
    </row>
    <row r="17" spans="1:3">
      <c r="A17" s="80">
        <v>42455</v>
      </c>
      <c r="B17" s="14" t="str">
        <f t="shared" si="0"/>
        <v>March</v>
      </c>
      <c r="C17" s="15">
        <v>105</v>
      </c>
    </row>
    <row r="18" spans="1:3">
      <c r="A18" s="79">
        <v>42485</v>
      </c>
      <c r="B18" s="14" t="str">
        <f t="shared" si="0"/>
        <v>April</v>
      </c>
      <c r="C18" s="14">
        <v>86</v>
      </c>
    </row>
    <row r="19" spans="1:3">
      <c r="A19" s="80">
        <v>42515</v>
      </c>
      <c r="B19" s="14" t="str">
        <f t="shared" si="0"/>
        <v>May</v>
      </c>
      <c r="C19" s="15">
        <v>92</v>
      </c>
    </row>
    <row r="20" spans="1:3">
      <c r="A20" s="79">
        <v>42545</v>
      </c>
      <c r="B20" s="14" t="str">
        <f t="shared" si="0"/>
        <v>June</v>
      </c>
      <c r="C20" s="14">
        <v>94</v>
      </c>
    </row>
    <row r="21" spans="1:3">
      <c r="A21" s="80">
        <v>42575</v>
      </c>
      <c r="B21" s="14" t="str">
        <f t="shared" si="0"/>
        <v>July</v>
      </c>
      <c r="C21" s="15">
        <v>101</v>
      </c>
    </row>
    <row r="22" spans="1:3">
      <c r="A22" s="79">
        <v>42605</v>
      </c>
      <c r="B22" s="14" t="str">
        <f t="shared" si="0"/>
        <v>August</v>
      </c>
      <c r="C22" s="14">
        <v>103</v>
      </c>
    </row>
    <row r="23" spans="1:3">
      <c r="A23" s="80">
        <v>42635</v>
      </c>
      <c r="B23" s="14" t="str">
        <f t="shared" si="0"/>
        <v>September</v>
      </c>
      <c r="C23" s="15">
        <v>84</v>
      </c>
    </row>
    <row r="24" spans="1:3">
      <c r="A24" s="79">
        <v>42665</v>
      </c>
      <c r="B24" s="14" t="str">
        <f t="shared" si="0"/>
        <v>October</v>
      </c>
      <c r="C24" s="14">
        <v>76</v>
      </c>
    </row>
    <row r="25" spans="1:3">
      <c r="A25" s="80">
        <v>42695</v>
      </c>
      <c r="B25" s="14" t="str">
        <f t="shared" si="0"/>
        <v>November</v>
      </c>
      <c r="C25" s="15">
        <v>100</v>
      </c>
    </row>
    <row r="26" spans="1:3">
      <c r="A26" s="79">
        <v>42725</v>
      </c>
      <c r="B26" s="14" t="str">
        <f t="shared" si="0"/>
        <v>December</v>
      </c>
      <c r="C26" s="14">
        <v>111</v>
      </c>
    </row>
    <row r="27" spans="1:3">
      <c r="A27" s="80">
        <v>42755</v>
      </c>
      <c r="B27" s="14" t="str">
        <f t="shared" si="0"/>
        <v>January</v>
      </c>
      <c r="C27" s="15">
        <v>93</v>
      </c>
    </row>
    <row r="28" spans="1:3">
      <c r="A28" s="79">
        <v>42785</v>
      </c>
      <c r="B28" s="14" t="str">
        <f t="shared" si="0"/>
        <v>February</v>
      </c>
      <c r="C28" s="14">
        <v>87</v>
      </c>
    </row>
    <row r="29" spans="1:3">
      <c r="A29" s="80">
        <v>42815</v>
      </c>
      <c r="B29" s="14" t="str">
        <f t="shared" si="0"/>
        <v>March</v>
      </c>
      <c r="C29" s="15">
        <v>108</v>
      </c>
    </row>
    <row r="30" spans="1:3">
      <c r="A30" s="79">
        <v>42845</v>
      </c>
      <c r="B30" s="14" t="str">
        <f t="shared" si="0"/>
        <v>April</v>
      </c>
      <c r="C30" s="14">
        <v>106</v>
      </c>
    </row>
    <row r="31" spans="1:3">
      <c r="A31" s="80">
        <v>42875</v>
      </c>
      <c r="B31" s="14" t="str">
        <f t="shared" si="0"/>
        <v>May</v>
      </c>
      <c r="C31" s="15">
        <v>108</v>
      </c>
    </row>
    <row r="32" spans="1:3">
      <c r="A32" s="79">
        <v>42905</v>
      </c>
      <c r="B32" s="14" t="str">
        <f t="shared" si="0"/>
        <v>June</v>
      </c>
      <c r="C32" s="14">
        <v>96</v>
      </c>
    </row>
    <row r="33" spans="1:3">
      <c r="A33" s="80">
        <v>42935</v>
      </c>
      <c r="B33" s="14" t="str">
        <f t="shared" si="0"/>
        <v>July</v>
      </c>
      <c r="C33" s="15">
        <v>113</v>
      </c>
    </row>
    <row r="34" spans="1:3">
      <c r="A34" s="79">
        <v>42965</v>
      </c>
      <c r="B34" s="14" t="str">
        <f t="shared" si="0"/>
        <v>August</v>
      </c>
      <c r="C34" s="14">
        <v>95</v>
      </c>
    </row>
    <row r="35" spans="1:3">
      <c r="A35" s="80">
        <v>42995</v>
      </c>
      <c r="B35" s="14" t="str">
        <f t="shared" si="0"/>
        <v>September</v>
      </c>
      <c r="C35" s="15">
        <v>94</v>
      </c>
    </row>
    <row r="36" spans="1:3">
      <c r="A36" s="79">
        <v>43025</v>
      </c>
      <c r="B36" s="14" t="str">
        <f t="shared" si="0"/>
        <v>October</v>
      </c>
      <c r="C36" s="14">
        <v>107</v>
      </c>
    </row>
    <row r="37" spans="1:3">
      <c r="A37" s="80">
        <v>43055</v>
      </c>
      <c r="B37" s="14" t="str">
        <f t="shared" si="0"/>
        <v>November</v>
      </c>
      <c r="C37" s="15">
        <v>114</v>
      </c>
    </row>
    <row r="38" spans="1:3">
      <c r="A38" s="79">
        <v>43085</v>
      </c>
      <c r="B38" s="14" t="str">
        <f t="shared" si="0"/>
        <v>December</v>
      </c>
      <c r="C38" s="14">
        <v>86</v>
      </c>
    </row>
    <row r="39" spans="1:3">
      <c r="A39" s="80">
        <v>43115</v>
      </c>
      <c r="B39" s="14" t="str">
        <f t="shared" si="0"/>
        <v>January</v>
      </c>
      <c r="C39" s="15">
        <v>100</v>
      </c>
    </row>
    <row r="40" spans="1:3">
      <c r="A40" s="79">
        <v>43145</v>
      </c>
      <c r="B40" s="14" t="str">
        <f t="shared" si="0"/>
        <v>February</v>
      </c>
      <c r="C40" s="14">
        <v>108</v>
      </c>
    </row>
    <row r="41" spans="1:3">
      <c r="A41" s="80">
        <v>43175</v>
      </c>
      <c r="B41" s="14" t="str">
        <f t="shared" si="0"/>
        <v>March</v>
      </c>
      <c r="C41" s="15">
        <v>101</v>
      </c>
    </row>
    <row r="42" spans="1:3">
      <c r="A42" s="79">
        <v>43205</v>
      </c>
      <c r="B42" s="14" t="str">
        <f t="shared" si="0"/>
        <v>April</v>
      </c>
      <c r="C42" s="14">
        <v>94</v>
      </c>
    </row>
    <row r="43" spans="1:3">
      <c r="A43" s="80">
        <v>43235</v>
      </c>
      <c r="B43" s="14" t="str">
        <f t="shared" si="0"/>
        <v>May</v>
      </c>
      <c r="C43" s="15">
        <v>116</v>
      </c>
    </row>
    <row r="44" spans="1:3">
      <c r="A44" s="79">
        <v>43265</v>
      </c>
      <c r="B44" s="14" t="str">
        <f t="shared" si="0"/>
        <v>June</v>
      </c>
      <c r="C44" s="14">
        <v>97</v>
      </c>
    </row>
    <row r="45" spans="1:3">
      <c r="A45" s="80">
        <v>43295</v>
      </c>
      <c r="B45" s="14" t="str">
        <f t="shared" si="0"/>
        <v>July</v>
      </c>
      <c r="C45" s="15">
        <f>IF(ISBLANK(C2), P3, C2)</f>
        <v>96</v>
      </c>
    </row>
    <row r="46" spans="1:3">
      <c r="A46" s="79">
        <v>43325</v>
      </c>
      <c r="B46" s="14" t="str">
        <f t="shared" si="0"/>
        <v>August</v>
      </c>
      <c r="C46" s="14">
        <v>94</v>
      </c>
    </row>
    <row r="47" spans="1:3">
      <c r="A47" s="80">
        <v>43355</v>
      </c>
      <c r="B47" s="14" t="str">
        <f t="shared" si="0"/>
        <v>September</v>
      </c>
      <c r="C47" s="15">
        <v>118</v>
      </c>
    </row>
    <row r="48" spans="1:3">
      <c r="A48" s="79">
        <v>43385</v>
      </c>
      <c r="B48" s="14" t="str">
        <f t="shared" si="0"/>
        <v>October</v>
      </c>
      <c r="C48" s="14">
        <v>104</v>
      </c>
    </row>
    <row r="49" spans="1:3">
      <c r="A49" s="80">
        <v>43415</v>
      </c>
      <c r="B49" s="14" t="str">
        <f t="shared" si="0"/>
        <v>November</v>
      </c>
      <c r="C49" s="15">
        <f>IF(ISBLANK(C2), P3, C2)</f>
        <v>96</v>
      </c>
    </row>
    <row r="50" spans="1:3">
      <c r="A50" s="79">
        <v>43445</v>
      </c>
      <c r="B50" s="14" t="str">
        <f t="shared" si="0"/>
        <v>December</v>
      </c>
      <c r="C50" s="14">
        <v>115</v>
      </c>
    </row>
    <row r="51" spans="1:3">
      <c r="A51" s="80">
        <v>43475</v>
      </c>
      <c r="B51" s="14" t="str">
        <f t="shared" si="0"/>
        <v>January</v>
      </c>
      <c r="C51" s="15">
        <v>94</v>
      </c>
    </row>
    <row r="52" spans="1:3">
      <c r="A52" s="79">
        <v>43505</v>
      </c>
      <c r="B52" s="14" t="str">
        <f t="shared" si="0"/>
        <v>February</v>
      </c>
      <c r="C52" s="14">
        <v>91</v>
      </c>
    </row>
    <row r="53" spans="1:3">
      <c r="A53" s="80">
        <v>43535</v>
      </c>
      <c r="B53" s="14" t="str">
        <f t="shared" si="0"/>
        <v>March</v>
      </c>
      <c r="C53" s="15">
        <v>110</v>
      </c>
    </row>
    <row r="54" spans="1:3">
      <c r="A54" s="79">
        <v>43565</v>
      </c>
      <c r="B54" s="14" t="str">
        <f t="shared" si="0"/>
        <v>April</v>
      </c>
      <c r="C54" s="14">
        <v>98</v>
      </c>
    </row>
    <row r="55" spans="1:3">
      <c r="A55" s="80">
        <v>43595</v>
      </c>
      <c r="B55" s="14" t="str">
        <f t="shared" si="0"/>
        <v>May</v>
      </c>
      <c r="C55" s="15">
        <v>86</v>
      </c>
    </row>
    <row r="56" spans="1:3">
      <c r="A56" s="79">
        <v>43625</v>
      </c>
      <c r="B56" s="14" t="str">
        <f t="shared" si="0"/>
        <v>June</v>
      </c>
      <c r="C56" s="14">
        <v>121</v>
      </c>
    </row>
    <row r="57" spans="1:3">
      <c r="A57" s="80">
        <v>43655</v>
      </c>
      <c r="B57" s="14" t="str">
        <f t="shared" si="0"/>
        <v>July</v>
      </c>
      <c r="C57" s="15">
        <v>100</v>
      </c>
    </row>
    <row r="58" spans="1:3">
      <c r="A58" s="79">
        <v>43685</v>
      </c>
      <c r="B58" s="14" t="str">
        <f t="shared" si="0"/>
        <v>August</v>
      </c>
      <c r="C58" s="14">
        <v>96</v>
      </c>
    </row>
    <row r="59" spans="1:3">
      <c r="A59" s="80">
        <v>43715</v>
      </c>
      <c r="B59" s="14" t="str">
        <f t="shared" si="0"/>
        <v>September</v>
      </c>
      <c r="C59" s="15">
        <v>127</v>
      </c>
    </row>
    <row r="60" spans="1:3">
      <c r="A60" s="79">
        <v>43745</v>
      </c>
      <c r="B60" s="14" t="str">
        <f t="shared" si="0"/>
        <v>October</v>
      </c>
      <c r="C60" s="14">
        <v>100</v>
      </c>
    </row>
    <row r="61" spans="1:3">
      <c r="A61" s="80">
        <v>43775</v>
      </c>
      <c r="B61" s="14" t="str">
        <f t="shared" si="0"/>
        <v>November</v>
      </c>
      <c r="C61" s="15">
        <v>93</v>
      </c>
    </row>
    <row r="62" spans="1:3">
      <c r="A62" s="79">
        <v>43805</v>
      </c>
      <c r="B62" s="14" t="str">
        <f t="shared" si="0"/>
        <v>December</v>
      </c>
      <c r="C62" s="14">
        <v>103</v>
      </c>
    </row>
    <row r="63" spans="1:3">
      <c r="A63" s="80">
        <v>43835</v>
      </c>
      <c r="B63" s="14" t="str">
        <f t="shared" si="0"/>
        <v>January</v>
      </c>
      <c r="C63" s="15">
        <v>78</v>
      </c>
    </row>
    <row r="64" spans="1:3">
      <c r="A64" s="79">
        <v>43865</v>
      </c>
      <c r="B64" s="14" t="str">
        <f t="shared" si="0"/>
        <v>February</v>
      </c>
      <c r="C64" s="14">
        <v>116</v>
      </c>
    </row>
    <row r="65" spans="1:3">
      <c r="A65" s="80">
        <v>43895</v>
      </c>
      <c r="B65" s="14" t="str">
        <f t="shared" si="0"/>
        <v>March</v>
      </c>
      <c r="C65" s="15">
        <v>88</v>
      </c>
    </row>
    <row r="66" spans="1:3">
      <c r="A66" s="79">
        <v>43925</v>
      </c>
      <c r="B66" s="14" t="str">
        <f t="shared" si="0"/>
        <v>April</v>
      </c>
      <c r="C66" s="14">
        <v>105</v>
      </c>
    </row>
    <row r="67" spans="1:3">
      <c r="A67" s="80">
        <v>43955</v>
      </c>
      <c r="B67" s="14" t="str">
        <f t="shared" ref="B67:B130" si="2">TEXT(A67,"mmmm")</f>
        <v>May</v>
      </c>
      <c r="C67" s="15">
        <v>92</v>
      </c>
    </row>
    <row r="68" spans="1:3">
      <c r="A68" s="79">
        <v>43985</v>
      </c>
      <c r="B68" s="14" t="str">
        <f t="shared" si="2"/>
        <v>June</v>
      </c>
      <c r="C68" s="14">
        <v>96</v>
      </c>
    </row>
    <row r="69" spans="1:3">
      <c r="A69" s="80">
        <v>44015</v>
      </c>
      <c r="B69" s="14" t="str">
        <f t="shared" si="2"/>
        <v>July</v>
      </c>
      <c r="C69" s="15">
        <v>104</v>
      </c>
    </row>
    <row r="70" spans="1:3">
      <c r="A70" s="79">
        <v>44045</v>
      </c>
      <c r="B70" s="14" t="str">
        <f t="shared" si="2"/>
        <v>August</v>
      </c>
      <c r="C70" s="14">
        <v>84</v>
      </c>
    </row>
    <row r="71" spans="1:3">
      <c r="A71" s="80">
        <v>44075</v>
      </c>
      <c r="B71" s="14" t="str">
        <f t="shared" si="2"/>
        <v>September</v>
      </c>
      <c r="C71" s="15">
        <v>95</v>
      </c>
    </row>
    <row r="72" spans="1:3">
      <c r="A72" s="79">
        <v>44105</v>
      </c>
      <c r="B72" s="14" t="str">
        <f t="shared" si="2"/>
        <v>October</v>
      </c>
      <c r="C72" s="14">
        <v>105</v>
      </c>
    </row>
    <row r="73" spans="1:3">
      <c r="A73" s="80">
        <v>44135</v>
      </c>
      <c r="B73" s="14" t="str">
        <f t="shared" si="2"/>
        <v>October</v>
      </c>
      <c r="C73" s="15">
        <v>100</v>
      </c>
    </row>
    <row r="74" spans="1:3">
      <c r="A74" s="79">
        <v>44165</v>
      </c>
      <c r="B74" s="14" t="str">
        <f t="shared" si="2"/>
        <v>November</v>
      </c>
      <c r="C74" s="14">
        <v>104</v>
      </c>
    </row>
    <row r="75" spans="1:3">
      <c r="A75" s="80">
        <v>44195</v>
      </c>
      <c r="B75" s="14" t="str">
        <f t="shared" si="2"/>
        <v>December</v>
      </c>
      <c r="C75" s="15">
        <v>106</v>
      </c>
    </row>
    <row r="76" spans="1:3">
      <c r="A76" s="79">
        <v>44225</v>
      </c>
      <c r="B76" s="14" t="str">
        <f t="shared" si="2"/>
        <v>January</v>
      </c>
      <c r="C76" s="14">
        <v>120</v>
      </c>
    </row>
    <row r="77" spans="1:3">
      <c r="A77" s="80">
        <v>44255</v>
      </c>
      <c r="B77" s="14" t="str">
        <f t="shared" si="2"/>
        <v>February</v>
      </c>
      <c r="C77" s="15">
        <f>IF(ISBLANK(C30), P31, C30)</f>
        <v>106</v>
      </c>
    </row>
    <row r="78" spans="1:3">
      <c r="A78" s="79">
        <v>44285</v>
      </c>
      <c r="B78" s="14" t="str">
        <f t="shared" si="2"/>
        <v>March</v>
      </c>
      <c r="C78" s="14">
        <v>118</v>
      </c>
    </row>
    <row r="79" spans="1:3">
      <c r="A79" s="80">
        <v>44315</v>
      </c>
      <c r="B79" s="14" t="str">
        <f t="shared" si="2"/>
        <v>April</v>
      </c>
      <c r="C79" s="15">
        <v>92</v>
      </c>
    </row>
    <row r="80" spans="1:3">
      <c r="A80" s="79">
        <v>44345</v>
      </c>
      <c r="B80" s="14" t="str">
        <f t="shared" si="2"/>
        <v>May</v>
      </c>
      <c r="C80" s="14">
        <v>110</v>
      </c>
    </row>
    <row r="81" spans="1:3">
      <c r="A81" s="80">
        <v>44375</v>
      </c>
      <c r="B81" s="14" t="str">
        <f t="shared" si="2"/>
        <v>June</v>
      </c>
      <c r="C81" s="15">
        <v>101</v>
      </c>
    </row>
    <row r="82" spans="1:3">
      <c r="A82" s="79">
        <v>44405</v>
      </c>
      <c r="B82" s="14" t="str">
        <f t="shared" si="2"/>
        <v>July</v>
      </c>
      <c r="C82" s="14">
        <v>84</v>
      </c>
    </row>
    <row r="83" spans="1:3">
      <c r="A83" s="80">
        <v>44435</v>
      </c>
      <c r="B83" s="14" t="str">
        <f t="shared" si="2"/>
        <v>August</v>
      </c>
      <c r="C83" s="15">
        <v>115</v>
      </c>
    </row>
    <row r="84" spans="1:3">
      <c r="A84" s="79">
        <v>44465</v>
      </c>
      <c r="B84" s="14" t="str">
        <f t="shared" si="2"/>
        <v>September</v>
      </c>
      <c r="C84" s="14">
        <v>95</v>
      </c>
    </row>
    <row r="85" spans="1:3">
      <c r="A85" s="80">
        <v>44495</v>
      </c>
      <c r="B85" s="14" t="str">
        <f t="shared" si="2"/>
        <v>October</v>
      </c>
      <c r="C85" s="15">
        <v>114</v>
      </c>
    </row>
    <row r="86" spans="1:3">
      <c r="A86" s="79">
        <v>44525</v>
      </c>
      <c r="B86" s="14" t="str">
        <f t="shared" si="2"/>
        <v>November</v>
      </c>
      <c r="C86" s="14">
        <v>104</v>
      </c>
    </row>
    <row r="87" spans="1:3">
      <c r="A87" s="80">
        <v>44555</v>
      </c>
      <c r="B87" s="14" t="str">
        <f t="shared" si="2"/>
        <v>December</v>
      </c>
      <c r="C87" s="15">
        <v>89</v>
      </c>
    </row>
    <row r="88" spans="1:3">
      <c r="A88" s="79">
        <v>44585</v>
      </c>
      <c r="B88" s="14" t="str">
        <f t="shared" si="2"/>
        <v>January</v>
      </c>
      <c r="C88" s="14">
        <f>IF(ISBLANK(C41), P42, C41)</f>
        <v>101</v>
      </c>
    </row>
    <row r="89" spans="1:3">
      <c r="A89" s="80">
        <v>44615</v>
      </c>
      <c r="B89" s="14" t="str">
        <f t="shared" si="2"/>
        <v>February</v>
      </c>
      <c r="C89" s="15">
        <v>85</v>
      </c>
    </row>
    <row r="90" spans="1:3">
      <c r="A90" s="79">
        <v>44645</v>
      </c>
      <c r="B90" s="14" t="str">
        <f t="shared" si="2"/>
        <v>March</v>
      </c>
      <c r="C90" s="14">
        <v>101</v>
      </c>
    </row>
    <row r="91" spans="1:3">
      <c r="A91" s="80">
        <v>44675</v>
      </c>
      <c r="B91" s="14" t="str">
        <f t="shared" si="2"/>
        <v>April</v>
      </c>
      <c r="C91" s="15">
        <v>104</v>
      </c>
    </row>
    <row r="92" spans="1:3">
      <c r="A92" s="79">
        <v>44705</v>
      </c>
      <c r="B92" s="14" t="str">
        <f t="shared" si="2"/>
        <v>May</v>
      </c>
      <c r="C92" s="14">
        <v>106</v>
      </c>
    </row>
    <row r="93" spans="1:3">
      <c r="A93" s="80">
        <v>44735</v>
      </c>
      <c r="B93" s="14" t="str">
        <f t="shared" si="2"/>
        <v>June</v>
      </c>
      <c r="C93" s="15">
        <v>95</v>
      </c>
    </row>
    <row r="94" spans="1:3">
      <c r="A94" s="79">
        <v>44765</v>
      </c>
      <c r="B94" s="14" t="str">
        <f t="shared" si="2"/>
        <v>July</v>
      </c>
      <c r="C94" s="14">
        <v>104</v>
      </c>
    </row>
    <row r="95" spans="1:3">
      <c r="A95" s="80">
        <v>44795</v>
      </c>
      <c r="B95" s="14" t="str">
        <f t="shared" si="2"/>
        <v>August</v>
      </c>
      <c r="C95" s="15">
        <v>105</v>
      </c>
    </row>
    <row r="96" spans="1:3">
      <c r="A96" s="79">
        <v>44825</v>
      </c>
      <c r="B96" s="14" t="str">
        <f t="shared" si="2"/>
        <v>September</v>
      </c>
      <c r="C96" s="14">
        <v>84</v>
      </c>
    </row>
    <row r="97" spans="1:3">
      <c r="A97" s="80">
        <v>44855</v>
      </c>
      <c r="B97" s="14" t="str">
        <f t="shared" si="2"/>
        <v>October</v>
      </c>
      <c r="C97" s="15">
        <v>93</v>
      </c>
    </row>
    <row r="98" spans="1:3">
      <c r="A98" s="79">
        <v>44885</v>
      </c>
      <c r="B98" s="14" t="str">
        <f t="shared" si="2"/>
        <v>November</v>
      </c>
      <c r="C98" s="14">
        <v>115</v>
      </c>
    </row>
    <row r="99" spans="1:3">
      <c r="A99" s="80">
        <v>44915</v>
      </c>
      <c r="B99" s="14" t="str">
        <f t="shared" si="2"/>
        <v>December</v>
      </c>
      <c r="C99" s="15">
        <v>109</v>
      </c>
    </row>
    <row r="100" spans="1:3">
      <c r="A100" s="79">
        <v>44945</v>
      </c>
      <c r="B100" s="14" t="str">
        <f t="shared" si="2"/>
        <v>January</v>
      </c>
      <c r="C100" s="14">
        <v>102</v>
      </c>
    </row>
    <row r="101" spans="1:3">
      <c r="A101" s="80">
        <v>44975</v>
      </c>
      <c r="B101" s="14" t="str">
        <f t="shared" si="2"/>
        <v>February</v>
      </c>
      <c r="C101" s="15">
        <v>100</v>
      </c>
    </row>
    <row r="102" spans="1:3">
      <c r="A102" s="79">
        <v>45005</v>
      </c>
      <c r="B102" s="14" t="str">
        <f t="shared" si="2"/>
        <v>March</v>
      </c>
      <c r="C102" s="14">
        <v>93</v>
      </c>
    </row>
    <row r="103" spans="1:3">
      <c r="A103" s="80">
        <v>45035</v>
      </c>
      <c r="B103" s="14" t="str">
        <f t="shared" si="2"/>
        <v>April</v>
      </c>
      <c r="C103" s="15">
        <f>IF(ISBLANK(C56), P57, C56)</f>
        <v>121</v>
      </c>
    </row>
    <row r="104" spans="1:3">
      <c r="A104" s="79">
        <v>45065</v>
      </c>
      <c r="B104" s="14" t="str">
        <f t="shared" si="2"/>
        <v>May</v>
      </c>
      <c r="C104" s="14">
        <v>117</v>
      </c>
    </row>
    <row r="105" spans="1:3">
      <c r="A105" s="80">
        <v>45095</v>
      </c>
      <c r="B105" s="14" t="str">
        <f t="shared" si="2"/>
        <v>June</v>
      </c>
      <c r="C105" s="15">
        <v>98</v>
      </c>
    </row>
    <row r="106" spans="1:3">
      <c r="A106" s="79">
        <v>45125</v>
      </c>
      <c r="B106" s="14" t="str">
        <f t="shared" si="2"/>
        <v>July</v>
      </c>
      <c r="C106" s="14">
        <v>94</v>
      </c>
    </row>
    <row r="107" spans="1:3">
      <c r="A107" s="80">
        <v>45155</v>
      </c>
      <c r="B107" s="14" t="str">
        <f t="shared" si="2"/>
        <v>August</v>
      </c>
      <c r="C107" s="15">
        <v>112</v>
      </c>
    </row>
    <row r="108" spans="1:3">
      <c r="A108" s="79">
        <v>45185</v>
      </c>
      <c r="B108" s="14" t="str">
        <f t="shared" si="2"/>
        <v>September</v>
      </c>
      <c r="C108" s="14">
        <v>89</v>
      </c>
    </row>
    <row r="109" spans="1:3">
      <c r="A109" s="80">
        <v>45215</v>
      </c>
      <c r="B109" s="14" t="str">
        <f t="shared" si="2"/>
        <v>October</v>
      </c>
      <c r="C109" s="15">
        <v>119</v>
      </c>
    </row>
    <row r="110" spans="1:3">
      <c r="A110" s="79">
        <v>45245</v>
      </c>
      <c r="B110" s="14" t="str">
        <f t="shared" si="2"/>
        <v>November</v>
      </c>
      <c r="C110" s="14">
        <v>102</v>
      </c>
    </row>
    <row r="111" spans="1:3">
      <c r="A111" s="80">
        <v>45275</v>
      </c>
      <c r="B111" s="14" t="str">
        <f t="shared" si="2"/>
        <v>December</v>
      </c>
      <c r="C111" s="15">
        <v>87</v>
      </c>
    </row>
    <row r="112" spans="1:3">
      <c r="A112" s="79">
        <v>45305</v>
      </c>
      <c r="B112" s="14" t="str">
        <f t="shared" si="2"/>
        <v>January</v>
      </c>
      <c r="C112" s="14">
        <v>113</v>
      </c>
    </row>
    <row r="113" spans="1:3">
      <c r="A113" s="80">
        <v>45335</v>
      </c>
      <c r="B113" s="14" t="str">
        <f t="shared" si="2"/>
        <v>February</v>
      </c>
      <c r="C113" s="15">
        <v>106</v>
      </c>
    </row>
    <row r="114" spans="1:3">
      <c r="A114" s="79">
        <v>45365</v>
      </c>
      <c r="B114" s="14" t="str">
        <f t="shared" si="2"/>
        <v>March</v>
      </c>
      <c r="C114" s="14">
        <v>96</v>
      </c>
    </row>
    <row r="115" spans="1:3">
      <c r="A115" s="80">
        <v>45395</v>
      </c>
      <c r="B115" s="14" t="str">
        <f t="shared" si="2"/>
        <v>April</v>
      </c>
      <c r="C115" s="15">
        <v>110</v>
      </c>
    </row>
    <row r="116" spans="1:3">
      <c r="A116" s="79">
        <v>45425</v>
      </c>
      <c r="B116" s="14" t="str">
        <f t="shared" si="2"/>
        <v>May</v>
      </c>
      <c r="C116" s="14">
        <v>100</v>
      </c>
    </row>
    <row r="117" spans="1:3">
      <c r="A117" s="80">
        <v>45455</v>
      </c>
      <c r="B117" s="14" t="str">
        <f t="shared" si="2"/>
        <v>June</v>
      </c>
      <c r="C117" s="15">
        <f>IF(ISBLANK(C70), P71, C70)</f>
        <v>84</v>
      </c>
    </row>
    <row r="118" spans="1:3">
      <c r="A118" s="79">
        <v>45485</v>
      </c>
      <c r="B118" s="14" t="str">
        <f t="shared" si="2"/>
        <v>July</v>
      </c>
      <c r="C118" s="14">
        <v>106</v>
      </c>
    </row>
    <row r="119" spans="1:3">
      <c r="A119" s="80">
        <v>45515</v>
      </c>
      <c r="B119" s="14" t="str">
        <f t="shared" si="2"/>
        <v>August</v>
      </c>
      <c r="C119" s="15">
        <v>114</v>
      </c>
    </row>
    <row r="120" spans="1:3">
      <c r="A120" s="79">
        <v>45545</v>
      </c>
      <c r="B120" s="14" t="str">
        <f t="shared" si="2"/>
        <v>September</v>
      </c>
      <c r="C120" s="14">
        <v>96</v>
      </c>
    </row>
    <row r="121" spans="1:3">
      <c r="A121" s="80">
        <v>45575</v>
      </c>
      <c r="B121" s="14" t="str">
        <f t="shared" si="2"/>
        <v>October</v>
      </c>
      <c r="C121" s="15">
        <v>102</v>
      </c>
    </row>
    <row r="122" spans="1:3">
      <c r="A122" s="79">
        <v>45605</v>
      </c>
      <c r="B122" s="14" t="str">
        <f t="shared" si="2"/>
        <v>November</v>
      </c>
      <c r="C122" s="14">
        <f>IF(ISBLANK(C75), P76, C75)</f>
        <v>106</v>
      </c>
    </row>
    <row r="123" spans="1:3">
      <c r="A123" s="80">
        <v>45635</v>
      </c>
      <c r="B123" s="14" t="str">
        <f t="shared" si="2"/>
        <v>December</v>
      </c>
      <c r="C123" s="15">
        <v>93</v>
      </c>
    </row>
    <row r="124" spans="1:3">
      <c r="A124" s="79">
        <v>45665</v>
      </c>
      <c r="B124" s="14" t="str">
        <f t="shared" si="2"/>
        <v>January</v>
      </c>
      <c r="C124" s="14">
        <v>100</v>
      </c>
    </row>
    <row r="125" spans="1:3">
      <c r="A125" s="80">
        <v>45695</v>
      </c>
      <c r="B125" s="14" t="str">
        <f t="shared" si="2"/>
        <v>February</v>
      </c>
      <c r="C125" s="15">
        <v>111</v>
      </c>
    </row>
    <row r="126" spans="1:3">
      <c r="A126" s="79">
        <v>45725</v>
      </c>
      <c r="B126" s="14" t="str">
        <f t="shared" si="2"/>
        <v>March</v>
      </c>
      <c r="C126" s="14">
        <v>87</v>
      </c>
    </row>
    <row r="127" spans="1:3">
      <c r="A127" s="80">
        <v>45755</v>
      </c>
      <c r="B127" s="14" t="str">
        <f t="shared" si="2"/>
        <v>April</v>
      </c>
      <c r="C127" s="15">
        <v>100</v>
      </c>
    </row>
    <row r="128" spans="1:3">
      <c r="A128" s="79">
        <v>45785</v>
      </c>
      <c r="B128" s="14" t="str">
        <f t="shared" si="2"/>
        <v>May</v>
      </c>
      <c r="C128" s="14">
        <v>104</v>
      </c>
    </row>
    <row r="129" spans="1:3">
      <c r="A129" s="80">
        <v>45815</v>
      </c>
      <c r="B129" s="14" t="str">
        <f t="shared" si="2"/>
        <v>June</v>
      </c>
      <c r="C129" s="15">
        <v>78</v>
      </c>
    </row>
    <row r="130" spans="1:3">
      <c r="A130" s="79">
        <v>45845</v>
      </c>
      <c r="B130" s="14" t="str">
        <f t="shared" si="2"/>
        <v>July</v>
      </c>
      <c r="C130" s="14">
        <v>101</v>
      </c>
    </row>
    <row r="131" spans="1:3">
      <c r="A131" s="80">
        <v>45875</v>
      </c>
      <c r="B131" s="14" t="str">
        <f t="shared" ref="B131:B194" si="3">TEXT(A131,"mmmm")</f>
        <v>August</v>
      </c>
      <c r="C131" s="15">
        <v>100</v>
      </c>
    </row>
    <row r="132" spans="1:3">
      <c r="A132" s="79">
        <v>45905</v>
      </c>
      <c r="B132" s="14" t="str">
        <f t="shared" si="3"/>
        <v>September</v>
      </c>
      <c r="C132" s="14">
        <v>109</v>
      </c>
    </row>
    <row r="133" spans="1:3">
      <c r="A133" s="80">
        <v>45935</v>
      </c>
      <c r="B133" s="14" t="str">
        <f t="shared" si="3"/>
        <v>October</v>
      </c>
      <c r="C133" s="15">
        <v>98</v>
      </c>
    </row>
    <row r="134" spans="1:3">
      <c r="A134" s="79">
        <v>45965</v>
      </c>
      <c r="B134" s="14" t="str">
        <f t="shared" si="3"/>
        <v>November</v>
      </c>
      <c r="C134" s="14">
        <v>111</v>
      </c>
    </row>
    <row r="135" spans="1:3">
      <c r="A135" s="80">
        <v>45995</v>
      </c>
      <c r="B135" s="14" t="str">
        <f t="shared" si="3"/>
        <v>December</v>
      </c>
      <c r="C135" s="15">
        <v>97</v>
      </c>
    </row>
    <row r="136" spans="1:3">
      <c r="A136" s="79">
        <v>46025</v>
      </c>
      <c r="B136" s="14" t="str">
        <f t="shared" si="3"/>
        <v>January</v>
      </c>
      <c r="C136" s="14">
        <v>88</v>
      </c>
    </row>
    <row r="137" spans="1:3">
      <c r="A137" s="80">
        <v>46055</v>
      </c>
      <c r="B137" s="14" t="str">
        <f t="shared" si="3"/>
        <v>February</v>
      </c>
      <c r="C137" s="15">
        <v>101</v>
      </c>
    </row>
    <row r="138" spans="1:3">
      <c r="A138" s="79">
        <v>46085</v>
      </c>
      <c r="B138" s="14" t="str">
        <f t="shared" si="3"/>
        <v>March</v>
      </c>
      <c r="C138" s="14">
        <v>105</v>
      </c>
    </row>
    <row r="139" spans="1:3">
      <c r="A139" s="80">
        <v>46115</v>
      </c>
      <c r="B139" s="14" t="str">
        <f t="shared" si="3"/>
        <v>April</v>
      </c>
      <c r="C139" s="15">
        <v>102</v>
      </c>
    </row>
    <row r="140" spans="1:3">
      <c r="A140" s="79">
        <v>46145</v>
      </c>
      <c r="B140" s="14" t="str">
        <f t="shared" si="3"/>
        <v>May</v>
      </c>
      <c r="C140" s="14">
        <v>98</v>
      </c>
    </row>
    <row r="141" spans="1:3">
      <c r="A141" s="80">
        <v>46175</v>
      </c>
      <c r="B141" s="14" t="str">
        <f t="shared" si="3"/>
        <v>June</v>
      </c>
      <c r="C141" s="15">
        <v>96</v>
      </c>
    </row>
    <row r="142" spans="1:3">
      <c r="A142" s="79">
        <v>46205</v>
      </c>
      <c r="B142" s="14" t="str">
        <f t="shared" si="3"/>
        <v>July</v>
      </c>
      <c r="C142" s="14">
        <v>76</v>
      </c>
    </row>
    <row r="143" spans="1:3">
      <c r="A143" s="80">
        <v>46235</v>
      </c>
      <c r="B143" s="14" t="str">
        <f t="shared" si="3"/>
        <v>August</v>
      </c>
      <c r="C143" s="15">
        <v>112</v>
      </c>
    </row>
    <row r="144" spans="1:3">
      <c r="A144" s="79">
        <v>46265</v>
      </c>
      <c r="B144" s="14" t="str">
        <f t="shared" si="3"/>
        <v>August</v>
      </c>
      <c r="C144" s="14">
        <v>99</v>
      </c>
    </row>
    <row r="145" spans="1:3">
      <c r="A145" s="80">
        <v>46295</v>
      </c>
      <c r="B145" s="14" t="str">
        <f t="shared" si="3"/>
        <v>September</v>
      </c>
      <c r="C145" s="15">
        <v>100</v>
      </c>
    </row>
    <row r="146" spans="1:3">
      <c r="A146" s="79">
        <v>46325</v>
      </c>
      <c r="B146" s="14" t="str">
        <f t="shared" si="3"/>
        <v>October</v>
      </c>
      <c r="C146" s="14">
        <v>89</v>
      </c>
    </row>
    <row r="147" spans="1:3">
      <c r="A147" s="80">
        <v>46355</v>
      </c>
      <c r="B147" s="14" t="str">
        <f t="shared" si="3"/>
        <v>November</v>
      </c>
      <c r="C147" s="15">
        <f>IF(ISBLANK(C100), P101, C100)</f>
        <v>102</v>
      </c>
    </row>
    <row r="148" spans="1:3">
      <c r="A148" s="79">
        <v>46385</v>
      </c>
      <c r="B148" s="14" t="str">
        <f t="shared" si="3"/>
        <v>December</v>
      </c>
      <c r="C148" s="14">
        <v>104</v>
      </c>
    </row>
    <row r="149" spans="1:3">
      <c r="A149" s="80">
        <v>46415</v>
      </c>
      <c r="B149" s="14" t="str">
        <f t="shared" si="3"/>
        <v>January</v>
      </c>
      <c r="C149" s="15">
        <v>96</v>
      </c>
    </row>
    <row r="150" spans="1:3">
      <c r="A150" s="79">
        <v>46445</v>
      </c>
      <c r="B150" s="14" t="str">
        <f t="shared" si="3"/>
        <v>February</v>
      </c>
      <c r="C150" s="14">
        <v>100</v>
      </c>
    </row>
    <row r="151" spans="1:3">
      <c r="A151" s="80">
        <v>46475</v>
      </c>
      <c r="B151" s="14" t="str">
        <f t="shared" si="3"/>
        <v>March</v>
      </c>
      <c r="C151" s="15">
        <v>105</v>
      </c>
    </row>
    <row r="152" spans="1:3">
      <c r="A152" s="79">
        <v>46505</v>
      </c>
      <c r="B152" s="14" t="str">
        <f t="shared" si="3"/>
        <v>April</v>
      </c>
      <c r="C152" s="14">
        <v>81</v>
      </c>
    </row>
    <row r="153" spans="1:3">
      <c r="A153" s="80">
        <v>46535</v>
      </c>
      <c r="B153" s="14" t="str">
        <f t="shared" si="3"/>
        <v>May</v>
      </c>
      <c r="C153" s="15">
        <v>120</v>
      </c>
    </row>
    <row r="154" spans="1:3">
      <c r="A154" s="79">
        <v>46565</v>
      </c>
      <c r="B154" s="14" t="str">
        <f t="shared" si="3"/>
        <v>June</v>
      </c>
      <c r="C154" s="14">
        <v>97</v>
      </c>
    </row>
    <row r="155" spans="1:3">
      <c r="A155" s="80">
        <v>46595</v>
      </c>
      <c r="B155" s="14" t="str">
        <f t="shared" si="3"/>
        <v>July</v>
      </c>
      <c r="C155" s="15">
        <v>99</v>
      </c>
    </row>
    <row r="156" spans="1:3">
      <c r="A156" s="79">
        <v>46625</v>
      </c>
      <c r="B156" s="14" t="str">
        <f t="shared" si="3"/>
        <v>August</v>
      </c>
      <c r="C156" s="14">
        <v>120</v>
      </c>
    </row>
    <row r="157" spans="1:3">
      <c r="A157" s="80">
        <v>46655</v>
      </c>
      <c r="B157" s="14" t="str">
        <f t="shared" si="3"/>
        <v>September</v>
      </c>
      <c r="C157" s="15">
        <v>90</v>
      </c>
    </row>
    <row r="158" spans="1:3">
      <c r="A158" s="79">
        <v>46685</v>
      </c>
      <c r="B158" s="14" t="str">
        <f t="shared" si="3"/>
        <v>October</v>
      </c>
      <c r="C158" s="14">
        <v>85</v>
      </c>
    </row>
    <row r="159" spans="1:3">
      <c r="A159" s="80">
        <v>46715</v>
      </c>
      <c r="B159" s="14" t="str">
        <f t="shared" si="3"/>
        <v>November</v>
      </c>
      <c r="C159" s="15">
        <v>84</v>
      </c>
    </row>
    <row r="160" spans="1:3">
      <c r="A160" s="79">
        <v>46745</v>
      </c>
      <c r="B160" s="14" t="str">
        <f t="shared" si="3"/>
        <v>December</v>
      </c>
      <c r="C160" s="14">
        <f>IF(ISBLANK(C113), P114, C113)</f>
        <v>106</v>
      </c>
    </row>
    <row r="161" spans="1:3">
      <c r="A161" s="80">
        <v>46775</v>
      </c>
      <c r="B161" s="14" t="str">
        <f t="shared" si="3"/>
        <v>January</v>
      </c>
      <c r="C161" s="15">
        <v>112</v>
      </c>
    </row>
    <row r="162" spans="1:3">
      <c r="A162" s="79">
        <v>46805</v>
      </c>
      <c r="B162" s="14" t="str">
        <f t="shared" si="3"/>
        <v>February</v>
      </c>
      <c r="C162" s="14">
        <v>110</v>
      </c>
    </row>
    <row r="163" spans="1:3">
      <c r="A163" s="80">
        <v>46835</v>
      </c>
      <c r="B163" s="14" t="str">
        <f t="shared" si="3"/>
        <v>March</v>
      </c>
      <c r="C163" s="15">
        <v>86</v>
      </c>
    </row>
    <row r="164" spans="1:3">
      <c r="A164" s="79">
        <v>46865</v>
      </c>
      <c r="B164" s="14" t="str">
        <f t="shared" si="3"/>
        <v>April</v>
      </c>
      <c r="C164" s="14">
        <v>104</v>
      </c>
    </row>
    <row r="165" spans="1:3">
      <c r="A165" s="80">
        <v>46895</v>
      </c>
      <c r="B165" s="14" t="str">
        <f t="shared" si="3"/>
        <v>May</v>
      </c>
      <c r="C165" s="15">
        <v>107</v>
      </c>
    </row>
    <row r="166" spans="1:3">
      <c r="A166" s="79">
        <v>46925</v>
      </c>
      <c r="B166" s="14" t="str">
        <f t="shared" si="3"/>
        <v>June</v>
      </c>
      <c r="C166" s="14">
        <v>93</v>
      </c>
    </row>
    <row r="167" spans="1:3">
      <c r="A167" s="80">
        <v>46955</v>
      </c>
      <c r="B167" s="14" t="str">
        <f t="shared" si="3"/>
        <v>July</v>
      </c>
      <c r="C167" s="15">
        <v>108</v>
      </c>
    </row>
    <row r="168" spans="1:3">
      <c r="A168" s="79">
        <v>46985</v>
      </c>
      <c r="B168" s="14" t="str">
        <f t="shared" si="3"/>
        <v>August</v>
      </c>
      <c r="C168" s="14">
        <v>96</v>
      </c>
    </row>
    <row r="169" spans="1:3">
      <c r="A169" s="80">
        <v>47015</v>
      </c>
      <c r="B169" s="14" t="str">
        <f t="shared" si="3"/>
        <v>September</v>
      </c>
      <c r="C169" s="15">
        <v>95</v>
      </c>
    </row>
    <row r="170" spans="1:3">
      <c r="A170" s="79">
        <v>47045</v>
      </c>
      <c r="B170" s="14" t="str">
        <f t="shared" si="3"/>
        <v>October</v>
      </c>
      <c r="C170" s="14">
        <v>112</v>
      </c>
    </row>
    <row r="171" spans="1:3">
      <c r="A171" s="80">
        <v>47075</v>
      </c>
      <c r="B171" s="14" t="str">
        <f t="shared" si="3"/>
        <v>November</v>
      </c>
      <c r="C171" s="15">
        <v>108</v>
      </c>
    </row>
    <row r="172" spans="1:3">
      <c r="A172" s="79">
        <v>47105</v>
      </c>
      <c r="B172" s="14" t="str">
        <f t="shared" si="3"/>
        <v>December</v>
      </c>
      <c r="C172" s="14">
        <v>85</v>
      </c>
    </row>
    <row r="173" spans="1:3">
      <c r="A173" s="80">
        <v>47135</v>
      </c>
      <c r="B173" s="14" t="str">
        <f t="shared" si="3"/>
        <v>January</v>
      </c>
      <c r="C173" s="15">
        <f>IF(ISBLANK(C126), P127, C126)</f>
        <v>87</v>
      </c>
    </row>
    <row r="174" spans="1:3">
      <c r="A174" s="79">
        <v>47165</v>
      </c>
      <c r="B174" s="14" t="str">
        <f t="shared" si="3"/>
        <v>February</v>
      </c>
      <c r="C174" s="14">
        <v>95</v>
      </c>
    </row>
    <row r="175" spans="1:3">
      <c r="A175" s="80">
        <v>47195</v>
      </c>
      <c r="B175" s="14" t="str">
        <f t="shared" si="3"/>
        <v>March</v>
      </c>
      <c r="C175" s="15">
        <v>97</v>
      </c>
    </row>
    <row r="176" spans="1:3">
      <c r="A176" s="79">
        <v>47225</v>
      </c>
      <c r="B176" s="14" t="str">
        <f t="shared" si="3"/>
        <v>April</v>
      </c>
      <c r="C176" s="14">
        <v>116</v>
      </c>
    </row>
    <row r="177" spans="1:3">
      <c r="A177" s="80">
        <v>47255</v>
      </c>
      <c r="B177" s="14" t="str">
        <f t="shared" si="3"/>
        <v>May</v>
      </c>
      <c r="C177" s="15">
        <v>95</v>
      </c>
    </row>
    <row r="178" spans="1:3">
      <c r="A178" s="79">
        <v>47285</v>
      </c>
      <c r="B178" s="14" t="str">
        <f t="shared" si="3"/>
        <v>June</v>
      </c>
      <c r="C178" s="14">
        <v>123</v>
      </c>
    </row>
    <row r="179" spans="1:3">
      <c r="A179" s="80">
        <v>47315</v>
      </c>
      <c r="B179" s="14" t="str">
        <f t="shared" si="3"/>
        <v>July</v>
      </c>
      <c r="C179" s="15">
        <v>104</v>
      </c>
    </row>
    <row r="180" spans="1:3">
      <c r="A180" s="79">
        <v>47345</v>
      </c>
      <c r="B180" s="14" t="str">
        <f t="shared" si="3"/>
        <v>August</v>
      </c>
      <c r="C180" s="14">
        <v>94</v>
      </c>
    </row>
    <row r="181" spans="1:3">
      <c r="A181" s="80">
        <v>47375</v>
      </c>
      <c r="B181" s="14" t="str">
        <f t="shared" si="3"/>
        <v>September</v>
      </c>
      <c r="C181" s="15">
        <v>105</v>
      </c>
    </row>
    <row r="182" spans="1:3">
      <c r="A182" s="79">
        <v>47405</v>
      </c>
      <c r="B182" s="14" t="str">
        <f t="shared" si="3"/>
        <v>October</v>
      </c>
      <c r="C182" s="14">
        <v>109</v>
      </c>
    </row>
    <row r="183" spans="1:3">
      <c r="A183" s="80">
        <v>47435</v>
      </c>
      <c r="B183" s="14" t="str">
        <f t="shared" si="3"/>
        <v>November</v>
      </c>
      <c r="C183" s="15">
        <v>84</v>
      </c>
    </row>
    <row r="184" spans="1:3">
      <c r="A184" s="79">
        <v>47465</v>
      </c>
      <c r="B184" s="14" t="str">
        <f t="shared" si="3"/>
        <v>December</v>
      </c>
      <c r="C184" s="14">
        <v>79</v>
      </c>
    </row>
    <row r="185" spans="1:3">
      <c r="A185" s="80">
        <v>47495</v>
      </c>
      <c r="B185" s="14" t="str">
        <f t="shared" si="3"/>
        <v>January</v>
      </c>
      <c r="C185" s="15">
        <v>98</v>
      </c>
    </row>
    <row r="186" spans="1:3">
      <c r="A186" s="79">
        <v>47525</v>
      </c>
      <c r="B186" s="14" t="str">
        <f t="shared" si="3"/>
        <v>February</v>
      </c>
      <c r="C186" s="14">
        <v>96</v>
      </c>
    </row>
    <row r="187" spans="1:3">
      <c r="A187" s="80">
        <v>47555</v>
      </c>
      <c r="B187" s="14" t="str">
        <f t="shared" si="3"/>
        <v>March</v>
      </c>
      <c r="C187" s="15">
        <v>88</v>
      </c>
    </row>
    <row r="188" spans="1:3">
      <c r="A188" s="79">
        <v>47585</v>
      </c>
      <c r="B188" s="14" t="str">
        <f t="shared" si="3"/>
        <v>April</v>
      </c>
      <c r="C188" s="14">
        <v>103</v>
      </c>
    </row>
    <row r="189" spans="1:3">
      <c r="A189" s="80">
        <v>47615</v>
      </c>
      <c r="B189" s="14" t="str">
        <f t="shared" si="3"/>
        <v>May</v>
      </c>
      <c r="C189" s="15">
        <v>83</v>
      </c>
    </row>
    <row r="190" spans="1:3">
      <c r="A190" s="79">
        <v>47645</v>
      </c>
      <c r="B190" s="14" t="str">
        <f t="shared" si="3"/>
        <v>June</v>
      </c>
      <c r="C190" s="14">
        <v>82</v>
      </c>
    </row>
    <row r="191" spans="1:3">
      <c r="A191" s="80">
        <v>47675</v>
      </c>
      <c r="B191" s="14" t="str">
        <f t="shared" si="3"/>
        <v>July</v>
      </c>
      <c r="C191" s="15">
        <v>106</v>
      </c>
    </row>
    <row r="192" spans="1:3">
      <c r="A192" s="79">
        <v>47705</v>
      </c>
      <c r="B192" s="14" t="str">
        <f t="shared" si="3"/>
        <v>August</v>
      </c>
      <c r="C192" s="14">
        <v>96</v>
      </c>
    </row>
    <row r="193" spans="1:3">
      <c r="A193" s="80">
        <v>47735</v>
      </c>
      <c r="B193" s="14" t="str">
        <f t="shared" si="3"/>
        <v>September</v>
      </c>
      <c r="C193" s="15">
        <v>96</v>
      </c>
    </row>
    <row r="194" spans="1:3">
      <c r="A194" s="79">
        <v>47765</v>
      </c>
      <c r="B194" s="14" t="str">
        <f t="shared" si="3"/>
        <v>October</v>
      </c>
      <c r="C194" s="14">
        <v>109</v>
      </c>
    </row>
    <row r="195" spans="1:3">
      <c r="A195" s="80">
        <v>47795</v>
      </c>
      <c r="B195" s="14" t="str">
        <f t="shared" ref="B195:B258" si="4">TEXT(A195,"mmmm")</f>
        <v>November</v>
      </c>
      <c r="C195" s="15">
        <v>98</v>
      </c>
    </row>
    <row r="196" spans="1:3">
      <c r="A196" s="79">
        <v>47825</v>
      </c>
      <c r="B196" s="14" t="str">
        <f t="shared" si="4"/>
        <v>December</v>
      </c>
      <c r="C196" s="14">
        <v>86</v>
      </c>
    </row>
    <row r="197" spans="1:3">
      <c r="A197" s="80">
        <v>47855</v>
      </c>
      <c r="B197" s="14" t="str">
        <f t="shared" si="4"/>
        <v>January</v>
      </c>
      <c r="C197" s="15">
        <v>79</v>
      </c>
    </row>
    <row r="198" spans="1:3">
      <c r="A198" s="79">
        <v>47885</v>
      </c>
      <c r="B198" s="14" t="str">
        <f t="shared" si="4"/>
        <v>February</v>
      </c>
      <c r="C198" s="14">
        <v>86</v>
      </c>
    </row>
    <row r="199" spans="1:3">
      <c r="A199" s="80">
        <v>47915</v>
      </c>
      <c r="B199" s="14" t="str">
        <f t="shared" si="4"/>
        <v>March</v>
      </c>
      <c r="C199" s="15">
        <v>108</v>
      </c>
    </row>
    <row r="200" spans="1:3">
      <c r="A200" s="79">
        <v>47945</v>
      </c>
      <c r="B200" s="14" t="str">
        <f t="shared" si="4"/>
        <v>April</v>
      </c>
      <c r="C200" s="14">
        <v>127</v>
      </c>
    </row>
    <row r="201" spans="1:3">
      <c r="A201" s="80">
        <v>47975</v>
      </c>
      <c r="B201" s="14" t="str">
        <f t="shared" si="4"/>
        <v>May</v>
      </c>
      <c r="C201" s="15">
        <v>93</v>
      </c>
    </row>
    <row r="202" spans="1:3">
      <c r="A202" s="79">
        <v>48005</v>
      </c>
      <c r="B202" s="14" t="str">
        <f t="shared" si="4"/>
        <v>June</v>
      </c>
      <c r="C202" s="14">
        <v>82</v>
      </c>
    </row>
    <row r="203" spans="1:3">
      <c r="A203" s="80">
        <v>48035</v>
      </c>
      <c r="B203" s="14" t="str">
        <f t="shared" si="4"/>
        <v>July</v>
      </c>
      <c r="C203" s="15">
        <v>104</v>
      </c>
    </row>
    <row r="204" spans="1:3">
      <c r="A204" s="79">
        <v>48065</v>
      </c>
      <c r="B204" s="14" t="str">
        <f t="shared" si="4"/>
        <v>August</v>
      </c>
      <c r="C204" s="14">
        <v>99</v>
      </c>
    </row>
    <row r="205" spans="1:3">
      <c r="A205" s="80">
        <v>48095</v>
      </c>
      <c r="B205" s="14" t="str">
        <f t="shared" si="4"/>
        <v>September</v>
      </c>
      <c r="C205" s="15">
        <v>102</v>
      </c>
    </row>
    <row r="206" spans="1:3">
      <c r="A206" s="79">
        <v>48125</v>
      </c>
      <c r="B206" s="14" t="str">
        <f t="shared" si="4"/>
        <v>October</v>
      </c>
      <c r="C206" s="14">
        <v>76</v>
      </c>
    </row>
    <row r="207" spans="1:3">
      <c r="A207" s="80">
        <v>48155</v>
      </c>
      <c r="B207" s="14" t="str">
        <f t="shared" si="4"/>
        <v>November</v>
      </c>
      <c r="C207" s="15">
        <v>99</v>
      </c>
    </row>
    <row r="208" spans="1:3">
      <c r="A208" s="79">
        <v>48185</v>
      </c>
      <c r="B208" s="14" t="str">
        <f t="shared" si="4"/>
        <v>December</v>
      </c>
      <c r="C208" s="14">
        <v>93</v>
      </c>
    </row>
    <row r="209" spans="1:3">
      <c r="A209" s="80">
        <v>48215</v>
      </c>
      <c r="B209" s="14" t="str">
        <f t="shared" si="4"/>
        <v>January</v>
      </c>
      <c r="C209" s="15">
        <v>99</v>
      </c>
    </row>
    <row r="210" spans="1:3">
      <c r="A210" s="79">
        <v>48245</v>
      </c>
      <c r="B210" s="14" t="str">
        <f t="shared" si="4"/>
        <v>February</v>
      </c>
      <c r="C210" s="14">
        <v>102</v>
      </c>
    </row>
    <row r="211" spans="1:3">
      <c r="A211" s="80">
        <v>48275</v>
      </c>
      <c r="B211" s="14" t="str">
        <f t="shared" si="4"/>
        <v>March</v>
      </c>
      <c r="C211" s="15">
        <v>106</v>
      </c>
    </row>
    <row r="212" spans="1:3">
      <c r="A212" s="79">
        <v>48305</v>
      </c>
      <c r="B212" s="14" t="str">
        <f t="shared" si="4"/>
        <v>April</v>
      </c>
      <c r="C212" s="14">
        <v>94</v>
      </c>
    </row>
    <row r="213" spans="1:3">
      <c r="A213" s="80">
        <v>48335</v>
      </c>
      <c r="B213" s="14" t="str">
        <f t="shared" si="4"/>
        <v>May</v>
      </c>
      <c r="C213" s="15">
        <v>105</v>
      </c>
    </row>
    <row r="214" spans="1:3">
      <c r="A214" s="79">
        <v>48365</v>
      </c>
      <c r="B214" s="14" t="str">
        <f t="shared" si="4"/>
        <v>May</v>
      </c>
      <c r="C214" s="14">
        <v>100</v>
      </c>
    </row>
    <row r="215" spans="1:3">
      <c r="A215" s="80">
        <v>48395</v>
      </c>
      <c r="B215" s="14" t="str">
        <f t="shared" si="4"/>
        <v>June</v>
      </c>
      <c r="C215" s="15">
        <v>122</v>
      </c>
    </row>
    <row r="216" spans="1:3">
      <c r="A216" s="79">
        <v>48425</v>
      </c>
      <c r="B216" s="14" t="str">
        <f t="shared" si="4"/>
        <v>July</v>
      </c>
      <c r="C216" s="14">
        <v>103</v>
      </c>
    </row>
    <row r="217" spans="1:3">
      <c r="A217" s="80">
        <v>48455</v>
      </c>
      <c r="B217" s="14" t="str">
        <f t="shared" si="4"/>
        <v>August</v>
      </c>
      <c r="C217" s="15">
        <v>119</v>
      </c>
    </row>
    <row r="218" spans="1:3">
      <c r="A218" s="79">
        <v>48485</v>
      </c>
      <c r="B218" s="14" t="str">
        <f t="shared" si="4"/>
        <v>September</v>
      </c>
      <c r="C218" s="14">
        <v>76</v>
      </c>
    </row>
    <row r="219" spans="1:3">
      <c r="A219" s="80">
        <v>48515</v>
      </c>
      <c r="B219" s="14" t="str">
        <f t="shared" si="4"/>
        <v>October</v>
      </c>
      <c r="C219" s="15">
        <v>96</v>
      </c>
    </row>
    <row r="220" spans="1:3">
      <c r="A220" s="79">
        <v>48545</v>
      </c>
      <c r="B220" s="14" t="str">
        <f t="shared" si="4"/>
        <v>November</v>
      </c>
      <c r="C220" s="14">
        <v>103</v>
      </c>
    </row>
    <row r="221" spans="1:3">
      <c r="A221" s="80">
        <v>48575</v>
      </c>
      <c r="B221" s="14" t="str">
        <f t="shared" si="4"/>
        <v>December</v>
      </c>
      <c r="C221" s="15">
        <v>111</v>
      </c>
    </row>
    <row r="222" spans="1:3">
      <c r="A222" s="79">
        <v>48605</v>
      </c>
      <c r="B222" s="14" t="str">
        <f t="shared" si="4"/>
        <v>January</v>
      </c>
      <c r="C222" s="14">
        <v>97</v>
      </c>
    </row>
    <row r="223" spans="1:3">
      <c r="A223" s="80">
        <v>48635</v>
      </c>
      <c r="B223" s="14" t="str">
        <f t="shared" si="4"/>
        <v>February</v>
      </c>
      <c r="C223" s="15">
        <v>112</v>
      </c>
    </row>
    <row r="224" spans="1:3">
      <c r="A224" s="79">
        <v>48665</v>
      </c>
      <c r="B224" s="14" t="str">
        <f t="shared" si="4"/>
        <v>March</v>
      </c>
      <c r="C224" s="14">
        <v>99</v>
      </c>
    </row>
    <row r="225" spans="1:3">
      <c r="A225" s="80">
        <v>48695</v>
      </c>
      <c r="B225" s="14" t="str">
        <f t="shared" si="4"/>
        <v>April</v>
      </c>
      <c r="C225" s="15">
        <v>124</v>
      </c>
    </row>
    <row r="226" spans="1:3">
      <c r="A226" s="79">
        <v>48725</v>
      </c>
      <c r="B226" s="14" t="str">
        <f t="shared" si="4"/>
        <v>May</v>
      </c>
      <c r="C226" s="14">
        <v>91</v>
      </c>
    </row>
    <row r="227" spans="1:3">
      <c r="A227" s="80">
        <v>48755</v>
      </c>
      <c r="B227" s="14" t="str">
        <f t="shared" si="4"/>
        <v>June</v>
      </c>
      <c r="C227" s="15">
        <v>103</v>
      </c>
    </row>
    <row r="228" spans="1:3">
      <c r="A228" s="79">
        <v>48785</v>
      </c>
      <c r="B228" s="14" t="str">
        <f t="shared" si="4"/>
        <v>July</v>
      </c>
      <c r="C228" s="14">
        <v>86</v>
      </c>
    </row>
    <row r="229" spans="1:3">
      <c r="A229" s="80">
        <v>48815</v>
      </c>
      <c r="B229" s="14" t="str">
        <f t="shared" si="4"/>
        <v>August</v>
      </c>
      <c r="C229" s="15">
        <v>101</v>
      </c>
    </row>
    <row r="230" spans="1:3">
      <c r="A230" s="79">
        <v>48845</v>
      </c>
      <c r="B230" s="14" t="str">
        <f t="shared" si="4"/>
        <v>September</v>
      </c>
      <c r="C230" s="14">
        <v>101</v>
      </c>
    </row>
    <row r="231" spans="1:3">
      <c r="A231" s="80">
        <v>48875</v>
      </c>
      <c r="B231" s="14" t="str">
        <f t="shared" si="4"/>
        <v>October</v>
      </c>
      <c r="C231" s="15">
        <v>101</v>
      </c>
    </row>
    <row r="232" spans="1:3">
      <c r="A232" s="79">
        <v>48905</v>
      </c>
      <c r="B232" s="14" t="str">
        <f t="shared" si="4"/>
        <v>November</v>
      </c>
      <c r="C232" s="14">
        <v>113</v>
      </c>
    </row>
    <row r="233" spans="1:3">
      <c r="A233" s="80">
        <v>48935</v>
      </c>
      <c r="B233" s="14" t="str">
        <f t="shared" si="4"/>
        <v>December</v>
      </c>
      <c r="C233" s="15">
        <v>87</v>
      </c>
    </row>
    <row r="234" spans="1:3">
      <c r="A234" s="79">
        <v>48965</v>
      </c>
      <c r="B234" s="14" t="str">
        <f t="shared" si="4"/>
        <v>January</v>
      </c>
      <c r="C234" s="14">
        <v>108</v>
      </c>
    </row>
    <row r="235" spans="1:3">
      <c r="A235" s="80">
        <v>48995</v>
      </c>
      <c r="B235" s="14" t="str">
        <f t="shared" si="4"/>
        <v>February</v>
      </c>
      <c r="C235" s="15">
        <v>100</v>
      </c>
    </row>
    <row r="236" spans="1:3">
      <c r="A236" s="79">
        <v>49025</v>
      </c>
      <c r="B236" s="14" t="str">
        <f t="shared" si="4"/>
        <v>March</v>
      </c>
      <c r="C236" s="14">
        <v>87</v>
      </c>
    </row>
    <row r="237" spans="1:3">
      <c r="A237" s="80">
        <v>49055</v>
      </c>
      <c r="B237" s="14" t="str">
        <f t="shared" si="4"/>
        <v>April</v>
      </c>
      <c r="C237" s="15">
        <v>96</v>
      </c>
    </row>
    <row r="238" spans="1:3">
      <c r="A238" s="79">
        <v>49085</v>
      </c>
      <c r="B238" s="14" t="str">
        <f t="shared" si="4"/>
        <v>May</v>
      </c>
      <c r="C238" s="14">
        <v>97</v>
      </c>
    </row>
    <row r="239" spans="1:3">
      <c r="A239" s="80">
        <v>49115</v>
      </c>
      <c r="B239" s="14" t="str">
        <f t="shared" si="4"/>
        <v>June</v>
      </c>
      <c r="C239" s="15">
        <v>116</v>
      </c>
    </row>
    <row r="240" spans="1:3">
      <c r="A240" s="79">
        <v>49145</v>
      </c>
      <c r="B240" s="14" t="str">
        <f t="shared" si="4"/>
        <v>July</v>
      </c>
      <c r="C240" s="14">
        <v>100</v>
      </c>
    </row>
    <row r="241" spans="1:3">
      <c r="A241" s="80">
        <v>49175</v>
      </c>
      <c r="B241" s="14" t="str">
        <f t="shared" si="4"/>
        <v>August</v>
      </c>
      <c r="C241" s="15">
        <v>97</v>
      </c>
    </row>
    <row r="242" spans="1:3">
      <c r="A242" s="79">
        <v>49205</v>
      </c>
      <c r="B242" s="14" t="str">
        <f t="shared" si="4"/>
        <v>September</v>
      </c>
      <c r="C242" s="14">
        <v>100</v>
      </c>
    </row>
    <row r="243" spans="1:3">
      <c r="A243" s="80">
        <v>49235</v>
      </c>
      <c r="B243" s="14" t="str">
        <f t="shared" si="4"/>
        <v>October</v>
      </c>
      <c r="C243" s="15">
        <v>99</v>
      </c>
    </row>
    <row r="244" spans="1:3">
      <c r="A244" s="79">
        <v>49265</v>
      </c>
      <c r="B244" s="14" t="str">
        <f t="shared" si="4"/>
        <v>November</v>
      </c>
      <c r="C244" s="14">
        <v>100</v>
      </c>
    </row>
    <row r="245" spans="1:3">
      <c r="A245" s="80">
        <v>49295</v>
      </c>
      <c r="B245" s="14" t="str">
        <f t="shared" si="4"/>
        <v>December</v>
      </c>
      <c r="C245" s="15">
        <v>100</v>
      </c>
    </row>
    <row r="246" spans="1:3">
      <c r="A246" s="79">
        <v>49325</v>
      </c>
      <c r="B246" s="14" t="str">
        <f t="shared" si="4"/>
        <v>January</v>
      </c>
      <c r="C246" s="14">
        <v>82</v>
      </c>
    </row>
    <row r="247" spans="1:3">
      <c r="A247" s="80">
        <v>49355</v>
      </c>
      <c r="B247" s="14" t="str">
        <f t="shared" si="4"/>
        <v>February</v>
      </c>
      <c r="C247" s="15">
        <v>87</v>
      </c>
    </row>
    <row r="248" spans="1:3">
      <c r="A248" s="79">
        <v>49385</v>
      </c>
      <c r="B248" s="14" t="str">
        <f t="shared" si="4"/>
        <v>March</v>
      </c>
      <c r="C248" s="14">
        <v>87</v>
      </c>
    </row>
    <row r="249" spans="1:3">
      <c r="A249" s="80">
        <v>49415</v>
      </c>
      <c r="B249" s="14" t="str">
        <f t="shared" si="4"/>
        <v>April</v>
      </c>
      <c r="C249" s="15">
        <v>90</v>
      </c>
    </row>
    <row r="250" spans="1:3">
      <c r="A250" s="79">
        <v>49445</v>
      </c>
      <c r="B250" s="14" t="str">
        <f t="shared" si="4"/>
        <v>May</v>
      </c>
      <c r="C250" s="14">
        <v>115</v>
      </c>
    </row>
    <row r="251" spans="1:3">
      <c r="A251" s="80">
        <v>49475</v>
      </c>
      <c r="B251" s="14" t="str">
        <f t="shared" si="4"/>
        <v>June</v>
      </c>
      <c r="C251" s="15">
        <v>105</v>
      </c>
    </row>
    <row r="252" spans="1:3">
      <c r="A252" s="79">
        <v>49505</v>
      </c>
      <c r="B252" s="14" t="str">
        <f t="shared" si="4"/>
        <v>July</v>
      </c>
      <c r="C252" s="14">
        <v>90</v>
      </c>
    </row>
    <row r="253" spans="1:3">
      <c r="A253" s="80">
        <v>49535</v>
      </c>
      <c r="B253" s="14" t="str">
        <f t="shared" si="4"/>
        <v>August</v>
      </c>
      <c r="C253" s="15">
        <v>89</v>
      </c>
    </row>
    <row r="254" spans="1:3">
      <c r="A254" s="79">
        <v>49565</v>
      </c>
      <c r="B254" s="14" t="str">
        <f t="shared" si="4"/>
        <v>September</v>
      </c>
      <c r="C254" s="14">
        <v>89</v>
      </c>
    </row>
    <row r="255" spans="1:3">
      <c r="A255" s="80">
        <v>49595</v>
      </c>
      <c r="B255" s="14" t="str">
        <f t="shared" si="4"/>
        <v>October</v>
      </c>
      <c r="C255" s="15">
        <v>86</v>
      </c>
    </row>
    <row r="256" spans="1:3">
      <c r="A256" s="79">
        <v>49625</v>
      </c>
      <c r="B256" s="14" t="str">
        <f t="shared" si="4"/>
        <v>November</v>
      </c>
      <c r="C256" s="14">
        <v>91</v>
      </c>
    </row>
    <row r="257" spans="1:3">
      <c r="A257" s="80">
        <v>49655</v>
      </c>
      <c r="B257" s="14" t="str">
        <f t="shared" si="4"/>
        <v>December</v>
      </c>
      <c r="C257" s="15">
        <v>100</v>
      </c>
    </row>
    <row r="258" spans="1:3">
      <c r="A258" s="79">
        <v>49685</v>
      </c>
      <c r="B258" s="14" t="str">
        <f t="shared" si="4"/>
        <v>January</v>
      </c>
      <c r="C258" s="14">
        <v>104</v>
      </c>
    </row>
    <row r="259" spans="1:3">
      <c r="A259" s="80">
        <v>49715</v>
      </c>
      <c r="B259" s="14" t="str">
        <f t="shared" ref="B259:B322" si="5">TEXT(A259,"mmmm")</f>
        <v>February</v>
      </c>
      <c r="C259" s="15">
        <v>80</v>
      </c>
    </row>
    <row r="260" spans="1:3">
      <c r="A260" s="79">
        <v>49745</v>
      </c>
      <c r="B260" s="14" t="str">
        <f t="shared" si="5"/>
        <v>March</v>
      </c>
      <c r="C260" s="14">
        <v>110</v>
      </c>
    </row>
    <row r="261" spans="1:3">
      <c r="A261" s="80">
        <v>49775</v>
      </c>
      <c r="B261" s="14" t="str">
        <f t="shared" si="5"/>
        <v>April</v>
      </c>
      <c r="C261" s="15">
        <v>90</v>
      </c>
    </row>
    <row r="262" spans="1:3">
      <c r="A262" s="79">
        <v>49805</v>
      </c>
      <c r="B262" s="14" t="str">
        <f t="shared" si="5"/>
        <v>May</v>
      </c>
      <c r="C262" s="14">
        <v>96</v>
      </c>
    </row>
    <row r="263" spans="1:3">
      <c r="A263" s="80">
        <v>49835</v>
      </c>
      <c r="B263" s="14" t="str">
        <f t="shared" si="5"/>
        <v>June</v>
      </c>
      <c r="C263" s="15">
        <v>103</v>
      </c>
    </row>
    <row r="264" spans="1:3">
      <c r="A264" s="79">
        <v>49865</v>
      </c>
      <c r="B264" s="14" t="str">
        <f t="shared" si="5"/>
        <v>July</v>
      </c>
      <c r="C264" s="14">
        <v>99</v>
      </c>
    </row>
    <row r="265" spans="1:3">
      <c r="A265" s="80">
        <v>49895</v>
      </c>
      <c r="B265" s="14" t="str">
        <f t="shared" si="5"/>
        <v>August</v>
      </c>
      <c r="C265" s="15">
        <f>IF(ISBLANK(C218), P219, C218)</f>
        <v>76</v>
      </c>
    </row>
    <row r="266" spans="1:3">
      <c r="A266" s="79">
        <v>49925</v>
      </c>
      <c r="B266" s="14" t="str">
        <f t="shared" si="5"/>
        <v>September</v>
      </c>
      <c r="C266" s="14">
        <v>106</v>
      </c>
    </row>
    <row r="267" spans="1:3">
      <c r="A267" s="80">
        <v>49955</v>
      </c>
      <c r="B267" s="14" t="str">
        <f t="shared" si="5"/>
        <v>October</v>
      </c>
      <c r="C267" s="15">
        <v>100</v>
      </c>
    </row>
    <row r="268" spans="1:3">
      <c r="A268" s="79">
        <v>49985</v>
      </c>
      <c r="B268" s="14" t="str">
        <f t="shared" si="5"/>
        <v>November</v>
      </c>
      <c r="C268" s="14">
        <v>85</v>
      </c>
    </row>
    <row r="269" spans="1:3">
      <c r="A269" s="80">
        <v>50015</v>
      </c>
      <c r="B269" s="14" t="str">
        <f t="shared" si="5"/>
        <v>December</v>
      </c>
      <c r="C269" s="15">
        <v>101</v>
      </c>
    </row>
    <row r="270" spans="1:3">
      <c r="A270" s="79">
        <v>50045</v>
      </c>
      <c r="B270" s="14" t="str">
        <f t="shared" si="5"/>
        <v>January</v>
      </c>
      <c r="C270" s="14">
        <v>93</v>
      </c>
    </row>
    <row r="271" spans="1:3">
      <c r="A271" s="80">
        <v>50075</v>
      </c>
      <c r="B271" s="14" t="str">
        <f t="shared" si="5"/>
        <v>February</v>
      </c>
      <c r="C271" s="15">
        <v>91</v>
      </c>
    </row>
    <row r="272" spans="1:3">
      <c r="A272" s="79">
        <v>50105</v>
      </c>
      <c r="B272" s="14" t="str">
        <f t="shared" si="5"/>
        <v>March</v>
      </c>
      <c r="C272" s="14">
        <v>103</v>
      </c>
    </row>
    <row r="273" spans="1:3">
      <c r="A273" s="80">
        <v>50135</v>
      </c>
      <c r="B273" s="14" t="str">
        <f t="shared" si="5"/>
        <v>April</v>
      </c>
      <c r="C273" s="15">
        <v>109</v>
      </c>
    </row>
    <row r="274" spans="1:3">
      <c r="A274" s="79">
        <v>50165</v>
      </c>
      <c r="B274" s="14" t="str">
        <f t="shared" si="5"/>
        <v>May</v>
      </c>
      <c r="C274" s="14">
        <v>83</v>
      </c>
    </row>
    <row r="275" spans="1:3">
      <c r="A275" s="80">
        <v>50195</v>
      </c>
      <c r="B275" s="14" t="str">
        <f t="shared" si="5"/>
        <v>June</v>
      </c>
      <c r="C275" s="15">
        <v>102</v>
      </c>
    </row>
    <row r="276" spans="1:3">
      <c r="A276" s="79">
        <v>50225</v>
      </c>
      <c r="B276" s="14" t="str">
        <f t="shared" si="5"/>
        <v>July</v>
      </c>
      <c r="C276" s="14">
        <v>98</v>
      </c>
    </row>
    <row r="277" spans="1:3">
      <c r="A277" s="80">
        <v>50255</v>
      </c>
      <c r="B277" s="14" t="str">
        <f t="shared" si="5"/>
        <v>August</v>
      </c>
      <c r="C277" s="15">
        <v>93</v>
      </c>
    </row>
    <row r="278" spans="1:3">
      <c r="A278" s="79">
        <v>50285</v>
      </c>
      <c r="B278" s="14" t="str">
        <f t="shared" si="5"/>
        <v>September</v>
      </c>
      <c r="C278" s="14">
        <v>104</v>
      </c>
    </row>
    <row r="279" spans="1:3">
      <c r="A279" s="80">
        <v>50315</v>
      </c>
      <c r="B279" s="14" t="str">
        <f t="shared" si="5"/>
        <v>October</v>
      </c>
      <c r="C279" s="15">
        <v>96</v>
      </c>
    </row>
    <row r="280" spans="1:3">
      <c r="A280" s="79">
        <v>50345</v>
      </c>
      <c r="B280" s="14" t="str">
        <f t="shared" si="5"/>
        <v>November</v>
      </c>
      <c r="C280" s="14">
        <v>103</v>
      </c>
    </row>
    <row r="281" spans="1:3">
      <c r="A281" s="80">
        <v>50375</v>
      </c>
      <c r="B281" s="14" t="str">
        <f t="shared" si="5"/>
        <v>December</v>
      </c>
      <c r="C281" s="15">
        <v>85</v>
      </c>
    </row>
    <row r="282" spans="1:3">
      <c r="A282" s="79">
        <v>50405</v>
      </c>
      <c r="B282" s="14" t="str">
        <f t="shared" si="5"/>
        <v>December</v>
      </c>
      <c r="C282" s="14">
        <v>92</v>
      </c>
    </row>
    <row r="283" spans="1:3">
      <c r="A283" s="80">
        <v>50435</v>
      </c>
      <c r="B283" s="14" t="str">
        <f t="shared" si="5"/>
        <v>January</v>
      </c>
      <c r="C283" s="15">
        <v>90</v>
      </c>
    </row>
    <row r="284" spans="1:3">
      <c r="A284" s="79">
        <v>50465</v>
      </c>
      <c r="B284" s="14" t="str">
        <f t="shared" si="5"/>
        <v>March</v>
      </c>
      <c r="C284" s="14">
        <v>83</v>
      </c>
    </row>
    <row r="285" spans="1:3">
      <c r="A285" s="80">
        <v>50495</v>
      </c>
      <c r="B285" s="14" t="str">
        <f t="shared" si="5"/>
        <v>March</v>
      </c>
      <c r="C285" s="15">
        <v>86</v>
      </c>
    </row>
    <row r="286" spans="1:3">
      <c r="A286" s="79">
        <v>50525</v>
      </c>
      <c r="B286" s="14" t="str">
        <f t="shared" si="5"/>
        <v>April</v>
      </c>
      <c r="C286" s="14">
        <v>110</v>
      </c>
    </row>
    <row r="287" spans="1:3">
      <c r="A287" s="80">
        <v>50555</v>
      </c>
      <c r="B287" s="14" t="str">
        <f t="shared" si="5"/>
        <v>May</v>
      </c>
      <c r="C287" s="15">
        <v>89</v>
      </c>
    </row>
    <row r="288" spans="1:3">
      <c r="A288" s="79">
        <v>50585</v>
      </c>
      <c r="B288" s="14" t="str">
        <f t="shared" si="5"/>
        <v>June</v>
      </c>
      <c r="C288" s="14">
        <v>118</v>
      </c>
    </row>
    <row r="289" spans="1:3">
      <c r="A289" s="80">
        <v>50615</v>
      </c>
      <c r="B289" s="14" t="str">
        <f t="shared" si="5"/>
        <v>July</v>
      </c>
      <c r="C289" s="15">
        <v>102</v>
      </c>
    </row>
    <row r="290" spans="1:3">
      <c r="A290" s="79">
        <v>50645</v>
      </c>
      <c r="B290" s="14" t="str">
        <f t="shared" si="5"/>
        <v>August</v>
      </c>
      <c r="C290" s="14">
        <v>108</v>
      </c>
    </row>
    <row r="291" spans="1:3">
      <c r="A291" s="80">
        <v>50675</v>
      </c>
      <c r="B291" s="14" t="str">
        <f t="shared" si="5"/>
        <v>September</v>
      </c>
      <c r="C291" s="15">
        <v>95</v>
      </c>
    </row>
    <row r="292" spans="1:3">
      <c r="A292" s="79">
        <v>50705</v>
      </c>
      <c r="B292" s="14" t="str">
        <f t="shared" si="5"/>
        <v>October</v>
      </c>
      <c r="C292" s="14">
        <v>100</v>
      </c>
    </row>
    <row r="293" spans="1:3">
      <c r="A293" s="80">
        <v>50735</v>
      </c>
      <c r="B293" s="14" t="str">
        <f t="shared" si="5"/>
        <v>November</v>
      </c>
      <c r="C293" s="15">
        <v>86</v>
      </c>
    </row>
    <row r="294" spans="1:3">
      <c r="A294" s="79">
        <v>50765</v>
      </c>
      <c r="B294" s="14" t="str">
        <f t="shared" si="5"/>
        <v>December</v>
      </c>
      <c r="C294" s="14">
        <v>94</v>
      </c>
    </row>
    <row r="295" spans="1:3">
      <c r="A295" s="80">
        <v>50795</v>
      </c>
      <c r="B295" s="14" t="str">
        <f t="shared" si="5"/>
        <v>January</v>
      </c>
      <c r="C295" s="15">
        <v>88</v>
      </c>
    </row>
    <row r="296" spans="1:3">
      <c r="A296" s="79">
        <v>50825</v>
      </c>
      <c r="B296" s="14" t="str">
        <f t="shared" si="5"/>
        <v>February</v>
      </c>
      <c r="C296" s="14">
        <v>100</v>
      </c>
    </row>
    <row r="297" spans="1:3">
      <c r="A297" s="80">
        <v>50855</v>
      </c>
      <c r="B297" s="14" t="str">
        <f t="shared" si="5"/>
        <v>March</v>
      </c>
      <c r="C297" s="15">
        <v>95</v>
      </c>
    </row>
    <row r="298" spans="1:3">
      <c r="A298" s="79">
        <v>50885</v>
      </c>
      <c r="B298" s="14" t="str">
        <f t="shared" si="5"/>
        <v>April</v>
      </c>
      <c r="C298" s="14">
        <v>95</v>
      </c>
    </row>
    <row r="299" spans="1:3">
      <c r="A299" s="80">
        <v>50915</v>
      </c>
      <c r="B299" s="14" t="str">
        <f t="shared" si="5"/>
        <v>May</v>
      </c>
      <c r="C299" s="15">
        <v>92</v>
      </c>
    </row>
    <row r="300" spans="1:3">
      <c r="A300" s="79">
        <v>50945</v>
      </c>
      <c r="B300" s="14" t="str">
        <f t="shared" si="5"/>
        <v>June</v>
      </c>
      <c r="C300" s="14">
        <v>108</v>
      </c>
    </row>
    <row r="301" spans="1:3">
      <c r="A301" s="80">
        <v>50975</v>
      </c>
      <c r="B301" s="14" t="str">
        <f t="shared" si="5"/>
        <v>July</v>
      </c>
      <c r="C301" s="15">
        <v>99</v>
      </c>
    </row>
    <row r="302" spans="1:3">
      <c r="A302" s="79">
        <v>51005</v>
      </c>
      <c r="B302" s="14" t="str">
        <f t="shared" si="5"/>
        <v>August</v>
      </c>
      <c r="C302" s="14">
        <v>95</v>
      </c>
    </row>
    <row r="303" spans="1:3">
      <c r="A303" s="80">
        <v>51035</v>
      </c>
      <c r="B303" s="14" t="str">
        <f t="shared" si="5"/>
        <v>September</v>
      </c>
      <c r="C303" s="15">
        <v>86</v>
      </c>
    </row>
    <row r="304" spans="1:3">
      <c r="A304" s="79">
        <v>51065</v>
      </c>
      <c r="B304" s="14" t="str">
        <f t="shared" si="5"/>
        <v>October</v>
      </c>
      <c r="C304" s="14">
        <v>120</v>
      </c>
    </row>
    <row r="305" spans="1:3">
      <c r="A305" s="80">
        <v>51095</v>
      </c>
      <c r="B305" s="14" t="str">
        <f t="shared" si="5"/>
        <v>November</v>
      </c>
      <c r="C305" s="15">
        <v>81</v>
      </c>
    </row>
    <row r="306" spans="1:3">
      <c r="A306" s="79">
        <v>51125</v>
      </c>
      <c r="B306" s="14" t="str">
        <f t="shared" si="5"/>
        <v>December</v>
      </c>
      <c r="C306" s="14">
        <v>102</v>
      </c>
    </row>
    <row r="307" spans="1:3">
      <c r="A307" s="80">
        <v>51155</v>
      </c>
      <c r="B307" s="14" t="str">
        <f t="shared" si="5"/>
        <v>January</v>
      </c>
      <c r="C307" s="15">
        <v>87</v>
      </c>
    </row>
    <row r="308" spans="1:3">
      <c r="A308" s="79">
        <v>51185</v>
      </c>
      <c r="B308" s="14" t="str">
        <f t="shared" si="5"/>
        <v>February</v>
      </c>
      <c r="C308" s="14">
        <v>90</v>
      </c>
    </row>
    <row r="309" spans="1:3">
      <c r="A309" s="80">
        <v>51215</v>
      </c>
      <c r="B309" s="14" t="str">
        <f t="shared" si="5"/>
        <v>March</v>
      </c>
      <c r="C309" s="15">
        <v>89</v>
      </c>
    </row>
    <row r="310" spans="1:3">
      <c r="A310" s="79">
        <v>51245</v>
      </c>
      <c r="B310" s="14" t="str">
        <f t="shared" si="5"/>
        <v>April</v>
      </c>
      <c r="C310" s="14">
        <v>105</v>
      </c>
    </row>
    <row r="311" spans="1:3">
      <c r="A311" s="80">
        <v>51275</v>
      </c>
      <c r="B311" s="14" t="str">
        <f t="shared" si="5"/>
        <v>May</v>
      </c>
      <c r="C311" s="15">
        <v>96</v>
      </c>
    </row>
    <row r="312" spans="1:3">
      <c r="A312" s="79">
        <v>51305</v>
      </c>
      <c r="B312" s="14" t="str">
        <f t="shared" si="5"/>
        <v>June</v>
      </c>
      <c r="C312" s="14">
        <v>97</v>
      </c>
    </row>
    <row r="313" spans="1:3">
      <c r="A313" s="80">
        <v>51335</v>
      </c>
      <c r="B313" s="14" t="str">
        <f t="shared" si="5"/>
        <v>July</v>
      </c>
      <c r="C313" s="15">
        <v>98</v>
      </c>
    </row>
    <row r="314" spans="1:3">
      <c r="A314" s="79">
        <v>51365</v>
      </c>
      <c r="B314" s="14" t="str">
        <f t="shared" si="5"/>
        <v>August</v>
      </c>
      <c r="C314" s="14">
        <v>100</v>
      </c>
    </row>
    <row r="315" spans="1:3">
      <c r="A315" s="80">
        <v>51395</v>
      </c>
      <c r="B315" s="14" t="str">
        <f t="shared" si="5"/>
        <v>September</v>
      </c>
      <c r="C315" s="15">
        <v>108</v>
      </c>
    </row>
    <row r="316" spans="1:3">
      <c r="A316" s="79">
        <v>51425</v>
      </c>
      <c r="B316" s="14" t="str">
        <f t="shared" si="5"/>
        <v>October</v>
      </c>
      <c r="C316" s="14">
        <v>92</v>
      </c>
    </row>
    <row r="317" spans="1:3">
      <c r="A317" s="80">
        <v>51455</v>
      </c>
      <c r="B317" s="14" t="str">
        <f t="shared" si="5"/>
        <v>November</v>
      </c>
      <c r="C317" s="15">
        <v>97</v>
      </c>
    </row>
    <row r="318" spans="1:3">
      <c r="A318" s="79">
        <v>51485</v>
      </c>
      <c r="B318" s="14" t="str">
        <f t="shared" si="5"/>
        <v>December</v>
      </c>
      <c r="C318" s="14">
        <v>116</v>
      </c>
    </row>
    <row r="319" spans="1:3">
      <c r="A319" s="80">
        <v>51515</v>
      </c>
      <c r="B319" s="14" t="str">
        <f t="shared" si="5"/>
        <v>January</v>
      </c>
      <c r="C319" s="15">
        <f>IF(ISBLANK(C272), P273, C272)</f>
        <v>103</v>
      </c>
    </row>
    <row r="320" spans="1:3">
      <c r="A320" s="79">
        <v>51545</v>
      </c>
      <c r="B320" s="14" t="str">
        <f t="shared" si="5"/>
        <v>February</v>
      </c>
      <c r="C320" s="14">
        <v>87</v>
      </c>
    </row>
    <row r="321" spans="1:3">
      <c r="A321" s="80">
        <v>51575</v>
      </c>
      <c r="B321" s="14" t="str">
        <f t="shared" si="5"/>
        <v>March</v>
      </c>
      <c r="C321" s="15">
        <v>103</v>
      </c>
    </row>
    <row r="322" spans="1:3">
      <c r="A322" s="79">
        <v>51605</v>
      </c>
      <c r="B322" s="14" t="str">
        <f t="shared" si="5"/>
        <v>April</v>
      </c>
      <c r="C322" s="14">
        <v>115</v>
      </c>
    </row>
    <row r="323" spans="1:3">
      <c r="A323" s="80">
        <v>51635</v>
      </c>
      <c r="B323" s="14" t="str">
        <f t="shared" ref="B323:B386" si="6">TEXT(A323,"mmmm")</f>
        <v>May</v>
      </c>
      <c r="C323" s="15">
        <v>88</v>
      </c>
    </row>
    <row r="324" spans="1:3">
      <c r="A324" s="79">
        <v>51665</v>
      </c>
      <c r="B324" s="14" t="str">
        <f t="shared" si="6"/>
        <v>June</v>
      </c>
      <c r="C324" s="14">
        <v>100</v>
      </c>
    </row>
    <row r="325" spans="1:3">
      <c r="A325" s="80">
        <v>51695</v>
      </c>
      <c r="B325" s="14" t="str">
        <f t="shared" si="6"/>
        <v>July</v>
      </c>
      <c r="C325" s="15">
        <v>108</v>
      </c>
    </row>
    <row r="326" spans="1:3">
      <c r="A326" s="79">
        <v>51725</v>
      </c>
      <c r="B326" s="14" t="str">
        <f t="shared" si="6"/>
        <v>August</v>
      </c>
      <c r="C326" s="14">
        <f>IF(ISBLANK(C279), P280, C279)</f>
        <v>96</v>
      </c>
    </row>
    <row r="327" spans="1:3">
      <c r="A327" s="80">
        <v>51755</v>
      </c>
      <c r="B327" s="14" t="str">
        <f t="shared" si="6"/>
        <v>September</v>
      </c>
      <c r="C327" s="15">
        <v>86</v>
      </c>
    </row>
    <row r="328" spans="1:3">
      <c r="A328" s="79">
        <v>51785</v>
      </c>
      <c r="B328" s="14" t="str">
        <f t="shared" si="6"/>
        <v>October</v>
      </c>
      <c r="C328" s="14">
        <v>87</v>
      </c>
    </row>
    <row r="329" spans="1:3">
      <c r="A329" s="80">
        <v>51815</v>
      </c>
      <c r="B329" s="14" t="str">
        <f t="shared" si="6"/>
        <v>November</v>
      </c>
      <c r="C329" s="15">
        <v>109</v>
      </c>
    </row>
    <row r="330" spans="1:3">
      <c r="A330" s="79">
        <v>51845</v>
      </c>
      <c r="B330" s="14" t="str">
        <f t="shared" si="6"/>
        <v>December</v>
      </c>
      <c r="C330" s="14">
        <v>91</v>
      </c>
    </row>
    <row r="331" spans="1:3">
      <c r="A331" s="80">
        <v>51875</v>
      </c>
      <c r="B331" s="14" t="str">
        <f t="shared" si="6"/>
        <v>January</v>
      </c>
      <c r="C331" s="15">
        <v>107</v>
      </c>
    </row>
    <row r="332" spans="1:3">
      <c r="A332" s="79">
        <v>51905</v>
      </c>
      <c r="B332" s="14" t="str">
        <f t="shared" si="6"/>
        <v>February</v>
      </c>
      <c r="C332" s="14">
        <v>106</v>
      </c>
    </row>
    <row r="333" spans="1:3">
      <c r="A333" s="80">
        <v>51935</v>
      </c>
      <c r="B333" s="14" t="str">
        <f t="shared" si="6"/>
        <v>March</v>
      </c>
      <c r="C333" s="15">
        <v>92</v>
      </c>
    </row>
    <row r="334" spans="1:3">
      <c r="A334" s="79">
        <v>51965</v>
      </c>
      <c r="B334" s="14" t="str">
        <f t="shared" si="6"/>
        <v>April</v>
      </c>
      <c r="C334" s="14">
        <v>90</v>
      </c>
    </row>
    <row r="335" spans="1:3">
      <c r="A335" s="80">
        <v>51995</v>
      </c>
      <c r="B335" s="14" t="str">
        <f t="shared" si="6"/>
        <v>May</v>
      </c>
      <c r="C335" s="15">
        <v>102</v>
      </c>
    </row>
    <row r="336" spans="1:3">
      <c r="A336" s="79">
        <v>52025</v>
      </c>
      <c r="B336" s="14" t="str">
        <f t="shared" si="6"/>
        <v>June</v>
      </c>
      <c r="C336" s="14">
        <v>99</v>
      </c>
    </row>
    <row r="337" spans="1:3">
      <c r="A337" s="80">
        <v>52055</v>
      </c>
      <c r="B337" s="14" t="str">
        <f t="shared" si="6"/>
        <v>July</v>
      </c>
      <c r="C337" s="15">
        <v>88</v>
      </c>
    </row>
    <row r="338" spans="1:3">
      <c r="A338" s="79">
        <v>52085</v>
      </c>
      <c r="B338" s="14" t="str">
        <f t="shared" si="6"/>
        <v>August</v>
      </c>
      <c r="C338" s="14">
        <v>100</v>
      </c>
    </row>
    <row r="339" spans="1:3">
      <c r="A339" s="80">
        <v>52115</v>
      </c>
      <c r="B339" s="14" t="str">
        <f t="shared" si="6"/>
        <v>September</v>
      </c>
      <c r="C339" s="15">
        <f>IF(ISBLANK(C292), P293, C292)</f>
        <v>100</v>
      </c>
    </row>
    <row r="340" spans="1:3">
      <c r="A340" s="79">
        <v>52145</v>
      </c>
      <c r="B340" s="14" t="str">
        <f t="shared" si="6"/>
        <v>October</v>
      </c>
      <c r="C340" s="14">
        <v>106</v>
      </c>
    </row>
    <row r="341" spans="1:3">
      <c r="A341" s="80">
        <v>52175</v>
      </c>
      <c r="B341" s="14" t="str">
        <f t="shared" si="6"/>
        <v>November</v>
      </c>
      <c r="C341" s="15">
        <f>IF(ISBLANK(C294), P295, C294)</f>
        <v>94</v>
      </c>
    </row>
    <row r="342" spans="1:3">
      <c r="A342" s="79">
        <v>52205</v>
      </c>
      <c r="B342" s="14" t="str">
        <f t="shared" si="6"/>
        <v>December</v>
      </c>
      <c r="C342" s="14">
        <v>98</v>
      </c>
    </row>
    <row r="343" spans="1:3">
      <c r="A343" s="80">
        <v>52235</v>
      </c>
      <c r="B343" s="14" t="str">
        <f t="shared" si="6"/>
        <v>January</v>
      </c>
      <c r="C343" s="15">
        <v>119</v>
      </c>
    </row>
    <row r="344" spans="1:3">
      <c r="A344" s="79">
        <v>52265</v>
      </c>
      <c r="B344" s="14" t="str">
        <f t="shared" si="6"/>
        <v>February</v>
      </c>
      <c r="C344" s="14">
        <v>99</v>
      </c>
    </row>
    <row r="345" spans="1:3">
      <c r="A345" s="80">
        <v>52295</v>
      </c>
      <c r="B345" s="14" t="str">
        <f t="shared" si="6"/>
        <v>March</v>
      </c>
      <c r="C345" s="15">
        <v>87</v>
      </c>
    </row>
    <row r="346" spans="1:3">
      <c r="A346" s="79">
        <v>52325</v>
      </c>
      <c r="B346" s="14" t="str">
        <f t="shared" si="6"/>
        <v>April</v>
      </c>
      <c r="C346" s="14">
        <f>IF(ISBLANK(C299), P300, C299)</f>
        <v>92</v>
      </c>
    </row>
    <row r="347" spans="1:3">
      <c r="A347" s="80">
        <v>52355</v>
      </c>
      <c r="B347" s="14" t="str">
        <f t="shared" si="6"/>
        <v>May</v>
      </c>
      <c r="C347" s="15">
        <v>103</v>
      </c>
    </row>
    <row r="348" spans="1:3">
      <c r="A348" s="79">
        <v>52385</v>
      </c>
      <c r="B348" s="14" t="str">
        <f t="shared" si="6"/>
        <v>June</v>
      </c>
      <c r="C348" s="14">
        <v>79</v>
      </c>
    </row>
    <row r="349" spans="1:3">
      <c r="A349" s="80">
        <v>52415</v>
      </c>
      <c r="B349" s="14" t="str">
        <f t="shared" si="6"/>
        <v>July</v>
      </c>
      <c r="C349" s="15">
        <v>110</v>
      </c>
    </row>
    <row r="350" spans="1:3">
      <c r="A350" s="79">
        <v>52445</v>
      </c>
      <c r="B350" s="14" t="str">
        <f t="shared" si="6"/>
        <v>August</v>
      </c>
      <c r="C350" s="14">
        <v>95</v>
      </c>
    </row>
    <row r="351" spans="1:3">
      <c r="A351" s="80">
        <v>52475</v>
      </c>
      <c r="B351" s="14" t="str">
        <f t="shared" si="6"/>
        <v>September</v>
      </c>
      <c r="C351" s="15">
        <v>101</v>
      </c>
    </row>
    <row r="352" spans="1:3">
      <c r="A352" s="79">
        <v>52505</v>
      </c>
      <c r="B352" s="14" t="str">
        <f t="shared" si="6"/>
        <v>October</v>
      </c>
      <c r="C352" s="14">
        <v>95</v>
      </c>
    </row>
    <row r="353" spans="1:3">
      <c r="A353" s="80">
        <v>52535</v>
      </c>
      <c r="B353" s="14" t="str">
        <f t="shared" si="6"/>
        <v>October</v>
      </c>
      <c r="C353" s="15">
        <v>107</v>
      </c>
    </row>
    <row r="354" spans="1:3">
      <c r="A354" s="79">
        <v>52565</v>
      </c>
      <c r="B354" s="14" t="str">
        <f t="shared" si="6"/>
        <v>November</v>
      </c>
      <c r="C354" s="14">
        <v>91</v>
      </c>
    </row>
    <row r="355" spans="1:3">
      <c r="A355" s="80">
        <v>52595</v>
      </c>
      <c r="B355" s="14" t="str">
        <f t="shared" si="6"/>
        <v>December</v>
      </c>
      <c r="C355" s="15">
        <v>87</v>
      </c>
    </row>
    <row r="356" spans="1:3">
      <c r="A356" s="79">
        <v>52625</v>
      </c>
      <c r="B356" s="14" t="str">
        <f t="shared" si="6"/>
        <v>January</v>
      </c>
      <c r="C356" s="14">
        <v>100</v>
      </c>
    </row>
    <row r="357" spans="1:3">
      <c r="A357" s="80">
        <v>52655</v>
      </c>
      <c r="B357" s="14" t="str">
        <f t="shared" si="6"/>
        <v>February</v>
      </c>
      <c r="C357" s="15">
        <v>117</v>
      </c>
    </row>
    <row r="358" spans="1:3">
      <c r="A358" s="79">
        <v>52685</v>
      </c>
      <c r="B358" s="14" t="str">
        <f t="shared" si="6"/>
        <v>March</v>
      </c>
      <c r="C358" s="14">
        <v>102</v>
      </c>
    </row>
    <row r="359" spans="1:3">
      <c r="A359" s="80">
        <v>52715</v>
      </c>
      <c r="B359" s="14" t="str">
        <f t="shared" si="6"/>
        <v>April</v>
      </c>
      <c r="C359" s="15">
        <v>88</v>
      </c>
    </row>
    <row r="360" spans="1:3">
      <c r="A360" s="79">
        <v>52745</v>
      </c>
      <c r="B360" s="14" t="str">
        <f t="shared" si="6"/>
        <v>May</v>
      </c>
      <c r="C360" s="14">
        <v>100</v>
      </c>
    </row>
    <row r="361" spans="1:3">
      <c r="A361" s="80">
        <v>52775</v>
      </c>
      <c r="B361" s="14" t="str">
        <f t="shared" si="6"/>
        <v>June</v>
      </c>
      <c r="C361" s="15">
        <v>81</v>
      </c>
    </row>
    <row r="362" spans="1:3">
      <c r="A362" s="79">
        <v>52805</v>
      </c>
      <c r="B362" s="14" t="str">
        <f t="shared" si="6"/>
        <v>July</v>
      </c>
      <c r="C362" s="14">
        <v>91</v>
      </c>
    </row>
    <row r="363" spans="1:3">
      <c r="A363" s="80">
        <v>52835</v>
      </c>
      <c r="B363" s="14" t="str">
        <f t="shared" si="6"/>
        <v>August</v>
      </c>
      <c r="C363" s="15">
        <v>90</v>
      </c>
    </row>
    <row r="364" spans="1:3">
      <c r="A364" s="79">
        <v>52865</v>
      </c>
      <c r="B364" s="14" t="str">
        <f t="shared" si="6"/>
        <v>September</v>
      </c>
      <c r="C364" s="14">
        <v>102</v>
      </c>
    </row>
    <row r="365" spans="1:3">
      <c r="A365" s="80">
        <v>52895</v>
      </c>
      <c r="B365" s="14" t="str">
        <f t="shared" si="6"/>
        <v>October</v>
      </c>
      <c r="C365" s="15">
        <v>109</v>
      </c>
    </row>
    <row r="366" spans="1:3">
      <c r="A366" s="79">
        <v>52925</v>
      </c>
      <c r="B366" s="14" t="str">
        <f t="shared" si="6"/>
        <v>November</v>
      </c>
      <c r="C366" s="14">
        <v>101</v>
      </c>
    </row>
    <row r="367" spans="1:3">
      <c r="A367" s="80">
        <v>52955</v>
      </c>
      <c r="B367" s="14" t="str">
        <f t="shared" si="6"/>
        <v>December</v>
      </c>
      <c r="C367" s="15">
        <v>97</v>
      </c>
    </row>
    <row r="368" spans="1:3">
      <c r="A368" s="79">
        <v>52985</v>
      </c>
      <c r="B368" s="14" t="str">
        <f t="shared" si="6"/>
        <v>January</v>
      </c>
      <c r="C368" s="14">
        <v>88</v>
      </c>
    </row>
    <row r="369" spans="1:3">
      <c r="A369" s="80">
        <v>53015</v>
      </c>
      <c r="B369" s="14" t="str">
        <f t="shared" si="6"/>
        <v>February</v>
      </c>
      <c r="C369" s="15">
        <v>100</v>
      </c>
    </row>
    <row r="370" spans="1:3">
      <c r="A370" s="79">
        <v>53045</v>
      </c>
      <c r="B370" s="14" t="str">
        <f t="shared" si="6"/>
        <v>March</v>
      </c>
      <c r="C370" s="14">
        <v>104</v>
      </c>
    </row>
    <row r="371" spans="1:3">
      <c r="A371" s="80">
        <v>53075</v>
      </c>
      <c r="B371" s="14" t="str">
        <f t="shared" si="6"/>
        <v>April</v>
      </c>
      <c r="C371" s="15">
        <v>106</v>
      </c>
    </row>
    <row r="372" spans="1:3">
      <c r="A372" s="79">
        <v>53105</v>
      </c>
      <c r="B372" s="14" t="str">
        <f t="shared" si="6"/>
        <v>May</v>
      </c>
      <c r="C372" s="14">
        <v>91</v>
      </c>
    </row>
    <row r="373" spans="1:3">
      <c r="A373" s="80">
        <v>53135</v>
      </c>
      <c r="B373" s="14" t="str">
        <f t="shared" si="6"/>
        <v>June</v>
      </c>
      <c r="C373" s="15">
        <v>110</v>
      </c>
    </row>
    <row r="374" spans="1:3">
      <c r="A374" s="79">
        <v>53165</v>
      </c>
      <c r="B374" s="14" t="str">
        <f t="shared" si="6"/>
        <v>July</v>
      </c>
      <c r="C374" s="14">
        <v>104</v>
      </c>
    </row>
    <row r="375" spans="1:3">
      <c r="A375" s="80">
        <v>53195</v>
      </c>
      <c r="B375" s="14" t="str">
        <f t="shared" si="6"/>
        <v>August</v>
      </c>
      <c r="C375" s="15">
        <v>85</v>
      </c>
    </row>
    <row r="376" spans="1:3">
      <c r="A376" s="79">
        <v>53225</v>
      </c>
      <c r="B376" s="14" t="str">
        <f t="shared" si="6"/>
        <v>September</v>
      </c>
      <c r="C376" s="14">
        <v>107</v>
      </c>
    </row>
    <row r="377" spans="1:3">
      <c r="A377" s="80">
        <v>53255</v>
      </c>
      <c r="B377" s="14" t="str">
        <f t="shared" si="6"/>
        <v>October</v>
      </c>
      <c r="C377" s="15">
        <v>111</v>
      </c>
    </row>
    <row r="378" spans="1:3">
      <c r="A378" s="79">
        <v>53285</v>
      </c>
      <c r="B378" s="14" t="str">
        <f t="shared" si="6"/>
        <v>November</v>
      </c>
      <c r="C378" s="14">
        <f>IF(ISBLANK(C331), P332, C331)</f>
        <v>107</v>
      </c>
    </row>
    <row r="379" spans="1:3">
      <c r="A379" s="80">
        <v>53315</v>
      </c>
      <c r="B379" s="14" t="str">
        <f t="shared" si="6"/>
        <v>December</v>
      </c>
      <c r="C379" s="15">
        <v>94</v>
      </c>
    </row>
    <row r="380" spans="1:3">
      <c r="A380" s="79">
        <v>53345</v>
      </c>
      <c r="B380" s="14" t="str">
        <f t="shared" si="6"/>
        <v>January</v>
      </c>
      <c r="C380" s="14">
        <v>91</v>
      </c>
    </row>
    <row r="381" spans="1:3">
      <c r="A381" s="80">
        <v>53375</v>
      </c>
      <c r="B381" s="14" t="str">
        <f t="shared" si="6"/>
        <v>February</v>
      </c>
      <c r="C381" s="15">
        <v>89</v>
      </c>
    </row>
    <row r="382" spans="1:3">
      <c r="A382" s="79">
        <v>53405</v>
      </c>
      <c r="B382" s="14" t="str">
        <f t="shared" si="6"/>
        <v>March</v>
      </c>
      <c r="C382" s="14">
        <v>98</v>
      </c>
    </row>
    <row r="383" spans="1:3">
      <c r="A383" s="80">
        <v>53435</v>
      </c>
      <c r="B383" s="14" t="str">
        <f t="shared" si="6"/>
        <v>April</v>
      </c>
      <c r="C383" s="15">
        <v>110</v>
      </c>
    </row>
    <row r="384" spans="1:3">
      <c r="A384" s="79">
        <v>53465</v>
      </c>
      <c r="B384" s="14" t="str">
        <f t="shared" si="6"/>
        <v>May</v>
      </c>
      <c r="C384" s="14">
        <v>93</v>
      </c>
    </row>
    <row r="385" spans="1:3">
      <c r="A385" s="80">
        <v>53495</v>
      </c>
      <c r="B385" s="14" t="str">
        <f t="shared" si="6"/>
        <v>June</v>
      </c>
      <c r="C385" s="15">
        <v>103</v>
      </c>
    </row>
    <row r="386" spans="1:3">
      <c r="A386" s="79">
        <v>53525</v>
      </c>
      <c r="B386" s="14" t="str">
        <f t="shared" si="6"/>
        <v>July</v>
      </c>
      <c r="C386" s="14">
        <f>IF(ISBLANK(C339), P340, C339)</f>
        <v>100</v>
      </c>
    </row>
    <row r="387" spans="1:3">
      <c r="A387" s="80">
        <v>53555</v>
      </c>
      <c r="B387" s="14" t="str">
        <f t="shared" ref="B387:B450" si="7">TEXT(A387,"mmmm")</f>
        <v>August</v>
      </c>
      <c r="C387" s="15">
        <v>101</v>
      </c>
    </row>
    <row r="388" spans="1:3">
      <c r="A388" s="79">
        <v>53585</v>
      </c>
      <c r="B388" s="14" t="str">
        <f t="shared" si="7"/>
        <v>September</v>
      </c>
      <c r="C388" s="14">
        <v>94</v>
      </c>
    </row>
    <row r="389" spans="1:3">
      <c r="A389" s="80">
        <v>53615</v>
      </c>
      <c r="B389" s="14" t="str">
        <f t="shared" si="7"/>
        <v>October</v>
      </c>
      <c r="C389" s="15">
        <v>108</v>
      </c>
    </row>
    <row r="390" spans="1:3">
      <c r="A390" s="79">
        <v>53645</v>
      </c>
      <c r="B390" s="14" t="str">
        <f t="shared" si="7"/>
        <v>November</v>
      </c>
      <c r="C390" s="14">
        <v>113</v>
      </c>
    </row>
    <row r="391" spans="1:3">
      <c r="A391" s="80">
        <v>53675</v>
      </c>
      <c r="B391" s="14" t="str">
        <f t="shared" si="7"/>
        <v>December</v>
      </c>
      <c r="C391" s="15">
        <v>115</v>
      </c>
    </row>
    <row r="392" spans="1:3">
      <c r="A392" s="79">
        <v>53705</v>
      </c>
      <c r="B392" s="14" t="str">
        <f t="shared" si="7"/>
        <v>January</v>
      </c>
      <c r="C392" s="14">
        <v>98</v>
      </c>
    </row>
    <row r="393" spans="1:3">
      <c r="A393" s="80">
        <v>53735</v>
      </c>
      <c r="B393" s="14" t="str">
        <f t="shared" si="7"/>
        <v>February</v>
      </c>
      <c r="C393" s="15">
        <v>93</v>
      </c>
    </row>
    <row r="394" spans="1:3">
      <c r="A394" s="79">
        <v>53765</v>
      </c>
      <c r="B394" s="14" t="str">
        <f t="shared" si="7"/>
        <v>March</v>
      </c>
      <c r="C394" s="14">
        <v>104</v>
      </c>
    </row>
    <row r="395" spans="1:3">
      <c r="A395" s="80">
        <v>53795</v>
      </c>
      <c r="B395" s="14" t="str">
        <f t="shared" si="7"/>
        <v>April</v>
      </c>
      <c r="C395" s="15">
        <v>100</v>
      </c>
    </row>
    <row r="396" spans="1:3">
      <c r="A396" s="79">
        <v>53825</v>
      </c>
      <c r="B396" s="14" t="str">
        <f t="shared" si="7"/>
        <v>May</v>
      </c>
      <c r="C396" s="14">
        <v>89</v>
      </c>
    </row>
    <row r="397" spans="1:3">
      <c r="A397" s="80">
        <v>53855</v>
      </c>
      <c r="B397" s="14" t="str">
        <f t="shared" si="7"/>
        <v>June</v>
      </c>
      <c r="C397" s="15">
        <v>86</v>
      </c>
    </row>
    <row r="398" spans="1:3">
      <c r="A398" s="79">
        <v>53885</v>
      </c>
      <c r="B398" s="14" t="str">
        <f t="shared" si="7"/>
        <v>July</v>
      </c>
      <c r="C398" s="14">
        <v>93</v>
      </c>
    </row>
    <row r="399" spans="1:3">
      <c r="A399" s="80">
        <v>53915</v>
      </c>
      <c r="B399" s="14" t="str">
        <f t="shared" si="7"/>
        <v>August</v>
      </c>
      <c r="C399" s="15">
        <v>104</v>
      </c>
    </row>
    <row r="400" spans="1:3">
      <c r="A400" s="79">
        <v>53945</v>
      </c>
      <c r="B400" s="14" t="str">
        <f t="shared" si="7"/>
        <v>September</v>
      </c>
      <c r="C400" s="14">
        <v>91</v>
      </c>
    </row>
    <row r="401" spans="1:3">
      <c r="A401" s="80">
        <v>53975</v>
      </c>
      <c r="B401" s="14" t="str">
        <f t="shared" si="7"/>
        <v>October</v>
      </c>
      <c r="C401" s="15">
        <v>113</v>
      </c>
    </row>
    <row r="402" spans="1:3">
      <c r="A402" s="79">
        <v>54005</v>
      </c>
      <c r="B402" s="14" t="str">
        <f t="shared" si="7"/>
        <v>November</v>
      </c>
      <c r="C402" s="14">
        <v>103</v>
      </c>
    </row>
    <row r="403" spans="1:3">
      <c r="A403" s="80">
        <v>54035</v>
      </c>
      <c r="B403" s="14" t="str">
        <f t="shared" si="7"/>
        <v>December</v>
      </c>
      <c r="C403" s="15">
        <v>98</v>
      </c>
    </row>
    <row r="404" spans="1:3">
      <c r="A404" s="79">
        <v>54065</v>
      </c>
      <c r="B404" s="14" t="str">
        <f t="shared" si="7"/>
        <v>January</v>
      </c>
      <c r="C404" s="14">
        <v>100</v>
      </c>
    </row>
    <row r="405" spans="1:3">
      <c r="A405" s="80">
        <v>54095</v>
      </c>
      <c r="B405" s="14" t="str">
        <f t="shared" si="7"/>
        <v>February</v>
      </c>
      <c r="C405" s="15">
        <v>89</v>
      </c>
    </row>
    <row r="406" spans="1:3">
      <c r="A406" s="79">
        <v>54125</v>
      </c>
      <c r="B406" s="14" t="str">
        <f t="shared" si="7"/>
        <v>March</v>
      </c>
      <c r="C406" s="14">
        <v>83</v>
      </c>
    </row>
    <row r="407" spans="1:3">
      <c r="A407" s="80">
        <v>54155</v>
      </c>
      <c r="B407" s="14" t="str">
        <f t="shared" si="7"/>
        <v>April</v>
      </c>
      <c r="C407" s="15">
        <v>92</v>
      </c>
    </row>
    <row r="408" spans="1:3">
      <c r="A408" s="79">
        <v>54185</v>
      </c>
      <c r="B408" s="14" t="str">
        <f t="shared" si="7"/>
        <v>May</v>
      </c>
      <c r="C408" s="14">
        <f>IF(ISBLANK(C361), P362, C361)</f>
        <v>81</v>
      </c>
    </row>
    <row r="409" spans="1:3">
      <c r="A409" s="80">
        <v>54215</v>
      </c>
      <c r="B409" s="14" t="str">
        <f t="shared" si="7"/>
        <v>June</v>
      </c>
      <c r="C409" s="15">
        <f>IF(ISBLANK(C362), P363, C362)</f>
        <v>91</v>
      </c>
    </row>
    <row r="410" spans="1:3">
      <c r="A410" s="79">
        <v>54245</v>
      </c>
      <c r="B410" s="14" t="str">
        <f t="shared" si="7"/>
        <v>July</v>
      </c>
      <c r="C410" s="14">
        <v>102</v>
      </c>
    </row>
    <row r="411" spans="1:3">
      <c r="A411" s="80">
        <v>54275</v>
      </c>
      <c r="B411" s="14" t="str">
        <f t="shared" si="7"/>
        <v>August</v>
      </c>
      <c r="C411" s="15">
        <v>107</v>
      </c>
    </row>
    <row r="412" spans="1:3">
      <c r="A412" s="79">
        <v>54305</v>
      </c>
      <c r="B412" s="14" t="str">
        <f t="shared" si="7"/>
        <v>September</v>
      </c>
      <c r="C412" s="14">
        <v>103</v>
      </c>
    </row>
    <row r="413" spans="1:3">
      <c r="A413" s="80">
        <v>54335</v>
      </c>
      <c r="B413" s="14" t="str">
        <f t="shared" si="7"/>
        <v>October</v>
      </c>
      <c r="C413" s="15">
        <v>100</v>
      </c>
    </row>
    <row r="414" spans="1:3">
      <c r="A414" s="79">
        <v>54365</v>
      </c>
      <c r="B414" s="14" t="str">
        <f t="shared" si="7"/>
        <v>November</v>
      </c>
      <c r="C414" s="14">
        <f>IF(ISBLANK(C367), P368, C367)</f>
        <v>97</v>
      </c>
    </row>
    <row r="415" spans="1:3">
      <c r="A415" s="80">
        <v>54395</v>
      </c>
      <c r="B415" s="14" t="str">
        <f t="shared" si="7"/>
        <v>December</v>
      </c>
      <c r="C415" s="15">
        <v>85</v>
      </c>
    </row>
    <row r="416" spans="1:3">
      <c r="A416" s="79">
        <v>54425</v>
      </c>
      <c r="B416" s="14" t="str">
        <f t="shared" si="7"/>
        <v>January</v>
      </c>
      <c r="C416" s="14">
        <v>107</v>
      </c>
    </row>
    <row r="417" spans="1:3">
      <c r="A417" s="80">
        <v>54455</v>
      </c>
      <c r="B417" s="14" t="str">
        <f t="shared" si="7"/>
        <v>February</v>
      </c>
      <c r="C417" s="15">
        <v>106</v>
      </c>
    </row>
    <row r="418" spans="1:3">
      <c r="A418" s="79">
        <v>54485</v>
      </c>
      <c r="B418" s="14" t="str">
        <f t="shared" si="7"/>
        <v>March</v>
      </c>
      <c r="C418" s="14">
        <v>92</v>
      </c>
    </row>
    <row r="419" spans="1:3">
      <c r="A419" s="80">
        <v>54515</v>
      </c>
      <c r="B419" s="14" t="str">
        <f t="shared" si="7"/>
        <v>April</v>
      </c>
      <c r="C419" s="15">
        <v>110</v>
      </c>
    </row>
    <row r="420" spans="1:3">
      <c r="A420" s="79">
        <v>54545</v>
      </c>
      <c r="B420" s="14" t="str">
        <f t="shared" si="7"/>
        <v>May</v>
      </c>
      <c r="C420" s="14">
        <v>93</v>
      </c>
    </row>
    <row r="421" spans="1:3">
      <c r="A421" s="80">
        <v>54575</v>
      </c>
      <c r="B421" s="14" t="str">
        <f t="shared" si="7"/>
        <v>June</v>
      </c>
      <c r="C421" s="15">
        <f>IF(ISBLANK(C374), P375, C374)</f>
        <v>104</v>
      </c>
    </row>
    <row r="422" spans="1:3">
      <c r="A422" s="79">
        <v>54605</v>
      </c>
      <c r="B422" s="14" t="str">
        <f t="shared" si="7"/>
        <v>July</v>
      </c>
      <c r="C422" s="14">
        <v>117</v>
      </c>
    </row>
    <row r="423" spans="1:3">
      <c r="A423" s="80">
        <v>54635</v>
      </c>
      <c r="B423" s="14" t="str">
        <f t="shared" si="7"/>
        <v>July</v>
      </c>
      <c r="C423" s="15">
        <v>122</v>
      </c>
    </row>
    <row r="424" spans="1:3">
      <c r="A424" s="79">
        <v>54665</v>
      </c>
      <c r="B424" s="14" t="str">
        <f t="shared" si="7"/>
        <v>August</v>
      </c>
      <c r="C424" s="14">
        <v>90</v>
      </c>
    </row>
    <row r="425" spans="1:3">
      <c r="A425" s="80">
        <v>54695</v>
      </c>
      <c r="B425" s="14" t="str">
        <f t="shared" si="7"/>
        <v>September</v>
      </c>
      <c r="C425" s="15">
        <v>113</v>
      </c>
    </row>
    <row r="426" spans="1:3">
      <c r="A426" s="79">
        <v>54725</v>
      </c>
      <c r="B426" s="14" t="str">
        <f t="shared" si="7"/>
        <v>October</v>
      </c>
      <c r="C426" s="14">
        <v>110</v>
      </c>
    </row>
    <row r="427" spans="1:3">
      <c r="A427" s="80">
        <v>54755</v>
      </c>
      <c r="B427" s="14" t="str">
        <f t="shared" si="7"/>
        <v>November</v>
      </c>
      <c r="C427" s="15">
        <v>106</v>
      </c>
    </row>
    <row r="428" spans="1:3">
      <c r="A428" s="79">
        <v>54785</v>
      </c>
      <c r="B428" s="14" t="str">
        <f t="shared" si="7"/>
        <v>December</v>
      </c>
      <c r="C428" s="14">
        <v>92</v>
      </c>
    </row>
    <row r="429" spans="1:3">
      <c r="A429" s="80">
        <v>54815</v>
      </c>
      <c r="B429" s="14" t="str">
        <f t="shared" si="7"/>
        <v>January</v>
      </c>
      <c r="C429" s="15">
        <v>121</v>
      </c>
    </row>
    <row r="430" spans="1:3">
      <c r="A430" s="79">
        <v>54845</v>
      </c>
      <c r="B430" s="14" t="str">
        <f t="shared" si="7"/>
        <v>February</v>
      </c>
      <c r="C430" s="14">
        <v>89</v>
      </c>
    </row>
    <row r="431" spans="1:3">
      <c r="A431" s="80">
        <v>54875</v>
      </c>
      <c r="B431" s="14" t="str">
        <f t="shared" si="7"/>
        <v>March</v>
      </c>
      <c r="C431" s="15">
        <v>117</v>
      </c>
    </row>
    <row r="432" spans="1:3">
      <c r="A432" s="79">
        <v>54905</v>
      </c>
      <c r="B432" s="14" t="str">
        <f t="shared" si="7"/>
        <v>April</v>
      </c>
      <c r="C432" s="14">
        <v>106</v>
      </c>
    </row>
    <row r="433" spans="1:3">
      <c r="A433" s="80">
        <v>54935</v>
      </c>
      <c r="B433" s="14" t="str">
        <f t="shared" si="7"/>
        <v>May</v>
      </c>
      <c r="C433" s="15">
        <v>121</v>
      </c>
    </row>
    <row r="434" spans="1:3">
      <c r="A434" s="79">
        <v>54965</v>
      </c>
      <c r="B434" s="14" t="str">
        <f t="shared" si="7"/>
        <v>June</v>
      </c>
      <c r="C434" s="14">
        <v>95</v>
      </c>
    </row>
    <row r="435" spans="1:3">
      <c r="A435" s="80">
        <v>54995</v>
      </c>
      <c r="B435" s="14" t="str">
        <f t="shared" si="7"/>
        <v>July</v>
      </c>
      <c r="C435" s="15">
        <v>91</v>
      </c>
    </row>
    <row r="436" spans="1:3">
      <c r="A436" s="79">
        <v>55025</v>
      </c>
      <c r="B436" s="14" t="str">
        <f t="shared" si="7"/>
        <v>August</v>
      </c>
      <c r="C436" s="14">
        <v>82</v>
      </c>
    </row>
    <row r="437" spans="1:3">
      <c r="A437" s="80">
        <v>55055</v>
      </c>
      <c r="B437" s="14" t="str">
        <f t="shared" si="7"/>
        <v>September</v>
      </c>
      <c r="C437" s="15">
        <v>100</v>
      </c>
    </row>
    <row r="438" spans="1:3">
      <c r="A438" s="79">
        <v>55085</v>
      </c>
      <c r="B438" s="14" t="str">
        <f t="shared" si="7"/>
        <v>October</v>
      </c>
      <c r="C438" s="14">
        <v>81</v>
      </c>
    </row>
    <row r="439" spans="1:3">
      <c r="A439" s="80">
        <v>55115</v>
      </c>
      <c r="B439" s="14" t="str">
        <f t="shared" si="7"/>
        <v>November</v>
      </c>
      <c r="C439" s="15">
        <v>101</v>
      </c>
    </row>
    <row r="440" spans="1:3">
      <c r="A440" s="79">
        <v>55145</v>
      </c>
      <c r="B440" s="14" t="str">
        <f t="shared" si="7"/>
        <v>December</v>
      </c>
      <c r="C440" s="14">
        <v>95</v>
      </c>
    </row>
    <row r="441" spans="1:3">
      <c r="A441" s="80">
        <v>55175</v>
      </c>
      <c r="B441" s="14" t="str">
        <f t="shared" si="7"/>
        <v>January</v>
      </c>
      <c r="C441" s="15">
        <v>114</v>
      </c>
    </row>
    <row r="442" spans="1:3">
      <c r="A442" s="79">
        <v>55205</v>
      </c>
      <c r="B442" s="14" t="str">
        <f t="shared" si="7"/>
        <v>February</v>
      </c>
      <c r="C442" s="14">
        <v>92</v>
      </c>
    </row>
    <row r="443" spans="1:3">
      <c r="A443" s="80">
        <v>55235</v>
      </c>
      <c r="B443" s="14" t="str">
        <f t="shared" si="7"/>
        <v>March</v>
      </c>
      <c r="C443" s="15">
        <v>113</v>
      </c>
    </row>
    <row r="444" spans="1:3">
      <c r="A444" s="79">
        <v>55265</v>
      </c>
      <c r="B444" s="14" t="str">
        <f t="shared" si="7"/>
        <v>April</v>
      </c>
      <c r="C444" s="14">
        <v>113</v>
      </c>
    </row>
    <row r="445" spans="1:3">
      <c r="A445" s="80">
        <v>55295</v>
      </c>
      <c r="B445" s="14" t="str">
        <f t="shared" si="7"/>
        <v>May</v>
      </c>
      <c r="C445" s="15">
        <v>120</v>
      </c>
    </row>
    <row r="446" spans="1:3">
      <c r="A446" s="79">
        <v>55325</v>
      </c>
      <c r="B446" s="14" t="str">
        <f t="shared" si="7"/>
        <v>June</v>
      </c>
      <c r="C446" s="14">
        <v>108</v>
      </c>
    </row>
    <row r="447" spans="1:3">
      <c r="A447" s="80">
        <v>55355</v>
      </c>
      <c r="B447" s="14" t="str">
        <f t="shared" si="7"/>
        <v>July</v>
      </c>
      <c r="C447" s="15">
        <v>99</v>
      </c>
    </row>
    <row r="448" spans="1:3">
      <c r="A448" s="79">
        <v>55385</v>
      </c>
      <c r="B448" s="14" t="str">
        <f t="shared" si="7"/>
        <v>August</v>
      </c>
      <c r="C448" s="14">
        <v>108</v>
      </c>
    </row>
    <row r="449" spans="1:3">
      <c r="A449" s="80">
        <v>55415</v>
      </c>
      <c r="B449" s="14" t="str">
        <f t="shared" si="7"/>
        <v>September</v>
      </c>
      <c r="C449" s="15">
        <v>98</v>
      </c>
    </row>
    <row r="450" spans="1:3">
      <c r="A450" s="79">
        <v>55445</v>
      </c>
      <c r="B450" s="14" t="str">
        <f t="shared" si="7"/>
        <v>October</v>
      </c>
      <c r="C450" s="14">
        <v>92</v>
      </c>
    </row>
    <row r="451" spans="1:3">
      <c r="A451" s="80">
        <v>55475</v>
      </c>
      <c r="B451" s="14" t="str">
        <f t="shared" ref="B451:B501" si="8">TEXT(A451,"mmmm")</f>
        <v>November</v>
      </c>
      <c r="C451" s="15">
        <v>96</v>
      </c>
    </row>
    <row r="452" spans="1:3">
      <c r="A452" s="79">
        <v>55505</v>
      </c>
      <c r="B452" s="14" t="str">
        <f t="shared" si="8"/>
        <v>December</v>
      </c>
      <c r="C452" s="14">
        <v>94</v>
      </c>
    </row>
    <row r="453" spans="1:3">
      <c r="A453" s="80">
        <v>55535</v>
      </c>
      <c r="B453" s="14" t="str">
        <f t="shared" si="8"/>
        <v>January</v>
      </c>
      <c r="C453" s="15">
        <v>75</v>
      </c>
    </row>
    <row r="454" spans="1:3">
      <c r="A454" s="79">
        <v>55565</v>
      </c>
      <c r="B454" s="14" t="str">
        <f t="shared" si="8"/>
        <v>February</v>
      </c>
      <c r="C454" s="14">
        <v>97</v>
      </c>
    </row>
    <row r="455" spans="1:3">
      <c r="A455" s="80">
        <v>55595</v>
      </c>
      <c r="B455" s="14" t="str">
        <f t="shared" si="8"/>
        <v>March</v>
      </c>
      <c r="C455" s="15">
        <v>100</v>
      </c>
    </row>
    <row r="456" spans="1:3">
      <c r="A456" s="79">
        <v>55625</v>
      </c>
      <c r="B456" s="14" t="str">
        <f t="shared" si="8"/>
        <v>April</v>
      </c>
      <c r="C456" s="14">
        <v>98</v>
      </c>
    </row>
    <row r="457" spans="1:3">
      <c r="A457" s="80">
        <v>55655</v>
      </c>
      <c r="B457" s="14" t="str">
        <f t="shared" si="8"/>
        <v>May</v>
      </c>
      <c r="C457" s="15">
        <v>121</v>
      </c>
    </row>
    <row r="458" spans="1:3">
      <c r="A458" s="79">
        <v>55685</v>
      </c>
      <c r="B458" s="14" t="str">
        <f t="shared" si="8"/>
        <v>June</v>
      </c>
      <c r="C458" s="14">
        <v>103</v>
      </c>
    </row>
    <row r="459" spans="1:3">
      <c r="A459" s="80">
        <v>55715</v>
      </c>
      <c r="B459" s="14" t="str">
        <f t="shared" si="8"/>
        <v>July</v>
      </c>
      <c r="C459" s="15">
        <v>121</v>
      </c>
    </row>
    <row r="460" spans="1:3">
      <c r="A460" s="79">
        <v>55745</v>
      </c>
      <c r="B460" s="14" t="str">
        <f t="shared" si="8"/>
        <v>August</v>
      </c>
      <c r="C460" s="14">
        <v>103</v>
      </c>
    </row>
    <row r="461" spans="1:3">
      <c r="A461" s="80">
        <v>55775</v>
      </c>
      <c r="B461" s="14" t="str">
        <f t="shared" si="8"/>
        <v>September</v>
      </c>
      <c r="C461" s="15">
        <v>91</v>
      </c>
    </row>
    <row r="462" spans="1:3">
      <c r="A462" s="79">
        <v>55805</v>
      </c>
      <c r="B462" s="14" t="str">
        <f t="shared" si="8"/>
        <v>October</v>
      </c>
      <c r="C462" s="14">
        <v>91</v>
      </c>
    </row>
    <row r="463" spans="1:3">
      <c r="A463" s="80">
        <v>55835</v>
      </c>
      <c r="B463" s="14" t="str">
        <f t="shared" si="8"/>
        <v>November</v>
      </c>
      <c r="C463" s="15">
        <f>IF(ISBLANK(C416), P417, C416)</f>
        <v>107</v>
      </c>
    </row>
    <row r="464" spans="1:3">
      <c r="A464" s="79">
        <v>55865</v>
      </c>
      <c r="B464" s="14" t="str">
        <f t="shared" si="8"/>
        <v>December</v>
      </c>
      <c r="C464" s="14">
        <v>97</v>
      </c>
    </row>
    <row r="465" spans="1:3">
      <c r="A465" s="80">
        <v>55895</v>
      </c>
      <c r="B465" s="14" t="str">
        <f t="shared" si="8"/>
        <v>January</v>
      </c>
      <c r="C465" s="15">
        <v>106</v>
      </c>
    </row>
    <row r="466" spans="1:3">
      <c r="A466" s="79">
        <v>55925</v>
      </c>
      <c r="B466" s="14" t="str">
        <f t="shared" si="8"/>
        <v>February</v>
      </c>
      <c r="C466" s="14">
        <v>110</v>
      </c>
    </row>
    <row r="467" spans="1:3">
      <c r="A467" s="80">
        <v>55955</v>
      </c>
      <c r="B467" s="14" t="str">
        <f t="shared" si="8"/>
        <v>March</v>
      </c>
      <c r="C467" s="15">
        <v>91</v>
      </c>
    </row>
    <row r="468" spans="1:3">
      <c r="A468" s="79">
        <v>55985</v>
      </c>
      <c r="B468" s="14" t="str">
        <f t="shared" si="8"/>
        <v>April</v>
      </c>
      <c r="C468" s="14">
        <v>103</v>
      </c>
    </row>
    <row r="469" spans="1:3">
      <c r="A469" s="80">
        <v>56015</v>
      </c>
      <c r="B469" s="14" t="str">
        <f t="shared" si="8"/>
        <v>May</v>
      </c>
      <c r="C469" s="15">
        <v>84</v>
      </c>
    </row>
    <row r="470" spans="1:3">
      <c r="A470" s="79">
        <v>56045</v>
      </c>
      <c r="B470" s="14" t="str">
        <f t="shared" si="8"/>
        <v>June</v>
      </c>
      <c r="C470" s="14">
        <v>93</v>
      </c>
    </row>
    <row r="471" spans="1:3">
      <c r="A471" s="80">
        <v>56075</v>
      </c>
      <c r="B471" s="14" t="str">
        <f t="shared" si="8"/>
        <v>July</v>
      </c>
      <c r="C471" s="15">
        <v>113</v>
      </c>
    </row>
    <row r="472" spans="1:3">
      <c r="A472" s="79">
        <v>56105</v>
      </c>
      <c r="B472" s="14" t="str">
        <f t="shared" si="8"/>
        <v>August</v>
      </c>
      <c r="C472" s="14">
        <v>105</v>
      </c>
    </row>
    <row r="473" spans="1:3">
      <c r="A473" s="80">
        <v>56135</v>
      </c>
      <c r="B473" s="14" t="str">
        <f t="shared" si="8"/>
        <v>September</v>
      </c>
      <c r="C473" s="15">
        <v>83</v>
      </c>
    </row>
    <row r="474" spans="1:3">
      <c r="A474" s="79">
        <v>56165</v>
      </c>
      <c r="B474" s="14" t="str">
        <f t="shared" si="8"/>
        <v>October</v>
      </c>
      <c r="C474" s="14">
        <v>96</v>
      </c>
    </row>
    <row r="475" spans="1:3">
      <c r="A475" s="80">
        <v>56195</v>
      </c>
      <c r="B475" s="14" t="str">
        <f t="shared" si="8"/>
        <v>November</v>
      </c>
      <c r="C475" s="15">
        <v>107</v>
      </c>
    </row>
    <row r="476" spans="1:3">
      <c r="A476" s="79">
        <v>56225</v>
      </c>
      <c r="B476" s="14" t="str">
        <f t="shared" si="8"/>
        <v>December</v>
      </c>
      <c r="C476" s="14">
        <v>83</v>
      </c>
    </row>
    <row r="477" spans="1:3">
      <c r="A477" s="80">
        <v>56255</v>
      </c>
      <c r="B477" s="14" t="str">
        <f t="shared" si="8"/>
        <v>January</v>
      </c>
      <c r="C477" s="15">
        <v>105</v>
      </c>
    </row>
    <row r="478" spans="1:3">
      <c r="A478" s="79">
        <v>56285</v>
      </c>
      <c r="B478" s="14" t="str">
        <f t="shared" si="8"/>
        <v>February</v>
      </c>
      <c r="C478" s="14">
        <v>112</v>
      </c>
    </row>
    <row r="479" spans="1:3">
      <c r="A479" s="80">
        <v>56315</v>
      </c>
      <c r="B479" s="14" t="str">
        <f t="shared" si="8"/>
        <v>March</v>
      </c>
      <c r="C479" s="15">
        <v>99</v>
      </c>
    </row>
    <row r="480" spans="1:3">
      <c r="A480" s="79">
        <v>56345</v>
      </c>
      <c r="B480" s="14" t="str">
        <f t="shared" si="8"/>
        <v>April</v>
      </c>
      <c r="C480" s="14">
        <v>111</v>
      </c>
    </row>
    <row r="481" spans="1:3">
      <c r="A481" s="80">
        <v>56375</v>
      </c>
      <c r="B481" s="14" t="str">
        <f t="shared" si="8"/>
        <v>May</v>
      </c>
      <c r="C481" s="15">
        <v>105</v>
      </c>
    </row>
    <row r="482" spans="1:3">
      <c r="A482" s="79">
        <v>56405</v>
      </c>
      <c r="B482" s="14" t="str">
        <f t="shared" si="8"/>
        <v>June</v>
      </c>
      <c r="C482" s="14">
        <v>93</v>
      </c>
    </row>
    <row r="483" spans="1:3">
      <c r="A483" s="80">
        <v>56435</v>
      </c>
      <c r="B483" s="14" t="str">
        <f t="shared" si="8"/>
        <v>July</v>
      </c>
      <c r="C483" s="15">
        <v>109</v>
      </c>
    </row>
    <row r="484" spans="1:3">
      <c r="A484" s="79">
        <v>56465</v>
      </c>
      <c r="B484" s="14" t="str">
        <f t="shared" si="8"/>
        <v>August</v>
      </c>
      <c r="C484" s="14">
        <v>106</v>
      </c>
    </row>
    <row r="485" spans="1:3">
      <c r="A485" s="80">
        <v>56495</v>
      </c>
      <c r="B485" s="14" t="str">
        <f t="shared" si="8"/>
        <v>September</v>
      </c>
      <c r="C485" s="15">
        <v>106</v>
      </c>
    </row>
    <row r="486" spans="1:3">
      <c r="A486" s="79">
        <v>56525</v>
      </c>
      <c r="B486" s="14" t="str">
        <f t="shared" si="8"/>
        <v>October</v>
      </c>
      <c r="C486" s="14">
        <v>103</v>
      </c>
    </row>
    <row r="487" spans="1:3">
      <c r="A487" s="80">
        <v>56555</v>
      </c>
      <c r="B487" s="14" t="str">
        <f t="shared" si="8"/>
        <v>November</v>
      </c>
      <c r="C487" s="15">
        <v>113</v>
      </c>
    </row>
    <row r="488" spans="1:3">
      <c r="A488" s="79">
        <v>56585</v>
      </c>
      <c r="B488" s="14" t="str">
        <f t="shared" si="8"/>
        <v>December</v>
      </c>
      <c r="C488" s="14">
        <v>111</v>
      </c>
    </row>
    <row r="489" spans="1:3">
      <c r="A489" s="80">
        <v>56615</v>
      </c>
      <c r="B489" s="14" t="str">
        <f t="shared" si="8"/>
        <v>January</v>
      </c>
      <c r="C489" s="15">
        <f>IF(ISBLANK(C442), P443, C442)</f>
        <v>92</v>
      </c>
    </row>
    <row r="490" spans="1:3">
      <c r="A490" s="79">
        <v>56645</v>
      </c>
      <c r="B490" s="14" t="str">
        <f t="shared" si="8"/>
        <v>January</v>
      </c>
      <c r="C490" s="14">
        <v>89</v>
      </c>
    </row>
    <row r="491" spans="1:3">
      <c r="A491" s="80">
        <v>56675</v>
      </c>
      <c r="B491" s="14" t="str">
        <f t="shared" si="8"/>
        <v>March</v>
      </c>
      <c r="C491" s="15">
        <v>111</v>
      </c>
    </row>
    <row r="492" spans="1:3">
      <c r="A492" s="79">
        <v>56705</v>
      </c>
      <c r="B492" s="14" t="str">
        <f t="shared" si="8"/>
        <v>April</v>
      </c>
      <c r="C492" s="14">
        <v>104</v>
      </c>
    </row>
    <row r="493" spans="1:3">
      <c r="A493" s="80">
        <v>56735</v>
      </c>
      <c r="B493" s="14" t="str">
        <f t="shared" si="8"/>
        <v>May</v>
      </c>
      <c r="C493" s="15">
        <f>IF(ISBLANK(C446), P447, C446)</f>
        <v>108</v>
      </c>
    </row>
    <row r="494" spans="1:3">
      <c r="A494" s="79">
        <v>56765</v>
      </c>
      <c r="B494" s="14" t="str">
        <f t="shared" si="8"/>
        <v>May</v>
      </c>
      <c r="C494" s="14">
        <v>109</v>
      </c>
    </row>
    <row r="495" spans="1:3">
      <c r="A495" s="80">
        <v>56795</v>
      </c>
      <c r="B495" s="14" t="str">
        <f t="shared" si="8"/>
        <v>June</v>
      </c>
      <c r="C495" s="15">
        <v>108</v>
      </c>
    </row>
    <row r="496" spans="1:3">
      <c r="A496" s="79">
        <v>56825</v>
      </c>
      <c r="B496" s="14" t="str">
        <f t="shared" si="8"/>
        <v>July</v>
      </c>
      <c r="C496" s="14">
        <v>127</v>
      </c>
    </row>
    <row r="497" spans="1:3">
      <c r="A497" s="80">
        <v>56855</v>
      </c>
      <c r="B497" s="14" t="str">
        <f t="shared" si="8"/>
        <v>August</v>
      </c>
      <c r="C497" s="15">
        <v>104</v>
      </c>
    </row>
    <row r="498" spans="1:3">
      <c r="A498" s="79">
        <v>56885</v>
      </c>
      <c r="B498" s="14" t="str">
        <f t="shared" si="8"/>
        <v>September</v>
      </c>
      <c r="C498" s="14">
        <v>106</v>
      </c>
    </row>
    <row r="499" spans="1:3">
      <c r="A499" s="80">
        <v>56915</v>
      </c>
      <c r="B499" s="14" t="str">
        <f t="shared" si="8"/>
        <v>October</v>
      </c>
      <c r="C499" s="15">
        <v>94</v>
      </c>
    </row>
    <row r="500" spans="1:3">
      <c r="A500" s="79">
        <v>56945</v>
      </c>
      <c r="B500" s="14" t="str">
        <f t="shared" si="8"/>
        <v>November</v>
      </c>
      <c r="C500" s="14">
        <v>81</v>
      </c>
    </row>
    <row r="501" spans="1:3">
      <c r="A501" s="80">
        <v>56975</v>
      </c>
      <c r="B501" s="14" t="str">
        <f t="shared" si="8"/>
        <v>December</v>
      </c>
      <c r="C501" s="15">
        <v>95</v>
      </c>
    </row>
    <row r="502" spans="1:3">
      <c r="A502" s="80"/>
      <c r="B502" s="14"/>
    </row>
  </sheetData>
  <conditionalFormatting sqref="A1:C501 A502:B502">
    <cfRule type="containsBlanks" dxfId="9" priority="4">
      <formula>LEN(TRIM(A1))=0</formula>
    </cfRule>
  </conditionalFormatting>
  <conditionalFormatting sqref="C1:C501">
    <cfRule type="cellIs" dxfId="8" priority="3" operator="greaterThan">
      <formula>127</formula>
    </cfRule>
  </conditionalFormatting>
  <conditionalFormatting sqref="C2:C501">
    <cfRule type="cellIs" dxfId="7" priority="2" operator="notBetween">
      <formula>75</formula>
      <formula>127</formula>
    </cfRule>
  </conditionalFormatting>
  <conditionalFormatting sqref="F2:F4">
    <cfRule type="containsBlanks" dxfId="6" priority="1">
      <formula>LEN(TRIM(F2))=0</formula>
    </cfRule>
  </conditionalFormatting>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A14F9-96AD-4D3C-90EC-0C7ACE144D81}">
  <sheetPr codeName="Sheet6"/>
  <dimension ref="A3:G9"/>
  <sheetViews>
    <sheetView topLeftCell="A3" workbookViewId="0">
      <selection activeCell="A4" sqref="A4"/>
    </sheetView>
  </sheetViews>
  <sheetFormatPr defaultRowHeight="14.4"/>
  <cols>
    <col min="1" max="1" width="16.5546875" bestFit="1" customWidth="1"/>
    <col min="2" max="2" width="15.5546875" bestFit="1" customWidth="1"/>
    <col min="3" max="3" width="9.88671875" bestFit="1" customWidth="1"/>
    <col min="4" max="4" width="6.21875" bestFit="1" customWidth="1"/>
    <col min="5" max="6" width="6" bestFit="1" customWidth="1"/>
    <col min="7" max="7" width="10.77734375" bestFit="1" customWidth="1"/>
  </cols>
  <sheetData>
    <row r="3" spans="1:7">
      <c r="A3" s="3" t="s">
        <v>39</v>
      </c>
      <c r="B3" s="3" t="s">
        <v>111</v>
      </c>
    </row>
    <row r="4" spans="1:7">
      <c r="A4" s="3" t="s">
        <v>37</v>
      </c>
      <c r="B4" t="s">
        <v>13</v>
      </c>
      <c r="C4" t="s">
        <v>11</v>
      </c>
      <c r="D4" t="s">
        <v>10</v>
      </c>
      <c r="E4" t="s">
        <v>12</v>
      </c>
      <c r="F4" t="s">
        <v>14</v>
      </c>
      <c r="G4" t="s">
        <v>38</v>
      </c>
    </row>
    <row r="5" spans="1:7">
      <c r="A5" s="4" t="s">
        <v>44</v>
      </c>
      <c r="B5">
        <v>2156</v>
      </c>
      <c r="C5">
        <v>2155</v>
      </c>
      <c r="D5">
        <v>3375</v>
      </c>
      <c r="E5">
        <v>3242</v>
      </c>
      <c r="F5">
        <v>2051</v>
      </c>
      <c r="G5">
        <v>12979</v>
      </c>
    </row>
    <row r="6" spans="1:7">
      <c r="A6" s="4" t="s">
        <v>42</v>
      </c>
      <c r="B6">
        <v>3854</v>
      </c>
      <c r="C6">
        <v>2144</v>
      </c>
      <c r="D6">
        <v>3210</v>
      </c>
      <c r="E6">
        <v>4861</v>
      </c>
      <c r="F6">
        <v>3075</v>
      </c>
      <c r="G6">
        <v>17144</v>
      </c>
    </row>
    <row r="7" spans="1:7">
      <c r="A7" s="4" t="s">
        <v>43</v>
      </c>
      <c r="B7">
        <v>1868</v>
      </c>
      <c r="C7">
        <v>2775</v>
      </c>
      <c r="D7">
        <v>3566</v>
      </c>
      <c r="E7">
        <v>5593</v>
      </c>
      <c r="F7">
        <v>3050</v>
      </c>
      <c r="G7">
        <v>16852</v>
      </c>
    </row>
    <row r="8" spans="1:7">
      <c r="A8" s="4" t="s">
        <v>41</v>
      </c>
      <c r="B8">
        <v>4691</v>
      </c>
      <c r="C8">
        <v>1948</v>
      </c>
      <c r="D8">
        <v>3221</v>
      </c>
      <c r="E8">
        <v>1951</v>
      </c>
      <c r="F8">
        <v>2024</v>
      </c>
      <c r="G8">
        <v>13835</v>
      </c>
    </row>
    <row r="9" spans="1:7">
      <c r="A9" s="4" t="s">
        <v>38</v>
      </c>
      <c r="B9">
        <v>12569</v>
      </c>
      <c r="C9">
        <v>9022</v>
      </c>
      <c r="D9">
        <v>13372</v>
      </c>
      <c r="E9">
        <v>15647</v>
      </c>
      <c r="F9">
        <v>10200</v>
      </c>
      <c r="G9">
        <v>60810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3BB8C-593B-4186-9CD0-A9FB58A04F72}">
  <sheetPr codeName="Sheet7"/>
  <dimension ref="A3:C16"/>
  <sheetViews>
    <sheetView workbookViewId="0">
      <selection activeCell="C19" sqref="C19"/>
    </sheetView>
  </sheetViews>
  <sheetFormatPr defaultRowHeight="14.4"/>
  <cols>
    <col min="1" max="1" width="12.5546875" bestFit="1" customWidth="1"/>
    <col min="2" max="2" width="16.5546875" bestFit="1" customWidth="1"/>
    <col min="3" max="3" width="22.21875" bestFit="1" customWidth="1"/>
  </cols>
  <sheetData>
    <row r="3" spans="1:3">
      <c r="A3" s="3" t="s">
        <v>37</v>
      </c>
      <c r="B3" t="s">
        <v>39</v>
      </c>
      <c r="C3" t="s">
        <v>251</v>
      </c>
    </row>
    <row r="4" spans="1:3">
      <c r="A4" s="4" t="s">
        <v>100</v>
      </c>
      <c r="B4">
        <v>4230</v>
      </c>
      <c r="C4" s="82">
        <v>4272.5486674906697</v>
      </c>
    </row>
    <row r="5" spans="1:3">
      <c r="A5" s="4" t="s">
        <v>101</v>
      </c>
      <c r="B5">
        <v>3740</v>
      </c>
      <c r="C5" s="82">
        <v>3775.7418470953885</v>
      </c>
    </row>
    <row r="6" spans="1:3">
      <c r="A6" s="4" t="s">
        <v>102</v>
      </c>
      <c r="B6">
        <v>4125</v>
      </c>
      <c r="C6" s="82">
        <v>4173.3256099744403</v>
      </c>
    </row>
    <row r="7" spans="1:3">
      <c r="A7" s="4" t="s">
        <v>103</v>
      </c>
      <c r="B7">
        <v>4203</v>
      </c>
      <c r="C7" s="82">
        <v>4073.9675056460228</v>
      </c>
    </row>
    <row r="8" spans="1:3">
      <c r="A8" s="4" t="s">
        <v>65</v>
      </c>
      <c r="B8">
        <v>4400</v>
      </c>
      <c r="C8" s="82">
        <v>4372.0732519410076</v>
      </c>
    </row>
    <row r="9" spans="1:3">
      <c r="A9" s="4" t="s">
        <v>104</v>
      </c>
      <c r="B9">
        <v>4054</v>
      </c>
      <c r="C9" s="82">
        <v>4074.0664623618495</v>
      </c>
    </row>
    <row r="10" spans="1:3">
      <c r="A10" s="4" t="s">
        <v>105</v>
      </c>
      <c r="B10">
        <v>4268</v>
      </c>
      <c r="C10" s="82">
        <v>4173.6818541514158</v>
      </c>
    </row>
    <row r="11" spans="1:3">
      <c r="A11" s="4" t="s">
        <v>106</v>
      </c>
      <c r="B11">
        <v>4191</v>
      </c>
      <c r="C11" s="82">
        <v>4173.405939543758</v>
      </c>
    </row>
    <row r="12" spans="1:3">
      <c r="A12" s="4" t="s">
        <v>107</v>
      </c>
      <c r="B12">
        <v>4019</v>
      </c>
      <c r="C12" s="82">
        <v>4074.2119869439471</v>
      </c>
    </row>
    <row r="13" spans="1:3">
      <c r="A13" s="4" t="s">
        <v>108</v>
      </c>
      <c r="B13">
        <v>4290</v>
      </c>
      <c r="C13" s="82">
        <v>4272.9060758643027</v>
      </c>
    </row>
    <row r="14" spans="1:3">
      <c r="A14" s="4" t="s">
        <v>109</v>
      </c>
      <c r="B14">
        <v>4095</v>
      </c>
      <c r="C14" s="82">
        <v>4074.3097794631176</v>
      </c>
    </row>
    <row r="15" spans="1:3">
      <c r="A15" s="4" t="s">
        <v>110</v>
      </c>
      <c r="B15">
        <v>4069</v>
      </c>
      <c r="C15" s="82">
        <v>4173.7610195240777</v>
      </c>
    </row>
    <row r="16" spans="1:3">
      <c r="A16" s="4" t="s">
        <v>38</v>
      </c>
      <c r="B16">
        <v>49684</v>
      </c>
      <c r="C16" s="82">
        <v>49684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B2AC2-D3B5-4355-B151-1466F0DE7F1A}">
  <sheetPr codeName="Sheet49"/>
  <dimension ref="A3:B16"/>
  <sheetViews>
    <sheetView workbookViewId="0">
      <selection activeCell="A3" sqref="A3"/>
    </sheetView>
  </sheetViews>
  <sheetFormatPr defaultRowHeight="14.4"/>
  <cols>
    <col min="1" max="1" width="12.5546875" bestFit="1" customWidth="1"/>
    <col min="2" max="2" width="22.77734375" bestFit="1" customWidth="1"/>
  </cols>
  <sheetData>
    <row r="3" spans="1:2">
      <c r="A3" s="3" t="s">
        <v>37</v>
      </c>
      <c r="B3" t="s">
        <v>77</v>
      </c>
    </row>
    <row r="4" spans="1:2">
      <c r="A4" s="4" t="s">
        <v>100</v>
      </c>
      <c r="B4">
        <v>4164476.7531077531</v>
      </c>
    </row>
    <row r="5" spans="1:2">
      <c r="A5" s="4" t="s">
        <v>101</v>
      </c>
      <c r="B5">
        <v>3667503.7599228304</v>
      </c>
    </row>
    <row r="6" spans="1:2">
      <c r="A6" s="4" t="s">
        <v>102</v>
      </c>
      <c r="B6">
        <v>4277693.8426096905</v>
      </c>
    </row>
    <row r="7" spans="1:2">
      <c r="A7" s="4" t="s">
        <v>103</v>
      </c>
      <c r="B7">
        <v>4303804.7125104489</v>
      </c>
    </row>
    <row r="8" spans="1:2">
      <c r="A8" s="4" t="s">
        <v>65</v>
      </c>
      <c r="B8">
        <v>4300990.9778818125</v>
      </c>
    </row>
    <row r="9" spans="1:2">
      <c r="A9" s="4" t="s">
        <v>104</v>
      </c>
      <c r="B9">
        <v>4119554.9067660584</v>
      </c>
    </row>
    <row r="10" spans="1:2">
      <c r="A10" s="4" t="s">
        <v>105</v>
      </c>
      <c r="B10">
        <v>4091309.0277573518</v>
      </c>
    </row>
    <row r="11" spans="1:2">
      <c r="A11" s="4" t="s">
        <v>106</v>
      </c>
      <c r="B11">
        <v>4140149.0737484908</v>
      </c>
    </row>
    <row r="12" spans="1:2">
      <c r="A12" s="4" t="s">
        <v>107</v>
      </c>
      <c r="B12">
        <v>4241835.263752332</v>
      </c>
    </row>
    <row r="13" spans="1:2">
      <c r="A13" s="4" t="s">
        <v>108</v>
      </c>
      <c r="B13">
        <v>3964248.2504839646</v>
      </c>
    </row>
    <row r="14" spans="1:2">
      <c r="A14" s="4" t="s">
        <v>109</v>
      </c>
      <c r="B14">
        <v>4149827.9278136292</v>
      </c>
    </row>
    <row r="15" spans="1:2">
      <c r="A15" s="4" t="s">
        <v>110</v>
      </c>
      <c r="B15">
        <v>4136143.29328568</v>
      </c>
    </row>
    <row r="16" spans="1:2">
      <c r="A16" s="4" t="s">
        <v>38</v>
      </c>
      <c r="B16">
        <v>49557537.789640039</v>
      </c>
    </row>
  </sheetData>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35DBA-9B3B-4F11-BFB0-528C3CC9AEDD}">
  <sheetPr codeName="Sheet48"/>
  <dimension ref="A3:B9"/>
  <sheetViews>
    <sheetView topLeftCell="A3" workbookViewId="0">
      <selection activeCell="L25" sqref="L25"/>
    </sheetView>
  </sheetViews>
  <sheetFormatPr defaultRowHeight="14.4"/>
  <cols>
    <col min="1" max="1" width="12.5546875" bestFit="1" customWidth="1"/>
    <col min="2" max="2" width="16.5546875" bestFit="1" customWidth="1"/>
  </cols>
  <sheetData>
    <row r="3" spans="1:2">
      <c r="A3" s="3" t="s">
        <v>37</v>
      </c>
      <c r="B3" t="s">
        <v>39</v>
      </c>
    </row>
    <row r="4" spans="1:2">
      <c r="A4" s="4" t="s">
        <v>13</v>
      </c>
      <c r="B4">
        <v>10140</v>
      </c>
    </row>
    <row r="5" spans="1:2">
      <c r="A5" s="4" t="s">
        <v>11</v>
      </c>
      <c r="B5">
        <v>9703</v>
      </c>
    </row>
    <row r="6" spans="1:2">
      <c r="A6" s="4" t="s">
        <v>10</v>
      </c>
      <c r="B6">
        <v>10540</v>
      </c>
    </row>
    <row r="7" spans="1:2">
      <c r="A7" s="4" t="s">
        <v>12</v>
      </c>
      <c r="B7">
        <v>10691</v>
      </c>
    </row>
    <row r="8" spans="1:2">
      <c r="A8" s="4" t="s">
        <v>14</v>
      </c>
      <c r="B8">
        <v>8610</v>
      </c>
    </row>
    <row r="9" spans="1:2">
      <c r="A9" s="4" t="s">
        <v>38</v>
      </c>
      <c r="B9">
        <v>49684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FB768-35AA-43E7-8254-FD8A4530F356}">
  <sheetPr codeName="Sheet50"/>
  <dimension ref="C2:M5"/>
  <sheetViews>
    <sheetView workbookViewId="0">
      <selection activeCell="C2" sqref="C2:E2"/>
    </sheetView>
  </sheetViews>
  <sheetFormatPr defaultRowHeight="14.4"/>
  <cols>
    <col min="4" max="4" width="8" customWidth="1"/>
    <col min="5" max="5" width="14.44140625" bestFit="1" customWidth="1"/>
    <col min="6" max="6" width="13.33203125" customWidth="1"/>
    <col min="8" max="8" width="9.44140625" customWidth="1"/>
    <col min="9" max="9" width="11.77734375" customWidth="1"/>
    <col min="12" max="12" width="19.109375" customWidth="1"/>
    <col min="13" max="13" width="15.6640625" customWidth="1"/>
  </cols>
  <sheetData>
    <row r="2" spans="3:13" ht="18">
      <c r="C2" s="29" t="s">
        <v>274</v>
      </c>
      <c r="D2" s="29"/>
      <c r="E2" s="18" cm="1">
        <f t="array" ref="E2">SUM(automotive_demand_forecasting_dataset567[Units_Sold]*automotive_demand_forecasting_dataset567[Marketing_Spend])</f>
        <v>5008853888.7487745</v>
      </c>
      <c r="G2" s="122" t="s">
        <v>275</v>
      </c>
      <c r="H2" s="122"/>
      <c r="I2" s="18">
        <f>SUM(automotive_demand_forecasting_dataset567[Units_Sold])</f>
        <v>49650</v>
      </c>
      <c r="K2" s="85" t="s">
        <v>276</v>
      </c>
      <c r="L2" s="85"/>
      <c r="M2" s="18">
        <f>AVERAGE(automotive_demand_forecasting_dataset567[Marketing_Spend])</f>
        <v>100856.3189580968</v>
      </c>
    </row>
    <row r="5" spans="3:13" ht="18">
      <c r="D5" s="123" t="s">
        <v>277</v>
      </c>
      <c r="E5" s="123"/>
      <c r="F5" s="18">
        <f>SUM(automotive_demand_forecasting_dataset567[Average_Price])</f>
        <v>15419523.816603279</v>
      </c>
      <c r="K5" s="77" t="s">
        <v>266</v>
      </c>
      <c r="L5" s="77"/>
      <c r="M5" s="95">
        <f>SUM(Table9[Forecasted_Units])</f>
        <v>49684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B63E7-17DC-4721-B096-F0A82048ADE7}">
  <sheetPr codeName="Sheet51"/>
  <dimension ref="C2:U34"/>
  <sheetViews>
    <sheetView zoomScale="73" zoomScaleNormal="73" workbookViewId="0"/>
  </sheetViews>
  <sheetFormatPr defaultRowHeight="14.4"/>
  <cols>
    <col min="1" max="4" width="8.88671875" style="121"/>
    <col min="5" max="5" width="14.21875" style="121" customWidth="1"/>
    <col min="6" max="8" width="8.88671875" style="121"/>
    <col min="9" max="9" width="9" style="121" bestFit="1" customWidth="1"/>
    <col min="10" max="11" width="8.88671875" style="121"/>
    <col min="12" max="12" width="19" style="121" customWidth="1"/>
    <col min="13" max="13" width="12.33203125" style="121" bestFit="1" customWidth="1"/>
    <col min="14" max="15" width="8.88671875" style="121"/>
    <col min="16" max="16" width="12" style="121" customWidth="1"/>
    <col min="17" max="17" width="13" style="121" customWidth="1"/>
    <col min="18" max="19" width="8.88671875" style="121"/>
    <col min="20" max="20" width="16.109375" style="121" customWidth="1"/>
    <col min="21" max="16384" width="8.88671875" style="121"/>
  </cols>
  <sheetData>
    <row r="2" spans="3:21" ht="25.8">
      <c r="G2" s="124" t="s">
        <v>278</v>
      </c>
      <c r="H2" s="124"/>
      <c r="I2" s="124"/>
      <c r="J2" s="124"/>
      <c r="K2" s="124"/>
      <c r="L2" s="124"/>
      <c r="M2" s="125"/>
      <c r="N2" s="125"/>
      <c r="O2" s="125"/>
      <c r="P2" s="125"/>
    </row>
    <row r="5" spans="3:21" ht="18">
      <c r="C5" s="29" t="s">
        <v>274</v>
      </c>
      <c r="D5" s="29"/>
      <c r="E5" s="18" cm="1">
        <f t="array" ref="E5">SUM(automotive_demand_forecasting_dataset567[Units_Sold]*automotive_demand_forecasting_dataset567[Marketing_Spend])</f>
        <v>5008853888.7487745</v>
      </c>
      <c r="G5" s="122" t="s">
        <v>275</v>
      </c>
      <c r="H5" s="122"/>
      <c r="I5" s="18">
        <f>SUM(automotive_demand_forecasting_dataset567[Units_Sold])</f>
        <v>49650</v>
      </c>
      <c r="K5" s="85" t="s">
        <v>276</v>
      </c>
      <c r="L5" s="85"/>
      <c r="M5" s="18">
        <f>AVERAGE(automotive_demand_forecasting_dataset567[Marketing_Spend])</f>
        <v>100856.3189580968</v>
      </c>
      <c r="O5" s="123" t="s">
        <v>277</v>
      </c>
      <c r="P5" s="123"/>
      <c r="Q5" s="18">
        <f>SUM(automotive_demand_forecasting_dataset567[Average_Price])</f>
        <v>15419523.816603279</v>
      </c>
      <c r="S5" s="77" t="s">
        <v>266</v>
      </c>
      <c r="T5" s="77"/>
      <c r="U5" s="95">
        <f>SUM(Table9[Forecasted_Units])</f>
        <v>49684</v>
      </c>
    </row>
    <row r="29" spans="17:19">
      <c r="Q29" s="33" t="s">
        <v>279</v>
      </c>
      <c r="R29" s="33"/>
    </row>
    <row r="31" spans="17:19">
      <c r="Q31" s="30" t="s">
        <v>280</v>
      </c>
      <c r="R31" s="30"/>
      <c r="S31" s="30"/>
    </row>
    <row r="32" spans="17:19">
      <c r="Q32" s="30" t="s">
        <v>281</v>
      </c>
      <c r="R32" s="30"/>
      <c r="S32" s="30"/>
    </row>
    <row r="33" spans="17:19">
      <c r="Q33" s="30" t="s">
        <v>282</v>
      </c>
      <c r="R33" s="30"/>
      <c r="S33" s="30"/>
    </row>
    <row r="34" spans="17:19">
      <c r="Q34" s="30" t="s">
        <v>283</v>
      </c>
      <c r="R34" s="30"/>
      <c r="S34" s="30"/>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2225" r:id="rId4" name="Button 1">
              <controlPr defaultSize="0" print="0" autoFill="0" autoPict="0" macro="[0]!RefreshForecastReport">
                <anchor moveWithCells="1">
                  <from>
                    <xdr:col>17</xdr:col>
                    <xdr:colOff>396240</xdr:colOff>
                    <xdr:row>1</xdr:row>
                    <xdr:rowOff>45720</xdr:rowOff>
                  </from>
                  <to>
                    <xdr:col>19</xdr:col>
                    <xdr:colOff>876300</xdr:colOff>
                    <xdr:row>2</xdr:row>
                    <xdr:rowOff>99060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455EA-1D9D-4F66-A653-FBDCB534C6D4}">
  <sheetPr codeName="Sheet36"/>
  <dimension ref="A3:G9"/>
  <sheetViews>
    <sheetView workbookViewId="0">
      <selection activeCell="Q17" sqref="Q17"/>
    </sheetView>
  </sheetViews>
  <sheetFormatPr defaultRowHeight="14.4"/>
  <cols>
    <col min="1" max="1" width="16.5546875" bestFit="1" customWidth="1"/>
    <col min="2" max="2" width="15.5546875" bestFit="1" customWidth="1"/>
    <col min="3" max="3" width="9.88671875" bestFit="1" customWidth="1"/>
    <col min="4" max="4" width="6.21875" bestFit="1" customWidth="1"/>
    <col min="5" max="6" width="6" bestFit="1" customWidth="1"/>
    <col min="7" max="7" width="10.77734375" bestFit="1" customWidth="1"/>
  </cols>
  <sheetData>
    <row r="3" spans="1:7">
      <c r="A3" s="3" t="s">
        <v>39</v>
      </c>
      <c r="B3" s="3" t="s">
        <v>111</v>
      </c>
    </row>
    <row r="4" spans="1:7">
      <c r="A4" s="3" t="s">
        <v>37</v>
      </c>
      <c r="B4" t="s">
        <v>13</v>
      </c>
      <c r="C4" t="s">
        <v>11</v>
      </c>
      <c r="D4" t="s">
        <v>10</v>
      </c>
      <c r="E4" t="s">
        <v>12</v>
      </c>
      <c r="F4" t="s">
        <v>14</v>
      </c>
      <c r="G4" t="s">
        <v>38</v>
      </c>
    </row>
    <row r="5" spans="1:7">
      <c r="A5" s="4" t="s">
        <v>168</v>
      </c>
      <c r="B5">
        <v>2006</v>
      </c>
      <c r="C5">
        <v>2263</v>
      </c>
      <c r="D5">
        <v>3673</v>
      </c>
      <c r="E5">
        <v>3232</v>
      </c>
      <c r="F5">
        <v>3205</v>
      </c>
      <c r="G5">
        <v>14379</v>
      </c>
    </row>
    <row r="6" spans="1:7">
      <c r="A6" s="4" t="s">
        <v>169</v>
      </c>
      <c r="B6">
        <v>5397</v>
      </c>
      <c r="C6">
        <v>2256</v>
      </c>
      <c r="D6">
        <v>2286</v>
      </c>
      <c r="E6">
        <v>3849</v>
      </c>
      <c r="F6">
        <v>1818</v>
      </c>
      <c r="G6">
        <v>15606</v>
      </c>
    </row>
    <row r="7" spans="1:7">
      <c r="A7" s="4" t="s">
        <v>170</v>
      </c>
      <c r="B7">
        <v>2898</v>
      </c>
      <c r="C7">
        <v>1897</v>
      </c>
      <c r="D7">
        <v>3428</v>
      </c>
      <c r="E7">
        <v>3177</v>
      </c>
      <c r="F7">
        <v>2350</v>
      </c>
      <c r="G7">
        <v>13750</v>
      </c>
    </row>
    <row r="8" spans="1:7">
      <c r="A8" s="4" t="s">
        <v>171</v>
      </c>
      <c r="B8">
        <v>2268</v>
      </c>
      <c r="C8">
        <v>2606</v>
      </c>
      <c r="D8">
        <v>3985</v>
      </c>
      <c r="E8">
        <v>5389</v>
      </c>
      <c r="F8">
        <v>2827</v>
      </c>
      <c r="G8">
        <v>17075</v>
      </c>
    </row>
    <row r="9" spans="1:7">
      <c r="A9" s="4" t="s">
        <v>38</v>
      </c>
      <c r="B9">
        <v>12569</v>
      </c>
      <c r="C9">
        <v>9022</v>
      </c>
      <c r="D9">
        <v>13372</v>
      </c>
      <c r="E9">
        <v>15647</v>
      </c>
      <c r="F9">
        <v>10200</v>
      </c>
      <c r="G9">
        <v>60810</v>
      </c>
    </row>
  </sheetData>
  <conditionalFormatting pivot="1" sqref="B5:B8">
    <cfRule type="colorScale" priority="5">
      <colorScale>
        <cfvo type="min"/>
        <cfvo type="percentile" val="50"/>
        <cfvo type="max"/>
        <color rgb="FF63BE7B"/>
        <color rgb="FFFFEB84"/>
        <color rgb="FFF8696B"/>
      </colorScale>
    </cfRule>
  </conditionalFormatting>
  <conditionalFormatting pivot="1" sqref="C5:C8">
    <cfRule type="colorScale" priority="4">
      <colorScale>
        <cfvo type="min"/>
        <cfvo type="percentile" val="50"/>
        <cfvo type="max"/>
        <color rgb="FF63BE7B"/>
        <color rgb="FFFFEB84"/>
        <color rgb="FFF8696B"/>
      </colorScale>
    </cfRule>
  </conditionalFormatting>
  <conditionalFormatting pivot="1" sqref="D5:D8">
    <cfRule type="colorScale" priority="3">
      <colorScale>
        <cfvo type="min"/>
        <cfvo type="percentile" val="50"/>
        <cfvo type="max"/>
        <color rgb="FF63BE7B"/>
        <color rgb="FFFFEB84"/>
        <color rgb="FFF8696B"/>
      </colorScale>
    </cfRule>
  </conditionalFormatting>
  <conditionalFormatting pivot="1" sqref="E5:E8">
    <cfRule type="colorScale" priority="2">
      <colorScale>
        <cfvo type="min"/>
        <cfvo type="percentile" val="50"/>
        <cfvo type="max"/>
        <color rgb="FF63BE7B"/>
        <color rgb="FFFFEB84"/>
        <color rgb="FFF8696B"/>
      </colorScale>
    </cfRule>
  </conditionalFormatting>
  <conditionalFormatting pivot="1" sqref="F5:F8">
    <cfRule type="colorScale" priority="1">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825F3-37F5-40F2-B820-6406A60B5FCA}">
  <sheetPr codeName="Sheet37"/>
  <dimension ref="B2:I7"/>
  <sheetViews>
    <sheetView workbookViewId="0">
      <selection activeCell="I19" sqref="I19"/>
    </sheetView>
  </sheetViews>
  <sheetFormatPr defaultRowHeight="14.4"/>
  <cols>
    <col min="4" max="4" width="14.109375" customWidth="1"/>
    <col min="5" max="5" width="9.77734375" customWidth="1"/>
    <col min="7" max="7" width="10.33203125" customWidth="1"/>
    <col min="8" max="8" width="16.6640625" customWidth="1"/>
    <col min="9" max="9" width="7.109375" customWidth="1"/>
  </cols>
  <sheetData>
    <row r="2" spans="2:9" ht="18">
      <c r="B2" s="17" t="s">
        <v>172</v>
      </c>
      <c r="C2" s="17"/>
      <c r="D2" s="17"/>
      <c r="E2" s="18" t="str">
        <f>INDEX(automotive_demand_forecasting_dataset5678[Season], MATCH(MAX(automotive_demand_forecasting_dataset5678[Units_Sold]), automotive_demand_forecasting_dataset5678[Units_Sold], 0))</f>
        <v>Spring</v>
      </c>
      <c r="G2" s="84" t="s">
        <v>173</v>
      </c>
      <c r="H2" s="84"/>
      <c r="I2" s="84"/>
    </row>
    <row r="4" spans="2:9" ht="18">
      <c r="G4" s="85" t="s">
        <v>171</v>
      </c>
      <c r="H4" s="18">
        <f>AVERAGEIFS(automotive_demand_forecasting_dataset5678[Units_Sold],automotive_demand_forecasting_dataset5678[Season], "Winter")</f>
        <v>98.422764227642276</v>
      </c>
    </row>
    <row r="5" spans="2:9" ht="18">
      <c r="G5" s="73" t="s">
        <v>170</v>
      </c>
      <c r="H5" s="18">
        <f>AVERAGEIFS(automotive_demand_forecasting_dataset5678[Units_Sold],automotive_demand_forecasting_dataset5678[Season], "Summer")</f>
        <v>99.647999999999996</v>
      </c>
    </row>
    <row r="6" spans="2:9" ht="18">
      <c r="G6" s="86" t="s">
        <v>168</v>
      </c>
      <c r="H6" s="18">
        <f>AVERAGEIFS(automotive_demand_forecasting_dataset5678[Units_Sold],automotive_demand_forecasting_dataset5678[Season], "Autumn")</f>
        <v>98.722222222222229</v>
      </c>
    </row>
    <row r="7" spans="2:9" ht="18">
      <c r="G7" s="77" t="s">
        <v>169</v>
      </c>
      <c r="H7" s="18">
        <f>AVERAGEIFS(automotive_demand_forecasting_dataset5678[Units_Sold],automotive_demand_forecasting_dataset5678[Season], "Spring")</f>
        <v>100.38888888888889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1887C-6762-49CA-979F-CA05169F4CE2}">
  <sheetPr codeName="Sheet38"/>
  <dimension ref="B3:U16"/>
  <sheetViews>
    <sheetView workbookViewId="0"/>
  </sheetViews>
  <sheetFormatPr defaultRowHeight="14.4"/>
  <cols>
    <col min="1" max="3" width="8.88671875" style="87"/>
    <col min="4" max="4" width="13.109375" style="87" customWidth="1"/>
    <col min="5" max="5" width="9.5546875" style="87" customWidth="1"/>
    <col min="6" max="6" width="9.77734375" style="87" customWidth="1"/>
    <col min="7" max="8" width="8.88671875" style="87"/>
    <col min="9" max="9" width="15.109375" style="87" customWidth="1"/>
    <col min="10" max="10" width="8.44140625" style="87" customWidth="1"/>
    <col min="11" max="11" width="8" style="87" customWidth="1"/>
    <col min="12" max="12" width="8.88671875" style="87"/>
    <col min="13" max="13" width="6.44140625" style="87" customWidth="1"/>
    <col min="14" max="14" width="9.44140625" style="87" customWidth="1"/>
    <col min="15" max="18" width="8.88671875" style="87"/>
    <col min="19" max="19" width="10.21875" style="87" customWidth="1"/>
    <col min="20" max="20" width="7.44140625" style="87" customWidth="1"/>
    <col min="21" max="21" width="10.88671875" style="87" customWidth="1"/>
    <col min="22" max="22" width="3.6640625" style="87" customWidth="1"/>
    <col min="23" max="16384" width="8.88671875" style="87"/>
  </cols>
  <sheetData>
    <row r="3" spans="2:21" ht="25.8">
      <c r="H3" s="88" t="s">
        <v>396</v>
      </c>
      <c r="I3" s="88"/>
      <c r="J3" s="89"/>
      <c r="K3" s="89"/>
      <c r="L3" s="83"/>
      <c r="M3" s="83"/>
    </row>
    <row r="7" spans="2:21" ht="18">
      <c r="B7" s="17" t="s">
        <v>172</v>
      </c>
      <c r="C7" s="17"/>
      <c r="D7" s="17"/>
      <c r="E7" s="18" t="str">
        <f>INDEX(automotive_demand_forecasting_dataset5678[Season], MATCH(MAX(automotive_demand_forecasting_dataset5678[Units_Sold]), automotive_demand_forecasting_dataset5678[Units_Sold], 0))</f>
        <v>Spring</v>
      </c>
      <c r="G7" s="84" t="s">
        <v>173</v>
      </c>
      <c r="H7" s="84"/>
      <c r="I7" s="84"/>
      <c r="K7" s="85" t="s">
        <v>171</v>
      </c>
      <c r="L7" s="18">
        <f>AVERAGEIFS(automotive_demand_forecasting_dataset5678[Units_Sold],automotive_demand_forecasting_dataset5678[Season], "Winter")</f>
        <v>98.422764227642276</v>
      </c>
      <c r="N7" s="73" t="s">
        <v>170</v>
      </c>
      <c r="O7" s="18">
        <f>AVERAGEIFS(automotive_demand_forecasting_dataset5678[Units_Sold],automotive_demand_forecasting_dataset5678[Season], "Summer")</f>
        <v>99.647999999999996</v>
      </c>
      <c r="Q7" s="86" t="s">
        <v>168</v>
      </c>
      <c r="R7" s="18">
        <f>AVERAGEIFS(automotive_demand_forecasting_dataset5678[Units_Sold],automotive_demand_forecasting_dataset5678[Season], "Autumn")</f>
        <v>98.722222222222229</v>
      </c>
      <c r="T7" s="77" t="s">
        <v>169</v>
      </c>
      <c r="U7" s="18">
        <f>AVERAGEIFS(automotive_demand_forecasting_dataset5678[Units_Sold],automotive_demand_forecasting_dataset5678[Season], "Spring")</f>
        <v>100.38888888888889</v>
      </c>
    </row>
    <row r="10" spans="2:21" ht="18">
      <c r="Q10" s="29" t="s">
        <v>174</v>
      </c>
      <c r="R10" s="29"/>
      <c r="S10" s="29"/>
      <c r="T10" s="29"/>
      <c r="U10" s="13"/>
    </row>
    <row r="12" spans="2:21">
      <c r="Q12" s="55" t="s">
        <v>175</v>
      </c>
      <c r="R12" s="55"/>
      <c r="S12" s="55"/>
    </row>
    <row r="14" spans="2:21">
      <c r="Q14" s="90" t="s">
        <v>176</v>
      </c>
      <c r="R14" s="90"/>
      <c r="S14" s="90"/>
      <c r="T14" s="90"/>
      <c r="U14" s="90"/>
    </row>
    <row r="16" spans="2:21">
      <c r="Q16" s="32" t="s">
        <v>177</v>
      </c>
      <c r="R16" s="32"/>
      <c r="S16" s="32"/>
      <c r="T16" s="32"/>
      <c r="U16" s="3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56B4-EF9E-4285-A694-2826E0212190}">
  <sheetPr codeName="Sheet33"/>
  <dimension ref="A3:B16"/>
  <sheetViews>
    <sheetView workbookViewId="0">
      <selection activeCell="H22" sqref="H22"/>
    </sheetView>
  </sheetViews>
  <sheetFormatPr defaultRowHeight="14.4"/>
  <cols>
    <col min="1" max="1" width="12.5546875" bestFit="1" customWidth="1"/>
    <col min="2" max="2" width="25.44140625" bestFit="1" customWidth="1"/>
  </cols>
  <sheetData>
    <row r="3" spans="1:2">
      <c r="A3" s="3" t="s">
        <v>37</v>
      </c>
      <c r="B3" t="s">
        <v>262</v>
      </c>
    </row>
    <row r="4" spans="1:2">
      <c r="A4" s="4" t="s">
        <v>66</v>
      </c>
      <c r="B4">
        <v>182600</v>
      </c>
    </row>
    <row r="5" spans="1:2">
      <c r="A5" s="4" t="s">
        <v>67</v>
      </c>
      <c r="B5">
        <v>170390</v>
      </c>
    </row>
    <row r="6" spans="1:2">
      <c r="A6" s="4" t="s">
        <v>68</v>
      </c>
      <c r="B6">
        <v>182710</v>
      </c>
    </row>
    <row r="7" spans="1:2">
      <c r="A7" s="4" t="s">
        <v>69</v>
      </c>
      <c r="B7">
        <v>180070</v>
      </c>
    </row>
    <row r="8" spans="1:2">
      <c r="A8" s="4" t="s">
        <v>65</v>
      </c>
      <c r="B8">
        <v>192720</v>
      </c>
    </row>
    <row r="9" spans="1:2">
      <c r="A9" s="4" t="s">
        <v>70</v>
      </c>
      <c r="B9">
        <v>181390</v>
      </c>
    </row>
    <row r="10" spans="1:2">
      <c r="A10" s="4" t="s">
        <v>71</v>
      </c>
      <c r="B10">
        <v>175450</v>
      </c>
    </row>
    <row r="11" spans="1:2">
      <c r="A11" s="4" t="s">
        <v>72</v>
      </c>
      <c r="B11">
        <v>191070</v>
      </c>
    </row>
    <row r="12" spans="1:2">
      <c r="A12" s="4" t="s">
        <v>73</v>
      </c>
      <c r="B12">
        <v>167310</v>
      </c>
    </row>
    <row r="13" spans="1:2">
      <c r="A13" s="4" t="s">
        <v>74</v>
      </c>
      <c r="B13">
        <v>187660</v>
      </c>
    </row>
    <row r="14" spans="1:2">
      <c r="A14" s="4" t="s">
        <v>75</v>
      </c>
      <c r="B14">
        <v>176440</v>
      </c>
    </row>
    <row r="15" spans="1:2">
      <c r="A15" s="4" t="s">
        <v>76</v>
      </c>
      <c r="B15">
        <v>177430</v>
      </c>
    </row>
    <row r="16" spans="1:2">
      <c r="A16" s="4" t="s">
        <v>38</v>
      </c>
      <c r="B16">
        <v>2165240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642DD-6375-42D3-A8DB-9E3D32391B73}">
  <sheetPr codeName="Sheet34"/>
  <dimension ref="A3:C16"/>
  <sheetViews>
    <sheetView workbookViewId="0">
      <selection activeCell="K23" sqref="K23"/>
    </sheetView>
  </sheetViews>
  <sheetFormatPr defaultRowHeight="14.4"/>
  <cols>
    <col min="1" max="1" width="12.5546875" bestFit="1" customWidth="1"/>
    <col min="2" max="2" width="16.5546875" bestFit="1" customWidth="1"/>
    <col min="3" max="3" width="22.21875" bestFit="1" customWidth="1"/>
  </cols>
  <sheetData>
    <row r="3" spans="1:3">
      <c r="A3" s="3" t="s">
        <v>37</v>
      </c>
      <c r="B3" t="s">
        <v>39</v>
      </c>
      <c r="C3" t="s">
        <v>251</v>
      </c>
    </row>
    <row r="4" spans="1:3">
      <c r="A4" s="4" t="s">
        <v>66</v>
      </c>
      <c r="B4">
        <v>1010</v>
      </c>
      <c r="C4" s="82">
        <v>993.64390990363961</v>
      </c>
    </row>
    <row r="5" spans="1:3">
      <c r="A5" s="4" t="s">
        <v>67</v>
      </c>
      <c r="B5">
        <v>495</v>
      </c>
      <c r="C5" s="82">
        <v>496.85571665486657</v>
      </c>
    </row>
    <row r="6" spans="1:3">
      <c r="A6" s="4" t="s">
        <v>68</v>
      </c>
      <c r="B6">
        <v>763</v>
      </c>
      <c r="C6" s="82">
        <v>795.17916772467083</v>
      </c>
    </row>
    <row r="7" spans="1:3">
      <c r="A7" s="4" t="s">
        <v>69</v>
      </c>
      <c r="B7">
        <v>610</v>
      </c>
      <c r="C7" s="82">
        <v>595.5816621986487</v>
      </c>
    </row>
    <row r="8" spans="1:3">
      <c r="A8" s="4" t="s">
        <v>65</v>
      </c>
      <c r="B8">
        <v>1270</v>
      </c>
      <c r="C8" s="82">
        <v>1192.4404481297925</v>
      </c>
    </row>
    <row r="9" spans="1:3">
      <c r="A9" s="4" t="s">
        <v>70</v>
      </c>
      <c r="B9">
        <v>886</v>
      </c>
      <c r="C9" s="82">
        <v>894.03899588398349</v>
      </c>
    </row>
    <row r="10" spans="1:3">
      <c r="A10" s="4" t="s">
        <v>71</v>
      </c>
      <c r="B10">
        <v>1370</v>
      </c>
      <c r="C10" s="82">
        <v>1391.0204457777829</v>
      </c>
    </row>
    <row r="11" spans="1:3">
      <c r="A11" s="4" t="s">
        <v>72</v>
      </c>
      <c r="B11">
        <v>939</v>
      </c>
      <c r="C11" s="82">
        <v>894.96802481609916</v>
      </c>
    </row>
    <row r="12" spans="1:3">
      <c r="A12" s="4" t="s">
        <v>73</v>
      </c>
      <c r="B12">
        <v>689</v>
      </c>
      <c r="C12" s="82">
        <v>694.76048024192085</v>
      </c>
    </row>
    <row r="13" spans="1:3">
      <c r="A13" s="4" t="s">
        <v>74</v>
      </c>
      <c r="B13">
        <v>1031</v>
      </c>
      <c r="C13" s="82">
        <v>994.40063773055078</v>
      </c>
    </row>
    <row r="14" spans="1:3">
      <c r="A14" s="4" t="s">
        <v>75</v>
      </c>
      <c r="B14">
        <v>604</v>
      </c>
      <c r="C14" s="82">
        <v>596.58170712682841</v>
      </c>
    </row>
    <row r="15" spans="1:3">
      <c r="A15" s="4" t="s">
        <v>76</v>
      </c>
      <c r="B15">
        <v>473</v>
      </c>
      <c r="C15" s="82">
        <v>496.90112032448121</v>
      </c>
    </row>
    <row r="16" spans="1:3">
      <c r="A16" s="4" t="s">
        <v>38</v>
      </c>
      <c r="B16">
        <v>10140</v>
      </c>
      <c r="C16" s="82">
        <v>10036.372316513265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82253-3519-4A24-A1AD-4840CF2FD758}">
  <sheetPr codeName="Sheet35"/>
  <dimension ref="A3:B9"/>
  <sheetViews>
    <sheetView workbookViewId="0">
      <selection activeCell="K24" sqref="K24"/>
    </sheetView>
  </sheetViews>
  <sheetFormatPr defaultRowHeight="14.4"/>
  <cols>
    <col min="1" max="1" width="12.5546875" bestFit="1" customWidth="1"/>
    <col min="2" max="3" width="25" bestFit="1" customWidth="1"/>
  </cols>
  <sheetData>
    <row r="3" spans="1:2">
      <c r="A3" s="3" t="s">
        <v>37</v>
      </c>
      <c r="B3" t="s">
        <v>192</v>
      </c>
    </row>
    <row r="4" spans="1:2">
      <c r="A4" s="4" t="s">
        <v>13</v>
      </c>
      <c r="B4" s="82">
        <v>176.74154701258794</v>
      </c>
    </row>
    <row r="5" spans="1:2">
      <c r="A5" s="4" t="s">
        <v>11</v>
      </c>
      <c r="B5" s="82">
        <v>237.54701234804918</v>
      </c>
    </row>
    <row r="6" spans="1:2">
      <c r="A6" s="4" t="s">
        <v>10</v>
      </c>
      <c r="B6" s="82">
        <v>-121.89631120924494</v>
      </c>
    </row>
    <row r="7" spans="1:2">
      <c r="A7" s="4" t="s">
        <v>12</v>
      </c>
      <c r="B7" s="82">
        <v>-248.45949703478823</v>
      </c>
    </row>
    <row r="8" spans="1:2">
      <c r="A8" s="4" t="s">
        <v>14</v>
      </c>
      <c r="B8" s="82">
        <v>410.43455853983403</v>
      </c>
    </row>
    <row r="9" spans="1:2">
      <c r="A9" s="4" t="s">
        <v>38</v>
      </c>
      <c r="B9" s="82">
        <v>454.36730965643801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C729D-F507-4CEA-B88A-9813E94B8E82}">
  <sheetPr codeName="Sheet39"/>
  <dimension ref="A3:C16"/>
  <sheetViews>
    <sheetView workbookViewId="0">
      <selection activeCell="E25" sqref="E25"/>
    </sheetView>
  </sheetViews>
  <sheetFormatPr defaultRowHeight="14.4"/>
  <cols>
    <col min="1" max="1" width="12.5546875" bestFit="1" customWidth="1"/>
    <col min="2" max="2" width="24.88671875" bestFit="1" customWidth="1"/>
    <col min="3" max="3" width="21.109375" bestFit="1" customWidth="1"/>
  </cols>
  <sheetData>
    <row r="3" spans="1:3">
      <c r="A3" s="3" t="s">
        <v>37</v>
      </c>
      <c r="B3" t="s">
        <v>193</v>
      </c>
      <c r="C3" t="s">
        <v>194</v>
      </c>
    </row>
    <row r="4" spans="1:3">
      <c r="A4" s="4" t="s">
        <v>66</v>
      </c>
      <c r="B4" s="82">
        <v>906.35609009636039</v>
      </c>
      <c r="C4" s="82">
        <v>89.453727205308823</v>
      </c>
    </row>
    <row r="5" spans="1:3">
      <c r="A5" s="4" t="s">
        <v>67</v>
      </c>
      <c r="B5" s="82">
        <v>453.14428334513343</v>
      </c>
      <c r="C5" s="82">
        <v>49.685571665486663</v>
      </c>
    </row>
    <row r="6" spans="1:3">
      <c r="A6" s="4" t="s">
        <v>68</v>
      </c>
      <c r="B6" s="82">
        <v>724.82083227532917</v>
      </c>
      <c r="C6" s="82">
        <v>79.517916772467103</v>
      </c>
    </row>
    <row r="7" spans="1:3">
      <c r="A7" s="4" t="s">
        <v>69</v>
      </c>
      <c r="B7" s="82">
        <v>544.4183378013513</v>
      </c>
      <c r="C7" s="82">
        <v>49.648550211800853</v>
      </c>
    </row>
    <row r="8" spans="1:3">
      <c r="A8" s="4" t="s">
        <v>65</v>
      </c>
      <c r="B8" s="82">
        <v>1087.5595518702075</v>
      </c>
      <c r="C8" s="82">
        <v>109.33431238524956</v>
      </c>
    </row>
    <row r="9" spans="1:3">
      <c r="A9" s="4" t="s">
        <v>70</v>
      </c>
      <c r="B9" s="82">
        <v>815.96100411601651</v>
      </c>
      <c r="C9" s="82">
        <v>89.403899588398346</v>
      </c>
    </row>
    <row r="10" spans="1:3">
      <c r="A10" s="4" t="s">
        <v>71</v>
      </c>
      <c r="B10" s="82">
        <v>1268.9795542222168</v>
      </c>
      <c r="C10" s="82">
        <v>119.28351107964433</v>
      </c>
    </row>
    <row r="11" spans="1:3">
      <c r="A11" s="4" t="s">
        <v>72</v>
      </c>
      <c r="B11" s="82">
        <v>815.03197518390084</v>
      </c>
      <c r="C11" s="82">
        <v>89.496802481609933</v>
      </c>
    </row>
    <row r="12" spans="1:3">
      <c r="A12" s="4" t="s">
        <v>73</v>
      </c>
      <c r="B12" s="82">
        <v>635.23951975807915</v>
      </c>
      <c r="C12" s="82">
        <v>49.657048847395387</v>
      </c>
    </row>
    <row r="13" spans="1:3">
      <c r="A13" s="4" t="s">
        <v>74</v>
      </c>
      <c r="B13" s="82">
        <v>905.59936226944922</v>
      </c>
      <c r="C13" s="82">
        <v>99.440063773055101</v>
      </c>
    </row>
    <row r="14" spans="1:3">
      <c r="A14" s="4" t="s">
        <v>75</v>
      </c>
      <c r="B14" s="82">
        <v>543.41829287317159</v>
      </c>
      <c r="C14" s="82">
        <v>59.658170712682846</v>
      </c>
    </row>
    <row r="15" spans="1:3">
      <c r="A15" s="4" t="s">
        <v>76</v>
      </c>
      <c r="B15" s="82">
        <v>453.09887967551879</v>
      </c>
      <c r="C15" s="82">
        <v>49.690112032448155</v>
      </c>
    </row>
    <row r="16" spans="1:3">
      <c r="A16" s="4" t="s">
        <v>38</v>
      </c>
      <c r="B16" s="82">
        <v>9153.6276834867349</v>
      </c>
      <c r="C16" s="82">
        <v>934.26968675554713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80A7-86B9-4DEF-AE1A-98C90D390193}">
  <sheetPr codeName="Sheet40"/>
  <dimension ref="C2:S5"/>
  <sheetViews>
    <sheetView workbookViewId="0">
      <selection activeCell="S2" sqref="S2"/>
    </sheetView>
  </sheetViews>
  <sheetFormatPr defaultRowHeight="14.4"/>
  <cols>
    <col min="4" max="4" width="14.88671875" customWidth="1"/>
    <col min="9" max="9" width="13.33203125" customWidth="1"/>
    <col min="13" max="13" width="14.44140625" customWidth="1"/>
  </cols>
  <sheetData>
    <row r="2" spans="3:19" ht="18">
      <c r="C2" s="17" t="s">
        <v>195</v>
      </c>
      <c r="D2" s="17"/>
      <c r="E2" s="95">
        <f>SUM(Table11[Forecasted_Units])</f>
        <v>49684</v>
      </c>
      <c r="G2" s="73" t="s">
        <v>196</v>
      </c>
      <c r="H2" s="73"/>
      <c r="I2" s="73"/>
      <c r="J2" s="18">
        <f ca="1">AVERAGE(Table11[Production_Capacity])</f>
        <v>4438.95</v>
      </c>
      <c r="L2" s="77" t="s">
        <v>197</v>
      </c>
      <c r="M2" s="77"/>
      <c r="N2" s="18">
        <f>SUM(Table11[Daily_Production])</f>
        <v>98420</v>
      </c>
      <c r="P2" s="96" t="s">
        <v>198</v>
      </c>
      <c r="Q2" s="96"/>
      <c r="R2" s="96"/>
      <c r="S2" s="95">
        <f>SUM(Table11[Production_Needed])</f>
        <v>5330.7736394796702</v>
      </c>
    </row>
    <row r="5" spans="3:19" ht="18">
      <c r="C5" s="28" t="s">
        <v>252</v>
      </c>
      <c r="D5" s="28"/>
      <c r="E5" s="18">
        <f>10480/2165240</f>
        <v>4.8401101032679982E-3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3CCAA-9E7C-49FD-8329-D10D40445884}">
  <sheetPr codeName="Sheet41"/>
  <dimension ref="C2:AD17"/>
  <sheetViews>
    <sheetView zoomScale="50" workbookViewId="0">
      <selection activeCell="H2" sqref="H2"/>
    </sheetView>
  </sheetViews>
  <sheetFormatPr defaultRowHeight="14.4"/>
  <cols>
    <col min="1" max="3" width="8.88671875" style="97"/>
    <col min="4" max="4" width="15.109375" style="97" customWidth="1"/>
    <col min="5" max="8" width="8.88671875" style="97"/>
    <col min="9" max="9" width="13" style="97" customWidth="1"/>
    <col min="10" max="10" width="8.88671875" style="97"/>
    <col min="11" max="11" width="12.5546875" style="97" customWidth="1"/>
    <col min="12" max="12" width="10.6640625" style="97" customWidth="1"/>
    <col min="13" max="13" width="14.5546875" style="97" customWidth="1"/>
    <col min="14" max="14" width="8.88671875" style="97"/>
    <col min="15" max="15" width="14.6640625" style="97" customWidth="1"/>
    <col min="16" max="21" width="8.88671875" style="97"/>
    <col min="22" max="22" width="14.21875" style="97" customWidth="1"/>
    <col min="23" max="23" width="8.88671875" style="97"/>
    <col min="24" max="24" width="12" style="97" customWidth="1"/>
    <col min="25" max="26" width="8.88671875" style="97"/>
    <col min="27" max="27" width="10.21875" style="97" customWidth="1"/>
    <col min="28" max="28" width="8.88671875" style="97"/>
    <col min="29" max="29" width="3" style="97" customWidth="1"/>
    <col min="30" max="16384" width="8.88671875" style="97"/>
  </cols>
  <sheetData>
    <row r="2" spans="3:29" ht="25.8">
      <c r="H2" s="98" t="s">
        <v>199</v>
      </c>
      <c r="I2" s="98"/>
      <c r="J2" s="98"/>
      <c r="K2" s="98"/>
      <c r="L2" s="98"/>
      <c r="M2" s="70"/>
      <c r="N2" s="70"/>
      <c r="O2" s="70"/>
      <c r="P2" s="70"/>
    </row>
    <row r="5" spans="3:29" ht="18">
      <c r="C5" s="17" t="s">
        <v>195</v>
      </c>
      <c r="D5" s="17"/>
      <c r="E5" s="95">
        <f>SUM(Table11[Forecasted_Units])</f>
        <v>49684</v>
      </c>
      <c r="G5" s="73" t="s">
        <v>196</v>
      </c>
      <c r="H5" s="73"/>
      <c r="I5" s="73"/>
      <c r="J5" s="18">
        <f ca="1">AVERAGE(Table11[Production_Capacity])</f>
        <v>4438.95</v>
      </c>
      <c r="L5" s="77" t="s">
        <v>197</v>
      </c>
      <c r="M5" s="77"/>
      <c r="N5" s="18">
        <f>SUM(Table11[Daily_Production])</f>
        <v>98420</v>
      </c>
      <c r="P5" s="96" t="s">
        <v>198</v>
      </c>
      <c r="Q5" s="96"/>
      <c r="R5" s="96"/>
      <c r="S5" s="95">
        <f>SUM(Table11[Production_Needed])</f>
        <v>5330.7736394796702</v>
      </c>
      <c r="U5" s="28" t="s">
        <v>252</v>
      </c>
      <c r="V5" s="28"/>
      <c r="W5" s="18">
        <f>10480/2165240</f>
        <v>4.8401101032679982E-3</v>
      </c>
    </row>
    <row r="9" spans="3:29" ht="18">
      <c r="Z9" s="99" t="s">
        <v>200</v>
      </c>
      <c r="AA9" s="99"/>
      <c r="AB9" s="100"/>
    </row>
    <row r="11" spans="3:29">
      <c r="Z11" s="13" t="s">
        <v>201</v>
      </c>
      <c r="AA11" s="13"/>
      <c r="AB11" s="13"/>
      <c r="AC11" s="13"/>
    </row>
    <row r="13" spans="3:29">
      <c r="Z13" s="32" t="s">
        <v>202</v>
      </c>
      <c r="AA13" s="32"/>
      <c r="AB13" s="32"/>
    </row>
    <row r="15" spans="3:29">
      <c r="Z15" s="30" t="s">
        <v>203</v>
      </c>
      <c r="AA15" s="30"/>
      <c r="AB15" s="30"/>
    </row>
    <row r="17" spans="26:30">
      <c r="Z17" s="112" t="s">
        <v>261</v>
      </c>
      <c r="AA17" s="112"/>
      <c r="AB17" s="112"/>
      <c r="AC17" s="112"/>
      <c r="AD17" s="1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D2D61-56DF-4EAF-94DC-CE48F42ECCEE}">
  <sheetPr codeName="Sheet42"/>
  <dimension ref="A1:J501"/>
  <sheetViews>
    <sheetView workbookViewId="0">
      <selection activeCell="D31" sqref="D31"/>
    </sheetView>
  </sheetViews>
  <sheetFormatPr defaultRowHeight="14.4"/>
  <cols>
    <col min="1" max="1" width="10.33203125" bestFit="1" customWidth="1"/>
    <col min="2" max="2" width="14.109375" customWidth="1"/>
    <col min="4" max="4" width="17" customWidth="1"/>
    <col min="5" max="5" width="19.44140625" bestFit="1" customWidth="1"/>
    <col min="6" max="6" width="66" customWidth="1"/>
    <col min="7" max="7" width="28.77734375" customWidth="1"/>
    <col min="8" max="8" width="22.33203125" bestFit="1" customWidth="1"/>
    <col min="9" max="9" width="22.33203125" customWidth="1"/>
    <col min="10" max="10" width="20.109375" customWidth="1"/>
  </cols>
  <sheetData>
    <row r="1" spans="1:10">
      <c r="A1" s="16" t="s">
        <v>0</v>
      </c>
      <c r="B1" s="16" t="s">
        <v>1</v>
      </c>
      <c r="C1" t="s">
        <v>45</v>
      </c>
      <c r="D1" t="s">
        <v>204</v>
      </c>
      <c r="E1" t="s">
        <v>205</v>
      </c>
      <c r="F1" t="s">
        <v>206</v>
      </c>
      <c r="G1" t="s">
        <v>207</v>
      </c>
      <c r="H1" t="s">
        <v>236</v>
      </c>
    </row>
    <row r="2" spans="1:10">
      <c r="A2" s="53">
        <v>42005</v>
      </c>
      <c r="B2" s="14" t="s">
        <v>10</v>
      </c>
      <c r="C2" t="s">
        <v>42</v>
      </c>
      <c r="D2" t="s">
        <v>213</v>
      </c>
      <c r="E2" t="s">
        <v>209</v>
      </c>
      <c r="F2" t="str">
        <f>_xlfn.XLOOKUP(E2, Feedback_Reference_Table!$A$2:$A$6, Feedback_Reference_Table!$B$2:$B$6,"No Comment Found")</f>
        <v>Showroom footfall has decreased due to rising fuel prices.</v>
      </c>
      <c r="G2" t="str">
        <f>_xlfn.XLOOKUP(F2, Feedback_Reference_Table!$B$2:$B$6, Feedback_Reference_Table!$C$2:$C$6, "No Suggestion")</f>
        <v>Delay production by 1 week</v>
      </c>
      <c r="H2">
        <f>_xlfn.XLOOKUP(Table12[[#This Row],[Adjustment_Suggestion]],Feedback_Reference_Table!$C$2:$C$6,Feedback_Reference_Table!$D$2:$D$6)</f>
        <v>-0.7</v>
      </c>
    </row>
    <row r="3" spans="1:10">
      <c r="A3" s="54">
        <v>42035</v>
      </c>
      <c r="B3" s="15" t="s">
        <v>10</v>
      </c>
      <c r="C3" t="s">
        <v>41</v>
      </c>
      <c r="D3" t="s">
        <v>214</v>
      </c>
      <c r="E3" t="s">
        <v>209</v>
      </c>
      <c r="F3" t="str">
        <f>_xlfn.XLOOKUP(E3, Feedback_Reference_Table!$A$2:$A$6, Feedback_Reference_Table!$B$2:$B$6,"No Comment Found")</f>
        <v>Showroom footfall has decreased due to rising fuel prices.</v>
      </c>
      <c r="G3" t="str">
        <f>_xlfn.XLOOKUP(F3, Feedback_Reference_Table!$B$2:$B$6, Feedback_Reference_Table!$C$2:$C$6, "No Suggestion")</f>
        <v>Delay production by 1 week</v>
      </c>
      <c r="H3">
        <f>_xlfn.XLOOKUP(Table12[[#This Row],[Adjustment_Suggestion]],Feedback_Reference_Table!$C$2:$C$6,Feedback_Reference_Table!$D$2:$D$6)</f>
        <v>-0.7</v>
      </c>
    </row>
    <row r="4" spans="1:10">
      <c r="A4" s="53">
        <v>42065</v>
      </c>
      <c r="B4" s="14" t="s">
        <v>11</v>
      </c>
      <c r="C4" t="s">
        <v>44</v>
      </c>
      <c r="D4" t="s">
        <v>215</v>
      </c>
      <c r="E4" t="s">
        <v>210</v>
      </c>
      <c r="F4" t="str">
        <f>_xlfn.XLOOKUP(E4, Feedback_Reference_Table!$A$2:$A$6, Feedback_Reference_Table!$B$2:$B$6,"No Comment Found")</f>
        <v>Multiple lost sales this month due to lack of hatchback availability.</v>
      </c>
      <c r="G4" t="str">
        <f>_xlfn.XLOOKUP(F4, Feedback_Reference_Table!$B$2:$B$6, Feedback_Reference_Table!$C$2:$C$6, "No Suggestion")</f>
        <v>Add 200 extra units</v>
      </c>
      <c r="H4">
        <f>_xlfn.XLOOKUP(Table12[[#This Row],[Adjustment_Suggestion]],Feedback_Reference_Table!$C$2:$C$6,Feedback_Reference_Table!$D$2:$D$6)</f>
        <v>0.2</v>
      </c>
      <c r="J4" s="33" t="s">
        <v>231</v>
      </c>
    </row>
    <row r="5" spans="1:10">
      <c r="A5" s="54">
        <v>42095</v>
      </c>
      <c r="B5" s="15" t="s">
        <v>12</v>
      </c>
      <c r="C5" t="s">
        <v>43</v>
      </c>
      <c r="D5" t="s">
        <v>213</v>
      </c>
      <c r="E5" t="s">
        <v>208</v>
      </c>
      <c r="F5" t="str">
        <f>_xlfn.XLOOKUP(E5, Feedback_Reference_Table!$A$2:$A$6, Feedback_Reference_Table!$B$2:$B$6,"No Comment Found")</f>
        <v>Sudden increase in SUV inquiries after recent promotions.</v>
      </c>
      <c r="G5" t="str">
        <f>_xlfn.XLOOKUP(F5, Feedback_Reference_Table!$B$2:$B$6, Feedback_Reference_Table!$C$2:$C$6, "No Suggestion")</f>
        <v>Increase forecast by 15%</v>
      </c>
      <c r="H5">
        <f>_xlfn.XLOOKUP(Table12[[#This Row],[Adjustment_Suggestion]],Feedback_Reference_Table!$C$2:$C$6,Feedback_Reference_Table!$D$2:$D$6)</f>
        <v>0.15</v>
      </c>
      <c r="J5" s="32" t="s">
        <v>204</v>
      </c>
    </row>
    <row r="6" spans="1:10">
      <c r="A6" s="53">
        <v>42125</v>
      </c>
      <c r="B6" s="14" t="s">
        <v>12</v>
      </c>
      <c r="C6" t="s">
        <v>44</v>
      </c>
      <c r="D6" t="s">
        <v>216</v>
      </c>
      <c r="E6" t="s">
        <v>208</v>
      </c>
      <c r="F6" t="str">
        <f>_xlfn.XLOOKUP(E6, Feedback_Reference_Table!$A$2:$A$6, Feedback_Reference_Table!$B$2:$B$6,"No Comment Found")</f>
        <v>Sudden increase in SUV inquiries after recent promotions.</v>
      </c>
      <c r="G6" t="str">
        <f>_xlfn.XLOOKUP(F6, Feedback_Reference_Table!$B$2:$B$6, Feedback_Reference_Table!$C$2:$C$6, "No Suggestion")</f>
        <v>Increase forecast by 15%</v>
      </c>
      <c r="H6">
        <f>_xlfn.XLOOKUP(Table12[[#This Row],[Adjustment_Suggestion]],Feedback_Reference_Table!$C$2:$C$6,Feedback_Reference_Table!$D$2:$D$6)</f>
        <v>0.15</v>
      </c>
      <c r="J6" s="32" t="s">
        <v>205</v>
      </c>
    </row>
    <row r="7" spans="1:10">
      <c r="A7" s="54">
        <v>42155</v>
      </c>
      <c r="B7" s="15" t="s">
        <v>12</v>
      </c>
      <c r="C7" t="s">
        <v>42</v>
      </c>
      <c r="D7" t="s">
        <v>215</v>
      </c>
      <c r="E7" t="s">
        <v>208</v>
      </c>
      <c r="F7" t="str">
        <f>_xlfn.XLOOKUP(E7, Feedback_Reference_Table!$A$2:$A$6, Feedback_Reference_Table!$B$2:$B$6,"No Comment Found")</f>
        <v>Sudden increase in SUV inquiries after recent promotions.</v>
      </c>
      <c r="G7" t="str">
        <f>_xlfn.XLOOKUP(F7, Feedback_Reference_Table!$B$2:$B$6, Feedback_Reference_Table!$C$2:$C$6, "No Suggestion")</f>
        <v>Increase forecast by 15%</v>
      </c>
      <c r="H7">
        <f>_xlfn.XLOOKUP(Table12[[#This Row],[Adjustment_Suggestion]],Feedback_Reference_Table!$C$2:$C$6,Feedback_Reference_Table!$D$2:$D$6)</f>
        <v>0.15</v>
      </c>
      <c r="J7" s="32" t="s">
        <v>1</v>
      </c>
    </row>
    <row r="8" spans="1:10">
      <c r="A8" s="53">
        <v>42185</v>
      </c>
      <c r="B8" s="14" t="s">
        <v>10</v>
      </c>
      <c r="C8" t="s">
        <v>42</v>
      </c>
      <c r="D8" t="s">
        <v>217</v>
      </c>
      <c r="E8" t="s">
        <v>209</v>
      </c>
      <c r="F8" t="str">
        <f>_xlfn.XLOOKUP(E8, Feedback_Reference_Table!$A$2:$A$6, Feedback_Reference_Table!$B$2:$B$6,"No Comment Found")</f>
        <v>Showroom footfall has decreased due to rising fuel prices.</v>
      </c>
      <c r="G8" t="str">
        <f>_xlfn.XLOOKUP(F8, Feedback_Reference_Table!$B$2:$B$6, Feedback_Reference_Table!$C$2:$C$6, "No Suggestion")</f>
        <v>Delay production by 1 week</v>
      </c>
      <c r="H8">
        <f>_xlfn.XLOOKUP(Table12[[#This Row],[Adjustment_Suggestion]],Feedback_Reference_Table!$C$2:$C$6,Feedback_Reference_Table!$D$2:$D$6)</f>
        <v>-0.7</v>
      </c>
      <c r="J8" s="32" t="s">
        <v>45</v>
      </c>
    </row>
    <row r="9" spans="1:10">
      <c r="A9" s="54">
        <v>42215</v>
      </c>
      <c r="B9" s="15" t="s">
        <v>13</v>
      </c>
      <c r="C9" t="s">
        <v>43</v>
      </c>
      <c r="D9" t="s">
        <v>218</v>
      </c>
      <c r="E9" t="s">
        <v>212</v>
      </c>
      <c r="F9" t="str">
        <f>_xlfn.XLOOKUP(E9, Feedback_Reference_Table!$A$2:$A$6, Feedback_Reference_Table!$B$2:$B$6,"No Comment Found")</f>
        <v>Competitor slashed prices for similar vehicles by 10%, affecting our Electric sales.</v>
      </c>
      <c r="G9" t="str">
        <f>_xlfn.XLOOKUP(F9, Feedback_Reference_Table!$B$2:$B$6, Feedback_Reference_Table!$C$2:$C$6, "No Suggestion")</f>
        <v>Reduce forecast by 10%</v>
      </c>
      <c r="H9">
        <f>_xlfn.XLOOKUP(Table12[[#This Row],[Adjustment_Suggestion]],Feedback_Reference_Table!$C$2:$C$6,Feedback_Reference_Table!$D$2:$D$6)</f>
        <v>-0.1</v>
      </c>
    </row>
    <row r="10" spans="1:10">
      <c r="A10" s="53">
        <v>42245</v>
      </c>
      <c r="B10" s="14" t="s">
        <v>10</v>
      </c>
      <c r="C10" t="s">
        <v>41</v>
      </c>
      <c r="D10" t="s">
        <v>219</v>
      </c>
      <c r="E10" t="s">
        <v>209</v>
      </c>
      <c r="F10" t="str">
        <f>_xlfn.XLOOKUP(E10, Feedback_Reference_Table!$A$2:$A$6, Feedback_Reference_Table!$B$2:$B$6,"No Comment Found")</f>
        <v>Showroom footfall has decreased due to rising fuel prices.</v>
      </c>
      <c r="G10" t="str">
        <f>_xlfn.XLOOKUP(F10, Feedback_Reference_Table!$B$2:$B$6, Feedback_Reference_Table!$C$2:$C$6, "No Suggestion")</f>
        <v>Delay production by 1 week</v>
      </c>
      <c r="H10">
        <f>_xlfn.XLOOKUP(Table12[[#This Row],[Adjustment_Suggestion]],Feedback_Reference_Table!$C$2:$C$6,Feedback_Reference_Table!$D$2:$D$6)</f>
        <v>-0.7</v>
      </c>
    </row>
    <row r="11" spans="1:10">
      <c r="A11" s="54">
        <v>42275</v>
      </c>
      <c r="B11" s="15" t="s">
        <v>13</v>
      </c>
      <c r="C11" t="s">
        <v>44</v>
      </c>
      <c r="D11" t="s">
        <v>218</v>
      </c>
      <c r="E11" t="s">
        <v>212</v>
      </c>
      <c r="F11" t="str">
        <f>_xlfn.XLOOKUP(E11, Feedback_Reference_Table!$A$2:$A$6, Feedback_Reference_Table!$B$2:$B$6,"No Comment Found")</f>
        <v>Competitor slashed prices for similar vehicles by 10%, affecting our Electric sales.</v>
      </c>
      <c r="G11" t="str">
        <f>_xlfn.XLOOKUP(F11, Feedback_Reference_Table!$B$2:$B$6, Feedback_Reference_Table!$C$2:$C$6, "No Suggestion")</f>
        <v>Reduce forecast by 10%</v>
      </c>
      <c r="H11">
        <f>_xlfn.XLOOKUP(Table12[[#This Row],[Adjustment_Suggestion]],Feedback_Reference_Table!$C$2:$C$6,Feedback_Reference_Table!$D$2:$D$6)</f>
        <v>-0.1</v>
      </c>
    </row>
    <row r="12" spans="1:10">
      <c r="A12" s="53">
        <v>42305</v>
      </c>
      <c r="B12" s="14" t="s">
        <v>14</v>
      </c>
      <c r="C12" t="s">
        <v>44</v>
      </c>
      <c r="D12" t="s">
        <v>219</v>
      </c>
      <c r="E12" t="s">
        <v>211</v>
      </c>
      <c r="F12" t="str">
        <f>_xlfn.XLOOKUP(E12, Feedback_Reference_Table!$A$2:$A$6, Feedback_Reference_Table!$B$2:$B$6,"No Comment Found")</f>
        <v>Sales typically drop in the rainy season; expecting lower demand for convertibles.</v>
      </c>
      <c r="G12" t="str">
        <f>_xlfn.XLOOKUP(F12, Feedback_Reference_Table!$B$2:$B$6, Feedback_Reference_Table!$C$2:$C$6, "No Suggestion")</f>
        <v>Shift 100 units to North</v>
      </c>
      <c r="H12">
        <f>_xlfn.XLOOKUP(Table12[[#This Row],[Adjustment_Suggestion]],Feedback_Reference_Table!$C$2:$C$6,Feedback_Reference_Table!$D$2:$D$6)</f>
        <v>-0.12</v>
      </c>
      <c r="J12" s="101" t="s">
        <v>232</v>
      </c>
    </row>
    <row r="13" spans="1:10">
      <c r="A13" s="54">
        <v>42335</v>
      </c>
      <c r="B13" s="15" t="s">
        <v>10</v>
      </c>
      <c r="C13" t="s">
        <v>41</v>
      </c>
      <c r="D13" t="s">
        <v>218</v>
      </c>
      <c r="E13" t="s">
        <v>209</v>
      </c>
      <c r="F13" t="str">
        <f>_xlfn.XLOOKUP(E13, Feedback_Reference_Table!$A$2:$A$6, Feedback_Reference_Table!$B$2:$B$6,"No Comment Found")</f>
        <v>Showroom footfall has decreased due to rising fuel prices.</v>
      </c>
      <c r="G13" t="str">
        <f>_xlfn.XLOOKUP(F13, Feedback_Reference_Table!$B$2:$B$6, Feedback_Reference_Table!$C$2:$C$6, "No Suggestion")</f>
        <v>Delay production by 1 week</v>
      </c>
      <c r="H13">
        <f>_xlfn.XLOOKUP(Table12[[#This Row],[Adjustment_Suggestion]],Feedback_Reference_Table!$C$2:$C$6,Feedback_Reference_Table!$D$2:$D$6)</f>
        <v>-0.7</v>
      </c>
      <c r="J13" s="30" t="s">
        <v>206</v>
      </c>
    </row>
    <row r="14" spans="1:10">
      <c r="A14" s="53">
        <v>42365</v>
      </c>
      <c r="B14" s="14" t="s">
        <v>10</v>
      </c>
      <c r="C14" t="s">
        <v>43</v>
      </c>
      <c r="D14" t="s">
        <v>214</v>
      </c>
      <c r="E14" t="s">
        <v>209</v>
      </c>
      <c r="F14" t="str">
        <f>_xlfn.XLOOKUP(E14, Feedback_Reference_Table!$A$2:$A$6, Feedback_Reference_Table!$B$2:$B$6,"No Comment Found")</f>
        <v>Showroom footfall has decreased due to rising fuel prices.</v>
      </c>
      <c r="G14" t="str">
        <f>_xlfn.XLOOKUP(F14, Feedback_Reference_Table!$B$2:$B$6, Feedback_Reference_Table!$C$2:$C$6, "No Suggestion")</f>
        <v>Delay production by 1 week</v>
      </c>
      <c r="H14">
        <f>_xlfn.XLOOKUP(Table12[[#This Row],[Adjustment_Suggestion]],Feedback_Reference_Table!$C$2:$C$6,Feedback_Reference_Table!$D$2:$D$6)</f>
        <v>-0.7</v>
      </c>
      <c r="J14" s="30" t="s">
        <v>207</v>
      </c>
    </row>
    <row r="15" spans="1:10">
      <c r="A15" s="54">
        <v>42395</v>
      </c>
      <c r="B15" s="15" t="s">
        <v>10</v>
      </c>
      <c r="C15" t="s">
        <v>42</v>
      </c>
      <c r="D15" t="s">
        <v>218</v>
      </c>
      <c r="E15" t="s">
        <v>209</v>
      </c>
      <c r="F15" t="str">
        <f>_xlfn.XLOOKUP(E15, Feedback_Reference_Table!$A$2:$A$6, Feedback_Reference_Table!$B$2:$B$6,"No Comment Found")</f>
        <v>Showroom footfall has decreased due to rising fuel prices.</v>
      </c>
      <c r="G15" t="str">
        <f>_xlfn.XLOOKUP(F15, Feedback_Reference_Table!$B$2:$B$6, Feedback_Reference_Table!$C$2:$C$6, "No Suggestion")</f>
        <v>Delay production by 1 week</v>
      </c>
      <c r="H15">
        <f>_xlfn.XLOOKUP(Table12[[#This Row],[Adjustment_Suggestion]],Feedback_Reference_Table!$C$2:$C$6,Feedback_Reference_Table!$D$2:$D$6)</f>
        <v>-0.7</v>
      </c>
      <c r="J15" s="30" t="s">
        <v>236</v>
      </c>
    </row>
    <row r="16" spans="1:10">
      <c r="A16" s="53">
        <v>42425</v>
      </c>
      <c r="B16" s="14" t="s">
        <v>12</v>
      </c>
      <c r="C16" t="s">
        <v>42</v>
      </c>
      <c r="D16" t="s">
        <v>218</v>
      </c>
      <c r="E16" t="s">
        <v>208</v>
      </c>
      <c r="F16" t="str">
        <f>_xlfn.XLOOKUP(E16, Feedback_Reference_Table!$A$2:$A$6, Feedback_Reference_Table!$B$2:$B$6,"No Comment Found")</f>
        <v>Sudden increase in SUV inquiries after recent promotions.</v>
      </c>
      <c r="G16" t="str">
        <f>_xlfn.XLOOKUP(F16, Feedback_Reference_Table!$B$2:$B$6, Feedback_Reference_Table!$C$2:$C$6, "No Suggestion")</f>
        <v>Increase forecast by 15%</v>
      </c>
      <c r="H16">
        <f>_xlfn.XLOOKUP(Table12[[#This Row],[Adjustment_Suggestion]],Feedback_Reference_Table!$C$2:$C$6,Feedback_Reference_Table!$D$2:$D$6)</f>
        <v>0.15</v>
      </c>
    </row>
    <row r="17" spans="1:9">
      <c r="A17" s="54">
        <v>42455</v>
      </c>
      <c r="B17" s="15" t="s">
        <v>12</v>
      </c>
      <c r="C17" t="s">
        <v>42</v>
      </c>
      <c r="D17" t="s">
        <v>219</v>
      </c>
      <c r="E17" t="s">
        <v>208</v>
      </c>
      <c r="F17" t="str">
        <f>_xlfn.XLOOKUP(E17, Feedback_Reference_Table!$A$2:$A$6, Feedback_Reference_Table!$B$2:$B$6,"No Comment Found")</f>
        <v>Sudden increase in SUV inquiries after recent promotions.</v>
      </c>
      <c r="G17" t="str">
        <f>_xlfn.XLOOKUP(F17, Feedback_Reference_Table!$B$2:$B$6, Feedback_Reference_Table!$C$2:$C$6, "No Suggestion")</f>
        <v>Increase forecast by 15%</v>
      </c>
      <c r="H17">
        <f>_xlfn.XLOOKUP(Table12[[#This Row],[Adjustment_Suggestion]],Feedback_Reference_Table!$C$2:$C$6,Feedback_Reference_Table!$D$2:$D$6)</f>
        <v>0.15</v>
      </c>
    </row>
    <row r="18" spans="1:9">
      <c r="A18" s="53">
        <v>42485</v>
      </c>
      <c r="B18" s="14" t="s">
        <v>13</v>
      </c>
      <c r="C18" t="s">
        <v>44</v>
      </c>
      <c r="D18" t="s">
        <v>219</v>
      </c>
      <c r="E18" t="s">
        <v>212</v>
      </c>
      <c r="F18" t="str">
        <f>_xlfn.XLOOKUP(E18, Feedback_Reference_Table!$A$2:$A$6, Feedback_Reference_Table!$B$2:$B$6,"No Comment Found")</f>
        <v>Competitor slashed prices for similar vehicles by 10%, affecting our Electric sales.</v>
      </c>
      <c r="G18" t="str">
        <f>_xlfn.XLOOKUP(F18, Feedback_Reference_Table!$B$2:$B$6, Feedback_Reference_Table!$C$2:$C$6, "No Suggestion")</f>
        <v>Reduce forecast by 10%</v>
      </c>
      <c r="H18">
        <f>_xlfn.XLOOKUP(Table12[[#This Row],[Adjustment_Suggestion]],Feedback_Reference_Table!$C$2:$C$6,Feedback_Reference_Table!$D$2:$D$6)</f>
        <v>-0.1</v>
      </c>
    </row>
    <row r="19" spans="1:9">
      <c r="A19" s="54">
        <v>42515</v>
      </c>
      <c r="B19" s="15" t="s">
        <v>13</v>
      </c>
      <c r="C19" t="s">
        <v>43</v>
      </c>
      <c r="D19" t="s">
        <v>216</v>
      </c>
      <c r="E19" t="s">
        <v>212</v>
      </c>
      <c r="F19" t="str">
        <f>_xlfn.XLOOKUP(E19, Feedback_Reference_Table!$A$2:$A$6, Feedback_Reference_Table!$B$2:$B$6,"No Comment Found")</f>
        <v>Competitor slashed prices for similar vehicles by 10%, affecting our Electric sales.</v>
      </c>
      <c r="G19" t="str">
        <f>_xlfn.XLOOKUP(F19, Feedback_Reference_Table!$B$2:$B$6, Feedback_Reference_Table!$C$2:$C$6, "No Suggestion")</f>
        <v>Reduce forecast by 10%</v>
      </c>
      <c r="H19">
        <f>_xlfn.XLOOKUP(Table12[[#This Row],[Adjustment_Suggestion]],Feedback_Reference_Table!$C$2:$C$6,Feedback_Reference_Table!$D$2:$D$6)</f>
        <v>-0.1</v>
      </c>
    </row>
    <row r="20" spans="1:9">
      <c r="A20" s="53">
        <v>42545</v>
      </c>
      <c r="B20" s="14" t="s">
        <v>10</v>
      </c>
      <c r="C20" t="s">
        <v>44</v>
      </c>
      <c r="D20" t="s">
        <v>218</v>
      </c>
      <c r="E20" t="s">
        <v>209</v>
      </c>
      <c r="F20" t="str">
        <f>_xlfn.XLOOKUP(E20, Feedback_Reference_Table!$A$2:$A$6, Feedback_Reference_Table!$B$2:$B$6,"No Comment Found")</f>
        <v>Showroom footfall has decreased due to rising fuel prices.</v>
      </c>
      <c r="G20" t="str">
        <f>_xlfn.XLOOKUP(F20, Feedback_Reference_Table!$B$2:$B$6, Feedback_Reference_Table!$C$2:$C$6, "No Suggestion")</f>
        <v>Delay production by 1 week</v>
      </c>
      <c r="H20">
        <f>_xlfn.XLOOKUP(Table12[[#This Row],[Adjustment_Suggestion]],Feedback_Reference_Table!$C$2:$C$6,Feedback_Reference_Table!$D$2:$D$6)</f>
        <v>-0.7</v>
      </c>
    </row>
    <row r="21" spans="1:9">
      <c r="A21" s="54">
        <v>42575</v>
      </c>
      <c r="B21" s="15" t="s">
        <v>13</v>
      </c>
      <c r="C21" t="s">
        <v>43</v>
      </c>
      <c r="D21" t="s">
        <v>213</v>
      </c>
      <c r="E21" t="s">
        <v>212</v>
      </c>
      <c r="F21" t="str">
        <f>_xlfn.XLOOKUP(E21, Feedback_Reference_Table!$A$2:$A$6, Feedback_Reference_Table!$B$2:$B$6,"No Comment Found")</f>
        <v>Competitor slashed prices for similar vehicles by 10%, affecting our Electric sales.</v>
      </c>
      <c r="G21" t="str">
        <f>_xlfn.XLOOKUP(F21, Feedback_Reference_Table!$B$2:$B$6, Feedback_Reference_Table!$C$2:$C$6, "No Suggestion")</f>
        <v>Reduce forecast by 10%</v>
      </c>
      <c r="H21">
        <f>_xlfn.XLOOKUP(Table12[[#This Row],[Adjustment_Suggestion]],Feedback_Reference_Table!$C$2:$C$6,Feedback_Reference_Table!$D$2:$D$6)</f>
        <v>-0.1</v>
      </c>
    </row>
    <row r="22" spans="1:9">
      <c r="A22" s="53">
        <v>42605</v>
      </c>
      <c r="B22" s="14" t="s">
        <v>12</v>
      </c>
      <c r="C22" t="s">
        <v>43</v>
      </c>
      <c r="D22" t="s">
        <v>214</v>
      </c>
      <c r="E22" t="s">
        <v>208</v>
      </c>
      <c r="F22" t="str">
        <f>_xlfn.XLOOKUP(E22, Feedback_Reference_Table!$A$2:$A$6, Feedback_Reference_Table!$B$2:$B$6,"No Comment Found")</f>
        <v>Sudden increase in SUV inquiries after recent promotions.</v>
      </c>
      <c r="G22" t="str">
        <f>_xlfn.XLOOKUP(F22, Feedback_Reference_Table!$B$2:$B$6, Feedback_Reference_Table!$C$2:$C$6, "No Suggestion")</f>
        <v>Increase forecast by 15%</v>
      </c>
      <c r="H22">
        <f>_xlfn.XLOOKUP(Table12[[#This Row],[Adjustment_Suggestion]],Feedback_Reference_Table!$C$2:$C$6,Feedback_Reference_Table!$D$2:$D$6)</f>
        <v>0.15</v>
      </c>
    </row>
    <row r="23" spans="1:9">
      <c r="A23" s="54">
        <v>42635</v>
      </c>
      <c r="B23" s="15" t="s">
        <v>13</v>
      </c>
      <c r="C23" t="s">
        <v>41</v>
      </c>
      <c r="D23" t="s">
        <v>217</v>
      </c>
      <c r="E23" t="s">
        <v>212</v>
      </c>
      <c r="F23" t="str">
        <f>_xlfn.XLOOKUP(E23, Feedback_Reference_Table!$A$2:$A$6, Feedback_Reference_Table!$B$2:$B$6,"No Comment Found")</f>
        <v>Competitor slashed prices for similar vehicles by 10%, affecting our Electric sales.</v>
      </c>
      <c r="G23" t="str">
        <f>_xlfn.XLOOKUP(F23, Feedback_Reference_Table!$B$2:$B$6, Feedback_Reference_Table!$C$2:$C$6, "No Suggestion")</f>
        <v>Reduce forecast by 10%</v>
      </c>
      <c r="H23">
        <f>_xlfn.XLOOKUP(Table12[[#This Row],[Adjustment_Suggestion]],Feedback_Reference_Table!$C$2:$C$6,Feedback_Reference_Table!$D$2:$D$6)</f>
        <v>-0.1</v>
      </c>
    </row>
    <row r="24" spans="1:9">
      <c r="A24" s="53">
        <v>42665</v>
      </c>
      <c r="B24" s="14" t="s">
        <v>14</v>
      </c>
      <c r="C24" t="s">
        <v>41</v>
      </c>
      <c r="D24" t="s">
        <v>219</v>
      </c>
      <c r="E24" t="s">
        <v>211</v>
      </c>
      <c r="F24" t="str">
        <f>_xlfn.XLOOKUP(E24, Feedback_Reference_Table!$A$2:$A$6, Feedback_Reference_Table!$B$2:$B$6,"No Comment Found")</f>
        <v>Sales typically drop in the rainy season; expecting lower demand for convertibles.</v>
      </c>
      <c r="G24" t="str">
        <f>_xlfn.XLOOKUP(F24, Feedback_Reference_Table!$B$2:$B$6, Feedback_Reference_Table!$C$2:$C$6, "No Suggestion")</f>
        <v>Shift 100 units to North</v>
      </c>
      <c r="H24">
        <f>_xlfn.XLOOKUP(Table12[[#This Row],[Adjustment_Suggestion]],Feedback_Reference_Table!$C$2:$C$6,Feedback_Reference_Table!$D$2:$D$6)</f>
        <v>-0.12</v>
      </c>
    </row>
    <row r="25" spans="1:9">
      <c r="A25" s="54">
        <v>42695</v>
      </c>
      <c r="B25" s="15" t="s">
        <v>12</v>
      </c>
      <c r="C25" t="s">
        <v>44</v>
      </c>
      <c r="D25" t="s">
        <v>216</v>
      </c>
      <c r="E25" t="s">
        <v>208</v>
      </c>
      <c r="F25" t="str">
        <f>_xlfn.XLOOKUP(E25, Feedback_Reference_Table!$A$2:$A$6, Feedback_Reference_Table!$B$2:$B$6,"No Comment Found")</f>
        <v>Sudden increase in SUV inquiries after recent promotions.</v>
      </c>
      <c r="G25" t="str">
        <f>_xlfn.XLOOKUP(F25, Feedback_Reference_Table!$B$2:$B$6, Feedback_Reference_Table!$C$2:$C$6, "No Suggestion")</f>
        <v>Increase forecast by 15%</v>
      </c>
      <c r="H25">
        <f>_xlfn.XLOOKUP(Table12[[#This Row],[Adjustment_Suggestion]],Feedback_Reference_Table!$C$2:$C$6,Feedback_Reference_Table!$D$2:$D$6)</f>
        <v>0.15</v>
      </c>
    </row>
    <row r="26" spans="1:9">
      <c r="A26" s="53">
        <v>42725</v>
      </c>
      <c r="B26" s="14" t="s">
        <v>14</v>
      </c>
      <c r="C26" t="s">
        <v>43</v>
      </c>
      <c r="D26" t="s">
        <v>214</v>
      </c>
      <c r="E26" t="s">
        <v>211</v>
      </c>
      <c r="F26" t="str">
        <f>_xlfn.XLOOKUP(E26, Feedback_Reference_Table!$A$2:$A$6, Feedback_Reference_Table!$B$2:$B$6,"No Comment Found")</f>
        <v>Sales typically drop in the rainy season; expecting lower demand for convertibles.</v>
      </c>
      <c r="G26" t="str">
        <f>_xlfn.XLOOKUP(F26, Feedback_Reference_Table!$B$2:$B$6, Feedback_Reference_Table!$C$2:$C$6, "No Suggestion")</f>
        <v>Shift 100 units to North</v>
      </c>
      <c r="H26">
        <f>_xlfn.XLOOKUP(Table12[[#This Row],[Adjustment_Suggestion]],Feedback_Reference_Table!$C$2:$C$6,Feedback_Reference_Table!$D$2:$D$6)</f>
        <v>-0.12</v>
      </c>
    </row>
    <row r="27" spans="1:9">
      <c r="A27" s="54">
        <v>42755</v>
      </c>
      <c r="B27" s="15" t="s">
        <v>13</v>
      </c>
      <c r="C27" t="s">
        <v>43</v>
      </c>
      <c r="D27" t="s">
        <v>213</v>
      </c>
      <c r="E27" t="s">
        <v>212</v>
      </c>
      <c r="F27" t="str">
        <f>_xlfn.XLOOKUP(E27, Feedback_Reference_Table!$A$2:$A$6, Feedback_Reference_Table!$B$2:$B$6,"No Comment Found")</f>
        <v>Competitor slashed prices for similar vehicles by 10%, affecting our Electric sales.</v>
      </c>
      <c r="G27" t="str">
        <f>_xlfn.XLOOKUP(F27, Feedback_Reference_Table!$B$2:$B$6, Feedback_Reference_Table!$C$2:$C$6, "No Suggestion")</f>
        <v>Reduce forecast by 10%</v>
      </c>
      <c r="H27">
        <f>_xlfn.XLOOKUP(Table12[[#This Row],[Adjustment_Suggestion]],Feedback_Reference_Table!$C$2:$C$6,Feedback_Reference_Table!$D$2:$D$6)</f>
        <v>-0.1</v>
      </c>
    </row>
    <row r="28" spans="1:9">
      <c r="A28" s="53">
        <v>42785</v>
      </c>
      <c r="B28" s="14" t="s">
        <v>11</v>
      </c>
      <c r="C28" t="s">
        <v>42</v>
      </c>
      <c r="D28" t="s">
        <v>214</v>
      </c>
      <c r="E28" t="s">
        <v>210</v>
      </c>
      <c r="F28" t="str">
        <f>_xlfn.XLOOKUP(E28, Feedback_Reference_Table!$A$2:$A$6, Feedback_Reference_Table!$B$2:$B$6,"No Comment Found")</f>
        <v>Multiple lost sales this month due to lack of hatchback availability.</v>
      </c>
      <c r="G28" t="str">
        <f>_xlfn.XLOOKUP(F28, Feedback_Reference_Table!$B$2:$B$6, Feedback_Reference_Table!$C$2:$C$6, "No Suggestion")</f>
        <v>Add 200 extra units</v>
      </c>
      <c r="H28">
        <f>_xlfn.XLOOKUP(Table12[[#This Row],[Adjustment_Suggestion]],Feedback_Reference_Table!$C$2:$C$6,Feedback_Reference_Table!$D$2:$D$6)</f>
        <v>0.2</v>
      </c>
    </row>
    <row r="29" spans="1:9">
      <c r="A29" s="54">
        <v>42815</v>
      </c>
      <c r="B29" s="15" t="s">
        <v>10</v>
      </c>
      <c r="C29" t="s">
        <v>41</v>
      </c>
      <c r="D29" t="s">
        <v>217</v>
      </c>
      <c r="E29" t="s">
        <v>209</v>
      </c>
      <c r="F29" t="str">
        <f>_xlfn.XLOOKUP(E29, Feedback_Reference_Table!$A$2:$A$6, Feedback_Reference_Table!$B$2:$B$6,"No Comment Found")</f>
        <v>Showroom footfall has decreased due to rising fuel prices.</v>
      </c>
      <c r="G29" t="str">
        <f>_xlfn.XLOOKUP(F29, Feedback_Reference_Table!$B$2:$B$6, Feedback_Reference_Table!$C$2:$C$6, "No Suggestion")</f>
        <v>Delay production by 1 week</v>
      </c>
      <c r="H29">
        <f>_xlfn.XLOOKUP(Table12[[#This Row],[Adjustment_Suggestion]],Feedback_Reference_Table!$C$2:$C$6,Feedback_Reference_Table!$D$2:$D$6)</f>
        <v>-0.7</v>
      </c>
    </row>
    <row r="30" spans="1:9">
      <c r="A30" s="53">
        <v>42845</v>
      </c>
      <c r="B30" s="14" t="s">
        <v>12</v>
      </c>
      <c r="C30" t="s">
        <v>41</v>
      </c>
      <c r="D30" t="s">
        <v>215</v>
      </c>
      <c r="E30" t="s">
        <v>208</v>
      </c>
      <c r="H30" s="81"/>
      <c r="I30" s="81"/>
    </row>
    <row r="31" spans="1:9">
      <c r="A31" s="54">
        <v>42875</v>
      </c>
      <c r="B31" s="15" t="s">
        <v>14</v>
      </c>
      <c r="C31" t="s">
        <v>44</v>
      </c>
      <c r="D31" t="s">
        <v>217</v>
      </c>
      <c r="E31" t="s">
        <v>211</v>
      </c>
      <c r="H31" s="81"/>
      <c r="I31" s="81"/>
    </row>
    <row r="32" spans="1:9">
      <c r="A32" s="53">
        <v>42905</v>
      </c>
      <c r="B32" s="14" t="s">
        <v>11</v>
      </c>
      <c r="H32" s="81"/>
      <c r="I32" s="81"/>
    </row>
    <row r="33" spans="1:9">
      <c r="A33" s="54">
        <v>42935</v>
      </c>
      <c r="B33" s="15" t="s">
        <v>11</v>
      </c>
      <c r="H33" s="81"/>
      <c r="I33" s="81"/>
    </row>
    <row r="34" spans="1:9">
      <c r="A34" s="53">
        <v>42965</v>
      </c>
      <c r="B34" s="14" t="s">
        <v>12</v>
      </c>
      <c r="H34" s="81"/>
      <c r="I34" s="81"/>
    </row>
    <row r="35" spans="1:9">
      <c r="A35" s="54">
        <v>42995</v>
      </c>
      <c r="B35" s="15" t="s">
        <v>12</v>
      </c>
      <c r="H35" s="81"/>
      <c r="I35" s="81"/>
    </row>
    <row r="36" spans="1:9">
      <c r="A36" s="53">
        <v>43025</v>
      </c>
      <c r="B36" s="14" t="s">
        <v>11</v>
      </c>
      <c r="H36" s="81"/>
      <c r="I36" s="81"/>
    </row>
    <row r="37" spans="1:9">
      <c r="A37" s="54">
        <v>43055</v>
      </c>
      <c r="B37" s="15" t="s">
        <v>10</v>
      </c>
      <c r="H37" s="81"/>
      <c r="I37" s="81"/>
    </row>
    <row r="38" spans="1:9">
      <c r="A38" s="53">
        <v>43085</v>
      </c>
      <c r="B38" s="14" t="s">
        <v>10</v>
      </c>
      <c r="H38" s="81"/>
      <c r="I38" s="81"/>
    </row>
    <row r="39" spans="1:9">
      <c r="A39" s="54">
        <v>43115</v>
      </c>
      <c r="B39" s="15" t="s">
        <v>14</v>
      </c>
      <c r="H39" s="81"/>
      <c r="I39" s="81"/>
    </row>
    <row r="40" spans="1:9">
      <c r="A40" s="53">
        <v>43145</v>
      </c>
      <c r="B40" s="14" t="s">
        <v>10</v>
      </c>
      <c r="H40" s="81"/>
      <c r="I40" s="81"/>
    </row>
    <row r="41" spans="1:9">
      <c r="A41" s="54">
        <v>43175</v>
      </c>
      <c r="B41" s="15" t="s">
        <v>11</v>
      </c>
      <c r="H41" s="81"/>
      <c r="I41" s="81"/>
    </row>
    <row r="42" spans="1:9">
      <c r="A42" s="53">
        <v>43205</v>
      </c>
      <c r="B42" s="14" t="s">
        <v>11</v>
      </c>
      <c r="H42" s="81"/>
      <c r="I42" s="81"/>
    </row>
    <row r="43" spans="1:9">
      <c r="A43" s="54">
        <v>43235</v>
      </c>
      <c r="B43" s="15" t="s">
        <v>13</v>
      </c>
      <c r="H43" s="81"/>
      <c r="I43" s="81"/>
    </row>
    <row r="44" spans="1:9">
      <c r="A44" s="53">
        <v>43265</v>
      </c>
      <c r="B44" s="14" t="s">
        <v>11</v>
      </c>
      <c r="H44" s="81"/>
      <c r="I44" s="81"/>
    </row>
    <row r="45" spans="1:9">
      <c r="A45" s="54">
        <v>43295</v>
      </c>
      <c r="B45" s="15" t="s">
        <v>10</v>
      </c>
      <c r="H45" s="81"/>
      <c r="I45" s="81"/>
    </row>
    <row r="46" spans="1:9">
      <c r="A46" s="53">
        <v>43325</v>
      </c>
      <c r="B46" s="14" t="s">
        <v>14</v>
      </c>
      <c r="H46" s="81"/>
      <c r="I46" s="81"/>
    </row>
    <row r="47" spans="1:9">
      <c r="A47" s="54">
        <v>43355</v>
      </c>
      <c r="B47" s="15" t="s">
        <v>13</v>
      </c>
      <c r="H47" s="81"/>
      <c r="I47" s="81"/>
    </row>
    <row r="48" spans="1:9">
      <c r="A48" s="53">
        <v>43385</v>
      </c>
      <c r="B48" s="14" t="s">
        <v>10</v>
      </c>
      <c r="H48" s="81"/>
      <c r="I48" s="81"/>
    </row>
    <row r="49" spans="1:9">
      <c r="A49" s="54">
        <v>43415</v>
      </c>
      <c r="B49" s="15" t="s">
        <v>14</v>
      </c>
      <c r="H49" s="81"/>
      <c r="I49" s="81"/>
    </row>
    <row r="50" spans="1:9">
      <c r="A50" s="53">
        <v>43445</v>
      </c>
      <c r="B50" s="14" t="s">
        <v>10</v>
      </c>
      <c r="H50" s="81"/>
      <c r="I50" s="81"/>
    </row>
    <row r="51" spans="1:9">
      <c r="A51" s="54">
        <v>43475</v>
      </c>
      <c r="B51" s="15" t="s">
        <v>13</v>
      </c>
      <c r="H51" s="81"/>
      <c r="I51" s="81"/>
    </row>
    <row r="52" spans="1:9">
      <c r="A52" s="53">
        <v>43505</v>
      </c>
      <c r="B52" s="14" t="s">
        <v>11</v>
      </c>
      <c r="H52" s="81"/>
      <c r="I52" s="81"/>
    </row>
    <row r="53" spans="1:9">
      <c r="A53" s="54">
        <v>43535</v>
      </c>
      <c r="B53" s="15" t="s">
        <v>13</v>
      </c>
      <c r="H53" s="81"/>
      <c r="I53" s="81"/>
    </row>
    <row r="54" spans="1:9">
      <c r="A54" s="53">
        <v>43565</v>
      </c>
      <c r="B54" s="14" t="s">
        <v>11</v>
      </c>
      <c r="H54" s="81"/>
      <c r="I54" s="81"/>
    </row>
    <row r="55" spans="1:9">
      <c r="A55" s="54">
        <v>43595</v>
      </c>
      <c r="B55" s="15" t="s">
        <v>13</v>
      </c>
      <c r="H55" s="81"/>
      <c r="I55" s="81"/>
    </row>
    <row r="56" spans="1:9">
      <c r="A56" s="53">
        <v>43625</v>
      </c>
      <c r="B56" s="14" t="s">
        <v>12</v>
      </c>
      <c r="H56" s="81"/>
      <c r="I56" s="81"/>
    </row>
    <row r="57" spans="1:9">
      <c r="A57" s="54">
        <v>43655</v>
      </c>
      <c r="B57" s="15" t="s">
        <v>10</v>
      </c>
      <c r="H57" s="81"/>
      <c r="I57" s="81"/>
    </row>
    <row r="58" spans="1:9">
      <c r="A58" s="53">
        <v>43685</v>
      </c>
      <c r="B58" s="14" t="s">
        <v>10</v>
      </c>
      <c r="H58" s="81"/>
      <c r="I58" s="81"/>
    </row>
    <row r="59" spans="1:9">
      <c r="A59" s="54">
        <v>43715</v>
      </c>
      <c r="B59" s="15" t="s">
        <v>12</v>
      </c>
      <c r="H59" s="81"/>
      <c r="I59" s="81"/>
    </row>
    <row r="60" spans="1:9">
      <c r="A60" s="53">
        <v>43745</v>
      </c>
      <c r="B60" s="14" t="s">
        <v>11</v>
      </c>
      <c r="H60" s="81"/>
      <c r="I60" s="81"/>
    </row>
    <row r="61" spans="1:9">
      <c r="A61" s="54">
        <v>43775</v>
      </c>
      <c r="B61" s="15" t="s">
        <v>10</v>
      </c>
      <c r="H61" s="81"/>
      <c r="I61" s="81"/>
    </row>
    <row r="62" spans="1:9">
      <c r="A62" s="53">
        <v>43805</v>
      </c>
      <c r="B62" s="14" t="s">
        <v>12</v>
      </c>
      <c r="H62" s="81"/>
      <c r="I62" s="81"/>
    </row>
    <row r="63" spans="1:9">
      <c r="A63" s="54">
        <v>43835</v>
      </c>
      <c r="B63" s="15" t="s">
        <v>10</v>
      </c>
      <c r="H63" s="81"/>
      <c r="I63" s="81"/>
    </row>
    <row r="64" spans="1:9">
      <c r="A64" s="53">
        <v>43865</v>
      </c>
      <c r="B64" s="14" t="s">
        <v>14</v>
      </c>
      <c r="H64" s="81"/>
      <c r="I64" s="81"/>
    </row>
    <row r="65" spans="1:9">
      <c r="A65" s="54">
        <v>43895</v>
      </c>
      <c r="B65" s="15" t="s">
        <v>11</v>
      </c>
      <c r="H65" s="81"/>
      <c r="I65" s="81"/>
    </row>
    <row r="66" spans="1:9">
      <c r="A66" s="53">
        <v>43925</v>
      </c>
      <c r="B66" s="14" t="s">
        <v>14</v>
      </c>
      <c r="H66" s="81"/>
      <c r="I66" s="81"/>
    </row>
    <row r="67" spans="1:9">
      <c r="A67" s="54">
        <v>43955</v>
      </c>
      <c r="B67" s="15" t="s">
        <v>11</v>
      </c>
      <c r="H67" s="81"/>
      <c r="I67" s="81"/>
    </row>
    <row r="68" spans="1:9">
      <c r="A68" s="53">
        <v>43985</v>
      </c>
      <c r="B68" s="14" t="s">
        <v>12</v>
      </c>
      <c r="H68" s="81"/>
      <c r="I68" s="81"/>
    </row>
    <row r="69" spans="1:9">
      <c r="A69" s="54">
        <v>44015</v>
      </c>
      <c r="B69" s="15" t="s">
        <v>11</v>
      </c>
      <c r="H69" s="81"/>
      <c r="I69" s="81"/>
    </row>
    <row r="70" spans="1:9">
      <c r="A70" s="53">
        <v>44045</v>
      </c>
      <c r="B70" s="14" t="s">
        <v>11</v>
      </c>
      <c r="H70" s="81"/>
      <c r="I70" s="81"/>
    </row>
    <row r="71" spans="1:9">
      <c r="A71" s="54">
        <v>44075</v>
      </c>
      <c r="B71" s="15" t="s">
        <v>12</v>
      </c>
      <c r="H71" s="81"/>
      <c r="I71" s="81"/>
    </row>
    <row r="72" spans="1:9">
      <c r="A72" s="53">
        <v>44105</v>
      </c>
      <c r="B72" s="14" t="s">
        <v>11</v>
      </c>
      <c r="H72" s="81"/>
      <c r="I72" s="81"/>
    </row>
    <row r="73" spans="1:9">
      <c r="A73" s="54">
        <v>44135</v>
      </c>
      <c r="B73" s="15" t="s">
        <v>10</v>
      </c>
      <c r="H73" s="81"/>
      <c r="I73" s="81"/>
    </row>
    <row r="74" spans="1:9">
      <c r="A74" s="53">
        <v>44165</v>
      </c>
      <c r="B74" s="14" t="s">
        <v>13</v>
      </c>
      <c r="H74" s="81"/>
      <c r="I74" s="81"/>
    </row>
    <row r="75" spans="1:9">
      <c r="A75" s="54">
        <v>44195</v>
      </c>
      <c r="B75" s="15" t="s">
        <v>12</v>
      </c>
      <c r="H75" s="81"/>
      <c r="I75" s="81"/>
    </row>
    <row r="76" spans="1:9">
      <c r="A76" s="53">
        <v>44225</v>
      </c>
      <c r="B76" s="14" t="s">
        <v>13</v>
      </c>
      <c r="H76" s="81"/>
      <c r="I76" s="81"/>
    </row>
    <row r="77" spans="1:9">
      <c r="A77" s="54">
        <v>44255</v>
      </c>
      <c r="B77" s="15" t="s">
        <v>12</v>
      </c>
      <c r="H77" s="81"/>
      <c r="I77" s="81"/>
    </row>
    <row r="78" spans="1:9">
      <c r="A78" s="53">
        <v>44285</v>
      </c>
      <c r="B78" s="14" t="s">
        <v>12</v>
      </c>
      <c r="H78" s="81"/>
      <c r="I78" s="81"/>
    </row>
    <row r="79" spans="1:9">
      <c r="A79" s="54">
        <v>44315</v>
      </c>
      <c r="B79" s="15" t="s">
        <v>14</v>
      </c>
      <c r="H79" s="81"/>
      <c r="I79" s="81"/>
    </row>
    <row r="80" spans="1:9">
      <c r="A80" s="53">
        <v>44345</v>
      </c>
      <c r="B80" s="14" t="s">
        <v>14</v>
      </c>
      <c r="H80" s="81"/>
      <c r="I80" s="81"/>
    </row>
    <row r="81" spans="1:9">
      <c r="A81" s="54">
        <v>44375</v>
      </c>
      <c r="B81" s="15" t="s">
        <v>11</v>
      </c>
      <c r="H81" s="81"/>
      <c r="I81" s="81"/>
    </row>
    <row r="82" spans="1:9">
      <c r="A82" s="53">
        <v>44405</v>
      </c>
      <c r="B82" s="14" t="s">
        <v>13</v>
      </c>
      <c r="H82" s="81"/>
      <c r="I82" s="81"/>
    </row>
    <row r="83" spans="1:9">
      <c r="A83" s="54">
        <v>44435</v>
      </c>
      <c r="B83" s="15" t="s">
        <v>12</v>
      </c>
      <c r="H83" s="81"/>
      <c r="I83" s="81"/>
    </row>
    <row r="84" spans="1:9">
      <c r="A84" s="53">
        <v>44465</v>
      </c>
      <c r="B84" s="14" t="s">
        <v>11</v>
      </c>
      <c r="H84" s="81"/>
      <c r="I84" s="81"/>
    </row>
    <row r="85" spans="1:9">
      <c r="A85" s="54">
        <v>44495</v>
      </c>
      <c r="B85" s="15" t="s">
        <v>10</v>
      </c>
      <c r="H85" s="81"/>
      <c r="I85" s="81"/>
    </row>
    <row r="86" spans="1:9">
      <c r="A86" s="53">
        <v>44525</v>
      </c>
      <c r="B86" s="14" t="s">
        <v>12</v>
      </c>
      <c r="H86" s="81"/>
      <c r="I86" s="81"/>
    </row>
    <row r="87" spans="1:9">
      <c r="A87" s="54">
        <v>44555</v>
      </c>
      <c r="B87" s="15" t="s">
        <v>10</v>
      </c>
      <c r="H87" s="81"/>
      <c r="I87" s="81"/>
    </row>
    <row r="88" spans="1:9">
      <c r="A88" s="53">
        <v>44585</v>
      </c>
      <c r="B88" s="14" t="s">
        <v>11</v>
      </c>
      <c r="H88" s="81"/>
      <c r="I88" s="81"/>
    </row>
    <row r="89" spans="1:9">
      <c r="A89" s="54">
        <v>44615</v>
      </c>
      <c r="B89" s="15" t="s">
        <v>14</v>
      </c>
      <c r="H89" s="81"/>
      <c r="I89" s="81"/>
    </row>
    <row r="90" spans="1:9">
      <c r="A90" s="53">
        <v>44645</v>
      </c>
      <c r="B90" s="14" t="s">
        <v>11</v>
      </c>
      <c r="H90" s="81"/>
      <c r="I90" s="81"/>
    </row>
    <row r="91" spans="1:9">
      <c r="A91" s="54">
        <v>44675</v>
      </c>
      <c r="B91" s="15" t="s">
        <v>10</v>
      </c>
      <c r="H91" s="81"/>
      <c r="I91" s="81"/>
    </row>
    <row r="92" spans="1:9">
      <c r="A92" s="53">
        <v>44705</v>
      </c>
      <c r="B92" s="14" t="s">
        <v>12</v>
      </c>
      <c r="H92" s="81"/>
      <c r="I92" s="81"/>
    </row>
    <row r="93" spans="1:9">
      <c r="A93" s="54">
        <v>44735</v>
      </c>
      <c r="B93" s="15" t="s">
        <v>13</v>
      </c>
      <c r="H93" s="81"/>
      <c r="I93" s="81"/>
    </row>
    <row r="94" spans="1:9">
      <c r="A94" s="53">
        <v>44765</v>
      </c>
      <c r="B94" s="14" t="s">
        <v>11</v>
      </c>
      <c r="H94" s="81"/>
      <c r="I94" s="81"/>
    </row>
    <row r="95" spans="1:9">
      <c r="A95" s="54">
        <v>44795</v>
      </c>
      <c r="B95" s="15" t="s">
        <v>12</v>
      </c>
      <c r="H95" s="81"/>
      <c r="I95" s="81"/>
    </row>
    <row r="96" spans="1:9">
      <c r="A96" s="53">
        <v>44825</v>
      </c>
      <c r="B96" s="14" t="s">
        <v>14</v>
      </c>
      <c r="H96" s="81"/>
      <c r="I96" s="81"/>
    </row>
    <row r="97" spans="1:9">
      <c r="A97" s="54">
        <v>44855</v>
      </c>
      <c r="B97" s="15" t="s">
        <v>14</v>
      </c>
      <c r="H97" s="81"/>
      <c r="I97" s="81"/>
    </row>
    <row r="98" spans="1:9">
      <c r="A98" s="53">
        <v>44885</v>
      </c>
      <c r="B98" s="14" t="s">
        <v>14</v>
      </c>
      <c r="H98" s="81"/>
      <c r="I98" s="81"/>
    </row>
    <row r="99" spans="1:9">
      <c r="A99" s="54">
        <v>44915</v>
      </c>
      <c r="B99" s="15" t="s">
        <v>12</v>
      </c>
      <c r="H99" s="81"/>
      <c r="I99" s="81"/>
    </row>
    <row r="100" spans="1:9">
      <c r="A100" s="53">
        <v>44945</v>
      </c>
      <c r="B100" s="14" t="s">
        <v>11</v>
      </c>
      <c r="H100" s="81"/>
      <c r="I100" s="81"/>
    </row>
    <row r="101" spans="1:9">
      <c r="A101" s="54">
        <v>44975</v>
      </c>
      <c r="B101" s="15" t="s">
        <v>12</v>
      </c>
      <c r="H101" s="81"/>
      <c r="I101" s="81"/>
    </row>
    <row r="102" spans="1:9">
      <c r="A102" s="53">
        <v>45005</v>
      </c>
      <c r="B102" s="14" t="s">
        <v>12</v>
      </c>
      <c r="H102" s="81"/>
      <c r="I102" s="81"/>
    </row>
    <row r="103" spans="1:9">
      <c r="A103" s="54">
        <v>45035</v>
      </c>
      <c r="B103" s="15" t="s">
        <v>13</v>
      </c>
      <c r="H103" s="81"/>
      <c r="I103" s="81"/>
    </row>
    <row r="104" spans="1:9">
      <c r="A104" s="53">
        <v>45065</v>
      </c>
      <c r="B104" s="14" t="s">
        <v>13</v>
      </c>
      <c r="H104" s="81"/>
      <c r="I104" s="81"/>
    </row>
    <row r="105" spans="1:9">
      <c r="A105" s="54">
        <v>45095</v>
      </c>
      <c r="B105" s="15" t="s">
        <v>11</v>
      </c>
      <c r="H105" s="81"/>
      <c r="I105" s="81"/>
    </row>
    <row r="106" spans="1:9">
      <c r="A106" s="53">
        <v>45125</v>
      </c>
      <c r="B106" s="14" t="s">
        <v>13</v>
      </c>
      <c r="H106" s="81"/>
      <c r="I106" s="81"/>
    </row>
    <row r="107" spans="1:9">
      <c r="A107" s="54">
        <v>45155</v>
      </c>
      <c r="B107" s="15" t="s">
        <v>14</v>
      </c>
      <c r="H107" s="81"/>
      <c r="I107" s="81"/>
    </row>
    <row r="108" spans="1:9">
      <c r="A108" s="53">
        <v>45185</v>
      </c>
      <c r="B108" s="14" t="s">
        <v>13</v>
      </c>
      <c r="H108" s="81"/>
      <c r="I108" s="81"/>
    </row>
    <row r="109" spans="1:9">
      <c r="A109" s="54">
        <v>45215</v>
      </c>
      <c r="B109" s="15" t="s">
        <v>14</v>
      </c>
      <c r="H109" s="81"/>
      <c r="I109" s="81"/>
    </row>
    <row r="110" spans="1:9">
      <c r="A110" s="53">
        <v>45245</v>
      </c>
      <c r="B110" s="14" t="s">
        <v>11</v>
      </c>
      <c r="H110" s="81"/>
      <c r="I110" s="81"/>
    </row>
    <row r="111" spans="1:9">
      <c r="A111" s="54">
        <v>45275</v>
      </c>
      <c r="B111" s="15" t="s">
        <v>12</v>
      </c>
      <c r="H111" s="81"/>
      <c r="I111" s="81"/>
    </row>
    <row r="112" spans="1:9">
      <c r="A112" s="53">
        <v>45305</v>
      </c>
      <c r="B112" s="14" t="s">
        <v>12</v>
      </c>
      <c r="H112" s="81"/>
      <c r="I112" s="81"/>
    </row>
    <row r="113" spans="1:9">
      <c r="A113" s="54">
        <v>45335</v>
      </c>
      <c r="B113" s="15" t="s">
        <v>13</v>
      </c>
      <c r="H113" s="81"/>
      <c r="I113" s="81"/>
    </row>
    <row r="114" spans="1:9">
      <c r="A114" s="53">
        <v>45365</v>
      </c>
      <c r="B114" s="14" t="s">
        <v>14</v>
      </c>
      <c r="H114" s="81"/>
      <c r="I114" s="81"/>
    </row>
    <row r="115" spans="1:9">
      <c r="A115" s="54">
        <v>45395</v>
      </c>
      <c r="B115" s="15" t="s">
        <v>10</v>
      </c>
      <c r="H115" s="81"/>
      <c r="I115" s="81"/>
    </row>
    <row r="116" spans="1:9">
      <c r="A116" s="53">
        <v>45425</v>
      </c>
      <c r="B116" s="14" t="s">
        <v>10</v>
      </c>
      <c r="H116" s="81"/>
      <c r="I116" s="81"/>
    </row>
    <row r="117" spans="1:9">
      <c r="A117" s="54">
        <v>45455</v>
      </c>
      <c r="B117" s="15" t="s">
        <v>10</v>
      </c>
      <c r="H117" s="81"/>
      <c r="I117" s="81"/>
    </row>
    <row r="118" spans="1:9">
      <c r="A118" s="53">
        <v>45485</v>
      </c>
      <c r="B118" s="14" t="s">
        <v>12</v>
      </c>
      <c r="H118" s="81"/>
      <c r="I118" s="81"/>
    </row>
    <row r="119" spans="1:9">
      <c r="A119" s="54">
        <v>45515</v>
      </c>
      <c r="B119" s="15" t="s">
        <v>12</v>
      </c>
      <c r="H119" s="81"/>
      <c r="I119" s="81"/>
    </row>
    <row r="120" spans="1:9">
      <c r="A120" s="53">
        <v>45545</v>
      </c>
      <c r="B120" s="14" t="s">
        <v>14</v>
      </c>
      <c r="H120" s="81"/>
      <c r="I120" s="81"/>
    </row>
    <row r="121" spans="1:9">
      <c r="A121" s="54">
        <v>45575</v>
      </c>
      <c r="B121" s="15" t="s">
        <v>13</v>
      </c>
      <c r="H121" s="81"/>
      <c r="I121" s="81"/>
    </row>
    <row r="122" spans="1:9">
      <c r="A122" s="53">
        <v>45605</v>
      </c>
      <c r="B122" s="14" t="s">
        <v>10</v>
      </c>
      <c r="H122" s="81"/>
      <c r="I122" s="81"/>
    </row>
    <row r="123" spans="1:9">
      <c r="A123" s="54">
        <v>45635</v>
      </c>
      <c r="B123" s="15" t="s">
        <v>14</v>
      </c>
      <c r="H123" s="81"/>
      <c r="I123" s="81"/>
    </row>
    <row r="124" spans="1:9">
      <c r="A124" s="53">
        <v>45665</v>
      </c>
      <c r="B124" s="14" t="s">
        <v>14</v>
      </c>
      <c r="H124" s="81"/>
      <c r="I124" s="81"/>
    </row>
    <row r="125" spans="1:9">
      <c r="A125" s="54">
        <v>45695</v>
      </c>
      <c r="B125" s="15" t="s">
        <v>13</v>
      </c>
      <c r="H125" s="81"/>
      <c r="I125" s="81"/>
    </row>
    <row r="126" spans="1:9">
      <c r="A126" s="53">
        <v>45725</v>
      </c>
      <c r="B126" s="14" t="s">
        <v>14</v>
      </c>
      <c r="H126" s="81"/>
      <c r="I126" s="81"/>
    </row>
    <row r="127" spans="1:9">
      <c r="A127" s="54">
        <v>45755</v>
      </c>
      <c r="B127" s="15" t="s">
        <v>13</v>
      </c>
      <c r="H127" s="81"/>
      <c r="I127" s="81"/>
    </row>
    <row r="128" spans="1:9">
      <c r="A128" s="53">
        <v>45785</v>
      </c>
      <c r="B128" s="14" t="s">
        <v>11</v>
      </c>
      <c r="H128" s="81"/>
      <c r="I128" s="81"/>
    </row>
    <row r="129" spans="1:9">
      <c r="A129" s="54">
        <v>45815</v>
      </c>
      <c r="B129" s="15" t="s">
        <v>13</v>
      </c>
      <c r="H129" s="81"/>
      <c r="I129" s="81"/>
    </row>
    <row r="130" spans="1:9">
      <c r="A130" s="53">
        <v>45845</v>
      </c>
      <c r="B130" s="14" t="s">
        <v>10</v>
      </c>
      <c r="H130" s="81"/>
      <c r="I130" s="81"/>
    </row>
    <row r="131" spans="1:9">
      <c r="A131" s="54">
        <v>45875</v>
      </c>
      <c r="B131" s="15" t="s">
        <v>10</v>
      </c>
      <c r="H131" s="81"/>
      <c r="I131" s="81"/>
    </row>
    <row r="132" spans="1:9">
      <c r="A132" s="53">
        <v>45905</v>
      </c>
      <c r="B132" s="14" t="s">
        <v>13</v>
      </c>
      <c r="H132" s="81"/>
      <c r="I132" s="81"/>
    </row>
    <row r="133" spans="1:9">
      <c r="A133" s="54">
        <v>45935</v>
      </c>
      <c r="B133" s="15" t="s">
        <v>11</v>
      </c>
      <c r="H133" s="81"/>
      <c r="I133" s="81"/>
    </row>
    <row r="134" spans="1:9">
      <c r="A134" s="53">
        <v>45965</v>
      </c>
      <c r="B134" s="14" t="s">
        <v>11</v>
      </c>
      <c r="H134" s="81"/>
      <c r="I134" s="81"/>
    </row>
    <row r="135" spans="1:9">
      <c r="A135" s="54">
        <v>45995</v>
      </c>
      <c r="B135" s="15" t="s">
        <v>10</v>
      </c>
      <c r="H135" s="81"/>
      <c r="I135" s="81"/>
    </row>
    <row r="136" spans="1:9">
      <c r="A136" s="53">
        <v>46025</v>
      </c>
      <c r="B136" s="14" t="s">
        <v>11</v>
      </c>
      <c r="H136" s="81"/>
      <c r="I136" s="81"/>
    </row>
    <row r="137" spans="1:9">
      <c r="A137" s="54">
        <v>46055</v>
      </c>
      <c r="B137" s="15" t="s">
        <v>14</v>
      </c>
      <c r="H137" s="81"/>
      <c r="I137" s="81"/>
    </row>
    <row r="138" spans="1:9">
      <c r="A138" s="53">
        <v>46085</v>
      </c>
      <c r="B138" s="14" t="s">
        <v>12</v>
      </c>
      <c r="H138" s="81"/>
      <c r="I138" s="81"/>
    </row>
    <row r="139" spans="1:9">
      <c r="A139" s="54">
        <v>46115</v>
      </c>
      <c r="B139" s="15" t="s">
        <v>14</v>
      </c>
      <c r="H139" s="81"/>
      <c r="I139" s="81"/>
    </row>
    <row r="140" spans="1:9">
      <c r="A140" s="53">
        <v>46145</v>
      </c>
      <c r="B140" s="14" t="s">
        <v>10</v>
      </c>
      <c r="H140" s="81"/>
      <c r="I140" s="81"/>
    </row>
    <row r="141" spans="1:9">
      <c r="A141" s="54">
        <v>46175</v>
      </c>
      <c r="B141" s="15" t="s">
        <v>11</v>
      </c>
      <c r="H141" s="81"/>
      <c r="I141" s="81"/>
    </row>
    <row r="142" spans="1:9">
      <c r="A142" s="53">
        <v>46205</v>
      </c>
      <c r="B142" s="14" t="s">
        <v>13</v>
      </c>
      <c r="H142" s="81"/>
      <c r="I142" s="81"/>
    </row>
    <row r="143" spans="1:9">
      <c r="A143" s="54">
        <v>46235</v>
      </c>
      <c r="B143" s="15" t="s">
        <v>12</v>
      </c>
      <c r="H143" s="81"/>
      <c r="I143" s="81"/>
    </row>
    <row r="144" spans="1:9">
      <c r="A144" s="53">
        <v>46265</v>
      </c>
      <c r="B144" s="14" t="s">
        <v>13</v>
      </c>
      <c r="H144" s="81"/>
      <c r="I144" s="81"/>
    </row>
    <row r="145" spans="1:9">
      <c r="A145" s="54">
        <v>46295</v>
      </c>
      <c r="B145" s="15" t="s">
        <v>10</v>
      </c>
      <c r="H145" s="81"/>
      <c r="I145" s="81"/>
    </row>
    <row r="146" spans="1:9">
      <c r="A146" s="53">
        <v>46325</v>
      </c>
      <c r="B146" s="14" t="s">
        <v>11</v>
      </c>
      <c r="H146" s="81"/>
      <c r="I146" s="81"/>
    </row>
    <row r="147" spans="1:9">
      <c r="A147" s="54">
        <v>46355</v>
      </c>
      <c r="B147" s="15" t="s">
        <v>13</v>
      </c>
      <c r="H147" s="81"/>
      <c r="I147" s="81"/>
    </row>
    <row r="148" spans="1:9">
      <c r="A148" s="53">
        <v>46385</v>
      </c>
      <c r="B148" s="14" t="s">
        <v>13</v>
      </c>
      <c r="H148" s="81"/>
      <c r="I148" s="81"/>
    </row>
    <row r="149" spans="1:9">
      <c r="A149" s="54">
        <v>46415</v>
      </c>
      <c r="B149" s="15" t="s">
        <v>12</v>
      </c>
      <c r="H149" s="81"/>
      <c r="I149" s="81"/>
    </row>
    <row r="150" spans="1:9">
      <c r="A150" s="53">
        <v>46445</v>
      </c>
      <c r="B150" s="14" t="s">
        <v>12</v>
      </c>
      <c r="H150" s="81"/>
      <c r="I150" s="81"/>
    </row>
    <row r="151" spans="1:9">
      <c r="A151" s="54">
        <v>46475</v>
      </c>
      <c r="B151" s="15" t="s">
        <v>11</v>
      </c>
      <c r="H151" s="81"/>
      <c r="I151" s="81"/>
    </row>
    <row r="152" spans="1:9">
      <c r="A152" s="53">
        <v>46505</v>
      </c>
      <c r="B152" s="14" t="s">
        <v>12</v>
      </c>
      <c r="H152" s="81"/>
      <c r="I152" s="81"/>
    </row>
    <row r="153" spans="1:9">
      <c r="A153" s="54">
        <v>46535</v>
      </c>
      <c r="B153" s="15" t="s">
        <v>13</v>
      </c>
      <c r="H153" s="81"/>
      <c r="I153" s="81"/>
    </row>
    <row r="154" spans="1:9">
      <c r="A154" s="53">
        <v>46565</v>
      </c>
      <c r="B154" s="14" t="s">
        <v>13</v>
      </c>
      <c r="H154" s="81"/>
      <c r="I154" s="81"/>
    </row>
    <row r="155" spans="1:9">
      <c r="A155" s="54">
        <v>46595</v>
      </c>
      <c r="B155" s="15" t="s">
        <v>10</v>
      </c>
      <c r="H155" s="81"/>
      <c r="I155" s="81"/>
    </row>
    <row r="156" spans="1:9">
      <c r="A156" s="53">
        <v>46625</v>
      </c>
      <c r="B156" s="14" t="s">
        <v>13</v>
      </c>
      <c r="H156" s="81"/>
      <c r="I156" s="81"/>
    </row>
    <row r="157" spans="1:9">
      <c r="A157" s="54">
        <v>46655</v>
      </c>
      <c r="B157" s="15" t="s">
        <v>11</v>
      </c>
      <c r="H157" s="81"/>
      <c r="I157" s="81"/>
    </row>
    <row r="158" spans="1:9">
      <c r="A158" s="53">
        <v>46685</v>
      </c>
      <c r="B158" s="14" t="s">
        <v>14</v>
      </c>
      <c r="H158" s="81"/>
      <c r="I158" s="81"/>
    </row>
    <row r="159" spans="1:9">
      <c r="A159" s="54">
        <v>46715</v>
      </c>
      <c r="B159" s="15" t="s">
        <v>10</v>
      </c>
      <c r="H159" s="81"/>
      <c r="I159" s="81"/>
    </row>
    <row r="160" spans="1:9">
      <c r="A160" s="53">
        <v>46745</v>
      </c>
      <c r="B160" s="14" t="s">
        <v>10</v>
      </c>
      <c r="H160" s="81"/>
      <c r="I160" s="81"/>
    </row>
    <row r="161" spans="1:9">
      <c r="A161" s="54">
        <v>46775</v>
      </c>
      <c r="B161" s="15" t="s">
        <v>11</v>
      </c>
      <c r="H161" s="81"/>
      <c r="I161" s="81"/>
    </row>
    <row r="162" spans="1:9">
      <c r="A162" s="53">
        <v>46805</v>
      </c>
      <c r="B162" s="14" t="s">
        <v>11</v>
      </c>
      <c r="H162" s="81"/>
      <c r="I162" s="81"/>
    </row>
    <row r="163" spans="1:9">
      <c r="A163" s="54">
        <v>46835</v>
      </c>
      <c r="B163" s="15" t="s">
        <v>12</v>
      </c>
      <c r="H163" s="81"/>
      <c r="I163" s="81"/>
    </row>
    <row r="164" spans="1:9">
      <c r="A164" s="53">
        <v>46865</v>
      </c>
      <c r="B164" s="14" t="s">
        <v>10</v>
      </c>
      <c r="H164" s="81"/>
      <c r="I164" s="81"/>
    </row>
    <row r="165" spans="1:9">
      <c r="A165" s="54">
        <v>46895</v>
      </c>
      <c r="B165" s="15" t="s">
        <v>12</v>
      </c>
      <c r="H165" s="81"/>
      <c r="I165" s="81"/>
    </row>
    <row r="166" spans="1:9">
      <c r="A166" s="53">
        <v>46925</v>
      </c>
      <c r="B166" s="14" t="s">
        <v>13</v>
      </c>
      <c r="H166" s="81"/>
      <c r="I166" s="81"/>
    </row>
    <row r="167" spans="1:9">
      <c r="A167" s="54">
        <v>46955</v>
      </c>
      <c r="B167" s="15" t="s">
        <v>10</v>
      </c>
      <c r="H167" s="81"/>
      <c r="I167" s="81"/>
    </row>
    <row r="168" spans="1:9">
      <c r="A168" s="53">
        <v>46985</v>
      </c>
      <c r="B168" s="14" t="s">
        <v>10</v>
      </c>
      <c r="H168" s="81"/>
      <c r="I168" s="81"/>
    </row>
    <row r="169" spans="1:9">
      <c r="A169" s="54">
        <v>47015</v>
      </c>
      <c r="B169" s="15" t="s">
        <v>14</v>
      </c>
      <c r="H169" s="81"/>
      <c r="I169" s="81"/>
    </row>
    <row r="170" spans="1:9">
      <c r="A170" s="53">
        <v>47045</v>
      </c>
      <c r="B170" s="14" t="s">
        <v>10</v>
      </c>
      <c r="H170" s="81"/>
      <c r="I170" s="81"/>
    </row>
    <row r="171" spans="1:9">
      <c r="A171" s="54">
        <v>47075</v>
      </c>
      <c r="B171" s="15" t="s">
        <v>13</v>
      </c>
      <c r="H171" s="81"/>
      <c r="I171" s="81"/>
    </row>
    <row r="172" spans="1:9">
      <c r="A172" s="53">
        <v>47105</v>
      </c>
      <c r="B172" s="14" t="s">
        <v>12</v>
      </c>
      <c r="H172" s="81"/>
      <c r="I172" s="81"/>
    </row>
    <row r="173" spans="1:9">
      <c r="A173" s="54">
        <v>47135</v>
      </c>
      <c r="B173" s="15" t="s">
        <v>12</v>
      </c>
      <c r="H173" s="81"/>
      <c r="I173" s="81"/>
    </row>
    <row r="174" spans="1:9">
      <c r="A174" s="53">
        <v>47165</v>
      </c>
      <c r="B174" s="14" t="s">
        <v>14</v>
      </c>
      <c r="H174" s="81"/>
      <c r="I174" s="81"/>
    </row>
    <row r="175" spans="1:9">
      <c r="A175" s="54">
        <v>47195</v>
      </c>
      <c r="B175" s="15" t="s">
        <v>13</v>
      </c>
      <c r="H175" s="81"/>
      <c r="I175" s="81"/>
    </row>
    <row r="176" spans="1:9">
      <c r="A176" s="53">
        <v>47225</v>
      </c>
      <c r="B176" s="14" t="s">
        <v>12</v>
      </c>
      <c r="H176" s="81"/>
      <c r="I176" s="81"/>
    </row>
    <row r="177" spans="1:9">
      <c r="A177" s="54">
        <v>47255</v>
      </c>
      <c r="B177" s="15" t="s">
        <v>11</v>
      </c>
      <c r="H177" s="81"/>
      <c r="I177" s="81"/>
    </row>
    <row r="178" spans="1:9">
      <c r="A178" s="53">
        <v>47285</v>
      </c>
      <c r="B178" s="14" t="s">
        <v>13</v>
      </c>
      <c r="H178" s="81"/>
      <c r="I178" s="81"/>
    </row>
    <row r="179" spans="1:9">
      <c r="A179" s="54">
        <v>47315</v>
      </c>
      <c r="B179" s="15" t="s">
        <v>13</v>
      </c>
      <c r="H179" s="81"/>
      <c r="I179" s="81"/>
    </row>
    <row r="180" spans="1:9">
      <c r="A180" s="53">
        <v>47345</v>
      </c>
      <c r="B180" s="14" t="s">
        <v>14</v>
      </c>
      <c r="H180" s="81"/>
      <c r="I180" s="81"/>
    </row>
    <row r="181" spans="1:9">
      <c r="A181" s="54">
        <v>47375</v>
      </c>
      <c r="B181" s="15" t="s">
        <v>12</v>
      </c>
      <c r="H181" s="81"/>
      <c r="I181" s="81"/>
    </row>
    <row r="182" spans="1:9">
      <c r="A182" s="53">
        <v>47405</v>
      </c>
      <c r="B182" s="14" t="s">
        <v>13</v>
      </c>
      <c r="H182" s="81"/>
      <c r="I182" s="81"/>
    </row>
    <row r="183" spans="1:9">
      <c r="A183" s="54">
        <v>47435</v>
      </c>
      <c r="B183" s="15" t="s">
        <v>12</v>
      </c>
      <c r="H183" s="81"/>
      <c r="I183" s="81"/>
    </row>
    <row r="184" spans="1:9">
      <c r="A184" s="53">
        <v>47465</v>
      </c>
      <c r="B184" s="14" t="s">
        <v>11</v>
      </c>
      <c r="H184" s="81"/>
      <c r="I184" s="81"/>
    </row>
    <row r="185" spans="1:9">
      <c r="A185" s="54">
        <v>47495</v>
      </c>
      <c r="B185" s="15" t="s">
        <v>14</v>
      </c>
      <c r="H185" s="81"/>
      <c r="I185" s="81"/>
    </row>
    <row r="186" spans="1:9">
      <c r="A186" s="53">
        <v>47525</v>
      </c>
      <c r="B186" s="14" t="s">
        <v>11</v>
      </c>
      <c r="H186" s="81"/>
      <c r="I186" s="81"/>
    </row>
    <row r="187" spans="1:9">
      <c r="A187" s="54">
        <v>47555</v>
      </c>
      <c r="B187" s="15" t="s">
        <v>14</v>
      </c>
      <c r="H187" s="81"/>
      <c r="I187" s="81"/>
    </row>
    <row r="188" spans="1:9">
      <c r="A188" s="53">
        <v>47585</v>
      </c>
      <c r="B188" s="14" t="s">
        <v>13</v>
      </c>
      <c r="H188" s="81"/>
      <c r="I188" s="81"/>
    </row>
    <row r="189" spans="1:9">
      <c r="A189" s="54">
        <v>47615</v>
      </c>
      <c r="B189" s="15" t="s">
        <v>14</v>
      </c>
      <c r="H189" s="81"/>
      <c r="I189" s="81"/>
    </row>
    <row r="190" spans="1:9">
      <c r="A190" s="53">
        <v>47645</v>
      </c>
      <c r="B190" s="14" t="s">
        <v>10</v>
      </c>
      <c r="H190" s="81"/>
      <c r="I190" s="81"/>
    </row>
    <row r="191" spans="1:9">
      <c r="A191" s="54">
        <v>47675</v>
      </c>
      <c r="B191" s="15" t="s">
        <v>12</v>
      </c>
      <c r="H191" s="81"/>
      <c r="I191" s="81"/>
    </row>
    <row r="192" spans="1:9">
      <c r="A192" s="53">
        <v>47705</v>
      </c>
      <c r="B192" s="14" t="s">
        <v>12</v>
      </c>
      <c r="H192" s="81"/>
      <c r="I192" s="81"/>
    </row>
    <row r="193" spans="1:9">
      <c r="A193" s="54">
        <v>47735</v>
      </c>
      <c r="B193" s="15" t="s">
        <v>10</v>
      </c>
      <c r="H193" s="81"/>
      <c r="I193" s="81"/>
    </row>
    <row r="194" spans="1:9">
      <c r="A194" s="53">
        <v>47765</v>
      </c>
      <c r="B194" s="14" t="s">
        <v>11</v>
      </c>
      <c r="H194" s="81"/>
      <c r="I194" s="81"/>
    </row>
    <row r="195" spans="1:9">
      <c r="A195" s="54">
        <v>47795</v>
      </c>
      <c r="B195" s="15" t="s">
        <v>10</v>
      </c>
      <c r="H195" s="81"/>
      <c r="I195" s="81"/>
    </row>
    <row r="196" spans="1:9">
      <c r="A196" s="53">
        <v>47825</v>
      </c>
      <c r="B196" s="14" t="s">
        <v>13</v>
      </c>
      <c r="H196" s="81"/>
      <c r="I196" s="81"/>
    </row>
    <row r="197" spans="1:9">
      <c r="A197" s="54">
        <v>47855</v>
      </c>
      <c r="B197" s="15" t="s">
        <v>13</v>
      </c>
      <c r="H197" s="81"/>
      <c r="I197" s="81"/>
    </row>
    <row r="198" spans="1:9">
      <c r="A198" s="53">
        <v>47885</v>
      </c>
      <c r="B198" s="14" t="s">
        <v>12</v>
      </c>
      <c r="H198" s="81"/>
      <c r="I198" s="81"/>
    </row>
    <row r="199" spans="1:9">
      <c r="A199" s="54">
        <v>47915</v>
      </c>
      <c r="B199" s="15" t="s">
        <v>13</v>
      </c>
      <c r="H199" s="81"/>
      <c r="I199" s="81"/>
    </row>
    <row r="200" spans="1:9">
      <c r="A200" s="53">
        <v>47945</v>
      </c>
      <c r="B200" s="14" t="s">
        <v>12</v>
      </c>
      <c r="H200" s="81"/>
      <c r="I200" s="81"/>
    </row>
    <row r="201" spans="1:9">
      <c r="A201" s="54">
        <v>47975</v>
      </c>
      <c r="B201" s="15" t="s">
        <v>10</v>
      </c>
      <c r="H201" s="81"/>
      <c r="I201" s="81"/>
    </row>
    <row r="202" spans="1:9">
      <c r="A202" s="53">
        <v>48005</v>
      </c>
      <c r="B202" s="14" t="s">
        <v>10</v>
      </c>
      <c r="H202" s="81"/>
      <c r="I202" s="81"/>
    </row>
    <row r="203" spans="1:9">
      <c r="A203" s="54">
        <v>48035</v>
      </c>
      <c r="B203" s="15" t="s">
        <v>10</v>
      </c>
      <c r="H203" s="81"/>
      <c r="I203" s="81"/>
    </row>
    <row r="204" spans="1:9">
      <c r="A204" s="53">
        <v>48065</v>
      </c>
      <c r="B204" s="14" t="s">
        <v>12</v>
      </c>
      <c r="H204" s="81"/>
      <c r="I204" s="81"/>
    </row>
    <row r="205" spans="1:9">
      <c r="A205" s="54">
        <v>48095</v>
      </c>
      <c r="B205" s="15" t="s">
        <v>10</v>
      </c>
      <c r="H205" s="81"/>
      <c r="I205" s="81"/>
    </row>
    <row r="206" spans="1:9">
      <c r="A206" s="53">
        <v>48125</v>
      </c>
      <c r="B206" s="14" t="s">
        <v>10</v>
      </c>
      <c r="H206" s="81"/>
      <c r="I206" s="81"/>
    </row>
    <row r="207" spans="1:9">
      <c r="A207" s="54">
        <v>48155</v>
      </c>
      <c r="B207" s="15" t="s">
        <v>11</v>
      </c>
      <c r="H207" s="81"/>
      <c r="I207" s="81"/>
    </row>
    <row r="208" spans="1:9">
      <c r="A208" s="53">
        <v>48185</v>
      </c>
      <c r="B208" s="14" t="s">
        <v>10</v>
      </c>
      <c r="H208" s="81"/>
      <c r="I208" s="81"/>
    </row>
    <row r="209" spans="1:9">
      <c r="A209" s="54">
        <v>48215</v>
      </c>
      <c r="B209" s="15" t="s">
        <v>13</v>
      </c>
      <c r="H209" s="81"/>
      <c r="I209" s="81"/>
    </row>
    <row r="210" spans="1:9">
      <c r="A210" s="53">
        <v>48245</v>
      </c>
      <c r="B210" s="14" t="s">
        <v>12</v>
      </c>
      <c r="H210" s="81"/>
      <c r="I210" s="81"/>
    </row>
    <row r="211" spans="1:9">
      <c r="A211" s="54">
        <v>48275</v>
      </c>
      <c r="B211" s="15" t="s">
        <v>11</v>
      </c>
      <c r="H211" s="81"/>
      <c r="I211" s="81"/>
    </row>
    <row r="212" spans="1:9">
      <c r="A212" s="53">
        <v>48305</v>
      </c>
      <c r="B212" s="14" t="s">
        <v>14</v>
      </c>
      <c r="H212" s="81"/>
      <c r="I212" s="81"/>
    </row>
    <row r="213" spans="1:9">
      <c r="A213" s="54">
        <v>48335</v>
      </c>
      <c r="B213" s="15" t="s">
        <v>12</v>
      </c>
      <c r="H213" s="81"/>
      <c r="I213" s="81"/>
    </row>
    <row r="214" spans="1:9">
      <c r="A214" s="53">
        <v>48365</v>
      </c>
      <c r="B214" s="14" t="s">
        <v>13</v>
      </c>
      <c r="H214" s="81"/>
      <c r="I214" s="81"/>
    </row>
    <row r="215" spans="1:9">
      <c r="A215" s="54">
        <v>48395</v>
      </c>
      <c r="B215" s="15" t="s">
        <v>12</v>
      </c>
      <c r="H215" s="81"/>
      <c r="I215" s="81"/>
    </row>
    <row r="216" spans="1:9">
      <c r="A216" s="53">
        <v>48425</v>
      </c>
      <c r="B216" s="14" t="s">
        <v>13</v>
      </c>
      <c r="H216" s="81"/>
      <c r="I216" s="81"/>
    </row>
    <row r="217" spans="1:9">
      <c r="A217" s="54">
        <v>48455</v>
      </c>
      <c r="B217" s="15" t="s">
        <v>13</v>
      </c>
      <c r="H217" s="81"/>
      <c r="I217" s="81"/>
    </row>
    <row r="218" spans="1:9">
      <c r="A218" s="53">
        <v>48485</v>
      </c>
      <c r="B218" s="14" t="s">
        <v>14</v>
      </c>
      <c r="H218" s="81"/>
      <c r="I218" s="81"/>
    </row>
    <row r="219" spans="1:9">
      <c r="A219" s="54">
        <v>48515</v>
      </c>
      <c r="B219" s="15" t="s">
        <v>12</v>
      </c>
      <c r="H219" s="81"/>
      <c r="I219" s="81"/>
    </row>
    <row r="220" spans="1:9">
      <c r="A220" s="53">
        <v>48545</v>
      </c>
      <c r="B220" s="14" t="s">
        <v>14</v>
      </c>
      <c r="H220" s="81"/>
      <c r="I220" s="81"/>
    </row>
    <row r="221" spans="1:9">
      <c r="A221" s="54">
        <v>48575</v>
      </c>
      <c r="B221" s="15" t="s">
        <v>14</v>
      </c>
      <c r="H221" s="81"/>
      <c r="I221" s="81"/>
    </row>
    <row r="222" spans="1:9">
      <c r="A222" s="53">
        <v>48605</v>
      </c>
      <c r="B222" s="14" t="s">
        <v>12</v>
      </c>
      <c r="H222" s="81"/>
      <c r="I222" s="81"/>
    </row>
    <row r="223" spans="1:9">
      <c r="A223" s="54">
        <v>48635</v>
      </c>
      <c r="B223" s="15" t="s">
        <v>10</v>
      </c>
      <c r="H223" s="81"/>
      <c r="I223" s="81"/>
    </row>
    <row r="224" spans="1:9">
      <c r="A224" s="53">
        <v>48665</v>
      </c>
      <c r="B224" s="14" t="s">
        <v>10</v>
      </c>
      <c r="H224" s="81"/>
      <c r="I224" s="81"/>
    </row>
    <row r="225" spans="1:9">
      <c r="A225" s="54">
        <v>48695</v>
      </c>
      <c r="B225" s="15" t="s">
        <v>14</v>
      </c>
      <c r="H225" s="81"/>
      <c r="I225" s="81"/>
    </row>
    <row r="226" spans="1:9">
      <c r="A226" s="53">
        <v>48725</v>
      </c>
      <c r="B226" s="14" t="s">
        <v>11</v>
      </c>
      <c r="H226" s="81"/>
      <c r="I226" s="81"/>
    </row>
    <row r="227" spans="1:9">
      <c r="A227" s="54">
        <v>48755</v>
      </c>
      <c r="B227" s="15" t="s">
        <v>14</v>
      </c>
      <c r="H227" s="81"/>
      <c r="I227" s="81"/>
    </row>
    <row r="228" spans="1:9">
      <c r="A228" s="53">
        <v>48785</v>
      </c>
      <c r="B228" s="14" t="s">
        <v>14</v>
      </c>
      <c r="H228" s="81"/>
      <c r="I228" s="81"/>
    </row>
    <row r="229" spans="1:9">
      <c r="A229" s="54">
        <v>48815</v>
      </c>
      <c r="B229" s="15" t="s">
        <v>14</v>
      </c>
      <c r="H229" s="81"/>
      <c r="I229" s="81"/>
    </row>
    <row r="230" spans="1:9">
      <c r="A230" s="53">
        <v>48845</v>
      </c>
      <c r="B230" s="14" t="s">
        <v>10</v>
      </c>
      <c r="H230" s="81"/>
      <c r="I230" s="81"/>
    </row>
    <row r="231" spans="1:9">
      <c r="A231" s="54">
        <v>48875</v>
      </c>
      <c r="B231" s="15" t="s">
        <v>10</v>
      </c>
      <c r="H231" s="81"/>
      <c r="I231" s="81"/>
    </row>
    <row r="232" spans="1:9">
      <c r="A232" s="53">
        <v>48905</v>
      </c>
      <c r="B232" s="14" t="s">
        <v>10</v>
      </c>
      <c r="H232" s="81"/>
      <c r="I232" s="81"/>
    </row>
    <row r="233" spans="1:9">
      <c r="A233" s="54">
        <v>48935</v>
      </c>
      <c r="B233" s="15" t="s">
        <v>14</v>
      </c>
      <c r="H233" s="81"/>
      <c r="I233" s="81"/>
    </row>
    <row r="234" spans="1:9">
      <c r="A234" s="53">
        <v>48965</v>
      </c>
      <c r="B234" s="14" t="s">
        <v>11</v>
      </c>
      <c r="H234" s="81"/>
      <c r="I234" s="81"/>
    </row>
    <row r="235" spans="1:9">
      <c r="A235" s="54">
        <v>48995</v>
      </c>
      <c r="B235" s="15" t="s">
        <v>10</v>
      </c>
      <c r="H235" s="81"/>
      <c r="I235" s="81"/>
    </row>
    <row r="236" spans="1:9">
      <c r="A236" s="53">
        <v>49025</v>
      </c>
      <c r="B236" s="14" t="s">
        <v>12</v>
      </c>
      <c r="H236" s="81"/>
      <c r="I236" s="81"/>
    </row>
    <row r="237" spans="1:9">
      <c r="A237" s="54">
        <v>49055</v>
      </c>
      <c r="B237" s="15" t="s">
        <v>12</v>
      </c>
      <c r="H237" s="81"/>
      <c r="I237" s="81"/>
    </row>
    <row r="238" spans="1:9">
      <c r="A238" s="53">
        <v>49085</v>
      </c>
      <c r="B238" s="14" t="s">
        <v>12</v>
      </c>
      <c r="H238" s="81"/>
      <c r="I238" s="81"/>
    </row>
    <row r="239" spans="1:9">
      <c r="A239" s="54">
        <v>49115</v>
      </c>
      <c r="B239" s="15" t="s">
        <v>13</v>
      </c>
      <c r="H239" s="81"/>
      <c r="I239" s="81"/>
    </row>
    <row r="240" spans="1:9">
      <c r="A240" s="53">
        <v>49145</v>
      </c>
      <c r="B240" s="14" t="s">
        <v>14</v>
      </c>
      <c r="H240" s="81"/>
      <c r="I240" s="81"/>
    </row>
    <row r="241" spans="1:9">
      <c r="A241" s="54">
        <v>49175</v>
      </c>
      <c r="B241" s="15" t="s">
        <v>12</v>
      </c>
      <c r="H241" s="81"/>
      <c r="I241" s="81"/>
    </row>
    <row r="242" spans="1:9">
      <c r="A242" s="53">
        <v>49205</v>
      </c>
      <c r="B242" s="14" t="s">
        <v>14</v>
      </c>
      <c r="H242" s="81"/>
      <c r="I242" s="81"/>
    </row>
    <row r="243" spans="1:9">
      <c r="A243" s="54">
        <v>49235</v>
      </c>
      <c r="B243" s="15" t="s">
        <v>12</v>
      </c>
      <c r="H243" s="81"/>
      <c r="I243" s="81"/>
    </row>
    <row r="244" spans="1:9">
      <c r="A244" s="53">
        <v>49265</v>
      </c>
      <c r="B244" s="14" t="s">
        <v>11</v>
      </c>
      <c r="H244" s="81"/>
      <c r="I244" s="81"/>
    </row>
    <row r="245" spans="1:9">
      <c r="A245" s="54">
        <v>49295</v>
      </c>
      <c r="B245" s="15" t="s">
        <v>14</v>
      </c>
      <c r="H245" s="81"/>
      <c r="I245" s="81"/>
    </row>
    <row r="246" spans="1:9">
      <c r="A246" s="53">
        <v>49325</v>
      </c>
      <c r="B246" s="14" t="s">
        <v>12</v>
      </c>
      <c r="H246" s="81"/>
      <c r="I246" s="81"/>
    </row>
    <row r="247" spans="1:9">
      <c r="A247" s="54">
        <v>49355</v>
      </c>
      <c r="B247" s="15" t="s">
        <v>10</v>
      </c>
      <c r="H247" s="81"/>
      <c r="I247" s="81"/>
    </row>
    <row r="248" spans="1:9">
      <c r="A248" s="53">
        <v>49385</v>
      </c>
      <c r="B248" s="14" t="s">
        <v>14</v>
      </c>
      <c r="H248" s="81"/>
      <c r="I248" s="81"/>
    </row>
    <row r="249" spans="1:9">
      <c r="A249" s="54">
        <v>49415</v>
      </c>
      <c r="B249" s="15" t="s">
        <v>13</v>
      </c>
      <c r="H249" s="81"/>
      <c r="I249" s="81"/>
    </row>
    <row r="250" spans="1:9">
      <c r="A250" s="53">
        <v>49445</v>
      </c>
      <c r="B250" s="14" t="s">
        <v>10</v>
      </c>
      <c r="H250" s="81"/>
      <c r="I250" s="81"/>
    </row>
    <row r="251" spans="1:9">
      <c r="A251" s="54">
        <v>49475</v>
      </c>
      <c r="B251" s="15" t="s">
        <v>10</v>
      </c>
      <c r="H251" s="81"/>
      <c r="I251" s="81"/>
    </row>
    <row r="252" spans="1:9">
      <c r="A252" s="53">
        <v>49505</v>
      </c>
      <c r="B252" s="14" t="s">
        <v>13</v>
      </c>
      <c r="H252" s="81"/>
      <c r="I252" s="81"/>
    </row>
    <row r="253" spans="1:9">
      <c r="A253" s="54">
        <v>49535</v>
      </c>
      <c r="B253" s="15" t="s">
        <v>10</v>
      </c>
      <c r="H253" s="81"/>
      <c r="I253" s="81"/>
    </row>
    <row r="254" spans="1:9">
      <c r="A254" s="53">
        <v>49565</v>
      </c>
      <c r="B254" s="14" t="s">
        <v>10</v>
      </c>
      <c r="H254" s="81"/>
      <c r="I254" s="81"/>
    </row>
    <row r="255" spans="1:9">
      <c r="A255" s="54">
        <v>49595</v>
      </c>
      <c r="B255" s="15" t="s">
        <v>12</v>
      </c>
      <c r="H255" s="81"/>
      <c r="I255" s="81"/>
    </row>
    <row r="256" spans="1:9">
      <c r="A256" s="53">
        <v>49625</v>
      </c>
      <c r="B256" s="14" t="s">
        <v>12</v>
      </c>
      <c r="H256" s="81"/>
      <c r="I256" s="81"/>
    </row>
    <row r="257" spans="1:9">
      <c r="A257" s="54">
        <v>49655</v>
      </c>
      <c r="B257" s="15" t="s">
        <v>14</v>
      </c>
      <c r="H257" s="81"/>
      <c r="I257" s="81"/>
    </row>
    <row r="258" spans="1:9">
      <c r="A258" s="53">
        <v>49685</v>
      </c>
      <c r="B258" s="14" t="s">
        <v>14</v>
      </c>
      <c r="H258" s="81"/>
      <c r="I258" s="81"/>
    </row>
    <row r="259" spans="1:9">
      <c r="A259" s="54">
        <v>49715</v>
      </c>
      <c r="B259" s="15" t="s">
        <v>14</v>
      </c>
      <c r="H259" s="81"/>
      <c r="I259" s="81"/>
    </row>
    <row r="260" spans="1:9">
      <c r="A260" s="53">
        <v>49745</v>
      </c>
      <c r="B260" s="14" t="s">
        <v>12</v>
      </c>
      <c r="H260" s="81"/>
      <c r="I260" s="81"/>
    </row>
    <row r="261" spans="1:9">
      <c r="A261" s="54">
        <v>49775</v>
      </c>
      <c r="B261" s="15" t="s">
        <v>14</v>
      </c>
      <c r="H261" s="81"/>
      <c r="I261" s="81"/>
    </row>
    <row r="262" spans="1:9">
      <c r="A262" s="53">
        <v>49805</v>
      </c>
      <c r="B262" s="14" t="s">
        <v>10</v>
      </c>
      <c r="H262" s="81"/>
      <c r="I262" s="81"/>
    </row>
    <row r="263" spans="1:9">
      <c r="A263" s="54">
        <v>49835</v>
      </c>
      <c r="B263" s="15" t="s">
        <v>12</v>
      </c>
      <c r="H263" s="81"/>
      <c r="I263" s="81"/>
    </row>
    <row r="264" spans="1:9">
      <c r="A264" s="53">
        <v>49865</v>
      </c>
      <c r="B264" s="14" t="s">
        <v>14</v>
      </c>
      <c r="H264" s="81"/>
      <c r="I264" s="81"/>
    </row>
    <row r="265" spans="1:9">
      <c r="A265" s="54">
        <v>49895</v>
      </c>
      <c r="B265" s="15" t="s">
        <v>10</v>
      </c>
      <c r="H265" s="81"/>
      <c r="I265" s="81"/>
    </row>
    <row r="266" spans="1:9">
      <c r="A266" s="53">
        <v>49925</v>
      </c>
      <c r="B266" s="14" t="s">
        <v>14</v>
      </c>
      <c r="H266" s="81"/>
      <c r="I266" s="81"/>
    </row>
    <row r="267" spans="1:9">
      <c r="A267" s="54">
        <v>49955</v>
      </c>
      <c r="B267" s="15" t="s">
        <v>11</v>
      </c>
      <c r="H267" s="81"/>
      <c r="I267" s="81"/>
    </row>
    <row r="268" spans="1:9">
      <c r="A268" s="53">
        <v>49985</v>
      </c>
      <c r="B268" s="14" t="s">
        <v>14</v>
      </c>
      <c r="H268" s="81"/>
      <c r="I268" s="81"/>
    </row>
    <row r="269" spans="1:9">
      <c r="A269" s="54">
        <v>50015</v>
      </c>
      <c r="B269" s="15" t="s">
        <v>11</v>
      </c>
      <c r="H269" s="81"/>
      <c r="I269" s="81"/>
    </row>
    <row r="270" spans="1:9">
      <c r="A270" s="53">
        <v>50045</v>
      </c>
      <c r="B270" s="14" t="s">
        <v>14</v>
      </c>
      <c r="H270" s="81"/>
      <c r="I270" s="81"/>
    </row>
    <row r="271" spans="1:9">
      <c r="A271" s="54">
        <v>50075</v>
      </c>
      <c r="B271" s="15" t="s">
        <v>13</v>
      </c>
      <c r="H271" s="81"/>
      <c r="I271" s="81"/>
    </row>
    <row r="272" spans="1:9">
      <c r="A272" s="53">
        <v>50105</v>
      </c>
      <c r="B272" s="14" t="s">
        <v>14</v>
      </c>
      <c r="H272" s="81"/>
      <c r="I272" s="81"/>
    </row>
    <row r="273" spans="1:9">
      <c r="A273" s="54">
        <v>50135</v>
      </c>
      <c r="B273" s="15" t="s">
        <v>12</v>
      </c>
      <c r="H273" s="81"/>
      <c r="I273" s="81"/>
    </row>
    <row r="274" spans="1:9">
      <c r="A274" s="53">
        <v>50165</v>
      </c>
      <c r="B274" s="14" t="s">
        <v>12</v>
      </c>
      <c r="H274" s="81"/>
      <c r="I274" s="81"/>
    </row>
    <row r="275" spans="1:9">
      <c r="A275" s="54">
        <v>50195</v>
      </c>
      <c r="B275" s="15" t="s">
        <v>11</v>
      </c>
      <c r="H275" s="81"/>
      <c r="I275" s="81"/>
    </row>
    <row r="276" spans="1:9">
      <c r="A276" s="53">
        <v>50225</v>
      </c>
      <c r="B276" s="14" t="s">
        <v>12</v>
      </c>
      <c r="H276" s="81"/>
      <c r="I276" s="81"/>
    </row>
    <row r="277" spans="1:9">
      <c r="A277" s="54">
        <v>50255</v>
      </c>
      <c r="B277" s="15" t="s">
        <v>10</v>
      </c>
      <c r="H277" s="81"/>
      <c r="I277" s="81"/>
    </row>
    <row r="278" spans="1:9">
      <c r="A278" s="53">
        <v>50285</v>
      </c>
      <c r="B278" s="14" t="s">
        <v>13</v>
      </c>
      <c r="H278" s="81"/>
      <c r="I278" s="81"/>
    </row>
    <row r="279" spans="1:9">
      <c r="A279" s="54">
        <v>50315</v>
      </c>
      <c r="B279" s="15" t="s">
        <v>13</v>
      </c>
      <c r="H279" s="81"/>
      <c r="I279" s="81"/>
    </row>
    <row r="280" spans="1:9">
      <c r="A280" s="53">
        <v>50345</v>
      </c>
      <c r="B280" s="14" t="s">
        <v>10</v>
      </c>
      <c r="H280" s="81"/>
      <c r="I280" s="81"/>
    </row>
    <row r="281" spans="1:9">
      <c r="A281" s="54">
        <v>50375</v>
      </c>
      <c r="B281" s="15" t="s">
        <v>11</v>
      </c>
      <c r="H281" s="81"/>
      <c r="I281" s="81"/>
    </row>
    <row r="282" spans="1:9">
      <c r="A282" s="53">
        <v>50405</v>
      </c>
      <c r="B282" s="14" t="s">
        <v>10</v>
      </c>
      <c r="H282" s="81"/>
      <c r="I282" s="81"/>
    </row>
    <row r="283" spans="1:9">
      <c r="A283" s="54">
        <v>50435</v>
      </c>
      <c r="B283" s="15" t="s">
        <v>10</v>
      </c>
      <c r="H283" s="81"/>
      <c r="I283" s="81"/>
    </row>
    <row r="284" spans="1:9">
      <c r="A284" s="53">
        <v>50465</v>
      </c>
      <c r="B284" s="14" t="s">
        <v>13</v>
      </c>
      <c r="H284" s="81"/>
      <c r="I284" s="81"/>
    </row>
    <row r="285" spans="1:9">
      <c r="A285" s="54">
        <v>50495</v>
      </c>
      <c r="B285" s="15" t="s">
        <v>14</v>
      </c>
      <c r="H285" s="81"/>
      <c r="I285" s="81"/>
    </row>
    <row r="286" spans="1:9">
      <c r="A286" s="53">
        <v>50525</v>
      </c>
      <c r="B286" s="14" t="s">
        <v>13</v>
      </c>
      <c r="H286" s="81"/>
      <c r="I286" s="81"/>
    </row>
    <row r="287" spans="1:9">
      <c r="A287" s="54">
        <v>50555</v>
      </c>
      <c r="B287" s="15" t="s">
        <v>13</v>
      </c>
      <c r="H287" s="81"/>
      <c r="I287" s="81"/>
    </row>
    <row r="288" spans="1:9">
      <c r="A288" s="53">
        <v>50585</v>
      </c>
      <c r="B288" s="14" t="s">
        <v>12</v>
      </c>
      <c r="H288" s="81"/>
      <c r="I288" s="81"/>
    </row>
    <row r="289" spans="1:9">
      <c r="A289" s="54">
        <v>50615</v>
      </c>
      <c r="B289" s="15" t="s">
        <v>10</v>
      </c>
      <c r="H289" s="81"/>
      <c r="I289" s="81"/>
    </row>
    <row r="290" spans="1:9">
      <c r="A290" s="53">
        <v>50645</v>
      </c>
      <c r="B290" s="14" t="s">
        <v>13</v>
      </c>
      <c r="H290" s="81"/>
      <c r="I290" s="81"/>
    </row>
    <row r="291" spans="1:9">
      <c r="A291" s="54">
        <v>50675</v>
      </c>
      <c r="B291" s="15" t="s">
        <v>10</v>
      </c>
      <c r="H291" s="81"/>
      <c r="I291" s="81"/>
    </row>
    <row r="292" spans="1:9">
      <c r="A292" s="53">
        <v>50705</v>
      </c>
      <c r="B292" s="14" t="s">
        <v>12</v>
      </c>
      <c r="H292" s="81"/>
      <c r="I292" s="81"/>
    </row>
    <row r="293" spans="1:9">
      <c r="A293" s="54">
        <v>50735</v>
      </c>
      <c r="B293" s="15" t="s">
        <v>10</v>
      </c>
      <c r="H293" s="81"/>
      <c r="I293" s="81"/>
    </row>
    <row r="294" spans="1:9">
      <c r="A294" s="53">
        <v>50765</v>
      </c>
      <c r="B294" s="14" t="s">
        <v>13</v>
      </c>
      <c r="H294" s="81"/>
      <c r="I294" s="81"/>
    </row>
    <row r="295" spans="1:9">
      <c r="A295" s="54">
        <v>50795</v>
      </c>
      <c r="B295" s="15" t="s">
        <v>10</v>
      </c>
      <c r="H295" s="81"/>
      <c r="I295" s="81"/>
    </row>
    <row r="296" spans="1:9">
      <c r="A296" s="53">
        <v>50825</v>
      </c>
      <c r="B296" s="14" t="s">
        <v>12</v>
      </c>
      <c r="H296" s="81"/>
      <c r="I296" s="81"/>
    </row>
    <row r="297" spans="1:9">
      <c r="A297" s="54">
        <v>50855</v>
      </c>
      <c r="B297" s="15" t="s">
        <v>14</v>
      </c>
      <c r="H297" s="81"/>
      <c r="I297" s="81"/>
    </row>
    <row r="298" spans="1:9">
      <c r="A298" s="53">
        <v>50885</v>
      </c>
      <c r="B298" s="14" t="s">
        <v>10</v>
      </c>
      <c r="H298" s="81"/>
      <c r="I298" s="81"/>
    </row>
    <row r="299" spans="1:9">
      <c r="A299" s="54">
        <v>50915</v>
      </c>
      <c r="B299" s="15" t="s">
        <v>13</v>
      </c>
      <c r="H299" s="81"/>
      <c r="I299" s="81"/>
    </row>
    <row r="300" spans="1:9">
      <c r="A300" s="53">
        <v>50945</v>
      </c>
      <c r="B300" s="14" t="s">
        <v>12</v>
      </c>
      <c r="H300" s="81"/>
      <c r="I300" s="81"/>
    </row>
    <row r="301" spans="1:9">
      <c r="A301" s="54">
        <v>50975</v>
      </c>
      <c r="B301" s="15" t="s">
        <v>13</v>
      </c>
      <c r="H301" s="81"/>
      <c r="I301" s="81"/>
    </row>
    <row r="302" spans="1:9">
      <c r="A302" s="53">
        <v>51005</v>
      </c>
      <c r="B302" s="14" t="s">
        <v>13</v>
      </c>
      <c r="H302" s="81"/>
      <c r="I302" s="81"/>
    </row>
    <row r="303" spans="1:9">
      <c r="A303" s="54">
        <v>51035</v>
      </c>
      <c r="B303" s="15" t="s">
        <v>10</v>
      </c>
      <c r="H303" s="81"/>
      <c r="I303" s="81"/>
    </row>
    <row r="304" spans="1:9">
      <c r="A304" s="53">
        <v>51065</v>
      </c>
      <c r="B304" s="14" t="s">
        <v>13</v>
      </c>
      <c r="H304" s="81"/>
      <c r="I304" s="81"/>
    </row>
    <row r="305" spans="1:9">
      <c r="A305" s="54">
        <v>51095</v>
      </c>
      <c r="B305" s="15" t="s">
        <v>10</v>
      </c>
      <c r="H305" s="81"/>
      <c r="I305" s="81"/>
    </row>
    <row r="306" spans="1:9">
      <c r="A306" s="53">
        <v>51125</v>
      </c>
      <c r="B306" s="14" t="s">
        <v>14</v>
      </c>
      <c r="H306" s="81"/>
      <c r="I306" s="81"/>
    </row>
    <row r="307" spans="1:9">
      <c r="A307" s="54">
        <v>51155</v>
      </c>
      <c r="B307" s="15" t="s">
        <v>13</v>
      </c>
      <c r="H307" s="81"/>
      <c r="I307" s="81"/>
    </row>
    <row r="308" spans="1:9">
      <c r="A308" s="53">
        <v>51185</v>
      </c>
      <c r="B308" s="14" t="s">
        <v>13</v>
      </c>
      <c r="H308" s="81"/>
      <c r="I308" s="81"/>
    </row>
    <row r="309" spans="1:9">
      <c r="A309" s="54">
        <v>51215</v>
      </c>
      <c r="B309" s="15" t="s">
        <v>13</v>
      </c>
      <c r="H309" s="81"/>
      <c r="I309" s="81"/>
    </row>
    <row r="310" spans="1:9">
      <c r="A310" s="53">
        <v>51245</v>
      </c>
      <c r="B310" s="14" t="s">
        <v>11</v>
      </c>
      <c r="H310" s="81"/>
      <c r="I310" s="81"/>
    </row>
    <row r="311" spans="1:9">
      <c r="A311" s="54">
        <v>51275</v>
      </c>
      <c r="B311" s="15" t="s">
        <v>11</v>
      </c>
      <c r="H311" s="81"/>
      <c r="I311" s="81"/>
    </row>
    <row r="312" spans="1:9">
      <c r="A312" s="53">
        <v>51305</v>
      </c>
      <c r="B312" s="14" t="s">
        <v>12</v>
      </c>
      <c r="H312" s="81"/>
      <c r="I312" s="81"/>
    </row>
    <row r="313" spans="1:9">
      <c r="A313" s="54">
        <v>51335</v>
      </c>
      <c r="B313" s="15" t="s">
        <v>11</v>
      </c>
      <c r="H313" s="81"/>
      <c r="I313" s="81"/>
    </row>
    <row r="314" spans="1:9">
      <c r="A314" s="53">
        <v>51365</v>
      </c>
      <c r="B314" s="14" t="s">
        <v>12</v>
      </c>
      <c r="H314" s="81"/>
      <c r="I314" s="81"/>
    </row>
    <row r="315" spans="1:9">
      <c r="A315" s="54">
        <v>51395</v>
      </c>
      <c r="B315" s="15" t="s">
        <v>11</v>
      </c>
      <c r="H315" s="81"/>
      <c r="I315" s="81"/>
    </row>
    <row r="316" spans="1:9">
      <c r="A316" s="53">
        <v>51425</v>
      </c>
      <c r="B316" s="14" t="s">
        <v>14</v>
      </c>
      <c r="H316" s="81"/>
      <c r="I316" s="81"/>
    </row>
    <row r="317" spans="1:9">
      <c r="A317" s="54">
        <v>51455</v>
      </c>
      <c r="B317" s="15" t="s">
        <v>12</v>
      </c>
      <c r="H317" s="81"/>
      <c r="I317" s="81"/>
    </row>
    <row r="318" spans="1:9">
      <c r="A318" s="53">
        <v>51485</v>
      </c>
      <c r="B318" s="14" t="s">
        <v>11</v>
      </c>
      <c r="H318" s="81"/>
      <c r="I318" s="81"/>
    </row>
    <row r="319" spans="1:9">
      <c r="A319" s="54">
        <v>51515</v>
      </c>
      <c r="B319" s="15" t="s">
        <v>14</v>
      </c>
      <c r="H319" s="81"/>
      <c r="I319" s="81"/>
    </row>
    <row r="320" spans="1:9">
      <c r="A320" s="53">
        <v>51545</v>
      </c>
      <c r="B320" s="14" t="s">
        <v>11</v>
      </c>
      <c r="H320" s="81"/>
      <c r="I320" s="81"/>
    </row>
    <row r="321" spans="1:9">
      <c r="A321" s="54">
        <v>51575</v>
      </c>
      <c r="B321" s="15" t="s">
        <v>10</v>
      </c>
      <c r="H321" s="81"/>
      <c r="I321" s="81"/>
    </row>
    <row r="322" spans="1:9">
      <c r="A322" s="53">
        <v>51605</v>
      </c>
      <c r="B322" s="14" t="s">
        <v>10</v>
      </c>
      <c r="H322" s="81"/>
      <c r="I322" s="81"/>
    </row>
    <row r="323" spans="1:9">
      <c r="A323" s="54">
        <v>51635</v>
      </c>
      <c r="B323" s="15" t="s">
        <v>14</v>
      </c>
      <c r="H323" s="81"/>
      <c r="I323" s="81"/>
    </row>
    <row r="324" spans="1:9">
      <c r="A324" s="53">
        <v>51665</v>
      </c>
      <c r="B324" s="14" t="s">
        <v>13</v>
      </c>
      <c r="H324" s="81"/>
      <c r="I324" s="81"/>
    </row>
    <row r="325" spans="1:9">
      <c r="A325" s="54">
        <v>51695</v>
      </c>
      <c r="B325" s="15" t="s">
        <v>13</v>
      </c>
      <c r="H325" s="81"/>
      <c r="I325" s="81"/>
    </row>
    <row r="326" spans="1:9">
      <c r="A326" s="53">
        <v>51725</v>
      </c>
      <c r="B326" s="14" t="s">
        <v>10</v>
      </c>
      <c r="H326" s="81"/>
      <c r="I326" s="81"/>
    </row>
    <row r="327" spans="1:9">
      <c r="A327" s="54">
        <v>51755</v>
      </c>
      <c r="B327" s="15" t="s">
        <v>10</v>
      </c>
      <c r="H327" s="81"/>
      <c r="I327" s="81"/>
    </row>
    <row r="328" spans="1:9">
      <c r="A328" s="53">
        <v>51785</v>
      </c>
      <c r="B328" s="14" t="s">
        <v>13</v>
      </c>
      <c r="H328" s="81"/>
      <c r="I328" s="81"/>
    </row>
    <row r="329" spans="1:9">
      <c r="A329" s="54">
        <v>51815</v>
      </c>
      <c r="B329" s="15" t="s">
        <v>12</v>
      </c>
      <c r="H329" s="81"/>
      <c r="I329" s="81"/>
    </row>
    <row r="330" spans="1:9">
      <c r="A330" s="53">
        <v>51845</v>
      </c>
      <c r="B330" s="14" t="s">
        <v>13</v>
      </c>
      <c r="H330" s="81"/>
      <c r="I330" s="81"/>
    </row>
    <row r="331" spans="1:9">
      <c r="A331" s="54">
        <v>51875</v>
      </c>
      <c r="B331" s="15" t="s">
        <v>11</v>
      </c>
      <c r="H331" s="81"/>
      <c r="I331" s="81"/>
    </row>
    <row r="332" spans="1:9">
      <c r="A332" s="53">
        <v>51905</v>
      </c>
      <c r="B332" s="14" t="s">
        <v>12</v>
      </c>
      <c r="H332" s="81"/>
      <c r="I332" s="81"/>
    </row>
    <row r="333" spans="1:9">
      <c r="A333" s="54">
        <v>51935</v>
      </c>
      <c r="B333" s="15" t="s">
        <v>11</v>
      </c>
      <c r="H333" s="81"/>
      <c r="I333" s="81"/>
    </row>
    <row r="334" spans="1:9">
      <c r="A334" s="53">
        <v>51965</v>
      </c>
      <c r="B334" s="14" t="s">
        <v>10</v>
      </c>
      <c r="H334" s="81"/>
      <c r="I334" s="81"/>
    </row>
    <row r="335" spans="1:9">
      <c r="A335" s="54">
        <v>51995</v>
      </c>
      <c r="B335" s="15" t="s">
        <v>12</v>
      </c>
      <c r="H335" s="81"/>
      <c r="I335" s="81"/>
    </row>
    <row r="336" spans="1:9">
      <c r="A336" s="53">
        <v>52025</v>
      </c>
      <c r="B336" s="14" t="s">
        <v>11</v>
      </c>
      <c r="H336" s="81"/>
      <c r="I336" s="81"/>
    </row>
    <row r="337" spans="1:9">
      <c r="A337" s="54">
        <v>52055</v>
      </c>
      <c r="B337" s="15" t="s">
        <v>11</v>
      </c>
      <c r="H337" s="81"/>
      <c r="I337" s="81"/>
    </row>
    <row r="338" spans="1:9">
      <c r="A338" s="53">
        <v>52085</v>
      </c>
      <c r="B338" s="14" t="s">
        <v>12</v>
      </c>
      <c r="H338" s="81"/>
      <c r="I338" s="81"/>
    </row>
    <row r="339" spans="1:9">
      <c r="A339" s="54">
        <v>52115</v>
      </c>
      <c r="B339" s="15" t="s">
        <v>14</v>
      </c>
      <c r="H339" s="81"/>
      <c r="I339" s="81"/>
    </row>
    <row r="340" spans="1:9">
      <c r="A340" s="53">
        <v>52145</v>
      </c>
      <c r="B340" s="14" t="s">
        <v>13</v>
      </c>
      <c r="H340" s="81"/>
      <c r="I340" s="81"/>
    </row>
    <row r="341" spans="1:9">
      <c r="A341" s="54">
        <v>52175</v>
      </c>
      <c r="B341" s="15" t="s">
        <v>11</v>
      </c>
      <c r="H341" s="81"/>
      <c r="I341" s="81"/>
    </row>
    <row r="342" spans="1:9">
      <c r="A342" s="53">
        <v>52205</v>
      </c>
      <c r="B342" s="14" t="s">
        <v>13</v>
      </c>
      <c r="H342" s="81"/>
      <c r="I342" s="81"/>
    </row>
    <row r="343" spans="1:9">
      <c r="A343" s="54">
        <v>52235</v>
      </c>
      <c r="B343" s="15" t="s">
        <v>13</v>
      </c>
      <c r="H343" s="81"/>
      <c r="I343" s="81"/>
    </row>
    <row r="344" spans="1:9">
      <c r="A344" s="53">
        <v>52265</v>
      </c>
      <c r="B344" s="14" t="s">
        <v>10</v>
      </c>
      <c r="H344" s="81"/>
      <c r="I344" s="81"/>
    </row>
    <row r="345" spans="1:9">
      <c r="A345" s="54">
        <v>52295</v>
      </c>
      <c r="B345" s="15" t="s">
        <v>13</v>
      </c>
      <c r="H345" s="81"/>
      <c r="I345" s="81"/>
    </row>
    <row r="346" spans="1:9">
      <c r="A346" s="53">
        <v>52325</v>
      </c>
      <c r="B346" s="14" t="s">
        <v>11</v>
      </c>
      <c r="H346" s="81"/>
      <c r="I346" s="81"/>
    </row>
    <row r="347" spans="1:9">
      <c r="A347" s="54">
        <v>52355</v>
      </c>
      <c r="B347" s="15" t="s">
        <v>10</v>
      </c>
      <c r="H347" s="81"/>
      <c r="I347" s="81"/>
    </row>
    <row r="348" spans="1:9">
      <c r="A348" s="53">
        <v>52385</v>
      </c>
      <c r="B348" s="14" t="s">
        <v>12</v>
      </c>
      <c r="H348" s="81"/>
      <c r="I348" s="81"/>
    </row>
    <row r="349" spans="1:9">
      <c r="A349" s="54">
        <v>52415</v>
      </c>
      <c r="B349" s="15" t="s">
        <v>11</v>
      </c>
      <c r="H349" s="81"/>
      <c r="I349" s="81"/>
    </row>
    <row r="350" spans="1:9">
      <c r="A350" s="53">
        <v>52445</v>
      </c>
      <c r="B350" s="14" t="s">
        <v>10</v>
      </c>
      <c r="H350" s="81"/>
      <c r="I350" s="81"/>
    </row>
    <row r="351" spans="1:9">
      <c r="A351" s="54">
        <v>52475</v>
      </c>
      <c r="B351" s="15" t="s">
        <v>10</v>
      </c>
      <c r="H351" s="81"/>
      <c r="I351" s="81"/>
    </row>
    <row r="352" spans="1:9">
      <c r="A352" s="53">
        <v>52505</v>
      </c>
      <c r="B352" s="14" t="s">
        <v>13</v>
      </c>
      <c r="H352" s="81"/>
      <c r="I352" s="81"/>
    </row>
    <row r="353" spans="1:9">
      <c r="A353" s="54">
        <v>52535</v>
      </c>
      <c r="B353" s="15" t="s">
        <v>12</v>
      </c>
      <c r="H353" s="81"/>
      <c r="I353" s="81"/>
    </row>
    <row r="354" spans="1:9">
      <c r="A354" s="53">
        <v>52565</v>
      </c>
      <c r="B354" s="14" t="s">
        <v>11</v>
      </c>
      <c r="H354" s="81"/>
      <c r="I354" s="81"/>
    </row>
    <row r="355" spans="1:9">
      <c r="A355" s="54">
        <v>52595</v>
      </c>
      <c r="B355" s="15" t="s">
        <v>11</v>
      </c>
      <c r="H355" s="81"/>
      <c r="I355" s="81"/>
    </row>
    <row r="356" spans="1:9">
      <c r="A356" s="53">
        <v>52625</v>
      </c>
      <c r="B356" s="14" t="s">
        <v>13</v>
      </c>
      <c r="H356" s="81"/>
      <c r="I356" s="81"/>
    </row>
    <row r="357" spans="1:9">
      <c r="A357" s="54">
        <v>52655</v>
      </c>
      <c r="B357" s="15" t="s">
        <v>12</v>
      </c>
      <c r="H357" s="81"/>
      <c r="I357" s="81"/>
    </row>
    <row r="358" spans="1:9">
      <c r="A358" s="53">
        <v>52685</v>
      </c>
      <c r="B358" s="14" t="s">
        <v>11</v>
      </c>
      <c r="H358" s="81"/>
      <c r="I358" s="81"/>
    </row>
    <row r="359" spans="1:9">
      <c r="A359" s="54">
        <v>52715</v>
      </c>
      <c r="B359" s="15" t="s">
        <v>12</v>
      </c>
      <c r="H359" s="81"/>
      <c r="I359" s="81"/>
    </row>
    <row r="360" spans="1:9">
      <c r="A360" s="53">
        <v>52745</v>
      </c>
      <c r="B360" s="14" t="s">
        <v>11</v>
      </c>
      <c r="H360" s="81"/>
      <c r="I360" s="81"/>
    </row>
    <row r="361" spans="1:9">
      <c r="A361" s="54">
        <v>52775</v>
      </c>
      <c r="B361" s="15" t="s">
        <v>13</v>
      </c>
      <c r="H361" s="81"/>
      <c r="I361" s="81"/>
    </row>
    <row r="362" spans="1:9">
      <c r="A362" s="53">
        <v>52805</v>
      </c>
      <c r="B362" s="14" t="s">
        <v>14</v>
      </c>
      <c r="H362" s="81"/>
      <c r="I362" s="81"/>
    </row>
    <row r="363" spans="1:9">
      <c r="A363" s="54">
        <v>52835</v>
      </c>
      <c r="B363" s="15" t="s">
        <v>11</v>
      </c>
      <c r="H363" s="81"/>
      <c r="I363" s="81"/>
    </row>
    <row r="364" spans="1:9">
      <c r="A364" s="53">
        <v>52865</v>
      </c>
      <c r="B364" s="14" t="s">
        <v>10</v>
      </c>
      <c r="H364" s="81"/>
      <c r="I364" s="81"/>
    </row>
    <row r="365" spans="1:9">
      <c r="A365" s="54">
        <v>52895</v>
      </c>
      <c r="B365" s="15" t="s">
        <v>10</v>
      </c>
      <c r="H365" s="81"/>
      <c r="I365" s="81"/>
    </row>
    <row r="366" spans="1:9">
      <c r="A366" s="53">
        <v>52925</v>
      </c>
      <c r="B366" s="14" t="s">
        <v>14</v>
      </c>
      <c r="H366" s="81"/>
      <c r="I366" s="81"/>
    </row>
    <row r="367" spans="1:9">
      <c r="A367" s="54">
        <v>52955</v>
      </c>
      <c r="B367" s="15" t="s">
        <v>11</v>
      </c>
      <c r="H367" s="81"/>
      <c r="I367" s="81"/>
    </row>
    <row r="368" spans="1:9">
      <c r="A368" s="53">
        <v>52985</v>
      </c>
      <c r="B368" s="14" t="s">
        <v>10</v>
      </c>
      <c r="H368" s="81"/>
      <c r="I368" s="81"/>
    </row>
    <row r="369" spans="1:9">
      <c r="A369" s="54">
        <v>53015</v>
      </c>
      <c r="B369" s="15" t="s">
        <v>10</v>
      </c>
      <c r="H369" s="81"/>
      <c r="I369" s="81"/>
    </row>
    <row r="370" spans="1:9">
      <c r="A370" s="53">
        <v>53045</v>
      </c>
      <c r="B370" s="14" t="s">
        <v>11</v>
      </c>
      <c r="H370" s="81"/>
      <c r="I370" s="81"/>
    </row>
    <row r="371" spans="1:9">
      <c r="A371" s="54">
        <v>53075</v>
      </c>
      <c r="B371" s="15" t="s">
        <v>12</v>
      </c>
      <c r="H371" s="81"/>
      <c r="I371" s="81"/>
    </row>
    <row r="372" spans="1:9">
      <c r="A372" s="53">
        <v>53105</v>
      </c>
      <c r="B372" s="14" t="s">
        <v>11</v>
      </c>
      <c r="H372" s="81"/>
      <c r="I372" s="81"/>
    </row>
    <row r="373" spans="1:9">
      <c r="A373" s="54">
        <v>53135</v>
      </c>
      <c r="B373" s="15" t="s">
        <v>12</v>
      </c>
      <c r="H373" s="81"/>
      <c r="I373" s="81"/>
    </row>
    <row r="374" spans="1:9">
      <c r="A374" s="53">
        <v>53165</v>
      </c>
      <c r="B374" s="14" t="s">
        <v>14</v>
      </c>
      <c r="H374" s="81"/>
      <c r="I374" s="81"/>
    </row>
    <row r="375" spans="1:9">
      <c r="A375" s="54">
        <v>53195</v>
      </c>
      <c r="B375" s="15" t="s">
        <v>13</v>
      </c>
      <c r="H375" s="81"/>
      <c r="I375" s="81"/>
    </row>
    <row r="376" spans="1:9">
      <c r="A376" s="53">
        <v>53225</v>
      </c>
      <c r="B376" s="14" t="s">
        <v>14</v>
      </c>
      <c r="H376" s="81"/>
      <c r="I376" s="81"/>
    </row>
    <row r="377" spans="1:9">
      <c r="A377" s="54">
        <v>53255</v>
      </c>
      <c r="B377" s="15" t="s">
        <v>13</v>
      </c>
      <c r="H377" s="81"/>
      <c r="I377" s="81"/>
    </row>
    <row r="378" spans="1:9">
      <c r="A378" s="53">
        <v>53285</v>
      </c>
      <c r="B378" s="14" t="s">
        <v>10</v>
      </c>
      <c r="H378" s="81"/>
      <c r="I378" s="81"/>
    </row>
    <row r="379" spans="1:9">
      <c r="A379" s="54">
        <v>53315</v>
      </c>
      <c r="B379" s="15" t="s">
        <v>10</v>
      </c>
      <c r="H379" s="81"/>
      <c r="I379" s="81"/>
    </row>
    <row r="380" spans="1:9">
      <c r="A380" s="53">
        <v>53345</v>
      </c>
      <c r="B380" s="14" t="s">
        <v>10</v>
      </c>
      <c r="H380" s="81"/>
      <c r="I380" s="81"/>
    </row>
    <row r="381" spans="1:9">
      <c r="A381" s="54">
        <v>53375</v>
      </c>
      <c r="B381" s="15" t="s">
        <v>12</v>
      </c>
      <c r="H381" s="81"/>
      <c r="I381" s="81"/>
    </row>
    <row r="382" spans="1:9">
      <c r="A382" s="53">
        <v>53405</v>
      </c>
      <c r="B382" s="14" t="s">
        <v>13</v>
      </c>
      <c r="H382" s="81"/>
      <c r="I382" s="81"/>
    </row>
    <row r="383" spans="1:9">
      <c r="A383" s="54">
        <v>53435</v>
      </c>
      <c r="B383" s="15" t="s">
        <v>10</v>
      </c>
      <c r="H383" s="81"/>
      <c r="I383" s="81"/>
    </row>
    <row r="384" spans="1:9">
      <c r="A384" s="53">
        <v>53465</v>
      </c>
      <c r="B384" s="14" t="s">
        <v>11</v>
      </c>
      <c r="H384" s="81"/>
      <c r="I384" s="81"/>
    </row>
    <row r="385" spans="1:9">
      <c r="A385" s="54">
        <v>53495</v>
      </c>
      <c r="B385" s="15" t="s">
        <v>13</v>
      </c>
      <c r="H385" s="81"/>
      <c r="I385" s="81"/>
    </row>
    <row r="386" spans="1:9">
      <c r="A386" s="53">
        <v>53525</v>
      </c>
      <c r="B386" s="14" t="s">
        <v>13</v>
      </c>
      <c r="H386" s="81"/>
      <c r="I386" s="81"/>
    </row>
    <row r="387" spans="1:9">
      <c r="A387" s="54">
        <v>53555</v>
      </c>
      <c r="B387" s="15" t="s">
        <v>12</v>
      </c>
      <c r="H387" s="81"/>
      <c r="I387" s="81"/>
    </row>
    <row r="388" spans="1:9">
      <c r="A388" s="53">
        <v>53585</v>
      </c>
      <c r="B388" s="14" t="s">
        <v>14</v>
      </c>
      <c r="H388" s="81"/>
      <c r="I388" s="81"/>
    </row>
    <row r="389" spans="1:9">
      <c r="A389" s="54">
        <v>53615</v>
      </c>
      <c r="B389" s="15" t="s">
        <v>12</v>
      </c>
      <c r="H389" s="81"/>
      <c r="I389" s="81"/>
    </row>
    <row r="390" spans="1:9">
      <c r="A390" s="53">
        <v>53645</v>
      </c>
      <c r="B390" s="14" t="s">
        <v>10</v>
      </c>
      <c r="H390" s="81"/>
      <c r="I390" s="81"/>
    </row>
    <row r="391" spans="1:9">
      <c r="A391" s="54">
        <v>53675</v>
      </c>
      <c r="B391" s="15" t="s">
        <v>11</v>
      </c>
      <c r="H391" s="81"/>
      <c r="I391" s="81"/>
    </row>
    <row r="392" spans="1:9">
      <c r="A392" s="53">
        <v>53705</v>
      </c>
      <c r="B392" s="14" t="s">
        <v>11</v>
      </c>
      <c r="H392" s="81"/>
      <c r="I392" s="81"/>
    </row>
    <row r="393" spans="1:9">
      <c r="A393" s="54">
        <v>53735</v>
      </c>
      <c r="B393" s="15" t="s">
        <v>10</v>
      </c>
      <c r="H393" s="81"/>
      <c r="I393" s="81"/>
    </row>
    <row r="394" spans="1:9">
      <c r="A394" s="53">
        <v>53765</v>
      </c>
      <c r="B394" s="14" t="s">
        <v>11</v>
      </c>
      <c r="H394" s="81"/>
      <c r="I394" s="81"/>
    </row>
    <row r="395" spans="1:9">
      <c r="A395" s="54">
        <v>53795</v>
      </c>
      <c r="B395" s="15" t="s">
        <v>12</v>
      </c>
      <c r="H395" s="81"/>
      <c r="I395" s="81"/>
    </row>
    <row r="396" spans="1:9">
      <c r="A396" s="53">
        <v>53825</v>
      </c>
      <c r="B396" s="14" t="s">
        <v>12</v>
      </c>
      <c r="H396" s="81"/>
      <c r="I396" s="81"/>
    </row>
    <row r="397" spans="1:9">
      <c r="A397" s="54">
        <v>53855</v>
      </c>
      <c r="B397" s="15" t="s">
        <v>10</v>
      </c>
      <c r="H397" s="81"/>
      <c r="I397" s="81"/>
    </row>
    <row r="398" spans="1:9">
      <c r="A398" s="53">
        <v>53885</v>
      </c>
      <c r="B398" s="14" t="s">
        <v>11</v>
      </c>
      <c r="H398" s="81"/>
      <c r="I398" s="81"/>
    </row>
    <row r="399" spans="1:9">
      <c r="A399" s="54">
        <v>53915</v>
      </c>
      <c r="B399" s="15" t="s">
        <v>13</v>
      </c>
      <c r="H399" s="81"/>
      <c r="I399" s="81"/>
    </row>
    <row r="400" spans="1:9">
      <c r="A400" s="53">
        <v>53945</v>
      </c>
      <c r="B400" s="14" t="s">
        <v>14</v>
      </c>
      <c r="H400" s="81"/>
      <c r="I400" s="81"/>
    </row>
    <row r="401" spans="1:9">
      <c r="A401" s="54">
        <v>53975</v>
      </c>
      <c r="B401" s="15" t="s">
        <v>13</v>
      </c>
      <c r="H401" s="81"/>
      <c r="I401" s="81"/>
    </row>
    <row r="402" spans="1:9">
      <c r="A402" s="53">
        <v>54005</v>
      </c>
      <c r="B402" s="14" t="s">
        <v>12</v>
      </c>
      <c r="H402" s="81"/>
      <c r="I402" s="81"/>
    </row>
    <row r="403" spans="1:9">
      <c r="A403" s="54">
        <v>54035</v>
      </c>
      <c r="B403" s="15" t="s">
        <v>12</v>
      </c>
      <c r="H403" s="81"/>
      <c r="I403" s="81"/>
    </row>
    <row r="404" spans="1:9">
      <c r="A404" s="53">
        <v>54065</v>
      </c>
      <c r="B404" s="14" t="s">
        <v>12</v>
      </c>
      <c r="H404" s="81"/>
      <c r="I404" s="81"/>
    </row>
    <row r="405" spans="1:9">
      <c r="A405" s="54">
        <v>54095</v>
      </c>
      <c r="B405" s="15" t="s">
        <v>12</v>
      </c>
      <c r="H405" s="81"/>
      <c r="I405" s="81"/>
    </row>
    <row r="406" spans="1:9">
      <c r="A406" s="53">
        <v>54125</v>
      </c>
      <c r="B406" s="14" t="s">
        <v>14</v>
      </c>
      <c r="H406" s="81"/>
      <c r="I406" s="81"/>
    </row>
    <row r="407" spans="1:9">
      <c r="A407" s="54">
        <v>54155</v>
      </c>
      <c r="B407" s="15" t="s">
        <v>10</v>
      </c>
      <c r="H407" s="81"/>
      <c r="I407" s="81"/>
    </row>
    <row r="408" spans="1:9">
      <c r="A408" s="53">
        <v>54185</v>
      </c>
      <c r="B408" s="14" t="s">
        <v>12</v>
      </c>
      <c r="H408" s="81"/>
      <c r="I408" s="81"/>
    </row>
    <row r="409" spans="1:9">
      <c r="A409" s="54">
        <v>54215</v>
      </c>
      <c r="B409" s="15" t="s">
        <v>11</v>
      </c>
      <c r="H409" s="81"/>
      <c r="I409" s="81"/>
    </row>
    <row r="410" spans="1:9">
      <c r="A410" s="53">
        <v>54245</v>
      </c>
      <c r="B410" s="14" t="s">
        <v>14</v>
      </c>
      <c r="H410" s="81"/>
      <c r="I410" s="81"/>
    </row>
    <row r="411" spans="1:9">
      <c r="A411" s="54">
        <v>54275</v>
      </c>
      <c r="B411" s="15" t="s">
        <v>12</v>
      </c>
      <c r="H411" s="81"/>
      <c r="I411" s="81"/>
    </row>
    <row r="412" spans="1:9">
      <c r="A412" s="53">
        <v>54305</v>
      </c>
      <c r="B412" s="14" t="s">
        <v>11</v>
      </c>
      <c r="H412" s="81"/>
      <c r="I412" s="81"/>
    </row>
    <row r="413" spans="1:9">
      <c r="A413" s="54">
        <v>54335</v>
      </c>
      <c r="B413" s="15" t="s">
        <v>12</v>
      </c>
      <c r="H413" s="81"/>
      <c r="I413" s="81"/>
    </row>
    <row r="414" spans="1:9">
      <c r="A414" s="53">
        <v>54365</v>
      </c>
      <c r="B414" s="14" t="s">
        <v>10</v>
      </c>
      <c r="H414" s="81"/>
      <c r="I414" s="81"/>
    </row>
    <row r="415" spans="1:9">
      <c r="A415" s="54">
        <v>54395</v>
      </c>
      <c r="B415" s="15" t="s">
        <v>14</v>
      </c>
      <c r="H415" s="81"/>
      <c r="I415" s="81"/>
    </row>
    <row r="416" spans="1:9">
      <c r="A416" s="53">
        <v>54425</v>
      </c>
      <c r="B416" s="14" t="s">
        <v>10</v>
      </c>
      <c r="H416" s="81"/>
      <c r="I416" s="81"/>
    </row>
    <row r="417" spans="1:9">
      <c r="A417" s="54">
        <v>54455</v>
      </c>
      <c r="B417" s="15" t="s">
        <v>14</v>
      </c>
      <c r="H417" s="81"/>
      <c r="I417" s="81"/>
    </row>
    <row r="418" spans="1:9">
      <c r="A418" s="53">
        <v>54485</v>
      </c>
      <c r="B418" s="14" t="s">
        <v>12</v>
      </c>
      <c r="H418" s="81"/>
      <c r="I418" s="81"/>
    </row>
    <row r="419" spans="1:9">
      <c r="A419" s="54">
        <v>54515</v>
      </c>
      <c r="B419" s="15" t="s">
        <v>12</v>
      </c>
      <c r="H419" s="81"/>
      <c r="I419" s="81"/>
    </row>
    <row r="420" spans="1:9">
      <c r="A420" s="53">
        <v>54545</v>
      </c>
      <c r="B420" s="14" t="s">
        <v>14</v>
      </c>
      <c r="H420" s="81"/>
      <c r="I420" s="81"/>
    </row>
    <row r="421" spans="1:9">
      <c r="A421" s="54">
        <v>54575</v>
      </c>
      <c r="B421" s="15" t="s">
        <v>11</v>
      </c>
      <c r="H421" s="81"/>
      <c r="I421" s="81"/>
    </row>
    <row r="422" spans="1:9">
      <c r="A422" s="53">
        <v>54605</v>
      </c>
      <c r="B422" s="14" t="s">
        <v>11</v>
      </c>
      <c r="H422" s="81"/>
      <c r="I422" s="81"/>
    </row>
    <row r="423" spans="1:9">
      <c r="A423" s="54">
        <v>54635</v>
      </c>
      <c r="B423" s="15" t="s">
        <v>12</v>
      </c>
      <c r="H423" s="81"/>
      <c r="I423" s="81"/>
    </row>
    <row r="424" spans="1:9">
      <c r="A424" s="53">
        <v>54665</v>
      </c>
      <c r="B424" s="14" t="s">
        <v>12</v>
      </c>
      <c r="H424" s="81"/>
      <c r="I424" s="81"/>
    </row>
    <row r="425" spans="1:9">
      <c r="A425" s="54">
        <v>54695</v>
      </c>
      <c r="B425" s="15" t="s">
        <v>10</v>
      </c>
      <c r="H425" s="81"/>
      <c r="I425" s="81"/>
    </row>
    <row r="426" spans="1:9">
      <c r="A426" s="53">
        <v>54725</v>
      </c>
      <c r="B426" s="14" t="s">
        <v>12</v>
      </c>
      <c r="H426" s="81"/>
      <c r="I426" s="81"/>
    </row>
    <row r="427" spans="1:9">
      <c r="A427" s="54">
        <v>54755</v>
      </c>
      <c r="B427" s="15" t="s">
        <v>14</v>
      </c>
      <c r="H427" s="81"/>
      <c r="I427" s="81"/>
    </row>
    <row r="428" spans="1:9">
      <c r="A428" s="53">
        <v>54785</v>
      </c>
      <c r="B428" s="14" t="s">
        <v>11</v>
      </c>
      <c r="H428" s="81"/>
      <c r="I428" s="81"/>
    </row>
    <row r="429" spans="1:9">
      <c r="A429" s="54">
        <v>54815</v>
      </c>
      <c r="B429" s="15" t="s">
        <v>11</v>
      </c>
      <c r="H429" s="81"/>
      <c r="I429" s="81"/>
    </row>
    <row r="430" spans="1:9">
      <c r="A430" s="53">
        <v>54845</v>
      </c>
      <c r="B430" s="14" t="s">
        <v>10</v>
      </c>
      <c r="H430" s="81"/>
      <c r="I430" s="81"/>
    </row>
    <row r="431" spans="1:9">
      <c r="A431" s="54">
        <v>54875</v>
      </c>
      <c r="B431" s="15" t="s">
        <v>11</v>
      </c>
      <c r="H431" s="81"/>
      <c r="I431" s="81"/>
    </row>
    <row r="432" spans="1:9">
      <c r="A432" s="53">
        <v>54905</v>
      </c>
      <c r="B432" s="14" t="s">
        <v>11</v>
      </c>
      <c r="H432" s="81"/>
      <c r="I432" s="81"/>
    </row>
    <row r="433" spans="1:9">
      <c r="A433" s="54">
        <v>54935</v>
      </c>
      <c r="B433" s="15" t="s">
        <v>13</v>
      </c>
      <c r="H433" s="81"/>
      <c r="I433" s="81"/>
    </row>
    <row r="434" spans="1:9">
      <c r="A434" s="53">
        <v>54965</v>
      </c>
      <c r="B434" s="14" t="s">
        <v>14</v>
      </c>
      <c r="H434" s="81"/>
      <c r="I434" s="81"/>
    </row>
    <row r="435" spans="1:9">
      <c r="A435" s="54">
        <v>54995</v>
      </c>
      <c r="B435" s="15" t="s">
        <v>13</v>
      </c>
      <c r="H435" s="81"/>
      <c r="I435" s="81"/>
    </row>
    <row r="436" spans="1:9">
      <c r="A436" s="53">
        <v>55025</v>
      </c>
      <c r="B436" s="14" t="s">
        <v>11</v>
      </c>
      <c r="H436" s="81"/>
      <c r="I436" s="81"/>
    </row>
    <row r="437" spans="1:9">
      <c r="A437" s="54">
        <v>55055</v>
      </c>
      <c r="B437" s="15" t="s">
        <v>10</v>
      </c>
      <c r="H437" s="81"/>
      <c r="I437" s="81"/>
    </row>
    <row r="438" spans="1:9">
      <c r="A438" s="53">
        <v>55085</v>
      </c>
      <c r="B438" s="14" t="s">
        <v>10</v>
      </c>
      <c r="H438" s="81"/>
      <c r="I438" s="81"/>
    </row>
    <row r="439" spans="1:9">
      <c r="A439" s="54">
        <v>55115</v>
      </c>
      <c r="B439" s="15" t="s">
        <v>11</v>
      </c>
      <c r="H439" s="81"/>
      <c r="I439" s="81"/>
    </row>
    <row r="440" spans="1:9">
      <c r="A440" s="53">
        <v>55145</v>
      </c>
      <c r="B440" s="14" t="s">
        <v>12</v>
      </c>
      <c r="H440" s="81"/>
      <c r="I440" s="81"/>
    </row>
    <row r="441" spans="1:9">
      <c r="A441" s="54">
        <v>55175</v>
      </c>
      <c r="B441" s="15" t="s">
        <v>13</v>
      </c>
      <c r="H441" s="81"/>
      <c r="I441" s="81"/>
    </row>
    <row r="442" spans="1:9">
      <c r="A442" s="53">
        <v>55205</v>
      </c>
      <c r="B442" s="14" t="s">
        <v>11</v>
      </c>
      <c r="H442" s="81"/>
      <c r="I442" s="81"/>
    </row>
    <row r="443" spans="1:9">
      <c r="A443" s="54">
        <v>55235</v>
      </c>
      <c r="B443" s="15" t="s">
        <v>10</v>
      </c>
      <c r="H443" s="81"/>
      <c r="I443" s="81"/>
    </row>
    <row r="444" spans="1:9">
      <c r="A444" s="53">
        <v>55265</v>
      </c>
      <c r="B444" s="14" t="s">
        <v>10</v>
      </c>
      <c r="H444" s="81"/>
      <c r="I444" s="81"/>
    </row>
    <row r="445" spans="1:9">
      <c r="A445" s="54">
        <v>55295</v>
      </c>
      <c r="B445" s="15" t="s">
        <v>13</v>
      </c>
      <c r="H445" s="81"/>
      <c r="I445" s="81"/>
    </row>
    <row r="446" spans="1:9">
      <c r="A446" s="53">
        <v>55325</v>
      </c>
      <c r="B446" s="14" t="s">
        <v>14</v>
      </c>
      <c r="H446" s="81"/>
      <c r="I446" s="81"/>
    </row>
    <row r="447" spans="1:9">
      <c r="A447" s="54">
        <v>55355</v>
      </c>
      <c r="B447" s="15" t="s">
        <v>11</v>
      </c>
      <c r="H447" s="81"/>
      <c r="I447" s="81"/>
    </row>
    <row r="448" spans="1:9">
      <c r="A448" s="53">
        <v>55385</v>
      </c>
      <c r="B448" s="14" t="s">
        <v>11</v>
      </c>
      <c r="H448" s="81"/>
      <c r="I448" s="81"/>
    </row>
    <row r="449" spans="1:9">
      <c r="A449" s="54">
        <v>55415</v>
      </c>
      <c r="B449" s="15" t="s">
        <v>14</v>
      </c>
      <c r="H449" s="81"/>
      <c r="I449" s="81"/>
    </row>
    <row r="450" spans="1:9">
      <c r="A450" s="53">
        <v>55445</v>
      </c>
      <c r="B450" s="14" t="s">
        <v>13</v>
      </c>
      <c r="H450" s="81"/>
      <c r="I450" s="81"/>
    </row>
    <row r="451" spans="1:9">
      <c r="A451" s="54">
        <v>55475</v>
      </c>
      <c r="B451" s="15" t="s">
        <v>13</v>
      </c>
      <c r="H451" s="81"/>
      <c r="I451" s="81"/>
    </row>
    <row r="452" spans="1:9">
      <c r="A452" s="53">
        <v>55505</v>
      </c>
      <c r="B452" s="14" t="s">
        <v>10</v>
      </c>
      <c r="H452" s="81"/>
      <c r="I452" s="81"/>
    </row>
    <row r="453" spans="1:9">
      <c r="A453" s="54">
        <v>55535</v>
      </c>
      <c r="B453" s="15" t="s">
        <v>14</v>
      </c>
      <c r="H453" s="81"/>
      <c r="I453" s="81"/>
    </row>
    <row r="454" spans="1:9">
      <c r="A454" s="53">
        <v>55565</v>
      </c>
      <c r="B454" s="14" t="s">
        <v>13</v>
      </c>
      <c r="H454" s="81"/>
      <c r="I454" s="81"/>
    </row>
    <row r="455" spans="1:9">
      <c r="A455" s="54">
        <v>55595</v>
      </c>
      <c r="B455" s="15" t="s">
        <v>12</v>
      </c>
      <c r="H455" s="81"/>
      <c r="I455" s="81"/>
    </row>
    <row r="456" spans="1:9">
      <c r="A456" s="53">
        <v>55625</v>
      </c>
      <c r="B456" s="14" t="s">
        <v>11</v>
      </c>
      <c r="H456" s="81"/>
      <c r="I456" s="81"/>
    </row>
    <row r="457" spans="1:9">
      <c r="A457" s="54">
        <v>55655</v>
      </c>
      <c r="B457" s="15" t="s">
        <v>10</v>
      </c>
      <c r="H457" s="81"/>
      <c r="I457" s="81"/>
    </row>
    <row r="458" spans="1:9">
      <c r="A458" s="53">
        <v>55685</v>
      </c>
      <c r="B458" s="14" t="s">
        <v>14</v>
      </c>
      <c r="H458" s="81"/>
      <c r="I458" s="81"/>
    </row>
    <row r="459" spans="1:9">
      <c r="A459" s="54">
        <v>55715</v>
      </c>
      <c r="B459" s="15" t="s">
        <v>10</v>
      </c>
      <c r="H459" s="81"/>
      <c r="I459" s="81"/>
    </row>
    <row r="460" spans="1:9">
      <c r="A460" s="53">
        <v>55745</v>
      </c>
      <c r="B460" s="14" t="s">
        <v>13</v>
      </c>
      <c r="H460" s="81"/>
      <c r="I460" s="81"/>
    </row>
    <row r="461" spans="1:9">
      <c r="A461" s="54">
        <v>55775</v>
      </c>
      <c r="B461" s="15" t="s">
        <v>13</v>
      </c>
      <c r="H461" s="81"/>
      <c r="I461" s="81"/>
    </row>
    <row r="462" spans="1:9">
      <c r="A462" s="53">
        <v>55805</v>
      </c>
      <c r="B462" s="14" t="s">
        <v>12</v>
      </c>
      <c r="H462" s="81"/>
      <c r="I462" s="81"/>
    </row>
    <row r="463" spans="1:9">
      <c r="A463" s="54">
        <v>55835</v>
      </c>
      <c r="B463" s="15" t="s">
        <v>11</v>
      </c>
      <c r="H463" s="81"/>
      <c r="I463" s="81"/>
    </row>
    <row r="464" spans="1:9">
      <c r="A464" s="53">
        <v>55865</v>
      </c>
      <c r="B464" s="14" t="s">
        <v>14</v>
      </c>
      <c r="H464" s="81"/>
      <c r="I464" s="81"/>
    </row>
    <row r="465" spans="1:9">
      <c r="A465" s="54">
        <v>55895</v>
      </c>
      <c r="B465" s="15" t="s">
        <v>10</v>
      </c>
      <c r="H465" s="81"/>
      <c r="I465" s="81"/>
    </row>
    <row r="466" spans="1:9">
      <c r="A466" s="53">
        <v>55925</v>
      </c>
      <c r="B466" s="14" t="s">
        <v>11</v>
      </c>
      <c r="H466" s="81"/>
      <c r="I466" s="81"/>
    </row>
    <row r="467" spans="1:9">
      <c r="A467" s="54">
        <v>55955</v>
      </c>
      <c r="B467" s="15" t="s">
        <v>13</v>
      </c>
      <c r="H467" s="81"/>
      <c r="I467" s="81"/>
    </row>
    <row r="468" spans="1:9">
      <c r="A468" s="53">
        <v>55985</v>
      </c>
      <c r="B468" s="14" t="s">
        <v>11</v>
      </c>
      <c r="H468" s="81"/>
      <c r="I468" s="81"/>
    </row>
    <row r="469" spans="1:9">
      <c r="A469" s="54">
        <v>56015</v>
      </c>
      <c r="B469" s="15" t="s">
        <v>10</v>
      </c>
      <c r="H469" s="81"/>
      <c r="I469" s="81"/>
    </row>
    <row r="470" spans="1:9">
      <c r="A470" s="53">
        <v>56045</v>
      </c>
      <c r="B470" s="14" t="s">
        <v>11</v>
      </c>
      <c r="H470" s="81"/>
      <c r="I470" s="81"/>
    </row>
    <row r="471" spans="1:9">
      <c r="A471" s="54">
        <v>56075</v>
      </c>
      <c r="B471" s="15" t="s">
        <v>13</v>
      </c>
      <c r="H471" s="81"/>
      <c r="I471" s="81"/>
    </row>
    <row r="472" spans="1:9">
      <c r="A472" s="53">
        <v>56105</v>
      </c>
      <c r="B472" s="14" t="s">
        <v>11</v>
      </c>
      <c r="H472" s="81"/>
      <c r="I472" s="81"/>
    </row>
    <row r="473" spans="1:9">
      <c r="A473" s="54">
        <v>56135</v>
      </c>
      <c r="B473" s="15" t="s">
        <v>14</v>
      </c>
      <c r="H473" s="81"/>
      <c r="I473" s="81"/>
    </row>
    <row r="474" spans="1:9">
      <c r="A474" s="53">
        <v>56165</v>
      </c>
      <c r="B474" s="14" t="s">
        <v>11</v>
      </c>
      <c r="H474" s="81"/>
      <c r="I474" s="81"/>
    </row>
    <row r="475" spans="1:9">
      <c r="A475" s="54">
        <v>56195</v>
      </c>
      <c r="B475" s="15" t="s">
        <v>14</v>
      </c>
      <c r="H475" s="81"/>
      <c r="I475" s="81"/>
    </row>
    <row r="476" spans="1:9">
      <c r="A476" s="53">
        <v>56225</v>
      </c>
      <c r="B476" s="14" t="s">
        <v>11</v>
      </c>
      <c r="H476" s="81"/>
      <c r="I476" s="81"/>
    </row>
    <row r="477" spans="1:9">
      <c r="A477" s="54">
        <v>56255</v>
      </c>
      <c r="B477" s="15" t="s">
        <v>13</v>
      </c>
      <c r="H477" s="81"/>
      <c r="I477" s="81"/>
    </row>
    <row r="478" spans="1:9">
      <c r="A478" s="53">
        <v>56285</v>
      </c>
      <c r="B478" s="14" t="s">
        <v>12</v>
      </c>
      <c r="H478" s="81"/>
      <c r="I478" s="81"/>
    </row>
    <row r="479" spans="1:9">
      <c r="A479" s="54">
        <v>56315</v>
      </c>
      <c r="B479" s="15" t="s">
        <v>12</v>
      </c>
      <c r="H479" s="81"/>
      <c r="I479" s="81"/>
    </row>
    <row r="480" spans="1:9">
      <c r="A480" s="53">
        <v>56345</v>
      </c>
      <c r="B480" s="14" t="s">
        <v>14</v>
      </c>
      <c r="H480" s="81"/>
      <c r="I480" s="81"/>
    </row>
    <row r="481" spans="1:9">
      <c r="A481" s="54">
        <v>56375</v>
      </c>
      <c r="B481" s="15" t="s">
        <v>14</v>
      </c>
      <c r="H481" s="81"/>
      <c r="I481" s="81"/>
    </row>
    <row r="482" spans="1:9">
      <c r="A482" s="53">
        <v>56405</v>
      </c>
      <c r="B482" s="14" t="s">
        <v>12</v>
      </c>
      <c r="H482" s="81"/>
      <c r="I482" s="81"/>
    </row>
    <row r="483" spans="1:9">
      <c r="A483" s="54">
        <v>56435</v>
      </c>
      <c r="B483" s="15" t="s">
        <v>13</v>
      </c>
      <c r="H483" s="81"/>
      <c r="I483" s="81"/>
    </row>
    <row r="484" spans="1:9">
      <c r="A484" s="53">
        <v>56465</v>
      </c>
      <c r="B484" s="14" t="s">
        <v>13</v>
      </c>
      <c r="H484" s="81"/>
      <c r="I484" s="81"/>
    </row>
    <row r="485" spans="1:9">
      <c r="A485" s="54">
        <v>56495</v>
      </c>
      <c r="B485" s="15" t="s">
        <v>11</v>
      </c>
      <c r="H485" s="81"/>
      <c r="I485" s="81"/>
    </row>
    <row r="486" spans="1:9">
      <c r="A486" s="53">
        <v>56525</v>
      </c>
      <c r="B486" s="14" t="s">
        <v>14</v>
      </c>
      <c r="H486" s="81"/>
      <c r="I486" s="81"/>
    </row>
    <row r="487" spans="1:9">
      <c r="A487" s="54">
        <v>56555</v>
      </c>
      <c r="B487" s="15" t="s">
        <v>13</v>
      </c>
      <c r="H487" s="81"/>
      <c r="I487" s="81"/>
    </row>
    <row r="488" spans="1:9">
      <c r="A488" s="53">
        <v>56585</v>
      </c>
      <c r="B488" s="14" t="s">
        <v>10</v>
      </c>
      <c r="H488" s="81"/>
      <c r="I488" s="81"/>
    </row>
    <row r="489" spans="1:9">
      <c r="A489" s="54">
        <v>56615</v>
      </c>
      <c r="B489" s="15" t="s">
        <v>11</v>
      </c>
      <c r="H489" s="81"/>
      <c r="I489" s="81"/>
    </row>
    <row r="490" spans="1:9">
      <c r="A490" s="53">
        <v>56645</v>
      </c>
      <c r="B490" s="14" t="s">
        <v>11</v>
      </c>
      <c r="H490" s="81"/>
      <c r="I490" s="81"/>
    </row>
    <row r="491" spans="1:9">
      <c r="A491" s="54">
        <v>56675</v>
      </c>
      <c r="B491" s="15" t="s">
        <v>12</v>
      </c>
      <c r="H491" s="81"/>
      <c r="I491" s="81"/>
    </row>
    <row r="492" spans="1:9">
      <c r="A492" s="53">
        <v>56705</v>
      </c>
      <c r="B492" s="14" t="s">
        <v>14</v>
      </c>
      <c r="H492" s="81"/>
      <c r="I492" s="81"/>
    </row>
    <row r="493" spans="1:9">
      <c r="A493" s="54">
        <v>56735</v>
      </c>
      <c r="B493" s="15" t="s">
        <v>13</v>
      </c>
      <c r="H493" s="81"/>
      <c r="I493" s="81"/>
    </row>
    <row r="494" spans="1:9">
      <c r="A494" s="53">
        <v>56765</v>
      </c>
      <c r="B494" s="14" t="s">
        <v>13</v>
      </c>
      <c r="H494" s="81"/>
      <c r="I494" s="81"/>
    </row>
    <row r="495" spans="1:9">
      <c r="A495" s="54">
        <v>56795</v>
      </c>
      <c r="B495" s="15" t="s">
        <v>11</v>
      </c>
      <c r="H495" s="81"/>
      <c r="I495" s="81"/>
    </row>
    <row r="496" spans="1:9">
      <c r="A496" s="53">
        <v>56825</v>
      </c>
      <c r="B496" s="14" t="s">
        <v>14</v>
      </c>
      <c r="H496" s="81"/>
      <c r="I496" s="81"/>
    </row>
    <row r="497" spans="1:9">
      <c r="A497" s="54">
        <v>56855</v>
      </c>
      <c r="B497" s="15" t="s">
        <v>14</v>
      </c>
      <c r="H497" s="81"/>
      <c r="I497" s="81"/>
    </row>
    <row r="498" spans="1:9">
      <c r="A498" s="53">
        <v>56885</v>
      </c>
      <c r="B498" s="14" t="s">
        <v>14</v>
      </c>
      <c r="H498" s="81"/>
      <c r="I498" s="81"/>
    </row>
    <row r="499" spans="1:9">
      <c r="A499" s="54">
        <v>56915</v>
      </c>
      <c r="B499" s="15" t="s">
        <v>12</v>
      </c>
      <c r="H499" s="81"/>
      <c r="I499" s="81"/>
    </row>
    <row r="500" spans="1:9">
      <c r="A500" s="53">
        <v>56945</v>
      </c>
      <c r="B500" s="14" t="s">
        <v>13</v>
      </c>
      <c r="H500" s="81"/>
      <c r="I500" s="81"/>
    </row>
    <row r="501" spans="1:9">
      <c r="A501" s="54">
        <v>56975</v>
      </c>
      <c r="B501" s="15" t="s">
        <v>14</v>
      </c>
      <c r="H501" s="81"/>
      <c r="I501" s="81"/>
    </row>
  </sheetData>
  <conditionalFormatting sqref="A1:B501">
    <cfRule type="containsBlanks" dxfId="5" priority="1">
      <formula>LEN(TRIM(A1))=0</formula>
    </cfRule>
  </conditionalFormatting>
  <dataValidations count="6">
    <dataValidation type="list" allowBlank="1" showInputMessage="1" showErrorMessage="1" sqref="E2:E11 E14:E38 E176:E501 E41:E65 E68:E92 E95:E119 E122:E146 E149:E173" xr:uid="{E97C7F90-9B57-43C6-843E-4E5DFEBF3F01}">
      <formula1>"Demand Spike, Demand Drop, Stock Shortage, Seasonal Trend, Competitor Price Drop"</formula1>
    </dataValidation>
    <dataValidation type="list" allowBlank="1" showInputMessage="1" showErrorMessage="1" sqref="E12 E39 E66 E93 E120 E147 E174" xr:uid="{F3CA2694-BD76-4EBA-8816-DB6BB61B6A5B}">
      <formula1>"Demand Spike, Demand Drop, Stock Shortage, Seasonal Trend, Demand Spike, Demand Drop, Stock Shortage, Seasonal Trend, Competitor Price Drop"</formula1>
    </dataValidation>
    <dataValidation type="list" allowBlank="1" showInputMessage="1" showErrorMessage="1" sqref="E13 E40 E67 E94 E121 E148 E175" xr:uid="{CD778051-DA80-4230-8F22-D302564CB045}">
      <formula1>"Demand Spike,Demand Drop,Stock Shortage, Seasonal Trend, Competitor Price Drop"</formula1>
    </dataValidation>
    <dataValidation type="list" allowBlank="1" showInputMessage="1" showErrorMessage="1" sqref="D2:D501" xr:uid="{E38F6D91-F12E-4A27-929C-CD2CCFDC9923}">
      <formula1>"John Doe,Priya Sharma,Ahmed Khan,Lisa Chen,Rahul Mehta,Anjali R.,John D."</formula1>
    </dataValidation>
    <dataValidation type="list" allowBlank="1" showInputMessage="1" showErrorMessage="1" sqref="B2:B501" xr:uid="{0B65EA16-8106-4B8C-A7BA-FBD9F0BC0285}">
      <formula1>"SUV,Sedan,Hatchback,Electric,Truck"</formula1>
    </dataValidation>
    <dataValidation type="list" allowBlank="1" showInputMessage="1" showErrorMessage="1" sqref="C2:C501" xr:uid="{114430D0-43D5-4872-A9C5-8866D81CA907}">
      <formula1>"North,West,East,South"</formula1>
    </dataValidation>
  </dataValidations>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08010-B33D-4F43-92B4-68DB951E026F}">
  <sheetPr codeName="Sheet17"/>
  <dimension ref="A1:D6"/>
  <sheetViews>
    <sheetView workbookViewId="0">
      <selection activeCell="D7" sqref="D7"/>
    </sheetView>
  </sheetViews>
  <sheetFormatPr defaultRowHeight="14.4"/>
  <cols>
    <col min="1" max="1" width="19.44140625" bestFit="1" customWidth="1"/>
    <col min="2" max="2" width="68.21875" bestFit="1" customWidth="1"/>
    <col min="3" max="3" width="23.77734375" bestFit="1" customWidth="1"/>
    <col min="4" max="4" width="19.109375" bestFit="1" customWidth="1"/>
  </cols>
  <sheetData>
    <row r="1" spans="1:4">
      <c r="A1" s="2" t="s">
        <v>230</v>
      </c>
      <c r="B1" s="2" t="s">
        <v>206</v>
      </c>
      <c r="C1" s="2" t="s">
        <v>207</v>
      </c>
      <c r="D1" s="2" t="s">
        <v>236</v>
      </c>
    </row>
    <row r="2" spans="1:4">
      <c r="A2" t="s">
        <v>209</v>
      </c>
      <c r="B2" t="s">
        <v>221</v>
      </c>
      <c r="C2" t="s">
        <v>228</v>
      </c>
      <c r="D2">
        <v>-0.7</v>
      </c>
    </row>
    <row r="3" spans="1:4">
      <c r="A3" t="s">
        <v>208</v>
      </c>
      <c r="B3" t="s">
        <v>220</v>
      </c>
      <c r="C3" t="s">
        <v>226</v>
      </c>
      <c r="D3">
        <v>0.15</v>
      </c>
    </row>
    <row r="4" spans="1:4">
      <c r="A4" t="s">
        <v>210</v>
      </c>
      <c r="B4" t="s">
        <v>222</v>
      </c>
      <c r="C4" t="s">
        <v>227</v>
      </c>
      <c r="D4">
        <v>0.2</v>
      </c>
    </row>
    <row r="5" spans="1:4">
      <c r="A5" t="s">
        <v>211</v>
      </c>
      <c r="B5" t="s">
        <v>224</v>
      </c>
      <c r="C5" t="s">
        <v>229</v>
      </c>
      <c r="D5">
        <v>-0.12</v>
      </c>
    </row>
    <row r="6" spans="1:4">
      <c r="A6" t="s">
        <v>212</v>
      </c>
      <c r="B6" t="s">
        <v>223</v>
      </c>
      <c r="C6" t="s">
        <v>225</v>
      </c>
      <c r="D6">
        <v>-0.1</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92C33-6CA1-4DD9-8D3C-E9AD77A58298}">
  <sheetPr codeName="Sheet43"/>
  <dimension ref="A1:L501"/>
  <sheetViews>
    <sheetView workbookViewId="0">
      <selection activeCell="G1" sqref="G1"/>
    </sheetView>
  </sheetViews>
  <sheetFormatPr defaultRowHeight="14.4"/>
  <cols>
    <col min="1" max="1" width="10.33203125" bestFit="1" customWidth="1"/>
    <col min="2" max="2" width="9.77734375" bestFit="1" customWidth="1"/>
    <col min="3" max="3" width="9.77734375" customWidth="1"/>
    <col min="4" max="4" width="11.88671875" customWidth="1"/>
    <col min="5" max="5" width="17.33203125" customWidth="1"/>
    <col min="6" max="6" width="18.44140625" customWidth="1"/>
    <col min="7" max="7" width="13.77734375" customWidth="1"/>
  </cols>
  <sheetData>
    <row r="1" spans="1:12" ht="18" customHeight="1">
      <c r="A1" s="16" t="s">
        <v>0</v>
      </c>
      <c r="B1" t="s">
        <v>112</v>
      </c>
      <c r="C1" t="s">
        <v>263</v>
      </c>
      <c r="D1" s="16" t="s">
        <v>2</v>
      </c>
      <c r="E1" s="16" t="s">
        <v>114</v>
      </c>
      <c r="F1" s="104" t="s">
        <v>237</v>
      </c>
      <c r="G1" s="110" t="s">
        <v>238</v>
      </c>
    </row>
    <row r="2" spans="1:12">
      <c r="A2" s="53">
        <v>42005</v>
      </c>
      <c r="B2" t="str">
        <f>TEXT(A2,"mmmm")</f>
        <v>January</v>
      </c>
      <c r="C2" s="14" t="s">
        <v>10</v>
      </c>
      <c r="D2" s="14">
        <v>96</v>
      </c>
      <c r="E2" s="105">
        <f>_xlfn.FORECAST.LINEAR(Table13[[#This Row],[Date]],Table13[Units_Sold],Table13[Date])</f>
        <v>99.077532934131725</v>
      </c>
      <c r="F2" s="108">
        <f>Table11[[#This Row],[Forecasted_Units]]*(1+Table11[[#This Row],[Adjustment_Percentage]])</f>
        <v>29.723259880239521</v>
      </c>
      <c r="G2" s="113">
        <f>1-ABS(D2-F2)/D2</f>
        <v>0.30961729041916175</v>
      </c>
    </row>
    <row r="3" spans="1:12">
      <c r="A3" s="54">
        <v>42035</v>
      </c>
      <c r="B3" t="str">
        <f t="shared" ref="B3:B66" si="0">TEXT(A3,"mmmm")</f>
        <v>January</v>
      </c>
      <c r="C3" s="15" t="s">
        <v>10</v>
      </c>
      <c r="D3" s="15">
        <v>107</v>
      </c>
      <c r="E3" s="106">
        <f>_xlfn.FORECAST.LINEAR(Table13[[#This Row],[Date]],Table13[Units_Sold],Table13[Date])</f>
        <v>99.078697130788512</v>
      </c>
      <c r="F3" s="109">
        <f>Table11[[#This Row],[Forecasted_Units]]*(1+Table11[[#This Row],[Adjustment_Percentage]])</f>
        <v>29.723609139236558</v>
      </c>
      <c r="G3" s="113">
        <f t="shared" ref="G3:G66" si="1">1-ABS(D3-F3)/D3</f>
        <v>0.27779073961903322</v>
      </c>
      <c r="J3" s="2" t="s">
        <v>254</v>
      </c>
      <c r="K3" s="2"/>
      <c r="L3" s="2"/>
    </row>
    <row r="4" spans="1:12">
      <c r="A4" s="53">
        <v>42065</v>
      </c>
      <c r="B4" t="str">
        <f t="shared" si="0"/>
        <v>March</v>
      </c>
      <c r="C4" s="14" t="s">
        <v>11</v>
      </c>
      <c r="D4" s="14">
        <v>88</v>
      </c>
      <c r="E4" s="105">
        <f>_xlfn.FORECAST.LINEAR(Table13[[#This Row],[Date]],Table13[Units_Sold],Table13[Date])</f>
        <v>99.0798613274453</v>
      </c>
      <c r="F4" s="108">
        <f>Table11[[#This Row],[Forecasted_Units]]*(1+Table11[[#This Row],[Adjustment_Percentage]])</f>
        <v>118.89583359293435</v>
      </c>
      <c r="G4" s="113">
        <f t="shared" si="1"/>
        <v>0.64891098189847329</v>
      </c>
    </row>
    <row r="5" spans="1:12">
      <c r="A5" s="54">
        <v>42095</v>
      </c>
      <c r="B5" t="str">
        <f t="shared" si="0"/>
        <v>April</v>
      </c>
      <c r="C5" s="15" t="s">
        <v>12</v>
      </c>
      <c r="D5" s="15">
        <v>103</v>
      </c>
      <c r="E5" s="106">
        <f>_xlfn.FORECAST.LINEAR(Table13[[#This Row],[Date]],Table13[Units_Sold],Table13[Date])</f>
        <v>99.081025524102088</v>
      </c>
      <c r="F5" s="109">
        <f>Table11[[#This Row],[Forecasted_Units]]*(1+Table11[[#This Row],[Adjustment_Percentage]])</f>
        <v>113.94317935271739</v>
      </c>
      <c r="G5" s="113">
        <f t="shared" si="1"/>
        <v>0.89375554026487969</v>
      </c>
      <c r="J5" t="s">
        <v>255</v>
      </c>
    </row>
    <row r="6" spans="1:12">
      <c r="A6" s="53">
        <v>42125</v>
      </c>
      <c r="B6" t="str">
        <f t="shared" si="0"/>
        <v>May</v>
      </c>
      <c r="C6" s="14" t="s">
        <v>12</v>
      </c>
      <c r="D6" s="14">
        <v>111</v>
      </c>
      <c r="E6" s="105">
        <f>_xlfn.FORECAST.LINEAR(Table13[[#This Row],[Date]],Table13[Units_Sold],Table13[Date])</f>
        <v>99.082189720758876</v>
      </c>
      <c r="F6" s="108">
        <f>Table11[[#This Row],[Forecasted_Units]]*(1+Table11[[#This Row],[Adjustment_Percentage]])</f>
        <v>113.9445181788727</v>
      </c>
      <c r="G6" s="113">
        <f t="shared" si="1"/>
        <v>0.97347280919934509</v>
      </c>
      <c r="J6" t="s">
        <v>256</v>
      </c>
    </row>
    <row r="7" spans="1:12">
      <c r="A7" s="54">
        <v>42155</v>
      </c>
      <c r="B7" t="str">
        <f t="shared" si="0"/>
        <v>May</v>
      </c>
      <c r="C7" s="15" t="s">
        <v>12</v>
      </c>
      <c r="D7" s="15">
        <v>90</v>
      </c>
      <c r="E7" s="106">
        <f>_xlfn.FORECAST.LINEAR(Table13[[#This Row],[Date]],Table13[Units_Sold],Table13[Date])</f>
        <v>99.083353917415664</v>
      </c>
      <c r="F7" s="109">
        <f>Table11[[#This Row],[Forecasted_Units]]*(1+Table11[[#This Row],[Adjustment_Percentage]])</f>
        <v>113.945857005028</v>
      </c>
      <c r="G7" s="113">
        <f t="shared" si="1"/>
        <v>0.73393492216635559</v>
      </c>
      <c r="J7" s="111" t="s">
        <v>257</v>
      </c>
    </row>
    <row r="8" spans="1:12">
      <c r="A8" s="53">
        <v>42185</v>
      </c>
      <c r="B8" t="str">
        <f t="shared" si="0"/>
        <v>June</v>
      </c>
      <c r="C8" s="14" t="s">
        <v>10</v>
      </c>
      <c r="D8" s="14">
        <v>94</v>
      </c>
      <c r="E8" s="105">
        <f>_xlfn.FORECAST.LINEAR(Table13[[#This Row],[Date]],Table13[Units_Sold],Table13[Date])</f>
        <v>99.084518114072452</v>
      </c>
      <c r="F8" s="108">
        <f>Table11[[#This Row],[Forecasted_Units]]*(1+Table11[[#This Row],[Adjustment_Percentage]])</f>
        <v>29.72535543422174</v>
      </c>
      <c r="G8" s="113">
        <f t="shared" si="1"/>
        <v>0.31622718547044404</v>
      </c>
    </row>
    <row r="9" spans="1:12">
      <c r="A9" s="54">
        <v>42215</v>
      </c>
      <c r="B9" t="str">
        <f t="shared" si="0"/>
        <v>July</v>
      </c>
      <c r="C9" s="15" t="s">
        <v>13</v>
      </c>
      <c r="D9" s="15">
        <v>98</v>
      </c>
      <c r="E9" s="106">
        <f>_xlfn.FORECAST.LINEAR(Table13[[#This Row],[Date]],Table13[Units_Sold],Table13[Date])</f>
        <v>99.08568231072924</v>
      </c>
      <c r="F9" s="109">
        <f>Table11[[#This Row],[Forecasted_Units]]*(1+Table11[[#This Row],[Adjustment_Percentage]])</f>
        <v>89.17711407965632</v>
      </c>
      <c r="G9" s="113">
        <f t="shared" si="1"/>
        <v>0.90997055183322773</v>
      </c>
    </row>
    <row r="10" spans="1:12">
      <c r="A10" s="53">
        <v>42245</v>
      </c>
      <c r="B10" t="str">
        <f t="shared" si="0"/>
        <v>August</v>
      </c>
      <c r="C10" s="14" t="s">
        <v>10</v>
      </c>
      <c r="D10" s="14">
        <v>103</v>
      </c>
      <c r="E10" s="105">
        <f>_xlfn.FORECAST.LINEAR(Table13[[#This Row],[Date]],Table13[Units_Sold],Table13[Date])</f>
        <v>99.086846507386028</v>
      </c>
      <c r="F10" s="108">
        <f>Table11[[#This Row],[Forecasted_Units]]*(1+Table11[[#This Row],[Adjustment_Percentage]])</f>
        <v>29.726053952215814</v>
      </c>
      <c r="G10" s="113">
        <f t="shared" si="1"/>
        <v>0.28860246555549329</v>
      </c>
    </row>
    <row r="11" spans="1:12">
      <c r="A11" s="54">
        <v>42275</v>
      </c>
      <c r="B11" t="str">
        <f t="shared" si="0"/>
        <v>September</v>
      </c>
      <c r="C11" s="15" t="s">
        <v>13</v>
      </c>
      <c r="D11" s="15">
        <v>94</v>
      </c>
      <c r="E11" s="106">
        <f>_xlfn.FORECAST.LINEAR(Table13[[#This Row],[Date]],Table13[Units_Sold],Table13[Date])</f>
        <v>99.088010704042816</v>
      </c>
      <c r="F11" s="109">
        <f>Table11[[#This Row],[Forecasted_Units]]*(1+Table11[[#This Row],[Adjustment_Percentage]])</f>
        <v>89.179209633638536</v>
      </c>
      <c r="G11" s="113">
        <f t="shared" si="1"/>
        <v>0.94871499610253762</v>
      </c>
    </row>
    <row r="12" spans="1:12">
      <c r="A12" s="53">
        <v>42305</v>
      </c>
      <c r="B12" t="str">
        <f t="shared" si="0"/>
        <v>October</v>
      </c>
      <c r="C12" s="14" t="s">
        <v>14</v>
      </c>
      <c r="D12" s="14">
        <v>99</v>
      </c>
      <c r="E12" s="105">
        <f>_xlfn.FORECAST.LINEAR(Table13[[#This Row],[Date]],Table13[Units_Sold],Table13[Date])</f>
        <v>99.089174900699589</v>
      </c>
      <c r="F12" s="108">
        <f>Table11[[#This Row],[Forecasted_Units]]*(1+Table11[[#This Row],[Adjustment_Percentage]])</f>
        <v>87.19847391261564</v>
      </c>
      <c r="G12" s="113">
        <f t="shared" si="1"/>
        <v>0.8807926657839964</v>
      </c>
    </row>
    <row r="13" spans="1:12">
      <c r="A13" s="54">
        <v>42335</v>
      </c>
      <c r="B13" t="str">
        <f t="shared" si="0"/>
        <v>November</v>
      </c>
      <c r="C13" s="15" t="s">
        <v>10</v>
      </c>
      <c r="D13" s="15">
        <v>90</v>
      </c>
      <c r="E13" s="106">
        <f>_xlfn.FORECAST.LINEAR(Table13[[#This Row],[Date]],Table13[Units_Sold],Table13[Date])</f>
        <v>99.090339097356377</v>
      </c>
      <c r="F13" s="109">
        <f>Table11[[#This Row],[Forecasted_Units]]*(1+Table11[[#This Row],[Adjustment_Percentage]])</f>
        <v>29.727101729206918</v>
      </c>
      <c r="G13" s="113">
        <f t="shared" si="1"/>
        <v>0.33030113032452135</v>
      </c>
    </row>
    <row r="14" spans="1:12">
      <c r="A14" s="53">
        <v>42365</v>
      </c>
      <c r="B14" t="str">
        <f t="shared" si="0"/>
        <v>December</v>
      </c>
      <c r="C14" s="14" t="s">
        <v>10</v>
      </c>
      <c r="D14" s="14">
        <v>100</v>
      </c>
      <c r="E14" s="105">
        <f>_xlfn.FORECAST.LINEAR(Table13[[#This Row],[Date]],Table13[Units_Sold],Table13[Date])</f>
        <v>99.091503294013165</v>
      </c>
      <c r="F14" s="108">
        <f>Table11[[#This Row],[Forecasted_Units]]*(1+Table11[[#This Row],[Adjustment_Percentage]])</f>
        <v>29.727450988203955</v>
      </c>
      <c r="G14" s="113">
        <f t="shared" si="1"/>
        <v>0.29727450988203952</v>
      </c>
    </row>
    <row r="15" spans="1:12">
      <c r="A15" s="54">
        <v>42395</v>
      </c>
      <c r="B15" t="str">
        <f t="shared" si="0"/>
        <v>January</v>
      </c>
      <c r="C15" s="15" t="s">
        <v>10</v>
      </c>
      <c r="D15" s="15">
        <v>103</v>
      </c>
      <c r="E15" s="106">
        <f>_xlfn.FORECAST.LINEAR(Table13[[#This Row],[Date]],Table13[Units_Sold],Table13[Date])</f>
        <v>99.092667490669953</v>
      </c>
      <c r="F15" s="109">
        <f>Table11[[#This Row],[Forecasted_Units]]*(1+Table11[[#This Row],[Adjustment_Percentage]])</f>
        <v>29.727800247200989</v>
      </c>
      <c r="G15" s="113">
        <f t="shared" si="1"/>
        <v>0.2886194198757378</v>
      </c>
    </row>
    <row r="16" spans="1:12">
      <c r="A16" s="53">
        <v>42425</v>
      </c>
      <c r="B16" t="str">
        <f t="shared" si="0"/>
        <v>February</v>
      </c>
      <c r="C16" s="14" t="s">
        <v>12</v>
      </c>
      <c r="D16" s="14">
        <v>94</v>
      </c>
      <c r="E16" s="105">
        <f>_xlfn.FORECAST.LINEAR(Table13[[#This Row],[Date]],Table13[Units_Sold],Table13[Date])</f>
        <v>99.093831687326741</v>
      </c>
      <c r="F16" s="108">
        <f>Table11[[#This Row],[Forecasted_Units]]*(1+Table11[[#This Row],[Adjustment_Percentage]])</f>
        <v>113.95790644042575</v>
      </c>
      <c r="G16" s="113">
        <f t="shared" si="1"/>
        <v>0.78768184637844951</v>
      </c>
    </row>
    <row r="17" spans="1:7">
      <c r="A17" s="54">
        <v>42455</v>
      </c>
      <c r="B17" t="str">
        <f t="shared" si="0"/>
        <v>March</v>
      </c>
      <c r="C17" s="15" t="s">
        <v>12</v>
      </c>
      <c r="D17" s="15">
        <v>105</v>
      </c>
      <c r="E17" s="106">
        <f>_xlfn.FORECAST.LINEAR(Table13[[#This Row],[Date]],Table13[Units_Sold],Table13[Date])</f>
        <v>99.094995883983529</v>
      </c>
      <c r="F17" s="109">
        <f>Table11[[#This Row],[Forecasted_Units]]*(1+Table11[[#This Row],[Adjustment_Percentage]])</f>
        <v>113.95924526658105</v>
      </c>
      <c r="G17" s="113">
        <f t="shared" si="1"/>
        <v>0.91467385460398998</v>
      </c>
    </row>
    <row r="18" spans="1:7">
      <c r="A18" s="53">
        <v>42485</v>
      </c>
      <c r="B18" t="str">
        <f t="shared" si="0"/>
        <v>April</v>
      </c>
      <c r="C18" s="14" t="s">
        <v>13</v>
      </c>
      <c r="D18" s="14">
        <v>86</v>
      </c>
      <c r="E18" s="105">
        <f>_xlfn.FORECAST.LINEAR(Table13[[#This Row],[Date]],Table13[Units_Sold],Table13[Date])</f>
        <v>99.096160080640317</v>
      </c>
      <c r="F18" s="108">
        <f>Table11[[#This Row],[Forecasted_Units]]*(1+Table11[[#This Row],[Adjustment_Percentage]])</f>
        <v>89.186544072576282</v>
      </c>
      <c r="G18" s="113">
        <f t="shared" si="1"/>
        <v>0.96294716194678742</v>
      </c>
    </row>
    <row r="19" spans="1:7">
      <c r="A19" s="54">
        <v>42515</v>
      </c>
      <c r="B19" t="str">
        <f t="shared" si="0"/>
        <v>May</v>
      </c>
      <c r="C19" s="15" t="s">
        <v>13</v>
      </c>
      <c r="D19" s="15">
        <v>92</v>
      </c>
      <c r="E19" s="106">
        <f>_xlfn.FORECAST.LINEAR(Table13[[#This Row],[Date]],Table13[Units_Sold],Table13[Date])</f>
        <v>99.097324277297105</v>
      </c>
      <c r="F19" s="109">
        <f>Table11[[#This Row],[Forecasted_Units]]*(1+Table11[[#This Row],[Adjustment_Percentage]])</f>
        <v>89.187591849567397</v>
      </c>
      <c r="G19" s="113">
        <f t="shared" si="1"/>
        <v>0.96943034619094992</v>
      </c>
    </row>
    <row r="20" spans="1:7">
      <c r="A20" s="53">
        <v>42545</v>
      </c>
      <c r="B20" t="str">
        <f t="shared" si="0"/>
        <v>June</v>
      </c>
      <c r="C20" s="14" t="s">
        <v>10</v>
      </c>
      <c r="D20" s="14">
        <v>94</v>
      </c>
      <c r="E20" s="105">
        <f>_xlfn.FORECAST.LINEAR(Table13[[#This Row],[Date]],Table13[Units_Sold],Table13[Date])</f>
        <v>99.098488473953893</v>
      </c>
      <c r="F20" s="108">
        <f>Table11[[#This Row],[Forecasted_Units]]*(1+Table11[[#This Row],[Adjustment_Percentage]])</f>
        <v>29.729546542186171</v>
      </c>
      <c r="G20" s="113">
        <f t="shared" si="1"/>
        <v>0.31627177172538479</v>
      </c>
    </row>
    <row r="21" spans="1:7">
      <c r="A21" s="54">
        <v>42575</v>
      </c>
      <c r="B21" t="str">
        <f t="shared" si="0"/>
        <v>July</v>
      </c>
      <c r="C21" s="15" t="s">
        <v>13</v>
      </c>
      <c r="D21" s="15">
        <v>101</v>
      </c>
      <c r="E21" s="106">
        <f>_xlfn.FORECAST.LINEAR(Table13[[#This Row],[Date]],Table13[Units_Sold],Table13[Date])</f>
        <v>99.099652670610681</v>
      </c>
      <c r="F21" s="109">
        <f>Table11[[#This Row],[Forecasted_Units]]*(1+Table11[[#This Row],[Adjustment_Percentage]])</f>
        <v>89.189687403549613</v>
      </c>
      <c r="G21" s="113">
        <f t="shared" si="1"/>
        <v>0.88306621191633283</v>
      </c>
    </row>
    <row r="22" spans="1:7">
      <c r="A22" s="53">
        <v>42605</v>
      </c>
      <c r="B22" t="str">
        <f t="shared" si="0"/>
        <v>August</v>
      </c>
      <c r="C22" s="14" t="s">
        <v>12</v>
      </c>
      <c r="D22" s="14">
        <v>103</v>
      </c>
      <c r="E22" s="105">
        <f>_xlfn.FORECAST.LINEAR(Table13[[#This Row],[Date]],Table13[Units_Sold],Table13[Date])</f>
        <v>99.100816867267469</v>
      </c>
      <c r="F22" s="108">
        <f>Table11[[#This Row],[Forecasted_Units]]*(1+Table11[[#This Row],[Adjustment_Percentage]])</f>
        <v>113.96593939735757</v>
      </c>
      <c r="G22" s="113">
        <f t="shared" si="1"/>
        <v>0.89353456895769345</v>
      </c>
    </row>
    <row r="23" spans="1:7">
      <c r="A23" s="54">
        <v>42635</v>
      </c>
      <c r="B23" t="str">
        <f t="shared" si="0"/>
        <v>September</v>
      </c>
      <c r="C23" s="15" t="s">
        <v>13</v>
      </c>
      <c r="D23" s="15">
        <v>84</v>
      </c>
      <c r="E23" s="106">
        <f>_xlfn.FORECAST.LINEAR(Table13[[#This Row],[Date]],Table13[Units_Sold],Table13[Date])</f>
        <v>99.101981063924256</v>
      </c>
      <c r="F23" s="109">
        <f>Table11[[#This Row],[Forecasted_Units]]*(1+Table11[[#This Row],[Adjustment_Percentage]])</f>
        <v>89.191782957531828</v>
      </c>
      <c r="G23" s="113">
        <f t="shared" si="1"/>
        <v>0.93819306002938296</v>
      </c>
    </row>
    <row r="24" spans="1:7">
      <c r="A24" s="53">
        <v>42665</v>
      </c>
      <c r="B24" t="str">
        <f t="shared" si="0"/>
        <v>October</v>
      </c>
      <c r="C24" s="14" t="s">
        <v>14</v>
      </c>
      <c r="D24" s="14">
        <v>76</v>
      </c>
      <c r="E24" s="105">
        <f>_xlfn.FORECAST.LINEAR(Table13[[#This Row],[Date]],Table13[Units_Sold],Table13[Date])</f>
        <v>99.10314526058103</v>
      </c>
      <c r="F24" s="108">
        <f>Table11[[#This Row],[Forecasted_Units]]*(1+Table11[[#This Row],[Adjustment_Percentage]])</f>
        <v>87.210767829311308</v>
      </c>
      <c r="G24" s="113">
        <f t="shared" si="1"/>
        <v>0.85248989698274591</v>
      </c>
    </row>
    <row r="25" spans="1:7">
      <c r="A25" s="54">
        <v>42695</v>
      </c>
      <c r="B25" t="str">
        <f t="shared" si="0"/>
        <v>November</v>
      </c>
      <c r="C25" s="15" t="s">
        <v>12</v>
      </c>
      <c r="D25" s="15">
        <v>100</v>
      </c>
      <c r="E25" s="106">
        <f>_xlfn.FORECAST.LINEAR(Table13[[#This Row],[Date]],Table13[Units_Sold],Table13[Date])</f>
        <v>99.104309457237818</v>
      </c>
      <c r="F25" s="109">
        <f>Table11[[#This Row],[Forecasted_Units]]*(1+Table11[[#This Row],[Adjustment_Percentage]])</f>
        <v>113.96995587582349</v>
      </c>
      <c r="G25" s="113">
        <f t="shared" si="1"/>
        <v>0.86030044124176519</v>
      </c>
    </row>
    <row r="26" spans="1:7">
      <c r="A26" s="53">
        <v>42725</v>
      </c>
      <c r="B26" t="str">
        <f t="shared" si="0"/>
        <v>December</v>
      </c>
      <c r="C26" s="14" t="s">
        <v>14</v>
      </c>
      <c r="D26" s="14">
        <v>111</v>
      </c>
      <c r="E26" s="105">
        <f>_xlfn.FORECAST.LINEAR(Table13[[#This Row],[Date]],Table13[Units_Sold],Table13[Date])</f>
        <v>99.105473653894606</v>
      </c>
      <c r="F26" s="108">
        <f>Table11[[#This Row],[Forecasted_Units]]*(1+Table11[[#This Row],[Adjustment_Percentage]])</f>
        <v>87.21281681542726</v>
      </c>
      <c r="G26" s="113">
        <f t="shared" si="1"/>
        <v>0.78570105239123655</v>
      </c>
    </row>
    <row r="27" spans="1:7">
      <c r="A27" s="54">
        <v>42755</v>
      </c>
      <c r="B27" t="str">
        <f t="shared" si="0"/>
        <v>January</v>
      </c>
      <c r="C27" s="15" t="s">
        <v>13</v>
      </c>
      <c r="D27" s="15">
        <v>93</v>
      </c>
      <c r="E27" s="106">
        <f>_xlfn.FORECAST.LINEAR(Table13[[#This Row],[Date]],Table13[Units_Sold],Table13[Date])</f>
        <v>99.106637850551394</v>
      </c>
      <c r="F27" s="109">
        <f>Table11[[#This Row],[Forecasted_Units]]*(1+Table11[[#This Row],[Adjustment_Percentage]])</f>
        <v>89.195974065496259</v>
      </c>
      <c r="G27" s="113">
        <f t="shared" si="1"/>
        <v>0.95909649532791674</v>
      </c>
    </row>
    <row r="28" spans="1:7">
      <c r="A28" s="53">
        <v>42785</v>
      </c>
      <c r="B28" t="str">
        <f t="shared" si="0"/>
        <v>February</v>
      </c>
      <c r="C28" s="14" t="s">
        <v>11</v>
      </c>
      <c r="D28" s="14">
        <v>87</v>
      </c>
      <c r="E28" s="105">
        <f>_xlfn.FORECAST.LINEAR(Table13[[#This Row],[Date]],Table13[Units_Sold],Table13[Date])</f>
        <v>99.107802047208182</v>
      </c>
      <c r="F28" s="108">
        <f>Table11[[#This Row],[Forecasted_Units]]*(1+Table11[[#This Row],[Adjustment_Percentage]])</f>
        <v>118.92936245664981</v>
      </c>
      <c r="G28" s="113">
        <f t="shared" si="1"/>
        <v>0.63299583383161129</v>
      </c>
    </row>
    <row r="29" spans="1:7">
      <c r="A29" s="54">
        <v>42815</v>
      </c>
      <c r="B29" t="str">
        <f t="shared" si="0"/>
        <v>March</v>
      </c>
      <c r="C29" s="15" t="s">
        <v>10</v>
      </c>
      <c r="D29" s="15">
        <v>108</v>
      </c>
      <c r="E29" s="106">
        <f>_xlfn.FORECAST.LINEAR(Table13[[#This Row],[Date]],Table13[Units_Sold],Table13[Date])</f>
        <v>99.10896624386497</v>
      </c>
      <c r="F29" s="109">
        <f>Table11[[#This Row],[Forecasted_Units]]*(1+Table11[[#This Row],[Adjustment_Percentage]])</f>
        <v>29.732689873159494</v>
      </c>
      <c r="G29" s="113">
        <f t="shared" si="1"/>
        <v>0.2753026840107361</v>
      </c>
    </row>
    <row r="30" spans="1:7">
      <c r="A30" s="53">
        <v>42845</v>
      </c>
      <c r="B30" t="str">
        <f t="shared" si="0"/>
        <v>April</v>
      </c>
      <c r="C30" s="14" t="s">
        <v>12</v>
      </c>
      <c r="D30" s="14">
        <v>106</v>
      </c>
      <c r="E30" s="105">
        <f>_xlfn.FORECAST.LINEAR(Table13[[#This Row],[Date]],Table13[Units_Sold],Table13[Date])</f>
        <v>99.110130440521758</v>
      </c>
      <c r="F30" s="108">
        <f>Table11[[#This Row],[Forecasted_Units]]*(1+Table11[[#This Row],[Adjustment_Percentage]])</f>
        <v>99.110130440521758</v>
      </c>
      <c r="G30" s="113">
        <f t="shared" si="1"/>
        <v>0.93500123057095996</v>
      </c>
    </row>
    <row r="31" spans="1:7">
      <c r="A31" s="54">
        <v>42875</v>
      </c>
      <c r="B31" t="str">
        <f t="shared" si="0"/>
        <v>May</v>
      </c>
      <c r="C31" s="15" t="s">
        <v>14</v>
      </c>
      <c r="D31" s="15">
        <v>108</v>
      </c>
      <c r="E31" s="106">
        <f>_xlfn.FORECAST.LINEAR(Table13[[#This Row],[Date]],Table13[Units_Sold],Table13[Date])</f>
        <v>99.111294637178545</v>
      </c>
      <c r="F31" s="109">
        <f>Table11[[#This Row],[Forecasted_Units]]*(1+Table11[[#This Row],[Adjustment_Percentage]])</f>
        <v>99.111294637178545</v>
      </c>
      <c r="G31" s="113">
        <f t="shared" si="1"/>
        <v>0.91769717256646799</v>
      </c>
    </row>
    <row r="32" spans="1:7">
      <c r="A32" s="53">
        <v>42905</v>
      </c>
      <c r="B32" t="str">
        <f t="shared" si="0"/>
        <v>June</v>
      </c>
      <c r="C32" s="14" t="s">
        <v>11</v>
      </c>
      <c r="D32" s="14">
        <v>96</v>
      </c>
      <c r="E32" s="105">
        <f>_xlfn.FORECAST.LINEAR(Table13[[#This Row],[Date]],Table13[Units_Sold],Table13[Date])</f>
        <v>99.112458833835333</v>
      </c>
      <c r="F32" s="108">
        <f>Table11[[#This Row],[Forecasted_Units]]*(1+Table11[[#This Row],[Adjustment_Percentage]])</f>
        <v>99.112458833835333</v>
      </c>
      <c r="G32" s="113">
        <f t="shared" si="1"/>
        <v>0.96757855381421531</v>
      </c>
    </row>
    <row r="33" spans="1:7">
      <c r="A33" s="54">
        <v>42935</v>
      </c>
      <c r="B33" t="str">
        <f t="shared" si="0"/>
        <v>July</v>
      </c>
      <c r="C33" s="15" t="s">
        <v>11</v>
      </c>
      <c r="D33" s="15">
        <v>113</v>
      </c>
      <c r="E33" s="106">
        <f>_xlfn.FORECAST.LINEAR(Table13[[#This Row],[Date]],Table13[Units_Sold],Table13[Date])</f>
        <v>99.113623030492121</v>
      </c>
      <c r="F33" s="109">
        <f>Table11[[#This Row],[Forecasted_Units]]*(1+Table11[[#This Row],[Adjustment_Percentage]])</f>
        <v>99.113623030492121</v>
      </c>
      <c r="G33" s="113">
        <f t="shared" si="1"/>
        <v>0.87711170823444351</v>
      </c>
    </row>
    <row r="34" spans="1:7">
      <c r="A34" s="53">
        <v>42965</v>
      </c>
      <c r="B34" t="str">
        <f t="shared" si="0"/>
        <v>August</v>
      </c>
      <c r="C34" s="14" t="s">
        <v>12</v>
      </c>
      <c r="D34" s="14">
        <v>95</v>
      </c>
      <c r="E34" s="105">
        <f>_xlfn.FORECAST.LINEAR(Table13[[#This Row],[Date]],Table13[Units_Sold],Table13[Date])</f>
        <v>99.114787227148909</v>
      </c>
      <c r="F34" s="108">
        <f>Table11[[#This Row],[Forecasted_Units]]*(1+Table11[[#This Row],[Adjustment_Percentage]])</f>
        <v>99.114787227148909</v>
      </c>
      <c r="G34" s="113">
        <f t="shared" si="1"/>
        <v>0.95668645024053778</v>
      </c>
    </row>
    <row r="35" spans="1:7">
      <c r="A35" s="54">
        <v>42995</v>
      </c>
      <c r="B35" t="str">
        <f t="shared" si="0"/>
        <v>September</v>
      </c>
      <c r="C35" s="15" t="s">
        <v>12</v>
      </c>
      <c r="D35" s="15">
        <v>94</v>
      </c>
      <c r="E35" s="106">
        <f>_xlfn.FORECAST.LINEAR(Table13[[#This Row],[Date]],Table13[Units_Sold],Table13[Date])</f>
        <v>99.115951423805683</v>
      </c>
      <c r="F35" s="109">
        <f>Table11[[#This Row],[Forecasted_Units]]*(1+Table11[[#This Row],[Adjustment_Percentage]])</f>
        <v>99.115951423805683</v>
      </c>
      <c r="G35" s="113">
        <f t="shared" si="1"/>
        <v>0.94557498485313107</v>
      </c>
    </row>
    <row r="36" spans="1:7">
      <c r="A36" s="53">
        <v>43025</v>
      </c>
      <c r="B36" t="str">
        <f t="shared" si="0"/>
        <v>October</v>
      </c>
      <c r="C36" s="14" t="s">
        <v>11</v>
      </c>
      <c r="D36" s="14">
        <v>107</v>
      </c>
      <c r="E36" s="105">
        <f>_xlfn.FORECAST.LINEAR(Table13[[#This Row],[Date]],Table13[Units_Sold],Table13[Date])</f>
        <v>99.117115620462471</v>
      </c>
      <c r="F36" s="108">
        <f>Table11[[#This Row],[Forecasted_Units]]*(1+Table11[[#This Row],[Adjustment_Percentage]])</f>
        <v>99.117115620462471</v>
      </c>
      <c r="G36" s="113">
        <f t="shared" si="1"/>
        <v>0.92632818336880818</v>
      </c>
    </row>
    <row r="37" spans="1:7">
      <c r="A37" s="54">
        <v>43055</v>
      </c>
      <c r="B37" t="str">
        <f t="shared" si="0"/>
        <v>November</v>
      </c>
      <c r="C37" s="15" t="s">
        <v>10</v>
      </c>
      <c r="D37" s="15">
        <v>114</v>
      </c>
      <c r="E37" s="106">
        <f>_xlfn.FORECAST.LINEAR(Table13[[#This Row],[Date]],Table13[Units_Sold],Table13[Date])</f>
        <v>99.118279817119259</v>
      </c>
      <c r="F37" s="109">
        <f>Table11[[#This Row],[Forecasted_Units]]*(1+Table11[[#This Row],[Adjustment_Percentage]])</f>
        <v>99.118279817119259</v>
      </c>
      <c r="G37" s="113">
        <f t="shared" si="1"/>
        <v>0.86945859488701105</v>
      </c>
    </row>
    <row r="38" spans="1:7">
      <c r="A38" s="53">
        <v>43085</v>
      </c>
      <c r="B38" t="str">
        <f t="shared" si="0"/>
        <v>December</v>
      </c>
      <c r="C38" s="14" t="s">
        <v>10</v>
      </c>
      <c r="D38" s="14">
        <v>86</v>
      </c>
      <c r="E38" s="105">
        <f>_xlfn.FORECAST.LINEAR(Table13[[#This Row],[Date]],Table13[Units_Sold],Table13[Date])</f>
        <v>99.119444013776047</v>
      </c>
      <c r="F38" s="108">
        <f>Table11[[#This Row],[Forecasted_Units]]*(1+Table11[[#This Row],[Adjustment_Percentage]])</f>
        <v>99.119444013776047</v>
      </c>
      <c r="G38" s="113">
        <f t="shared" si="1"/>
        <v>0.84744832542120874</v>
      </c>
    </row>
    <row r="39" spans="1:7">
      <c r="A39" s="54">
        <v>43115</v>
      </c>
      <c r="B39" t="str">
        <f t="shared" si="0"/>
        <v>January</v>
      </c>
      <c r="C39" s="15" t="s">
        <v>14</v>
      </c>
      <c r="D39" s="15">
        <v>100</v>
      </c>
      <c r="E39" s="106">
        <f>_xlfn.FORECAST.LINEAR(Table13[[#This Row],[Date]],Table13[Units_Sold],Table13[Date])</f>
        <v>99.120608210432835</v>
      </c>
      <c r="F39" s="109">
        <f>Table11[[#This Row],[Forecasted_Units]]*(1+Table11[[#This Row],[Adjustment_Percentage]])</f>
        <v>99.120608210432835</v>
      </c>
      <c r="G39" s="113">
        <f t="shared" si="1"/>
        <v>0.99120608210432837</v>
      </c>
    </row>
    <row r="40" spans="1:7">
      <c r="A40" s="53">
        <v>43145</v>
      </c>
      <c r="B40" t="str">
        <f t="shared" si="0"/>
        <v>February</v>
      </c>
      <c r="C40" s="14" t="s">
        <v>10</v>
      </c>
      <c r="D40" s="14">
        <v>108</v>
      </c>
      <c r="E40" s="105">
        <f>_xlfn.FORECAST.LINEAR(Table13[[#This Row],[Date]],Table13[Units_Sold],Table13[Date])</f>
        <v>99.121772407089622</v>
      </c>
      <c r="F40" s="108">
        <f>Table11[[#This Row],[Forecasted_Units]]*(1+Table11[[#This Row],[Adjustment_Percentage]])</f>
        <v>99.121772407089622</v>
      </c>
      <c r="G40" s="113">
        <f t="shared" si="1"/>
        <v>0.91779418895453357</v>
      </c>
    </row>
    <row r="41" spans="1:7">
      <c r="A41" s="54">
        <v>43175</v>
      </c>
      <c r="B41" t="str">
        <f t="shared" si="0"/>
        <v>March</v>
      </c>
      <c r="C41" s="15" t="s">
        <v>11</v>
      </c>
      <c r="D41" s="15">
        <v>101</v>
      </c>
      <c r="E41" s="106">
        <f>_xlfn.FORECAST.LINEAR(Table13[[#This Row],[Date]],Table13[Units_Sold],Table13[Date])</f>
        <v>99.12293660374641</v>
      </c>
      <c r="F41" s="109">
        <f>Table11[[#This Row],[Forecasted_Units]]*(1+Table11[[#This Row],[Adjustment_Percentage]])</f>
        <v>99.12293660374641</v>
      </c>
      <c r="G41" s="113">
        <f t="shared" si="1"/>
        <v>0.9814152138984793</v>
      </c>
    </row>
    <row r="42" spans="1:7">
      <c r="A42" s="53">
        <v>43205</v>
      </c>
      <c r="B42" t="str">
        <f t="shared" si="0"/>
        <v>April</v>
      </c>
      <c r="C42" s="14" t="s">
        <v>11</v>
      </c>
      <c r="D42" s="14">
        <v>94</v>
      </c>
      <c r="E42" s="105">
        <f>_xlfn.FORECAST.LINEAR(Table13[[#This Row],[Date]],Table13[Units_Sold],Table13[Date])</f>
        <v>99.124100800403198</v>
      </c>
      <c r="F42" s="108">
        <f>Table11[[#This Row],[Forecasted_Units]]*(1+Table11[[#This Row],[Adjustment_Percentage]])</f>
        <v>99.124100800403198</v>
      </c>
      <c r="G42" s="113">
        <f t="shared" si="1"/>
        <v>0.9454882893574128</v>
      </c>
    </row>
    <row r="43" spans="1:7">
      <c r="A43" s="54">
        <v>43235</v>
      </c>
      <c r="B43" t="str">
        <f t="shared" si="0"/>
        <v>May</v>
      </c>
      <c r="C43" s="15" t="s">
        <v>13</v>
      </c>
      <c r="D43" s="15">
        <v>116</v>
      </c>
      <c r="E43" s="106">
        <f>_xlfn.FORECAST.LINEAR(Table13[[#This Row],[Date]],Table13[Units_Sold],Table13[Date])</f>
        <v>99.125264997059986</v>
      </c>
      <c r="F43" s="109">
        <f>Table11[[#This Row],[Forecasted_Units]]*(1+Table11[[#This Row],[Adjustment_Percentage]])</f>
        <v>99.125264997059986</v>
      </c>
      <c r="G43" s="113">
        <f t="shared" si="1"/>
        <v>0.85452814652637921</v>
      </c>
    </row>
    <row r="44" spans="1:7">
      <c r="A44" s="53">
        <v>43265</v>
      </c>
      <c r="B44" t="str">
        <f t="shared" si="0"/>
        <v>June</v>
      </c>
      <c r="C44" s="14" t="s">
        <v>11</v>
      </c>
      <c r="D44" s="14">
        <v>97</v>
      </c>
      <c r="E44" s="105">
        <f>_xlfn.FORECAST.LINEAR(Table13[[#This Row],[Date]],Table13[Units_Sold],Table13[Date])</f>
        <v>99.126429193716774</v>
      </c>
      <c r="F44" s="108">
        <f>Table11[[#This Row],[Forecasted_Units]]*(1+Table11[[#This Row],[Adjustment_Percentage]])</f>
        <v>99.126429193716774</v>
      </c>
      <c r="G44" s="113">
        <f t="shared" si="1"/>
        <v>0.97807804954931166</v>
      </c>
    </row>
    <row r="45" spans="1:7">
      <c r="A45" s="54">
        <v>43295</v>
      </c>
      <c r="B45" t="str">
        <f t="shared" si="0"/>
        <v>July</v>
      </c>
      <c r="C45" s="15" t="s">
        <v>10</v>
      </c>
      <c r="D45" s="15">
        <f>IF(ISBLANK(D2), O3, D2)</f>
        <v>96</v>
      </c>
      <c r="E45" s="106">
        <f>_xlfn.FORECAST.LINEAR(Table13[[#This Row],[Date]],Table13[Units_Sold],Table13[Date])</f>
        <v>99.127593390373562</v>
      </c>
      <c r="F45" s="109">
        <f>Table11[[#This Row],[Forecasted_Units]]*(1+Table11[[#This Row],[Adjustment_Percentage]])</f>
        <v>99.127593390373562</v>
      </c>
      <c r="G45" s="113">
        <f t="shared" si="1"/>
        <v>0.96742090218360877</v>
      </c>
    </row>
    <row r="46" spans="1:7">
      <c r="A46" s="53">
        <v>43325</v>
      </c>
      <c r="B46" t="str">
        <f t="shared" si="0"/>
        <v>August</v>
      </c>
      <c r="C46" s="14" t="s">
        <v>14</v>
      </c>
      <c r="D46" s="14">
        <v>94</v>
      </c>
      <c r="E46" s="105">
        <f>_xlfn.FORECAST.LINEAR(Table13[[#This Row],[Date]],Table13[Units_Sold],Table13[Date])</f>
        <v>99.128757587030336</v>
      </c>
      <c r="F46" s="108">
        <f>Table11[[#This Row],[Forecasted_Units]]*(1+Table11[[#This Row],[Adjustment_Percentage]])</f>
        <v>99.128757587030336</v>
      </c>
      <c r="G46" s="113">
        <f t="shared" si="1"/>
        <v>0.94543874907414538</v>
      </c>
    </row>
    <row r="47" spans="1:7">
      <c r="A47" s="54">
        <v>43355</v>
      </c>
      <c r="B47" t="str">
        <f t="shared" si="0"/>
        <v>September</v>
      </c>
      <c r="C47" s="15" t="s">
        <v>13</v>
      </c>
      <c r="D47" s="15">
        <v>118</v>
      </c>
      <c r="E47" s="106">
        <f>_xlfn.FORECAST.LINEAR(Table13[[#This Row],[Date]],Table13[Units_Sold],Table13[Date])</f>
        <v>99.129921783687124</v>
      </c>
      <c r="F47" s="109">
        <f>Table11[[#This Row],[Forecasted_Units]]*(1+Table11[[#This Row],[Adjustment_Percentage]])</f>
        <v>99.129921783687124</v>
      </c>
      <c r="G47" s="113">
        <f t="shared" si="1"/>
        <v>0.84008408291260273</v>
      </c>
    </row>
    <row r="48" spans="1:7">
      <c r="A48" s="53">
        <v>43385</v>
      </c>
      <c r="B48" t="str">
        <f t="shared" si="0"/>
        <v>October</v>
      </c>
      <c r="C48" s="14" t="s">
        <v>10</v>
      </c>
      <c r="D48" s="14">
        <v>104</v>
      </c>
      <c r="E48" s="105">
        <f>_xlfn.FORECAST.LINEAR(Table13[[#This Row],[Date]],Table13[Units_Sold],Table13[Date])</f>
        <v>99.131085980343912</v>
      </c>
      <c r="F48" s="108">
        <f>Table11[[#This Row],[Forecasted_Units]]*(1+Table11[[#This Row],[Adjustment_Percentage]])</f>
        <v>99.131085980343912</v>
      </c>
      <c r="G48" s="113">
        <f t="shared" si="1"/>
        <v>0.95318351904176835</v>
      </c>
    </row>
    <row r="49" spans="1:7">
      <c r="A49" s="54">
        <v>43415</v>
      </c>
      <c r="B49" t="str">
        <f t="shared" si="0"/>
        <v>November</v>
      </c>
      <c r="C49" s="15" t="s">
        <v>14</v>
      </c>
      <c r="D49" s="15">
        <f>IF(ISBLANK(D2), O3, D2)</f>
        <v>96</v>
      </c>
      <c r="E49" s="106">
        <f>_xlfn.FORECAST.LINEAR(Table13[[#This Row],[Date]],Table13[Units_Sold],Table13[Date])</f>
        <v>99.132250177000699</v>
      </c>
      <c r="F49" s="109">
        <f>Table11[[#This Row],[Forecasted_Units]]*(1+Table11[[#This Row],[Adjustment_Percentage]])</f>
        <v>99.132250177000699</v>
      </c>
      <c r="G49" s="113">
        <f t="shared" si="1"/>
        <v>0.96737239398957608</v>
      </c>
    </row>
    <row r="50" spans="1:7">
      <c r="A50" s="53">
        <v>43445</v>
      </c>
      <c r="B50" t="str">
        <f t="shared" si="0"/>
        <v>December</v>
      </c>
      <c r="C50" s="14" t="s">
        <v>10</v>
      </c>
      <c r="D50" s="14">
        <v>115</v>
      </c>
      <c r="E50" s="105">
        <f>_xlfn.FORECAST.LINEAR(Table13[[#This Row],[Date]],Table13[Units_Sold],Table13[Date])</f>
        <v>99.133414373657487</v>
      </c>
      <c r="F50" s="108">
        <f>Table11[[#This Row],[Forecasted_Units]]*(1+Table11[[#This Row],[Adjustment_Percentage]])</f>
        <v>99.133414373657487</v>
      </c>
      <c r="G50" s="113">
        <f t="shared" si="1"/>
        <v>0.86202969020571729</v>
      </c>
    </row>
    <row r="51" spans="1:7">
      <c r="A51" s="54">
        <v>43475</v>
      </c>
      <c r="B51" t="str">
        <f t="shared" si="0"/>
        <v>January</v>
      </c>
      <c r="C51" s="15" t="s">
        <v>13</v>
      </c>
      <c r="D51" s="15">
        <v>94</v>
      </c>
      <c r="E51" s="106">
        <f>_xlfn.FORECAST.LINEAR(Table13[[#This Row],[Date]],Table13[Units_Sold],Table13[Date])</f>
        <v>99.134578570314275</v>
      </c>
      <c r="F51" s="109">
        <f>Table11[[#This Row],[Forecasted_Units]]*(1+Table11[[#This Row],[Adjustment_Percentage]])</f>
        <v>99.134578570314275</v>
      </c>
      <c r="G51" s="113">
        <f t="shared" si="1"/>
        <v>0.94537682372006093</v>
      </c>
    </row>
    <row r="52" spans="1:7">
      <c r="A52" s="53">
        <v>43505</v>
      </c>
      <c r="B52" t="str">
        <f t="shared" si="0"/>
        <v>February</v>
      </c>
      <c r="C52" s="14" t="s">
        <v>11</v>
      </c>
      <c r="D52" s="14">
        <v>91</v>
      </c>
      <c r="E52" s="105">
        <f>_xlfn.FORECAST.LINEAR(Table13[[#This Row],[Date]],Table13[Units_Sold],Table13[Date])</f>
        <v>99.135742766971063</v>
      </c>
      <c r="F52" s="108">
        <f>Table11[[#This Row],[Forecasted_Units]]*(1+Table11[[#This Row],[Adjustment_Percentage]])</f>
        <v>99.135742766971063</v>
      </c>
      <c r="G52" s="113">
        <f t="shared" si="1"/>
        <v>0.91059623332998829</v>
      </c>
    </row>
    <row r="53" spans="1:7">
      <c r="A53" s="54">
        <v>43535</v>
      </c>
      <c r="B53" t="str">
        <f t="shared" si="0"/>
        <v>March</v>
      </c>
      <c r="C53" s="15" t="s">
        <v>13</v>
      </c>
      <c r="D53" s="15">
        <v>110</v>
      </c>
      <c r="E53" s="106">
        <f>_xlfn.FORECAST.LINEAR(Table13[[#This Row],[Date]],Table13[Units_Sold],Table13[Date])</f>
        <v>99.136906963627851</v>
      </c>
      <c r="F53" s="109">
        <f>Table11[[#This Row],[Forecasted_Units]]*(1+Table11[[#This Row],[Adjustment_Percentage]])</f>
        <v>99.136906963627851</v>
      </c>
      <c r="G53" s="113">
        <f t="shared" si="1"/>
        <v>0.90124460876025325</v>
      </c>
    </row>
    <row r="54" spans="1:7">
      <c r="A54" s="53">
        <v>43565</v>
      </c>
      <c r="B54" t="str">
        <f t="shared" si="0"/>
        <v>April</v>
      </c>
      <c r="C54" s="14" t="s">
        <v>11</v>
      </c>
      <c r="D54" s="14">
        <v>98</v>
      </c>
      <c r="E54" s="105">
        <f>_xlfn.FORECAST.LINEAR(Table13[[#This Row],[Date]],Table13[Units_Sold],Table13[Date])</f>
        <v>99.138071160284639</v>
      </c>
      <c r="F54" s="108">
        <f>Table11[[#This Row],[Forecasted_Units]]*(1+Table11[[#This Row],[Adjustment_Percentage]])</f>
        <v>99.138071160284639</v>
      </c>
      <c r="G54" s="113">
        <f t="shared" si="1"/>
        <v>0.9883870289766874</v>
      </c>
    </row>
    <row r="55" spans="1:7">
      <c r="A55" s="54">
        <v>43595</v>
      </c>
      <c r="B55" t="str">
        <f t="shared" si="0"/>
        <v>May</v>
      </c>
      <c r="C55" s="15" t="s">
        <v>13</v>
      </c>
      <c r="D55" s="15">
        <v>86</v>
      </c>
      <c r="E55" s="106">
        <f>_xlfn.FORECAST.LINEAR(Table13[[#This Row],[Date]],Table13[Units_Sold],Table13[Date])</f>
        <v>99.139235356941427</v>
      </c>
      <c r="F55" s="109">
        <f>Table11[[#This Row],[Forecasted_Units]]*(1+Table11[[#This Row],[Adjustment_Percentage]])</f>
        <v>99.139235356941427</v>
      </c>
      <c r="G55" s="113">
        <f t="shared" si="1"/>
        <v>0.8472181935239369</v>
      </c>
    </row>
    <row r="56" spans="1:7">
      <c r="A56" s="53">
        <v>43625</v>
      </c>
      <c r="B56" t="str">
        <f t="shared" si="0"/>
        <v>June</v>
      </c>
      <c r="C56" s="14" t="s">
        <v>12</v>
      </c>
      <c r="D56" s="14">
        <v>121</v>
      </c>
      <c r="E56" s="105">
        <f>_xlfn.FORECAST.LINEAR(Table13[[#This Row],[Date]],Table13[Units_Sold],Table13[Date])</f>
        <v>99.140399553598215</v>
      </c>
      <c r="F56" s="108">
        <f>Table11[[#This Row],[Forecasted_Units]]*(1+Table11[[#This Row],[Adjustment_Percentage]])</f>
        <v>99.140399553598215</v>
      </c>
      <c r="G56" s="113">
        <f t="shared" si="1"/>
        <v>0.81934214507105962</v>
      </c>
    </row>
    <row r="57" spans="1:7">
      <c r="A57" s="54">
        <v>43655</v>
      </c>
      <c r="B57" t="str">
        <f t="shared" si="0"/>
        <v>July</v>
      </c>
      <c r="C57" s="15" t="s">
        <v>10</v>
      </c>
      <c r="D57" s="15">
        <v>100</v>
      </c>
      <c r="E57" s="106">
        <f>_xlfn.FORECAST.LINEAR(Table13[[#This Row],[Date]],Table13[Units_Sold],Table13[Date])</f>
        <v>99.141563750254988</v>
      </c>
      <c r="F57" s="109">
        <f>Table11[[#This Row],[Forecasted_Units]]*(1+Table11[[#This Row],[Adjustment_Percentage]])</f>
        <v>99.141563750254988</v>
      </c>
      <c r="G57" s="113">
        <f t="shared" si="1"/>
        <v>0.99141563750254991</v>
      </c>
    </row>
    <row r="58" spans="1:7">
      <c r="A58" s="53">
        <v>43685</v>
      </c>
      <c r="B58" t="str">
        <f t="shared" si="0"/>
        <v>August</v>
      </c>
      <c r="C58" s="14" t="s">
        <v>10</v>
      </c>
      <c r="D58" s="14">
        <v>96</v>
      </c>
      <c r="E58" s="105">
        <f>_xlfn.FORECAST.LINEAR(Table13[[#This Row],[Date]],Table13[Units_Sold],Table13[Date])</f>
        <v>99.142727946911776</v>
      </c>
      <c r="F58" s="108">
        <f>Table11[[#This Row],[Forecasted_Units]]*(1+Table11[[#This Row],[Adjustment_Percentage]])</f>
        <v>99.142727946911776</v>
      </c>
      <c r="G58" s="113">
        <f t="shared" si="1"/>
        <v>0.96726325055300233</v>
      </c>
    </row>
    <row r="59" spans="1:7">
      <c r="A59" s="54">
        <v>43715</v>
      </c>
      <c r="B59" t="str">
        <f t="shared" si="0"/>
        <v>September</v>
      </c>
      <c r="C59" s="15" t="s">
        <v>12</v>
      </c>
      <c r="D59" s="15">
        <v>127</v>
      </c>
      <c r="E59" s="106">
        <f>_xlfn.FORECAST.LINEAR(Table13[[#This Row],[Date]],Table13[Units_Sold],Table13[Date])</f>
        <v>99.143892143568564</v>
      </c>
      <c r="F59" s="109">
        <f>Table11[[#This Row],[Forecasted_Units]]*(1+Table11[[#This Row],[Adjustment_Percentage]])</f>
        <v>99.143892143568564</v>
      </c>
      <c r="G59" s="113">
        <f t="shared" si="1"/>
        <v>0.78066056805959505</v>
      </c>
    </row>
    <row r="60" spans="1:7">
      <c r="A60" s="53">
        <v>43745</v>
      </c>
      <c r="B60" t="str">
        <f t="shared" si="0"/>
        <v>October</v>
      </c>
      <c r="C60" s="14" t="s">
        <v>11</v>
      </c>
      <c r="D60" s="14">
        <v>100</v>
      </c>
      <c r="E60" s="105">
        <f>_xlfn.FORECAST.LINEAR(Table13[[#This Row],[Date]],Table13[Units_Sold],Table13[Date])</f>
        <v>99.145056340225352</v>
      </c>
      <c r="F60" s="108">
        <f>Table11[[#This Row],[Forecasted_Units]]*(1+Table11[[#This Row],[Adjustment_Percentage]])</f>
        <v>99.145056340225352</v>
      </c>
      <c r="G60" s="113">
        <f t="shared" si="1"/>
        <v>0.99145056340225357</v>
      </c>
    </row>
    <row r="61" spans="1:7">
      <c r="A61" s="54">
        <v>43775</v>
      </c>
      <c r="B61" t="str">
        <f t="shared" si="0"/>
        <v>November</v>
      </c>
      <c r="C61" s="15" t="s">
        <v>10</v>
      </c>
      <c r="D61" s="15">
        <v>93</v>
      </c>
      <c r="E61" s="106">
        <f>_xlfn.FORECAST.LINEAR(Table13[[#This Row],[Date]],Table13[Units_Sold],Table13[Date])</f>
        <v>99.14622053688214</v>
      </c>
      <c r="F61" s="109">
        <f>Table11[[#This Row],[Forecasted_Units]]*(1+Table11[[#This Row],[Adjustment_Percentage]])</f>
        <v>99.14622053688214</v>
      </c>
      <c r="G61" s="113">
        <f t="shared" si="1"/>
        <v>0.93391160713029953</v>
      </c>
    </row>
    <row r="62" spans="1:7">
      <c r="A62" s="53">
        <v>43805</v>
      </c>
      <c r="B62" t="str">
        <f t="shared" si="0"/>
        <v>December</v>
      </c>
      <c r="C62" s="14" t="s">
        <v>12</v>
      </c>
      <c r="D62" s="14">
        <v>103</v>
      </c>
      <c r="E62" s="105">
        <f>_xlfn.FORECAST.LINEAR(Table13[[#This Row],[Date]],Table13[Units_Sold],Table13[Date])</f>
        <v>99.147384733538928</v>
      </c>
      <c r="F62" s="108">
        <f>Table11[[#This Row],[Forecasted_Units]]*(1+Table11[[#This Row],[Adjustment_Percentage]])</f>
        <v>99.147384733538928</v>
      </c>
      <c r="G62" s="113">
        <f t="shared" si="1"/>
        <v>0.96259596828678573</v>
      </c>
    </row>
    <row r="63" spans="1:7">
      <c r="A63" s="54">
        <v>43835</v>
      </c>
      <c r="B63" t="str">
        <f t="shared" si="0"/>
        <v>January</v>
      </c>
      <c r="C63" s="15" t="s">
        <v>10</v>
      </c>
      <c r="D63" s="15">
        <v>78</v>
      </c>
      <c r="E63" s="106">
        <f>_xlfn.FORECAST.LINEAR(Table13[[#This Row],[Date]],Table13[Units_Sold],Table13[Date])</f>
        <v>99.148548930195716</v>
      </c>
      <c r="F63" s="109">
        <f>Table11[[#This Row],[Forecasted_Units]]*(1+Table11[[#This Row],[Adjustment_Percentage]])</f>
        <v>99.148548930195716</v>
      </c>
      <c r="G63" s="113">
        <f t="shared" si="1"/>
        <v>0.72886475730518319</v>
      </c>
    </row>
    <row r="64" spans="1:7">
      <c r="A64" s="53">
        <v>43865</v>
      </c>
      <c r="B64" t="str">
        <f t="shared" si="0"/>
        <v>February</v>
      </c>
      <c r="C64" s="14" t="s">
        <v>14</v>
      </c>
      <c r="D64" s="14">
        <v>116</v>
      </c>
      <c r="E64" s="105">
        <f>_xlfn.FORECAST.LINEAR(Table13[[#This Row],[Date]],Table13[Units_Sold],Table13[Date])</f>
        <v>99.149713126852504</v>
      </c>
      <c r="F64" s="108">
        <f>Table11[[#This Row],[Forecasted_Units]]*(1+Table11[[#This Row],[Adjustment_Percentage]])</f>
        <v>99.149713126852504</v>
      </c>
      <c r="G64" s="113">
        <f t="shared" si="1"/>
        <v>0.85473890626596982</v>
      </c>
    </row>
    <row r="65" spans="1:7">
      <c r="A65" s="54">
        <v>43895</v>
      </c>
      <c r="B65" t="str">
        <f t="shared" si="0"/>
        <v>March</v>
      </c>
      <c r="C65" s="15" t="s">
        <v>11</v>
      </c>
      <c r="D65" s="15">
        <v>88</v>
      </c>
      <c r="E65" s="106">
        <f>_xlfn.FORECAST.LINEAR(Table13[[#This Row],[Date]],Table13[Units_Sold],Table13[Date])</f>
        <v>99.150877323509292</v>
      </c>
      <c r="F65" s="109">
        <f>Table11[[#This Row],[Forecasted_Units]]*(1+Table11[[#This Row],[Adjustment_Percentage]])</f>
        <v>99.150877323509292</v>
      </c>
      <c r="G65" s="113">
        <f t="shared" si="1"/>
        <v>0.87328548496012171</v>
      </c>
    </row>
    <row r="66" spans="1:7">
      <c r="A66" s="53">
        <v>43925</v>
      </c>
      <c r="B66" t="str">
        <f t="shared" si="0"/>
        <v>April</v>
      </c>
      <c r="C66" s="14" t="s">
        <v>14</v>
      </c>
      <c r="D66" s="14">
        <v>105</v>
      </c>
      <c r="E66" s="105">
        <f>_xlfn.FORECAST.LINEAR(Table13[[#This Row],[Date]],Table13[Units_Sold],Table13[Date])</f>
        <v>99.15204152016608</v>
      </c>
      <c r="F66" s="108">
        <f>Table11[[#This Row],[Forecasted_Units]]*(1+Table11[[#This Row],[Adjustment_Percentage]])</f>
        <v>99.15204152016608</v>
      </c>
      <c r="G66" s="113">
        <f t="shared" si="1"/>
        <v>0.94430515733491505</v>
      </c>
    </row>
    <row r="67" spans="1:7">
      <c r="A67" s="54">
        <v>43955</v>
      </c>
      <c r="B67" t="str">
        <f t="shared" ref="B67:B130" si="2">TEXT(A67,"mmmm")</f>
        <v>May</v>
      </c>
      <c r="C67" s="15" t="s">
        <v>11</v>
      </c>
      <c r="D67" s="15">
        <v>92</v>
      </c>
      <c r="E67" s="106">
        <f>_xlfn.FORECAST.LINEAR(Table13[[#This Row],[Date]],Table13[Units_Sold],Table13[Date])</f>
        <v>99.153205716822868</v>
      </c>
      <c r="F67" s="109">
        <f>Table11[[#This Row],[Forecasted_Units]]*(1+Table11[[#This Row],[Adjustment_Percentage]])</f>
        <v>99.153205716822868</v>
      </c>
      <c r="G67" s="113">
        <f t="shared" ref="G67:G130" si="3">1-ABS(D67-F67)/D67</f>
        <v>0.92224776394757757</v>
      </c>
    </row>
    <row r="68" spans="1:7">
      <c r="A68" s="53">
        <v>43985</v>
      </c>
      <c r="B68" t="str">
        <f t="shared" si="2"/>
        <v>June</v>
      </c>
      <c r="C68" s="14" t="s">
        <v>12</v>
      </c>
      <c r="D68" s="14">
        <v>96</v>
      </c>
      <c r="E68" s="105">
        <f>_xlfn.FORECAST.LINEAR(Table13[[#This Row],[Date]],Table13[Units_Sold],Table13[Date])</f>
        <v>99.154369913479641</v>
      </c>
      <c r="F68" s="108">
        <f>Table11[[#This Row],[Forecasted_Units]]*(1+Table11[[#This Row],[Adjustment_Percentage]])</f>
        <v>99.154369913479641</v>
      </c>
      <c r="G68" s="113">
        <f t="shared" si="3"/>
        <v>0.9671419800679204</v>
      </c>
    </row>
    <row r="69" spans="1:7">
      <c r="A69" s="54">
        <v>44015</v>
      </c>
      <c r="B69" t="str">
        <f t="shared" si="2"/>
        <v>July</v>
      </c>
      <c r="C69" s="15" t="s">
        <v>11</v>
      </c>
      <c r="D69" s="15">
        <v>104</v>
      </c>
      <c r="E69" s="106">
        <f>_xlfn.FORECAST.LINEAR(Table13[[#This Row],[Date]],Table13[Units_Sold],Table13[Date])</f>
        <v>99.155534110136429</v>
      </c>
      <c r="F69" s="109">
        <f>Table11[[#This Row],[Forecasted_Units]]*(1+Table11[[#This Row],[Adjustment_Percentage]])</f>
        <v>99.155534110136429</v>
      </c>
      <c r="G69" s="113">
        <f t="shared" si="3"/>
        <v>0.95341859721285027</v>
      </c>
    </row>
    <row r="70" spans="1:7">
      <c r="A70" s="53">
        <v>44045</v>
      </c>
      <c r="B70" t="str">
        <f t="shared" si="2"/>
        <v>August</v>
      </c>
      <c r="C70" s="14" t="s">
        <v>11</v>
      </c>
      <c r="D70" s="14">
        <v>84</v>
      </c>
      <c r="E70" s="105">
        <f>_xlfn.FORECAST.LINEAR(Table13[[#This Row],[Date]],Table13[Units_Sold],Table13[Date])</f>
        <v>99.156698306793217</v>
      </c>
      <c r="F70" s="108">
        <f>Table11[[#This Row],[Forecasted_Units]]*(1+Table11[[#This Row],[Adjustment_Percentage]])</f>
        <v>99.156698306793217</v>
      </c>
      <c r="G70" s="113">
        <f t="shared" si="3"/>
        <v>0.8195631153953189</v>
      </c>
    </row>
    <row r="71" spans="1:7">
      <c r="A71" s="54">
        <v>44075</v>
      </c>
      <c r="B71" t="str">
        <f t="shared" si="2"/>
        <v>September</v>
      </c>
      <c r="C71" s="15" t="s">
        <v>12</v>
      </c>
      <c r="D71" s="15">
        <v>95</v>
      </c>
      <c r="E71" s="106">
        <f>_xlfn.FORECAST.LINEAR(Table13[[#This Row],[Date]],Table13[Units_Sold],Table13[Date])</f>
        <v>99.157862503450005</v>
      </c>
      <c r="F71" s="109">
        <f>Table11[[#This Row],[Forecasted_Units]]*(1+Table11[[#This Row],[Adjustment_Percentage]])</f>
        <v>99.157862503450005</v>
      </c>
      <c r="G71" s="113">
        <f t="shared" si="3"/>
        <v>0.9562330262794736</v>
      </c>
    </row>
    <row r="72" spans="1:7">
      <c r="A72" s="53">
        <v>44105</v>
      </c>
      <c r="B72" t="str">
        <f t="shared" si="2"/>
        <v>October</v>
      </c>
      <c r="C72" s="14" t="s">
        <v>11</v>
      </c>
      <c r="D72" s="14">
        <v>105</v>
      </c>
      <c r="E72" s="105">
        <f>_xlfn.FORECAST.LINEAR(Table13[[#This Row],[Date]],Table13[Units_Sold],Table13[Date])</f>
        <v>99.159026700106793</v>
      </c>
      <c r="F72" s="108">
        <f>Table11[[#This Row],[Forecasted_Units]]*(1+Table11[[#This Row],[Adjustment_Percentage]])</f>
        <v>99.159026700106793</v>
      </c>
      <c r="G72" s="113">
        <f t="shared" si="3"/>
        <v>0.94437168285815998</v>
      </c>
    </row>
    <row r="73" spans="1:7">
      <c r="A73" s="54">
        <v>44135</v>
      </c>
      <c r="B73" t="str">
        <f t="shared" si="2"/>
        <v>October</v>
      </c>
      <c r="C73" s="15" t="s">
        <v>10</v>
      </c>
      <c r="D73" s="15">
        <v>100</v>
      </c>
      <c r="E73" s="106">
        <f>_xlfn.FORECAST.LINEAR(Table13[[#This Row],[Date]],Table13[Units_Sold],Table13[Date])</f>
        <v>99.160190896763581</v>
      </c>
      <c r="F73" s="109">
        <f>Table11[[#This Row],[Forecasted_Units]]*(1+Table11[[#This Row],[Adjustment_Percentage]])</f>
        <v>99.160190896763581</v>
      </c>
      <c r="G73" s="113">
        <f t="shared" si="3"/>
        <v>0.99160190896763578</v>
      </c>
    </row>
    <row r="74" spans="1:7">
      <c r="A74" s="53">
        <v>44165</v>
      </c>
      <c r="B74" t="str">
        <f t="shared" si="2"/>
        <v>November</v>
      </c>
      <c r="C74" s="14" t="s">
        <v>13</v>
      </c>
      <c r="D74" s="14">
        <v>104</v>
      </c>
      <c r="E74" s="105">
        <f>_xlfn.FORECAST.LINEAR(Table13[[#This Row],[Date]],Table13[Units_Sold],Table13[Date])</f>
        <v>99.161355093420369</v>
      </c>
      <c r="F74" s="108">
        <f>Table11[[#This Row],[Forecasted_Units]]*(1+Table11[[#This Row],[Adjustment_Percentage]])</f>
        <v>99.161355093420369</v>
      </c>
      <c r="G74" s="113">
        <f t="shared" si="3"/>
        <v>0.9534745682059651</v>
      </c>
    </row>
    <row r="75" spans="1:7">
      <c r="A75" s="54">
        <v>44195</v>
      </c>
      <c r="B75" t="str">
        <f t="shared" si="2"/>
        <v>December</v>
      </c>
      <c r="C75" s="15" t="s">
        <v>12</v>
      </c>
      <c r="D75" s="15">
        <v>106</v>
      </c>
      <c r="E75" s="106">
        <f>_xlfn.FORECAST.LINEAR(Table13[[#This Row],[Date]],Table13[Units_Sold],Table13[Date])</f>
        <v>99.162519290077157</v>
      </c>
      <c r="F75" s="109">
        <f>Table11[[#This Row],[Forecasted_Units]]*(1+Table11[[#This Row],[Adjustment_Percentage]])</f>
        <v>99.162519290077157</v>
      </c>
      <c r="G75" s="113">
        <f t="shared" si="3"/>
        <v>0.93549546500072789</v>
      </c>
    </row>
    <row r="76" spans="1:7">
      <c r="A76" s="53">
        <v>44225</v>
      </c>
      <c r="B76" t="str">
        <f t="shared" si="2"/>
        <v>January</v>
      </c>
      <c r="C76" s="14" t="s">
        <v>13</v>
      </c>
      <c r="D76" s="14">
        <v>120</v>
      </c>
      <c r="E76" s="105">
        <f>_xlfn.FORECAST.LINEAR(Table13[[#This Row],[Date]],Table13[Units_Sold],Table13[Date])</f>
        <v>99.163683486733945</v>
      </c>
      <c r="F76" s="108">
        <f>Table11[[#This Row],[Forecasted_Units]]*(1+Table11[[#This Row],[Adjustment_Percentage]])</f>
        <v>99.163683486733945</v>
      </c>
      <c r="G76" s="113">
        <f t="shared" si="3"/>
        <v>0.82636402905611617</v>
      </c>
    </row>
    <row r="77" spans="1:7">
      <c r="A77" s="54">
        <v>44255</v>
      </c>
      <c r="B77" t="str">
        <f t="shared" si="2"/>
        <v>February</v>
      </c>
      <c r="C77" s="15" t="s">
        <v>12</v>
      </c>
      <c r="D77" s="15">
        <f>IF(ISBLANK(D30), O31, D30)</f>
        <v>106</v>
      </c>
      <c r="E77" s="106">
        <f>_xlfn.FORECAST.LINEAR(Table13[[#This Row],[Date]],Table13[Units_Sold],Table13[Date])</f>
        <v>99.164847683390732</v>
      </c>
      <c r="F77" s="109">
        <f>Table11[[#This Row],[Forecasted_Units]]*(1+Table11[[#This Row],[Adjustment_Percentage]])</f>
        <v>99.164847683390732</v>
      </c>
      <c r="G77" s="113">
        <f t="shared" si="3"/>
        <v>0.93551743097538431</v>
      </c>
    </row>
    <row r="78" spans="1:7">
      <c r="A78" s="53">
        <v>44285</v>
      </c>
      <c r="B78" t="str">
        <f t="shared" si="2"/>
        <v>March</v>
      </c>
      <c r="C78" s="14" t="s">
        <v>12</v>
      </c>
      <c r="D78" s="14">
        <v>118</v>
      </c>
      <c r="E78" s="105">
        <f>_xlfn.FORECAST.LINEAR(Table13[[#This Row],[Date]],Table13[Units_Sold],Table13[Date])</f>
        <v>99.16601188004752</v>
      </c>
      <c r="F78" s="108">
        <f>Table11[[#This Row],[Forecasted_Units]]*(1+Table11[[#This Row],[Adjustment_Percentage]])</f>
        <v>99.16601188004752</v>
      </c>
      <c r="G78" s="113">
        <f t="shared" si="3"/>
        <v>0.84038993118684335</v>
      </c>
    </row>
    <row r="79" spans="1:7">
      <c r="A79" s="54">
        <v>44315</v>
      </c>
      <c r="B79" t="str">
        <f t="shared" si="2"/>
        <v>April</v>
      </c>
      <c r="C79" s="15" t="s">
        <v>14</v>
      </c>
      <c r="D79" s="15">
        <v>92</v>
      </c>
      <c r="E79" s="106">
        <f>_xlfn.FORECAST.LINEAR(Table13[[#This Row],[Date]],Table13[Units_Sold],Table13[Date])</f>
        <v>99.167176076704294</v>
      </c>
      <c r="F79" s="109">
        <f>Table11[[#This Row],[Forecasted_Units]]*(1+Table11[[#This Row],[Adjustment_Percentage]])</f>
        <v>99.167176076704294</v>
      </c>
      <c r="G79" s="113">
        <f t="shared" si="3"/>
        <v>0.92209591220973597</v>
      </c>
    </row>
    <row r="80" spans="1:7">
      <c r="A80" s="53">
        <v>44345</v>
      </c>
      <c r="B80" t="str">
        <f t="shared" si="2"/>
        <v>May</v>
      </c>
      <c r="C80" s="14" t="s">
        <v>14</v>
      </c>
      <c r="D80" s="14">
        <v>110</v>
      </c>
      <c r="E80" s="105">
        <f>_xlfn.FORECAST.LINEAR(Table13[[#This Row],[Date]],Table13[Units_Sold],Table13[Date])</f>
        <v>99.168340273361082</v>
      </c>
      <c r="F80" s="108">
        <f>Table11[[#This Row],[Forecasted_Units]]*(1+Table11[[#This Row],[Adjustment_Percentage]])</f>
        <v>99.168340273361082</v>
      </c>
      <c r="G80" s="113">
        <f t="shared" si="3"/>
        <v>0.90153036612146442</v>
      </c>
    </row>
    <row r="81" spans="1:7">
      <c r="A81" s="54">
        <v>44375</v>
      </c>
      <c r="B81" t="str">
        <f t="shared" si="2"/>
        <v>June</v>
      </c>
      <c r="C81" s="15" t="s">
        <v>11</v>
      </c>
      <c r="D81" s="15">
        <v>101</v>
      </c>
      <c r="E81" s="106">
        <f>_xlfn.FORECAST.LINEAR(Table13[[#This Row],[Date]],Table13[Units_Sold],Table13[Date])</f>
        <v>99.16950447001787</v>
      </c>
      <c r="F81" s="109">
        <f>Table11[[#This Row],[Forecasted_Units]]*(1+Table11[[#This Row],[Adjustment_Percentage]])</f>
        <v>99.16950447001787</v>
      </c>
      <c r="G81" s="113">
        <f t="shared" si="3"/>
        <v>0.981876281881365</v>
      </c>
    </row>
    <row r="82" spans="1:7">
      <c r="A82" s="53">
        <v>44405</v>
      </c>
      <c r="B82" t="str">
        <f t="shared" si="2"/>
        <v>July</v>
      </c>
      <c r="C82" s="14" t="s">
        <v>13</v>
      </c>
      <c r="D82" s="14">
        <v>84</v>
      </c>
      <c r="E82" s="105">
        <f>_xlfn.FORECAST.LINEAR(Table13[[#This Row],[Date]],Table13[Units_Sold],Table13[Date])</f>
        <v>99.170668666674658</v>
      </c>
      <c r="F82" s="108">
        <f>Table11[[#This Row],[Forecasted_Units]]*(1+Table11[[#This Row],[Adjustment_Percentage]])</f>
        <v>99.170668666674658</v>
      </c>
      <c r="G82" s="113">
        <f t="shared" si="3"/>
        <v>0.8193968015872064</v>
      </c>
    </row>
    <row r="83" spans="1:7">
      <c r="A83" s="54">
        <v>44435</v>
      </c>
      <c r="B83" t="str">
        <f t="shared" si="2"/>
        <v>August</v>
      </c>
      <c r="C83" s="15" t="s">
        <v>12</v>
      </c>
      <c r="D83" s="15">
        <v>115</v>
      </c>
      <c r="E83" s="106">
        <f>_xlfn.FORECAST.LINEAR(Table13[[#This Row],[Date]],Table13[Units_Sold],Table13[Date])</f>
        <v>99.171832863331446</v>
      </c>
      <c r="F83" s="109">
        <f>Table11[[#This Row],[Forecasted_Units]]*(1+Table11[[#This Row],[Adjustment_Percentage]])</f>
        <v>99.171832863331446</v>
      </c>
      <c r="G83" s="113">
        <f t="shared" si="3"/>
        <v>0.86236376402896908</v>
      </c>
    </row>
    <row r="84" spans="1:7">
      <c r="A84" s="53">
        <v>44465</v>
      </c>
      <c r="B84" t="str">
        <f t="shared" si="2"/>
        <v>September</v>
      </c>
      <c r="C84" s="14" t="s">
        <v>11</v>
      </c>
      <c r="D84" s="14">
        <v>95</v>
      </c>
      <c r="E84" s="105">
        <f>_xlfn.FORECAST.LINEAR(Table13[[#This Row],[Date]],Table13[Units_Sold],Table13[Date])</f>
        <v>99.172997059988234</v>
      </c>
      <c r="F84" s="108">
        <f>Table11[[#This Row],[Forecasted_Units]]*(1+Table11[[#This Row],[Adjustment_Percentage]])</f>
        <v>99.172997059988234</v>
      </c>
      <c r="G84" s="113">
        <f t="shared" si="3"/>
        <v>0.95607371515801864</v>
      </c>
    </row>
    <row r="85" spans="1:7">
      <c r="A85" s="54">
        <v>44495</v>
      </c>
      <c r="B85" t="str">
        <f t="shared" si="2"/>
        <v>October</v>
      </c>
      <c r="C85" s="15" t="s">
        <v>10</v>
      </c>
      <c r="D85" s="15">
        <v>114</v>
      </c>
      <c r="E85" s="106">
        <f>_xlfn.FORECAST.LINEAR(Table13[[#This Row],[Date]],Table13[Units_Sold],Table13[Date])</f>
        <v>99.174161256645021</v>
      </c>
      <c r="F85" s="109">
        <f>Table11[[#This Row],[Forecasted_Units]]*(1+Table11[[#This Row],[Adjustment_Percentage]])</f>
        <v>99.174161256645021</v>
      </c>
      <c r="G85" s="113">
        <f t="shared" si="3"/>
        <v>0.86994878295302647</v>
      </c>
    </row>
    <row r="86" spans="1:7">
      <c r="A86" s="53">
        <v>44525</v>
      </c>
      <c r="B86" t="str">
        <f t="shared" si="2"/>
        <v>November</v>
      </c>
      <c r="C86" s="14" t="s">
        <v>12</v>
      </c>
      <c r="D86" s="14">
        <v>104</v>
      </c>
      <c r="E86" s="105">
        <f>_xlfn.FORECAST.LINEAR(Table13[[#This Row],[Date]],Table13[Units_Sold],Table13[Date])</f>
        <v>99.175325453301809</v>
      </c>
      <c r="F86" s="108">
        <f>Table11[[#This Row],[Forecasted_Units]]*(1+Table11[[#This Row],[Adjustment_Percentage]])</f>
        <v>99.175325453301809</v>
      </c>
      <c r="G86" s="113">
        <f t="shared" si="3"/>
        <v>0.95360889858944042</v>
      </c>
    </row>
    <row r="87" spans="1:7">
      <c r="A87" s="54">
        <v>44555</v>
      </c>
      <c r="B87" t="str">
        <f t="shared" si="2"/>
        <v>December</v>
      </c>
      <c r="C87" s="15" t="s">
        <v>10</v>
      </c>
      <c r="D87" s="15">
        <v>89</v>
      </c>
      <c r="E87" s="106">
        <f>_xlfn.FORECAST.LINEAR(Table13[[#This Row],[Date]],Table13[Units_Sold],Table13[Date])</f>
        <v>99.176489649958597</v>
      </c>
      <c r="F87" s="109">
        <f>Table11[[#This Row],[Forecasted_Units]]*(1+Table11[[#This Row],[Adjustment_Percentage]])</f>
        <v>99.176489649958597</v>
      </c>
      <c r="G87" s="113">
        <f t="shared" si="3"/>
        <v>0.88565741966338651</v>
      </c>
    </row>
    <row r="88" spans="1:7">
      <c r="A88" s="53">
        <v>44585</v>
      </c>
      <c r="B88" t="str">
        <f t="shared" si="2"/>
        <v>January</v>
      </c>
      <c r="C88" s="14" t="s">
        <v>11</v>
      </c>
      <c r="D88" s="14">
        <f>IF(ISBLANK(D41), O42, D41)</f>
        <v>101</v>
      </c>
      <c r="E88" s="105">
        <f>_xlfn.FORECAST.LINEAR(Table13[[#This Row],[Date]],Table13[Units_Sold],Table13[Date])</f>
        <v>99.177653846615385</v>
      </c>
      <c r="F88" s="108">
        <f>Table11[[#This Row],[Forecasted_Units]]*(1+Table11[[#This Row],[Adjustment_Percentage]])</f>
        <v>99.177653846615385</v>
      </c>
      <c r="G88" s="113">
        <f t="shared" si="3"/>
        <v>0.98195696877837013</v>
      </c>
    </row>
    <row r="89" spans="1:7">
      <c r="A89" s="54">
        <v>44615</v>
      </c>
      <c r="B89" t="str">
        <f t="shared" si="2"/>
        <v>February</v>
      </c>
      <c r="C89" s="15" t="s">
        <v>14</v>
      </c>
      <c r="D89" s="15">
        <v>85</v>
      </c>
      <c r="E89" s="106">
        <f>_xlfn.FORECAST.LINEAR(Table13[[#This Row],[Date]],Table13[Units_Sold],Table13[Date])</f>
        <v>99.178818043272173</v>
      </c>
      <c r="F89" s="109">
        <f>Table11[[#This Row],[Forecasted_Units]]*(1+Table11[[#This Row],[Adjustment_Percentage]])</f>
        <v>99.178818043272173</v>
      </c>
      <c r="G89" s="113">
        <f t="shared" si="3"/>
        <v>0.8331903759615038</v>
      </c>
    </row>
    <row r="90" spans="1:7">
      <c r="A90" s="53">
        <v>44645</v>
      </c>
      <c r="B90" t="str">
        <f t="shared" si="2"/>
        <v>March</v>
      </c>
      <c r="C90" s="14" t="s">
        <v>11</v>
      </c>
      <c r="D90" s="14">
        <v>101</v>
      </c>
      <c r="E90" s="105">
        <f>_xlfn.FORECAST.LINEAR(Table13[[#This Row],[Date]],Table13[Units_Sold],Table13[Date])</f>
        <v>99.179982239928947</v>
      </c>
      <c r="F90" s="108">
        <f>Table11[[#This Row],[Forecasted_Units]]*(1+Table11[[#This Row],[Adjustment_Percentage]])</f>
        <v>99.179982239928947</v>
      </c>
      <c r="G90" s="113">
        <f t="shared" si="3"/>
        <v>0.98198002217751434</v>
      </c>
    </row>
    <row r="91" spans="1:7">
      <c r="A91" s="54">
        <v>44675</v>
      </c>
      <c r="B91" t="str">
        <f t="shared" si="2"/>
        <v>April</v>
      </c>
      <c r="C91" s="15" t="s">
        <v>10</v>
      </c>
      <c r="D91" s="15">
        <v>104</v>
      </c>
      <c r="E91" s="106">
        <f>_xlfn.FORECAST.LINEAR(Table13[[#This Row],[Date]],Table13[Units_Sold],Table13[Date])</f>
        <v>99.181146436585735</v>
      </c>
      <c r="F91" s="109">
        <f>Table11[[#This Row],[Forecasted_Units]]*(1+Table11[[#This Row],[Adjustment_Percentage]])</f>
        <v>99.181146436585735</v>
      </c>
      <c r="G91" s="113">
        <f t="shared" si="3"/>
        <v>0.95366486958255514</v>
      </c>
    </row>
    <row r="92" spans="1:7">
      <c r="A92" s="53">
        <v>44705</v>
      </c>
      <c r="B92" t="str">
        <f t="shared" si="2"/>
        <v>May</v>
      </c>
      <c r="C92" s="14" t="s">
        <v>12</v>
      </c>
      <c r="D92" s="14">
        <v>106</v>
      </c>
      <c r="E92" s="105">
        <f>_xlfn.FORECAST.LINEAR(Table13[[#This Row],[Date]],Table13[Units_Sold],Table13[Date])</f>
        <v>99.182310633242523</v>
      </c>
      <c r="F92" s="108">
        <f>Table11[[#This Row],[Forecasted_Units]]*(1+Table11[[#This Row],[Adjustment_Percentage]])</f>
        <v>99.182310633242523</v>
      </c>
      <c r="G92" s="113">
        <f t="shared" si="3"/>
        <v>0.93568217578530677</v>
      </c>
    </row>
    <row r="93" spans="1:7">
      <c r="A93" s="54">
        <v>44735</v>
      </c>
      <c r="B93" t="str">
        <f t="shared" si="2"/>
        <v>June</v>
      </c>
      <c r="C93" s="15" t="s">
        <v>13</v>
      </c>
      <c r="D93" s="15">
        <v>95</v>
      </c>
      <c r="E93" s="106">
        <f>_xlfn.FORECAST.LINEAR(Table13[[#This Row],[Date]],Table13[Units_Sold],Table13[Date])</f>
        <v>99.183474829899311</v>
      </c>
      <c r="F93" s="109">
        <f>Table11[[#This Row],[Forecasted_Units]]*(1+Table11[[#This Row],[Adjustment_Percentage]])</f>
        <v>99.183474829899311</v>
      </c>
      <c r="G93" s="113">
        <f t="shared" si="3"/>
        <v>0.95596342284316516</v>
      </c>
    </row>
    <row r="94" spans="1:7">
      <c r="A94" s="53">
        <v>44765</v>
      </c>
      <c r="B94" t="str">
        <f t="shared" si="2"/>
        <v>July</v>
      </c>
      <c r="C94" s="14" t="s">
        <v>11</v>
      </c>
      <c r="D94" s="14">
        <v>104</v>
      </c>
      <c r="E94" s="105">
        <f>_xlfn.FORECAST.LINEAR(Table13[[#This Row],[Date]],Table13[Units_Sold],Table13[Date])</f>
        <v>99.184639026556098</v>
      </c>
      <c r="F94" s="108">
        <f>Table11[[#This Row],[Forecasted_Units]]*(1+Table11[[#This Row],[Adjustment_Percentage]])</f>
        <v>99.184639026556098</v>
      </c>
      <c r="G94" s="113">
        <f t="shared" si="3"/>
        <v>0.95369845217842397</v>
      </c>
    </row>
    <row r="95" spans="1:7">
      <c r="A95" s="54">
        <v>44795</v>
      </c>
      <c r="B95" t="str">
        <f t="shared" si="2"/>
        <v>August</v>
      </c>
      <c r="C95" s="15" t="s">
        <v>12</v>
      </c>
      <c r="D95" s="15">
        <v>105</v>
      </c>
      <c r="E95" s="106">
        <f>_xlfn.FORECAST.LINEAR(Table13[[#This Row],[Date]],Table13[Units_Sold],Table13[Date])</f>
        <v>99.185803223212886</v>
      </c>
      <c r="F95" s="109">
        <f>Table11[[#This Row],[Forecasted_Units]]*(1+Table11[[#This Row],[Adjustment_Percentage]])</f>
        <v>99.185803223212886</v>
      </c>
      <c r="G95" s="113">
        <f t="shared" si="3"/>
        <v>0.94462669736393223</v>
      </c>
    </row>
    <row r="96" spans="1:7">
      <c r="A96" s="53">
        <v>44825</v>
      </c>
      <c r="B96" t="str">
        <f t="shared" si="2"/>
        <v>September</v>
      </c>
      <c r="C96" s="14" t="s">
        <v>14</v>
      </c>
      <c r="D96" s="14">
        <v>84</v>
      </c>
      <c r="E96" s="105">
        <f>_xlfn.FORECAST.LINEAR(Table13[[#This Row],[Date]],Table13[Units_Sold],Table13[Date])</f>
        <v>99.186967419869674</v>
      </c>
      <c r="F96" s="108">
        <f>Table11[[#This Row],[Forecasted_Units]]*(1+Table11[[#This Row],[Adjustment_Percentage]])</f>
        <v>99.186967419869674</v>
      </c>
      <c r="G96" s="113">
        <f t="shared" si="3"/>
        <v>0.81920276881107534</v>
      </c>
    </row>
    <row r="97" spans="1:7">
      <c r="A97" s="54">
        <v>44855</v>
      </c>
      <c r="B97" t="str">
        <f t="shared" si="2"/>
        <v>October</v>
      </c>
      <c r="C97" s="15" t="s">
        <v>14</v>
      </c>
      <c r="D97" s="15">
        <v>93</v>
      </c>
      <c r="E97" s="106">
        <f>_xlfn.FORECAST.LINEAR(Table13[[#This Row],[Date]],Table13[Units_Sold],Table13[Date])</f>
        <v>99.188131616526462</v>
      </c>
      <c r="F97" s="109">
        <f>Table11[[#This Row],[Forecasted_Units]]*(1+Table11[[#This Row],[Adjustment_Percentage]])</f>
        <v>99.188131616526462</v>
      </c>
      <c r="G97" s="113">
        <f t="shared" si="3"/>
        <v>0.93346095035993049</v>
      </c>
    </row>
    <row r="98" spans="1:7">
      <c r="A98" s="53">
        <v>44885</v>
      </c>
      <c r="B98" t="str">
        <f t="shared" si="2"/>
        <v>November</v>
      </c>
      <c r="C98" s="14" t="s">
        <v>14</v>
      </c>
      <c r="D98" s="14">
        <v>115</v>
      </c>
      <c r="E98" s="105">
        <f>_xlfn.FORECAST.LINEAR(Table13[[#This Row],[Date]],Table13[Units_Sold],Table13[Date])</f>
        <v>99.18929581318325</v>
      </c>
      <c r="F98" s="108">
        <f>Table11[[#This Row],[Forecasted_Units]]*(1+Table11[[#This Row],[Adjustment_Percentage]])</f>
        <v>99.18929581318325</v>
      </c>
      <c r="G98" s="113">
        <f t="shared" si="3"/>
        <v>0.86251561576681091</v>
      </c>
    </row>
    <row r="99" spans="1:7">
      <c r="A99" s="54">
        <v>44915</v>
      </c>
      <c r="B99" t="str">
        <f t="shared" si="2"/>
        <v>December</v>
      </c>
      <c r="C99" s="15" t="s">
        <v>12</v>
      </c>
      <c r="D99" s="15">
        <v>109</v>
      </c>
      <c r="E99" s="106">
        <f>_xlfn.FORECAST.LINEAR(Table13[[#This Row],[Date]],Table13[Units_Sold],Table13[Date])</f>
        <v>99.190460009840038</v>
      </c>
      <c r="F99" s="109">
        <f>Table11[[#This Row],[Forecasted_Units]]*(1+Table11[[#This Row],[Adjustment_Percentage]])</f>
        <v>99.190460009840038</v>
      </c>
      <c r="G99" s="113">
        <f t="shared" si="3"/>
        <v>0.91000422027376182</v>
      </c>
    </row>
    <row r="100" spans="1:7">
      <c r="A100" s="53">
        <v>44945</v>
      </c>
      <c r="B100" t="str">
        <f t="shared" si="2"/>
        <v>January</v>
      </c>
      <c r="C100" s="14" t="s">
        <v>11</v>
      </c>
      <c r="D100" s="14">
        <v>102</v>
      </c>
      <c r="E100" s="105">
        <f>_xlfn.FORECAST.LINEAR(Table13[[#This Row],[Date]],Table13[Units_Sold],Table13[Date])</f>
        <v>99.191624206496826</v>
      </c>
      <c r="F100" s="108">
        <f>Table11[[#This Row],[Forecasted_Units]]*(1+Table11[[#This Row],[Adjustment_Percentage]])</f>
        <v>99.191624206496826</v>
      </c>
      <c r="G100" s="113">
        <f t="shared" si="3"/>
        <v>0.97246690398526303</v>
      </c>
    </row>
    <row r="101" spans="1:7">
      <c r="A101" s="54">
        <v>44975</v>
      </c>
      <c r="B101" t="str">
        <f t="shared" si="2"/>
        <v>February</v>
      </c>
      <c r="C101" s="15" t="s">
        <v>12</v>
      </c>
      <c r="D101" s="15">
        <v>100</v>
      </c>
      <c r="E101" s="106">
        <f>_xlfn.FORECAST.LINEAR(Table13[[#This Row],[Date]],Table13[Units_Sold],Table13[Date])</f>
        <v>99.1927884031536</v>
      </c>
      <c r="F101" s="109">
        <f>Table11[[#This Row],[Forecasted_Units]]*(1+Table11[[#This Row],[Adjustment_Percentage]])</f>
        <v>99.1927884031536</v>
      </c>
      <c r="G101" s="113">
        <f t="shared" si="3"/>
        <v>0.99192788403153598</v>
      </c>
    </row>
    <row r="102" spans="1:7">
      <c r="A102" s="53">
        <v>45005</v>
      </c>
      <c r="B102" t="str">
        <f t="shared" si="2"/>
        <v>March</v>
      </c>
      <c r="C102" s="14" t="s">
        <v>12</v>
      </c>
      <c r="D102" s="14">
        <v>93</v>
      </c>
      <c r="E102" s="105">
        <f>_xlfn.FORECAST.LINEAR(Table13[[#This Row],[Date]],Table13[Units_Sold],Table13[Date])</f>
        <v>99.193952599810387</v>
      </c>
      <c r="F102" s="108">
        <f>Table11[[#This Row],[Forecasted_Units]]*(1+Table11[[#This Row],[Adjustment_Percentage]])</f>
        <v>99.193952599810387</v>
      </c>
      <c r="G102" s="113">
        <f t="shared" si="3"/>
        <v>0.93339835914182379</v>
      </c>
    </row>
    <row r="103" spans="1:7">
      <c r="A103" s="54">
        <v>45035</v>
      </c>
      <c r="B103" t="str">
        <f t="shared" si="2"/>
        <v>April</v>
      </c>
      <c r="C103" s="15" t="s">
        <v>13</v>
      </c>
      <c r="D103" s="15">
        <f>IF(ISBLANK(D56), O57, D56)</f>
        <v>121</v>
      </c>
      <c r="E103" s="106">
        <f>_xlfn.FORECAST.LINEAR(Table13[[#This Row],[Date]],Table13[Units_Sold],Table13[Date])</f>
        <v>99.195116796467175</v>
      </c>
      <c r="F103" s="109">
        <f>Table11[[#This Row],[Forecasted_Units]]*(1+Table11[[#This Row],[Adjustment_Percentage]])</f>
        <v>99.195116796467175</v>
      </c>
      <c r="G103" s="113">
        <f t="shared" si="3"/>
        <v>0.81979435368981135</v>
      </c>
    </row>
    <row r="104" spans="1:7">
      <c r="A104" s="53">
        <v>45065</v>
      </c>
      <c r="B104" t="str">
        <f t="shared" si="2"/>
        <v>May</v>
      </c>
      <c r="C104" s="14" t="s">
        <v>13</v>
      </c>
      <c r="D104" s="14">
        <v>117</v>
      </c>
      <c r="E104" s="105">
        <f>_xlfn.FORECAST.LINEAR(Table13[[#This Row],[Date]],Table13[Units_Sold],Table13[Date])</f>
        <v>99.196280993123963</v>
      </c>
      <c r="F104" s="108">
        <f>Table11[[#This Row],[Forecasted_Units]]*(1+Table11[[#This Row],[Adjustment_Percentage]])</f>
        <v>99.196280993123963</v>
      </c>
      <c r="G104" s="113">
        <f t="shared" si="3"/>
        <v>0.84783146147969202</v>
      </c>
    </row>
    <row r="105" spans="1:7">
      <c r="A105" s="54">
        <v>45095</v>
      </c>
      <c r="B105" t="str">
        <f t="shared" si="2"/>
        <v>June</v>
      </c>
      <c r="C105" s="15" t="s">
        <v>11</v>
      </c>
      <c r="D105" s="15">
        <v>98</v>
      </c>
      <c r="E105" s="106">
        <f>_xlfn.FORECAST.LINEAR(Table13[[#This Row],[Date]],Table13[Units_Sold],Table13[Date])</f>
        <v>99.197445189780751</v>
      </c>
      <c r="F105" s="109">
        <f>Table11[[#This Row],[Forecasted_Units]]*(1+Table11[[#This Row],[Adjustment_Percentage]])</f>
        <v>99.197445189780751</v>
      </c>
      <c r="G105" s="113">
        <f t="shared" si="3"/>
        <v>0.9877811715328495</v>
      </c>
    </row>
    <row r="106" spans="1:7">
      <c r="A106" s="53">
        <v>45125</v>
      </c>
      <c r="B106" t="str">
        <f t="shared" si="2"/>
        <v>July</v>
      </c>
      <c r="C106" s="14" t="s">
        <v>13</v>
      </c>
      <c r="D106" s="14">
        <v>94</v>
      </c>
      <c r="E106" s="105">
        <f>_xlfn.FORECAST.LINEAR(Table13[[#This Row],[Date]],Table13[Units_Sold],Table13[Date])</f>
        <v>99.198609386437539</v>
      </c>
      <c r="F106" s="108">
        <f>Table11[[#This Row],[Forecasted_Units]]*(1+Table11[[#This Row],[Adjustment_Percentage]])</f>
        <v>99.198609386437539</v>
      </c>
      <c r="G106" s="113">
        <f t="shared" si="3"/>
        <v>0.94469564482513257</v>
      </c>
    </row>
    <row r="107" spans="1:7">
      <c r="A107" s="54">
        <v>45155</v>
      </c>
      <c r="B107" t="str">
        <f t="shared" si="2"/>
        <v>August</v>
      </c>
      <c r="C107" s="15" t="s">
        <v>14</v>
      </c>
      <c r="D107" s="15">
        <v>112</v>
      </c>
      <c r="E107" s="106">
        <f>_xlfn.FORECAST.LINEAR(Table13[[#This Row],[Date]],Table13[Units_Sold],Table13[Date])</f>
        <v>99.199773583094327</v>
      </c>
      <c r="F107" s="109">
        <f>Table11[[#This Row],[Forecasted_Units]]*(1+Table11[[#This Row],[Adjustment_Percentage]])</f>
        <v>99.199773583094327</v>
      </c>
      <c r="G107" s="113">
        <f t="shared" si="3"/>
        <v>0.88571226413477078</v>
      </c>
    </row>
    <row r="108" spans="1:7">
      <c r="A108" s="53">
        <v>45185</v>
      </c>
      <c r="B108" t="str">
        <f t="shared" si="2"/>
        <v>September</v>
      </c>
      <c r="C108" s="14" t="s">
        <v>13</v>
      </c>
      <c r="D108" s="14">
        <v>89</v>
      </c>
      <c r="E108" s="105">
        <f>_xlfn.FORECAST.LINEAR(Table13[[#This Row],[Date]],Table13[Units_Sold],Table13[Date])</f>
        <v>99.200937779751115</v>
      </c>
      <c r="F108" s="108">
        <f>Table11[[#This Row],[Forecasted_Units]]*(1+Table11[[#This Row],[Adjustment_Percentage]])</f>
        <v>99.200937779751115</v>
      </c>
      <c r="G108" s="113">
        <f t="shared" si="3"/>
        <v>0.8853827215758302</v>
      </c>
    </row>
    <row r="109" spans="1:7">
      <c r="A109" s="54">
        <v>45215</v>
      </c>
      <c r="B109" t="str">
        <f t="shared" si="2"/>
        <v>October</v>
      </c>
      <c r="C109" s="15" t="s">
        <v>14</v>
      </c>
      <c r="D109" s="15">
        <v>119</v>
      </c>
      <c r="E109" s="106">
        <f>_xlfn.FORECAST.LINEAR(Table13[[#This Row],[Date]],Table13[Units_Sold],Table13[Date])</f>
        <v>99.202101976407903</v>
      </c>
      <c r="F109" s="109">
        <f>Table11[[#This Row],[Forecasted_Units]]*(1+Table11[[#This Row],[Adjustment_Percentage]])</f>
        <v>99.202101976407903</v>
      </c>
      <c r="G109" s="113">
        <f t="shared" si="3"/>
        <v>0.83363110904544457</v>
      </c>
    </row>
    <row r="110" spans="1:7">
      <c r="A110" s="53">
        <v>45245</v>
      </c>
      <c r="B110" t="str">
        <f t="shared" si="2"/>
        <v>November</v>
      </c>
      <c r="C110" s="14" t="s">
        <v>11</v>
      </c>
      <c r="D110" s="14">
        <v>102</v>
      </c>
      <c r="E110" s="105">
        <f>_xlfn.FORECAST.LINEAR(Table13[[#This Row],[Date]],Table13[Units_Sold],Table13[Date])</f>
        <v>99.203266173064691</v>
      </c>
      <c r="F110" s="108">
        <f>Table11[[#This Row],[Forecasted_Units]]*(1+Table11[[#This Row],[Adjustment_Percentage]])</f>
        <v>99.203266173064691</v>
      </c>
      <c r="G110" s="113">
        <f t="shared" si="3"/>
        <v>0.97258104091239894</v>
      </c>
    </row>
    <row r="111" spans="1:7">
      <c r="A111" s="54">
        <v>45275</v>
      </c>
      <c r="B111" t="str">
        <f t="shared" si="2"/>
        <v>December</v>
      </c>
      <c r="C111" s="15" t="s">
        <v>12</v>
      </c>
      <c r="D111" s="15">
        <v>87</v>
      </c>
      <c r="E111" s="106">
        <f>_xlfn.FORECAST.LINEAR(Table13[[#This Row],[Date]],Table13[Units_Sold],Table13[Date])</f>
        <v>99.204430369721479</v>
      </c>
      <c r="F111" s="109">
        <f>Table11[[#This Row],[Forecasted_Units]]*(1+Table11[[#This Row],[Adjustment_Percentage]])</f>
        <v>99.204430369721479</v>
      </c>
      <c r="G111" s="113">
        <f t="shared" si="3"/>
        <v>0.85971919115262674</v>
      </c>
    </row>
    <row r="112" spans="1:7">
      <c r="A112" s="53">
        <v>45305</v>
      </c>
      <c r="B112" t="str">
        <f t="shared" si="2"/>
        <v>January</v>
      </c>
      <c r="C112" s="14" t="s">
        <v>12</v>
      </c>
      <c r="D112" s="14">
        <v>113</v>
      </c>
      <c r="E112" s="105">
        <f>_xlfn.FORECAST.LINEAR(Table13[[#This Row],[Date]],Table13[Units_Sold],Table13[Date])</f>
        <v>99.205594566378252</v>
      </c>
      <c r="F112" s="108">
        <f>Table11[[#This Row],[Forecasted_Units]]*(1+Table11[[#This Row],[Adjustment_Percentage]])</f>
        <v>99.205594566378252</v>
      </c>
      <c r="G112" s="113">
        <f t="shared" si="3"/>
        <v>0.87792561563166593</v>
      </c>
    </row>
    <row r="113" spans="1:7">
      <c r="A113" s="54">
        <v>45335</v>
      </c>
      <c r="B113" t="str">
        <f t="shared" si="2"/>
        <v>February</v>
      </c>
      <c r="C113" s="15" t="s">
        <v>13</v>
      </c>
      <c r="D113" s="15">
        <v>106</v>
      </c>
      <c r="E113" s="106">
        <f>_xlfn.FORECAST.LINEAR(Table13[[#This Row],[Date]],Table13[Units_Sold],Table13[Date])</f>
        <v>99.20675876303504</v>
      </c>
      <c r="F113" s="109">
        <f>Table11[[#This Row],[Forecasted_Units]]*(1+Table11[[#This Row],[Adjustment_Percentage]])</f>
        <v>99.20675876303504</v>
      </c>
      <c r="G113" s="113">
        <f t="shared" si="3"/>
        <v>0.9359128185191985</v>
      </c>
    </row>
    <row r="114" spans="1:7">
      <c r="A114" s="53">
        <v>45365</v>
      </c>
      <c r="B114" t="str">
        <f t="shared" si="2"/>
        <v>March</v>
      </c>
      <c r="C114" s="14" t="s">
        <v>14</v>
      </c>
      <c r="D114" s="14">
        <v>96</v>
      </c>
      <c r="E114" s="105">
        <f>_xlfn.FORECAST.LINEAR(Table13[[#This Row],[Date]],Table13[Units_Sold],Table13[Date])</f>
        <v>99.207922959691828</v>
      </c>
      <c r="F114" s="108">
        <f>Table11[[#This Row],[Forecasted_Units]]*(1+Table11[[#This Row],[Adjustment_Percentage]])</f>
        <v>99.207922959691828</v>
      </c>
      <c r="G114" s="113">
        <f t="shared" si="3"/>
        <v>0.96658413583654346</v>
      </c>
    </row>
    <row r="115" spans="1:7">
      <c r="A115" s="54">
        <v>45395</v>
      </c>
      <c r="B115" t="str">
        <f t="shared" si="2"/>
        <v>April</v>
      </c>
      <c r="C115" s="15" t="s">
        <v>10</v>
      </c>
      <c r="D115" s="15">
        <v>110</v>
      </c>
      <c r="E115" s="106">
        <f>_xlfn.FORECAST.LINEAR(Table13[[#This Row],[Date]],Table13[Units_Sold],Table13[Date])</f>
        <v>99.209087156348616</v>
      </c>
      <c r="F115" s="109">
        <f>Table11[[#This Row],[Forecasted_Units]]*(1+Table11[[#This Row],[Adjustment_Percentage]])</f>
        <v>99.209087156348616</v>
      </c>
      <c r="G115" s="113">
        <f t="shared" si="3"/>
        <v>0.90190079233044196</v>
      </c>
    </row>
    <row r="116" spans="1:7">
      <c r="A116" s="53">
        <v>45425</v>
      </c>
      <c r="B116" t="str">
        <f t="shared" si="2"/>
        <v>May</v>
      </c>
      <c r="C116" s="14" t="s">
        <v>10</v>
      </c>
      <c r="D116" s="14">
        <v>100</v>
      </c>
      <c r="E116" s="105">
        <f>_xlfn.FORECAST.LINEAR(Table13[[#This Row],[Date]],Table13[Units_Sold],Table13[Date])</f>
        <v>99.210251353005404</v>
      </c>
      <c r="F116" s="108">
        <f>Table11[[#This Row],[Forecasted_Units]]*(1+Table11[[#This Row],[Adjustment_Percentage]])</f>
        <v>99.210251353005404</v>
      </c>
      <c r="G116" s="113">
        <f t="shared" si="3"/>
        <v>0.99210251353005408</v>
      </c>
    </row>
    <row r="117" spans="1:7">
      <c r="A117" s="54">
        <v>45455</v>
      </c>
      <c r="B117" t="str">
        <f t="shared" si="2"/>
        <v>June</v>
      </c>
      <c r="C117" s="15" t="s">
        <v>10</v>
      </c>
      <c r="D117" s="15">
        <f>IF(ISBLANK(D70), O71, D70)</f>
        <v>84</v>
      </c>
      <c r="E117" s="106">
        <f>_xlfn.FORECAST.LINEAR(Table13[[#This Row],[Date]],Table13[Units_Sold],Table13[Date])</f>
        <v>99.211415549662192</v>
      </c>
      <c r="F117" s="109">
        <f>Table11[[#This Row],[Forecasted_Units]]*(1+Table11[[#This Row],[Adjustment_Percentage]])</f>
        <v>99.211415549662192</v>
      </c>
      <c r="G117" s="113">
        <f t="shared" si="3"/>
        <v>0.8189117196468787</v>
      </c>
    </row>
    <row r="118" spans="1:7">
      <c r="A118" s="53">
        <v>45485</v>
      </c>
      <c r="B118" t="str">
        <f t="shared" si="2"/>
        <v>July</v>
      </c>
      <c r="C118" s="14" t="s">
        <v>12</v>
      </c>
      <c r="D118" s="14">
        <v>106</v>
      </c>
      <c r="E118" s="105">
        <f>_xlfn.FORECAST.LINEAR(Table13[[#This Row],[Date]],Table13[Units_Sold],Table13[Date])</f>
        <v>99.21257974631898</v>
      </c>
      <c r="F118" s="108">
        <f>Table11[[#This Row],[Forecasted_Units]]*(1+Table11[[#This Row],[Adjustment_Percentage]])</f>
        <v>99.21257974631898</v>
      </c>
      <c r="G118" s="113">
        <f t="shared" si="3"/>
        <v>0.93596773345583939</v>
      </c>
    </row>
    <row r="119" spans="1:7">
      <c r="A119" s="54">
        <v>45515</v>
      </c>
      <c r="B119" t="str">
        <f t="shared" si="2"/>
        <v>August</v>
      </c>
      <c r="C119" s="15" t="s">
        <v>12</v>
      </c>
      <c r="D119" s="15">
        <v>114</v>
      </c>
      <c r="E119" s="106">
        <f>_xlfn.FORECAST.LINEAR(Table13[[#This Row],[Date]],Table13[Units_Sold],Table13[Date])</f>
        <v>99.213743942975768</v>
      </c>
      <c r="F119" s="109">
        <f>Table11[[#This Row],[Forecasted_Units]]*(1+Table11[[#This Row],[Adjustment_Percentage]])</f>
        <v>99.213743942975768</v>
      </c>
      <c r="G119" s="113">
        <f t="shared" si="3"/>
        <v>0.87029599949978742</v>
      </c>
    </row>
    <row r="120" spans="1:7">
      <c r="A120" s="53">
        <v>45545</v>
      </c>
      <c r="B120" t="str">
        <f t="shared" si="2"/>
        <v>September</v>
      </c>
      <c r="C120" s="14" t="s">
        <v>14</v>
      </c>
      <c r="D120" s="14">
        <v>96</v>
      </c>
      <c r="E120" s="105">
        <f>_xlfn.FORECAST.LINEAR(Table13[[#This Row],[Date]],Table13[Units_Sold],Table13[Date])</f>
        <v>99.214908139632556</v>
      </c>
      <c r="F120" s="108">
        <f>Table11[[#This Row],[Forecasted_Units]]*(1+Table11[[#This Row],[Adjustment_Percentage]])</f>
        <v>99.214908139632556</v>
      </c>
      <c r="G120" s="113">
        <f t="shared" si="3"/>
        <v>0.96651137354549421</v>
      </c>
    </row>
    <row r="121" spans="1:7">
      <c r="A121" s="54">
        <v>45575</v>
      </c>
      <c r="B121" t="str">
        <f t="shared" si="2"/>
        <v>October</v>
      </c>
      <c r="C121" s="15" t="s">
        <v>13</v>
      </c>
      <c r="D121" s="15">
        <v>102</v>
      </c>
      <c r="E121" s="106">
        <f>_xlfn.FORECAST.LINEAR(Table13[[#This Row],[Date]],Table13[Units_Sold],Table13[Date])</f>
        <v>99.216072336289344</v>
      </c>
      <c r="F121" s="109">
        <f>Table11[[#This Row],[Forecasted_Units]]*(1+Table11[[#This Row],[Adjustment_Percentage]])</f>
        <v>99.216072336289344</v>
      </c>
      <c r="G121" s="113">
        <f t="shared" si="3"/>
        <v>0.97270659153224848</v>
      </c>
    </row>
    <row r="122" spans="1:7">
      <c r="A122" s="53">
        <v>45605</v>
      </c>
      <c r="B122" t="str">
        <f t="shared" si="2"/>
        <v>November</v>
      </c>
      <c r="C122" s="14" t="s">
        <v>10</v>
      </c>
      <c r="D122" s="14">
        <f>IF(ISBLANK(D75), O76, D75)</f>
        <v>106</v>
      </c>
      <c r="E122" s="105">
        <f>_xlfn.FORECAST.LINEAR(Table13[[#This Row],[Date]],Table13[Units_Sold],Table13[Date])</f>
        <v>99.217236532946131</v>
      </c>
      <c r="F122" s="108">
        <f>Table11[[#This Row],[Forecasted_Units]]*(1+Table11[[#This Row],[Adjustment_Percentage]])</f>
        <v>99.217236532946131</v>
      </c>
      <c r="G122" s="113">
        <f t="shared" si="3"/>
        <v>0.93601166540515224</v>
      </c>
    </row>
    <row r="123" spans="1:7">
      <c r="A123" s="54">
        <v>45635</v>
      </c>
      <c r="B123" t="str">
        <f t="shared" si="2"/>
        <v>December</v>
      </c>
      <c r="C123" s="15" t="s">
        <v>14</v>
      </c>
      <c r="D123" s="15">
        <v>93</v>
      </c>
      <c r="E123" s="106">
        <f>_xlfn.FORECAST.LINEAR(Table13[[#This Row],[Date]],Table13[Units_Sold],Table13[Date])</f>
        <v>99.218400729602905</v>
      </c>
      <c r="F123" s="109">
        <f>Table11[[#This Row],[Forecasted_Units]]*(1+Table11[[#This Row],[Adjustment_Percentage]])</f>
        <v>99.218400729602905</v>
      </c>
      <c r="G123" s="113">
        <f t="shared" si="3"/>
        <v>0.93313547602577518</v>
      </c>
    </row>
    <row r="124" spans="1:7">
      <c r="A124" s="53">
        <v>45665</v>
      </c>
      <c r="B124" t="str">
        <f t="shared" si="2"/>
        <v>January</v>
      </c>
      <c r="C124" s="14" t="s">
        <v>14</v>
      </c>
      <c r="D124" s="14">
        <v>100</v>
      </c>
      <c r="E124" s="105">
        <f>_xlfn.FORECAST.LINEAR(Table13[[#This Row],[Date]],Table13[Units_Sold],Table13[Date])</f>
        <v>99.219564926259693</v>
      </c>
      <c r="F124" s="108">
        <f>Table11[[#This Row],[Forecasted_Units]]*(1+Table11[[#This Row],[Adjustment_Percentage]])</f>
        <v>99.219564926259693</v>
      </c>
      <c r="G124" s="113">
        <f t="shared" si="3"/>
        <v>0.99219564926259696</v>
      </c>
    </row>
    <row r="125" spans="1:7">
      <c r="A125" s="54">
        <v>45695</v>
      </c>
      <c r="B125" t="str">
        <f t="shared" si="2"/>
        <v>February</v>
      </c>
      <c r="C125" s="15" t="s">
        <v>13</v>
      </c>
      <c r="D125" s="15">
        <v>111</v>
      </c>
      <c r="E125" s="106">
        <f>_xlfn.FORECAST.LINEAR(Table13[[#This Row],[Date]],Table13[Units_Sold],Table13[Date])</f>
        <v>99.220729122916481</v>
      </c>
      <c r="F125" s="109">
        <f>Table11[[#This Row],[Forecasted_Units]]*(1+Table11[[#This Row],[Adjustment_Percentage]])</f>
        <v>99.220729122916481</v>
      </c>
      <c r="G125" s="113">
        <f t="shared" si="3"/>
        <v>0.89388044254879717</v>
      </c>
    </row>
    <row r="126" spans="1:7">
      <c r="A126" s="53">
        <v>45725</v>
      </c>
      <c r="B126" t="str">
        <f t="shared" si="2"/>
        <v>March</v>
      </c>
      <c r="C126" s="14" t="s">
        <v>14</v>
      </c>
      <c r="D126" s="14">
        <v>87</v>
      </c>
      <c r="E126" s="105">
        <f>_xlfn.FORECAST.LINEAR(Table13[[#This Row],[Date]],Table13[Units_Sold],Table13[Date])</f>
        <v>99.221893319573269</v>
      </c>
      <c r="F126" s="108">
        <f>Table11[[#This Row],[Forecasted_Units]]*(1+Table11[[#This Row],[Adjustment_Percentage]])</f>
        <v>99.221893319573269</v>
      </c>
      <c r="G126" s="113">
        <f t="shared" si="3"/>
        <v>0.85951846759111183</v>
      </c>
    </row>
    <row r="127" spans="1:7">
      <c r="A127" s="54">
        <v>45755</v>
      </c>
      <c r="B127" t="str">
        <f t="shared" si="2"/>
        <v>April</v>
      </c>
      <c r="C127" s="15" t="s">
        <v>13</v>
      </c>
      <c r="D127" s="15">
        <v>100</v>
      </c>
      <c r="E127" s="106">
        <f>_xlfn.FORECAST.LINEAR(Table13[[#This Row],[Date]],Table13[Units_Sold],Table13[Date])</f>
        <v>99.223057516230057</v>
      </c>
      <c r="F127" s="109">
        <f>Table11[[#This Row],[Forecasted_Units]]*(1+Table11[[#This Row],[Adjustment_Percentage]])</f>
        <v>99.223057516230057</v>
      </c>
      <c r="G127" s="113">
        <f t="shared" si="3"/>
        <v>0.99223057516230062</v>
      </c>
    </row>
    <row r="128" spans="1:7">
      <c r="A128" s="53">
        <v>45785</v>
      </c>
      <c r="B128" t="str">
        <f t="shared" si="2"/>
        <v>May</v>
      </c>
      <c r="C128" s="14" t="s">
        <v>11</v>
      </c>
      <c r="D128" s="14">
        <v>104</v>
      </c>
      <c r="E128" s="105">
        <f>_xlfn.FORECAST.LINEAR(Table13[[#This Row],[Date]],Table13[Units_Sold],Table13[Date])</f>
        <v>99.224221712886845</v>
      </c>
      <c r="F128" s="108">
        <f>Table11[[#This Row],[Forecasted_Units]]*(1+Table11[[#This Row],[Adjustment_Percentage]])</f>
        <v>99.224221712886845</v>
      </c>
      <c r="G128" s="113">
        <f t="shared" si="3"/>
        <v>0.95407905493160428</v>
      </c>
    </row>
    <row r="129" spans="1:7">
      <c r="A129" s="54">
        <v>45815</v>
      </c>
      <c r="B129" t="str">
        <f t="shared" si="2"/>
        <v>June</v>
      </c>
      <c r="C129" s="15" t="s">
        <v>13</v>
      </c>
      <c r="D129" s="15">
        <v>78</v>
      </c>
      <c r="E129" s="106">
        <f>_xlfn.FORECAST.LINEAR(Table13[[#This Row],[Date]],Table13[Units_Sold],Table13[Date])</f>
        <v>99.225385909543633</v>
      </c>
      <c r="F129" s="109">
        <f>Table11[[#This Row],[Forecasted_Units]]*(1+Table11[[#This Row],[Adjustment_Percentage]])</f>
        <v>99.225385909543633</v>
      </c>
      <c r="G129" s="113">
        <f t="shared" si="3"/>
        <v>0.72787966782636371</v>
      </c>
    </row>
    <row r="130" spans="1:7">
      <c r="A130" s="53">
        <v>45845</v>
      </c>
      <c r="B130" t="str">
        <f t="shared" si="2"/>
        <v>July</v>
      </c>
      <c r="C130" s="14" t="s">
        <v>10</v>
      </c>
      <c r="D130" s="14">
        <v>101</v>
      </c>
      <c r="E130" s="105">
        <f>_xlfn.FORECAST.LINEAR(Table13[[#This Row],[Date]],Table13[Units_Sold],Table13[Date])</f>
        <v>99.22655010620042</v>
      </c>
      <c r="F130" s="108">
        <f>Table11[[#This Row],[Forecasted_Units]]*(1+Table11[[#This Row],[Adjustment_Percentage]])</f>
        <v>99.22655010620042</v>
      </c>
      <c r="G130" s="113">
        <f t="shared" si="3"/>
        <v>0.98244109016040015</v>
      </c>
    </row>
    <row r="131" spans="1:7">
      <c r="A131" s="54">
        <v>45875</v>
      </c>
      <c r="B131" t="str">
        <f t="shared" ref="B131:B194" si="4">TEXT(A131,"mmmm")</f>
        <v>August</v>
      </c>
      <c r="C131" s="15" t="s">
        <v>10</v>
      </c>
      <c r="D131" s="15">
        <v>100</v>
      </c>
      <c r="E131" s="106">
        <f>_xlfn.FORECAST.LINEAR(Table13[[#This Row],[Date]],Table13[Units_Sold],Table13[Date])</f>
        <v>99.227714302857208</v>
      </c>
      <c r="F131" s="109">
        <f>Table11[[#This Row],[Forecasted_Units]]*(1+Table11[[#This Row],[Adjustment_Percentage]])</f>
        <v>99.227714302857208</v>
      </c>
      <c r="G131" s="113">
        <f t="shared" ref="G131:G194" si="5">1-ABS(D131-F131)/D131</f>
        <v>0.99227714302857206</v>
      </c>
    </row>
    <row r="132" spans="1:7">
      <c r="A132" s="53">
        <v>45905</v>
      </c>
      <c r="B132" t="str">
        <f t="shared" si="4"/>
        <v>September</v>
      </c>
      <c r="C132" s="14" t="s">
        <v>13</v>
      </c>
      <c r="D132" s="14">
        <v>109</v>
      </c>
      <c r="E132" s="105">
        <f>_xlfn.FORECAST.LINEAR(Table13[[#This Row],[Date]],Table13[Units_Sold],Table13[Date])</f>
        <v>99.228878499513996</v>
      </c>
      <c r="F132" s="108">
        <f>Table11[[#This Row],[Forecasted_Units]]*(1+Table11[[#This Row],[Adjustment_Percentage]])</f>
        <v>99.228878499513996</v>
      </c>
      <c r="G132" s="113">
        <f t="shared" si="5"/>
        <v>0.91035668348177978</v>
      </c>
    </row>
    <row r="133" spans="1:7">
      <c r="A133" s="54">
        <v>45935</v>
      </c>
      <c r="B133" t="str">
        <f t="shared" si="4"/>
        <v>October</v>
      </c>
      <c r="C133" s="15" t="s">
        <v>11</v>
      </c>
      <c r="D133" s="15">
        <v>98</v>
      </c>
      <c r="E133" s="106">
        <f>_xlfn.FORECAST.LINEAR(Table13[[#This Row],[Date]],Table13[Units_Sold],Table13[Date])</f>
        <v>99.230042696170784</v>
      </c>
      <c r="F133" s="109">
        <f>Table11[[#This Row],[Forecasted_Units]]*(1+Table11[[#This Row],[Adjustment_Percentage]])</f>
        <v>99.230042696170784</v>
      </c>
      <c r="G133" s="113">
        <f t="shared" si="5"/>
        <v>0.98744854391662462</v>
      </c>
    </row>
    <row r="134" spans="1:7">
      <c r="A134" s="53">
        <v>45965</v>
      </c>
      <c r="B134" t="str">
        <f t="shared" si="4"/>
        <v>November</v>
      </c>
      <c r="C134" s="14" t="s">
        <v>11</v>
      </c>
      <c r="D134" s="14">
        <v>111</v>
      </c>
      <c r="E134" s="105">
        <f>_xlfn.FORECAST.LINEAR(Table13[[#This Row],[Date]],Table13[Units_Sold],Table13[Date])</f>
        <v>99.231206892827558</v>
      </c>
      <c r="F134" s="108">
        <f>Table11[[#This Row],[Forecasted_Units]]*(1+Table11[[#This Row],[Adjustment_Percentage]])</f>
        <v>99.231206892827558</v>
      </c>
      <c r="G134" s="113">
        <f t="shared" si="5"/>
        <v>0.89397483687232038</v>
      </c>
    </row>
    <row r="135" spans="1:7">
      <c r="A135" s="54">
        <v>45995</v>
      </c>
      <c r="B135" t="str">
        <f t="shared" si="4"/>
        <v>December</v>
      </c>
      <c r="C135" s="15" t="s">
        <v>10</v>
      </c>
      <c r="D135" s="15">
        <v>97</v>
      </c>
      <c r="E135" s="106">
        <f>_xlfn.FORECAST.LINEAR(Table13[[#This Row],[Date]],Table13[Units_Sold],Table13[Date])</f>
        <v>99.232371089484346</v>
      </c>
      <c r="F135" s="109">
        <f>Table11[[#This Row],[Forecasted_Units]]*(1+Table11[[#This Row],[Adjustment_Percentage]])</f>
        <v>99.232371089484346</v>
      </c>
      <c r="G135" s="113">
        <f t="shared" si="5"/>
        <v>0.97698586505686236</v>
      </c>
    </row>
    <row r="136" spans="1:7">
      <c r="A136" s="53">
        <v>46025</v>
      </c>
      <c r="B136" t="str">
        <f t="shared" si="4"/>
        <v>January</v>
      </c>
      <c r="C136" s="14" t="s">
        <v>11</v>
      </c>
      <c r="D136" s="14">
        <v>88</v>
      </c>
      <c r="E136" s="105">
        <f>_xlfn.FORECAST.LINEAR(Table13[[#This Row],[Date]],Table13[Units_Sold],Table13[Date])</f>
        <v>99.233535286141134</v>
      </c>
      <c r="F136" s="108">
        <f>Table11[[#This Row],[Forecasted_Units]]*(1+Table11[[#This Row],[Adjustment_Percentage]])</f>
        <v>99.233535286141134</v>
      </c>
      <c r="G136" s="113">
        <f t="shared" si="5"/>
        <v>0.8723461899302144</v>
      </c>
    </row>
    <row r="137" spans="1:7">
      <c r="A137" s="54">
        <v>46055</v>
      </c>
      <c r="B137" t="str">
        <f t="shared" si="4"/>
        <v>February</v>
      </c>
      <c r="C137" s="15" t="s">
        <v>14</v>
      </c>
      <c r="D137" s="15">
        <v>101</v>
      </c>
      <c r="E137" s="106">
        <f>_xlfn.FORECAST.LINEAR(Table13[[#This Row],[Date]],Table13[Units_Sold],Table13[Date])</f>
        <v>99.234699482797922</v>
      </c>
      <c r="F137" s="109">
        <f>Table11[[#This Row],[Forecasted_Units]]*(1+Table11[[#This Row],[Adjustment_Percentage]])</f>
        <v>99.234699482797922</v>
      </c>
      <c r="G137" s="113">
        <f t="shared" si="5"/>
        <v>0.98252177705740518</v>
      </c>
    </row>
    <row r="138" spans="1:7">
      <c r="A138" s="53">
        <v>46085</v>
      </c>
      <c r="B138" t="str">
        <f t="shared" si="4"/>
        <v>March</v>
      </c>
      <c r="C138" s="14" t="s">
        <v>12</v>
      </c>
      <c r="D138" s="14">
        <v>105</v>
      </c>
      <c r="E138" s="105">
        <f>_xlfn.FORECAST.LINEAR(Table13[[#This Row],[Date]],Table13[Units_Sold],Table13[Date])</f>
        <v>99.23586367945471</v>
      </c>
      <c r="F138" s="108">
        <f>Table11[[#This Row],[Forecasted_Units]]*(1+Table11[[#This Row],[Adjustment_Percentage]])</f>
        <v>99.23586367945471</v>
      </c>
      <c r="G138" s="113">
        <f t="shared" si="5"/>
        <v>0.94510346361385433</v>
      </c>
    </row>
    <row r="139" spans="1:7">
      <c r="A139" s="54">
        <v>46115</v>
      </c>
      <c r="B139" t="str">
        <f t="shared" si="4"/>
        <v>April</v>
      </c>
      <c r="C139" s="15" t="s">
        <v>14</v>
      </c>
      <c r="D139" s="15">
        <v>102</v>
      </c>
      <c r="E139" s="106">
        <f>_xlfn.FORECAST.LINEAR(Table13[[#This Row],[Date]],Table13[Units_Sold],Table13[Date])</f>
        <v>99.237027876111497</v>
      </c>
      <c r="F139" s="109">
        <f>Table11[[#This Row],[Forecasted_Units]]*(1+Table11[[#This Row],[Adjustment_Percentage]])</f>
        <v>99.237027876111497</v>
      </c>
      <c r="G139" s="113">
        <f t="shared" si="5"/>
        <v>0.97291203800109316</v>
      </c>
    </row>
    <row r="140" spans="1:7">
      <c r="A140" s="53">
        <v>46145</v>
      </c>
      <c r="B140" t="str">
        <f t="shared" si="4"/>
        <v>May</v>
      </c>
      <c r="C140" s="14" t="s">
        <v>10</v>
      </c>
      <c r="D140" s="14">
        <v>98</v>
      </c>
      <c r="E140" s="105">
        <f>_xlfn.FORECAST.LINEAR(Table13[[#This Row],[Date]],Table13[Units_Sold],Table13[Date])</f>
        <v>99.238192072768285</v>
      </c>
      <c r="F140" s="108">
        <f>Table11[[#This Row],[Forecasted_Units]]*(1+Table11[[#This Row],[Adjustment_Percentage]])</f>
        <v>99.238192072768285</v>
      </c>
      <c r="G140" s="113">
        <f t="shared" si="5"/>
        <v>0.98736538701256849</v>
      </c>
    </row>
    <row r="141" spans="1:7">
      <c r="A141" s="54">
        <v>46175</v>
      </c>
      <c r="B141" t="str">
        <f t="shared" si="4"/>
        <v>June</v>
      </c>
      <c r="C141" s="15" t="s">
        <v>11</v>
      </c>
      <c r="D141" s="15">
        <v>96</v>
      </c>
      <c r="E141" s="106">
        <f>_xlfn.FORECAST.LINEAR(Table13[[#This Row],[Date]],Table13[Units_Sold],Table13[Date])</f>
        <v>99.239356269425073</v>
      </c>
      <c r="F141" s="109">
        <f>Table11[[#This Row],[Forecasted_Units]]*(1+Table11[[#This Row],[Adjustment_Percentage]])</f>
        <v>99.239356269425073</v>
      </c>
      <c r="G141" s="113">
        <f t="shared" si="5"/>
        <v>0.96625670552682219</v>
      </c>
    </row>
    <row r="142" spans="1:7">
      <c r="A142" s="53">
        <v>46205</v>
      </c>
      <c r="B142" t="str">
        <f t="shared" si="4"/>
        <v>July</v>
      </c>
      <c r="C142" s="14" t="s">
        <v>13</v>
      </c>
      <c r="D142" s="14">
        <v>76</v>
      </c>
      <c r="E142" s="105">
        <f>_xlfn.FORECAST.LINEAR(Table13[[#This Row],[Date]],Table13[Units_Sold],Table13[Date])</f>
        <v>99.240520466081861</v>
      </c>
      <c r="F142" s="108">
        <f>Table11[[#This Row],[Forecasted_Units]]*(1+Table11[[#This Row],[Adjustment_Percentage]])</f>
        <v>99.240520466081861</v>
      </c>
      <c r="G142" s="113">
        <f t="shared" si="5"/>
        <v>0.6942036780778702</v>
      </c>
    </row>
    <row r="143" spans="1:7">
      <c r="A143" s="54">
        <v>46235</v>
      </c>
      <c r="B143" t="str">
        <f t="shared" si="4"/>
        <v>August</v>
      </c>
      <c r="C143" s="15" t="s">
        <v>12</v>
      </c>
      <c r="D143" s="15">
        <v>112</v>
      </c>
      <c r="E143" s="106">
        <f>_xlfn.FORECAST.LINEAR(Table13[[#This Row],[Date]],Table13[Units_Sold],Table13[Date])</f>
        <v>99.241684662738649</v>
      </c>
      <c r="F143" s="109">
        <f>Table11[[#This Row],[Forecasted_Units]]*(1+Table11[[#This Row],[Adjustment_Percentage]])</f>
        <v>99.241684662738649</v>
      </c>
      <c r="G143" s="113">
        <f t="shared" si="5"/>
        <v>0.88608647020302367</v>
      </c>
    </row>
    <row r="144" spans="1:7">
      <c r="A144" s="53">
        <v>46265</v>
      </c>
      <c r="B144" t="str">
        <f t="shared" si="4"/>
        <v>August</v>
      </c>
      <c r="C144" s="14" t="s">
        <v>13</v>
      </c>
      <c r="D144" s="14">
        <v>99</v>
      </c>
      <c r="E144" s="105">
        <f>_xlfn.FORECAST.LINEAR(Table13[[#This Row],[Date]],Table13[Units_Sold],Table13[Date])</f>
        <v>99.242848859395437</v>
      </c>
      <c r="F144" s="108">
        <f>Table11[[#This Row],[Forecasted_Units]]*(1+Table11[[#This Row],[Adjustment_Percentage]])</f>
        <v>99.242848859395437</v>
      </c>
      <c r="G144" s="113">
        <f t="shared" si="5"/>
        <v>0.99754698121822793</v>
      </c>
    </row>
    <row r="145" spans="1:7">
      <c r="A145" s="54">
        <v>46295</v>
      </c>
      <c r="B145" t="str">
        <f t="shared" si="4"/>
        <v>September</v>
      </c>
      <c r="C145" s="15" t="s">
        <v>10</v>
      </c>
      <c r="D145" s="15">
        <v>100</v>
      </c>
      <c r="E145" s="106">
        <f>_xlfn.FORECAST.LINEAR(Table13[[#This Row],[Date]],Table13[Units_Sold],Table13[Date])</f>
        <v>99.244013056052211</v>
      </c>
      <c r="F145" s="109">
        <f>Table11[[#This Row],[Forecasted_Units]]*(1+Table11[[#This Row],[Adjustment_Percentage]])</f>
        <v>99.244013056052211</v>
      </c>
      <c r="G145" s="113">
        <f t="shared" si="5"/>
        <v>0.99244013056052216</v>
      </c>
    </row>
    <row r="146" spans="1:7">
      <c r="A146" s="53">
        <v>46325</v>
      </c>
      <c r="B146" t="str">
        <f t="shared" si="4"/>
        <v>October</v>
      </c>
      <c r="C146" s="14" t="s">
        <v>11</v>
      </c>
      <c r="D146" s="14">
        <v>89</v>
      </c>
      <c r="E146" s="105">
        <f>_xlfn.FORECAST.LINEAR(Table13[[#This Row],[Date]],Table13[Units_Sold],Table13[Date])</f>
        <v>99.245177252708999</v>
      </c>
      <c r="F146" s="108">
        <f>Table11[[#This Row],[Forecasted_Units]]*(1+Table11[[#This Row],[Adjustment_Percentage]])</f>
        <v>99.245177252708999</v>
      </c>
      <c r="G146" s="113">
        <f t="shared" si="5"/>
        <v>0.88488564884596632</v>
      </c>
    </row>
    <row r="147" spans="1:7">
      <c r="A147" s="54">
        <v>46355</v>
      </c>
      <c r="B147" t="str">
        <f t="shared" si="4"/>
        <v>November</v>
      </c>
      <c r="C147" s="15" t="s">
        <v>13</v>
      </c>
      <c r="D147" s="15">
        <f>IF(ISBLANK(D100), O101, D100)</f>
        <v>102</v>
      </c>
      <c r="E147" s="106">
        <f>_xlfn.FORECAST.LINEAR(Table13[[#This Row],[Date]],Table13[Units_Sold],Table13[Date])</f>
        <v>99.246341449365787</v>
      </c>
      <c r="F147" s="109">
        <f>Table11[[#This Row],[Forecasted_Units]]*(1+Table11[[#This Row],[Adjustment_Percentage]])</f>
        <v>99.246341449365787</v>
      </c>
      <c r="G147" s="113">
        <f t="shared" si="5"/>
        <v>0.97300334754280182</v>
      </c>
    </row>
    <row r="148" spans="1:7">
      <c r="A148" s="53">
        <v>46385</v>
      </c>
      <c r="B148" t="str">
        <f t="shared" si="4"/>
        <v>December</v>
      </c>
      <c r="C148" s="14" t="s">
        <v>13</v>
      </c>
      <c r="D148" s="14">
        <v>104</v>
      </c>
      <c r="E148" s="105">
        <f>_xlfn.FORECAST.LINEAR(Table13[[#This Row],[Date]],Table13[Units_Sold],Table13[Date])</f>
        <v>99.247505646022574</v>
      </c>
      <c r="F148" s="108">
        <f>Table11[[#This Row],[Forecasted_Units]]*(1+Table11[[#This Row],[Adjustment_Percentage]])</f>
        <v>99.247505646022574</v>
      </c>
      <c r="G148" s="113">
        <f t="shared" si="5"/>
        <v>0.95430293890406326</v>
      </c>
    </row>
    <row r="149" spans="1:7">
      <c r="A149" s="54">
        <v>46415</v>
      </c>
      <c r="B149" t="str">
        <f t="shared" si="4"/>
        <v>January</v>
      </c>
      <c r="C149" s="15" t="s">
        <v>12</v>
      </c>
      <c r="D149" s="15">
        <v>96</v>
      </c>
      <c r="E149" s="106">
        <f>_xlfn.FORECAST.LINEAR(Table13[[#This Row],[Date]],Table13[Units_Sold],Table13[Date])</f>
        <v>99.248669842679362</v>
      </c>
      <c r="F149" s="109">
        <f>Table11[[#This Row],[Forecasted_Units]]*(1+Table11[[#This Row],[Adjustment_Percentage]])</f>
        <v>99.248669842679362</v>
      </c>
      <c r="G149" s="113">
        <f t="shared" si="5"/>
        <v>0.96615968913875661</v>
      </c>
    </row>
    <row r="150" spans="1:7">
      <c r="A150" s="53">
        <v>46445</v>
      </c>
      <c r="B150" t="str">
        <f t="shared" si="4"/>
        <v>February</v>
      </c>
      <c r="C150" s="14" t="s">
        <v>12</v>
      </c>
      <c r="D150" s="14">
        <v>100</v>
      </c>
      <c r="E150" s="105">
        <f>_xlfn.FORECAST.LINEAR(Table13[[#This Row],[Date]],Table13[Units_Sold],Table13[Date])</f>
        <v>99.24983403933615</v>
      </c>
      <c r="F150" s="108">
        <f>Table11[[#This Row],[Forecasted_Units]]*(1+Table11[[#This Row],[Adjustment_Percentage]])</f>
        <v>99.24983403933615</v>
      </c>
      <c r="G150" s="113">
        <f t="shared" si="5"/>
        <v>0.99249834039336149</v>
      </c>
    </row>
    <row r="151" spans="1:7">
      <c r="A151" s="54">
        <v>46475</v>
      </c>
      <c r="B151" t="str">
        <f t="shared" si="4"/>
        <v>March</v>
      </c>
      <c r="C151" s="15" t="s">
        <v>11</v>
      </c>
      <c r="D151" s="15">
        <v>105</v>
      </c>
      <c r="E151" s="106">
        <f>_xlfn.FORECAST.LINEAR(Table13[[#This Row],[Date]],Table13[Units_Sold],Table13[Date])</f>
        <v>99.250998235992938</v>
      </c>
      <c r="F151" s="109">
        <f>Table11[[#This Row],[Forecasted_Units]]*(1+Table11[[#This Row],[Adjustment_Percentage]])</f>
        <v>99.250998235992938</v>
      </c>
      <c r="G151" s="113">
        <f t="shared" si="5"/>
        <v>0.94524760224755178</v>
      </c>
    </row>
    <row r="152" spans="1:7">
      <c r="A152" s="53">
        <v>46505</v>
      </c>
      <c r="B152" t="str">
        <f t="shared" si="4"/>
        <v>April</v>
      </c>
      <c r="C152" s="14" t="s">
        <v>12</v>
      </c>
      <c r="D152" s="14">
        <v>81</v>
      </c>
      <c r="E152" s="105">
        <f>_xlfn.FORECAST.LINEAR(Table13[[#This Row],[Date]],Table13[Units_Sold],Table13[Date])</f>
        <v>99.252162432649726</v>
      </c>
      <c r="F152" s="108">
        <f>Table11[[#This Row],[Forecasted_Units]]*(1+Table11[[#This Row],[Adjustment_Percentage]])</f>
        <v>99.252162432649726</v>
      </c>
      <c r="G152" s="113">
        <f t="shared" si="5"/>
        <v>0.77466466132531209</v>
      </c>
    </row>
    <row r="153" spans="1:7">
      <c r="A153" s="54">
        <v>46535</v>
      </c>
      <c r="B153" t="str">
        <f t="shared" si="4"/>
        <v>May</v>
      </c>
      <c r="C153" s="15" t="s">
        <v>13</v>
      </c>
      <c r="D153" s="15">
        <v>120</v>
      </c>
      <c r="E153" s="106">
        <f>_xlfn.FORECAST.LINEAR(Table13[[#This Row],[Date]],Table13[Units_Sold],Table13[Date])</f>
        <v>99.253326629306514</v>
      </c>
      <c r="F153" s="109">
        <f>Table11[[#This Row],[Forecasted_Units]]*(1+Table11[[#This Row],[Adjustment_Percentage]])</f>
        <v>99.253326629306514</v>
      </c>
      <c r="G153" s="113">
        <f t="shared" si="5"/>
        <v>0.82711105524422091</v>
      </c>
    </row>
    <row r="154" spans="1:7">
      <c r="A154" s="53">
        <v>46565</v>
      </c>
      <c r="B154" t="str">
        <f t="shared" si="4"/>
        <v>June</v>
      </c>
      <c r="C154" s="14" t="s">
        <v>13</v>
      </c>
      <c r="D154" s="14">
        <v>97</v>
      </c>
      <c r="E154" s="105">
        <f>_xlfn.FORECAST.LINEAR(Table13[[#This Row],[Date]],Table13[Units_Sold],Table13[Date])</f>
        <v>99.254490825963302</v>
      </c>
      <c r="F154" s="108">
        <f>Table11[[#This Row],[Forecasted_Units]]*(1+Table11[[#This Row],[Adjustment_Percentage]])</f>
        <v>99.254490825963302</v>
      </c>
      <c r="G154" s="113">
        <f t="shared" si="5"/>
        <v>0.97675782653646082</v>
      </c>
    </row>
    <row r="155" spans="1:7">
      <c r="A155" s="54">
        <v>46595</v>
      </c>
      <c r="B155" t="str">
        <f t="shared" si="4"/>
        <v>July</v>
      </c>
      <c r="C155" s="15" t="s">
        <v>10</v>
      </c>
      <c r="D155" s="15">
        <v>99</v>
      </c>
      <c r="E155" s="106">
        <f>_xlfn.FORECAST.LINEAR(Table13[[#This Row],[Date]],Table13[Units_Sold],Table13[Date])</f>
        <v>99.25565502262009</v>
      </c>
      <c r="F155" s="109">
        <f>Table11[[#This Row],[Forecasted_Units]]*(1+Table11[[#This Row],[Adjustment_Percentage]])</f>
        <v>99.25565502262009</v>
      </c>
      <c r="G155" s="113">
        <f t="shared" si="5"/>
        <v>0.99741762603414053</v>
      </c>
    </row>
    <row r="156" spans="1:7">
      <c r="A156" s="53">
        <v>46625</v>
      </c>
      <c r="B156" t="str">
        <f t="shared" si="4"/>
        <v>August</v>
      </c>
      <c r="C156" s="14" t="s">
        <v>13</v>
      </c>
      <c r="D156" s="14">
        <v>120</v>
      </c>
      <c r="E156" s="105">
        <f>_xlfn.FORECAST.LINEAR(Table13[[#This Row],[Date]],Table13[Units_Sold],Table13[Date])</f>
        <v>99.256819219276878</v>
      </c>
      <c r="F156" s="108">
        <f>Table11[[#This Row],[Forecasted_Units]]*(1+Table11[[#This Row],[Adjustment_Percentage]])</f>
        <v>99.256819219276878</v>
      </c>
      <c r="G156" s="113">
        <f t="shared" si="5"/>
        <v>0.82714016016064063</v>
      </c>
    </row>
    <row r="157" spans="1:7">
      <c r="A157" s="54">
        <v>46655</v>
      </c>
      <c r="B157" t="str">
        <f t="shared" si="4"/>
        <v>September</v>
      </c>
      <c r="C157" s="15" t="s">
        <v>11</v>
      </c>
      <c r="D157" s="15">
        <v>90</v>
      </c>
      <c r="E157" s="106">
        <f>_xlfn.FORECAST.LINEAR(Table13[[#This Row],[Date]],Table13[Units_Sold],Table13[Date])</f>
        <v>99.257983415933651</v>
      </c>
      <c r="F157" s="109">
        <f>Table11[[#This Row],[Forecasted_Units]]*(1+Table11[[#This Row],[Adjustment_Percentage]])</f>
        <v>99.257983415933651</v>
      </c>
      <c r="G157" s="113">
        <f t="shared" si="5"/>
        <v>0.89713351760073723</v>
      </c>
    </row>
    <row r="158" spans="1:7">
      <c r="A158" s="53">
        <v>46685</v>
      </c>
      <c r="B158" t="str">
        <f t="shared" si="4"/>
        <v>October</v>
      </c>
      <c r="C158" s="14" t="s">
        <v>14</v>
      </c>
      <c r="D158" s="14">
        <v>85</v>
      </c>
      <c r="E158" s="105">
        <f>_xlfn.FORECAST.LINEAR(Table13[[#This Row],[Date]],Table13[Units_Sold],Table13[Date])</f>
        <v>99.259147612590439</v>
      </c>
      <c r="F158" s="108">
        <f>Table11[[#This Row],[Forecasted_Units]]*(1+Table11[[#This Row],[Adjustment_Percentage]])</f>
        <v>99.259147612590439</v>
      </c>
      <c r="G158" s="113">
        <f t="shared" si="5"/>
        <v>0.83224532220481839</v>
      </c>
    </row>
    <row r="159" spans="1:7">
      <c r="A159" s="54">
        <v>46715</v>
      </c>
      <c r="B159" t="str">
        <f t="shared" si="4"/>
        <v>November</v>
      </c>
      <c r="C159" s="15" t="s">
        <v>10</v>
      </c>
      <c r="D159" s="15">
        <v>84</v>
      </c>
      <c r="E159" s="106">
        <f>_xlfn.FORECAST.LINEAR(Table13[[#This Row],[Date]],Table13[Units_Sold],Table13[Date])</f>
        <v>99.260311809247227</v>
      </c>
      <c r="F159" s="109">
        <f>Table11[[#This Row],[Forecasted_Units]]*(1+Table11[[#This Row],[Adjustment_Percentage]])</f>
        <v>99.260311809247227</v>
      </c>
      <c r="G159" s="113">
        <f t="shared" si="5"/>
        <v>0.81832962131848541</v>
      </c>
    </row>
    <row r="160" spans="1:7">
      <c r="A160" s="53">
        <v>46745</v>
      </c>
      <c r="B160" t="str">
        <f t="shared" si="4"/>
        <v>December</v>
      </c>
      <c r="C160" s="14" t="s">
        <v>10</v>
      </c>
      <c r="D160" s="14">
        <f>IF(ISBLANK(D113), O114, D113)</f>
        <v>106</v>
      </c>
      <c r="E160" s="105">
        <f>_xlfn.FORECAST.LINEAR(Table13[[#This Row],[Date]],Table13[Units_Sold],Table13[Date])</f>
        <v>99.261476005904015</v>
      </c>
      <c r="F160" s="108">
        <f>Table11[[#This Row],[Forecasted_Units]]*(1+Table11[[#This Row],[Adjustment_Percentage]])</f>
        <v>99.261476005904015</v>
      </c>
      <c r="G160" s="113">
        <f t="shared" si="5"/>
        <v>0.93642901892362274</v>
      </c>
    </row>
    <row r="161" spans="1:7">
      <c r="A161" s="54">
        <v>46775</v>
      </c>
      <c r="B161" t="str">
        <f t="shared" si="4"/>
        <v>January</v>
      </c>
      <c r="C161" s="15" t="s">
        <v>11</v>
      </c>
      <c r="D161" s="15">
        <v>112</v>
      </c>
      <c r="E161" s="106">
        <f>_xlfn.FORECAST.LINEAR(Table13[[#This Row],[Date]],Table13[Units_Sold],Table13[Date])</f>
        <v>99.262640202560803</v>
      </c>
      <c r="F161" s="109">
        <f>Table11[[#This Row],[Forecasted_Units]]*(1+Table11[[#This Row],[Adjustment_Percentage]])</f>
        <v>99.262640202560803</v>
      </c>
      <c r="G161" s="113">
        <f t="shared" si="5"/>
        <v>0.88627357323715006</v>
      </c>
    </row>
    <row r="162" spans="1:7">
      <c r="A162" s="53">
        <v>46805</v>
      </c>
      <c r="B162" t="str">
        <f t="shared" si="4"/>
        <v>February</v>
      </c>
      <c r="C162" s="14" t="s">
        <v>11</v>
      </c>
      <c r="D162" s="14">
        <v>110</v>
      </c>
      <c r="E162" s="105">
        <f>_xlfn.FORECAST.LINEAR(Table13[[#This Row],[Date]],Table13[Units_Sold],Table13[Date])</f>
        <v>99.263804399217591</v>
      </c>
      <c r="F162" s="108">
        <f>Table11[[#This Row],[Forecasted_Units]]*(1+Table11[[#This Row],[Adjustment_Percentage]])</f>
        <v>99.263804399217591</v>
      </c>
      <c r="G162" s="113">
        <f t="shared" si="5"/>
        <v>0.90239822181106899</v>
      </c>
    </row>
    <row r="163" spans="1:7">
      <c r="A163" s="54">
        <v>46835</v>
      </c>
      <c r="B163" t="str">
        <f t="shared" si="4"/>
        <v>March</v>
      </c>
      <c r="C163" s="15" t="s">
        <v>12</v>
      </c>
      <c r="D163" s="15">
        <v>86</v>
      </c>
      <c r="E163" s="106">
        <f>_xlfn.FORECAST.LINEAR(Table13[[#This Row],[Date]],Table13[Units_Sold],Table13[Date])</f>
        <v>99.264968595874379</v>
      </c>
      <c r="F163" s="109">
        <f>Table11[[#This Row],[Forecasted_Units]]*(1+Table11[[#This Row],[Adjustment_Percentage]])</f>
        <v>99.264968595874379</v>
      </c>
      <c r="G163" s="113">
        <f t="shared" si="5"/>
        <v>0.84575617911773981</v>
      </c>
    </row>
    <row r="164" spans="1:7">
      <c r="A164" s="53">
        <v>46865</v>
      </c>
      <c r="B164" t="str">
        <f t="shared" si="4"/>
        <v>April</v>
      </c>
      <c r="C164" s="14" t="s">
        <v>10</v>
      </c>
      <c r="D164" s="14">
        <v>104</v>
      </c>
      <c r="E164" s="105">
        <f>_xlfn.FORECAST.LINEAR(Table13[[#This Row],[Date]],Table13[Units_Sold],Table13[Date])</f>
        <v>99.266132792531167</v>
      </c>
      <c r="F164" s="108">
        <f>Table11[[#This Row],[Forecasted_Units]]*(1+Table11[[#This Row],[Adjustment_Percentage]])</f>
        <v>99.266132792531167</v>
      </c>
      <c r="G164" s="113">
        <f t="shared" si="5"/>
        <v>0.95448204608203047</v>
      </c>
    </row>
    <row r="165" spans="1:7">
      <c r="A165" s="54">
        <v>46895</v>
      </c>
      <c r="B165" t="str">
        <f t="shared" si="4"/>
        <v>May</v>
      </c>
      <c r="C165" s="15" t="s">
        <v>12</v>
      </c>
      <c r="D165" s="15">
        <v>107</v>
      </c>
      <c r="E165" s="106">
        <f>_xlfn.FORECAST.LINEAR(Table13[[#This Row],[Date]],Table13[Units_Sold],Table13[Date])</f>
        <v>99.267296989187955</v>
      </c>
      <c r="F165" s="109">
        <f>Table11[[#This Row],[Forecasted_Units]]*(1+Table11[[#This Row],[Adjustment_Percentage]])</f>
        <v>99.267296989187955</v>
      </c>
      <c r="G165" s="113">
        <f t="shared" si="5"/>
        <v>0.92773174756250421</v>
      </c>
    </row>
    <row r="166" spans="1:7">
      <c r="A166" s="53">
        <v>46925</v>
      </c>
      <c r="B166" t="str">
        <f t="shared" si="4"/>
        <v>June</v>
      </c>
      <c r="C166" s="14" t="s">
        <v>13</v>
      </c>
      <c r="D166" s="14">
        <v>93</v>
      </c>
      <c r="E166" s="105">
        <f>_xlfn.FORECAST.LINEAR(Table13[[#This Row],[Date]],Table13[Units_Sold],Table13[Date])</f>
        <v>99.268461185844743</v>
      </c>
      <c r="F166" s="108">
        <f>Table11[[#This Row],[Forecasted_Units]]*(1+Table11[[#This Row],[Adjustment_Percentage]])</f>
        <v>99.268461185844743</v>
      </c>
      <c r="G166" s="113">
        <f t="shared" si="5"/>
        <v>0.93259719155005649</v>
      </c>
    </row>
    <row r="167" spans="1:7">
      <c r="A167" s="54">
        <v>46955</v>
      </c>
      <c r="B167" t="str">
        <f t="shared" si="4"/>
        <v>July</v>
      </c>
      <c r="C167" s="15" t="s">
        <v>10</v>
      </c>
      <c r="D167" s="15">
        <v>108</v>
      </c>
      <c r="E167" s="106">
        <f>_xlfn.FORECAST.LINEAR(Table13[[#This Row],[Date]],Table13[Units_Sold],Table13[Date])</f>
        <v>99.26962538250153</v>
      </c>
      <c r="F167" s="109">
        <f>Table11[[#This Row],[Forecasted_Units]]*(1+Table11[[#This Row],[Adjustment_Percentage]])</f>
        <v>99.26962538250153</v>
      </c>
      <c r="G167" s="113">
        <f t="shared" si="5"/>
        <v>0.91916319798612522</v>
      </c>
    </row>
    <row r="168" spans="1:7">
      <c r="A168" s="53">
        <v>46985</v>
      </c>
      <c r="B168" t="str">
        <f t="shared" si="4"/>
        <v>August</v>
      </c>
      <c r="C168" s="14" t="s">
        <v>10</v>
      </c>
      <c r="D168" s="14">
        <v>96</v>
      </c>
      <c r="E168" s="105">
        <f>_xlfn.FORECAST.LINEAR(Table13[[#This Row],[Date]],Table13[Units_Sold],Table13[Date])</f>
        <v>99.270789579158304</v>
      </c>
      <c r="F168" s="108">
        <f>Table11[[#This Row],[Forecasted_Units]]*(1+Table11[[#This Row],[Adjustment_Percentage]])</f>
        <v>99.270789579158304</v>
      </c>
      <c r="G168" s="113">
        <f t="shared" si="5"/>
        <v>0.96592927521710104</v>
      </c>
    </row>
    <row r="169" spans="1:7">
      <c r="A169" s="54">
        <v>47015</v>
      </c>
      <c r="B169" t="str">
        <f t="shared" si="4"/>
        <v>September</v>
      </c>
      <c r="C169" s="15" t="s">
        <v>14</v>
      </c>
      <c r="D169" s="15">
        <v>95</v>
      </c>
      <c r="E169" s="106">
        <f>_xlfn.FORECAST.LINEAR(Table13[[#This Row],[Date]],Table13[Units_Sold],Table13[Date])</f>
        <v>99.271953775815092</v>
      </c>
      <c r="F169" s="109">
        <f>Table11[[#This Row],[Forecasted_Units]]*(1+Table11[[#This Row],[Adjustment_Percentage]])</f>
        <v>99.271953775815092</v>
      </c>
      <c r="G169" s="113">
        <f t="shared" si="5"/>
        <v>0.9550320655177359</v>
      </c>
    </row>
    <row r="170" spans="1:7">
      <c r="A170" s="53">
        <v>47045</v>
      </c>
      <c r="B170" t="str">
        <f t="shared" si="4"/>
        <v>October</v>
      </c>
      <c r="C170" s="14" t="s">
        <v>10</v>
      </c>
      <c r="D170" s="14">
        <v>112</v>
      </c>
      <c r="E170" s="105">
        <f>_xlfn.FORECAST.LINEAR(Table13[[#This Row],[Date]],Table13[Units_Sold],Table13[Date])</f>
        <v>99.27311797247188</v>
      </c>
      <c r="F170" s="108">
        <f>Table11[[#This Row],[Forecasted_Units]]*(1+Table11[[#This Row],[Adjustment_Percentage]])</f>
        <v>99.27311797247188</v>
      </c>
      <c r="G170" s="113">
        <f t="shared" si="5"/>
        <v>0.8863671247542132</v>
      </c>
    </row>
    <row r="171" spans="1:7">
      <c r="A171" s="54">
        <v>47075</v>
      </c>
      <c r="B171" t="str">
        <f t="shared" si="4"/>
        <v>November</v>
      </c>
      <c r="C171" s="15" t="s">
        <v>13</v>
      </c>
      <c r="D171" s="15">
        <v>108</v>
      </c>
      <c r="E171" s="106">
        <f>_xlfn.FORECAST.LINEAR(Table13[[#This Row],[Date]],Table13[Units_Sold],Table13[Date])</f>
        <v>99.274282169128668</v>
      </c>
      <c r="F171" s="109">
        <f>Table11[[#This Row],[Forecasted_Units]]*(1+Table11[[#This Row],[Adjustment_Percentage]])</f>
        <v>99.274282169128668</v>
      </c>
      <c r="G171" s="113">
        <f t="shared" si="5"/>
        <v>0.91920631638082095</v>
      </c>
    </row>
    <row r="172" spans="1:7">
      <c r="A172" s="53">
        <v>47105</v>
      </c>
      <c r="B172" t="str">
        <f t="shared" si="4"/>
        <v>December</v>
      </c>
      <c r="C172" s="14" t="s">
        <v>12</v>
      </c>
      <c r="D172" s="14">
        <v>85</v>
      </c>
      <c r="E172" s="105">
        <f>_xlfn.FORECAST.LINEAR(Table13[[#This Row],[Date]],Table13[Units_Sold],Table13[Date])</f>
        <v>99.275446365785456</v>
      </c>
      <c r="F172" s="108">
        <f>Table11[[#This Row],[Forecasted_Units]]*(1+Table11[[#This Row],[Adjustment_Percentage]])</f>
        <v>99.275446365785456</v>
      </c>
      <c r="G172" s="113">
        <f t="shared" si="5"/>
        <v>0.83205357216722997</v>
      </c>
    </row>
    <row r="173" spans="1:7">
      <c r="A173" s="54">
        <v>47135</v>
      </c>
      <c r="B173" t="str">
        <f t="shared" si="4"/>
        <v>January</v>
      </c>
      <c r="C173" s="15" t="s">
        <v>12</v>
      </c>
      <c r="D173" s="15">
        <f>IF(ISBLANK(D126), O127, D126)</f>
        <v>87</v>
      </c>
      <c r="E173" s="106">
        <f>_xlfn.FORECAST.LINEAR(Table13[[#This Row],[Date]],Table13[Units_Sold],Table13[Date])</f>
        <v>99.276610562442244</v>
      </c>
      <c r="F173" s="109">
        <f>Table11[[#This Row],[Forecasted_Units]]*(1+Table11[[#This Row],[Adjustment_Percentage]])</f>
        <v>99.276610562442244</v>
      </c>
      <c r="G173" s="113">
        <f t="shared" si="5"/>
        <v>0.85888953376503174</v>
      </c>
    </row>
    <row r="174" spans="1:7">
      <c r="A174" s="53">
        <v>47165</v>
      </c>
      <c r="B174" t="str">
        <f t="shared" si="4"/>
        <v>February</v>
      </c>
      <c r="C174" s="14" t="s">
        <v>14</v>
      </c>
      <c r="D174" s="14">
        <v>95</v>
      </c>
      <c r="E174" s="105">
        <f>_xlfn.FORECAST.LINEAR(Table13[[#This Row],[Date]],Table13[Units_Sold],Table13[Date])</f>
        <v>99.277774759099032</v>
      </c>
      <c r="F174" s="108">
        <f>Table11[[#This Row],[Forecasted_Units]]*(1+Table11[[#This Row],[Adjustment_Percentage]])</f>
        <v>99.277774759099032</v>
      </c>
      <c r="G174" s="113">
        <f t="shared" si="5"/>
        <v>0.95497079200948387</v>
      </c>
    </row>
    <row r="175" spans="1:7">
      <c r="A175" s="54">
        <v>47195</v>
      </c>
      <c r="B175" t="str">
        <f t="shared" si="4"/>
        <v>March</v>
      </c>
      <c r="C175" s="15" t="s">
        <v>13</v>
      </c>
      <c r="D175" s="15">
        <v>97</v>
      </c>
      <c r="E175" s="106">
        <f>_xlfn.FORECAST.LINEAR(Table13[[#This Row],[Date]],Table13[Units_Sold],Table13[Date])</f>
        <v>99.27893895575582</v>
      </c>
      <c r="F175" s="109">
        <f>Table11[[#This Row],[Forecasted_Units]]*(1+Table11[[#This Row],[Adjustment_Percentage]])</f>
        <v>99.27893895575582</v>
      </c>
      <c r="G175" s="113">
        <f t="shared" si="5"/>
        <v>0.97650578396128018</v>
      </c>
    </row>
    <row r="176" spans="1:7">
      <c r="A176" s="53">
        <v>47225</v>
      </c>
      <c r="B176" t="str">
        <f t="shared" si="4"/>
        <v>April</v>
      </c>
      <c r="C176" s="14" t="s">
        <v>12</v>
      </c>
      <c r="D176" s="14">
        <v>116</v>
      </c>
      <c r="E176" s="105">
        <f>_xlfn.FORECAST.LINEAR(Table13[[#This Row],[Date]],Table13[Units_Sold],Table13[Date])</f>
        <v>99.280103152412607</v>
      </c>
      <c r="F176" s="108">
        <f>Table11[[#This Row],[Forecasted_Units]]*(1+Table11[[#This Row],[Adjustment_Percentage]])</f>
        <v>99.280103152412607</v>
      </c>
      <c r="G176" s="113">
        <f t="shared" si="5"/>
        <v>0.85586295821045355</v>
      </c>
    </row>
    <row r="177" spans="1:7">
      <c r="A177" s="54">
        <v>47255</v>
      </c>
      <c r="B177" t="str">
        <f t="shared" si="4"/>
        <v>May</v>
      </c>
      <c r="C177" s="15" t="s">
        <v>11</v>
      </c>
      <c r="D177" s="15">
        <v>95</v>
      </c>
      <c r="E177" s="106">
        <f>_xlfn.FORECAST.LINEAR(Table13[[#This Row],[Date]],Table13[Units_Sold],Table13[Date])</f>
        <v>99.281267349069395</v>
      </c>
      <c r="F177" s="109">
        <f>Table11[[#This Row],[Forecasted_Units]]*(1+Table11[[#This Row],[Adjustment_Percentage]])</f>
        <v>99.281267349069395</v>
      </c>
      <c r="G177" s="113">
        <f t="shared" si="5"/>
        <v>0.95493402790453263</v>
      </c>
    </row>
    <row r="178" spans="1:7">
      <c r="A178" s="53">
        <v>47285</v>
      </c>
      <c r="B178" t="str">
        <f t="shared" si="4"/>
        <v>June</v>
      </c>
      <c r="C178" s="14" t="s">
        <v>13</v>
      </c>
      <c r="D178" s="14">
        <v>123</v>
      </c>
      <c r="E178" s="105">
        <f>_xlfn.FORECAST.LINEAR(Table13[[#This Row],[Date]],Table13[Units_Sold],Table13[Date])</f>
        <v>99.282431545726183</v>
      </c>
      <c r="F178" s="108">
        <f>Table11[[#This Row],[Forecasted_Units]]*(1+Table11[[#This Row],[Adjustment_Percentage]])</f>
        <v>99.282431545726183</v>
      </c>
      <c r="G178" s="113">
        <f t="shared" si="5"/>
        <v>0.80717424020915596</v>
      </c>
    </row>
    <row r="179" spans="1:7">
      <c r="A179" s="54">
        <v>47315</v>
      </c>
      <c r="B179" t="str">
        <f t="shared" si="4"/>
        <v>July</v>
      </c>
      <c r="C179" s="15" t="s">
        <v>13</v>
      </c>
      <c r="D179" s="15">
        <v>104</v>
      </c>
      <c r="E179" s="106">
        <f>_xlfn.FORECAST.LINEAR(Table13[[#This Row],[Date]],Table13[Units_Sold],Table13[Date])</f>
        <v>99.283595742382957</v>
      </c>
      <c r="F179" s="109">
        <f>Table11[[#This Row],[Forecasted_Units]]*(1+Table11[[#This Row],[Adjustment_Percentage]])</f>
        <v>99.283595742382957</v>
      </c>
      <c r="G179" s="113">
        <f t="shared" si="5"/>
        <v>0.95464995906137462</v>
      </c>
    </row>
    <row r="180" spans="1:7">
      <c r="A180" s="53">
        <v>47345</v>
      </c>
      <c r="B180" t="str">
        <f t="shared" si="4"/>
        <v>August</v>
      </c>
      <c r="C180" s="14" t="s">
        <v>14</v>
      </c>
      <c r="D180" s="14">
        <v>94</v>
      </c>
      <c r="E180" s="105">
        <f>_xlfn.FORECAST.LINEAR(Table13[[#This Row],[Date]],Table13[Units_Sold],Table13[Date])</f>
        <v>99.284759939039745</v>
      </c>
      <c r="F180" s="108">
        <f>Table11[[#This Row],[Forecasted_Units]]*(1+Table11[[#This Row],[Adjustment_Percentage]])</f>
        <v>99.284759939039745</v>
      </c>
      <c r="G180" s="113">
        <f t="shared" si="5"/>
        <v>0.94377914958468356</v>
      </c>
    </row>
    <row r="181" spans="1:7">
      <c r="A181" s="54">
        <v>47375</v>
      </c>
      <c r="B181" t="str">
        <f t="shared" si="4"/>
        <v>September</v>
      </c>
      <c r="C181" s="15" t="s">
        <v>12</v>
      </c>
      <c r="D181" s="15">
        <v>105</v>
      </c>
      <c r="E181" s="106">
        <f>_xlfn.FORECAST.LINEAR(Table13[[#This Row],[Date]],Table13[Units_Sold],Table13[Date])</f>
        <v>99.285924135696533</v>
      </c>
      <c r="F181" s="109">
        <f>Table11[[#This Row],[Forecasted_Units]]*(1+Table11[[#This Row],[Adjustment_Percentage]])</f>
        <v>99.285924135696533</v>
      </c>
      <c r="G181" s="113">
        <f t="shared" si="5"/>
        <v>0.94558022986377654</v>
      </c>
    </row>
    <row r="182" spans="1:7">
      <c r="A182" s="53">
        <v>47405</v>
      </c>
      <c r="B182" t="str">
        <f t="shared" si="4"/>
        <v>October</v>
      </c>
      <c r="C182" s="14" t="s">
        <v>13</v>
      </c>
      <c r="D182" s="14">
        <v>109</v>
      </c>
      <c r="E182" s="105">
        <f>_xlfn.FORECAST.LINEAR(Table13[[#This Row],[Date]],Table13[Units_Sold],Table13[Date])</f>
        <v>99.287088332353321</v>
      </c>
      <c r="F182" s="108">
        <f>Table11[[#This Row],[Forecasted_Units]]*(1+Table11[[#This Row],[Adjustment_Percentage]])</f>
        <v>99.287088332353321</v>
      </c>
      <c r="G182" s="113">
        <f t="shared" si="5"/>
        <v>0.91089071864544335</v>
      </c>
    </row>
    <row r="183" spans="1:7">
      <c r="A183" s="54">
        <v>47435</v>
      </c>
      <c r="B183" t="str">
        <f t="shared" si="4"/>
        <v>November</v>
      </c>
      <c r="C183" s="15" t="s">
        <v>12</v>
      </c>
      <c r="D183" s="15">
        <v>84</v>
      </c>
      <c r="E183" s="106">
        <f>_xlfn.FORECAST.LINEAR(Table13[[#This Row],[Date]],Table13[Units_Sold],Table13[Date])</f>
        <v>99.288252529010109</v>
      </c>
      <c r="F183" s="109">
        <f>Table11[[#This Row],[Forecasted_Units]]*(1+Table11[[#This Row],[Adjustment_Percentage]])</f>
        <v>99.288252529010109</v>
      </c>
      <c r="G183" s="113">
        <f t="shared" si="5"/>
        <v>0.81799699370226064</v>
      </c>
    </row>
    <row r="184" spans="1:7">
      <c r="A184" s="53">
        <v>47465</v>
      </c>
      <c r="B184" t="str">
        <f t="shared" si="4"/>
        <v>December</v>
      </c>
      <c r="C184" s="14" t="s">
        <v>11</v>
      </c>
      <c r="D184" s="14">
        <v>79</v>
      </c>
      <c r="E184" s="105">
        <f>_xlfn.FORECAST.LINEAR(Table13[[#This Row],[Date]],Table13[Units_Sold],Table13[Date])</f>
        <v>99.289416725666896</v>
      </c>
      <c r="F184" s="108">
        <f>Table11[[#This Row],[Forecasted_Units]]*(1+Table11[[#This Row],[Adjustment_Percentage]])</f>
        <v>99.289416725666896</v>
      </c>
      <c r="G184" s="113">
        <f t="shared" si="5"/>
        <v>0.74317194018143162</v>
      </c>
    </row>
    <row r="185" spans="1:7">
      <c r="A185" s="54">
        <v>47495</v>
      </c>
      <c r="B185" t="str">
        <f t="shared" si="4"/>
        <v>January</v>
      </c>
      <c r="C185" s="15" t="s">
        <v>14</v>
      </c>
      <c r="D185" s="15">
        <v>98</v>
      </c>
      <c r="E185" s="106">
        <f>_xlfn.FORECAST.LINEAR(Table13[[#This Row],[Date]],Table13[Units_Sold],Table13[Date])</f>
        <v>99.290580922323684</v>
      </c>
      <c r="F185" s="109">
        <f>Table11[[#This Row],[Forecasted_Units]]*(1+Table11[[#This Row],[Adjustment_Percentage]])</f>
        <v>99.290580922323684</v>
      </c>
      <c r="G185" s="113">
        <f t="shared" si="5"/>
        <v>0.98683080691506442</v>
      </c>
    </row>
    <row r="186" spans="1:7">
      <c r="A186" s="53">
        <v>47525</v>
      </c>
      <c r="B186" t="str">
        <f t="shared" si="4"/>
        <v>February</v>
      </c>
      <c r="C186" s="14" t="s">
        <v>11</v>
      </c>
      <c r="D186" s="14">
        <v>96</v>
      </c>
      <c r="E186" s="105">
        <f>_xlfn.FORECAST.LINEAR(Table13[[#This Row],[Date]],Table13[Units_Sold],Table13[Date])</f>
        <v>99.291745118980472</v>
      </c>
      <c r="F186" s="108">
        <f>Table11[[#This Row],[Forecasted_Units]]*(1+Table11[[#This Row],[Adjustment_Percentage]])</f>
        <v>99.291745118980472</v>
      </c>
      <c r="G186" s="113">
        <f t="shared" si="5"/>
        <v>0.96571098834395341</v>
      </c>
    </row>
    <row r="187" spans="1:7">
      <c r="A187" s="54">
        <v>47555</v>
      </c>
      <c r="B187" t="str">
        <f t="shared" si="4"/>
        <v>March</v>
      </c>
      <c r="C187" s="15" t="s">
        <v>14</v>
      </c>
      <c r="D187" s="15">
        <v>88</v>
      </c>
      <c r="E187" s="106">
        <f>_xlfn.FORECAST.LINEAR(Table13[[#This Row],[Date]],Table13[Units_Sold],Table13[Date])</f>
        <v>99.29290931563726</v>
      </c>
      <c r="F187" s="109">
        <f>Table11[[#This Row],[Forecasted_Units]]*(1+Table11[[#This Row],[Adjustment_Percentage]])</f>
        <v>99.29290931563726</v>
      </c>
      <c r="G187" s="113">
        <f t="shared" si="5"/>
        <v>0.87167148504957659</v>
      </c>
    </row>
    <row r="188" spans="1:7">
      <c r="A188" s="53">
        <v>47585</v>
      </c>
      <c r="B188" t="str">
        <f t="shared" si="4"/>
        <v>April</v>
      </c>
      <c r="C188" s="14" t="s">
        <v>13</v>
      </c>
      <c r="D188" s="14">
        <v>103</v>
      </c>
      <c r="E188" s="105">
        <f>_xlfn.FORECAST.LINEAR(Table13[[#This Row],[Date]],Table13[Units_Sold],Table13[Date])</f>
        <v>99.294073512294048</v>
      </c>
      <c r="F188" s="108">
        <f>Table11[[#This Row],[Forecasted_Units]]*(1+Table11[[#This Row],[Adjustment_Percentage]])</f>
        <v>99.294073512294048</v>
      </c>
      <c r="G188" s="113">
        <f t="shared" si="5"/>
        <v>0.96402013118732088</v>
      </c>
    </row>
    <row r="189" spans="1:7">
      <c r="A189" s="54">
        <v>47615</v>
      </c>
      <c r="B189" t="str">
        <f t="shared" si="4"/>
        <v>May</v>
      </c>
      <c r="C189" s="15" t="s">
        <v>14</v>
      </c>
      <c r="D189" s="15">
        <v>83</v>
      </c>
      <c r="E189" s="106">
        <f>_xlfn.FORECAST.LINEAR(Table13[[#This Row],[Date]],Table13[Units_Sold],Table13[Date])</f>
        <v>99.295237708950836</v>
      </c>
      <c r="F189" s="109">
        <f>Table11[[#This Row],[Forecasted_Units]]*(1+Table11[[#This Row],[Adjustment_Percentage]])</f>
        <v>99.295237708950836</v>
      </c>
      <c r="G189" s="113">
        <f t="shared" si="5"/>
        <v>0.80367183483191762</v>
      </c>
    </row>
    <row r="190" spans="1:7">
      <c r="A190" s="53">
        <v>47645</v>
      </c>
      <c r="B190" t="str">
        <f t="shared" si="4"/>
        <v>June</v>
      </c>
      <c r="C190" s="14" t="s">
        <v>10</v>
      </c>
      <c r="D190" s="14">
        <v>82</v>
      </c>
      <c r="E190" s="105">
        <f>_xlfn.FORECAST.LINEAR(Table13[[#This Row],[Date]],Table13[Units_Sold],Table13[Date])</f>
        <v>99.29640190560761</v>
      </c>
      <c r="F190" s="108">
        <f>Table11[[#This Row],[Forecasted_Units]]*(1+Table11[[#This Row],[Adjustment_Percentage]])</f>
        <v>99.29640190560761</v>
      </c>
      <c r="G190" s="113">
        <f t="shared" si="5"/>
        <v>0.78906826944380959</v>
      </c>
    </row>
    <row r="191" spans="1:7">
      <c r="A191" s="54">
        <v>47675</v>
      </c>
      <c r="B191" t="str">
        <f t="shared" si="4"/>
        <v>July</v>
      </c>
      <c r="C191" s="15" t="s">
        <v>12</v>
      </c>
      <c r="D191" s="15">
        <v>106</v>
      </c>
      <c r="E191" s="106">
        <f>_xlfn.FORECAST.LINEAR(Table13[[#This Row],[Date]],Table13[Units_Sold],Table13[Date])</f>
        <v>99.297566102264398</v>
      </c>
      <c r="F191" s="109">
        <f>Table11[[#This Row],[Forecasted_Units]]*(1+Table11[[#This Row],[Adjustment_Percentage]])</f>
        <v>99.297566102264398</v>
      </c>
      <c r="G191" s="113">
        <f t="shared" si="5"/>
        <v>0.93676949153079625</v>
      </c>
    </row>
    <row r="192" spans="1:7">
      <c r="A192" s="53">
        <v>47705</v>
      </c>
      <c r="B192" t="str">
        <f t="shared" si="4"/>
        <v>August</v>
      </c>
      <c r="C192" s="14" t="s">
        <v>12</v>
      </c>
      <c r="D192" s="14">
        <v>96</v>
      </c>
      <c r="E192" s="105">
        <f>_xlfn.FORECAST.LINEAR(Table13[[#This Row],[Date]],Table13[Units_Sold],Table13[Date])</f>
        <v>99.298730298921186</v>
      </c>
      <c r="F192" s="108">
        <f>Table11[[#This Row],[Forecasted_Units]]*(1+Table11[[#This Row],[Adjustment_Percentage]])</f>
        <v>99.298730298921186</v>
      </c>
      <c r="G192" s="113">
        <f t="shared" si="5"/>
        <v>0.96563822605290428</v>
      </c>
    </row>
    <row r="193" spans="1:7">
      <c r="A193" s="54">
        <v>47735</v>
      </c>
      <c r="B193" t="str">
        <f t="shared" si="4"/>
        <v>September</v>
      </c>
      <c r="C193" s="15" t="s">
        <v>10</v>
      </c>
      <c r="D193" s="15">
        <v>96</v>
      </c>
      <c r="E193" s="106">
        <f>_xlfn.FORECAST.LINEAR(Table13[[#This Row],[Date]],Table13[Units_Sold],Table13[Date])</f>
        <v>99.299894495577973</v>
      </c>
      <c r="F193" s="109">
        <f>Table11[[#This Row],[Forecasted_Units]]*(1+Table11[[#This Row],[Adjustment_Percentage]])</f>
        <v>99.299894495577973</v>
      </c>
      <c r="G193" s="113">
        <f t="shared" si="5"/>
        <v>0.96562609900439611</v>
      </c>
    </row>
    <row r="194" spans="1:7">
      <c r="A194" s="53">
        <v>47765</v>
      </c>
      <c r="B194" t="str">
        <f t="shared" si="4"/>
        <v>October</v>
      </c>
      <c r="C194" s="14" t="s">
        <v>11</v>
      </c>
      <c r="D194" s="14">
        <v>109</v>
      </c>
      <c r="E194" s="105">
        <f>_xlfn.FORECAST.LINEAR(Table13[[#This Row],[Date]],Table13[Units_Sold],Table13[Date])</f>
        <v>99.301058692234761</v>
      </c>
      <c r="F194" s="108">
        <f>Table11[[#This Row],[Forecasted_Units]]*(1+Table11[[#This Row],[Adjustment_Percentage]])</f>
        <v>99.301058692234761</v>
      </c>
      <c r="G194" s="113">
        <f t="shared" si="5"/>
        <v>0.91101888708472256</v>
      </c>
    </row>
    <row r="195" spans="1:7">
      <c r="A195" s="54">
        <v>47795</v>
      </c>
      <c r="B195" t="str">
        <f t="shared" ref="B195:B258" si="6">TEXT(A195,"mmmm")</f>
        <v>November</v>
      </c>
      <c r="C195" s="15" t="s">
        <v>10</v>
      </c>
      <c r="D195" s="15">
        <v>98</v>
      </c>
      <c r="E195" s="106">
        <f>_xlfn.FORECAST.LINEAR(Table13[[#This Row],[Date]],Table13[Units_Sold],Table13[Date])</f>
        <v>99.302222888891549</v>
      </c>
      <c r="F195" s="109">
        <f>Table11[[#This Row],[Forecasted_Units]]*(1+Table11[[#This Row],[Adjustment_Percentage]])</f>
        <v>99.302222888891549</v>
      </c>
      <c r="G195" s="113">
        <f t="shared" ref="G195:G258" si="7">1-ABS(D195-F195)/D195</f>
        <v>0.98671201133784137</v>
      </c>
    </row>
    <row r="196" spans="1:7">
      <c r="A196" s="53">
        <v>47825</v>
      </c>
      <c r="B196" t="str">
        <f t="shared" si="6"/>
        <v>December</v>
      </c>
      <c r="C196" s="14" t="s">
        <v>13</v>
      </c>
      <c r="D196" s="14">
        <v>86</v>
      </c>
      <c r="E196" s="105">
        <f>_xlfn.FORECAST.LINEAR(Table13[[#This Row],[Date]],Table13[Units_Sold],Table13[Date])</f>
        <v>99.303387085548337</v>
      </c>
      <c r="F196" s="108">
        <f>Table11[[#This Row],[Forecasted_Units]]*(1+Table11[[#This Row],[Adjustment_Percentage]])</f>
        <v>99.303387085548337</v>
      </c>
      <c r="G196" s="113">
        <f t="shared" si="7"/>
        <v>0.84530945249362399</v>
      </c>
    </row>
    <row r="197" spans="1:7">
      <c r="A197" s="54">
        <v>47855</v>
      </c>
      <c r="B197" t="str">
        <f t="shared" si="6"/>
        <v>January</v>
      </c>
      <c r="C197" s="15" t="s">
        <v>13</v>
      </c>
      <c r="D197" s="15">
        <v>79</v>
      </c>
      <c r="E197" s="106">
        <f>_xlfn.FORECAST.LINEAR(Table13[[#This Row],[Date]],Table13[Units_Sold],Table13[Date])</f>
        <v>99.304551282205125</v>
      </c>
      <c r="F197" s="109">
        <f>Table11[[#This Row],[Forecasted_Units]]*(1+Table11[[#This Row],[Adjustment_Percentage]])</f>
        <v>99.304551282205125</v>
      </c>
      <c r="G197" s="113">
        <f t="shared" si="7"/>
        <v>0.74298036351639074</v>
      </c>
    </row>
    <row r="198" spans="1:7">
      <c r="A198" s="53">
        <v>47885</v>
      </c>
      <c r="B198" t="str">
        <f t="shared" si="6"/>
        <v>February</v>
      </c>
      <c r="C198" s="14" t="s">
        <v>12</v>
      </c>
      <c r="D198" s="14">
        <v>86</v>
      </c>
      <c r="E198" s="105">
        <f>_xlfn.FORECAST.LINEAR(Table13[[#This Row],[Date]],Table13[Units_Sold],Table13[Date])</f>
        <v>99.305715478861913</v>
      </c>
      <c r="F198" s="108">
        <f>Table11[[#This Row],[Forecasted_Units]]*(1+Table11[[#This Row],[Adjustment_Percentage]])</f>
        <v>99.305715478861913</v>
      </c>
      <c r="G198" s="113">
        <f t="shared" si="7"/>
        <v>0.84528237815276852</v>
      </c>
    </row>
    <row r="199" spans="1:7">
      <c r="A199" s="54">
        <v>47915</v>
      </c>
      <c r="B199" t="str">
        <f t="shared" si="6"/>
        <v>March</v>
      </c>
      <c r="C199" s="15" t="s">
        <v>13</v>
      </c>
      <c r="D199" s="15">
        <v>108</v>
      </c>
      <c r="E199" s="106">
        <f>_xlfn.FORECAST.LINEAR(Table13[[#This Row],[Date]],Table13[Units_Sold],Table13[Date])</f>
        <v>99.306879675518701</v>
      </c>
      <c r="F199" s="109">
        <f>Table11[[#This Row],[Forecasted_Units]]*(1+Table11[[#This Row],[Adjustment_Percentage]])</f>
        <v>99.306879675518701</v>
      </c>
      <c r="G199" s="113">
        <f t="shared" si="7"/>
        <v>0.91950814514369172</v>
      </c>
    </row>
    <row r="200" spans="1:7">
      <c r="A200" s="53">
        <v>47945</v>
      </c>
      <c r="B200" t="str">
        <f t="shared" si="6"/>
        <v>April</v>
      </c>
      <c r="C200" s="14" t="s">
        <v>12</v>
      </c>
      <c r="D200" s="14">
        <v>127</v>
      </c>
      <c r="E200" s="105">
        <f>_xlfn.FORECAST.LINEAR(Table13[[#This Row],[Date]],Table13[Units_Sold],Table13[Date])</f>
        <v>99.308043872175489</v>
      </c>
      <c r="F200" s="108">
        <f>Table11[[#This Row],[Forecasted_Units]]*(1+Table11[[#This Row],[Adjustment_Percentage]])</f>
        <v>99.308043872175489</v>
      </c>
      <c r="G200" s="113">
        <f t="shared" si="7"/>
        <v>0.7819531013557125</v>
      </c>
    </row>
    <row r="201" spans="1:7">
      <c r="A201" s="54">
        <v>47975</v>
      </c>
      <c r="B201" t="str">
        <f t="shared" si="6"/>
        <v>May</v>
      </c>
      <c r="C201" s="15" t="s">
        <v>10</v>
      </c>
      <c r="D201" s="15">
        <v>93</v>
      </c>
      <c r="E201" s="106">
        <f>_xlfn.FORECAST.LINEAR(Table13[[#This Row],[Date]],Table13[Units_Sold],Table13[Date])</f>
        <v>99.309208068832262</v>
      </c>
      <c r="F201" s="109">
        <f>Table11[[#This Row],[Forecasted_Units]]*(1+Table11[[#This Row],[Adjustment_Percentage]])</f>
        <v>99.309208068832262</v>
      </c>
      <c r="G201" s="113">
        <f t="shared" si="7"/>
        <v>0.93215905302330904</v>
      </c>
    </row>
    <row r="202" spans="1:7">
      <c r="A202" s="53">
        <v>48005</v>
      </c>
      <c r="B202" t="str">
        <f t="shared" si="6"/>
        <v>June</v>
      </c>
      <c r="C202" s="14" t="s">
        <v>10</v>
      </c>
      <c r="D202" s="14">
        <v>82</v>
      </c>
      <c r="E202" s="105">
        <f>_xlfn.FORECAST.LINEAR(Table13[[#This Row],[Date]],Table13[Units_Sold],Table13[Date])</f>
        <v>99.31037226548905</v>
      </c>
      <c r="F202" s="108">
        <f>Table11[[#This Row],[Forecasted_Units]]*(1+Table11[[#This Row],[Adjustment_Percentage]])</f>
        <v>99.31037226548905</v>
      </c>
      <c r="G202" s="113">
        <f t="shared" si="7"/>
        <v>0.788897899201353</v>
      </c>
    </row>
    <row r="203" spans="1:7">
      <c r="A203" s="54">
        <v>48035</v>
      </c>
      <c r="B203" t="str">
        <f t="shared" si="6"/>
        <v>July</v>
      </c>
      <c r="C203" s="15" t="s">
        <v>10</v>
      </c>
      <c r="D203" s="15">
        <v>104</v>
      </c>
      <c r="E203" s="106">
        <f>_xlfn.FORECAST.LINEAR(Table13[[#This Row],[Date]],Table13[Units_Sold],Table13[Date])</f>
        <v>99.311536462145838</v>
      </c>
      <c r="F203" s="109">
        <f>Table11[[#This Row],[Forecasted_Units]]*(1+Table11[[#This Row],[Adjustment_Percentage]])</f>
        <v>99.311536462145838</v>
      </c>
      <c r="G203" s="113">
        <f t="shared" si="7"/>
        <v>0.95491861982832538</v>
      </c>
    </row>
    <row r="204" spans="1:7">
      <c r="A204" s="53">
        <v>48065</v>
      </c>
      <c r="B204" t="str">
        <f t="shared" si="6"/>
        <v>August</v>
      </c>
      <c r="C204" s="14" t="s">
        <v>12</v>
      </c>
      <c r="D204" s="14">
        <v>99</v>
      </c>
      <c r="E204" s="105">
        <f>_xlfn.FORECAST.LINEAR(Table13[[#This Row],[Date]],Table13[Units_Sold],Table13[Date])</f>
        <v>99.312700658802626</v>
      </c>
      <c r="F204" s="108">
        <f>Table11[[#This Row],[Forecasted_Units]]*(1+Table11[[#This Row],[Adjustment_Percentage]])</f>
        <v>99.312700658802626</v>
      </c>
      <c r="G204" s="113">
        <f t="shared" si="7"/>
        <v>0.99684140748684213</v>
      </c>
    </row>
    <row r="205" spans="1:7">
      <c r="A205" s="54">
        <v>48095</v>
      </c>
      <c r="B205" t="str">
        <f t="shared" si="6"/>
        <v>September</v>
      </c>
      <c r="C205" s="15" t="s">
        <v>10</v>
      </c>
      <c r="D205" s="15">
        <v>102</v>
      </c>
      <c r="E205" s="106">
        <f>_xlfn.FORECAST.LINEAR(Table13[[#This Row],[Date]],Table13[Units_Sold],Table13[Date])</f>
        <v>99.313864855459414</v>
      </c>
      <c r="F205" s="109">
        <f>Table11[[#This Row],[Forecasted_Units]]*(1+Table11[[#This Row],[Adjustment_Percentage]])</f>
        <v>99.313864855459414</v>
      </c>
      <c r="G205" s="113">
        <f t="shared" si="7"/>
        <v>0.97366534172019037</v>
      </c>
    </row>
    <row r="206" spans="1:7">
      <c r="A206" s="53">
        <v>48125</v>
      </c>
      <c r="B206" t="str">
        <f t="shared" si="6"/>
        <v>October</v>
      </c>
      <c r="C206" s="14" t="s">
        <v>10</v>
      </c>
      <c r="D206" s="14">
        <v>76</v>
      </c>
      <c r="E206" s="105">
        <f>_xlfn.FORECAST.LINEAR(Table13[[#This Row],[Date]],Table13[Units_Sold],Table13[Date])</f>
        <v>99.315029052116202</v>
      </c>
      <c r="F206" s="108">
        <f>Table11[[#This Row],[Forecasted_Units]]*(1+Table11[[#This Row],[Adjustment_Percentage]])</f>
        <v>99.315029052116202</v>
      </c>
      <c r="G206" s="113">
        <f t="shared" si="7"/>
        <v>0.69322330194583937</v>
      </c>
    </row>
    <row r="207" spans="1:7">
      <c r="A207" s="54">
        <v>48155</v>
      </c>
      <c r="B207" t="str">
        <f t="shared" si="6"/>
        <v>November</v>
      </c>
      <c r="C207" s="15" t="s">
        <v>11</v>
      </c>
      <c r="D207" s="15">
        <v>99</v>
      </c>
      <c r="E207" s="106">
        <f>_xlfn.FORECAST.LINEAR(Table13[[#This Row],[Date]],Table13[Units_Sold],Table13[Date])</f>
        <v>99.31619324877299</v>
      </c>
      <c r="F207" s="109">
        <f>Table11[[#This Row],[Forecasted_Units]]*(1+Table11[[#This Row],[Adjustment_Percentage]])</f>
        <v>99.31619324877299</v>
      </c>
      <c r="G207" s="113">
        <f t="shared" si="7"/>
        <v>0.99680612880027286</v>
      </c>
    </row>
    <row r="208" spans="1:7">
      <c r="A208" s="53">
        <v>48185</v>
      </c>
      <c r="B208" t="str">
        <f t="shared" si="6"/>
        <v>December</v>
      </c>
      <c r="C208" s="14" t="s">
        <v>10</v>
      </c>
      <c r="D208" s="14">
        <v>93</v>
      </c>
      <c r="E208" s="105">
        <f>_xlfn.FORECAST.LINEAR(Table13[[#This Row],[Date]],Table13[Units_Sold],Table13[Date])</f>
        <v>99.317357445429778</v>
      </c>
      <c r="F208" s="108">
        <f>Table11[[#This Row],[Forecasted_Units]]*(1+Table11[[#This Row],[Adjustment_Percentage]])</f>
        <v>99.317357445429778</v>
      </c>
      <c r="G208" s="113">
        <f t="shared" si="7"/>
        <v>0.93207142531795939</v>
      </c>
    </row>
    <row r="209" spans="1:7">
      <c r="A209" s="54">
        <v>48215</v>
      </c>
      <c r="B209" t="str">
        <f t="shared" si="6"/>
        <v>January</v>
      </c>
      <c r="C209" s="15" t="s">
        <v>13</v>
      </c>
      <c r="D209" s="15">
        <v>99</v>
      </c>
      <c r="E209" s="106">
        <f>_xlfn.FORECAST.LINEAR(Table13[[#This Row],[Date]],Table13[Units_Sold],Table13[Date])</f>
        <v>99.318521642086566</v>
      </c>
      <c r="F209" s="109">
        <f>Table11[[#This Row],[Forecasted_Units]]*(1+Table11[[#This Row],[Adjustment_Percentage]])</f>
        <v>99.318521642086566</v>
      </c>
      <c r="G209" s="113">
        <f t="shared" si="7"/>
        <v>0.99678260967589327</v>
      </c>
    </row>
    <row r="210" spans="1:7">
      <c r="A210" s="53">
        <v>48245</v>
      </c>
      <c r="B210" t="str">
        <f t="shared" si="6"/>
        <v>February</v>
      </c>
      <c r="C210" s="14" t="s">
        <v>12</v>
      </c>
      <c r="D210" s="14">
        <v>102</v>
      </c>
      <c r="E210" s="105">
        <f>_xlfn.FORECAST.LINEAR(Table13[[#This Row],[Date]],Table13[Units_Sold],Table13[Date])</f>
        <v>99.319685838743354</v>
      </c>
      <c r="F210" s="108">
        <f>Table11[[#This Row],[Forecasted_Units]]*(1+Table11[[#This Row],[Adjustment_Percentage]])</f>
        <v>99.319685838743354</v>
      </c>
      <c r="G210" s="113">
        <f t="shared" si="7"/>
        <v>0.97372241018375838</v>
      </c>
    </row>
    <row r="211" spans="1:7">
      <c r="A211" s="54">
        <v>48275</v>
      </c>
      <c r="B211" t="str">
        <f t="shared" si="6"/>
        <v>March</v>
      </c>
      <c r="C211" s="15" t="s">
        <v>11</v>
      </c>
      <c r="D211" s="15">
        <v>106</v>
      </c>
      <c r="E211" s="106">
        <f>_xlfn.FORECAST.LINEAR(Table13[[#This Row],[Date]],Table13[Units_Sold],Table13[Date])</f>
        <v>99.320850035400142</v>
      </c>
      <c r="F211" s="109">
        <f>Table11[[#This Row],[Forecasted_Units]]*(1+Table11[[#This Row],[Adjustment_Percentage]])</f>
        <v>99.320850035400142</v>
      </c>
      <c r="G211" s="113">
        <f t="shared" si="7"/>
        <v>0.93698915127735982</v>
      </c>
    </row>
    <row r="212" spans="1:7">
      <c r="A212" s="53">
        <v>48305</v>
      </c>
      <c r="B212" t="str">
        <f t="shared" si="6"/>
        <v>April</v>
      </c>
      <c r="C212" s="14" t="s">
        <v>14</v>
      </c>
      <c r="D212" s="14">
        <v>94</v>
      </c>
      <c r="E212" s="105">
        <f>_xlfn.FORECAST.LINEAR(Table13[[#This Row],[Date]],Table13[Units_Sold],Table13[Date])</f>
        <v>99.322014232056915</v>
      </c>
      <c r="F212" s="108">
        <f>Table11[[#This Row],[Forecasted_Units]]*(1+Table11[[#This Row],[Adjustment_Percentage]])</f>
        <v>99.322014232056915</v>
      </c>
      <c r="G212" s="113">
        <f t="shared" si="7"/>
        <v>0.9433828273185435</v>
      </c>
    </row>
    <row r="213" spans="1:7">
      <c r="A213" s="54">
        <v>48335</v>
      </c>
      <c r="B213" t="str">
        <f t="shared" si="6"/>
        <v>May</v>
      </c>
      <c r="C213" s="15" t="s">
        <v>12</v>
      </c>
      <c r="D213" s="15">
        <v>105</v>
      </c>
      <c r="E213" s="106">
        <f>_xlfn.FORECAST.LINEAR(Table13[[#This Row],[Date]],Table13[Units_Sold],Table13[Date])</f>
        <v>99.323178428713703</v>
      </c>
      <c r="F213" s="109">
        <f>Table11[[#This Row],[Forecasted_Units]]*(1+Table11[[#This Row],[Adjustment_Percentage]])</f>
        <v>99.323178428713703</v>
      </c>
      <c r="G213" s="113">
        <f t="shared" si="7"/>
        <v>0.94593503265441625</v>
      </c>
    </row>
    <row r="214" spans="1:7">
      <c r="A214" s="53">
        <v>48365</v>
      </c>
      <c r="B214" t="str">
        <f t="shared" si="6"/>
        <v>May</v>
      </c>
      <c r="C214" s="14" t="s">
        <v>13</v>
      </c>
      <c r="D214" s="14">
        <v>100</v>
      </c>
      <c r="E214" s="105">
        <f>_xlfn.FORECAST.LINEAR(Table13[[#This Row],[Date]],Table13[Units_Sold],Table13[Date])</f>
        <v>99.324342625370491</v>
      </c>
      <c r="F214" s="108">
        <f>Table11[[#This Row],[Forecasted_Units]]*(1+Table11[[#This Row],[Adjustment_Percentage]])</f>
        <v>99.324342625370491</v>
      </c>
      <c r="G214" s="113">
        <f t="shared" si="7"/>
        <v>0.99324342625370488</v>
      </c>
    </row>
    <row r="215" spans="1:7">
      <c r="A215" s="54">
        <v>48395</v>
      </c>
      <c r="B215" t="str">
        <f t="shared" si="6"/>
        <v>June</v>
      </c>
      <c r="C215" s="15" t="s">
        <v>12</v>
      </c>
      <c r="D215" s="15">
        <v>122</v>
      </c>
      <c r="E215" s="106">
        <f>_xlfn.FORECAST.LINEAR(Table13[[#This Row],[Date]],Table13[Units_Sold],Table13[Date])</f>
        <v>99.325506822027279</v>
      </c>
      <c r="F215" s="109">
        <f>Table11[[#This Row],[Forecasted_Units]]*(1+Table11[[#This Row],[Adjustment_Percentage]])</f>
        <v>99.325506822027279</v>
      </c>
      <c r="G215" s="113">
        <f t="shared" si="7"/>
        <v>0.81414349854120727</v>
      </c>
    </row>
    <row r="216" spans="1:7">
      <c r="A216" s="53">
        <v>48425</v>
      </c>
      <c r="B216" t="str">
        <f t="shared" si="6"/>
        <v>July</v>
      </c>
      <c r="C216" s="14" t="s">
        <v>13</v>
      </c>
      <c r="D216" s="14">
        <v>103</v>
      </c>
      <c r="E216" s="105">
        <f>_xlfn.FORECAST.LINEAR(Table13[[#This Row],[Date]],Table13[Units_Sold],Table13[Date])</f>
        <v>99.326671018684067</v>
      </c>
      <c r="F216" s="108">
        <f>Table11[[#This Row],[Forecasted_Units]]*(1+Table11[[#This Row],[Adjustment_Percentage]])</f>
        <v>99.326671018684067</v>
      </c>
      <c r="G216" s="113">
        <f t="shared" si="7"/>
        <v>0.96433661183188413</v>
      </c>
    </row>
    <row r="217" spans="1:7">
      <c r="A217" s="54">
        <v>48455</v>
      </c>
      <c r="B217" t="str">
        <f t="shared" si="6"/>
        <v>August</v>
      </c>
      <c r="C217" s="15" t="s">
        <v>13</v>
      </c>
      <c r="D217" s="15">
        <v>119</v>
      </c>
      <c r="E217" s="106">
        <f>_xlfn.FORECAST.LINEAR(Table13[[#This Row],[Date]],Table13[Units_Sold],Table13[Date])</f>
        <v>99.327835215340855</v>
      </c>
      <c r="F217" s="109">
        <f>Table11[[#This Row],[Forecasted_Units]]*(1+Table11[[#This Row],[Adjustment_Percentage]])</f>
        <v>99.327835215340855</v>
      </c>
      <c r="G217" s="113">
        <f t="shared" si="7"/>
        <v>0.83468769088521721</v>
      </c>
    </row>
    <row r="218" spans="1:7">
      <c r="A218" s="53">
        <v>48485</v>
      </c>
      <c r="B218" t="str">
        <f t="shared" si="6"/>
        <v>September</v>
      </c>
      <c r="C218" s="14" t="s">
        <v>14</v>
      </c>
      <c r="D218" s="14">
        <v>76</v>
      </c>
      <c r="E218" s="105">
        <f>_xlfn.FORECAST.LINEAR(Table13[[#This Row],[Date]],Table13[Units_Sold],Table13[Date])</f>
        <v>99.328999411997643</v>
      </c>
      <c r="F218" s="108">
        <f>Table11[[#This Row],[Forecasted_Units]]*(1+Table11[[#This Row],[Adjustment_Percentage]])</f>
        <v>99.328999411997643</v>
      </c>
      <c r="G218" s="113">
        <f t="shared" si="7"/>
        <v>0.69303948142108363</v>
      </c>
    </row>
    <row r="219" spans="1:7">
      <c r="A219" s="54">
        <v>48515</v>
      </c>
      <c r="B219" t="str">
        <f t="shared" si="6"/>
        <v>October</v>
      </c>
      <c r="C219" s="15" t="s">
        <v>12</v>
      </c>
      <c r="D219" s="15">
        <v>96</v>
      </c>
      <c r="E219" s="106">
        <f>_xlfn.FORECAST.LINEAR(Table13[[#This Row],[Date]],Table13[Units_Sold],Table13[Date])</f>
        <v>99.330163608654431</v>
      </c>
      <c r="F219" s="109">
        <f>Table11[[#This Row],[Forecasted_Units]]*(1+Table11[[#This Row],[Adjustment_Percentage]])</f>
        <v>99.330163608654431</v>
      </c>
      <c r="G219" s="113">
        <f t="shared" si="7"/>
        <v>0.96531079574318301</v>
      </c>
    </row>
    <row r="220" spans="1:7">
      <c r="A220" s="53">
        <v>48545</v>
      </c>
      <c r="B220" t="str">
        <f t="shared" si="6"/>
        <v>November</v>
      </c>
      <c r="C220" s="14" t="s">
        <v>14</v>
      </c>
      <c r="D220" s="14">
        <v>103</v>
      </c>
      <c r="E220" s="105">
        <f>_xlfn.FORECAST.LINEAR(Table13[[#This Row],[Date]],Table13[Units_Sold],Table13[Date])</f>
        <v>99.331327805311219</v>
      </c>
      <c r="F220" s="108">
        <f>Table11[[#This Row],[Forecasted_Units]]*(1+Table11[[#This Row],[Adjustment_Percentage]])</f>
        <v>99.331327805311219</v>
      </c>
      <c r="G220" s="113">
        <f t="shared" si="7"/>
        <v>0.96438182335253608</v>
      </c>
    </row>
    <row r="221" spans="1:7">
      <c r="A221" s="54">
        <v>48575</v>
      </c>
      <c r="B221" t="str">
        <f t="shared" si="6"/>
        <v>December</v>
      </c>
      <c r="C221" s="15" t="s">
        <v>14</v>
      </c>
      <c r="D221" s="15">
        <v>111</v>
      </c>
      <c r="E221" s="106">
        <f>_xlfn.FORECAST.LINEAR(Table13[[#This Row],[Date]],Table13[Units_Sold],Table13[Date])</f>
        <v>99.332492001968006</v>
      </c>
      <c r="F221" s="109">
        <f>Table11[[#This Row],[Forecasted_Units]]*(1+Table11[[#This Row],[Adjustment_Percentage]])</f>
        <v>99.332492001968006</v>
      </c>
      <c r="G221" s="113">
        <f t="shared" si="7"/>
        <v>0.89488731533304511</v>
      </c>
    </row>
    <row r="222" spans="1:7">
      <c r="A222" s="53">
        <v>48605</v>
      </c>
      <c r="B222" t="str">
        <f t="shared" si="6"/>
        <v>January</v>
      </c>
      <c r="C222" s="14" t="s">
        <v>12</v>
      </c>
      <c r="D222" s="14">
        <v>97</v>
      </c>
      <c r="E222" s="105">
        <f>_xlfn.FORECAST.LINEAR(Table13[[#This Row],[Date]],Table13[Units_Sold],Table13[Date])</f>
        <v>99.333656198624794</v>
      </c>
      <c r="F222" s="108">
        <f>Table11[[#This Row],[Forecasted_Units]]*(1+Table11[[#This Row],[Adjustment_Percentage]])</f>
        <v>99.333656198624794</v>
      </c>
      <c r="G222" s="113">
        <f t="shared" si="7"/>
        <v>0.97594168867397124</v>
      </c>
    </row>
    <row r="223" spans="1:7">
      <c r="A223" s="54">
        <v>48635</v>
      </c>
      <c r="B223" t="str">
        <f t="shared" si="6"/>
        <v>February</v>
      </c>
      <c r="C223" s="15" t="s">
        <v>10</v>
      </c>
      <c r="D223" s="15">
        <v>112</v>
      </c>
      <c r="E223" s="106">
        <f>_xlfn.FORECAST.LINEAR(Table13[[#This Row],[Date]],Table13[Units_Sold],Table13[Date])</f>
        <v>99.334820395281568</v>
      </c>
      <c r="F223" s="109">
        <f>Table11[[#This Row],[Forecasted_Units]]*(1+Table11[[#This Row],[Adjustment_Percentage]])</f>
        <v>99.334820395281568</v>
      </c>
      <c r="G223" s="113">
        <f t="shared" si="7"/>
        <v>0.88691803924358548</v>
      </c>
    </row>
    <row r="224" spans="1:7">
      <c r="A224" s="53">
        <v>48665</v>
      </c>
      <c r="B224" t="str">
        <f t="shared" si="6"/>
        <v>March</v>
      </c>
      <c r="C224" s="14" t="s">
        <v>10</v>
      </c>
      <c r="D224" s="14">
        <v>99</v>
      </c>
      <c r="E224" s="105">
        <f>_xlfn.FORECAST.LINEAR(Table13[[#This Row],[Date]],Table13[Units_Sold],Table13[Date])</f>
        <v>99.335984591938356</v>
      </c>
      <c r="F224" s="108">
        <f>Table11[[#This Row],[Forecasted_Units]]*(1+Table11[[#This Row],[Adjustment_Percentage]])</f>
        <v>99.335984591938356</v>
      </c>
      <c r="G224" s="113">
        <f t="shared" si="7"/>
        <v>0.99660621624304691</v>
      </c>
    </row>
    <row r="225" spans="1:7">
      <c r="A225" s="54">
        <v>48695</v>
      </c>
      <c r="B225" t="str">
        <f t="shared" si="6"/>
        <v>April</v>
      </c>
      <c r="C225" s="15" t="s">
        <v>14</v>
      </c>
      <c r="D225" s="15">
        <v>124</v>
      </c>
      <c r="E225" s="106">
        <f>_xlfn.FORECAST.LINEAR(Table13[[#This Row],[Date]],Table13[Units_Sold],Table13[Date])</f>
        <v>99.337148788595144</v>
      </c>
      <c r="F225" s="109">
        <f>Table11[[#This Row],[Forecasted_Units]]*(1+Table11[[#This Row],[Adjustment_Percentage]])</f>
        <v>99.337148788595144</v>
      </c>
      <c r="G225" s="113">
        <f t="shared" si="7"/>
        <v>0.8011060386177028</v>
      </c>
    </row>
    <row r="226" spans="1:7">
      <c r="A226" s="53">
        <v>48725</v>
      </c>
      <c r="B226" t="str">
        <f t="shared" si="6"/>
        <v>May</v>
      </c>
      <c r="C226" s="14" t="s">
        <v>11</v>
      </c>
      <c r="D226" s="14">
        <v>91</v>
      </c>
      <c r="E226" s="105">
        <f>_xlfn.FORECAST.LINEAR(Table13[[#This Row],[Date]],Table13[Units_Sold],Table13[Date])</f>
        <v>99.338312985251932</v>
      </c>
      <c r="F226" s="108">
        <f>Table11[[#This Row],[Forecasted_Units]]*(1+Table11[[#This Row],[Adjustment_Percentage]])</f>
        <v>99.338312985251932</v>
      </c>
      <c r="G226" s="113">
        <f t="shared" si="7"/>
        <v>0.90837018697525351</v>
      </c>
    </row>
    <row r="227" spans="1:7">
      <c r="A227" s="54">
        <v>48755</v>
      </c>
      <c r="B227" t="str">
        <f t="shared" si="6"/>
        <v>June</v>
      </c>
      <c r="C227" s="15" t="s">
        <v>14</v>
      </c>
      <c r="D227" s="15">
        <v>103</v>
      </c>
      <c r="E227" s="106">
        <f>_xlfn.FORECAST.LINEAR(Table13[[#This Row],[Date]],Table13[Units_Sold],Table13[Date])</f>
        <v>99.33947718190872</v>
      </c>
      <c r="F227" s="109">
        <f>Table11[[#This Row],[Forecasted_Units]]*(1+Table11[[#This Row],[Adjustment_Percentage]])</f>
        <v>99.33947718190872</v>
      </c>
      <c r="G227" s="113">
        <f t="shared" si="7"/>
        <v>0.96446094351367684</v>
      </c>
    </row>
    <row r="228" spans="1:7">
      <c r="A228" s="53">
        <v>48785</v>
      </c>
      <c r="B228" t="str">
        <f t="shared" si="6"/>
        <v>July</v>
      </c>
      <c r="C228" s="14" t="s">
        <v>14</v>
      </c>
      <c r="D228" s="14">
        <v>86</v>
      </c>
      <c r="E228" s="105">
        <f>_xlfn.FORECAST.LINEAR(Table13[[#This Row],[Date]],Table13[Units_Sold],Table13[Date])</f>
        <v>99.340641378565508</v>
      </c>
      <c r="F228" s="108">
        <f>Table11[[#This Row],[Forecasted_Units]]*(1+Table11[[#This Row],[Adjustment_Percentage]])</f>
        <v>99.340641378565508</v>
      </c>
      <c r="G228" s="113">
        <f t="shared" si="7"/>
        <v>0.84487626303993602</v>
      </c>
    </row>
    <row r="229" spans="1:7">
      <c r="A229" s="54">
        <v>48815</v>
      </c>
      <c r="B229" t="str">
        <f t="shared" si="6"/>
        <v>August</v>
      </c>
      <c r="C229" s="15" t="s">
        <v>14</v>
      </c>
      <c r="D229" s="15">
        <v>101</v>
      </c>
      <c r="E229" s="106">
        <f>_xlfn.FORECAST.LINEAR(Table13[[#This Row],[Date]],Table13[Units_Sold],Table13[Date])</f>
        <v>99.341805575222295</v>
      </c>
      <c r="F229" s="109">
        <f>Table11[[#This Row],[Forecasted_Units]]*(1+Table11[[#This Row],[Adjustment_Percentage]])</f>
        <v>99.341805575222295</v>
      </c>
      <c r="G229" s="113">
        <f t="shared" si="7"/>
        <v>0.98358223341804252</v>
      </c>
    </row>
    <row r="230" spans="1:7">
      <c r="A230" s="53">
        <v>48845</v>
      </c>
      <c r="B230" t="str">
        <f t="shared" si="6"/>
        <v>September</v>
      </c>
      <c r="C230" s="14" t="s">
        <v>10</v>
      </c>
      <c r="D230" s="14">
        <v>101</v>
      </c>
      <c r="E230" s="105">
        <f>_xlfn.FORECAST.LINEAR(Table13[[#This Row],[Date]],Table13[Units_Sold],Table13[Date])</f>
        <v>99.342969771879083</v>
      </c>
      <c r="F230" s="108">
        <f>Table11[[#This Row],[Forecasted_Units]]*(1+Table11[[#This Row],[Adjustment_Percentage]])</f>
        <v>99.342969771879083</v>
      </c>
      <c r="G230" s="113">
        <f t="shared" si="7"/>
        <v>0.98359376011761468</v>
      </c>
    </row>
    <row r="231" spans="1:7">
      <c r="A231" s="54">
        <v>48875</v>
      </c>
      <c r="B231" t="str">
        <f t="shared" si="6"/>
        <v>October</v>
      </c>
      <c r="C231" s="15" t="s">
        <v>10</v>
      </c>
      <c r="D231" s="15">
        <v>101</v>
      </c>
      <c r="E231" s="106">
        <f>_xlfn.FORECAST.LINEAR(Table13[[#This Row],[Date]],Table13[Units_Sold],Table13[Date])</f>
        <v>99.344133968535871</v>
      </c>
      <c r="F231" s="109">
        <f>Table11[[#This Row],[Forecasted_Units]]*(1+Table11[[#This Row],[Adjustment_Percentage]])</f>
        <v>99.344133968535871</v>
      </c>
      <c r="G231" s="113">
        <f t="shared" si="7"/>
        <v>0.98360528681718684</v>
      </c>
    </row>
    <row r="232" spans="1:7">
      <c r="A232" s="53">
        <v>48905</v>
      </c>
      <c r="B232" t="str">
        <f t="shared" si="6"/>
        <v>November</v>
      </c>
      <c r="C232" s="14" t="s">
        <v>10</v>
      </c>
      <c r="D232" s="14">
        <v>113</v>
      </c>
      <c r="E232" s="105">
        <f>_xlfn.FORECAST.LINEAR(Table13[[#This Row],[Date]],Table13[Units_Sold],Table13[Date])</f>
        <v>99.345298165192659</v>
      </c>
      <c r="F232" s="108">
        <f>Table11[[#This Row],[Forecasted_Units]]*(1+Table11[[#This Row],[Adjustment_Percentage]])</f>
        <v>99.345298165192659</v>
      </c>
      <c r="G232" s="113">
        <f t="shared" si="7"/>
        <v>0.87916193066542181</v>
      </c>
    </row>
    <row r="233" spans="1:7">
      <c r="A233" s="54">
        <v>48935</v>
      </c>
      <c r="B233" t="str">
        <f t="shared" si="6"/>
        <v>December</v>
      </c>
      <c r="C233" s="15" t="s">
        <v>14</v>
      </c>
      <c r="D233" s="15">
        <v>87</v>
      </c>
      <c r="E233" s="106">
        <f>_xlfn.FORECAST.LINEAR(Table13[[#This Row],[Date]],Table13[Units_Sold],Table13[Date])</f>
        <v>99.346462361849447</v>
      </c>
      <c r="F233" s="109">
        <f>Table11[[#This Row],[Forecasted_Units]]*(1+Table11[[#This Row],[Adjustment_Percentage]])</f>
        <v>99.346462361849447</v>
      </c>
      <c r="G233" s="113">
        <f t="shared" si="7"/>
        <v>0.85808663951897191</v>
      </c>
    </row>
    <row r="234" spans="1:7">
      <c r="A234" s="53">
        <v>48965</v>
      </c>
      <c r="B234" t="str">
        <f t="shared" si="6"/>
        <v>January</v>
      </c>
      <c r="C234" s="14" t="s">
        <v>11</v>
      </c>
      <c r="D234" s="14">
        <v>108</v>
      </c>
      <c r="E234" s="105">
        <f>_xlfn.FORECAST.LINEAR(Table13[[#This Row],[Date]],Table13[Units_Sold],Table13[Date])</f>
        <v>99.347626558506221</v>
      </c>
      <c r="F234" s="108">
        <f>Table11[[#This Row],[Forecasted_Units]]*(1+Table11[[#This Row],[Adjustment_Percentage]])</f>
        <v>99.347626558506221</v>
      </c>
      <c r="G234" s="113">
        <f t="shared" si="7"/>
        <v>0.91988543109727983</v>
      </c>
    </row>
    <row r="235" spans="1:7">
      <c r="A235" s="54">
        <v>48995</v>
      </c>
      <c r="B235" t="str">
        <f t="shared" si="6"/>
        <v>February</v>
      </c>
      <c r="C235" s="15" t="s">
        <v>10</v>
      </c>
      <c r="D235" s="15">
        <v>100</v>
      </c>
      <c r="E235" s="106">
        <f>_xlfn.FORECAST.LINEAR(Table13[[#This Row],[Date]],Table13[Units_Sold],Table13[Date])</f>
        <v>99.348790755163009</v>
      </c>
      <c r="F235" s="109">
        <f>Table11[[#This Row],[Forecasted_Units]]*(1+Table11[[#This Row],[Adjustment_Percentage]])</f>
        <v>99.348790755163009</v>
      </c>
      <c r="G235" s="113">
        <f t="shared" si="7"/>
        <v>0.99348790755163008</v>
      </c>
    </row>
    <row r="236" spans="1:7">
      <c r="A236" s="53">
        <v>49025</v>
      </c>
      <c r="B236" t="str">
        <f t="shared" si="6"/>
        <v>March</v>
      </c>
      <c r="C236" s="14" t="s">
        <v>12</v>
      </c>
      <c r="D236" s="14">
        <v>87</v>
      </c>
      <c r="E236" s="105">
        <f>_xlfn.FORECAST.LINEAR(Table13[[#This Row],[Date]],Table13[Units_Sold],Table13[Date])</f>
        <v>99.349954951819797</v>
      </c>
      <c r="F236" s="108">
        <f>Table11[[#This Row],[Forecasted_Units]]*(1+Table11[[#This Row],[Adjustment_Percentage]])</f>
        <v>99.349954951819797</v>
      </c>
      <c r="G236" s="113">
        <f t="shared" si="7"/>
        <v>0.85804649480666906</v>
      </c>
    </row>
    <row r="237" spans="1:7">
      <c r="A237" s="54">
        <v>49055</v>
      </c>
      <c r="B237" t="str">
        <f t="shared" si="6"/>
        <v>April</v>
      </c>
      <c r="C237" s="15" t="s">
        <v>12</v>
      </c>
      <c r="D237" s="15">
        <v>96</v>
      </c>
      <c r="E237" s="106">
        <f>_xlfn.FORECAST.LINEAR(Table13[[#This Row],[Date]],Table13[Units_Sold],Table13[Date])</f>
        <v>99.351119148476585</v>
      </c>
      <c r="F237" s="109">
        <f>Table11[[#This Row],[Forecasted_Units]]*(1+Table11[[#This Row],[Adjustment_Percentage]])</f>
        <v>99.351119148476585</v>
      </c>
      <c r="G237" s="113">
        <f t="shared" si="7"/>
        <v>0.96509250887003561</v>
      </c>
    </row>
    <row r="238" spans="1:7">
      <c r="A238" s="53">
        <v>49085</v>
      </c>
      <c r="B238" t="str">
        <f t="shared" si="6"/>
        <v>May</v>
      </c>
      <c r="C238" s="14" t="s">
        <v>12</v>
      </c>
      <c r="D238" s="14">
        <v>97</v>
      </c>
      <c r="E238" s="105">
        <f>_xlfn.FORECAST.LINEAR(Table13[[#This Row],[Date]],Table13[Units_Sold],Table13[Date])</f>
        <v>99.352283345133372</v>
      </c>
      <c r="F238" s="108">
        <f>Table11[[#This Row],[Forecasted_Units]]*(1+Table11[[#This Row],[Adjustment_Percentage]])</f>
        <v>99.352283345133372</v>
      </c>
      <c r="G238" s="113">
        <f t="shared" si="7"/>
        <v>0.97574965623573839</v>
      </c>
    </row>
    <row r="239" spans="1:7">
      <c r="A239" s="54">
        <v>49115</v>
      </c>
      <c r="B239" t="str">
        <f t="shared" si="6"/>
        <v>June</v>
      </c>
      <c r="C239" s="15" t="s">
        <v>13</v>
      </c>
      <c r="D239" s="15">
        <v>116</v>
      </c>
      <c r="E239" s="106">
        <f>_xlfn.FORECAST.LINEAR(Table13[[#This Row],[Date]],Table13[Units_Sold],Table13[Date])</f>
        <v>99.35344754179016</v>
      </c>
      <c r="F239" s="109">
        <f>Table11[[#This Row],[Forecasted_Units]]*(1+Table11[[#This Row],[Adjustment_Percentage]])</f>
        <v>99.35344754179016</v>
      </c>
      <c r="G239" s="113">
        <f t="shared" si="7"/>
        <v>0.85649523742922551</v>
      </c>
    </row>
    <row r="240" spans="1:7">
      <c r="A240" s="53">
        <v>49145</v>
      </c>
      <c r="B240" t="str">
        <f t="shared" si="6"/>
        <v>July</v>
      </c>
      <c r="C240" s="14" t="s">
        <v>14</v>
      </c>
      <c r="D240" s="14">
        <v>100</v>
      </c>
      <c r="E240" s="105">
        <f>_xlfn.FORECAST.LINEAR(Table13[[#This Row],[Date]],Table13[Units_Sold],Table13[Date])</f>
        <v>99.354611738446948</v>
      </c>
      <c r="F240" s="108">
        <f>Table11[[#This Row],[Forecasted_Units]]*(1+Table11[[#This Row],[Adjustment_Percentage]])</f>
        <v>99.354611738446948</v>
      </c>
      <c r="G240" s="113">
        <f t="shared" si="7"/>
        <v>0.99354611738446952</v>
      </c>
    </row>
    <row r="241" spans="1:7">
      <c r="A241" s="54">
        <v>49175</v>
      </c>
      <c r="B241" t="str">
        <f t="shared" si="6"/>
        <v>August</v>
      </c>
      <c r="C241" s="15" t="s">
        <v>12</v>
      </c>
      <c r="D241" s="15">
        <v>97</v>
      </c>
      <c r="E241" s="106">
        <f>_xlfn.FORECAST.LINEAR(Table13[[#This Row],[Date]],Table13[Units_Sold],Table13[Date])</f>
        <v>99.355775935103736</v>
      </c>
      <c r="F241" s="109">
        <f>Table11[[#This Row],[Forecasted_Units]]*(1+Table11[[#This Row],[Adjustment_Percentage]])</f>
        <v>99.355775935103736</v>
      </c>
      <c r="G241" s="113">
        <f t="shared" si="7"/>
        <v>0.9757136501535697</v>
      </c>
    </row>
    <row r="242" spans="1:7">
      <c r="A242" s="53">
        <v>49205</v>
      </c>
      <c r="B242" t="str">
        <f t="shared" si="6"/>
        <v>September</v>
      </c>
      <c r="C242" s="14" t="s">
        <v>14</v>
      </c>
      <c r="D242" s="14">
        <v>100</v>
      </c>
      <c r="E242" s="105">
        <f>_xlfn.FORECAST.LINEAR(Table13[[#This Row],[Date]],Table13[Units_Sold],Table13[Date])</f>
        <v>99.356940131760524</v>
      </c>
      <c r="F242" s="108">
        <f>Table11[[#This Row],[Forecasted_Units]]*(1+Table11[[#This Row],[Adjustment_Percentage]])</f>
        <v>99.356940131760524</v>
      </c>
      <c r="G242" s="113">
        <f t="shared" si="7"/>
        <v>0.99356940131760529</v>
      </c>
    </row>
    <row r="243" spans="1:7">
      <c r="A243" s="54">
        <v>49235</v>
      </c>
      <c r="B243" t="str">
        <f t="shared" si="6"/>
        <v>October</v>
      </c>
      <c r="C243" s="15" t="s">
        <v>12</v>
      </c>
      <c r="D243" s="15">
        <v>99</v>
      </c>
      <c r="E243" s="106">
        <f>_xlfn.FORECAST.LINEAR(Table13[[#This Row],[Date]],Table13[Units_Sold],Table13[Date])</f>
        <v>99.358104328417312</v>
      </c>
      <c r="F243" s="109">
        <f>Table11[[#This Row],[Forecasted_Units]]*(1+Table11[[#This Row],[Adjustment_Percentage]])</f>
        <v>99.358104328417312</v>
      </c>
      <c r="G243" s="113">
        <f t="shared" si="7"/>
        <v>0.99638278456144125</v>
      </c>
    </row>
    <row r="244" spans="1:7">
      <c r="A244" s="53">
        <v>49265</v>
      </c>
      <c r="B244" t="str">
        <f t="shared" si="6"/>
        <v>November</v>
      </c>
      <c r="C244" s="14" t="s">
        <v>11</v>
      </c>
      <c r="D244" s="14">
        <v>100</v>
      </c>
      <c r="E244" s="105">
        <f>_xlfn.FORECAST.LINEAR(Table13[[#This Row],[Date]],Table13[Units_Sold],Table13[Date])</f>
        <v>99.3592685250741</v>
      </c>
      <c r="F244" s="108">
        <f>Table11[[#This Row],[Forecasted_Units]]*(1+Table11[[#This Row],[Adjustment_Percentage]])</f>
        <v>99.3592685250741</v>
      </c>
      <c r="G244" s="113">
        <f t="shared" si="7"/>
        <v>0.99359268525074096</v>
      </c>
    </row>
    <row r="245" spans="1:7">
      <c r="A245" s="54">
        <v>49295</v>
      </c>
      <c r="B245" t="str">
        <f t="shared" si="6"/>
        <v>December</v>
      </c>
      <c r="C245" s="15" t="s">
        <v>14</v>
      </c>
      <c r="D245" s="15">
        <v>100</v>
      </c>
      <c r="E245" s="106">
        <f>_xlfn.FORECAST.LINEAR(Table13[[#This Row],[Date]],Table13[Units_Sold],Table13[Date])</f>
        <v>99.360432721730874</v>
      </c>
      <c r="F245" s="109">
        <f>Table11[[#This Row],[Forecasted_Units]]*(1+Table11[[#This Row],[Adjustment_Percentage]])</f>
        <v>99.360432721730874</v>
      </c>
      <c r="G245" s="113">
        <f t="shared" si="7"/>
        <v>0.99360432721730874</v>
      </c>
    </row>
    <row r="246" spans="1:7">
      <c r="A246" s="53">
        <v>49325</v>
      </c>
      <c r="B246" t="str">
        <f t="shared" si="6"/>
        <v>January</v>
      </c>
      <c r="C246" s="14" t="s">
        <v>12</v>
      </c>
      <c r="D246" s="14">
        <v>82</v>
      </c>
      <c r="E246" s="105">
        <f>_xlfn.FORECAST.LINEAR(Table13[[#This Row],[Date]],Table13[Units_Sold],Table13[Date])</f>
        <v>99.361596918387662</v>
      </c>
      <c r="F246" s="108">
        <f>Table11[[#This Row],[Forecasted_Units]]*(1+Table11[[#This Row],[Adjustment_Percentage]])</f>
        <v>99.361596918387662</v>
      </c>
      <c r="G246" s="113">
        <f t="shared" si="7"/>
        <v>0.7882732083123456</v>
      </c>
    </row>
    <row r="247" spans="1:7">
      <c r="A247" s="54">
        <v>49355</v>
      </c>
      <c r="B247" t="str">
        <f t="shared" si="6"/>
        <v>February</v>
      </c>
      <c r="C247" s="15" t="s">
        <v>10</v>
      </c>
      <c r="D247" s="15">
        <v>87</v>
      </c>
      <c r="E247" s="106">
        <f>_xlfn.FORECAST.LINEAR(Table13[[#This Row],[Date]],Table13[Units_Sold],Table13[Date])</f>
        <v>99.362761115044449</v>
      </c>
      <c r="F247" s="109">
        <f>Table11[[#This Row],[Forecasted_Units]]*(1+Table11[[#This Row],[Adjustment_Percentage]])</f>
        <v>99.362761115044449</v>
      </c>
      <c r="G247" s="113">
        <f t="shared" si="7"/>
        <v>0.85789929752822469</v>
      </c>
    </row>
    <row r="248" spans="1:7">
      <c r="A248" s="53">
        <v>49385</v>
      </c>
      <c r="B248" t="str">
        <f t="shared" si="6"/>
        <v>March</v>
      </c>
      <c r="C248" s="14" t="s">
        <v>14</v>
      </c>
      <c r="D248" s="14">
        <v>87</v>
      </c>
      <c r="E248" s="105">
        <f>_xlfn.FORECAST.LINEAR(Table13[[#This Row],[Date]],Table13[Units_Sold],Table13[Date])</f>
        <v>99.363925311701237</v>
      </c>
      <c r="F248" s="108">
        <f>Table11[[#This Row],[Forecasted_Units]]*(1+Table11[[#This Row],[Adjustment_Percentage]])</f>
        <v>99.363925311701237</v>
      </c>
      <c r="G248" s="113">
        <f t="shared" si="7"/>
        <v>0.857885915957457</v>
      </c>
    </row>
    <row r="249" spans="1:7">
      <c r="A249" s="54">
        <v>49415</v>
      </c>
      <c r="B249" t="str">
        <f t="shared" si="6"/>
        <v>April</v>
      </c>
      <c r="C249" s="15" t="s">
        <v>13</v>
      </c>
      <c r="D249" s="15">
        <v>90</v>
      </c>
      <c r="E249" s="106">
        <f>_xlfn.FORECAST.LINEAR(Table13[[#This Row],[Date]],Table13[Units_Sold],Table13[Date])</f>
        <v>99.365089508358025</v>
      </c>
      <c r="F249" s="109">
        <f>Table11[[#This Row],[Forecasted_Units]]*(1+Table11[[#This Row],[Adjustment_Percentage]])</f>
        <v>99.365089508358025</v>
      </c>
      <c r="G249" s="113">
        <f t="shared" si="7"/>
        <v>0.89594344990713304</v>
      </c>
    </row>
    <row r="250" spans="1:7">
      <c r="A250" s="53">
        <v>49445</v>
      </c>
      <c r="B250" t="str">
        <f t="shared" si="6"/>
        <v>May</v>
      </c>
      <c r="C250" s="14" t="s">
        <v>10</v>
      </c>
      <c r="D250" s="14">
        <v>115</v>
      </c>
      <c r="E250" s="105">
        <f>_xlfn.FORECAST.LINEAR(Table13[[#This Row],[Date]],Table13[Units_Sold],Table13[Date])</f>
        <v>99.366253705014813</v>
      </c>
      <c r="F250" s="108">
        <f>Table11[[#This Row],[Forecasted_Units]]*(1+Table11[[#This Row],[Adjustment_Percentage]])</f>
        <v>99.366253705014813</v>
      </c>
      <c r="G250" s="113">
        <f t="shared" si="7"/>
        <v>0.86405438004360713</v>
      </c>
    </row>
    <row r="251" spans="1:7">
      <c r="A251" s="54">
        <v>49475</v>
      </c>
      <c r="B251" t="str">
        <f t="shared" si="6"/>
        <v>June</v>
      </c>
      <c r="C251" s="15" t="s">
        <v>10</v>
      </c>
      <c r="D251" s="15">
        <v>105</v>
      </c>
      <c r="E251" s="106">
        <f>_xlfn.FORECAST.LINEAR(Table13[[#This Row],[Date]],Table13[Units_Sold],Table13[Date])</f>
        <v>99.367417901671601</v>
      </c>
      <c r="F251" s="109">
        <f>Table11[[#This Row],[Forecasted_Units]]*(1+Table11[[#This Row],[Adjustment_Percentage]])</f>
        <v>99.367417901671601</v>
      </c>
      <c r="G251" s="113">
        <f t="shared" si="7"/>
        <v>0.946356360968301</v>
      </c>
    </row>
    <row r="252" spans="1:7">
      <c r="A252" s="53">
        <v>49505</v>
      </c>
      <c r="B252" t="str">
        <f t="shared" si="6"/>
        <v>July</v>
      </c>
      <c r="C252" s="14" t="s">
        <v>13</v>
      </c>
      <c r="D252" s="14">
        <v>90</v>
      </c>
      <c r="E252" s="105">
        <f>_xlfn.FORECAST.LINEAR(Table13[[#This Row],[Date]],Table13[Units_Sold],Table13[Date])</f>
        <v>99.368582098328389</v>
      </c>
      <c r="F252" s="108">
        <f>Table11[[#This Row],[Forecasted_Units]]*(1+Table11[[#This Row],[Adjustment_Percentage]])</f>
        <v>99.368582098328389</v>
      </c>
      <c r="G252" s="113">
        <f t="shared" si="7"/>
        <v>0.89590464335190678</v>
      </c>
    </row>
    <row r="253" spans="1:7">
      <c r="A253" s="54">
        <v>49535</v>
      </c>
      <c r="B253" t="str">
        <f t="shared" si="6"/>
        <v>August</v>
      </c>
      <c r="C253" s="15" t="s">
        <v>10</v>
      </c>
      <c r="D253" s="15">
        <v>89</v>
      </c>
      <c r="E253" s="106">
        <f>_xlfn.FORECAST.LINEAR(Table13[[#This Row],[Date]],Table13[Units_Sold],Table13[Date])</f>
        <v>99.369746294985177</v>
      </c>
      <c r="F253" s="109">
        <f>Table11[[#This Row],[Forecasted_Units]]*(1+Table11[[#This Row],[Adjustment_Percentage]])</f>
        <v>99.369746294985177</v>
      </c>
      <c r="G253" s="113">
        <f t="shared" si="7"/>
        <v>0.88348599668555983</v>
      </c>
    </row>
    <row r="254" spans="1:7">
      <c r="A254" s="53">
        <v>49565</v>
      </c>
      <c r="B254" t="str">
        <f t="shared" si="6"/>
        <v>September</v>
      </c>
      <c r="C254" s="14" t="s">
        <v>10</v>
      </c>
      <c r="D254" s="14">
        <v>89</v>
      </c>
      <c r="E254" s="105">
        <f>_xlfn.FORECAST.LINEAR(Table13[[#This Row],[Date]],Table13[Units_Sold],Table13[Date])</f>
        <v>99.370910491641965</v>
      </c>
      <c r="F254" s="108">
        <f>Table11[[#This Row],[Forecasted_Units]]*(1+Table11[[#This Row],[Adjustment_Percentage]])</f>
        <v>99.370910491641965</v>
      </c>
      <c r="G254" s="113">
        <f t="shared" si="7"/>
        <v>0.88347291582424758</v>
      </c>
    </row>
    <row r="255" spans="1:7">
      <c r="A255" s="54">
        <v>49595</v>
      </c>
      <c r="B255" t="str">
        <f t="shared" si="6"/>
        <v>October</v>
      </c>
      <c r="C255" s="15" t="s">
        <v>12</v>
      </c>
      <c r="D255" s="15">
        <v>86</v>
      </c>
      <c r="E255" s="106">
        <f>_xlfn.FORECAST.LINEAR(Table13[[#This Row],[Date]],Table13[Units_Sold],Table13[Date])</f>
        <v>99.372074688298753</v>
      </c>
      <c r="F255" s="109">
        <f>Table11[[#This Row],[Forecasted_Units]]*(1+Table11[[#This Row],[Adjustment_Percentage]])</f>
        <v>99.372074688298753</v>
      </c>
      <c r="G255" s="113">
        <f t="shared" si="7"/>
        <v>0.8445107594383866</v>
      </c>
    </row>
    <row r="256" spans="1:7">
      <c r="A256" s="53">
        <v>49625</v>
      </c>
      <c r="B256" t="str">
        <f t="shared" si="6"/>
        <v>November</v>
      </c>
      <c r="C256" s="14" t="s">
        <v>12</v>
      </c>
      <c r="D256" s="14">
        <v>91</v>
      </c>
      <c r="E256" s="105">
        <f>_xlfn.FORECAST.LINEAR(Table13[[#This Row],[Date]],Table13[Units_Sold],Table13[Date])</f>
        <v>99.373238884955526</v>
      </c>
      <c r="F256" s="108">
        <f>Table11[[#This Row],[Forecasted_Units]]*(1+Table11[[#This Row],[Adjustment_Percentage]])</f>
        <v>99.373238884955526</v>
      </c>
      <c r="G256" s="113">
        <f t="shared" si="7"/>
        <v>0.90798638587960956</v>
      </c>
    </row>
    <row r="257" spans="1:7">
      <c r="A257" s="54">
        <v>49655</v>
      </c>
      <c r="B257" t="str">
        <f t="shared" si="6"/>
        <v>December</v>
      </c>
      <c r="C257" s="15" t="s">
        <v>14</v>
      </c>
      <c r="D257" s="15">
        <v>100</v>
      </c>
      <c r="E257" s="106">
        <f>_xlfn.FORECAST.LINEAR(Table13[[#This Row],[Date]],Table13[Units_Sold],Table13[Date])</f>
        <v>99.374403081612314</v>
      </c>
      <c r="F257" s="109">
        <f>Table11[[#This Row],[Forecasted_Units]]*(1+Table11[[#This Row],[Adjustment_Percentage]])</f>
        <v>99.374403081612314</v>
      </c>
      <c r="G257" s="113">
        <f t="shared" si="7"/>
        <v>0.99374403081612317</v>
      </c>
    </row>
    <row r="258" spans="1:7">
      <c r="A258" s="53">
        <v>49685</v>
      </c>
      <c r="B258" t="str">
        <f t="shared" si="6"/>
        <v>January</v>
      </c>
      <c r="C258" s="14" t="s">
        <v>14</v>
      </c>
      <c r="D258" s="14">
        <v>104</v>
      </c>
      <c r="E258" s="105">
        <f>_xlfn.FORECAST.LINEAR(Table13[[#This Row],[Date]],Table13[Units_Sold],Table13[Date])</f>
        <v>99.375567278269102</v>
      </c>
      <c r="F258" s="108">
        <f>Table11[[#This Row],[Forecasted_Units]]*(1+Table11[[#This Row],[Adjustment_Percentage]])</f>
        <v>99.375567278269102</v>
      </c>
      <c r="G258" s="113">
        <f t="shared" si="7"/>
        <v>0.9555343007525875</v>
      </c>
    </row>
    <row r="259" spans="1:7">
      <c r="A259" s="54">
        <v>49715</v>
      </c>
      <c r="B259" t="str">
        <f t="shared" ref="B259:B322" si="8">TEXT(A259,"mmmm")</f>
        <v>February</v>
      </c>
      <c r="C259" s="15" t="s">
        <v>14</v>
      </c>
      <c r="D259" s="15">
        <v>80</v>
      </c>
      <c r="E259" s="106">
        <f>_xlfn.FORECAST.LINEAR(Table13[[#This Row],[Date]],Table13[Units_Sold],Table13[Date])</f>
        <v>99.37673147492589</v>
      </c>
      <c r="F259" s="109">
        <f>Table11[[#This Row],[Forecasted_Units]]*(1+Table11[[#This Row],[Adjustment_Percentage]])</f>
        <v>99.37673147492589</v>
      </c>
      <c r="G259" s="113">
        <f t="shared" ref="G259:G322" si="9">1-ABS(D259-F259)/D259</f>
        <v>0.75779085656342637</v>
      </c>
    </row>
    <row r="260" spans="1:7">
      <c r="A260" s="53">
        <v>49745</v>
      </c>
      <c r="B260" t="str">
        <f t="shared" si="8"/>
        <v>March</v>
      </c>
      <c r="C260" s="14" t="s">
        <v>12</v>
      </c>
      <c r="D260" s="14">
        <v>110</v>
      </c>
      <c r="E260" s="105">
        <f>_xlfn.FORECAST.LINEAR(Table13[[#This Row],[Date]],Table13[Units_Sold],Table13[Date])</f>
        <v>99.377895671582678</v>
      </c>
      <c r="F260" s="108">
        <f>Table11[[#This Row],[Forecasted_Units]]*(1+Table11[[#This Row],[Adjustment_Percentage]])</f>
        <v>99.377895671582678</v>
      </c>
      <c r="G260" s="113">
        <f t="shared" si="9"/>
        <v>0.90343541519620618</v>
      </c>
    </row>
    <row r="261" spans="1:7">
      <c r="A261" s="54">
        <v>49775</v>
      </c>
      <c r="B261" t="str">
        <f t="shared" si="8"/>
        <v>April</v>
      </c>
      <c r="C261" s="15" t="s">
        <v>14</v>
      </c>
      <c r="D261" s="15">
        <v>90</v>
      </c>
      <c r="E261" s="106">
        <f>_xlfn.FORECAST.LINEAR(Table13[[#This Row],[Date]],Table13[Units_Sold],Table13[Date])</f>
        <v>99.379059868239466</v>
      </c>
      <c r="F261" s="109">
        <f>Table11[[#This Row],[Forecasted_Units]]*(1+Table11[[#This Row],[Adjustment_Percentage]])</f>
        <v>99.379059868239466</v>
      </c>
      <c r="G261" s="113">
        <f t="shared" si="9"/>
        <v>0.89578822368622812</v>
      </c>
    </row>
    <row r="262" spans="1:7">
      <c r="A262" s="53">
        <v>49805</v>
      </c>
      <c r="B262" t="str">
        <f t="shared" si="8"/>
        <v>May</v>
      </c>
      <c r="C262" s="14" t="s">
        <v>10</v>
      </c>
      <c r="D262" s="14">
        <v>96</v>
      </c>
      <c r="E262" s="105">
        <f>_xlfn.FORECAST.LINEAR(Table13[[#This Row],[Date]],Table13[Units_Sold],Table13[Date])</f>
        <v>99.380224064896254</v>
      </c>
      <c r="F262" s="108">
        <f>Table11[[#This Row],[Forecasted_Units]]*(1+Table11[[#This Row],[Adjustment_Percentage]])</f>
        <v>99.380224064896254</v>
      </c>
      <c r="G262" s="113">
        <f t="shared" si="9"/>
        <v>0.96478933265733069</v>
      </c>
    </row>
    <row r="263" spans="1:7">
      <c r="A263" s="54">
        <v>49835</v>
      </c>
      <c r="B263" t="str">
        <f t="shared" si="8"/>
        <v>June</v>
      </c>
      <c r="C263" s="15" t="s">
        <v>12</v>
      </c>
      <c r="D263" s="15">
        <v>103</v>
      </c>
      <c r="E263" s="106">
        <f>_xlfn.FORECAST.LINEAR(Table13[[#This Row],[Date]],Table13[Units_Sold],Table13[Date])</f>
        <v>99.381388261553042</v>
      </c>
      <c r="F263" s="109">
        <f>Table11[[#This Row],[Forecasted_Units]]*(1+Table11[[#This Row],[Adjustment_Percentage]])</f>
        <v>99.381388261553042</v>
      </c>
      <c r="G263" s="113">
        <f t="shared" si="9"/>
        <v>0.9648678471995441</v>
      </c>
    </row>
    <row r="264" spans="1:7">
      <c r="A264" s="53">
        <v>49865</v>
      </c>
      <c r="B264" t="str">
        <f t="shared" si="8"/>
        <v>July</v>
      </c>
      <c r="C264" s="14" t="s">
        <v>14</v>
      </c>
      <c r="D264" s="14">
        <v>99</v>
      </c>
      <c r="E264" s="105">
        <f>_xlfn.FORECAST.LINEAR(Table13[[#This Row],[Date]],Table13[Units_Sold],Table13[Date])</f>
        <v>99.38255245820983</v>
      </c>
      <c r="F264" s="108">
        <f>Table11[[#This Row],[Forecasted_Units]]*(1+Table11[[#This Row],[Adjustment_Percentage]])</f>
        <v>99.38255245820983</v>
      </c>
      <c r="G264" s="113">
        <f t="shared" si="9"/>
        <v>0.99613583375545622</v>
      </c>
    </row>
    <row r="265" spans="1:7">
      <c r="A265" s="54">
        <v>49895</v>
      </c>
      <c r="B265" t="str">
        <f t="shared" si="8"/>
        <v>August</v>
      </c>
      <c r="C265" s="15" t="s">
        <v>10</v>
      </c>
      <c r="D265" s="15">
        <f>IF(ISBLANK(D218), O219, D218)</f>
        <v>76</v>
      </c>
      <c r="E265" s="106">
        <f>_xlfn.FORECAST.LINEAR(Table13[[#This Row],[Date]],Table13[Units_Sold],Table13[Date])</f>
        <v>99.383716654866618</v>
      </c>
      <c r="F265" s="109">
        <f>Table11[[#This Row],[Forecasted_Units]]*(1+Table11[[#This Row],[Adjustment_Percentage]])</f>
        <v>99.383716654866618</v>
      </c>
      <c r="G265" s="113">
        <f t="shared" si="9"/>
        <v>0.69231951769912348</v>
      </c>
    </row>
    <row r="266" spans="1:7">
      <c r="A266" s="53">
        <v>49925</v>
      </c>
      <c r="B266" t="str">
        <f t="shared" si="8"/>
        <v>September</v>
      </c>
      <c r="C266" s="14" t="s">
        <v>14</v>
      </c>
      <c r="D266" s="14">
        <v>106</v>
      </c>
      <c r="E266" s="105">
        <f>_xlfn.FORECAST.LINEAR(Table13[[#This Row],[Date]],Table13[Units_Sold],Table13[Date])</f>
        <v>99.384880851523405</v>
      </c>
      <c r="F266" s="108">
        <f>Table11[[#This Row],[Forecasted_Units]]*(1+Table11[[#This Row],[Adjustment_Percentage]])</f>
        <v>99.384880851523405</v>
      </c>
      <c r="G266" s="113">
        <f t="shared" si="9"/>
        <v>0.93759321558040953</v>
      </c>
    </row>
    <row r="267" spans="1:7">
      <c r="A267" s="54">
        <v>49955</v>
      </c>
      <c r="B267" t="str">
        <f t="shared" si="8"/>
        <v>October</v>
      </c>
      <c r="C267" s="15" t="s">
        <v>11</v>
      </c>
      <c r="D267" s="15">
        <v>100</v>
      </c>
      <c r="E267" s="106">
        <f>_xlfn.FORECAST.LINEAR(Table13[[#This Row],[Date]],Table13[Units_Sold],Table13[Date])</f>
        <v>99.386045048180193</v>
      </c>
      <c r="F267" s="109">
        <f>Table11[[#This Row],[Forecasted_Units]]*(1+Table11[[#This Row],[Adjustment_Percentage]])</f>
        <v>99.386045048180193</v>
      </c>
      <c r="G267" s="113">
        <f t="shared" si="9"/>
        <v>0.99386045048180194</v>
      </c>
    </row>
    <row r="268" spans="1:7">
      <c r="A268" s="53">
        <v>49985</v>
      </c>
      <c r="B268" t="str">
        <f t="shared" si="8"/>
        <v>November</v>
      </c>
      <c r="C268" s="14" t="s">
        <v>14</v>
      </c>
      <c r="D268" s="14">
        <v>85</v>
      </c>
      <c r="E268" s="105">
        <f>_xlfn.FORECAST.LINEAR(Table13[[#This Row],[Date]],Table13[Units_Sold],Table13[Date])</f>
        <v>99.387209244836967</v>
      </c>
      <c r="F268" s="108">
        <f>Table11[[#This Row],[Forecasted_Units]]*(1+Table11[[#This Row],[Adjustment_Percentage]])</f>
        <v>99.387209244836967</v>
      </c>
      <c r="G268" s="113">
        <f t="shared" si="9"/>
        <v>0.83073871476662386</v>
      </c>
    </row>
    <row r="269" spans="1:7">
      <c r="A269" s="54">
        <v>50015</v>
      </c>
      <c r="B269" t="str">
        <f t="shared" si="8"/>
        <v>December</v>
      </c>
      <c r="C269" s="15" t="s">
        <v>11</v>
      </c>
      <c r="D269" s="15">
        <v>101</v>
      </c>
      <c r="E269" s="106">
        <f>_xlfn.FORECAST.LINEAR(Table13[[#This Row],[Date]],Table13[Units_Sold],Table13[Date])</f>
        <v>99.388373441493755</v>
      </c>
      <c r="F269" s="109">
        <f>Table11[[#This Row],[Forecasted_Units]]*(1+Table11[[#This Row],[Adjustment_Percentage]])</f>
        <v>99.388373441493755</v>
      </c>
      <c r="G269" s="113">
        <f t="shared" si="9"/>
        <v>0.98404330140092822</v>
      </c>
    </row>
    <row r="270" spans="1:7">
      <c r="A270" s="53">
        <v>50045</v>
      </c>
      <c r="B270" t="str">
        <f t="shared" si="8"/>
        <v>January</v>
      </c>
      <c r="C270" s="14" t="s">
        <v>14</v>
      </c>
      <c r="D270" s="14">
        <v>93</v>
      </c>
      <c r="E270" s="105">
        <f>_xlfn.FORECAST.LINEAR(Table13[[#This Row],[Date]],Table13[Units_Sold],Table13[Date])</f>
        <v>99.389537638150543</v>
      </c>
      <c r="F270" s="108">
        <f>Table11[[#This Row],[Forecasted_Units]]*(1+Table11[[#This Row],[Adjustment_Percentage]])</f>
        <v>99.389537638150543</v>
      </c>
      <c r="G270" s="113">
        <f t="shared" si="9"/>
        <v>0.93129529421343504</v>
      </c>
    </row>
    <row r="271" spans="1:7">
      <c r="A271" s="54">
        <v>50075</v>
      </c>
      <c r="B271" t="str">
        <f t="shared" si="8"/>
        <v>February</v>
      </c>
      <c r="C271" s="15" t="s">
        <v>13</v>
      </c>
      <c r="D271" s="15">
        <v>91</v>
      </c>
      <c r="E271" s="106">
        <f>_xlfn.FORECAST.LINEAR(Table13[[#This Row],[Date]],Table13[Units_Sold],Table13[Date])</f>
        <v>99.390701834807331</v>
      </c>
      <c r="F271" s="109">
        <f>Table11[[#This Row],[Forecasted_Units]]*(1+Table11[[#This Row],[Adjustment_Percentage]])</f>
        <v>99.390701834807331</v>
      </c>
      <c r="G271" s="113">
        <f t="shared" si="9"/>
        <v>0.90779448533178753</v>
      </c>
    </row>
    <row r="272" spans="1:7">
      <c r="A272" s="53">
        <v>50105</v>
      </c>
      <c r="B272" t="str">
        <f t="shared" si="8"/>
        <v>March</v>
      </c>
      <c r="C272" s="14" t="s">
        <v>14</v>
      </c>
      <c r="D272" s="14">
        <v>103</v>
      </c>
      <c r="E272" s="105">
        <f>_xlfn.FORECAST.LINEAR(Table13[[#This Row],[Date]],Table13[Units_Sold],Table13[Date])</f>
        <v>99.391866031464119</v>
      </c>
      <c r="F272" s="108">
        <f>Table11[[#This Row],[Forecasted_Units]]*(1+Table11[[#This Row],[Adjustment_Percentage]])</f>
        <v>99.391866031464119</v>
      </c>
      <c r="G272" s="113">
        <f t="shared" si="9"/>
        <v>0.96496957312101084</v>
      </c>
    </row>
    <row r="273" spans="1:7">
      <c r="A273" s="54">
        <v>50135</v>
      </c>
      <c r="B273" t="str">
        <f t="shared" si="8"/>
        <v>April</v>
      </c>
      <c r="C273" s="15" t="s">
        <v>12</v>
      </c>
      <c r="D273" s="15">
        <v>109</v>
      </c>
      <c r="E273" s="106">
        <f>_xlfn.FORECAST.LINEAR(Table13[[#This Row],[Date]],Table13[Units_Sold],Table13[Date])</f>
        <v>99.393030228120907</v>
      </c>
      <c r="F273" s="109">
        <f>Table11[[#This Row],[Forecasted_Units]]*(1+Table11[[#This Row],[Adjustment_Percentage]])</f>
        <v>99.393030228120907</v>
      </c>
      <c r="G273" s="113">
        <f t="shared" si="9"/>
        <v>0.91186266264331106</v>
      </c>
    </row>
    <row r="274" spans="1:7">
      <c r="A274" s="53">
        <v>50165</v>
      </c>
      <c r="B274" t="str">
        <f t="shared" si="8"/>
        <v>May</v>
      </c>
      <c r="C274" s="14" t="s">
        <v>12</v>
      </c>
      <c r="D274" s="14">
        <v>83</v>
      </c>
      <c r="E274" s="105">
        <f>_xlfn.FORECAST.LINEAR(Table13[[#This Row],[Date]],Table13[Units_Sold],Table13[Date])</f>
        <v>99.394194424777695</v>
      </c>
      <c r="F274" s="108">
        <f>Table11[[#This Row],[Forecasted_Units]]*(1+Table11[[#This Row],[Adjustment_Percentage]])</f>
        <v>99.394194424777695</v>
      </c>
      <c r="G274" s="113">
        <f t="shared" si="9"/>
        <v>0.80247958524364227</v>
      </c>
    </row>
    <row r="275" spans="1:7">
      <c r="A275" s="54">
        <v>50195</v>
      </c>
      <c r="B275" t="str">
        <f t="shared" si="8"/>
        <v>June</v>
      </c>
      <c r="C275" s="15" t="s">
        <v>11</v>
      </c>
      <c r="D275" s="15">
        <v>102</v>
      </c>
      <c r="E275" s="106">
        <f>_xlfn.FORECAST.LINEAR(Table13[[#This Row],[Date]],Table13[Units_Sold],Table13[Date])</f>
        <v>99.395358621434482</v>
      </c>
      <c r="F275" s="109">
        <f>Table11[[#This Row],[Forecasted_Units]]*(1+Table11[[#This Row],[Adjustment_Percentage]])</f>
        <v>99.395358621434482</v>
      </c>
      <c r="G275" s="113">
        <f t="shared" si="9"/>
        <v>0.97446430021014196</v>
      </c>
    </row>
    <row r="276" spans="1:7">
      <c r="A276" s="53">
        <v>50225</v>
      </c>
      <c r="B276" t="str">
        <f t="shared" si="8"/>
        <v>July</v>
      </c>
      <c r="C276" s="14" t="s">
        <v>12</v>
      </c>
      <c r="D276" s="14">
        <v>98</v>
      </c>
      <c r="E276" s="105">
        <f>_xlfn.FORECAST.LINEAR(Table13[[#This Row],[Date]],Table13[Units_Sold],Table13[Date])</f>
        <v>99.39652281809127</v>
      </c>
      <c r="F276" s="108">
        <f>Table11[[#This Row],[Forecasted_Units]]*(1+Table11[[#This Row],[Adjustment_Percentage]])</f>
        <v>99.39652281809127</v>
      </c>
      <c r="G276" s="113">
        <f t="shared" si="9"/>
        <v>0.98574976716233398</v>
      </c>
    </row>
    <row r="277" spans="1:7">
      <c r="A277" s="54">
        <v>50255</v>
      </c>
      <c r="B277" t="str">
        <f t="shared" si="8"/>
        <v>August</v>
      </c>
      <c r="C277" s="15" t="s">
        <v>10</v>
      </c>
      <c r="D277" s="15">
        <v>93</v>
      </c>
      <c r="E277" s="106">
        <f>_xlfn.FORECAST.LINEAR(Table13[[#This Row],[Date]],Table13[Units_Sold],Table13[Date])</f>
        <v>99.397687014748058</v>
      </c>
      <c r="F277" s="109">
        <f>Table11[[#This Row],[Forecasted_Units]]*(1+Table11[[#This Row],[Adjustment_Percentage]])</f>
        <v>99.397687014748058</v>
      </c>
      <c r="G277" s="113">
        <f t="shared" si="9"/>
        <v>0.9312076665080854</v>
      </c>
    </row>
    <row r="278" spans="1:7">
      <c r="A278" s="53">
        <v>50285</v>
      </c>
      <c r="B278" t="str">
        <f t="shared" si="8"/>
        <v>September</v>
      </c>
      <c r="C278" s="14" t="s">
        <v>13</v>
      </c>
      <c r="D278" s="14">
        <v>104</v>
      </c>
      <c r="E278" s="105">
        <f>_xlfn.FORECAST.LINEAR(Table13[[#This Row],[Date]],Table13[Units_Sold],Table13[Date])</f>
        <v>99.398851211404832</v>
      </c>
      <c r="F278" s="108">
        <f>Table11[[#This Row],[Forecasted_Units]]*(1+Table11[[#This Row],[Adjustment_Percentage]])</f>
        <v>99.398851211404832</v>
      </c>
      <c r="G278" s="113">
        <f t="shared" si="9"/>
        <v>0.95575818472504648</v>
      </c>
    </row>
    <row r="279" spans="1:7">
      <c r="A279" s="54">
        <v>50315</v>
      </c>
      <c r="B279" t="str">
        <f t="shared" si="8"/>
        <v>October</v>
      </c>
      <c r="C279" s="15" t="s">
        <v>13</v>
      </c>
      <c r="D279" s="15">
        <v>96</v>
      </c>
      <c r="E279" s="106">
        <f>_xlfn.FORECAST.LINEAR(Table13[[#This Row],[Date]],Table13[Units_Sold],Table13[Date])</f>
        <v>99.40001540806162</v>
      </c>
      <c r="F279" s="109">
        <f>Table11[[#This Row],[Forecasted_Units]]*(1+Table11[[#This Row],[Adjustment_Percentage]])</f>
        <v>99.40001540806162</v>
      </c>
      <c r="G279" s="113">
        <f t="shared" si="9"/>
        <v>0.96458317283269146</v>
      </c>
    </row>
    <row r="280" spans="1:7">
      <c r="A280" s="53">
        <v>50345</v>
      </c>
      <c r="B280" t="str">
        <f t="shared" si="8"/>
        <v>November</v>
      </c>
      <c r="C280" s="14" t="s">
        <v>10</v>
      </c>
      <c r="D280" s="14">
        <v>103</v>
      </c>
      <c r="E280" s="105">
        <f>_xlfn.FORECAST.LINEAR(Table13[[#This Row],[Date]],Table13[Units_Sold],Table13[Date])</f>
        <v>99.401179604718408</v>
      </c>
      <c r="F280" s="108">
        <f>Table11[[#This Row],[Forecasted_Units]]*(1+Table11[[#This Row],[Adjustment_Percentage]])</f>
        <v>99.401179604718408</v>
      </c>
      <c r="G280" s="113">
        <f t="shared" si="9"/>
        <v>0.96505999616231464</v>
      </c>
    </row>
    <row r="281" spans="1:7">
      <c r="A281" s="54">
        <v>50375</v>
      </c>
      <c r="B281" t="str">
        <f t="shared" si="8"/>
        <v>December</v>
      </c>
      <c r="C281" s="15" t="s">
        <v>11</v>
      </c>
      <c r="D281" s="15">
        <v>85</v>
      </c>
      <c r="E281" s="106">
        <f>_xlfn.FORECAST.LINEAR(Table13[[#This Row],[Date]],Table13[Units_Sold],Table13[Date])</f>
        <v>99.402343801375196</v>
      </c>
      <c r="F281" s="109">
        <f>Table11[[#This Row],[Forecasted_Units]]*(1+Table11[[#This Row],[Adjustment_Percentage]])</f>
        <v>99.402343801375196</v>
      </c>
      <c r="G281" s="113">
        <f t="shared" si="9"/>
        <v>0.83056066116029181</v>
      </c>
    </row>
    <row r="282" spans="1:7">
      <c r="A282" s="53">
        <v>50405</v>
      </c>
      <c r="B282" t="str">
        <f t="shared" si="8"/>
        <v>December</v>
      </c>
      <c r="C282" s="14" t="s">
        <v>10</v>
      </c>
      <c r="D282" s="14">
        <v>92</v>
      </c>
      <c r="E282" s="105">
        <f>_xlfn.FORECAST.LINEAR(Table13[[#This Row],[Date]],Table13[Units_Sold],Table13[Date])</f>
        <v>99.403507998031984</v>
      </c>
      <c r="F282" s="108">
        <f>Table11[[#This Row],[Forecasted_Units]]*(1+Table11[[#This Row],[Adjustment_Percentage]])</f>
        <v>99.403507998031984</v>
      </c>
      <c r="G282" s="113">
        <f t="shared" si="9"/>
        <v>0.91952708697791319</v>
      </c>
    </row>
    <row r="283" spans="1:7">
      <c r="A283" s="54">
        <v>50435</v>
      </c>
      <c r="B283" t="str">
        <f t="shared" si="8"/>
        <v>January</v>
      </c>
      <c r="C283" s="15" t="s">
        <v>10</v>
      </c>
      <c r="D283" s="15">
        <v>90</v>
      </c>
      <c r="E283" s="106">
        <f>_xlfn.FORECAST.LINEAR(Table13[[#This Row],[Date]],Table13[Units_Sold],Table13[Date])</f>
        <v>99.404672194688771</v>
      </c>
      <c r="F283" s="109">
        <f>Table11[[#This Row],[Forecasted_Units]]*(1+Table11[[#This Row],[Adjustment_Percentage]])</f>
        <v>99.404672194688771</v>
      </c>
      <c r="G283" s="113">
        <f t="shared" si="9"/>
        <v>0.89550364228123591</v>
      </c>
    </row>
    <row r="284" spans="1:7">
      <c r="A284" s="53">
        <v>50465</v>
      </c>
      <c r="B284" t="str">
        <f t="shared" si="8"/>
        <v>March</v>
      </c>
      <c r="C284" s="14" t="s">
        <v>13</v>
      </c>
      <c r="D284" s="14">
        <v>83</v>
      </c>
      <c r="E284" s="105">
        <f>_xlfn.FORECAST.LINEAR(Table13[[#This Row],[Date]],Table13[Units_Sold],Table13[Date])</f>
        <v>99.405836391345559</v>
      </c>
      <c r="F284" s="108">
        <f>Table11[[#This Row],[Forecasted_Units]]*(1+Table11[[#This Row],[Adjustment_Percentage]])</f>
        <v>99.405836391345559</v>
      </c>
      <c r="G284" s="113">
        <f t="shared" si="9"/>
        <v>0.80233932058619806</v>
      </c>
    </row>
    <row r="285" spans="1:7">
      <c r="A285" s="54">
        <v>50495</v>
      </c>
      <c r="B285" t="str">
        <f t="shared" si="8"/>
        <v>March</v>
      </c>
      <c r="C285" s="15" t="s">
        <v>14</v>
      </c>
      <c r="D285" s="15">
        <v>86</v>
      </c>
      <c r="E285" s="106">
        <f>_xlfn.FORECAST.LINEAR(Table13[[#This Row],[Date]],Table13[Units_Sold],Table13[Date])</f>
        <v>99.407000588002347</v>
      </c>
      <c r="F285" s="109">
        <f>Table11[[#This Row],[Forecasted_Units]]*(1+Table11[[#This Row],[Adjustment_Percentage]])</f>
        <v>99.407000588002347</v>
      </c>
      <c r="G285" s="113">
        <f t="shared" si="9"/>
        <v>0.8441046443255541</v>
      </c>
    </row>
    <row r="286" spans="1:7">
      <c r="A286" s="53">
        <v>50525</v>
      </c>
      <c r="B286" t="str">
        <f t="shared" si="8"/>
        <v>April</v>
      </c>
      <c r="C286" s="14" t="s">
        <v>13</v>
      </c>
      <c r="D286" s="14">
        <v>110</v>
      </c>
      <c r="E286" s="105">
        <f>_xlfn.FORECAST.LINEAR(Table13[[#This Row],[Date]],Table13[Units_Sold],Table13[Date])</f>
        <v>99.408164784659135</v>
      </c>
      <c r="F286" s="108">
        <f>Table11[[#This Row],[Forecasted_Units]]*(1+Table11[[#This Row],[Adjustment_Percentage]])</f>
        <v>99.408164784659135</v>
      </c>
      <c r="G286" s="113">
        <f t="shared" si="9"/>
        <v>0.90371058895144674</v>
      </c>
    </row>
    <row r="287" spans="1:7">
      <c r="A287" s="54">
        <v>50555</v>
      </c>
      <c r="B287" t="str">
        <f t="shared" si="8"/>
        <v>May</v>
      </c>
      <c r="C287" s="15" t="s">
        <v>13</v>
      </c>
      <c r="D287" s="15">
        <v>89</v>
      </c>
      <c r="E287" s="106">
        <f>_xlfn.FORECAST.LINEAR(Table13[[#This Row],[Date]],Table13[Units_Sold],Table13[Date])</f>
        <v>99.409328981315923</v>
      </c>
      <c r="F287" s="109">
        <f>Table11[[#This Row],[Forecasted_Units]]*(1+Table11[[#This Row],[Adjustment_Percentage]])</f>
        <v>99.409328981315923</v>
      </c>
      <c r="G287" s="113">
        <f t="shared" si="9"/>
        <v>0.8830412474009447</v>
      </c>
    </row>
    <row r="288" spans="1:7">
      <c r="A288" s="53">
        <v>50585</v>
      </c>
      <c r="B288" t="str">
        <f t="shared" si="8"/>
        <v>June</v>
      </c>
      <c r="C288" s="14" t="s">
        <v>12</v>
      </c>
      <c r="D288" s="14">
        <v>118</v>
      </c>
      <c r="E288" s="105">
        <f>_xlfn.FORECAST.LINEAR(Table13[[#This Row],[Date]],Table13[Units_Sold],Table13[Date])</f>
        <v>99.410493177972711</v>
      </c>
      <c r="F288" s="108">
        <f>Table11[[#This Row],[Forecasted_Units]]*(1+Table11[[#This Row],[Adjustment_Percentage]])</f>
        <v>99.410493177972711</v>
      </c>
      <c r="G288" s="113">
        <f t="shared" si="9"/>
        <v>0.84246180659298908</v>
      </c>
    </row>
    <row r="289" spans="1:7">
      <c r="A289" s="54">
        <v>50615</v>
      </c>
      <c r="B289" t="str">
        <f t="shared" si="8"/>
        <v>July</v>
      </c>
      <c r="C289" s="15" t="s">
        <v>10</v>
      </c>
      <c r="D289" s="15">
        <v>102</v>
      </c>
      <c r="E289" s="106">
        <f>_xlfn.FORECAST.LINEAR(Table13[[#This Row],[Date]],Table13[Units_Sold],Table13[Date])</f>
        <v>99.411657374629499</v>
      </c>
      <c r="F289" s="109">
        <f>Table11[[#This Row],[Forecasted_Units]]*(1+Table11[[#This Row],[Adjustment_Percentage]])</f>
        <v>99.411657374629499</v>
      </c>
      <c r="G289" s="113">
        <f t="shared" si="9"/>
        <v>0.97462409190813237</v>
      </c>
    </row>
    <row r="290" spans="1:7">
      <c r="A290" s="53">
        <v>50645</v>
      </c>
      <c r="B290" t="str">
        <f t="shared" si="8"/>
        <v>August</v>
      </c>
      <c r="C290" s="14" t="s">
        <v>13</v>
      </c>
      <c r="D290" s="14">
        <v>108</v>
      </c>
      <c r="E290" s="105">
        <f>_xlfn.FORECAST.LINEAR(Table13[[#This Row],[Date]],Table13[Units_Sold],Table13[Date])</f>
        <v>99.412821571286273</v>
      </c>
      <c r="F290" s="108">
        <f>Table11[[#This Row],[Forecasted_Units]]*(1+Table11[[#This Row],[Adjustment_Percentage]])</f>
        <v>99.412821571286273</v>
      </c>
      <c r="G290" s="113">
        <f t="shared" si="9"/>
        <v>0.92048908862302103</v>
      </c>
    </row>
    <row r="291" spans="1:7">
      <c r="A291" s="54">
        <v>50675</v>
      </c>
      <c r="B291" t="str">
        <f t="shared" si="8"/>
        <v>September</v>
      </c>
      <c r="C291" s="15" t="s">
        <v>10</v>
      </c>
      <c r="D291" s="15">
        <v>95</v>
      </c>
      <c r="E291" s="106">
        <f>_xlfn.FORECAST.LINEAR(Table13[[#This Row],[Date]],Table13[Units_Sold],Table13[Date])</f>
        <v>99.413985767943061</v>
      </c>
      <c r="F291" s="109">
        <f>Table11[[#This Row],[Forecasted_Units]]*(1+Table11[[#This Row],[Adjustment_Percentage]])</f>
        <v>99.413985767943061</v>
      </c>
      <c r="G291" s="113">
        <f t="shared" si="9"/>
        <v>0.95353699191638885</v>
      </c>
    </row>
    <row r="292" spans="1:7">
      <c r="A292" s="53">
        <v>50705</v>
      </c>
      <c r="B292" t="str">
        <f t="shared" si="8"/>
        <v>October</v>
      </c>
      <c r="C292" s="14" t="s">
        <v>12</v>
      </c>
      <c r="D292" s="14">
        <v>100</v>
      </c>
      <c r="E292" s="105">
        <f>_xlfn.FORECAST.LINEAR(Table13[[#This Row],[Date]],Table13[Units_Sold],Table13[Date])</f>
        <v>99.415149964599848</v>
      </c>
      <c r="F292" s="108">
        <f>Table11[[#This Row],[Forecasted_Units]]*(1+Table11[[#This Row],[Adjustment_Percentage]])</f>
        <v>99.415149964599848</v>
      </c>
      <c r="G292" s="113">
        <f t="shared" si="9"/>
        <v>0.99415149964599847</v>
      </c>
    </row>
    <row r="293" spans="1:7">
      <c r="A293" s="54">
        <v>50735</v>
      </c>
      <c r="B293" t="str">
        <f t="shared" si="8"/>
        <v>November</v>
      </c>
      <c r="C293" s="15" t="s">
        <v>10</v>
      </c>
      <c r="D293" s="15">
        <v>86</v>
      </c>
      <c r="E293" s="106">
        <f>_xlfn.FORECAST.LINEAR(Table13[[#This Row],[Date]],Table13[Units_Sold],Table13[Date])</f>
        <v>99.416314161256636</v>
      </c>
      <c r="F293" s="109">
        <f>Table11[[#This Row],[Forecasted_Units]]*(1+Table11[[#This Row],[Adjustment_Percentage]])</f>
        <v>99.416314161256636</v>
      </c>
      <c r="G293" s="113">
        <f t="shared" si="9"/>
        <v>0.8439963469621321</v>
      </c>
    </row>
    <row r="294" spans="1:7">
      <c r="A294" s="53">
        <v>50765</v>
      </c>
      <c r="B294" t="str">
        <f t="shared" si="8"/>
        <v>December</v>
      </c>
      <c r="C294" s="14" t="s">
        <v>13</v>
      </c>
      <c r="D294" s="14">
        <v>94</v>
      </c>
      <c r="E294" s="105">
        <f>_xlfn.FORECAST.LINEAR(Table13[[#This Row],[Date]],Table13[Units_Sold],Table13[Date])</f>
        <v>99.417478357913424</v>
      </c>
      <c r="F294" s="108">
        <f>Table11[[#This Row],[Forecasted_Units]]*(1+Table11[[#This Row],[Adjustment_Percentage]])</f>
        <v>99.417478357913424</v>
      </c>
      <c r="G294" s="113">
        <f t="shared" si="9"/>
        <v>0.94236725151155931</v>
      </c>
    </row>
    <row r="295" spans="1:7">
      <c r="A295" s="54">
        <v>50795</v>
      </c>
      <c r="B295" t="str">
        <f t="shared" si="8"/>
        <v>January</v>
      </c>
      <c r="C295" s="15" t="s">
        <v>10</v>
      </c>
      <c r="D295" s="15">
        <v>88</v>
      </c>
      <c r="E295" s="106">
        <f>_xlfn.FORECAST.LINEAR(Table13[[#This Row],[Date]],Table13[Units_Sold],Table13[Date])</f>
        <v>99.418642554570212</v>
      </c>
      <c r="F295" s="109">
        <f>Table11[[#This Row],[Forecasted_Units]]*(1+Table11[[#This Row],[Adjustment_Percentage]])</f>
        <v>99.418642554570212</v>
      </c>
      <c r="G295" s="113">
        <f t="shared" si="9"/>
        <v>0.8702426982435203</v>
      </c>
    </row>
    <row r="296" spans="1:7">
      <c r="A296" s="53">
        <v>50825</v>
      </c>
      <c r="B296" t="str">
        <f t="shared" si="8"/>
        <v>February</v>
      </c>
      <c r="C296" s="14" t="s">
        <v>12</v>
      </c>
      <c r="D296" s="14">
        <v>100</v>
      </c>
      <c r="E296" s="105">
        <f>_xlfn.FORECAST.LINEAR(Table13[[#This Row],[Date]],Table13[Units_Sold],Table13[Date])</f>
        <v>99.419806751227</v>
      </c>
      <c r="F296" s="108">
        <f>Table11[[#This Row],[Forecasted_Units]]*(1+Table11[[#This Row],[Adjustment_Percentage]])</f>
        <v>99.419806751227</v>
      </c>
      <c r="G296" s="113">
        <f t="shared" si="9"/>
        <v>0.99419806751227002</v>
      </c>
    </row>
    <row r="297" spans="1:7">
      <c r="A297" s="54">
        <v>50855</v>
      </c>
      <c r="B297" t="str">
        <f t="shared" si="8"/>
        <v>March</v>
      </c>
      <c r="C297" s="15" t="s">
        <v>14</v>
      </c>
      <c r="D297" s="15">
        <v>95</v>
      </c>
      <c r="E297" s="106">
        <f>_xlfn.FORECAST.LINEAR(Table13[[#This Row],[Date]],Table13[Units_Sold],Table13[Date])</f>
        <v>99.420970947883788</v>
      </c>
      <c r="F297" s="109">
        <f>Table11[[#This Row],[Forecasted_Units]]*(1+Table11[[#This Row],[Adjustment_Percentage]])</f>
        <v>99.420970947883788</v>
      </c>
      <c r="G297" s="113">
        <f t="shared" si="9"/>
        <v>0.95346346370648649</v>
      </c>
    </row>
    <row r="298" spans="1:7">
      <c r="A298" s="53">
        <v>50885</v>
      </c>
      <c r="B298" t="str">
        <f t="shared" si="8"/>
        <v>April</v>
      </c>
      <c r="C298" s="14" t="s">
        <v>10</v>
      </c>
      <c r="D298" s="14">
        <v>95</v>
      </c>
      <c r="E298" s="105">
        <f>_xlfn.FORECAST.LINEAR(Table13[[#This Row],[Date]],Table13[Units_Sold],Table13[Date])</f>
        <v>99.422135144540576</v>
      </c>
      <c r="F298" s="108">
        <f>Table11[[#This Row],[Forecasted_Units]]*(1+Table11[[#This Row],[Adjustment_Percentage]])</f>
        <v>99.422135144540576</v>
      </c>
      <c r="G298" s="113">
        <f t="shared" si="9"/>
        <v>0.95345120900483604</v>
      </c>
    </row>
    <row r="299" spans="1:7">
      <c r="A299" s="54">
        <v>50915</v>
      </c>
      <c r="B299" t="str">
        <f t="shared" si="8"/>
        <v>May</v>
      </c>
      <c r="C299" s="15" t="s">
        <v>13</v>
      </c>
      <c r="D299" s="15">
        <v>92</v>
      </c>
      <c r="E299" s="106">
        <f>_xlfn.FORECAST.LINEAR(Table13[[#This Row],[Date]],Table13[Units_Sold],Table13[Date])</f>
        <v>99.423299341197364</v>
      </c>
      <c r="F299" s="109">
        <f>Table11[[#This Row],[Forecasted_Units]]*(1+Table11[[#This Row],[Adjustment_Percentage]])</f>
        <v>99.423299341197364</v>
      </c>
      <c r="G299" s="113">
        <f t="shared" si="9"/>
        <v>0.91931196368263735</v>
      </c>
    </row>
    <row r="300" spans="1:7">
      <c r="A300" s="53">
        <v>50945</v>
      </c>
      <c r="B300" t="str">
        <f t="shared" si="8"/>
        <v>June</v>
      </c>
      <c r="C300" s="14" t="s">
        <v>12</v>
      </c>
      <c r="D300" s="14">
        <v>108</v>
      </c>
      <c r="E300" s="105">
        <f>_xlfn.FORECAST.LINEAR(Table13[[#This Row],[Date]],Table13[Units_Sold],Table13[Date])</f>
        <v>99.424463537854152</v>
      </c>
      <c r="F300" s="108">
        <f>Table11[[#This Row],[Forecasted_Units]]*(1+Table11[[#This Row],[Adjustment_Percentage]])</f>
        <v>99.424463537854152</v>
      </c>
      <c r="G300" s="113">
        <f t="shared" si="9"/>
        <v>0.92059688460976064</v>
      </c>
    </row>
    <row r="301" spans="1:7">
      <c r="A301" s="54">
        <v>50975</v>
      </c>
      <c r="B301" t="str">
        <f t="shared" si="8"/>
        <v>July</v>
      </c>
      <c r="C301" s="15" t="s">
        <v>13</v>
      </c>
      <c r="D301" s="15">
        <v>99</v>
      </c>
      <c r="E301" s="106">
        <f>_xlfn.FORECAST.LINEAR(Table13[[#This Row],[Date]],Table13[Units_Sold],Table13[Date])</f>
        <v>99.425627734510925</v>
      </c>
      <c r="F301" s="109">
        <f>Table11[[#This Row],[Forecasted_Units]]*(1+Table11[[#This Row],[Adjustment_Percentage]])</f>
        <v>99.425627734510925</v>
      </c>
      <c r="G301" s="113">
        <f t="shared" si="9"/>
        <v>0.99570072995443515</v>
      </c>
    </row>
    <row r="302" spans="1:7">
      <c r="A302" s="53">
        <v>51005</v>
      </c>
      <c r="B302" t="str">
        <f t="shared" si="8"/>
        <v>August</v>
      </c>
      <c r="C302" s="14" t="s">
        <v>13</v>
      </c>
      <c r="D302" s="14">
        <v>95</v>
      </c>
      <c r="E302" s="105">
        <f>_xlfn.FORECAST.LINEAR(Table13[[#This Row],[Date]],Table13[Units_Sold],Table13[Date])</f>
        <v>99.426791931167713</v>
      </c>
      <c r="F302" s="108">
        <f>Table11[[#This Row],[Forecasted_Units]]*(1+Table11[[#This Row],[Adjustment_Percentage]])</f>
        <v>99.426791931167713</v>
      </c>
      <c r="G302" s="113">
        <f t="shared" si="9"/>
        <v>0.95340219019823458</v>
      </c>
    </row>
    <row r="303" spans="1:7">
      <c r="A303" s="54">
        <v>51035</v>
      </c>
      <c r="B303" t="str">
        <f t="shared" si="8"/>
        <v>September</v>
      </c>
      <c r="C303" s="15" t="s">
        <v>10</v>
      </c>
      <c r="D303" s="15">
        <v>86</v>
      </c>
      <c r="E303" s="106">
        <f>_xlfn.FORECAST.LINEAR(Table13[[#This Row],[Date]],Table13[Units_Sold],Table13[Date])</f>
        <v>99.427956127824501</v>
      </c>
      <c r="F303" s="109">
        <f>Table11[[#This Row],[Forecasted_Units]]*(1+Table11[[#This Row],[Adjustment_Percentage]])</f>
        <v>99.427956127824501</v>
      </c>
      <c r="G303" s="113">
        <f t="shared" si="9"/>
        <v>0.84386097525785464</v>
      </c>
    </row>
    <row r="304" spans="1:7">
      <c r="A304" s="53">
        <v>51065</v>
      </c>
      <c r="B304" t="str">
        <f t="shared" si="8"/>
        <v>October</v>
      </c>
      <c r="C304" s="14" t="s">
        <v>13</v>
      </c>
      <c r="D304" s="14">
        <v>120</v>
      </c>
      <c r="E304" s="105">
        <f>_xlfn.FORECAST.LINEAR(Table13[[#This Row],[Date]],Table13[Units_Sold],Table13[Date])</f>
        <v>99.429120324481289</v>
      </c>
      <c r="F304" s="108">
        <f>Table11[[#This Row],[Forecasted_Units]]*(1+Table11[[#This Row],[Adjustment_Percentage]])</f>
        <v>99.429120324481289</v>
      </c>
      <c r="G304" s="113">
        <f t="shared" si="9"/>
        <v>0.82857600270401077</v>
      </c>
    </row>
    <row r="305" spans="1:7">
      <c r="A305" s="54">
        <v>51095</v>
      </c>
      <c r="B305" t="str">
        <f t="shared" si="8"/>
        <v>November</v>
      </c>
      <c r="C305" s="15" t="s">
        <v>10</v>
      </c>
      <c r="D305" s="15">
        <v>81</v>
      </c>
      <c r="E305" s="106">
        <f>_xlfn.FORECAST.LINEAR(Table13[[#This Row],[Date]],Table13[Units_Sold],Table13[Date])</f>
        <v>99.430284521138077</v>
      </c>
      <c r="F305" s="109">
        <f>Table11[[#This Row],[Forecasted_Units]]*(1+Table11[[#This Row],[Adjustment_Percentage]])</f>
        <v>99.430284521138077</v>
      </c>
      <c r="G305" s="113">
        <f t="shared" si="9"/>
        <v>0.77246562319582623</v>
      </c>
    </row>
    <row r="306" spans="1:7">
      <c r="A306" s="53">
        <v>51125</v>
      </c>
      <c r="B306" t="str">
        <f t="shared" si="8"/>
        <v>December</v>
      </c>
      <c r="C306" s="14" t="s">
        <v>14</v>
      </c>
      <c r="D306" s="14">
        <v>102</v>
      </c>
      <c r="E306" s="105">
        <f>_xlfn.FORECAST.LINEAR(Table13[[#This Row],[Date]],Table13[Units_Sold],Table13[Date])</f>
        <v>99.431448717794865</v>
      </c>
      <c r="F306" s="108">
        <f>Table11[[#This Row],[Forecasted_Units]]*(1+Table11[[#This Row],[Adjustment_Percentage]])</f>
        <v>99.431448717794865</v>
      </c>
      <c r="G306" s="113">
        <f t="shared" si="9"/>
        <v>0.97481812468426343</v>
      </c>
    </row>
    <row r="307" spans="1:7">
      <c r="A307" s="54">
        <v>51155</v>
      </c>
      <c r="B307" t="str">
        <f t="shared" si="8"/>
        <v>January</v>
      </c>
      <c r="C307" s="15" t="s">
        <v>13</v>
      </c>
      <c r="D307" s="15">
        <v>87</v>
      </c>
      <c r="E307" s="106">
        <f>_xlfn.FORECAST.LINEAR(Table13[[#This Row],[Date]],Table13[Units_Sold],Table13[Date])</f>
        <v>99.432612914451653</v>
      </c>
      <c r="F307" s="109">
        <f>Table11[[#This Row],[Forecasted_Units]]*(1+Table11[[#This Row],[Adjustment_Percentage]])</f>
        <v>99.432612914451653</v>
      </c>
      <c r="G307" s="113">
        <f t="shared" si="9"/>
        <v>0.85709640328216485</v>
      </c>
    </row>
    <row r="308" spans="1:7">
      <c r="A308" s="53">
        <v>51185</v>
      </c>
      <c r="B308" t="str">
        <f t="shared" si="8"/>
        <v>February</v>
      </c>
      <c r="C308" s="14" t="s">
        <v>13</v>
      </c>
      <c r="D308" s="14">
        <v>90</v>
      </c>
      <c r="E308" s="105">
        <f>_xlfn.FORECAST.LINEAR(Table13[[#This Row],[Date]],Table13[Units_Sold],Table13[Date])</f>
        <v>99.433777111108441</v>
      </c>
      <c r="F308" s="108">
        <f>Table11[[#This Row],[Forecasted_Units]]*(1+Table11[[#This Row],[Adjustment_Percentage]])</f>
        <v>99.433777111108441</v>
      </c>
      <c r="G308" s="113">
        <f t="shared" si="9"/>
        <v>0.89518025432101733</v>
      </c>
    </row>
    <row r="309" spans="1:7">
      <c r="A309" s="54">
        <v>51215</v>
      </c>
      <c r="B309" t="str">
        <f t="shared" si="8"/>
        <v>March</v>
      </c>
      <c r="C309" s="15" t="s">
        <v>13</v>
      </c>
      <c r="D309" s="15">
        <v>89</v>
      </c>
      <c r="E309" s="106">
        <f>_xlfn.FORECAST.LINEAR(Table13[[#This Row],[Date]],Table13[Units_Sold],Table13[Date])</f>
        <v>99.434941307765229</v>
      </c>
      <c r="F309" s="109">
        <f>Table11[[#This Row],[Forecasted_Units]]*(1+Table11[[#This Row],[Adjustment_Percentage]])</f>
        <v>99.434941307765229</v>
      </c>
      <c r="G309" s="113">
        <f t="shared" si="9"/>
        <v>0.88275346845207614</v>
      </c>
    </row>
    <row r="310" spans="1:7">
      <c r="A310" s="53">
        <v>51245</v>
      </c>
      <c r="B310" t="str">
        <f t="shared" si="8"/>
        <v>April</v>
      </c>
      <c r="C310" s="14" t="s">
        <v>11</v>
      </c>
      <c r="D310" s="14">
        <v>105</v>
      </c>
      <c r="E310" s="105">
        <f>_xlfn.FORECAST.LINEAR(Table13[[#This Row],[Date]],Table13[Units_Sold],Table13[Date])</f>
        <v>99.436105504422017</v>
      </c>
      <c r="F310" s="108">
        <f>Table11[[#This Row],[Forecasted_Units]]*(1+Table11[[#This Row],[Adjustment_Percentage]])</f>
        <v>99.436105504422017</v>
      </c>
      <c r="G310" s="113">
        <f t="shared" si="9"/>
        <v>0.94701052861354307</v>
      </c>
    </row>
    <row r="311" spans="1:7">
      <c r="A311" s="54">
        <v>51275</v>
      </c>
      <c r="B311" t="str">
        <f t="shared" si="8"/>
        <v>May</v>
      </c>
      <c r="C311" s="15" t="s">
        <v>11</v>
      </c>
      <c r="D311" s="15">
        <v>96</v>
      </c>
      <c r="E311" s="106">
        <f>_xlfn.FORECAST.LINEAR(Table13[[#This Row],[Date]],Table13[Units_Sold],Table13[Date])</f>
        <v>99.437269701078804</v>
      </c>
      <c r="F311" s="109">
        <f>Table11[[#This Row],[Forecasted_Units]]*(1+Table11[[#This Row],[Adjustment_Percentage]])</f>
        <v>99.437269701078804</v>
      </c>
      <c r="G311" s="113">
        <f t="shared" si="9"/>
        <v>0.96419510728042912</v>
      </c>
    </row>
    <row r="312" spans="1:7">
      <c r="A312" s="53">
        <v>51305</v>
      </c>
      <c r="B312" t="str">
        <f t="shared" si="8"/>
        <v>June</v>
      </c>
      <c r="C312" s="14" t="s">
        <v>12</v>
      </c>
      <c r="D312" s="14">
        <v>97</v>
      </c>
      <c r="E312" s="105">
        <f>_xlfn.FORECAST.LINEAR(Table13[[#This Row],[Date]],Table13[Units_Sold],Table13[Date])</f>
        <v>99.438433897735578</v>
      </c>
      <c r="F312" s="108">
        <f>Table11[[#This Row],[Forecasted_Units]]*(1+Table11[[#This Row],[Adjustment_Percentage]])</f>
        <v>99.438433897735578</v>
      </c>
      <c r="G312" s="113">
        <f t="shared" si="9"/>
        <v>0.97486150620891154</v>
      </c>
    </row>
    <row r="313" spans="1:7">
      <c r="A313" s="54">
        <v>51335</v>
      </c>
      <c r="B313" t="str">
        <f t="shared" si="8"/>
        <v>July</v>
      </c>
      <c r="C313" s="15" t="s">
        <v>11</v>
      </c>
      <c r="D313" s="15">
        <v>98</v>
      </c>
      <c r="E313" s="106">
        <f>_xlfn.FORECAST.LINEAR(Table13[[#This Row],[Date]],Table13[Units_Sold],Table13[Date])</f>
        <v>99.439598094392366</v>
      </c>
      <c r="F313" s="109">
        <f>Table11[[#This Row],[Forecasted_Units]]*(1+Table11[[#This Row],[Adjustment_Percentage]])</f>
        <v>99.439598094392366</v>
      </c>
      <c r="G313" s="113">
        <f t="shared" si="9"/>
        <v>0.98531022352660846</v>
      </c>
    </row>
    <row r="314" spans="1:7">
      <c r="A314" s="53">
        <v>51365</v>
      </c>
      <c r="B314" t="str">
        <f t="shared" si="8"/>
        <v>August</v>
      </c>
      <c r="C314" s="14" t="s">
        <v>12</v>
      </c>
      <c r="D314" s="14">
        <v>100</v>
      </c>
      <c r="E314" s="105">
        <f>_xlfn.FORECAST.LINEAR(Table13[[#This Row],[Date]],Table13[Units_Sold],Table13[Date])</f>
        <v>99.440762291049154</v>
      </c>
      <c r="F314" s="108">
        <f>Table11[[#This Row],[Forecasted_Units]]*(1+Table11[[#This Row],[Adjustment_Percentage]])</f>
        <v>99.440762291049154</v>
      </c>
      <c r="G314" s="113">
        <f t="shared" si="9"/>
        <v>0.99440762291049156</v>
      </c>
    </row>
    <row r="315" spans="1:7">
      <c r="A315" s="54">
        <v>51395</v>
      </c>
      <c r="B315" t="str">
        <f t="shared" si="8"/>
        <v>September</v>
      </c>
      <c r="C315" s="15" t="s">
        <v>11</v>
      </c>
      <c r="D315" s="15">
        <v>108</v>
      </c>
      <c r="E315" s="106">
        <f>_xlfn.FORECAST.LINEAR(Table13[[#This Row],[Date]],Table13[Units_Sold],Table13[Date])</f>
        <v>99.441926487705942</v>
      </c>
      <c r="F315" s="109">
        <f>Table11[[#This Row],[Forecasted_Units]]*(1+Table11[[#This Row],[Adjustment_Percentage]])</f>
        <v>99.441926487705942</v>
      </c>
      <c r="G315" s="113">
        <f t="shared" si="9"/>
        <v>0.92075857858986987</v>
      </c>
    </row>
    <row r="316" spans="1:7">
      <c r="A316" s="53">
        <v>51425</v>
      </c>
      <c r="B316" t="str">
        <f t="shared" si="8"/>
        <v>October</v>
      </c>
      <c r="C316" s="14" t="s">
        <v>14</v>
      </c>
      <c r="D316" s="14">
        <v>92</v>
      </c>
      <c r="E316" s="105">
        <f>_xlfn.FORECAST.LINEAR(Table13[[#This Row],[Date]],Table13[Units_Sold],Table13[Date])</f>
        <v>99.44309068436273</v>
      </c>
      <c r="F316" s="108">
        <f>Table11[[#This Row],[Forecasted_Units]]*(1+Table11[[#This Row],[Adjustment_Percentage]])</f>
        <v>99.44309068436273</v>
      </c>
      <c r="G316" s="113">
        <f t="shared" si="9"/>
        <v>0.91909684038736161</v>
      </c>
    </row>
    <row r="317" spans="1:7">
      <c r="A317" s="54">
        <v>51455</v>
      </c>
      <c r="B317" t="str">
        <f t="shared" si="8"/>
        <v>November</v>
      </c>
      <c r="C317" s="15" t="s">
        <v>12</v>
      </c>
      <c r="D317" s="15">
        <v>97</v>
      </c>
      <c r="E317" s="106">
        <f>_xlfn.FORECAST.LINEAR(Table13[[#This Row],[Date]],Table13[Units_Sold],Table13[Date])</f>
        <v>99.444254881019518</v>
      </c>
      <c r="F317" s="109">
        <f>Table11[[#This Row],[Forecasted_Units]]*(1+Table11[[#This Row],[Adjustment_Percentage]])</f>
        <v>99.444254881019518</v>
      </c>
      <c r="G317" s="113">
        <f t="shared" si="9"/>
        <v>0.97480149607196376</v>
      </c>
    </row>
    <row r="318" spans="1:7">
      <c r="A318" s="53">
        <v>51485</v>
      </c>
      <c r="B318" t="str">
        <f t="shared" si="8"/>
        <v>December</v>
      </c>
      <c r="C318" s="14" t="s">
        <v>11</v>
      </c>
      <c r="D318" s="14">
        <v>116</v>
      </c>
      <c r="E318" s="105">
        <f>_xlfn.FORECAST.LINEAR(Table13[[#This Row],[Date]],Table13[Units_Sold],Table13[Date])</f>
        <v>99.445419077676306</v>
      </c>
      <c r="F318" s="108">
        <f>Table11[[#This Row],[Forecasted_Units]]*(1+Table11[[#This Row],[Adjustment_Percentage]])</f>
        <v>99.445419077676306</v>
      </c>
      <c r="G318" s="113">
        <f t="shared" si="9"/>
        <v>0.85728809549720952</v>
      </c>
    </row>
    <row r="319" spans="1:7">
      <c r="A319" s="54">
        <v>51515</v>
      </c>
      <c r="B319" t="str">
        <f t="shared" si="8"/>
        <v>January</v>
      </c>
      <c r="C319" s="15" t="s">
        <v>14</v>
      </c>
      <c r="D319" s="15">
        <f>IF(ISBLANK(D272), O273, D272)</f>
        <v>103</v>
      </c>
      <c r="E319" s="106">
        <f>_xlfn.FORECAST.LINEAR(Table13[[#This Row],[Date]],Table13[Units_Sold],Table13[Date])</f>
        <v>99.446583274333094</v>
      </c>
      <c r="F319" s="109">
        <f>Table11[[#This Row],[Forecasted_Units]]*(1+Table11[[#This Row],[Adjustment_Percentage]])</f>
        <v>99.446583274333094</v>
      </c>
      <c r="G319" s="113">
        <f t="shared" si="9"/>
        <v>0.96550080848867081</v>
      </c>
    </row>
    <row r="320" spans="1:7">
      <c r="A320" s="53">
        <v>51545</v>
      </c>
      <c r="B320" t="str">
        <f t="shared" si="8"/>
        <v>February</v>
      </c>
      <c r="C320" s="14" t="s">
        <v>11</v>
      </c>
      <c r="D320" s="14">
        <v>87</v>
      </c>
      <c r="E320" s="105">
        <f>_xlfn.FORECAST.LINEAR(Table13[[#This Row],[Date]],Table13[Units_Sold],Table13[Date])</f>
        <v>99.447747470989881</v>
      </c>
      <c r="F320" s="108">
        <f>Table11[[#This Row],[Forecasted_Units]]*(1+Table11[[#This Row],[Adjustment_Percentage]])</f>
        <v>99.447747470989881</v>
      </c>
      <c r="G320" s="113">
        <f t="shared" si="9"/>
        <v>0.85692244286218533</v>
      </c>
    </row>
    <row r="321" spans="1:7">
      <c r="A321" s="54">
        <v>51575</v>
      </c>
      <c r="B321" t="str">
        <f t="shared" si="8"/>
        <v>March</v>
      </c>
      <c r="C321" s="15" t="s">
        <v>10</v>
      </c>
      <c r="D321" s="15">
        <v>103</v>
      </c>
      <c r="E321" s="106">
        <f>_xlfn.FORECAST.LINEAR(Table13[[#This Row],[Date]],Table13[Units_Sold],Table13[Date])</f>
        <v>99.448911667646669</v>
      </c>
      <c r="F321" s="109">
        <f>Table11[[#This Row],[Forecasted_Units]]*(1+Table11[[#This Row],[Adjustment_Percentage]])</f>
        <v>99.448911667646669</v>
      </c>
      <c r="G321" s="113">
        <f t="shared" si="9"/>
        <v>0.96552341424899679</v>
      </c>
    </row>
    <row r="322" spans="1:7">
      <c r="A322" s="53">
        <v>51605</v>
      </c>
      <c r="B322" t="str">
        <f t="shared" si="8"/>
        <v>April</v>
      </c>
      <c r="C322" s="14" t="s">
        <v>10</v>
      </c>
      <c r="D322" s="14">
        <v>115</v>
      </c>
      <c r="E322" s="105">
        <f>_xlfn.FORECAST.LINEAR(Table13[[#This Row],[Date]],Table13[Units_Sold],Table13[Date])</f>
        <v>99.450075864303457</v>
      </c>
      <c r="F322" s="108">
        <f>Table11[[#This Row],[Forecasted_Units]]*(1+Table11[[#This Row],[Adjustment_Percentage]])</f>
        <v>99.450075864303457</v>
      </c>
      <c r="G322" s="113">
        <f t="shared" si="9"/>
        <v>0.86478326838524744</v>
      </c>
    </row>
    <row r="323" spans="1:7">
      <c r="A323" s="54">
        <v>51635</v>
      </c>
      <c r="B323" t="str">
        <f t="shared" ref="B323:B386" si="10">TEXT(A323,"mmmm")</f>
        <v>May</v>
      </c>
      <c r="C323" s="15" t="s">
        <v>14</v>
      </c>
      <c r="D323" s="15">
        <v>88</v>
      </c>
      <c r="E323" s="106">
        <f>_xlfn.FORECAST.LINEAR(Table13[[#This Row],[Date]],Table13[Units_Sold],Table13[Date])</f>
        <v>99.451240060960231</v>
      </c>
      <c r="F323" s="109">
        <f>Table11[[#This Row],[Forecasted_Units]]*(1+Table11[[#This Row],[Adjustment_Percentage]])</f>
        <v>99.451240060960231</v>
      </c>
      <c r="G323" s="113">
        <f t="shared" ref="G323:G386" si="11">1-ABS(D323-F323)/D323</f>
        <v>0.86987227203454287</v>
      </c>
    </row>
    <row r="324" spans="1:7">
      <c r="A324" s="53">
        <v>51665</v>
      </c>
      <c r="B324" t="str">
        <f t="shared" si="10"/>
        <v>June</v>
      </c>
      <c r="C324" s="14" t="s">
        <v>13</v>
      </c>
      <c r="D324" s="14">
        <v>100</v>
      </c>
      <c r="E324" s="105">
        <f>_xlfn.FORECAST.LINEAR(Table13[[#This Row],[Date]],Table13[Units_Sold],Table13[Date])</f>
        <v>99.452404257617019</v>
      </c>
      <c r="F324" s="108">
        <f>Table11[[#This Row],[Forecasted_Units]]*(1+Table11[[#This Row],[Adjustment_Percentage]])</f>
        <v>99.452404257617019</v>
      </c>
      <c r="G324" s="113">
        <f t="shared" si="11"/>
        <v>0.99452404257617022</v>
      </c>
    </row>
    <row r="325" spans="1:7">
      <c r="A325" s="54">
        <v>51695</v>
      </c>
      <c r="B325" t="str">
        <f t="shared" si="10"/>
        <v>July</v>
      </c>
      <c r="C325" s="15" t="s">
        <v>13</v>
      </c>
      <c r="D325" s="15">
        <v>108</v>
      </c>
      <c r="E325" s="106">
        <f>_xlfn.FORECAST.LINEAR(Table13[[#This Row],[Date]],Table13[Units_Sold],Table13[Date])</f>
        <v>99.453568454273807</v>
      </c>
      <c r="F325" s="109">
        <f>Table11[[#This Row],[Forecasted_Units]]*(1+Table11[[#This Row],[Adjustment_Percentage]])</f>
        <v>99.453568454273807</v>
      </c>
      <c r="G325" s="113">
        <f t="shared" si="11"/>
        <v>0.92086637457660936</v>
      </c>
    </row>
    <row r="326" spans="1:7">
      <c r="A326" s="53">
        <v>51725</v>
      </c>
      <c r="B326" t="str">
        <f t="shared" si="10"/>
        <v>August</v>
      </c>
      <c r="C326" s="14" t="s">
        <v>10</v>
      </c>
      <c r="D326" s="14">
        <f>IF(ISBLANK(D279), O280, D279)</f>
        <v>96</v>
      </c>
      <c r="E326" s="105">
        <f>_xlfn.FORECAST.LINEAR(Table13[[#This Row],[Date]],Table13[Units_Sold],Table13[Date])</f>
        <v>99.454732650930595</v>
      </c>
      <c r="F326" s="108">
        <f>Table11[[#This Row],[Forecasted_Units]]*(1+Table11[[#This Row],[Adjustment_Percentage]])</f>
        <v>99.454732650930595</v>
      </c>
      <c r="G326" s="113">
        <f t="shared" si="11"/>
        <v>0.96401320155280634</v>
      </c>
    </row>
    <row r="327" spans="1:7">
      <c r="A327" s="54">
        <v>51755</v>
      </c>
      <c r="B327" t="str">
        <f t="shared" si="10"/>
        <v>September</v>
      </c>
      <c r="C327" s="15" t="s">
        <v>10</v>
      </c>
      <c r="D327" s="15">
        <v>86</v>
      </c>
      <c r="E327" s="106">
        <f>_xlfn.FORECAST.LINEAR(Table13[[#This Row],[Date]],Table13[Units_Sold],Table13[Date])</f>
        <v>99.455896847587383</v>
      </c>
      <c r="F327" s="109">
        <f>Table11[[#This Row],[Forecasted_Units]]*(1+Table11[[#This Row],[Adjustment_Percentage]])</f>
        <v>99.455896847587383</v>
      </c>
      <c r="G327" s="113">
        <f t="shared" si="11"/>
        <v>0.84353608316758855</v>
      </c>
    </row>
    <row r="328" spans="1:7">
      <c r="A328" s="53">
        <v>51785</v>
      </c>
      <c r="B328" t="str">
        <f t="shared" si="10"/>
        <v>October</v>
      </c>
      <c r="C328" s="14" t="s">
        <v>13</v>
      </c>
      <c r="D328" s="14">
        <v>87</v>
      </c>
      <c r="E328" s="105">
        <f>_xlfn.FORECAST.LINEAR(Table13[[#This Row],[Date]],Table13[Units_Sold],Table13[Date])</f>
        <v>99.45706104424417</v>
      </c>
      <c r="F328" s="108">
        <f>Table11[[#This Row],[Forecasted_Units]]*(1+Table11[[#This Row],[Adjustment_Percentage]])</f>
        <v>99.45706104424417</v>
      </c>
      <c r="G328" s="113">
        <f t="shared" si="11"/>
        <v>0.85681539029604403</v>
      </c>
    </row>
    <row r="329" spans="1:7">
      <c r="A329" s="54">
        <v>51815</v>
      </c>
      <c r="B329" t="str">
        <f t="shared" si="10"/>
        <v>November</v>
      </c>
      <c r="C329" s="15" t="s">
        <v>12</v>
      </c>
      <c r="D329" s="15">
        <v>109</v>
      </c>
      <c r="E329" s="106">
        <f>_xlfn.FORECAST.LINEAR(Table13[[#This Row],[Date]],Table13[Units_Sold],Table13[Date])</f>
        <v>99.458225240900958</v>
      </c>
      <c r="F329" s="109">
        <f>Table11[[#This Row],[Forecasted_Units]]*(1+Table11[[#This Row],[Adjustment_Percentage]])</f>
        <v>99.458225240900958</v>
      </c>
      <c r="G329" s="113">
        <f t="shared" si="11"/>
        <v>0.91246078202661429</v>
      </c>
    </row>
    <row r="330" spans="1:7">
      <c r="A330" s="53">
        <v>51845</v>
      </c>
      <c r="B330" t="str">
        <f t="shared" si="10"/>
        <v>December</v>
      </c>
      <c r="C330" s="14" t="s">
        <v>13</v>
      </c>
      <c r="D330" s="14">
        <v>91</v>
      </c>
      <c r="E330" s="105">
        <f>_xlfn.FORECAST.LINEAR(Table13[[#This Row],[Date]],Table13[Units_Sold],Table13[Date])</f>
        <v>99.459389437557746</v>
      </c>
      <c r="F330" s="108">
        <f>Table11[[#This Row],[Forecasted_Units]]*(1+Table11[[#This Row],[Adjustment_Percentage]])</f>
        <v>99.459389437557746</v>
      </c>
      <c r="G330" s="113">
        <f t="shared" si="11"/>
        <v>0.90703967651035444</v>
      </c>
    </row>
    <row r="331" spans="1:7">
      <c r="A331" s="54">
        <v>51875</v>
      </c>
      <c r="B331" t="str">
        <f t="shared" si="10"/>
        <v>January</v>
      </c>
      <c r="C331" s="15" t="s">
        <v>11</v>
      </c>
      <c r="D331" s="15">
        <v>107</v>
      </c>
      <c r="E331" s="106">
        <f>_xlfn.FORECAST.LINEAR(Table13[[#This Row],[Date]],Table13[Units_Sold],Table13[Date])</f>
        <v>99.460553634214534</v>
      </c>
      <c r="F331" s="109">
        <f>Table11[[#This Row],[Forecasted_Units]]*(1+Table11[[#This Row],[Adjustment_Percentage]])</f>
        <v>99.460553634214534</v>
      </c>
      <c r="G331" s="113">
        <f t="shared" si="11"/>
        <v>0.92953788443191154</v>
      </c>
    </row>
    <row r="332" spans="1:7">
      <c r="A332" s="53">
        <v>51905</v>
      </c>
      <c r="B332" t="str">
        <f t="shared" si="10"/>
        <v>February</v>
      </c>
      <c r="C332" s="14" t="s">
        <v>12</v>
      </c>
      <c r="D332" s="14">
        <v>106</v>
      </c>
      <c r="E332" s="105">
        <f>_xlfn.FORECAST.LINEAR(Table13[[#This Row],[Date]],Table13[Units_Sold],Table13[Date])</f>
        <v>99.461717830871322</v>
      </c>
      <c r="F332" s="108">
        <f>Table11[[#This Row],[Forecasted_Units]]*(1+Table11[[#This Row],[Adjustment_Percentage]])</f>
        <v>99.461717830871322</v>
      </c>
      <c r="G332" s="113">
        <f t="shared" si="11"/>
        <v>0.93831809274406908</v>
      </c>
    </row>
    <row r="333" spans="1:7">
      <c r="A333" s="54">
        <v>51935</v>
      </c>
      <c r="B333" t="str">
        <f t="shared" si="10"/>
        <v>March</v>
      </c>
      <c r="C333" s="15" t="s">
        <v>11</v>
      </c>
      <c r="D333" s="15">
        <v>92</v>
      </c>
      <c r="E333" s="106">
        <f>_xlfn.FORECAST.LINEAR(Table13[[#This Row],[Date]],Table13[Units_Sold],Table13[Date])</f>
        <v>99.46288202752811</v>
      </c>
      <c r="F333" s="109">
        <f>Table11[[#This Row],[Forecasted_Units]]*(1+Table11[[#This Row],[Adjustment_Percentage]])</f>
        <v>99.46288202752811</v>
      </c>
      <c r="G333" s="113">
        <f t="shared" si="11"/>
        <v>0.91888171709208577</v>
      </c>
    </row>
    <row r="334" spans="1:7">
      <c r="A334" s="53">
        <v>51965</v>
      </c>
      <c r="B334" t="str">
        <f t="shared" si="10"/>
        <v>April</v>
      </c>
      <c r="C334" s="14" t="s">
        <v>10</v>
      </c>
      <c r="D334" s="14">
        <v>90</v>
      </c>
      <c r="E334" s="105">
        <f>_xlfn.FORECAST.LINEAR(Table13[[#This Row],[Date]],Table13[Units_Sold],Table13[Date])</f>
        <v>99.464046224184884</v>
      </c>
      <c r="F334" s="108">
        <f>Table11[[#This Row],[Forecasted_Units]]*(1+Table11[[#This Row],[Adjustment_Percentage]])</f>
        <v>99.464046224184884</v>
      </c>
      <c r="G334" s="113">
        <f t="shared" si="11"/>
        <v>0.89484393084239022</v>
      </c>
    </row>
    <row r="335" spans="1:7">
      <c r="A335" s="54">
        <v>51995</v>
      </c>
      <c r="B335" t="str">
        <f t="shared" si="10"/>
        <v>May</v>
      </c>
      <c r="C335" s="15" t="s">
        <v>12</v>
      </c>
      <c r="D335" s="15">
        <v>102</v>
      </c>
      <c r="E335" s="106">
        <f>_xlfn.FORECAST.LINEAR(Table13[[#This Row],[Date]],Table13[Units_Sold],Table13[Date])</f>
        <v>99.465210420841672</v>
      </c>
      <c r="F335" s="109">
        <f>Table11[[#This Row],[Forecasted_Units]]*(1+Table11[[#This Row],[Adjustment_Percentage]])</f>
        <v>99.465210420841672</v>
      </c>
      <c r="G335" s="113">
        <f t="shared" si="11"/>
        <v>0.97514912177295754</v>
      </c>
    </row>
    <row r="336" spans="1:7">
      <c r="A336" s="53">
        <v>52025</v>
      </c>
      <c r="B336" t="str">
        <f t="shared" si="10"/>
        <v>June</v>
      </c>
      <c r="C336" s="14" t="s">
        <v>11</v>
      </c>
      <c r="D336" s="14">
        <v>99</v>
      </c>
      <c r="E336" s="105">
        <f>_xlfn.FORECAST.LINEAR(Table13[[#This Row],[Date]],Table13[Units_Sold],Table13[Date])</f>
        <v>99.46637461749846</v>
      </c>
      <c r="F336" s="108">
        <f>Table11[[#This Row],[Forecasted_Units]]*(1+Table11[[#This Row],[Adjustment_Percentage]])</f>
        <v>99.46637461749846</v>
      </c>
      <c r="G336" s="113">
        <f t="shared" si="11"/>
        <v>0.99528914527779333</v>
      </c>
    </row>
    <row r="337" spans="1:7">
      <c r="A337" s="54">
        <v>52055</v>
      </c>
      <c r="B337" t="str">
        <f t="shared" si="10"/>
        <v>July</v>
      </c>
      <c r="C337" s="15" t="s">
        <v>11</v>
      </c>
      <c r="D337" s="15">
        <v>88</v>
      </c>
      <c r="E337" s="106">
        <f>_xlfn.FORECAST.LINEAR(Table13[[#This Row],[Date]],Table13[Units_Sold],Table13[Date])</f>
        <v>99.467538814155247</v>
      </c>
      <c r="F337" s="109">
        <f>Table11[[#This Row],[Forecasted_Units]]*(1+Table11[[#This Row],[Adjustment_Percentage]])</f>
        <v>99.467538814155247</v>
      </c>
      <c r="G337" s="113">
        <f t="shared" si="11"/>
        <v>0.86968705893005405</v>
      </c>
    </row>
    <row r="338" spans="1:7">
      <c r="A338" s="53">
        <v>52085</v>
      </c>
      <c r="B338" t="str">
        <f t="shared" si="10"/>
        <v>August</v>
      </c>
      <c r="C338" s="14" t="s">
        <v>12</v>
      </c>
      <c r="D338" s="14">
        <v>100</v>
      </c>
      <c r="E338" s="105">
        <f>_xlfn.FORECAST.LINEAR(Table13[[#This Row],[Date]],Table13[Units_Sold],Table13[Date])</f>
        <v>99.468703010812035</v>
      </c>
      <c r="F338" s="108">
        <f>Table11[[#This Row],[Forecasted_Units]]*(1+Table11[[#This Row],[Adjustment_Percentage]])</f>
        <v>99.468703010812035</v>
      </c>
      <c r="G338" s="113">
        <f t="shared" si="11"/>
        <v>0.99468703010812032</v>
      </c>
    </row>
    <row r="339" spans="1:7">
      <c r="A339" s="54">
        <v>52115</v>
      </c>
      <c r="B339" t="str">
        <f t="shared" si="10"/>
        <v>September</v>
      </c>
      <c r="C339" s="15" t="s">
        <v>14</v>
      </c>
      <c r="D339" s="15">
        <f>IF(ISBLANK(D292), O293, D292)</f>
        <v>100</v>
      </c>
      <c r="E339" s="106">
        <f>_xlfn.FORECAST.LINEAR(Table13[[#This Row],[Date]],Table13[Units_Sold],Table13[Date])</f>
        <v>99.469867207468823</v>
      </c>
      <c r="F339" s="109">
        <f>Table11[[#This Row],[Forecasted_Units]]*(1+Table11[[#This Row],[Adjustment_Percentage]])</f>
        <v>99.469867207468823</v>
      </c>
      <c r="G339" s="113">
        <f t="shared" si="11"/>
        <v>0.99469867207468821</v>
      </c>
    </row>
    <row r="340" spans="1:7">
      <c r="A340" s="53">
        <v>52145</v>
      </c>
      <c r="B340" t="str">
        <f t="shared" si="10"/>
        <v>October</v>
      </c>
      <c r="C340" s="14" t="s">
        <v>13</v>
      </c>
      <c r="D340" s="14">
        <v>106</v>
      </c>
      <c r="E340" s="105">
        <f>_xlfn.FORECAST.LINEAR(Table13[[#This Row],[Date]],Table13[Units_Sold],Table13[Date])</f>
        <v>99.471031404125611</v>
      </c>
      <c r="F340" s="108">
        <f>Table11[[#This Row],[Forecasted_Units]]*(1+Table11[[#This Row],[Adjustment_Percentage]])</f>
        <v>99.471031404125611</v>
      </c>
      <c r="G340" s="113">
        <f t="shared" si="11"/>
        <v>0.93840595664269444</v>
      </c>
    </row>
    <row r="341" spans="1:7">
      <c r="A341" s="54">
        <v>52175</v>
      </c>
      <c r="B341" t="str">
        <f t="shared" si="10"/>
        <v>November</v>
      </c>
      <c r="C341" s="15" t="s">
        <v>11</v>
      </c>
      <c r="D341" s="15">
        <f>IF(ISBLANK(D294), O295, D294)</f>
        <v>94</v>
      </c>
      <c r="E341" s="106">
        <f>_xlfn.FORECAST.LINEAR(Table13[[#This Row],[Date]],Table13[Units_Sold],Table13[Date])</f>
        <v>99.472195600782399</v>
      </c>
      <c r="F341" s="109">
        <f>Table11[[#This Row],[Forecasted_Units]]*(1+Table11[[#This Row],[Adjustment_Percentage]])</f>
        <v>99.472195600782399</v>
      </c>
      <c r="G341" s="113">
        <f t="shared" si="11"/>
        <v>0.94178515318316602</v>
      </c>
    </row>
    <row r="342" spans="1:7">
      <c r="A342" s="53">
        <v>52205</v>
      </c>
      <c r="B342" t="str">
        <f t="shared" si="10"/>
        <v>December</v>
      </c>
      <c r="C342" s="14" t="s">
        <v>13</v>
      </c>
      <c r="D342" s="14">
        <v>98</v>
      </c>
      <c r="E342" s="105">
        <f>_xlfn.FORECAST.LINEAR(Table13[[#This Row],[Date]],Table13[Units_Sold],Table13[Date])</f>
        <v>99.473359797439187</v>
      </c>
      <c r="F342" s="108">
        <f>Table11[[#This Row],[Forecasted_Units]]*(1+Table11[[#This Row],[Adjustment_Percentage]])</f>
        <v>99.473359797439187</v>
      </c>
      <c r="G342" s="113">
        <f t="shared" si="11"/>
        <v>0.98496571635266139</v>
      </c>
    </row>
    <row r="343" spans="1:7">
      <c r="A343" s="54">
        <v>52235</v>
      </c>
      <c r="B343" t="str">
        <f t="shared" si="10"/>
        <v>January</v>
      </c>
      <c r="C343" s="15" t="s">
        <v>13</v>
      </c>
      <c r="D343" s="15">
        <v>119</v>
      </c>
      <c r="E343" s="106">
        <f>_xlfn.FORECAST.LINEAR(Table13[[#This Row],[Date]],Table13[Units_Sold],Table13[Date])</f>
        <v>99.474523994095975</v>
      </c>
      <c r="F343" s="109">
        <f>Table11[[#This Row],[Forecasted_Units]]*(1+Table11[[#This Row],[Adjustment_Percentage]])</f>
        <v>99.474523994095975</v>
      </c>
      <c r="G343" s="113">
        <f t="shared" si="11"/>
        <v>0.83592036969828554</v>
      </c>
    </row>
    <row r="344" spans="1:7">
      <c r="A344" s="53">
        <v>52265</v>
      </c>
      <c r="B344" t="str">
        <f t="shared" si="10"/>
        <v>February</v>
      </c>
      <c r="C344" s="14" t="s">
        <v>10</v>
      </c>
      <c r="D344" s="14">
        <v>99</v>
      </c>
      <c r="E344" s="105">
        <f>_xlfn.FORECAST.LINEAR(Table13[[#This Row],[Date]],Table13[Units_Sold],Table13[Date])</f>
        <v>99.475688190752763</v>
      </c>
      <c r="F344" s="108">
        <f>Table11[[#This Row],[Forecasted_Units]]*(1+Table11[[#This Row],[Adjustment_Percentage]])</f>
        <v>99.475688190752763</v>
      </c>
      <c r="G344" s="113">
        <f t="shared" si="11"/>
        <v>0.99519506878027508</v>
      </c>
    </row>
    <row r="345" spans="1:7">
      <c r="A345" s="54">
        <v>52295</v>
      </c>
      <c r="B345" t="str">
        <f t="shared" si="10"/>
        <v>March</v>
      </c>
      <c r="C345" s="15" t="s">
        <v>13</v>
      </c>
      <c r="D345" s="15">
        <v>87</v>
      </c>
      <c r="E345" s="106">
        <f>_xlfn.FORECAST.LINEAR(Table13[[#This Row],[Date]],Table13[Units_Sold],Table13[Date])</f>
        <v>99.476852387409537</v>
      </c>
      <c r="F345" s="109">
        <f>Table11[[#This Row],[Forecasted_Units]]*(1+Table11[[#This Row],[Adjustment_Percentage]])</f>
        <v>99.476852387409537</v>
      </c>
      <c r="G345" s="113">
        <f t="shared" si="11"/>
        <v>0.85658790359299386</v>
      </c>
    </row>
    <row r="346" spans="1:7">
      <c r="A346" s="53">
        <v>52325</v>
      </c>
      <c r="B346" t="str">
        <f t="shared" si="10"/>
        <v>April</v>
      </c>
      <c r="C346" s="14" t="s">
        <v>11</v>
      </c>
      <c r="D346" s="14">
        <f>IF(ISBLANK(D299), O300, D299)</f>
        <v>92</v>
      </c>
      <c r="E346" s="105">
        <f>_xlfn.FORECAST.LINEAR(Table13[[#This Row],[Date]],Table13[Units_Sold],Table13[Date])</f>
        <v>99.478016584066324</v>
      </c>
      <c r="F346" s="108">
        <f>Table11[[#This Row],[Forecasted_Units]]*(1+Table11[[#This Row],[Adjustment_Percentage]])</f>
        <v>99.478016584066324</v>
      </c>
      <c r="G346" s="113">
        <f t="shared" si="11"/>
        <v>0.91871721104275739</v>
      </c>
    </row>
    <row r="347" spans="1:7">
      <c r="A347" s="54">
        <v>52355</v>
      </c>
      <c r="B347" t="str">
        <f t="shared" si="10"/>
        <v>May</v>
      </c>
      <c r="C347" s="15" t="s">
        <v>10</v>
      </c>
      <c r="D347" s="15">
        <v>103</v>
      </c>
      <c r="E347" s="106">
        <f>_xlfn.FORECAST.LINEAR(Table13[[#This Row],[Date]],Table13[Units_Sold],Table13[Date])</f>
        <v>99.479180780723112</v>
      </c>
      <c r="F347" s="109">
        <f>Table11[[#This Row],[Forecasted_Units]]*(1+Table11[[#This Row],[Adjustment_Percentage]])</f>
        <v>99.479180780723112</v>
      </c>
      <c r="G347" s="113">
        <f t="shared" si="11"/>
        <v>0.96581728913323406</v>
      </c>
    </row>
    <row r="348" spans="1:7">
      <c r="A348" s="53">
        <v>52385</v>
      </c>
      <c r="B348" t="str">
        <f t="shared" si="10"/>
        <v>June</v>
      </c>
      <c r="C348" s="14" t="s">
        <v>12</v>
      </c>
      <c r="D348" s="14">
        <v>79</v>
      </c>
      <c r="E348" s="105">
        <f>_xlfn.FORECAST.LINEAR(Table13[[#This Row],[Date]],Table13[Units_Sold],Table13[Date])</f>
        <v>99.4803449773799</v>
      </c>
      <c r="F348" s="108">
        <f>Table11[[#This Row],[Forecasted_Units]]*(1+Table11[[#This Row],[Adjustment_Percentage]])</f>
        <v>99.4803449773799</v>
      </c>
      <c r="G348" s="113">
        <f t="shared" si="11"/>
        <v>0.74075512686860878</v>
      </c>
    </row>
    <row r="349" spans="1:7">
      <c r="A349" s="54">
        <v>52415</v>
      </c>
      <c r="B349" t="str">
        <f t="shared" si="10"/>
        <v>July</v>
      </c>
      <c r="C349" s="15" t="s">
        <v>11</v>
      </c>
      <c r="D349" s="15">
        <v>110</v>
      </c>
      <c r="E349" s="106">
        <f>_xlfn.FORECAST.LINEAR(Table13[[#This Row],[Date]],Table13[Units_Sold],Table13[Date])</f>
        <v>99.481509174036688</v>
      </c>
      <c r="F349" s="109">
        <f>Table11[[#This Row],[Forecasted_Units]]*(1+Table11[[#This Row],[Adjustment_Percentage]])</f>
        <v>99.481509174036688</v>
      </c>
      <c r="G349" s="113">
        <f t="shared" si="11"/>
        <v>0.90437735612760628</v>
      </c>
    </row>
    <row r="350" spans="1:7">
      <c r="A350" s="53">
        <v>52445</v>
      </c>
      <c r="B350" t="str">
        <f t="shared" si="10"/>
        <v>August</v>
      </c>
      <c r="C350" s="14" t="s">
        <v>10</v>
      </c>
      <c r="D350" s="14">
        <v>95</v>
      </c>
      <c r="E350" s="105">
        <f>_xlfn.FORECAST.LINEAR(Table13[[#This Row],[Date]],Table13[Units_Sold],Table13[Date])</f>
        <v>99.482673370693476</v>
      </c>
      <c r="F350" s="108">
        <f>Table11[[#This Row],[Forecasted_Units]]*(1+Table11[[#This Row],[Adjustment_Percentage]])</f>
        <v>99.482673370693476</v>
      </c>
      <c r="G350" s="113">
        <f t="shared" si="11"/>
        <v>0.95281396451901601</v>
      </c>
    </row>
    <row r="351" spans="1:7">
      <c r="A351" s="54">
        <v>52475</v>
      </c>
      <c r="B351" t="str">
        <f t="shared" si="10"/>
        <v>September</v>
      </c>
      <c r="C351" s="15" t="s">
        <v>10</v>
      </c>
      <c r="D351" s="15">
        <v>101</v>
      </c>
      <c r="E351" s="106">
        <f>_xlfn.FORECAST.LINEAR(Table13[[#This Row],[Date]],Table13[Units_Sold],Table13[Date])</f>
        <v>99.483837567350264</v>
      </c>
      <c r="F351" s="109">
        <f>Table11[[#This Row],[Forecasted_Units]]*(1+Table11[[#This Row],[Adjustment_Percentage]])</f>
        <v>99.483837567350264</v>
      </c>
      <c r="G351" s="113">
        <f t="shared" si="11"/>
        <v>0.98498849076584416</v>
      </c>
    </row>
    <row r="352" spans="1:7">
      <c r="A352" s="53">
        <v>52505</v>
      </c>
      <c r="B352" t="str">
        <f t="shared" si="10"/>
        <v>October</v>
      </c>
      <c r="C352" s="14" t="s">
        <v>13</v>
      </c>
      <c r="D352" s="14">
        <v>95</v>
      </c>
      <c r="E352" s="105">
        <f>_xlfn.FORECAST.LINEAR(Table13[[#This Row],[Date]],Table13[Units_Sold],Table13[Date])</f>
        <v>99.485001764007052</v>
      </c>
      <c r="F352" s="108">
        <f>Table11[[#This Row],[Forecasted_Units]]*(1+Table11[[#This Row],[Adjustment_Percentage]])</f>
        <v>99.485001764007052</v>
      </c>
      <c r="G352" s="113">
        <f t="shared" si="11"/>
        <v>0.95278945511571522</v>
      </c>
    </row>
    <row r="353" spans="1:7">
      <c r="A353" s="54">
        <v>52535</v>
      </c>
      <c r="B353" t="str">
        <f t="shared" si="10"/>
        <v>October</v>
      </c>
      <c r="C353" s="15" t="s">
        <v>12</v>
      </c>
      <c r="D353" s="15">
        <v>107</v>
      </c>
      <c r="E353" s="106">
        <f>_xlfn.FORECAST.LINEAR(Table13[[#This Row],[Date]],Table13[Units_Sold],Table13[Date])</f>
        <v>99.48616596066384</v>
      </c>
      <c r="F353" s="109">
        <f>Table11[[#This Row],[Forecasted_Units]]*(1+Table11[[#This Row],[Adjustment_Percentage]])</f>
        <v>99.48616596066384</v>
      </c>
      <c r="G353" s="113">
        <f t="shared" si="11"/>
        <v>0.92977725196882099</v>
      </c>
    </row>
    <row r="354" spans="1:7">
      <c r="A354" s="53">
        <v>52565</v>
      </c>
      <c r="B354" t="str">
        <f t="shared" si="10"/>
        <v>November</v>
      </c>
      <c r="C354" s="14" t="s">
        <v>11</v>
      </c>
      <c r="D354" s="14">
        <v>91</v>
      </c>
      <c r="E354" s="105">
        <f>_xlfn.FORECAST.LINEAR(Table13[[#This Row],[Date]],Table13[Units_Sold],Table13[Date])</f>
        <v>99.487330157320628</v>
      </c>
      <c r="F354" s="108">
        <f>Table11[[#This Row],[Forecasted_Units]]*(1+Table11[[#This Row],[Adjustment_Percentage]])</f>
        <v>99.487330157320628</v>
      </c>
      <c r="G354" s="113">
        <f t="shared" si="11"/>
        <v>0.90673263563383921</v>
      </c>
    </row>
    <row r="355" spans="1:7">
      <c r="A355" s="54">
        <v>52595</v>
      </c>
      <c r="B355" t="str">
        <f t="shared" si="10"/>
        <v>December</v>
      </c>
      <c r="C355" s="15" t="s">
        <v>11</v>
      </c>
      <c r="D355" s="15">
        <v>87</v>
      </c>
      <c r="E355" s="106">
        <f>_xlfn.FORECAST.LINEAR(Table13[[#This Row],[Date]],Table13[Units_Sold],Table13[Date])</f>
        <v>99.488494353977416</v>
      </c>
      <c r="F355" s="109">
        <f>Table11[[#This Row],[Forecasted_Units]]*(1+Table11[[#This Row],[Adjustment_Percentage]])</f>
        <v>99.488494353977416</v>
      </c>
      <c r="G355" s="113">
        <f t="shared" si="11"/>
        <v>0.85645408788531707</v>
      </c>
    </row>
    <row r="356" spans="1:7">
      <c r="A356" s="53">
        <v>52625</v>
      </c>
      <c r="B356" t="str">
        <f t="shared" si="10"/>
        <v>January</v>
      </c>
      <c r="C356" s="14" t="s">
        <v>13</v>
      </c>
      <c r="D356" s="14">
        <v>100</v>
      </c>
      <c r="E356" s="105">
        <f>_xlfn.FORECAST.LINEAR(Table13[[#This Row],[Date]],Table13[Units_Sold],Table13[Date])</f>
        <v>99.489658550634189</v>
      </c>
      <c r="F356" s="108">
        <f>Table11[[#This Row],[Forecasted_Units]]*(1+Table11[[#This Row],[Adjustment_Percentage]])</f>
        <v>99.489658550634189</v>
      </c>
      <c r="G356" s="113">
        <f t="shared" si="11"/>
        <v>0.99489658550634186</v>
      </c>
    </row>
    <row r="357" spans="1:7">
      <c r="A357" s="54">
        <v>52655</v>
      </c>
      <c r="B357" t="str">
        <f t="shared" si="10"/>
        <v>February</v>
      </c>
      <c r="C357" s="15" t="s">
        <v>12</v>
      </c>
      <c r="D357" s="15">
        <v>117</v>
      </c>
      <c r="E357" s="106">
        <f>_xlfn.FORECAST.LINEAR(Table13[[#This Row],[Date]],Table13[Units_Sold],Table13[Date])</f>
        <v>99.490822747290977</v>
      </c>
      <c r="F357" s="109">
        <f>Table11[[#This Row],[Forecasted_Units]]*(1+Table11[[#This Row],[Adjustment_Percentage]])</f>
        <v>99.490822747290977</v>
      </c>
      <c r="G357" s="113">
        <f t="shared" si="11"/>
        <v>0.85034891237000831</v>
      </c>
    </row>
    <row r="358" spans="1:7">
      <c r="A358" s="53">
        <v>52685</v>
      </c>
      <c r="B358" t="str">
        <f t="shared" si="10"/>
        <v>March</v>
      </c>
      <c r="C358" s="14" t="s">
        <v>11</v>
      </c>
      <c r="D358" s="14">
        <v>102</v>
      </c>
      <c r="E358" s="105">
        <f>_xlfn.FORECAST.LINEAR(Table13[[#This Row],[Date]],Table13[Units_Sold],Table13[Date])</f>
        <v>99.491986943947765</v>
      </c>
      <c r="F358" s="108">
        <f>Table11[[#This Row],[Forecasted_Units]]*(1+Table11[[#This Row],[Adjustment_Percentage]])</f>
        <v>99.491986943947765</v>
      </c>
      <c r="G358" s="113">
        <f t="shared" si="11"/>
        <v>0.97541163670537023</v>
      </c>
    </row>
    <row r="359" spans="1:7">
      <c r="A359" s="54">
        <v>52715</v>
      </c>
      <c r="B359" t="str">
        <f t="shared" si="10"/>
        <v>April</v>
      </c>
      <c r="C359" s="15" t="s">
        <v>12</v>
      </c>
      <c r="D359" s="15">
        <v>88</v>
      </c>
      <c r="E359" s="106">
        <f>_xlfn.FORECAST.LINEAR(Table13[[#This Row],[Date]],Table13[Units_Sold],Table13[Date])</f>
        <v>99.493151140604553</v>
      </c>
      <c r="F359" s="109">
        <f>Table11[[#This Row],[Forecasted_Units]]*(1+Table11[[#This Row],[Adjustment_Percentage]])</f>
        <v>99.493151140604553</v>
      </c>
      <c r="G359" s="113">
        <f t="shared" si="11"/>
        <v>0.86939600976585729</v>
      </c>
    </row>
    <row r="360" spans="1:7">
      <c r="A360" s="53">
        <v>52745</v>
      </c>
      <c r="B360" t="str">
        <f t="shared" si="10"/>
        <v>May</v>
      </c>
      <c r="C360" s="14" t="s">
        <v>11</v>
      </c>
      <c r="D360" s="14">
        <v>100</v>
      </c>
      <c r="E360" s="105">
        <f>_xlfn.FORECAST.LINEAR(Table13[[#This Row],[Date]],Table13[Units_Sold],Table13[Date])</f>
        <v>99.494315337261341</v>
      </c>
      <c r="F360" s="108">
        <f>Table11[[#This Row],[Forecasted_Units]]*(1+Table11[[#This Row],[Adjustment_Percentage]])</f>
        <v>99.494315337261341</v>
      </c>
      <c r="G360" s="113">
        <f t="shared" si="11"/>
        <v>0.99494315337261341</v>
      </c>
    </row>
    <row r="361" spans="1:7">
      <c r="A361" s="54">
        <v>52775</v>
      </c>
      <c r="B361" t="str">
        <f t="shared" si="10"/>
        <v>June</v>
      </c>
      <c r="C361" s="15" t="s">
        <v>13</v>
      </c>
      <c r="D361" s="15">
        <v>81</v>
      </c>
      <c r="E361" s="106">
        <f>_xlfn.FORECAST.LINEAR(Table13[[#This Row],[Date]],Table13[Units_Sold],Table13[Date])</f>
        <v>99.495479533918129</v>
      </c>
      <c r="F361" s="109">
        <f>Table11[[#This Row],[Forecasted_Units]]*(1+Table11[[#This Row],[Adjustment_Percentage]])</f>
        <v>99.495479533918129</v>
      </c>
      <c r="G361" s="113">
        <f t="shared" si="11"/>
        <v>0.77166074649483796</v>
      </c>
    </row>
    <row r="362" spans="1:7">
      <c r="A362" s="53">
        <v>52805</v>
      </c>
      <c r="B362" t="str">
        <f t="shared" si="10"/>
        <v>July</v>
      </c>
      <c r="C362" s="14" t="s">
        <v>14</v>
      </c>
      <c r="D362" s="14">
        <v>91</v>
      </c>
      <c r="E362" s="105">
        <f>_xlfn.FORECAST.LINEAR(Table13[[#This Row],[Date]],Table13[Units_Sold],Table13[Date])</f>
        <v>99.496643730574917</v>
      </c>
      <c r="F362" s="108">
        <f>Table11[[#This Row],[Forecasted_Units]]*(1+Table11[[#This Row],[Adjustment_Percentage]])</f>
        <v>99.496643730574917</v>
      </c>
      <c r="G362" s="113">
        <f t="shared" si="11"/>
        <v>0.90663028867500095</v>
      </c>
    </row>
    <row r="363" spans="1:7">
      <c r="A363" s="54">
        <v>52835</v>
      </c>
      <c r="B363" t="str">
        <f t="shared" si="10"/>
        <v>August</v>
      </c>
      <c r="C363" s="15" t="s">
        <v>11</v>
      </c>
      <c r="D363" s="15">
        <v>90</v>
      </c>
      <c r="E363" s="106">
        <f>_xlfn.FORECAST.LINEAR(Table13[[#This Row],[Date]],Table13[Units_Sold],Table13[Date])</f>
        <v>99.497807927231705</v>
      </c>
      <c r="F363" s="109">
        <f>Table11[[#This Row],[Forecasted_Units]]*(1+Table11[[#This Row],[Adjustment_Percentage]])</f>
        <v>99.497807927231705</v>
      </c>
      <c r="G363" s="113">
        <f t="shared" si="11"/>
        <v>0.89446880080853663</v>
      </c>
    </row>
    <row r="364" spans="1:7">
      <c r="A364" s="53">
        <v>52865</v>
      </c>
      <c r="B364" t="str">
        <f t="shared" si="10"/>
        <v>September</v>
      </c>
      <c r="C364" s="14" t="s">
        <v>10</v>
      </c>
      <c r="D364" s="14">
        <v>102</v>
      </c>
      <c r="E364" s="105">
        <f>_xlfn.FORECAST.LINEAR(Table13[[#This Row],[Date]],Table13[Units_Sold],Table13[Date])</f>
        <v>99.498972123888493</v>
      </c>
      <c r="F364" s="108">
        <f>Table11[[#This Row],[Forecasted_Units]]*(1+Table11[[#This Row],[Adjustment_Percentage]])</f>
        <v>99.498972123888493</v>
      </c>
      <c r="G364" s="113">
        <f t="shared" si="11"/>
        <v>0.97548011886165187</v>
      </c>
    </row>
    <row r="365" spans="1:7">
      <c r="A365" s="54">
        <v>52895</v>
      </c>
      <c r="B365" t="str">
        <f t="shared" si="10"/>
        <v>October</v>
      </c>
      <c r="C365" s="15" t="s">
        <v>10</v>
      </c>
      <c r="D365" s="15">
        <v>109</v>
      </c>
      <c r="E365" s="106">
        <f>_xlfn.FORECAST.LINEAR(Table13[[#This Row],[Date]],Table13[Units_Sold],Table13[Date])</f>
        <v>99.50013632054528</v>
      </c>
      <c r="F365" s="109">
        <f>Table11[[#This Row],[Forecasted_Units]]*(1+Table11[[#This Row],[Adjustment_Percentage]])</f>
        <v>99.50013632054528</v>
      </c>
      <c r="G365" s="113">
        <f t="shared" si="11"/>
        <v>0.91284528734445214</v>
      </c>
    </row>
    <row r="366" spans="1:7">
      <c r="A366" s="53">
        <v>52925</v>
      </c>
      <c r="B366" t="str">
        <f t="shared" si="10"/>
        <v>November</v>
      </c>
      <c r="C366" s="14" t="s">
        <v>14</v>
      </c>
      <c r="D366" s="14">
        <v>101</v>
      </c>
      <c r="E366" s="105">
        <f>_xlfn.FORECAST.LINEAR(Table13[[#This Row],[Date]],Table13[Units_Sold],Table13[Date])</f>
        <v>99.501300517202068</v>
      </c>
      <c r="F366" s="108">
        <f>Table11[[#This Row],[Forecasted_Units]]*(1+Table11[[#This Row],[Adjustment_Percentage]])</f>
        <v>99.501300517202068</v>
      </c>
      <c r="G366" s="113">
        <f t="shared" si="11"/>
        <v>0.98516139125942637</v>
      </c>
    </row>
    <row r="367" spans="1:7">
      <c r="A367" s="54">
        <v>52955</v>
      </c>
      <c r="B367" t="str">
        <f t="shared" si="10"/>
        <v>December</v>
      </c>
      <c r="C367" s="15" t="s">
        <v>11</v>
      </c>
      <c r="D367" s="15">
        <v>97</v>
      </c>
      <c r="E367" s="106">
        <f>_xlfn.FORECAST.LINEAR(Table13[[#This Row],[Date]],Table13[Units_Sold],Table13[Date])</f>
        <v>99.502464713858842</v>
      </c>
      <c r="F367" s="109">
        <f>Table11[[#This Row],[Forecasted_Units]]*(1+Table11[[#This Row],[Adjustment_Percentage]])</f>
        <v>99.502464713858842</v>
      </c>
      <c r="G367" s="113">
        <f t="shared" si="11"/>
        <v>0.97420139470248612</v>
      </c>
    </row>
    <row r="368" spans="1:7">
      <c r="A368" s="53">
        <v>52985</v>
      </c>
      <c r="B368" t="str">
        <f t="shared" si="10"/>
        <v>January</v>
      </c>
      <c r="C368" s="14" t="s">
        <v>10</v>
      </c>
      <c r="D368" s="14">
        <v>88</v>
      </c>
      <c r="E368" s="105">
        <f>_xlfn.FORECAST.LINEAR(Table13[[#This Row],[Date]],Table13[Units_Sold],Table13[Date])</f>
        <v>99.50362891051563</v>
      </c>
      <c r="F368" s="108">
        <f>Table11[[#This Row],[Forecasted_Units]]*(1+Table11[[#This Row],[Adjustment_Percentage]])</f>
        <v>99.50362891051563</v>
      </c>
      <c r="G368" s="113">
        <f t="shared" si="11"/>
        <v>0.86927694419868606</v>
      </c>
    </row>
    <row r="369" spans="1:7">
      <c r="A369" s="54">
        <v>53015</v>
      </c>
      <c r="B369" t="str">
        <f t="shared" si="10"/>
        <v>February</v>
      </c>
      <c r="C369" s="15" t="s">
        <v>10</v>
      </c>
      <c r="D369" s="15">
        <v>100</v>
      </c>
      <c r="E369" s="106">
        <f>_xlfn.FORECAST.LINEAR(Table13[[#This Row],[Date]],Table13[Units_Sold],Table13[Date])</f>
        <v>99.504793107172418</v>
      </c>
      <c r="F369" s="109">
        <f>Table11[[#This Row],[Forecasted_Units]]*(1+Table11[[#This Row],[Adjustment_Percentage]])</f>
        <v>99.504793107172418</v>
      </c>
      <c r="G369" s="113">
        <f t="shared" si="11"/>
        <v>0.99504793107172418</v>
      </c>
    </row>
    <row r="370" spans="1:7">
      <c r="A370" s="53">
        <v>53045</v>
      </c>
      <c r="B370" t="str">
        <f t="shared" si="10"/>
        <v>March</v>
      </c>
      <c r="C370" s="14" t="s">
        <v>11</v>
      </c>
      <c r="D370" s="14">
        <v>104</v>
      </c>
      <c r="E370" s="105">
        <f>_xlfn.FORECAST.LINEAR(Table13[[#This Row],[Date]],Table13[Units_Sold],Table13[Date])</f>
        <v>99.505957303829206</v>
      </c>
      <c r="F370" s="108">
        <f>Table11[[#This Row],[Forecasted_Units]]*(1+Table11[[#This Row],[Adjustment_Percentage]])</f>
        <v>99.505957303829206</v>
      </c>
      <c r="G370" s="113">
        <f t="shared" si="11"/>
        <v>0.95678805099835773</v>
      </c>
    </row>
    <row r="371" spans="1:7">
      <c r="A371" s="54">
        <v>53075</v>
      </c>
      <c r="B371" t="str">
        <f t="shared" si="10"/>
        <v>April</v>
      </c>
      <c r="C371" s="15" t="s">
        <v>12</v>
      </c>
      <c r="D371" s="15">
        <v>106</v>
      </c>
      <c r="E371" s="106">
        <f>_xlfn.FORECAST.LINEAR(Table13[[#This Row],[Date]],Table13[Units_Sold],Table13[Date])</f>
        <v>99.507121500485994</v>
      </c>
      <c r="F371" s="109">
        <f>Table11[[#This Row],[Forecasted_Units]]*(1+Table11[[#This Row],[Adjustment_Percentage]])</f>
        <v>99.507121500485994</v>
      </c>
      <c r="G371" s="113">
        <f t="shared" si="11"/>
        <v>0.93874642924986784</v>
      </c>
    </row>
    <row r="372" spans="1:7">
      <c r="A372" s="53">
        <v>53105</v>
      </c>
      <c r="B372" t="str">
        <f t="shared" si="10"/>
        <v>May</v>
      </c>
      <c r="C372" s="14" t="s">
        <v>11</v>
      </c>
      <c r="D372" s="14">
        <v>91</v>
      </c>
      <c r="E372" s="105">
        <f>_xlfn.FORECAST.LINEAR(Table13[[#This Row],[Date]],Table13[Units_Sold],Table13[Date])</f>
        <v>99.508285697142782</v>
      </c>
      <c r="F372" s="108">
        <f>Table11[[#This Row],[Forecasted_Units]]*(1+Table11[[#This Row],[Adjustment_Percentage]])</f>
        <v>99.508285697142782</v>
      </c>
      <c r="G372" s="113">
        <f t="shared" si="11"/>
        <v>0.90650235497645293</v>
      </c>
    </row>
    <row r="373" spans="1:7">
      <c r="A373" s="54">
        <v>53135</v>
      </c>
      <c r="B373" t="str">
        <f t="shared" si="10"/>
        <v>June</v>
      </c>
      <c r="C373" s="15" t="s">
        <v>12</v>
      </c>
      <c r="D373" s="15">
        <v>110</v>
      </c>
      <c r="E373" s="106">
        <f>_xlfn.FORECAST.LINEAR(Table13[[#This Row],[Date]],Table13[Units_Sold],Table13[Date])</f>
        <v>99.50944989379957</v>
      </c>
      <c r="F373" s="109">
        <f>Table11[[#This Row],[Forecasted_Units]]*(1+Table11[[#This Row],[Adjustment_Percentage]])</f>
        <v>99.50944989379957</v>
      </c>
      <c r="G373" s="113">
        <f t="shared" si="11"/>
        <v>0.90463136267090516</v>
      </c>
    </row>
    <row r="374" spans="1:7">
      <c r="A374" s="53">
        <v>53165</v>
      </c>
      <c r="B374" t="str">
        <f t="shared" si="10"/>
        <v>July</v>
      </c>
      <c r="C374" s="14" t="s">
        <v>14</v>
      </c>
      <c r="D374" s="14">
        <v>104</v>
      </c>
      <c r="E374" s="105">
        <f>_xlfn.FORECAST.LINEAR(Table13[[#This Row],[Date]],Table13[Units_Sold],Table13[Date])</f>
        <v>99.510614090456357</v>
      </c>
      <c r="F374" s="108">
        <f>Table11[[#This Row],[Forecasted_Units]]*(1+Table11[[#This Row],[Adjustment_Percentage]])</f>
        <v>99.510614090456357</v>
      </c>
      <c r="G374" s="113">
        <f t="shared" si="11"/>
        <v>0.95683282779284962</v>
      </c>
    </row>
    <row r="375" spans="1:7">
      <c r="A375" s="54">
        <v>53195</v>
      </c>
      <c r="B375" t="str">
        <f t="shared" si="10"/>
        <v>August</v>
      </c>
      <c r="C375" s="15" t="s">
        <v>13</v>
      </c>
      <c r="D375" s="15">
        <v>85</v>
      </c>
      <c r="E375" s="106">
        <f>_xlfn.FORECAST.LINEAR(Table13[[#This Row],[Date]],Table13[Units_Sold],Table13[Date])</f>
        <v>99.511778287113145</v>
      </c>
      <c r="F375" s="109">
        <f>Table11[[#This Row],[Forecasted_Units]]*(1+Table11[[#This Row],[Adjustment_Percentage]])</f>
        <v>99.511778287113145</v>
      </c>
      <c r="G375" s="113">
        <f t="shared" si="11"/>
        <v>0.82927319662219823</v>
      </c>
    </row>
    <row r="376" spans="1:7">
      <c r="A376" s="53">
        <v>53225</v>
      </c>
      <c r="B376" t="str">
        <f t="shared" si="10"/>
        <v>September</v>
      </c>
      <c r="C376" s="14" t="s">
        <v>14</v>
      </c>
      <c r="D376" s="14">
        <v>107</v>
      </c>
      <c r="E376" s="105">
        <f>_xlfn.FORECAST.LINEAR(Table13[[#This Row],[Date]],Table13[Units_Sold],Table13[Date])</f>
        <v>99.512942483769933</v>
      </c>
      <c r="F376" s="108">
        <f>Table11[[#This Row],[Forecasted_Units]]*(1+Table11[[#This Row],[Adjustment_Percentage]])</f>
        <v>99.512942483769933</v>
      </c>
      <c r="G376" s="113">
        <f t="shared" si="11"/>
        <v>0.93002749984831712</v>
      </c>
    </row>
    <row r="377" spans="1:7">
      <c r="A377" s="54">
        <v>53255</v>
      </c>
      <c r="B377" t="str">
        <f t="shared" si="10"/>
        <v>October</v>
      </c>
      <c r="C377" s="15" t="s">
        <v>13</v>
      </c>
      <c r="D377" s="15">
        <v>111</v>
      </c>
      <c r="E377" s="106">
        <f>_xlfn.FORECAST.LINEAR(Table13[[#This Row],[Date]],Table13[Units_Sold],Table13[Date])</f>
        <v>99.514106680426721</v>
      </c>
      <c r="F377" s="109">
        <f>Table11[[#This Row],[Forecasted_Units]]*(1+Table11[[#This Row],[Adjustment_Percentage]])</f>
        <v>99.514106680426721</v>
      </c>
      <c r="G377" s="113">
        <f t="shared" si="11"/>
        <v>0.89652348360744794</v>
      </c>
    </row>
    <row r="378" spans="1:7">
      <c r="A378" s="53">
        <v>53285</v>
      </c>
      <c r="B378" t="str">
        <f t="shared" si="10"/>
        <v>November</v>
      </c>
      <c r="C378" s="14" t="s">
        <v>10</v>
      </c>
      <c r="D378" s="14">
        <f>IF(ISBLANK(D331), O332, D331)</f>
        <v>107</v>
      </c>
      <c r="E378" s="105">
        <f>_xlfn.FORECAST.LINEAR(Table13[[#This Row],[Date]],Table13[Units_Sold],Table13[Date])</f>
        <v>99.515270877083509</v>
      </c>
      <c r="F378" s="108">
        <f>Table11[[#This Row],[Forecasted_Units]]*(1+Table11[[#This Row],[Adjustment_Percentage]])</f>
        <v>99.515270877083509</v>
      </c>
      <c r="G378" s="113">
        <f t="shared" si="11"/>
        <v>0.93004926053349068</v>
      </c>
    </row>
    <row r="379" spans="1:7">
      <c r="A379" s="54">
        <v>53315</v>
      </c>
      <c r="B379" t="str">
        <f t="shared" si="10"/>
        <v>December</v>
      </c>
      <c r="C379" s="15" t="s">
        <v>10</v>
      </c>
      <c r="D379" s="15">
        <v>94</v>
      </c>
      <c r="E379" s="106">
        <f>_xlfn.FORECAST.LINEAR(Table13[[#This Row],[Date]],Table13[Units_Sold],Table13[Date])</f>
        <v>99.516435073740283</v>
      </c>
      <c r="F379" s="109">
        <f>Table11[[#This Row],[Forecasted_Units]]*(1+Table11[[#This Row],[Adjustment_Percentage]])</f>
        <v>99.516435073740283</v>
      </c>
      <c r="G379" s="113">
        <f t="shared" si="11"/>
        <v>0.94131452049212461</v>
      </c>
    </row>
    <row r="380" spans="1:7">
      <c r="A380" s="53">
        <v>53345</v>
      </c>
      <c r="B380" t="str">
        <f t="shared" si="10"/>
        <v>January</v>
      </c>
      <c r="C380" s="14" t="s">
        <v>10</v>
      </c>
      <c r="D380" s="14">
        <v>91</v>
      </c>
      <c r="E380" s="105">
        <f>_xlfn.FORECAST.LINEAR(Table13[[#This Row],[Date]],Table13[Units_Sold],Table13[Date])</f>
        <v>99.517599270397071</v>
      </c>
      <c r="F380" s="108">
        <f>Table11[[#This Row],[Forecasted_Units]]*(1+Table11[[#This Row],[Adjustment_Percentage]])</f>
        <v>99.517599270397071</v>
      </c>
      <c r="G380" s="113">
        <f t="shared" si="11"/>
        <v>0.90640000801761467</v>
      </c>
    </row>
    <row r="381" spans="1:7">
      <c r="A381" s="54">
        <v>53375</v>
      </c>
      <c r="B381" t="str">
        <f t="shared" si="10"/>
        <v>February</v>
      </c>
      <c r="C381" s="15" t="s">
        <v>12</v>
      </c>
      <c r="D381" s="15">
        <v>89</v>
      </c>
      <c r="E381" s="106">
        <f>_xlfn.FORECAST.LINEAR(Table13[[#This Row],[Date]],Table13[Units_Sold],Table13[Date])</f>
        <v>99.518763467053859</v>
      </c>
      <c r="F381" s="109">
        <f>Table11[[#This Row],[Forecasted_Units]]*(1+Table11[[#This Row],[Adjustment_Percentage]])</f>
        <v>99.518763467053859</v>
      </c>
      <c r="G381" s="113">
        <f t="shared" si="11"/>
        <v>0.88181164643759713</v>
      </c>
    </row>
    <row r="382" spans="1:7">
      <c r="A382" s="53">
        <v>53405</v>
      </c>
      <c r="B382" t="str">
        <f t="shared" si="10"/>
        <v>March</v>
      </c>
      <c r="C382" s="14" t="s">
        <v>13</v>
      </c>
      <c r="D382" s="14">
        <v>98</v>
      </c>
      <c r="E382" s="105">
        <f>_xlfn.FORECAST.LINEAR(Table13[[#This Row],[Date]],Table13[Units_Sold],Table13[Date])</f>
        <v>99.519927663710646</v>
      </c>
      <c r="F382" s="108">
        <f>Table11[[#This Row],[Forecasted_Units]]*(1+Table11[[#This Row],[Adjustment_Percentage]])</f>
        <v>99.519927663710646</v>
      </c>
      <c r="G382" s="113">
        <f t="shared" si="11"/>
        <v>0.98449053404376896</v>
      </c>
    </row>
    <row r="383" spans="1:7">
      <c r="A383" s="54">
        <v>53435</v>
      </c>
      <c r="B383" t="str">
        <f t="shared" si="10"/>
        <v>April</v>
      </c>
      <c r="C383" s="15" t="s">
        <v>10</v>
      </c>
      <c r="D383" s="15">
        <v>110</v>
      </c>
      <c r="E383" s="106">
        <f>_xlfn.FORECAST.LINEAR(Table13[[#This Row],[Date]],Table13[Units_Sold],Table13[Date])</f>
        <v>99.521091860367434</v>
      </c>
      <c r="F383" s="109">
        <f>Table11[[#This Row],[Forecasted_Units]]*(1+Table11[[#This Row],[Adjustment_Percentage]])</f>
        <v>99.521091860367434</v>
      </c>
      <c r="G383" s="113">
        <f t="shared" si="11"/>
        <v>0.90473719873061298</v>
      </c>
    </row>
    <row r="384" spans="1:7">
      <c r="A384" s="53">
        <v>53465</v>
      </c>
      <c r="B384" t="str">
        <f t="shared" si="10"/>
        <v>May</v>
      </c>
      <c r="C384" s="14" t="s">
        <v>11</v>
      </c>
      <c r="D384" s="14">
        <v>93</v>
      </c>
      <c r="E384" s="105">
        <f>_xlfn.FORECAST.LINEAR(Table13[[#This Row],[Date]],Table13[Units_Sold],Table13[Date])</f>
        <v>99.522256057024222</v>
      </c>
      <c r="F384" s="108">
        <f>Table11[[#This Row],[Forecasted_Units]]*(1+Table11[[#This Row],[Adjustment_Percentage]])</f>
        <v>99.522256057024222</v>
      </c>
      <c r="G384" s="113">
        <f t="shared" si="11"/>
        <v>0.92986821444059975</v>
      </c>
    </row>
    <row r="385" spans="1:7">
      <c r="A385" s="54">
        <v>53495</v>
      </c>
      <c r="B385" t="str">
        <f t="shared" si="10"/>
        <v>June</v>
      </c>
      <c r="C385" s="15" t="s">
        <v>13</v>
      </c>
      <c r="D385" s="15">
        <v>103</v>
      </c>
      <c r="E385" s="106">
        <f>_xlfn.FORECAST.LINEAR(Table13[[#This Row],[Date]],Table13[Units_Sold],Table13[Date])</f>
        <v>99.52342025368101</v>
      </c>
      <c r="F385" s="109">
        <f>Table11[[#This Row],[Forecasted_Units]]*(1+Table11[[#This Row],[Adjustment_Percentage]])</f>
        <v>99.52342025368101</v>
      </c>
      <c r="G385" s="113">
        <f t="shared" si="11"/>
        <v>0.9662467985794273</v>
      </c>
    </row>
    <row r="386" spans="1:7">
      <c r="A386" s="53">
        <v>53525</v>
      </c>
      <c r="B386" t="str">
        <f t="shared" si="10"/>
        <v>July</v>
      </c>
      <c r="C386" s="14" t="s">
        <v>13</v>
      </c>
      <c r="D386" s="14">
        <f>IF(ISBLANK(D339), O340, D339)</f>
        <v>100</v>
      </c>
      <c r="E386" s="105">
        <f>_xlfn.FORECAST.LINEAR(Table13[[#This Row],[Date]],Table13[Units_Sold],Table13[Date])</f>
        <v>99.524584450337798</v>
      </c>
      <c r="F386" s="108">
        <f>Table11[[#This Row],[Forecasted_Units]]*(1+Table11[[#This Row],[Adjustment_Percentage]])</f>
        <v>99.524584450337798</v>
      </c>
      <c r="G386" s="113">
        <f t="shared" si="11"/>
        <v>0.99524584450337794</v>
      </c>
    </row>
    <row r="387" spans="1:7">
      <c r="A387" s="54">
        <v>53555</v>
      </c>
      <c r="B387" t="str">
        <f t="shared" ref="B387:B450" si="12">TEXT(A387,"mmmm")</f>
        <v>August</v>
      </c>
      <c r="C387" s="15" t="s">
        <v>12</v>
      </c>
      <c r="D387" s="15">
        <v>101</v>
      </c>
      <c r="E387" s="106">
        <f>_xlfn.FORECAST.LINEAR(Table13[[#This Row],[Date]],Table13[Units_Sold],Table13[Date])</f>
        <v>99.525748646994586</v>
      </c>
      <c r="F387" s="109">
        <f>Table11[[#This Row],[Forecasted_Units]]*(1+Table11[[#This Row],[Adjustment_Percentage]])</f>
        <v>99.525748646994586</v>
      </c>
      <c r="G387" s="113">
        <f t="shared" ref="G387:G450" si="13">1-ABS(D387-F387)/D387</f>
        <v>0.98540345195044143</v>
      </c>
    </row>
    <row r="388" spans="1:7">
      <c r="A388" s="53">
        <v>53585</v>
      </c>
      <c r="B388" t="str">
        <f t="shared" si="12"/>
        <v>September</v>
      </c>
      <c r="C388" s="14" t="s">
        <v>14</v>
      </c>
      <c r="D388" s="14">
        <v>94</v>
      </c>
      <c r="E388" s="105">
        <f>_xlfn.FORECAST.LINEAR(Table13[[#This Row],[Date]],Table13[Units_Sold],Table13[Date])</f>
        <v>99.526912843651374</v>
      </c>
      <c r="F388" s="108">
        <f>Table11[[#This Row],[Forecasted_Units]]*(1+Table11[[#This Row],[Adjustment_Percentage]])</f>
        <v>99.526912843651374</v>
      </c>
      <c r="G388" s="113">
        <f t="shared" si="13"/>
        <v>0.94120305485477262</v>
      </c>
    </row>
    <row r="389" spans="1:7">
      <c r="A389" s="54">
        <v>53615</v>
      </c>
      <c r="B389" t="str">
        <f t="shared" si="12"/>
        <v>October</v>
      </c>
      <c r="C389" s="15" t="s">
        <v>12</v>
      </c>
      <c r="D389" s="15">
        <v>108</v>
      </c>
      <c r="E389" s="106">
        <f>_xlfn.FORECAST.LINEAR(Table13[[#This Row],[Date]],Table13[Units_Sold],Table13[Date])</f>
        <v>99.528077040308148</v>
      </c>
      <c r="F389" s="109">
        <f>Table11[[#This Row],[Forecasted_Units]]*(1+Table11[[#This Row],[Adjustment_Percentage]])</f>
        <v>99.528077040308148</v>
      </c>
      <c r="G389" s="113">
        <f t="shared" si="13"/>
        <v>0.92155626889174214</v>
      </c>
    </row>
    <row r="390" spans="1:7">
      <c r="A390" s="53">
        <v>53645</v>
      </c>
      <c r="B390" t="str">
        <f t="shared" si="12"/>
        <v>November</v>
      </c>
      <c r="C390" s="14" t="s">
        <v>10</v>
      </c>
      <c r="D390" s="14">
        <v>113</v>
      </c>
      <c r="E390" s="105">
        <f>_xlfn.FORECAST.LINEAR(Table13[[#This Row],[Date]],Table13[Units_Sold],Table13[Date])</f>
        <v>99.529241236964936</v>
      </c>
      <c r="F390" s="108">
        <f>Table11[[#This Row],[Forecasted_Units]]*(1+Table11[[#This Row],[Adjustment_Percentage]])</f>
        <v>99.529241236964936</v>
      </c>
      <c r="G390" s="113">
        <f t="shared" si="13"/>
        <v>0.88078974545986666</v>
      </c>
    </row>
    <row r="391" spans="1:7">
      <c r="A391" s="54">
        <v>53675</v>
      </c>
      <c r="B391" t="str">
        <f t="shared" si="12"/>
        <v>December</v>
      </c>
      <c r="C391" s="15" t="s">
        <v>11</v>
      </c>
      <c r="D391" s="15">
        <v>115</v>
      </c>
      <c r="E391" s="106">
        <f>_xlfn.FORECAST.LINEAR(Table13[[#This Row],[Date]],Table13[Units_Sold],Table13[Date])</f>
        <v>99.530405433621723</v>
      </c>
      <c r="F391" s="109">
        <f>Table11[[#This Row],[Forecasted_Units]]*(1+Table11[[#This Row],[Adjustment_Percentage]])</f>
        <v>99.530405433621723</v>
      </c>
      <c r="G391" s="113">
        <f t="shared" si="13"/>
        <v>0.86548178637931938</v>
      </c>
    </row>
    <row r="392" spans="1:7">
      <c r="A392" s="53">
        <v>53705</v>
      </c>
      <c r="B392" t="str">
        <f t="shared" si="12"/>
        <v>January</v>
      </c>
      <c r="C392" s="14" t="s">
        <v>11</v>
      </c>
      <c r="D392" s="14">
        <v>98</v>
      </c>
      <c r="E392" s="105">
        <f>_xlfn.FORECAST.LINEAR(Table13[[#This Row],[Date]],Table13[Units_Sold],Table13[Date])</f>
        <v>99.531569630278511</v>
      </c>
      <c r="F392" s="108">
        <f>Table11[[#This Row],[Forecasted_Units]]*(1+Table11[[#This Row],[Adjustment_Percentage]])</f>
        <v>99.531569630278511</v>
      </c>
      <c r="G392" s="113">
        <f t="shared" si="13"/>
        <v>0.9843717384665458</v>
      </c>
    </row>
    <row r="393" spans="1:7">
      <c r="A393" s="54">
        <v>53735</v>
      </c>
      <c r="B393" t="str">
        <f t="shared" si="12"/>
        <v>February</v>
      </c>
      <c r="C393" s="15" t="s">
        <v>10</v>
      </c>
      <c r="D393" s="15">
        <v>93</v>
      </c>
      <c r="E393" s="106">
        <f>_xlfn.FORECAST.LINEAR(Table13[[#This Row],[Date]],Table13[Units_Sold],Table13[Date])</f>
        <v>99.532733826935299</v>
      </c>
      <c r="F393" s="109">
        <f>Table11[[#This Row],[Forecasted_Units]]*(1+Table11[[#This Row],[Adjustment_Percentage]])</f>
        <v>99.532733826935299</v>
      </c>
      <c r="G393" s="113">
        <f t="shared" si="13"/>
        <v>0.92975555024800749</v>
      </c>
    </row>
    <row r="394" spans="1:7">
      <c r="A394" s="53">
        <v>53765</v>
      </c>
      <c r="B394" t="str">
        <f t="shared" si="12"/>
        <v>March</v>
      </c>
      <c r="C394" s="14" t="s">
        <v>11</v>
      </c>
      <c r="D394" s="14">
        <v>104</v>
      </c>
      <c r="E394" s="105">
        <f>_xlfn.FORECAST.LINEAR(Table13[[#This Row],[Date]],Table13[Units_Sold],Table13[Date])</f>
        <v>99.533898023592087</v>
      </c>
      <c r="F394" s="108">
        <f>Table11[[#This Row],[Forecasted_Units]]*(1+Table11[[#This Row],[Adjustment_Percentage]])</f>
        <v>99.533898023592087</v>
      </c>
      <c r="G394" s="113">
        <f t="shared" si="13"/>
        <v>0.95705671176530849</v>
      </c>
    </row>
    <row r="395" spans="1:7">
      <c r="A395" s="54">
        <v>53795</v>
      </c>
      <c r="B395" t="str">
        <f t="shared" si="12"/>
        <v>April</v>
      </c>
      <c r="C395" s="15" t="s">
        <v>12</v>
      </c>
      <c r="D395" s="15">
        <v>100</v>
      </c>
      <c r="E395" s="106">
        <f>_xlfn.FORECAST.LINEAR(Table13[[#This Row],[Date]],Table13[Units_Sold],Table13[Date])</f>
        <v>99.535062220248875</v>
      </c>
      <c r="F395" s="109">
        <f>Table11[[#This Row],[Forecasted_Units]]*(1+Table11[[#This Row],[Adjustment_Percentage]])</f>
        <v>99.535062220248875</v>
      </c>
      <c r="G395" s="113">
        <f t="shared" si="13"/>
        <v>0.99535062220248871</v>
      </c>
    </row>
    <row r="396" spans="1:7">
      <c r="A396" s="53">
        <v>53825</v>
      </c>
      <c r="B396" t="str">
        <f t="shared" si="12"/>
        <v>May</v>
      </c>
      <c r="C396" s="14" t="s">
        <v>12</v>
      </c>
      <c r="D396" s="14">
        <v>89</v>
      </c>
      <c r="E396" s="105">
        <f>_xlfn.FORECAST.LINEAR(Table13[[#This Row],[Date]],Table13[Units_Sold],Table13[Date])</f>
        <v>99.536226416905663</v>
      </c>
      <c r="F396" s="108">
        <f>Table11[[#This Row],[Forecasted_Units]]*(1+Table11[[#This Row],[Adjustment_Percentage]])</f>
        <v>99.536226416905663</v>
      </c>
      <c r="G396" s="113">
        <f t="shared" si="13"/>
        <v>0.88161543351791394</v>
      </c>
    </row>
    <row r="397" spans="1:7">
      <c r="A397" s="54">
        <v>53855</v>
      </c>
      <c r="B397" t="str">
        <f t="shared" si="12"/>
        <v>June</v>
      </c>
      <c r="C397" s="15" t="s">
        <v>10</v>
      </c>
      <c r="D397" s="15">
        <v>86</v>
      </c>
      <c r="E397" s="106">
        <f>_xlfn.FORECAST.LINEAR(Table13[[#This Row],[Date]],Table13[Units_Sold],Table13[Date])</f>
        <v>99.537390613562451</v>
      </c>
      <c r="F397" s="109">
        <f>Table11[[#This Row],[Forecasted_Units]]*(1+Table11[[#This Row],[Adjustment_Percentage]])</f>
        <v>99.537390613562451</v>
      </c>
      <c r="G397" s="113">
        <f t="shared" si="13"/>
        <v>0.84258848123764596</v>
      </c>
    </row>
    <row r="398" spans="1:7">
      <c r="A398" s="53">
        <v>53885</v>
      </c>
      <c r="B398" t="str">
        <f t="shared" si="12"/>
        <v>July</v>
      </c>
      <c r="C398" s="14" t="s">
        <v>11</v>
      </c>
      <c r="D398" s="14">
        <v>93</v>
      </c>
      <c r="E398" s="105">
        <f>_xlfn.FORECAST.LINEAR(Table13[[#This Row],[Date]],Table13[Units_Sold],Table13[Date])</f>
        <v>99.538554810219239</v>
      </c>
      <c r="F398" s="108">
        <f>Table11[[#This Row],[Forecasted_Units]]*(1+Table11[[#This Row],[Adjustment_Percentage]])</f>
        <v>99.538554810219239</v>
      </c>
      <c r="G398" s="113">
        <f t="shared" si="13"/>
        <v>0.92969295902990068</v>
      </c>
    </row>
    <row r="399" spans="1:7">
      <c r="A399" s="54">
        <v>53915</v>
      </c>
      <c r="B399" t="str">
        <f t="shared" si="12"/>
        <v>August</v>
      </c>
      <c r="C399" s="15" t="s">
        <v>13</v>
      </c>
      <c r="D399" s="15">
        <v>104</v>
      </c>
      <c r="E399" s="106">
        <f>_xlfn.FORECAST.LINEAR(Table13[[#This Row],[Date]],Table13[Units_Sold],Table13[Date])</f>
        <v>99.539719006876027</v>
      </c>
      <c r="F399" s="109">
        <f>Table11[[#This Row],[Forecasted_Units]]*(1+Table11[[#This Row],[Adjustment_Percentage]])</f>
        <v>99.539719006876027</v>
      </c>
      <c r="G399" s="113">
        <f t="shared" si="13"/>
        <v>0.95711268275842332</v>
      </c>
    </row>
    <row r="400" spans="1:7">
      <c r="A400" s="53">
        <v>53945</v>
      </c>
      <c r="B400" t="str">
        <f t="shared" si="12"/>
        <v>September</v>
      </c>
      <c r="C400" s="14" t="s">
        <v>14</v>
      </c>
      <c r="D400" s="14">
        <v>91</v>
      </c>
      <c r="E400" s="105">
        <f>_xlfn.FORECAST.LINEAR(Table13[[#This Row],[Date]],Table13[Units_Sold],Table13[Date])</f>
        <v>99.540883203532815</v>
      </c>
      <c r="F400" s="108">
        <f>Table11[[#This Row],[Forecasted_Units]]*(1+Table11[[#This Row],[Adjustment_Percentage]])</f>
        <v>99.540883203532815</v>
      </c>
      <c r="G400" s="113">
        <f t="shared" si="13"/>
        <v>0.90614414062051851</v>
      </c>
    </row>
    <row r="401" spans="1:7">
      <c r="A401" s="54">
        <v>53975</v>
      </c>
      <c r="B401" t="str">
        <f t="shared" si="12"/>
        <v>October</v>
      </c>
      <c r="C401" s="15" t="s">
        <v>13</v>
      </c>
      <c r="D401" s="15">
        <v>113</v>
      </c>
      <c r="E401" s="106">
        <f>_xlfn.FORECAST.LINEAR(Table13[[#This Row],[Date]],Table13[Units_Sold],Table13[Date])</f>
        <v>99.542047400189588</v>
      </c>
      <c r="F401" s="109">
        <f>Table11[[#This Row],[Forecasted_Units]]*(1+Table11[[#This Row],[Adjustment_Percentage]])</f>
        <v>99.542047400189588</v>
      </c>
      <c r="G401" s="113">
        <f t="shared" si="13"/>
        <v>0.880903074337961</v>
      </c>
    </row>
    <row r="402" spans="1:7">
      <c r="A402" s="53">
        <v>54005</v>
      </c>
      <c r="B402" t="str">
        <f t="shared" si="12"/>
        <v>November</v>
      </c>
      <c r="C402" s="14" t="s">
        <v>12</v>
      </c>
      <c r="D402" s="14">
        <v>103</v>
      </c>
      <c r="E402" s="105">
        <f>_xlfn.FORECAST.LINEAR(Table13[[#This Row],[Date]],Table13[Units_Sold],Table13[Date])</f>
        <v>99.543211596846376</v>
      </c>
      <c r="F402" s="108">
        <f>Table11[[#This Row],[Forecasted_Units]]*(1+Table11[[#This Row],[Adjustment_Percentage]])</f>
        <v>99.543211596846376</v>
      </c>
      <c r="G402" s="113">
        <f t="shared" si="13"/>
        <v>0.96643894754219783</v>
      </c>
    </row>
    <row r="403" spans="1:7">
      <c r="A403" s="54">
        <v>54035</v>
      </c>
      <c r="B403" t="str">
        <f t="shared" si="12"/>
        <v>December</v>
      </c>
      <c r="C403" s="15" t="s">
        <v>12</v>
      </c>
      <c r="D403" s="15">
        <v>98</v>
      </c>
      <c r="E403" s="106">
        <f>_xlfn.FORECAST.LINEAR(Table13[[#This Row],[Date]],Table13[Units_Sold],Table13[Date])</f>
        <v>99.544375793503164</v>
      </c>
      <c r="F403" s="109">
        <f>Table11[[#This Row],[Forecasted_Units]]*(1+Table11[[#This Row],[Adjustment_Percentage]])</f>
        <v>99.544375793503164</v>
      </c>
      <c r="G403" s="113">
        <f t="shared" si="13"/>
        <v>0.98424106333160033</v>
      </c>
    </row>
    <row r="404" spans="1:7">
      <c r="A404" s="53">
        <v>54065</v>
      </c>
      <c r="B404" t="str">
        <f t="shared" si="12"/>
        <v>January</v>
      </c>
      <c r="C404" s="14" t="s">
        <v>12</v>
      </c>
      <c r="D404" s="14">
        <v>100</v>
      </c>
      <c r="E404" s="105">
        <f>_xlfn.FORECAST.LINEAR(Table13[[#This Row],[Date]],Table13[Units_Sold],Table13[Date])</f>
        <v>99.545539990159952</v>
      </c>
      <c r="F404" s="108">
        <f>Table11[[#This Row],[Forecasted_Units]]*(1+Table11[[#This Row],[Adjustment_Percentage]])</f>
        <v>99.545539990159952</v>
      </c>
      <c r="G404" s="113">
        <f t="shared" si="13"/>
        <v>0.99545539990159948</v>
      </c>
    </row>
    <row r="405" spans="1:7">
      <c r="A405" s="54">
        <v>54095</v>
      </c>
      <c r="B405" t="str">
        <f t="shared" si="12"/>
        <v>February</v>
      </c>
      <c r="C405" s="15" t="s">
        <v>12</v>
      </c>
      <c r="D405" s="15">
        <v>89</v>
      </c>
      <c r="E405" s="106">
        <f>_xlfn.FORECAST.LINEAR(Table13[[#This Row],[Date]],Table13[Units_Sold],Table13[Date])</f>
        <v>99.54670418681674</v>
      </c>
      <c r="F405" s="109">
        <f>Table11[[#This Row],[Forecasted_Units]]*(1+Table11[[#This Row],[Adjustment_Percentage]])</f>
        <v>99.54670418681674</v>
      </c>
      <c r="G405" s="113">
        <f t="shared" si="13"/>
        <v>0.88149770576610409</v>
      </c>
    </row>
    <row r="406" spans="1:7">
      <c r="A406" s="53">
        <v>54125</v>
      </c>
      <c r="B406" t="str">
        <f t="shared" si="12"/>
        <v>March</v>
      </c>
      <c r="C406" s="14" t="s">
        <v>14</v>
      </c>
      <c r="D406" s="14">
        <v>83</v>
      </c>
      <c r="E406" s="105">
        <f>_xlfn.FORECAST.LINEAR(Table13[[#This Row],[Date]],Table13[Units_Sold],Table13[Date])</f>
        <v>99.547868383473528</v>
      </c>
      <c r="F406" s="108">
        <f>Table11[[#This Row],[Forecasted_Units]]*(1+Table11[[#This Row],[Adjustment_Percentage]])</f>
        <v>99.547868383473528</v>
      </c>
      <c r="G406" s="113">
        <f t="shared" si="13"/>
        <v>0.80062809176537919</v>
      </c>
    </row>
    <row r="407" spans="1:7">
      <c r="A407" s="54">
        <v>54155</v>
      </c>
      <c r="B407" t="str">
        <f t="shared" si="12"/>
        <v>April</v>
      </c>
      <c r="C407" s="15" t="s">
        <v>10</v>
      </c>
      <c r="D407" s="15">
        <v>92</v>
      </c>
      <c r="E407" s="106">
        <f>_xlfn.FORECAST.LINEAR(Table13[[#This Row],[Date]],Table13[Units_Sold],Table13[Date])</f>
        <v>99.549032580130316</v>
      </c>
      <c r="F407" s="109">
        <f>Table11[[#This Row],[Forecasted_Units]]*(1+Table11[[#This Row],[Adjustment_Percentage]])</f>
        <v>99.549032580130316</v>
      </c>
      <c r="G407" s="113">
        <f t="shared" si="13"/>
        <v>0.91794529804206182</v>
      </c>
    </row>
    <row r="408" spans="1:7">
      <c r="A408" s="53">
        <v>54185</v>
      </c>
      <c r="B408" t="str">
        <f t="shared" si="12"/>
        <v>May</v>
      </c>
      <c r="C408" s="14" t="s">
        <v>12</v>
      </c>
      <c r="D408" s="14">
        <f>IF(ISBLANK(D361), O362, D361)</f>
        <v>81</v>
      </c>
      <c r="E408" s="105">
        <f>_xlfn.FORECAST.LINEAR(Table13[[#This Row],[Date]],Table13[Units_Sold],Table13[Date])</f>
        <v>99.550196776787104</v>
      </c>
      <c r="F408" s="108">
        <f>Table11[[#This Row],[Forecasted_Units]]*(1+Table11[[#This Row],[Adjustment_Percentage]])</f>
        <v>99.550196776787104</v>
      </c>
      <c r="G408" s="113">
        <f t="shared" si="13"/>
        <v>0.77098522497793698</v>
      </c>
    </row>
    <row r="409" spans="1:7">
      <c r="A409" s="54">
        <v>54215</v>
      </c>
      <c r="B409" t="str">
        <f t="shared" si="12"/>
        <v>June</v>
      </c>
      <c r="C409" s="15" t="s">
        <v>11</v>
      </c>
      <c r="D409" s="15">
        <f>IF(ISBLANK(D362), O363, D362)</f>
        <v>91</v>
      </c>
      <c r="E409" s="106">
        <f>_xlfn.FORECAST.LINEAR(Table13[[#This Row],[Date]],Table13[Units_Sold],Table13[Date])</f>
        <v>99.551360973443892</v>
      </c>
      <c r="F409" s="109">
        <f>Table11[[#This Row],[Forecasted_Units]]*(1+Table11[[#This Row],[Adjustment_Percentage]])</f>
        <v>99.551360973443892</v>
      </c>
      <c r="G409" s="113">
        <f t="shared" si="13"/>
        <v>0.90602900029182543</v>
      </c>
    </row>
    <row r="410" spans="1:7">
      <c r="A410" s="53">
        <v>54245</v>
      </c>
      <c r="B410" t="str">
        <f t="shared" si="12"/>
        <v>July</v>
      </c>
      <c r="C410" s="14" t="s">
        <v>14</v>
      </c>
      <c r="D410" s="14">
        <v>102</v>
      </c>
      <c r="E410" s="105">
        <f>_xlfn.FORECAST.LINEAR(Table13[[#This Row],[Date]],Table13[Units_Sold],Table13[Date])</f>
        <v>99.552525170100679</v>
      </c>
      <c r="F410" s="108">
        <f>Table11[[#This Row],[Forecasted_Units]]*(1+Table11[[#This Row],[Adjustment_Percentage]])</f>
        <v>99.552525170100679</v>
      </c>
      <c r="G410" s="113">
        <f t="shared" si="13"/>
        <v>0.97600514872647726</v>
      </c>
    </row>
    <row r="411" spans="1:7">
      <c r="A411" s="54">
        <v>54275</v>
      </c>
      <c r="B411" t="str">
        <f t="shared" si="12"/>
        <v>August</v>
      </c>
      <c r="C411" s="15" t="s">
        <v>12</v>
      </c>
      <c r="D411" s="15">
        <v>107</v>
      </c>
      <c r="E411" s="106">
        <f>_xlfn.FORECAST.LINEAR(Table13[[#This Row],[Date]],Table13[Units_Sold],Table13[Date])</f>
        <v>99.553689366757453</v>
      </c>
      <c r="F411" s="109">
        <f>Table11[[#This Row],[Forecasted_Units]]*(1+Table11[[#This Row],[Adjustment_Percentage]])</f>
        <v>99.553689366757453</v>
      </c>
      <c r="G411" s="113">
        <f t="shared" si="13"/>
        <v>0.93040831183885464</v>
      </c>
    </row>
    <row r="412" spans="1:7">
      <c r="A412" s="53">
        <v>54305</v>
      </c>
      <c r="B412" t="str">
        <f t="shared" si="12"/>
        <v>September</v>
      </c>
      <c r="C412" s="14" t="s">
        <v>11</v>
      </c>
      <c r="D412" s="14">
        <v>103</v>
      </c>
      <c r="E412" s="105">
        <f>_xlfn.FORECAST.LINEAR(Table13[[#This Row],[Date]],Table13[Units_Sold],Table13[Date])</f>
        <v>99.554853563414241</v>
      </c>
      <c r="F412" s="108">
        <f>Table11[[#This Row],[Forecasted_Units]]*(1+Table11[[#This Row],[Adjustment_Percentage]])</f>
        <v>99.554853563414241</v>
      </c>
      <c r="G412" s="113">
        <f t="shared" si="13"/>
        <v>0.96655197634382761</v>
      </c>
    </row>
    <row r="413" spans="1:7">
      <c r="A413" s="54">
        <v>54335</v>
      </c>
      <c r="B413" t="str">
        <f t="shared" si="12"/>
        <v>October</v>
      </c>
      <c r="C413" s="15" t="s">
        <v>12</v>
      </c>
      <c r="D413" s="15">
        <v>100</v>
      </c>
      <c r="E413" s="106">
        <f>_xlfn.FORECAST.LINEAR(Table13[[#This Row],[Date]],Table13[Units_Sold],Table13[Date])</f>
        <v>99.556017760071029</v>
      </c>
      <c r="F413" s="109">
        <f>Table11[[#This Row],[Forecasted_Units]]*(1+Table11[[#This Row],[Adjustment_Percentage]])</f>
        <v>99.556017760071029</v>
      </c>
      <c r="G413" s="113">
        <f t="shared" si="13"/>
        <v>0.99556017760071025</v>
      </c>
    </row>
    <row r="414" spans="1:7">
      <c r="A414" s="53">
        <v>54365</v>
      </c>
      <c r="B414" t="str">
        <f t="shared" si="12"/>
        <v>November</v>
      </c>
      <c r="C414" s="14" t="s">
        <v>10</v>
      </c>
      <c r="D414" s="14">
        <f>IF(ISBLANK(D367), O368, D367)</f>
        <v>97</v>
      </c>
      <c r="E414" s="105">
        <f>_xlfn.FORECAST.LINEAR(Table13[[#This Row],[Date]],Table13[Units_Sold],Table13[Date])</f>
        <v>99.557181956727817</v>
      </c>
      <c r="F414" s="108">
        <f>Table11[[#This Row],[Forecasted_Units]]*(1+Table11[[#This Row],[Adjustment_Percentage]])</f>
        <v>99.557181956727817</v>
      </c>
      <c r="G414" s="113">
        <f t="shared" si="13"/>
        <v>0.97363729941517718</v>
      </c>
    </row>
    <row r="415" spans="1:7">
      <c r="A415" s="54">
        <v>54395</v>
      </c>
      <c r="B415" t="str">
        <f t="shared" si="12"/>
        <v>December</v>
      </c>
      <c r="C415" s="15" t="s">
        <v>14</v>
      </c>
      <c r="D415" s="15">
        <v>85</v>
      </c>
      <c r="E415" s="106">
        <f>_xlfn.FORECAST.LINEAR(Table13[[#This Row],[Date]],Table13[Units_Sold],Table13[Date])</f>
        <v>99.558346153384605</v>
      </c>
      <c r="F415" s="109">
        <f>Table11[[#This Row],[Forecasted_Units]]*(1+Table11[[#This Row],[Adjustment_Percentage]])</f>
        <v>99.558346153384605</v>
      </c>
      <c r="G415" s="113">
        <f t="shared" si="13"/>
        <v>0.82872533937194581</v>
      </c>
    </row>
    <row r="416" spans="1:7">
      <c r="A416" s="53">
        <v>54425</v>
      </c>
      <c r="B416" t="str">
        <f t="shared" si="12"/>
        <v>January</v>
      </c>
      <c r="C416" s="14" t="s">
        <v>10</v>
      </c>
      <c r="D416" s="14">
        <v>107</v>
      </c>
      <c r="E416" s="105">
        <f>_xlfn.FORECAST.LINEAR(Table13[[#This Row],[Date]],Table13[Units_Sold],Table13[Date])</f>
        <v>99.559510350041393</v>
      </c>
      <c r="F416" s="108">
        <f>Table11[[#This Row],[Forecasted_Units]]*(1+Table11[[#This Row],[Adjustment_Percentage]])</f>
        <v>99.559510350041393</v>
      </c>
      <c r="G416" s="113">
        <f t="shared" si="13"/>
        <v>0.93046271355178867</v>
      </c>
    </row>
    <row r="417" spans="1:7">
      <c r="A417" s="54">
        <v>54455</v>
      </c>
      <c r="B417" t="str">
        <f t="shared" si="12"/>
        <v>February</v>
      </c>
      <c r="C417" s="15" t="s">
        <v>14</v>
      </c>
      <c r="D417" s="15">
        <v>106</v>
      </c>
      <c r="E417" s="106">
        <f>_xlfn.FORECAST.LINEAR(Table13[[#This Row],[Date]],Table13[Units_Sold],Table13[Date])</f>
        <v>99.560674546698181</v>
      </c>
      <c r="F417" s="109">
        <f>Table11[[#This Row],[Forecasted_Units]]*(1+Table11[[#This Row],[Adjustment_Percentage]])</f>
        <v>99.560674546698181</v>
      </c>
      <c r="G417" s="113">
        <f t="shared" si="13"/>
        <v>0.93925164666696392</v>
      </c>
    </row>
    <row r="418" spans="1:7">
      <c r="A418" s="53">
        <v>54485</v>
      </c>
      <c r="B418" t="str">
        <f t="shared" si="12"/>
        <v>March</v>
      </c>
      <c r="C418" s="14" t="s">
        <v>12</v>
      </c>
      <c r="D418" s="14">
        <v>92</v>
      </c>
      <c r="E418" s="105">
        <f>_xlfn.FORECAST.LINEAR(Table13[[#This Row],[Date]],Table13[Units_Sold],Table13[Date])</f>
        <v>99.561838743354969</v>
      </c>
      <c r="F418" s="108">
        <f>Table11[[#This Row],[Forecasted_Units]]*(1+Table11[[#This Row],[Adjustment_Percentage]])</f>
        <v>99.561838743354969</v>
      </c>
      <c r="G418" s="113">
        <f t="shared" si="13"/>
        <v>0.91780610061570689</v>
      </c>
    </row>
    <row r="419" spans="1:7">
      <c r="A419" s="54">
        <v>54515</v>
      </c>
      <c r="B419" t="str">
        <f t="shared" si="12"/>
        <v>April</v>
      </c>
      <c r="C419" s="15" t="s">
        <v>12</v>
      </c>
      <c r="D419" s="15">
        <v>110</v>
      </c>
      <c r="E419" s="106">
        <f>_xlfn.FORECAST.LINEAR(Table13[[#This Row],[Date]],Table13[Units_Sold],Table13[Date])</f>
        <v>99.563002940011756</v>
      </c>
      <c r="F419" s="109">
        <f>Table11[[#This Row],[Forecasted_Units]]*(1+Table11[[#This Row],[Adjustment_Percentage]])</f>
        <v>99.563002940011756</v>
      </c>
      <c r="G419" s="113">
        <f t="shared" si="13"/>
        <v>0.90511820854556146</v>
      </c>
    </row>
    <row r="420" spans="1:7">
      <c r="A420" s="53">
        <v>54545</v>
      </c>
      <c r="B420" t="str">
        <f t="shared" si="12"/>
        <v>May</v>
      </c>
      <c r="C420" s="14" t="s">
        <v>14</v>
      </c>
      <c r="D420" s="14">
        <v>93</v>
      </c>
      <c r="E420" s="105">
        <f>_xlfn.FORECAST.LINEAR(Table13[[#This Row],[Date]],Table13[Units_Sold],Table13[Date])</f>
        <v>99.564167136668544</v>
      </c>
      <c r="F420" s="108">
        <f>Table11[[#This Row],[Forecasted_Units]]*(1+Table11[[#This Row],[Adjustment_Percentage]])</f>
        <v>99.564167136668544</v>
      </c>
      <c r="G420" s="113">
        <f t="shared" si="13"/>
        <v>0.92941755767023071</v>
      </c>
    </row>
    <row r="421" spans="1:7">
      <c r="A421" s="54">
        <v>54575</v>
      </c>
      <c r="B421" t="str">
        <f t="shared" si="12"/>
        <v>June</v>
      </c>
      <c r="C421" s="15" t="s">
        <v>11</v>
      </c>
      <c r="D421" s="15">
        <f>IF(ISBLANK(D374), O375, D374)</f>
        <v>104</v>
      </c>
      <c r="E421" s="106">
        <f>_xlfn.FORECAST.LINEAR(Table13[[#This Row],[Date]],Table13[Units_Sold],Table13[Date])</f>
        <v>99.565331333325332</v>
      </c>
      <c r="F421" s="109">
        <f>Table11[[#This Row],[Forecasted_Units]]*(1+Table11[[#This Row],[Adjustment_Percentage]])</f>
        <v>99.565331333325332</v>
      </c>
      <c r="G421" s="113">
        <f t="shared" si="13"/>
        <v>0.95735895512812819</v>
      </c>
    </row>
    <row r="422" spans="1:7">
      <c r="A422" s="53">
        <v>54605</v>
      </c>
      <c r="B422" t="str">
        <f t="shared" si="12"/>
        <v>July</v>
      </c>
      <c r="C422" s="14" t="s">
        <v>11</v>
      </c>
      <c r="D422" s="14">
        <v>117</v>
      </c>
      <c r="E422" s="105">
        <f>_xlfn.FORECAST.LINEAR(Table13[[#This Row],[Date]],Table13[Units_Sold],Table13[Date])</f>
        <v>99.56649552998212</v>
      </c>
      <c r="F422" s="108">
        <f>Table11[[#This Row],[Forecasted_Units]]*(1+Table11[[#This Row],[Adjustment_Percentage]])</f>
        <v>99.56649552998212</v>
      </c>
      <c r="G422" s="113">
        <f t="shared" si="13"/>
        <v>0.85099568829044547</v>
      </c>
    </row>
    <row r="423" spans="1:7">
      <c r="A423" s="54">
        <v>54635</v>
      </c>
      <c r="B423" t="str">
        <f t="shared" si="12"/>
        <v>July</v>
      </c>
      <c r="C423" s="15" t="s">
        <v>12</v>
      </c>
      <c r="D423" s="15">
        <v>122</v>
      </c>
      <c r="E423" s="106">
        <f>_xlfn.FORECAST.LINEAR(Table13[[#This Row],[Date]],Table13[Units_Sold],Table13[Date])</f>
        <v>99.567659726638894</v>
      </c>
      <c r="F423" s="109">
        <f>Table11[[#This Row],[Forecasted_Units]]*(1+Table11[[#This Row],[Adjustment_Percentage]])</f>
        <v>99.567659726638894</v>
      </c>
      <c r="G423" s="113">
        <f t="shared" si="13"/>
        <v>0.81612835841507292</v>
      </c>
    </row>
    <row r="424" spans="1:7">
      <c r="A424" s="53">
        <v>54665</v>
      </c>
      <c r="B424" t="str">
        <f t="shared" si="12"/>
        <v>August</v>
      </c>
      <c r="C424" s="14" t="s">
        <v>12</v>
      </c>
      <c r="D424" s="14">
        <v>90</v>
      </c>
      <c r="E424" s="105">
        <f>_xlfn.FORECAST.LINEAR(Table13[[#This Row],[Date]],Table13[Units_Sold],Table13[Date])</f>
        <v>99.568823923295682</v>
      </c>
      <c r="F424" s="108">
        <f>Table11[[#This Row],[Forecasted_Units]]*(1+Table11[[#This Row],[Adjustment_Percentage]])</f>
        <v>99.568823923295682</v>
      </c>
      <c r="G424" s="113">
        <f t="shared" si="13"/>
        <v>0.89367973418560354</v>
      </c>
    </row>
    <row r="425" spans="1:7">
      <c r="A425" s="54">
        <v>54695</v>
      </c>
      <c r="B425" t="str">
        <f t="shared" si="12"/>
        <v>September</v>
      </c>
      <c r="C425" s="15" t="s">
        <v>10</v>
      </c>
      <c r="D425" s="15">
        <v>113</v>
      </c>
      <c r="E425" s="106">
        <f>_xlfn.FORECAST.LINEAR(Table13[[#This Row],[Date]],Table13[Units_Sold],Table13[Date])</f>
        <v>99.56998811995247</v>
      </c>
      <c r="F425" s="109">
        <f>Table11[[#This Row],[Forecasted_Units]]*(1+Table11[[#This Row],[Adjustment_Percentage]])</f>
        <v>99.56998811995247</v>
      </c>
      <c r="G425" s="113">
        <f t="shared" si="13"/>
        <v>0.88115033734471215</v>
      </c>
    </row>
    <row r="426" spans="1:7">
      <c r="A426" s="53">
        <v>54725</v>
      </c>
      <c r="B426" t="str">
        <f t="shared" si="12"/>
        <v>October</v>
      </c>
      <c r="C426" s="14" t="s">
        <v>12</v>
      </c>
      <c r="D426" s="14">
        <v>110</v>
      </c>
      <c r="E426" s="105">
        <f>_xlfn.FORECAST.LINEAR(Table13[[#This Row],[Date]],Table13[Units_Sold],Table13[Date])</f>
        <v>99.571152316609258</v>
      </c>
      <c r="F426" s="108">
        <f>Table11[[#This Row],[Forecasted_Units]]*(1+Table11[[#This Row],[Adjustment_Percentage]])</f>
        <v>99.571152316609258</v>
      </c>
      <c r="G426" s="113">
        <f t="shared" si="13"/>
        <v>0.90519229378735688</v>
      </c>
    </row>
    <row r="427" spans="1:7">
      <c r="A427" s="54">
        <v>54755</v>
      </c>
      <c r="B427" t="str">
        <f t="shared" si="12"/>
        <v>November</v>
      </c>
      <c r="C427" s="15" t="s">
        <v>14</v>
      </c>
      <c r="D427" s="15">
        <v>106</v>
      </c>
      <c r="E427" s="106">
        <f>_xlfn.FORECAST.LINEAR(Table13[[#This Row],[Date]],Table13[Units_Sold],Table13[Date])</f>
        <v>99.572316513266045</v>
      </c>
      <c r="F427" s="109">
        <f>Table11[[#This Row],[Forecasted_Units]]*(1+Table11[[#This Row],[Adjustment_Percentage]])</f>
        <v>99.572316513266045</v>
      </c>
      <c r="G427" s="113">
        <f t="shared" si="13"/>
        <v>0.93936147654024571</v>
      </c>
    </row>
    <row r="428" spans="1:7">
      <c r="A428" s="53">
        <v>54785</v>
      </c>
      <c r="B428" t="str">
        <f t="shared" si="12"/>
        <v>December</v>
      </c>
      <c r="C428" s="14" t="s">
        <v>11</v>
      </c>
      <c r="D428" s="14">
        <v>92</v>
      </c>
      <c r="E428" s="105">
        <f>_xlfn.FORECAST.LINEAR(Table13[[#This Row],[Date]],Table13[Units_Sold],Table13[Date])</f>
        <v>99.573480709922833</v>
      </c>
      <c r="F428" s="108">
        <f>Table11[[#This Row],[Forecasted_Units]]*(1+Table11[[#This Row],[Adjustment_Percentage]])</f>
        <v>99.573480709922833</v>
      </c>
      <c r="G428" s="113">
        <f t="shared" si="13"/>
        <v>0.91767955750083874</v>
      </c>
    </row>
    <row r="429" spans="1:7">
      <c r="A429" s="54">
        <v>54815</v>
      </c>
      <c r="B429" t="str">
        <f t="shared" si="12"/>
        <v>January</v>
      </c>
      <c r="C429" s="15" t="s">
        <v>11</v>
      </c>
      <c r="D429" s="15">
        <v>121</v>
      </c>
      <c r="E429" s="106">
        <f>_xlfn.FORECAST.LINEAR(Table13[[#This Row],[Date]],Table13[Units_Sold],Table13[Date])</f>
        <v>99.574644906579621</v>
      </c>
      <c r="F429" s="109">
        <f>Table11[[#This Row],[Forecasted_Units]]*(1+Table11[[#This Row],[Adjustment_Percentage]])</f>
        <v>99.574644906579621</v>
      </c>
      <c r="G429" s="113">
        <f t="shared" si="13"/>
        <v>0.82293094964115387</v>
      </c>
    </row>
    <row r="430" spans="1:7">
      <c r="A430" s="53">
        <v>54845</v>
      </c>
      <c r="B430" t="str">
        <f t="shared" si="12"/>
        <v>February</v>
      </c>
      <c r="C430" s="14" t="s">
        <v>10</v>
      </c>
      <c r="D430" s="14">
        <v>89</v>
      </c>
      <c r="E430" s="105">
        <f>_xlfn.FORECAST.LINEAR(Table13[[#This Row],[Date]],Table13[Units_Sold],Table13[Date])</f>
        <v>99.575809103236409</v>
      </c>
      <c r="F430" s="108">
        <f>Table11[[#This Row],[Forecasted_Units]]*(1+Table11[[#This Row],[Adjustment_Percentage]])</f>
        <v>99.575809103236409</v>
      </c>
      <c r="G430" s="113">
        <f t="shared" si="13"/>
        <v>0.88117068423329881</v>
      </c>
    </row>
    <row r="431" spans="1:7">
      <c r="A431" s="54">
        <v>54875</v>
      </c>
      <c r="B431" t="str">
        <f t="shared" si="12"/>
        <v>March</v>
      </c>
      <c r="C431" s="15" t="s">
        <v>11</v>
      </c>
      <c r="D431" s="15">
        <v>117</v>
      </c>
      <c r="E431" s="106">
        <f>_xlfn.FORECAST.LINEAR(Table13[[#This Row],[Date]],Table13[Units_Sold],Table13[Date])</f>
        <v>99.576973299893197</v>
      </c>
      <c r="F431" s="109">
        <f>Table11[[#This Row],[Forecasted_Units]]*(1+Table11[[#This Row],[Adjustment_Percentage]])</f>
        <v>99.576973299893197</v>
      </c>
      <c r="G431" s="113">
        <f t="shared" si="13"/>
        <v>0.85108524187942902</v>
      </c>
    </row>
    <row r="432" spans="1:7">
      <c r="A432" s="53">
        <v>54905</v>
      </c>
      <c r="B432" t="str">
        <f t="shared" si="12"/>
        <v>April</v>
      </c>
      <c r="C432" s="14" t="s">
        <v>11</v>
      </c>
      <c r="D432" s="14">
        <v>106</v>
      </c>
      <c r="E432" s="105">
        <f>_xlfn.FORECAST.LINEAR(Table13[[#This Row],[Date]],Table13[Units_Sold],Table13[Date])</f>
        <v>99.578137496549985</v>
      </c>
      <c r="F432" s="108">
        <f>Table11[[#This Row],[Forecasted_Units]]*(1+Table11[[#This Row],[Adjustment_Percentage]])</f>
        <v>99.578137496549985</v>
      </c>
      <c r="G432" s="113">
        <f t="shared" si="13"/>
        <v>0.9394163914768866</v>
      </c>
    </row>
    <row r="433" spans="1:7">
      <c r="A433" s="54">
        <v>54935</v>
      </c>
      <c r="B433" t="str">
        <f t="shared" si="12"/>
        <v>May</v>
      </c>
      <c r="C433" s="15" t="s">
        <v>13</v>
      </c>
      <c r="D433" s="15">
        <v>121</v>
      </c>
      <c r="E433" s="106">
        <f>_xlfn.FORECAST.LINEAR(Table13[[#This Row],[Date]],Table13[Units_Sold],Table13[Date])</f>
        <v>99.579301693206773</v>
      </c>
      <c r="F433" s="109">
        <f>Table11[[#This Row],[Forecasted_Units]]*(1+Table11[[#This Row],[Adjustment_Percentage]])</f>
        <v>99.579301693206773</v>
      </c>
      <c r="G433" s="113">
        <f t="shared" si="13"/>
        <v>0.82296943548104773</v>
      </c>
    </row>
    <row r="434" spans="1:7">
      <c r="A434" s="53">
        <v>54965</v>
      </c>
      <c r="B434" t="str">
        <f t="shared" si="12"/>
        <v>June</v>
      </c>
      <c r="C434" s="14" t="s">
        <v>14</v>
      </c>
      <c r="D434" s="14">
        <v>95</v>
      </c>
      <c r="E434" s="105">
        <f>_xlfn.FORECAST.LINEAR(Table13[[#This Row],[Date]],Table13[Units_Sold],Table13[Date])</f>
        <v>99.580465889863547</v>
      </c>
      <c r="F434" s="108">
        <f>Table11[[#This Row],[Forecasted_Units]]*(1+Table11[[#This Row],[Adjustment_Percentage]])</f>
        <v>99.580465889863547</v>
      </c>
      <c r="G434" s="113">
        <f t="shared" si="13"/>
        <v>0.95178456958038371</v>
      </c>
    </row>
    <row r="435" spans="1:7">
      <c r="A435" s="54">
        <v>54995</v>
      </c>
      <c r="B435" t="str">
        <f t="shared" si="12"/>
        <v>July</v>
      </c>
      <c r="C435" s="15" t="s">
        <v>13</v>
      </c>
      <c r="D435" s="15">
        <v>91</v>
      </c>
      <c r="E435" s="106">
        <f>_xlfn.FORECAST.LINEAR(Table13[[#This Row],[Date]],Table13[Units_Sold],Table13[Date])</f>
        <v>99.581630086520335</v>
      </c>
      <c r="F435" s="109">
        <f>Table11[[#This Row],[Forecasted_Units]]*(1+Table11[[#This Row],[Adjustment_Percentage]])</f>
        <v>99.581630086520335</v>
      </c>
      <c r="G435" s="113">
        <f t="shared" si="13"/>
        <v>0.90569637267560066</v>
      </c>
    </row>
    <row r="436" spans="1:7">
      <c r="A436" s="53">
        <v>55025</v>
      </c>
      <c r="B436" t="str">
        <f t="shared" si="12"/>
        <v>August</v>
      </c>
      <c r="C436" s="14" t="s">
        <v>11</v>
      </c>
      <c r="D436" s="14">
        <v>82</v>
      </c>
      <c r="E436" s="105">
        <f>_xlfn.FORECAST.LINEAR(Table13[[#This Row],[Date]],Table13[Units_Sold],Table13[Date])</f>
        <v>99.582794283177122</v>
      </c>
      <c r="F436" s="108">
        <f>Table11[[#This Row],[Forecasted_Units]]*(1+Table11[[#This Row],[Adjustment_Percentage]])</f>
        <v>99.582794283177122</v>
      </c>
      <c r="G436" s="113">
        <f t="shared" si="13"/>
        <v>0.78557567947344975</v>
      </c>
    </row>
    <row r="437" spans="1:7">
      <c r="A437" s="54">
        <v>55055</v>
      </c>
      <c r="B437" t="str">
        <f t="shared" si="12"/>
        <v>September</v>
      </c>
      <c r="C437" s="15" t="s">
        <v>10</v>
      </c>
      <c r="D437" s="15">
        <v>100</v>
      </c>
      <c r="E437" s="106">
        <f>_xlfn.FORECAST.LINEAR(Table13[[#This Row],[Date]],Table13[Units_Sold],Table13[Date])</f>
        <v>99.58395847983391</v>
      </c>
      <c r="F437" s="109">
        <f>Table11[[#This Row],[Forecasted_Units]]*(1+Table11[[#This Row],[Adjustment_Percentage]])</f>
        <v>99.58395847983391</v>
      </c>
      <c r="G437" s="113">
        <f t="shared" si="13"/>
        <v>0.99583958479833912</v>
      </c>
    </row>
    <row r="438" spans="1:7">
      <c r="A438" s="53">
        <v>55085</v>
      </c>
      <c r="B438" t="str">
        <f t="shared" si="12"/>
        <v>October</v>
      </c>
      <c r="C438" s="14" t="s">
        <v>10</v>
      </c>
      <c r="D438" s="14">
        <v>81</v>
      </c>
      <c r="E438" s="105">
        <f>_xlfn.FORECAST.LINEAR(Table13[[#This Row],[Date]],Table13[Units_Sold],Table13[Date])</f>
        <v>99.585122676490698</v>
      </c>
      <c r="F438" s="108">
        <f>Table11[[#This Row],[Forecasted_Units]]*(1+Table11[[#This Row],[Adjustment_Percentage]])</f>
        <v>99.585122676490698</v>
      </c>
      <c r="G438" s="113">
        <f t="shared" si="13"/>
        <v>0.77055404103097902</v>
      </c>
    </row>
    <row r="439" spans="1:7">
      <c r="A439" s="54">
        <v>55115</v>
      </c>
      <c r="B439" t="str">
        <f t="shared" si="12"/>
        <v>November</v>
      </c>
      <c r="C439" s="15" t="s">
        <v>11</v>
      </c>
      <c r="D439" s="15">
        <v>101</v>
      </c>
      <c r="E439" s="106">
        <f>_xlfn.FORECAST.LINEAR(Table13[[#This Row],[Date]],Table13[Units_Sold],Table13[Date])</f>
        <v>99.586286873147486</v>
      </c>
      <c r="F439" s="109">
        <f>Table11[[#This Row],[Forecasted_Units]]*(1+Table11[[#This Row],[Adjustment_Percentage]])</f>
        <v>99.586286873147486</v>
      </c>
      <c r="G439" s="113">
        <f t="shared" si="13"/>
        <v>0.98600284032819296</v>
      </c>
    </row>
    <row r="440" spans="1:7">
      <c r="A440" s="53">
        <v>55145</v>
      </c>
      <c r="B440" t="str">
        <f t="shared" si="12"/>
        <v>December</v>
      </c>
      <c r="C440" s="14" t="s">
        <v>12</v>
      </c>
      <c r="D440" s="14">
        <v>95</v>
      </c>
      <c r="E440" s="105">
        <f>_xlfn.FORECAST.LINEAR(Table13[[#This Row],[Date]],Table13[Units_Sold],Table13[Date])</f>
        <v>99.587451069804274</v>
      </c>
      <c r="F440" s="108">
        <f>Table11[[#This Row],[Forecasted_Units]]*(1+Table11[[#This Row],[Adjustment_Percentage]])</f>
        <v>99.587451069804274</v>
      </c>
      <c r="G440" s="113">
        <f t="shared" si="13"/>
        <v>0.95171104137048135</v>
      </c>
    </row>
    <row r="441" spans="1:7">
      <c r="A441" s="54">
        <v>55175</v>
      </c>
      <c r="B441" t="str">
        <f t="shared" si="12"/>
        <v>January</v>
      </c>
      <c r="C441" s="15" t="s">
        <v>13</v>
      </c>
      <c r="D441" s="15">
        <v>114</v>
      </c>
      <c r="E441" s="106">
        <f>_xlfn.FORECAST.LINEAR(Table13[[#This Row],[Date]],Table13[Units_Sold],Table13[Date])</f>
        <v>99.588615266461062</v>
      </c>
      <c r="F441" s="109">
        <f>Table11[[#This Row],[Forecasted_Units]]*(1+Table11[[#This Row],[Adjustment_Percentage]])</f>
        <v>99.588615266461062</v>
      </c>
      <c r="G441" s="113">
        <f t="shared" si="13"/>
        <v>0.87358434444264088</v>
      </c>
    </row>
    <row r="442" spans="1:7">
      <c r="A442" s="53">
        <v>55205</v>
      </c>
      <c r="B442" t="str">
        <f t="shared" si="12"/>
        <v>February</v>
      </c>
      <c r="C442" s="14" t="s">
        <v>11</v>
      </c>
      <c r="D442" s="14">
        <v>92</v>
      </c>
      <c r="E442" s="105">
        <f>_xlfn.FORECAST.LINEAR(Table13[[#This Row],[Date]],Table13[Units_Sold],Table13[Date])</f>
        <v>99.58977946311785</v>
      </c>
      <c r="F442" s="108">
        <f>Table11[[#This Row],[Forecasted_Units]]*(1+Table11[[#This Row],[Adjustment_Percentage]])</f>
        <v>99.58977946311785</v>
      </c>
      <c r="G442" s="113">
        <f t="shared" si="13"/>
        <v>0.91750239714002335</v>
      </c>
    </row>
    <row r="443" spans="1:7">
      <c r="A443" s="54">
        <v>55235</v>
      </c>
      <c r="B443" t="str">
        <f t="shared" si="12"/>
        <v>March</v>
      </c>
      <c r="C443" s="15" t="s">
        <v>10</v>
      </c>
      <c r="D443" s="15">
        <v>113</v>
      </c>
      <c r="E443" s="106">
        <f>_xlfn.FORECAST.LINEAR(Table13[[#This Row],[Date]],Table13[Units_Sold],Table13[Date])</f>
        <v>99.590943659774638</v>
      </c>
      <c r="F443" s="109">
        <f>Table11[[#This Row],[Forecasted_Units]]*(1+Table11[[#This Row],[Adjustment_Percentage]])</f>
        <v>99.590943659774638</v>
      </c>
      <c r="G443" s="113">
        <f t="shared" si="13"/>
        <v>0.88133578459977557</v>
      </c>
    </row>
    <row r="444" spans="1:7">
      <c r="A444" s="53">
        <v>55265</v>
      </c>
      <c r="B444" t="str">
        <f t="shared" si="12"/>
        <v>April</v>
      </c>
      <c r="C444" s="14" t="s">
        <v>10</v>
      </c>
      <c r="D444" s="14">
        <v>113</v>
      </c>
      <c r="E444" s="105">
        <f>_xlfn.FORECAST.LINEAR(Table13[[#This Row],[Date]],Table13[Units_Sold],Table13[Date])</f>
        <v>99.592107856431426</v>
      </c>
      <c r="F444" s="108">
        <f>Table11[[#This Row],[Forecasted_Units]]*(1+Table11[[#This Row],[Adjustment_Percentage]])</f>
        <v>99.592107856431426</v>
      </c>
      <c r="G444" s="113">
        <f t="shared" si="13"/>
        <v>0.88134608722505692</v>
      </c>
    </row>
    <row r="445" spans="1:7">
      <c r="A445" s="54">
        <v>55295</v>
      </c>
      <c r="B445" t="str">
        <f t="shared" si="12"/>
        <v>May</v>
      </c>
      <c r="C445" s="15" t="s">
        <v>13</v>
      </c>
      <c r="D445" s="15">
        <v>120</v>
      </c>
      <c r="E445" s="106">
        <f>_xlfn.FORECAST.LINEAR(Table13[[#This Row],[Date]],Table13[Units_Sold],Table13[Date])</f>
        <v>99.593272053088199</v>
      </c>
      <c r="F445" s="109">
        <f>Table11[[#This Row],[Forecasted_Units]]*(1+Table11[[#This Row],[Adjustment_Percentage]])</f>
        <v>99.593272053088199</v>
      </c>
      <c r="G445" s="113">
        <f t="shared" si="13"/>
        <v>0.82994393377573505</v>
      </c>
    </row>
    <row r="446" spans="1:7">
      <c r="A446" s="53">
        <v>55325</v>
      </c>
      <c r="B446" t="str">
        <f t="shared" si="12"/>
        <v>June</v>
      </c>
      <c r="C446" s="14" t="s">
        <v>14</v>
      </c>
      <c r="D446" s="14">
        <v>108</v>
      </c>
      <c r="E446" s="105">
        <f>_xlfn.FORECAST.LINEAR(Table13[[#This Row],[Date]],Table13[Units_Sold],Table13[Date])</f>
        <v>99.594436249744987</v>
      </c>
      <c r="F446" s="108">
        <f>Table11[[#This Row],[Forecasted_Units]]*(1+Table11[[#This Row],[Adjustment_Percentage]])</f>
        <v>99.594436249744987</v>
      </c>
      <c r="G446" s="113">
        <f t="shared" si="13"/>
        <v>0.92217070601615725</v>
      </c>
    </row>
    <row r="447" spans="1:7">
      <c r="A447" s="54">
        <v>55355</v>
      </c>
      <c r="B447" t="str">
        <f t="shared" si="12"/>
        <v>July</v>
      </c>
      <c r="C447" s="15" t="s">
        <v>11</v>
      </c>
      <c r="D447" s="15">
        <v>99</v>
      </c>
      <c r="E447" s="106">
        <f>_xlfn.FORECAST.LINEAR(Table13[[#This Row],[Date]],Table13[Units_Sold],Table13[Date])</f>
        <v>99.595600446401775</v>
      </c>
      <c r="F447" s="109">
        <f>Table11[[#This Row],[Forecasted_Units]]*(1+Table11[[#This Row],[Adjustment_Percentage]])</f>
        <v>99.595600446401775</v>
      </c>
      <c r="G447" s="113">
        <f t="shared" si="13"/>
        <v>0.99398383387472955</v>
      </c>
    </row>
    <row r="448" spans="1:7">
      <c r="A448" s="53">
        <v>55385</v>
      </c>
      <c r="B448" t="str">
        <f t="shared" si="12"/>
        <v>August</v>
      </c>
      <c r="C448" s="14" t="s">
        <v>11</v>
      </c>
      <c r="D448" s="14">
        <v>108</v>
      </c>
      <c r="E448" s="105">
        <f>_xlfn.FORECAST.LINEAR(Table13[[#This Row],[Date]],Table13[Units_Sold],Table13[Date])</f>
        <v>99.596764643058563</v>
      </c>
      <c r="F448" s="108">
        <f>Table11[[#This Row],[Forecasted_Units]]*(1+Table11[[#This Row],[Adjustment_Percentage]])</f>
        <v>99.596764643058563</v>
      </c>
      <c r="G448" s="113">
        <f t="shared" si="13"/>
        <v>0.92219226521350517</v>
      </c>
    </row>
    <row r="449" spans="1:7">
      <c r="A449" s="54">
        <v>55415</v>
      </c>
      <c r="B449" t="str">
        <f t="shared" si="12"/>
        <v>September</v>
      </c>
      <c r="C449" s="15" t="s">
        <v>14</v>
      </c>
      <c r="D449" s="15">
        <v>98</v>
      </c>
      <c r="E449" s="106">
        <f>_xlfn.FORECAST.LINEAR(Table13[[#This Row],[Date]],Table13[Units_Sold],Table13[Date])</f>
        <v>99.597928839715351</v>
      </c>
      <c r="F449" s="109">
        <f>Table11[[#This Row],[Forecasted_Units]]*(1+Table11[[#This Row],[Adjustment_Percentage]])</f>
        <v>99.597928839715351</v>
      </c>
      <c r="G449" s="113">
        <f t="shared" si="13"/>
        <v>0.98369460367637396</v>
      </c>
    </row>
    <row r="450" spans="1:7">
      <c r="A450" s="53">
        <v>55445</v>
      </c>
      <c r="B450" t="str">
        <f t="shared" si="12"/>
        <v>October</v>
      </c>
      <c r="C450" s="14" t="s">
        <v>13</v>
      </c>
      <c r="D450" s="14">
        <v>92</v>
      </c>
      <c r="E450" s="105">
        <f>_xlfn.FORECAST.LINEAR(Table13[[#This Row],[Date]],Table13[Units_Sold],Table13[Date])</f>
        <v>99.599093036372139</v>
      </c>
      <c r="F450" s="108">
        <f>Table11[[#This Row],[Forecasted_Units]]*(1+Table11[[#This Row],[Adjustment_Percentage]])</f>
        <v>99.599093036372139</v>
      </c>
      <c r="G450" s="113">
        <f t="shared" si="13"/>
        <v>0.91740116264812888</v>
      </c>
    </row>
    <row r="451" spans="1:7">
      <c r="A451" s="54">
        <v>55475</v>
      </c>
      <c r="B451" t="str">
        <f t="shared" ref="B451:B501" si="14">TEXT(A451,"mmmm")</f>
        <v>November</v>
      </c>
      <c r="C451" s="15" t="s">
        <v>13</v>
      </c>
      <c r="D451" s="15">
        <v>96</v>
      </c>
      <c r="E451" s="106">
        <f>_xlfn.FORECAST.LINEAR(Table13[[#This Row],[Date]],Table13[Units_Sold],Table13[Date])</f>
        <v>99.600257233028927</v>
      </c>
      <c r="F451" s="109">
        <f>Table11[[#This Row],[Forecasted_Units]]*(1+Table11[[#This Row],[Adjustment_Percentage]])</f>
        <v>99.600257233028927</v>
      </c>
      <c r="G451" s="113">
        <f t="shared" ref="G451:G501" si="15">1-ABS(D451-F451)/D451</f>
        <v>0.96249732048928205</v>
      </c>
    </row>
    <row r="452" spans="1:7">
      <c r="A452" s="53">
        <v>55505</v>
      </c>
      <c r="B452" t="str">
        <f t="shared" si="14"/>
        <v>December</v>
      </c>
      <c r="C452" s="14" t="s">
        <v>10</v>
      </c>
      <c r="D452" s="14">
        <v>94</v>
      </c>
      <c r="E452" s="105">
        <f>_xlfn.FORECAST.LINEAR(Table13[[#This Row],[Date]],Table13[Units_Sold],Table13[Date])</f>
        <v>99.601421429685715</v>
      </c>
      <c r="F452" s="108">
        <f>Table11[[#This Row],[Forecasted_Units]]*(1+Table11[[#This Row],[Adjustment_Percentage]])</f>
        <v>99.601421429685715</v>
      </c>
      <c r="G452" s="113">
        <f t="shared" si="15"/>
        <v>0.9404104103224924</v>
      </c>
    </row>
    <row r="453" spans="1:7">
      <c r="A453" s="54">
        <v>55535</v>
      </c>
      <c r="B453" t="str">
        <f t="shared" si="14"/>
        <v>January</v>
      </c>
      <c r="C453" s="15" t="s">
        <v>14</v>
      </c>
      <c r="D453" s="15">
        <v>75</v>
      </c>
      <c r="E453" s="106">
        <f>_xlfn.FORECAST.LINEAR(Table13[[#This Row],[Date]],Table13[Units_Sold],Table13[Date])</f>
        <v>99.602585626342503</v>
      </c>
      <c r="F453" s="109">
        <f>Table11[[#This Row],[Forecasted_Units]]*(1+Table11[[#This Row],[Adjustment_Percentage]])</f>
        <v>99.602585626342503</v>
      </c>
      <c r="G453" s="113">
        <f t="shared" si="15"/>
        <v>0.67196552498209994</v>
      </c>
    </row>
    <row r="454" spans="1:7">
      <c r="A454" s="53">
        <v>55565</v>
      </c>
      <c r="B454" t="str">
        <f t="shared" si="14"/>
        <v>February</v>
      </c>
      <c r="C454" s="14" t="s">
        <v>13</v>
      </c>
      <c r="D454" s="14">
        <v>97</v>
      </c>
      <c r="E454" s="105">
        <f>_xlfn.FORECAST.LINEAR(Table13[[#This Row],[Date]],Table13[Units_Sold],Table13[Date])</f>
        <v>99.603749822999291</v>
      </c>
      <c r="F454" s="108">
        <f>Table11[[#This Row],[Forecasted_Units]]*(1+Table11[[#This Row],[Adjustment_Percentage]])</f>
        <v>99.603749822999291</v>
      </c>
      <c r="G454" s="113">
        <f t="shared" si="15"/>
        <v>0.9731572183195949</v>
      </c>
    </row>
    <row r="455" spans="1:7">
      <c r="A455" s="54">
        <v>55595</v>
      </c>
      <c r="B455" t="str">
        <f t="shared" si="14"/>
        <v>March</v>
      </c>
      <c r="C455" s="15" t="s">
        <v>12</v>
      </c>
      <c r="D455" s="15">
        <v>100</v>
      </c>
      <c r="E455" s="106">
        <f>_xlfn.FORECAST.LINEAR(Table13[[#This Row],[Date]],Table13[Units_Sold],Table13[Date])</f>
        <v>99.604914019656078</v>
      </c>
      <c r="F455" s="109">
        <f>Table11[[#This Row],[Forecasted_Units]]*(1+Table11[[#This Row],[Adjustment_Percentage]])</f>
        <v>99.604914019656078</v>
      </c>
      <c r="G455" s="113">
        <f t="shared" si="15"/>
        <v>0.99604914019656077</v>
      </c>
    </row>
    <row r="456" spans="1:7">
      <c r="A456" s="53">
        <v>55625</v>
      </c>
      <c r="B456" t="str">
        <f t="shared" si="14"/>
        <v>April</v>
      </c>
      <c r="C456" s="14" t="s">
        <v>11</v>
      </c>
      <c r="D456" s="14">
        <v>98</v>
      </c>
      <c r="E456" s="105">
        <f>_xlfn.FORECAST.LINEAR(Table13[[#This Row],[Date]],Table13[Units_Sold],Table13[Date])</f>
        <v>99.606078216312852</v>
      </c>
      <c r="F456" s="108">
        <f>Table11[[#This Row],[Forecasted_Units]]*(1+Table11[[#This Row],[Adjustment_Percentage]])</f>
        <v>99.606078216312852</v>
      </c>
      <c r="G456" s="113">
        <f t="shared" si="15"/>
        <v>0.98361144677231782</v>
      </c>
    </row>
    <row r="457" spans="1:7">
      <c r="A457" s="54">
        <v>55655</v>
      </c>
      <c r="B457" t="str">
        <f t="shared" si="14"/>
        <v>May</v>
      </c>
      <c r="C457" s="15" t="s">
        <v>10</v>
      </c>
      <c r="D457" s="15">
        <v>121</v>
      </c>
      <c r="E457" s="106">
        <f>_xlfn.FORECAST.LINEAR(Table13[[#This Row],[Date]],Table13[Units_Sold],Table13[Date])</f>
        <v>99.60724241296964</v>
      </c>
      <c r="F457" s="109">
        <f>Table11[[#This Row],[Forecasted_Units]]*(1+Table11[[#This Row],[Adjustment_Percentage]])</f>
        <v>99.60724241296964</v>
      </c>
      <c r="G457" s="113">
        <f t="shared" si="15"/>
        <v>0.82320035052041018</v>
      </c>
    </row>
    <row r="458" spans="1:7">
      <c r="A458" s="53">
        <v>55685</v>
      </c>
      <c r="B458" t="str">
        <f t="shared" si="14"/>
        <v>June</v>
      </c>
      <c r="C458" s="14" t="s">
        <v>14</v>
      </c>
      <c r="D458" s="14">
        <v>103</v>
      </c>
      <c r="E458" s="105">
        <f>_xlfn.FORECAST.LINEAR(Table13[[#This Row],[Date]],Table13[Units_Sold],Table13[Date])</f>
        <v>99.608406609626428</v>
      </c>
      <c r="F458" s="108">
        <f>Table11[[#This Row],[Forecasted_Units]]*(1+Table11[[#This Row],[Adjustment_Percentage]])</f>
        <v>99.608406609626428</v>
      </c>
      <c r="G458" s="113">
        <f t="shared" si="15"/>
        <v>0.96707190883132454</v>
      </c>
    </row>
    <row r="459" spans="1:7">
      <c r="A459" s="54">
        <v>55715</v>
      </c>
      <c r="B459" t="str">
        <f t="shared" si="14"/>
        <v>July</v>
      </c>
      <c r="C459" s="15" t="s">
        <v>10</v>
      </c>
      <c r="D459" s="15">
        <v>121</v>
      </c>
      <c r="E459" s="106">
        <f>_xlfn.FORECAST.LINEAR(Table13[[#This Row],[Date]],Table13[Units_Sold],Table13[Date])</f>
        <v>99.609570806283216</v>
      </c>
      <c r="F459" s="109">
        <f>Table11[[#This Row],[Forecasted_Units]]*(1+Table11[[#This Row],[Adjustment_Percentage]])</f>
        <v>99.609570806283216</v>
      </c>
      <c r="G459" s="113">
        <f t="shared" si="15"/>
        <v>0.82321959344035722</v>
      </c>
    </row>
    <row r="460" spans="1:7">
      <c r="A460" s="53">
        <v>55745</v>
      </c>
      <c r="B460" t="str">
        <f t="shared" si="14"/>
        <v>August</v>
      </c>
      <c r="C460" s="14" t="s">
        <v>13</v>
      </c>
      <c r="D460" s="14">
        <v>103</v>
      </c>
      <c r="E460" s="105">
        <f>_xlfn.FORECAST.LINEAR(Table13[[#This Row],[Date]],Table13[Units_Sold],Table13[Date])</f>
        <v>99.610735002940004</v>
      </c>
      <c r="F460" s="108">
        <f>Table11[[#This Row],[Forecasted_Units]]*(1+Table11[[#This Row],[Adjustment_Percentage]])</f>
        <v>99.610735002940004</v>
      </c>
      <c r="G460" s="113">
        <f t="shared" si="15"/>
        <v>0.96709451459165052</v>
      </c>
    </row>
    <row r="461" spans="1:7">
      <c r="A461" s="54">
        <v>55775</v>
      </c>
      <c r="B461" t="str">
        <f t="shared" si="14"/>
        <v>September</v>
      </c>
      <c r="C461" s="15" t="s">
        <v>13</v>
      </c>
      <c r="D461" s="15">
        <v>91</v>
      </c>
      <c r="E461" s="106">
        <f>_xlfn.FORECAST.LINEAR(Table13[[#This Row],[Date]],Table13[Units_Sold],Table13[Date])</f>
        <v>99.611899199596792</v>
      </c>
      <c r="F461" s="109">
        <f>Table11[[#This Row],[Forecasted_Units]]*(1+Table11[[#This Row],[Adjustment_Percentage]])</f>
        <v>99.611899199596792</v>
      </c>
      <c r="G461" s="113">
        <f t="shared" si="15"/>
        <v>0.90536374505937589</v>
      </c>
    </row>
    <row r="462" spans="1:7">
      <c r="A462" s="53">
        <v>55805</v>
      </c>
      <c r="B462" t="str">
        <f t="shared" si="14"/>
        <v>October</v>
      </c>
      <c r="C462" s="14" t="s">
        <v>12</v>
      </c>
      <c r="D462" s="14">
        <v>91</v>
      </c>
      <c r="E462" s="105">
        <f>_xlfn.FORECAST.LINEAR(Table13[[#This Row],[Date]],Table13[Units_Sold],Table13[Date])</f>
        <v>99.61306339625358</v>
      </c>
      <c r="F462" s="108">
        <f>Table11[[#This Row],[Forecasted_Units]]*(1+Table11[[#This Row],[Adjustment_Percentage]])</f>
        <v>99.61306339625358</v>
      </c>
      <c r="G462" s="113">
        <f t="shared" si="15"/>
        <v>0.90535095168952107</v>
      </c>
    </row>
    <row r="463" spans="1:7">
      <c r="A463" s="54">
        <v>55835</v>
      </c>
      <c r="B463" t="str">
        <f t="shared" si="14"/>
        <v>November</v>
      </c>
      <c r="C463" s="15" t="s">
        <v>11</v>
      </c>
      <c r="D463" s="15">
        <f>IF(ISBLANK(D416), O417, D416)</f>
        <v>107</v>
      </c>
      <c r="E463" s="106">
        <f>_xlfn.FORECAST.LINEAR(Table13[[#This Row],[Date]],Table13[Units_Sold],Table13[Date])</f>
        <v>99.614227592910368</v>
      </c>
      <c r="F463" s="109">
        <f>Table11[[#This Row],[Forecasted_Units]]*(1+Table11[[#This Row],[Adjustment_Percentage]])</f>
        <v>99.614227592910368</v>
      </c>
      <c r="G463" s="113">
        <f t="shared" si="15"/>
        <v>0.93097408965336792</v>
      </c>
    </row>
    <row r="464" spans="1:7">
      <c r="A464" s="53">
        <v>55865</v>
      </c>
      <c r="B464" t="str">
        <f t="shared" si="14"/>
        <v>December</v>
      </c>
      <c r="C464" s="14" t="s">
        <v>14</v>
      </c>
      <c r="D464" s="14">
        <v>97</v>
      </c>
      <c r="E464" s="105">
        <f>_xlfn.FORECAST.LINEAR(Table13[[#This Row],[Date]],Table13[Units_Sold],Table13[Date])</f>
        <v>99.615391789567155</v>
      </c>
      <c r="F464" s="108">
        <f>Table11[[#This Row],[Forecasted_Units]]*(1+Table11[[#This Row],[Adjustment_Percentage]])</f>
        <v>99.615391789567155</v>
      </c>
      <c r="G464" s="113">
        <f t="shared" si="15"/>
        <v>0.97303719804569944</v>
      </c>
    </row>
    <row r="465" spans="1:7">
      <c r="A465" s="54">
        <v>55895</v>
      </c>
      <c r="B465" t="str">
        <f t="shared" si="14"/>
        <v>January</v>
      </c>
      <c r="C465" s="15" t="s">
        <v>10</v>
      </c>
      <c r="D465" s="15">
        <v>106</v>
      </c>
      <c r="E465" s="106">
        <f>_xlfn.FORECAST.LINEAR(Table13[[#This Row],[Date]],Table13[Units_Sold],Table13[Date])</f>
        <v>99.616555986223943</v>
      </c>
      <c r="F465" s="109">
        <f>Table11[[#This Row],[Forecasted_Units]]*(1+Table11[[#This Row],[Adjustment_Percentage]])</f>
        <v>99.616555986223943</v>
      </c>
      <c r="G465" s="113">
        <f t="shared" si="15"/>
        <v>0.93977883005871643</v>
      </c>
    </row>
    <row r="466" spans="1:7">
      <c r="A466" s="53">
        <v>55925</v>
      </c>
      <c r="B466" t="str">
        <f t="shared" si="14"/>
        <v>February</v>
      </c>
      <c r="C466" s="14" t="s">
        <v>11</v>
      </c>
      <c r="D466" s="14">
        <v>110</v>
      </c>
      <c r="E466" s="105">
        <f>_xlfn.FORECAST.LINEAR(Table13[[#This Row],[Date]],Table13[Units_Sold],Table13[Date])</f>
        <v>99.617720182880731</v>
      </c>
      <c r="F466" s="108">
        <f>Table11[[#This Row],[Forecasted_Units]]*(1+Table11[[#This Row],[Adjustment_Percentage]])</f>
        <v>99.617720182880731</v>
      </c>
      <c r="G466" s="113">
        <f t="shared" si="15"/>
        <v>0.9056156380261885</v>
      </c>
    </row>
    <row r="467" spans="1:7">
      <c r="A467" s="54">
        <v>55955</v>
      </c>
      <c r="B467" t="str">
        <f t="shared" si="14"/>
        <v>March</v>
      </c>
      <c r="C467" s="15" t="s">
        <v>13</v>
      </c>
      <c r="D467" s="15">
        <v>91</v>
      </c>
      <c r="E467" s="106">
        <f>_xlfn.FORECAST.LINEAR(Table13[[#This Row],[Date]],Table13[Units_Sold],Table13[Date])</f>
        <v>99.618884379537505</v>
      </c>
      <c r="F467" s="109">
        <f>Table11[[#This Row],[Forecasted_Units]]*(1+Table11[[#This Row],[Adjustment_Percentage]])</f>
        <v>99.618884379537505</v>
      </c>
      <c r="G467" s="113">
        <f t="shared" si="15"/>
        <v>0.90528698484024717</v>
      </c>
    </row>
    <row r="468" spans="1:7">
      <c r="A468" s="53">
        <v>55985</v>
      </c>
      <c r="B468" t="str">
        <f t="shared" si="14"/>
        <v>April</v>
      </c>
      <c r="C468" s="14" t="s">
        <v>11</v>
      </c>
      <c r="D468" s="14">
        <v>103</v>
      </c>
      <c r="E468" s="105">
        <f>_xlfn.FORECAST.LINEAR(Table13[[#This Row],[Date]],Table13[Units_Sold],Table13[Date])</f>
        <v>99.620048576194293</v>
      </c>
      <c r="F468" s="108">
        <f>Table11[[#This Row],[Forecasted_Units]]*(1+Table11[[#This Row],[Adjustment_Percentage]])</f>
        <v>99.620048576194293</v>
      </c>
      <c r="G468" s="113">
        <f t="shared" si="15"/>
        <v>0.96718493763295432</v>
      </c>
    </row>
    <row r="469" spans="1:7">
      <c r="A469" s="54">
        <v>56015</v>
      </c>
      <c r="B469" t="str">
        <f t="shared" si="14"/>
        <v>May</v>
      </c>
      <c r="C469" s="15" t="s">
        <v>10</v>
      </c>
      <c r="D469" s="15">
        <v>84</v>
      </c>
      <c r="E469" s="106">
        <f>_xlfn.FORECAST.LINEAR(Table13[[#This Row],[Date]],Table13[Units_Sold],Table13[Date])</f>
        <v>99.621212772851081</v>
      </c>
      <c r="F469" s="109">
        <f>Table11[[#This Row],[Forecasted_Units]]*(1+Table11[[#This Row],[Adjustment_Percentage]])</f>
        <v>99.621212772851081</v>
      </c>
      <c r="G469" s="113">
        <f t="shared" si="15"/>
        <v>0.81403318127558233</v>
      </c>
    </row>
    <row r="470" spans="1:7">
      <c r="A470" s="53">
        <v>56045</v>
      </c>
      <c r="B470" t="str">
        <f t="shared" si="14"/>
        <v>June</v>
      </c>
      <c r="C470" s="14" t="s">
        <v>11</v>
      </c>
      <c r="D470" s="14">
        <v>93</v>
      </c>
      <c r="E470" s="105">
        <f>_xlfn.FORECAST.LINEAR(Table13[[#This Row],[Date]],Table13[Units_Sold],Table13[Date])</f>
        <v>99.622376969507869</v>
      </c>
      <c r="F470" s="108">
        <f>Table11[[#This Row],[Forecasted_Units]]*(1+Table11[[#This Row],[Adjustment_Percentage]])</f>
        <v>99.622376969507869</v>
      </c>
      <c r="G470" s="113">
        <f t="shared" si="15"/>
        <v>0.92879164548916271</v>
      </c>
    </row>
    <row r="471" spans="1:7">
      <c r="A471" s="54">
        <v>56075</v>
      </c>
      <c r="B471" t="str">
        <f t="shared" si="14"/>
        <v>July</v>
      </c>
      <c r="C471" s="15" t="s">
        <v>13</v>
      </c>
      <c r="D471" s="15">
        <v>113</v>
      </c>
      <c r="E471" s="106">
        <f>_xlfn.FORECAST.LINEAR(Table13[[#This Row],[Date]],Table13[Units_Sold],Table13[Date])</f>
        <v>99.623541166164657</v>
      </c>
      <c r="F471" s="109">
        <f>Table11[[#This Row],[Forecasted_Units]]*(1+Table11[[#This Row],[Adjustment_Percentage]])</f>
        <v>99.623541166164657</v>
      </c>
      <c r="G471" s="113">
        <f t="shared" si="15"/>
        <v>0.88162425810765188</v>
      </c>
    </row>
    <row r="472" spans="1:7">
      <c r="A472" s="53">
        <v>56105</v>
      </c>
      <c r="B472" t="str">
        <f t="shared" si="14"/>
        <v>August</v>
      </c>
      <c r="C472" s="14" t="s">
        <v>11</v>
      </c>
      <c r="D472" s="14">
        <v>105</v>
      </c>
      <c r="E472" s="105">
        <f>_xlfn.FORECAST.LINEAR(Table13[[#This Row],[Date]],Table13[Units_Sold],Table13[Date])</f>
        <v>99.624705362821445</v>
      </c>
      <c r="F472" s="108">
        <f>Table11[[#This Row],[Forecasted_Units]]*(1+Table11[[#This Row],[Adjustment_Percentage]])</f>
        <v>99.624705362821445</v>
      </c>
      <c r="G472" s="113">
        <f t="shared" si="15"/>
        <v>0.94880671774115666</v>
      </c>
    </row>
    <row r="473" spans="1:7">
      <c r="A473" s="54">
        <v>56135</v>
      </c>
      <c r="B473" t="str">
        <f t="shared" si="14"/>
        <v>September</v>
      </c>
      <c r="C473" s="15" t="s">
        <v>14</v>
      </c>
      <c r="D473" s="15">
        <v>83</v>
      </c>
      <c r="E473" s="106">
        <f>_xlfn.FORECAST.LINEAR(Table13[[#This Row],[Date]],Table13[Units_Sold],Table13[Date])</f>
        <v>99.625869559478232</v>
      </c>
      <c r="F473" s="109">
        <f>Table11[[#This Row],[Forecasted_Units]]*(1+Table11[[#This Row],[Adjustment_Percentage]])</f>
        <v>99.625869559478232</v>
      </c>
      <c r="G473" s="113">
        <f t="shared" si="15"/>
        <v>0.79968831856050326</v>
      </c>
    </row>
    <row r="474" spans="1:7">
      <c r="A474" s="53">
        <v>56165</v>
      </c>
      <c r="B474" t="str">
        <f t="shared" si="14"/>
        <v>October</v>
      </c>
      <c r="C474" s="14" t="s">
        <v>11</v>
      </c>
      <c r="D474" s="14">
        <v>96</v>
      </c>
      <c r="E474" s="105">
        <f>_xlfn.FORECAST.LINEAR(Table13[[#This Row],[Date]],Table13[Units_Sold],Table13[Date])</f>
        <v>99.62703375613502</v>
      </c>
      <c r="F474" s="108">
        <f>Table11[[#This Row],[Forecasted_Units]]*(1+Table11[[#This Row],[Adjustment_Percentage]])</f>
        <v>99.62703375613502</v>
      </c>
      <c r="G474" s="113">
        <f t="shared" si="15"/>
        <v>0.96221839837359358</v>
      </c>
    </row>
    <row r="475" spans="1:7">
      <c r="A475" s="54">
        <v>56195</v>
      </c>
      <c r="B475" t="str">
        <f t="shared" si="14"/>
        <v>November</v>
      </c>
      <c r="C475" s="15" t="s">
        <v>14</v>
      </c>
      <c r="D475" s="15">
        <v>107</v>
      </c>
      <c r="E475" s="106">
        <f>_xlfn.FORECAST.LINEAR(Table13[[#This Row],[Date]],Table13[Units_Sold],Table13[Date])</f>
        <v>99.628197952791808</v>
      </c>
      <c r="F475" s="109">
        <f>Table11[[#This Row],[Forecasted_Units]]*(1+Table11[[#This Row],[Adjustment_Percentage]])</f>
        <v>99.628197952791808</v>
      </c>
      <c r="G475" s="113">
        <f t="shared" si="15"/>
        <v>0.93110465376440943</v>
      </c>
    </row>
    <row r="476" spans="1:7">
      <c r="A476" s="53">
        <v>56225</v>
      </c>
      <c r="B476" t="str">
        <f t="shared" si="14"/>
        <v>December</v>
      </c>
      <c r="C476" s="14" t="s">
        <v>11</v>
      </c>
      <c r="D476" s="14">
        <v>83</v>
      </c>
      <c r="E476" s="105">
        <f>_xlfn.FORECAST.LINEAR(Table13[[#This Row],[Date]],Table13[Units_Sold],Table13[Date])</f>
        <v>99.629362149448596</v>
      </c>
      <c r="F476" s="108">
        <f>Table11[[#This Row],[Forecasted_Units]]*(1+Table11[[#This Row],[Adjustment_Percentage]])</f>
        <v>99.629362149448596</v>
      </c>
      <c r="G476" s="113">
        <f t="shared" si="15"/>
        <v>0.79964623916326993</v>
      </c>
    </row>
    <row r="477" spans="1:7">
      <c r="A477" s="54">
        <v>56255</v>
      </c>
      <c r="B477" t="str">
        <f t="shared" si="14"/>
        <v>January</v>
      </c>
      <c r="C477" s="15" t="s">
        <v>13</v>
      </c>
      <c r="D477" s="15">
        <v>105</v>
      </c>
      <c r="E477" s="106">
        <f>_xlfn.FORECAST.LINEAR(Table13[[#This Row],[Date]],Table13[Units_Sold],Table13[Date])</f>
        <v>99.630526346105384</v>
      </c>
      <c r="F477" s="109">
        <f>Table11[[#This Row],[Forecasted_Units]]*(1+Table11[[#This Row],[Adjustment_Percentage]])</f>
        <v>99.630526346105384</v>
      </c>
      <c r="G477" s="113">
        <f t="shared" si="15"/>
        <v>0.94886215567719412</v>
      </c>
    </row>
    <row r="478" spans="1:7">
      <c r="A478" s="53">
        <v>56285</v>
      </c>
      <c r="B478" t="str">
        <f t="shared" si="14"/>
        <v>February</v>
      </c>
      <c r="C478" s="14" t="s">
        <v>12</v>
      </c>
      <c r="D478" s="14">
        <v>112</v>
      </c>
      <c r="E478" s="105">
        <f>_xlfn.FORECAST.LINEAR(Table13[[#This Row],[Date]],Table13[Units_Sold],Table13[Date])</f>
        <v>99.631690542762158</v>
      </c>
      <c r="F478" s="108">
        <f>Table11[[#This Row],[Forecasted_Units]]*(1+Table11[[#This Row],[Adjustment_Percentage]])</f>
        <v>99.631690542762158</v>
      </c>
      <c r="G478" s="113">
        <f t="shared" si="15"/>
        <v>0.88956866556037639</v>
      </c>
    </row>
    <row r="479" spans="1:7">
      <c r="A479" s="54">
        <v>56315</v>
      </c>
      <c r="B479" t="str">
        <f t="shared" si="14"/>
        <v>March</v>
      </c>
      <c r="C479" s="15" t="s">
        <v>12</v>
      </c>
      <c r="D479" s="15">
        <v>99</v>
      </c>
      <c r="E479" s="106">
        <f>_xlfn.FORECAST.LINEAR(Table13[[#This Row],[Date]],Table13[Units_Sold],Table13[Date])</f>
        <v>99.632854739418946</v>
      </c>
      <c r="F479" s="109">
        <f>Table11[[#This Row],[Forecasted_Units]]*(1+Table11[[#This Row],[Adjustment_Percentage]])</f>
        <v>99.632854739418946</v>
      </c>
      <c r="G479" s="113">
        <f t="shared" si="15"/>
        <v>0.99360752788465712</v>
      </c>
    </row>
    <row r="480" spans="1:7">
      <c r="A480" s="53">
        <v>56345</v>
      </c>
      <c r="B480" t="str">
        <f t="shared" si="14"/>
        <v>April</v>
      </c>
      <c r="C480" s="14" t="s">
        <v>14</v>
      </c>
      <c r="D480" s="14">
        <v>111</v>
      </c>
      <c r="E480" s="105">
        <f>_xlfn.FORECAST.LINEAR(Table13[[#This Row],[Date]],Table13[Units_Sold],Table13[Date])</f>
        <v>99.634018936075734</v>
      </c>
      <c r="F480" s="108">
        <f>Table11[[#This Row],[Forecasted_Units]]*(1+Table11[[#This Row],[Adjustment_Percentage]])</f>
        <v>99.634018936075734</v>
      </c>
      <c r="G480" s="113">
        <f t="shared" si="15"/>
        <v>0.89760377419888049</v>
      </c>
    </row>
    <row r="481" spans="1:7">
      <c r="A481" s="54">
        <v>56375</v>
      </c>
      <c r="B481" t="str">
        <f t="shared" si="14"/>
        <v>May</v>
      </c>
      <c r="C481" s="15" t="s">
        <v>14</v>
      </c>
      <c r="D481" s="15">
        <v>105</v>
      </c>
      <c r="E481" s="106">
        <f>_xlfn.FORECAST.LINEAR(Table13[[#This Row],[Date]],Table13[Units_Sold],Table13[Date])</f>
        <v>99.635183132732521</v>
      </c>
      <c r="F481" s="109">
        <f>Table11[[#This Row],[Forecasted_Units]]*(1+Table11[[#This Row],[Adjustment_Percentage]])</f>
        <v>99.635183132732521</v>
      </c>
      <c r="G481" s="113">
        <f t="shared" si="15"/>
        <v>0.948906506026024</v>
      </c>
    </row>
    <row r="482" spans="1:7">
      <c r="A482" s="53">
        <v>56405</v>
      </c>
      <c r="B482" t="str">
        <f t="shared" si="14"/>
        <v>June</v>
      </c>
      <c r="C482" s="14" t="s">
        <v>12</v>
      </c>
      <c r="D482" s="14">
        <v>93</v>
      </c>
      <c r="E482" s="105">
        <f>_xlfn.FORECAST.LINEAR(Table13[[#This Row],[Date]],Table13[Units_Sold],Table13[Date])</f>
        <v>99.636347329389309</v>
      </c>
      <c r="F482" s="108">
        <f>Table11[[#This Row],[Forecasted_Units]]*(1+Table11[[#This Row],[Adjustment_Percentage]])</f>
        <v>99.636347329389309</v>
      </c>
      <c r="G482" s="113">
        <f t="shared" si="15"/>
        <v>0.92864142656570636</v>
      </c>
    </row>
    <row r="483" spans="1:7">
      <c r="A483" s="54">
        <v>56435</v>
      </c>
      <c r="B483" t="str">
        <f t="shared" si="14"/>
        <v>July</v>
      </c>
      <c r="C483" s="15" t="s">
        <v>13</v>
      </c>
      <c r="D483" s="15">
        <v>109</v>
      </c>
      <c r="E483" s="106">
        <f>_xlfn.FORECAST.LINEAR(Table13[[#This Row],[Date]],Table13[Units_Sold],Table13[Date])</f>
        <v>99.637511526046097</v>
      </c>
      <c r="F483" s="109">
        <f>Table11[[#This Row],[Forecasted_Units]]*(1+Table11[[#This Row],[Adjustment_Percentage]])</f>
        <v>99.637511526046097</v>
      </c>
      <c r="G483" s="113">
        <f t="shared" si="15"/>
        <v>0.91410561033069815</v>
      </c>
    </row>
    <row r="484" spans="1:7">
      <c r="A484" s="53">
        <v>56465</v>
      </c>
      <c r="B484" t="str">
        <f t="shared" si="14"/>
        <v>August</v>
      </c>
      <c r="C484" s="14" t="s">
        <v>13</v>
      </c>
      <c r="D484" s="14">
        <v>106</v>
      </c>
      <c r="E484" s="105">
        <f>_xlfn.FORECAST.LINEAR(Table13[[#This Row],[Date]],Table13[Units_Sold],Table13[Date])</f>
        <v>99.638675722702885</v>
      </c>
      <c r="F484" s="108">
        <f>Table11[[#This Row],[Forecasted_Units]]*(1+Table11[[#This Row],[Adjustment_Percentage]])</f>
        <v>99.638675722702885</v>
      </c>
      <c r="G484" s="113">
        <f t="shared" si="15"/>
        <v>0.93998750681795173</v>
      </c>
    </row>
    <row r="485" spans="1:7">
      <c r="A485" s="54">
        <v>56495</v>
      </c>
      <c r="B485" t="str">
        <f t="shared" si="14"/>
        <v>September</v>
      </c>
      <c r="C485" s="15" t="s">
        <v>11</v>
      </c>
      <c r="D485" s="15">
        <v>106</v>
      </c>
      <c r="E485" s="106">
        <f>_xlfn.FORECAST.LINEAR(Table13[[#This Row],[Date]],Table13[Units_Sold],Table13[Date])</f>
        <v>99.639839919359673</v>
      </c>
      <c r="F485" s="109">
        <f>Table11[[#This Row],[Forecasted_Units]]*(1+Table11[[#This Row],[Adjustment_Percentage]])</f>
        <v>99.639839919359673</v>
      </c>
      <c r="G485" s="113">
        <f t="shared" si="15"/>
        <v>0.93999848980527989</v>
      </c>
    </row>
    <row r="486" spans="1:7">
      <c r="A486" s="53">
        <v>56525</v>
      </c>
      <c r="B486" t="str">
        <f t="shared" si="14"/>
        <v>October</v>
      </c>
      <c r="C486" s="14" t="s">
        <v>14</v>
      </c>
      <c r="D486" s="14">
        <v>103</v>
      </c>
      <c r="E486" s="105">
        <f>_xlfn.FORECAST.LINEAR(Table13[[#This Row],[Date]],Table13[Units_Sold],Table13[Date])</f>
        <v>99.641004116016461</v>
      </c>
      <c r="F486" s="108">
        <f>Table11[[#This Row],[Forecasted_Units]]*(1+Table11[[#This Row],[Adjustment_Percentage]])</f>
        <v>99.641004116016461</v>
      </c>
      <c r="G486" s="113">
        <f t="shared" si="15"/>
        <v>0.96738838947588801</v>
      </c>
    </row>
    <row r="487" spans="1:7">
      <c r="A487" s="54">
        <v>56555</v>
      </c>
      <c r="B487" t="str">
        <f t="shared" si="14"/>
        <v>November</v>
      </c>
      <c r="C487" s="15" t="s">
        <v>13</v>
      </c>
      <c r="D487" s="15">
        <v>113</v>
      </c>
      <c r="E487" s="106">
        <f>_xlfn.FORECAST.LINEAR(Table13[[#This Row],[Date]],Table13[Units_Sold],Table13[Date])</f>
        <v>99.642168312673249</v>
      </c>
      <c r="F487" s="109">
        <f>Table11[[#This Row],[Forecasted_Units]]*(1+Table11[[#This Row],[Adjustment_Percentage]])</f>
        <v>99.642168312673249</v>
      </c>
      <c r="G487" s="113">
        <f t="shared" si="15"/>
        <v>0.88178910011215261</v>
      </c>
    </row>
    <row r="488" spans="1:7">
      <c r="A488" s="53">
        <v>56585</v>
      </c>
      <c r="B488" t="str">
        <f t="shared" si="14"/>
        <v>December</v>
      </c>
      <c r="C488" s="14" t="s">
        <v>10</v>
      </c>
      <c r="D488" s="14">
        <v>111</v>
      </c>
      <c r="E488" s="105">
        <f>_xlfn.FORECAST.LINEAR(Table13[[#This Row],[Date]],Table13[Units_Sold],Table13[Date])</f>
        <v>99.643332509330037</v>
      </c>
      <c r="F488" s="108">
        <f>Table11[[#This Row],[Forecasted_Units]]*(1+Table11[[#This Row],[Adjustment_Percentage]])</f>
        <v>99.643332509330037</v>
      </c>
      <c r="G488" s="113">
        <f t="shared" si="15"/>
        <v>0.89768768026423462</v>
      </c>
    </row>
    <row r="489" spans="1:7">
      <c r="A489" s="54">
        <v>56615</v>
      </c>
      <c r="B489" t="str">
        <f t="shared" si="14"/>
        <v>January</v>
      </c>
      <c r="C489" s="15" t="s">
        <v>11</v>
      </c>
      <c r="D489" s="15">
        <f>IF(ISBLANK(D442), O443, D442)</f>
        <v>92</v>
      </c>
      <c r="E489" s="106">
        <f>_xlfn.FORECAST.LINEAR(Table13[[#This Row],[Date]],Table13[Units_Sold],Table13[Date])</f>
        <v>99.644496705986811</v>
      </c>
      <c r="F489" s="109">
        <f>Table11[[#This Row],[Forecasted_Units]]*(1+Table11[[#This Row],[Adjustment_Percentage]])</f>
        <v>99.644496705986811</v>
      </c>
      <c r="G489" s="113">
        <f t="shared" si="15"/>
        <v>0.91690764450014339</v>
      </c>
    </row>
    <row r="490" spans="1:7">
      <c r="A490" s="53">
        <v>56645</v>
      </c>
      <c r="B490" t="str">
        <f t="shared" si="14"/>
        <v>January</v>
      </c>
      <c r="C490" s="14" t="s">
        <v>11</v>
      </c>
      <c r="D490" s="14">
        <v>89</v>
      </c>
      <c r="E490" s="105">
        <f>_xlfn.FORECAST.LINEAR(Table13[[#This Row],[Date]],Table13[Units_Sold],Table13[Date])</f>
        <v>99.645660902643598</v>
      </c>
      <c r="F490" s="108">
        <f>Table11[[#This Row],[Forecasted_Units]]*(1+Table11[[#This Row],[Adjustment_Percentage]])</f>
        <v>99.645660902643598</v>
      </c>
      <c r="G490" s="113">
        <f t="shared" si="15"/>
        <v>0.88038583255456637</v>
      </c>
    </row>
    <row r="491" spans="1:7">
      <c r="A491" s="54">
        <v>56675</v>
      </c>
      <c r="B491" t="str">
        <f t="shared" si="14"/>
        <v>March</v>
      </c>
      <c r="C491" s="15" t="s">
        <v>12</v>
      </c>
      <c r="D491" s="15">
        <v>111</v>
      </c>
      <c r="E491" s="106">
        <f>_xlfn.FORECAST.LINEAR(Table13[[#This Row],[Date]],Table13[Units_Sold],Table13[Date])</f>
        <v>99.646825099300386</v>
      </c>
      <c r="F491" s="109">
        <f>Table11[[#This Row],[Forecasted_Units]]*(1+Table11[[#This Row],[Adjustment_Percentage]])</f>
        <v>99.646825099300386</v>
      </c>
      <c r="G491" s="113">
        <f t="shared" si="15"/>
        <v>0.89771914503874217</v>
      </c>
    </row>
    <row r="492" spans="1:7">
      <c r="A492" s="53">
        <v>56705</v>
      </c>
      <c r="B492" t="str">
        <f t="shared" si="14"/>
        <v>April</v>
      </c>
      <c r="C492" s="14" t="s">
        <v>14</v>
      </c>
      <c r="D492" s="14">
        <v>104</v>
      </c>
      <c r="E492" s="105">
        <f>_xlfn.FORECAST.LINEAR(Table13[[#This Row],[Date]],Table13[Units_Sold],Table13[Date])</f>
        <v>99.647989295957174</v>
      </c>
      <c r="F492" s="108">
        <f>Table11[[#This Row],[Forecasted_Units]]*(1+Table11[[#This Row],[Adjustment_Percentage]])</f>
        <v>99.647989295957174</v>
      </c>
      <c r="G492" s="113">
        <f t="shared" si="15"/>
        <v>0.9581537432303574</v>
      </c>
    </row>
    <row r="493" spans="1:7">
      <c r="A493" s="54">
        <v>56735</v>
      </c>
      <c r="B493" t="str">
        <f t="shared" si="14"/>
        <v>May</v>
      </c>
      <c r="C493" s="15" t="s">
        <v>13</v>
      </c>
      <c r="D493" s="15">
        <f>IF(ISBLANK(D446), O447, D446)</f>
        <v>108</v>
      </c>
      <c r="E493" s="106">
        <f>_xlfn.FORECAST.LINEAR(Table13[[#This Row],[Date]],Table13[Units_Sold],Table13[Date])</f>
        <v>99.649153492613962</v>
      </c>
      <c r="F493" s="109">
        <f>Table11[[#This Row],[Forecasted_Units]]*(1+Table11[[#This Row],[Adjustment_Percentage]])</f>
        <v>99.649153492613962</v>
      </c>
      <c r="G493" s="113">
        <f t="shared" si="15"/>
        <v>0.92267734715383298</v>
      </c>
    </row>
    <row r="494" spans="1:7">
      <c r="A494" s="53">
        <v>56765</v>
      </c>
      <c r="B494" t="str">
        <f t="shared" si="14"/>
        <v>May</v>
      </c>
      <c r="C494" s="14" t="s">
        <v>13</v>
      </c>
      <c r="D494" s="14">
        <v>109</v>
      </c>
      <c r="E494" s="105">
        <f>_xlfn.FORECAST.LINEAR(Table13[[#This Row],[Date]],Table13[Units_Sold],Table13[Date])</f>
        <v>99.65031768927075</v>
      </c>
      <c r="F494" s="108">
        <f>Table11[[#This Row],[Forecasted_Units]]*(1+Table11[[#This Row],[Adjustment_Percentage]])</f>
        <v>99.65031768927075</v>
      </c>
      <c r="G494" s="113">
        <f t="shared" si="15"/>
        <v>0.9142230980667041</v>
      </c>
    </row>
    <row r="495" spans="1:7">
      <c r="A495" s="54">
        <v>56795</v>
      </c>
      <c r="B495" t="str">
        <f t="shared" si="14"/>
        <v>June</v>
      </c>
      <c r="C495" s="15" t="s">
        <v>11</v>
      </c>
      <c r="D495" s="15">
        <v>108</v>
      </c>
      <c r="E495" s="106">
        <f>_xlfn.FORECAST.LINEAR(Table13[[#This Row],[Date]],Table13[Units_Sold],Table13[Date])</f>
        <v>99.651481885927538</v>
      </c>
      <c r="F495" s="109">
        <f>Table11[[#This Row],[Forecasted_Units]]*(1+Table11[[#This Row],[Adjustment_Percentage]])</f>
        <v>99.651481885927538</v>
      </c>
      <c r="G495" s="113">
        <f t="shared" si="15"/>
        <v>0.9226989063511809</v>
      </c>
    </row>
    <row r="496" spans="1:7">
      <c r="A496" s="53">
        <v>56825</v>
      </c>
      <c r="B496" t="str">
        <f t="shared" si="14"/>
        <v>July</v>
      </c>
      <c r="C496" s="14" t="s">
        <v>14</v>
      </c>
      <c r="D496" s="14">
        <v>127</v>
      </c>
      <c r="E496" s="105">
        <f>_xlfn.FORECAST.LINEAR(Table13[[#This Row],[Date]],Table13[Units_Sold],Table13[Date])</f>
        <v>99.652646082584326</v>
      </c>
      <c r="F496" s="108">
        <f>Table11[[#This Row],[Forecasted_Units]]*(1+Table11[[#This Row],[Adjustment_Percentage]])</f>
        <v>99.652646082584326</v>
      </c>
      <c r="G496" s="113">
        <f t="shared" si="15"/>
        <v>0.78466650458727816</v>
      </c>
    </row>
    <row r="497" spans="1:7">
      <c r="A497" s="54">
        <v>56855</v>
      </c>
      <c r="B497" t="str">
        <f t="shared" si="14"/>
        <v>August</v>
      </c>
      <c r="C497" s="15" t="s">
        <v>14</v>
      </c>
      <c r="D497" s="15">
        <v>104</v>
      </c>
      <c r="E497" s="106">
        <f>_xlfn.FORECAST.LINEAR(Table13[[#This Row],[Date]],Table13[Units_Sold],Table13[Date])</f>
        <v>99.653810279241114</v>
      </c>
      <c r="F497" s="109">
        <f>Table11[[#This Row],[Forecasted_Units]]*(1+Table11[[#This Row],[Adjustment_Percentage]])</f>
        <v>99.653810279241114</v>
      </c>
      <c r="G497" s="113">
        <f t="shared" si="15"/>
        <v>0.95820971422347223</v>
      </c>
    </row>
    <row r="498" spans="1:7">
      <c r="A498" s="53">
        <v>56885</v>
      </c>
      <c r="B498" t="str">
        <f t="shared" si="14"/>
        <v>September</v>
      </c>
      <c r="C498" s="14" t="s">
        <v>14</v>
      </c>
      <c r="D498" s="14">
        <v>106</v>
      </c>
      <c r="E498" s="105">
        <f>_xlfn.FORECAST.LINEAR(Table13[[#This Row],[Date]],Table13[Units_Sold],Table13[Date])</f>
        <v>99.654974475897902</v>
      </c>
      <c r="F498" s="108">
        <f>Table11[[#This Row],[Forecasted_Units]]*(1+Table11[[#This Row],[Adjustment_Percentage]])</f>
        <v>99.654974475897902</v>
      </c>
      <c r="G498" s="113">
        <f t="shared" si="15"/>
        <v>0.94014126864054626</v>
      </c>
    </row>
    <row r="499" spans="1:7">
      <c r="A499" s="54">
        <v>56915</v>
      </c>
      <c r="B499" t="str">
        <f t="shared" si="14"/>
        <v>October</v>
      </c>
      <c r="C499" s="15" t="s">
        <v>12</v>
      </c>
      <c r="D499" s="15">
        <v>94</v>
      </c>
      <c r="E499" s="106">
        <f>_xlfn.FORECAST.LINEAR(Table13[[#This Row],[Date]],Table13[Units_Sold],Table13[Date])</f>
        <v>99.65613867255469</v>
      </c>
      <c r="F499" s="109">
        <f>Table11[[#This Row],[Forecasted_Units]]*(1+Table11[[#This Row],[Adjustment_Percentage]])</f>
        <v>99.65613867255469</v>
      </c>
      <c r="G499" s="113">
        <f t="shared" si="15"/>
        <v>0.939828311994099</v>
      </c>
    </row>
    <row r="500" spans="1:7">
      <c r="A500" s="53">
        <v>56945</v>
      </c>
      <c r="B500" t="str">
        <f t="shared" si="14"/>
        <v>November</v>
      </c>
      <c r="C500" s="14" t="s">
        <v>13</v>
      </c>
      <c r="D500" s="14">
        <v>81</v>
      </c>
      <c r="E500" s="105">
        <f>_xlfn.FORECAST.LINEAR(Table13[[#This Row],[Date]],Table13[Units_Sold],Table13[Date])</f>
        <v>99.657302869211463</v>
      </c>
      <c r="F500" s="108">
        <f>Table11[[#This Row],[Forecasted_Units]]*(1+Table11[[#This Row],[Adjustment_Percentage]])</f>
        <v>99.657302869211463</v>
      </c>
      <c r="G500" s="113">
        <f t="shared" si="15"/>
        <v>0.76966292754059928</v>
      </c>
    </row>
    <row r="501" spans="1:7">
      <c r="A501" s="54">
        <v>56975</v>
      </c>
      <c r="B501" t="str">
        <f t="shared" si="14"/>
        <v>December</v>
      </c>
      <c r="C501" s="15" t="s">
        <v>14</v>
      </c>
      <c r="D501" s="15">
        <v>95</v>
      </c>
      <c r="E501" s="106">
        <f>_xlfn.FORECAST.LINEAR(Table13[[#This Row],[Date]],Table13[Units_Sold],Table13[Date])</f>
        <v>99.658467065868251</v>
      </c>
      <c r="F501" s="109">
        <f>Table11[[#This Row],[Forecasted_Units]]*(1+Table11[[#This Row],[Adjustment_Percentage]])</f>
        <v>99.658467065868251</v>
      </c>
      <c r="G501" s="113">
        <f t="shared" si="15"/>
        <v>0.95096350456980794</v>
      </c>
    </row>
  </sheetData>
  <conditionalFormatting sqref="A1:A501">
    <cfRule type="containsBlanks" dxfId="4" priority="5">
      <formula>LEN(TRIM(A1))=0</formula>
    </cfRule>
  </conditionalFormatting>
  <conditionalFormatting sqref="C2:C501">
    <cfRule type="containsBlanks" dxfId="3" priority="1">
      <formula>LEN(TRIM(C2))=0</formula>
    </cfRule>
  </conditionalFormatting>
  <conditionalFormatting sqref="D1:D501">
    <cfRule type="cellIs" dxfId="2" priority="3" operator="greaterThan">
      <formula>127</formula>
    </cfRule>
    <cfRule type="containsBlanks" dxfId="1" priority="4">
      <formula>LEN(TRIM(D1))=0</formula>
    </cfRule>
  </conditionalFormatting>
  <conditionalFormatting sqref="D2:D501">
    <cfRule type="cellIs" dxfId="0" priority="2" operator="notBetween">
      <formula>75</formula>
      <formula>127</formula>
    </cfRule>
  </conditionalFormatting>
  <dataValidations count="1">
    <dataValidation type="list" allowBlank="1" showInputMessage="1" showErrorMessage="1" sqref="C2:C501" xr:uid="{E214CDDB-5DBD-4F42-B42B-C80450537955}">
      <formula1>"SUV,Sedan,Hatchback,Electric,Truck"</formula1>
    </dataValidation>
  </dataValidations>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6D5A5-589B-4705-9980-4B9ECE005DD6}">
  <sheetPr codeName="Sheet44"/>
  <dimension ref="A3:B10"/>
  <sheetViews>
    <sheetView workbookViewId="0">
      <selection activeCell="A3" sqref="A3"/>
    </sheetView>
  </sheetViews>
  <sheetFormatPr defaultRowHeight="14.4"/>
  <cols>
    <col min="1" max="1" width="19.44140625" bestFit="1" customWidth="1"/>
    <col min="2" max="2" width="26.77734375" bestFit="1" customWidth="1"/>
  </cols>
  <sheetData>
    <row r="3" spans="1:2">
      <c r="A3" s="3" t="s">
        <v>37</v>
      </c>
      <c r="B3" t="s">
        <v>260</v>
      </c>
    </row>
    <row r="4" spans="1:2">
      <c r="A4" s="4" t="s">
        <v>212</v>
      </c>
      <c r="B4">
        <v>-0.7</v>
      </c>
    </row>
    <row r="5" spans="1:2">
      <c r="A5" s="4" t="s">
        <v>209</v>
      </c>
      <c r="B5">
        <v>-6.3000000000000007</v>
      </c>
    </row>
    <row r="6" spans="1:2">
      <c r="A6" s="4" t="s">
        <v>208</v>
      </c>
      <c r="B6">
        <v>1.05</v>
      </c>
    </row>
    <row r="7" spans="1:2">
      <c r="A7" s="4" t="s">
        <v>211</v>
      </c>
      <c r="B7">
        <v>-0.36</v>
      </c>
    </row>
    <row r="8" spans="1:2">
      <c r="A8" s="4" t="s">
        <v>210</v>
      </c>
      <c r="B8">
        <v>0.4</v>
      </c>
    </row>
    <row r="9" spans="1:2">
      <c r="A9" s="4" t="s">
        <v>259</v>
      </c>
    </row>
    <row r="10" spans="1:2">
      <c r="A10" s="4" t="s">
        <v>38</v>
      </c>
      <c r="B10">
        <v>-5.910000000000001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24275-9433-4D2D-BE1C-B49FCF74C4C1}">
  <sheetPr codeName="Sheet45"/>
  <dimension ref="A3:C16"/>
  <sheetViews>
    <sheetView workbookViewId="0">
      <selection activeCell="A3" sqref="A3"/>
    </sheetView>
  </sheetViews>
  <sheetFormatPr defaultRowHeight="14.4"/>
  <cols>
    <col min="1" max="1" width="12.5546875" bestFit="1" customWidth="1"/>
    <col min="2" max="2" width="23.33203125" bestFit="1" customWidth="1"/>
    <col min="3" max="3" width="18.5546875" bestFit="1" customWidth="1"/>
  </cols>
  <sheetData>
    <row r="3" spans="1:3">
      <c r="A3" s="3" t="s">
        <v>37</v>
      </c>
      <c r="B3" t="s">
        <v>265</v>
      </c>
      <c r="C3" t="s">
        <v>264</v>
      </c>
    </row>
    <row r="4" spans="1:3">
      <c r="A4" s="4" t="s">
        <v>66</v>
      </c>
      <c r="B4" s="82">
        <v>4054.5637754167014</v>
      </c>
      <c r="C4" s="81">
        <v>37.121753942238435</v>
      </c>
    </row>
    <row r="5" spans="1:3">
      <c r="A5" s="4" t="s">
        <v>67</v>
      </c>
      <c r="B5" s="82">
        <v>3810.4274822579287</v>
      </c>
      <c r="C5" s="81">
        <v>34.439773377027123</v>
      </c>
    </row>
    <row r="6" spans="1:3">
      <c r="A6" s="4" t="s">
        <v>68</v>
      </c>
      <c r="B6" s="82">
        <v>4138.6295552518213</v>
      </c>
      <c r="C6" s="81">
        <v>37.539348052139026</v>
      </c>
    </row>
    <row r="7" spans="1:3">
      <c r="A7" s="4" t="s">
        <v>69</v>
      </c>
      <c r="B7" s="82">
        <v>4078.920043466574</v>
      </c>
      <c r="C7" s="81">
        <v>37.617768442544488</v>
      </c>
    </row>
    <row r="8" spans="1:3">
      <c r="A8" s="4" t="s">
        <v>65</v>
      </c>
      <c r="B8" s="82">
        <v>4391.888351059004</v>
      </c>
      <c r="C8" s="81">
        <v>39.804022424171713</v>
      </c>
    </row>
    <row r="9" spans="1:3">
      <c r="A9" s="4" t="s">
        <v>70</v>
      </c>
      <c r="B9" s="82">
        <v>3935.3383577502309</v>
      </c>
      <c r="C9" s="81">
        <v>36.056755289129633</v>
      </c>
    </row>
    <row r="10" spans="1:3">
      <c r="A10" s="4" t="s">
        <v>71</v>
      </c>
      <c r="B10" s="82">
        <v>4153.8633206532813</v>
      </c>
      <c r="C10" s="81">
        <v>38.741668263607515</v>
      </c>
    </row>
    <row r="11" spans="1:3">
      <c r="A11" s="4" t="s">
        <v>72</v>
      </c>
      <c r="B11" s="82">
        <v>4118.9102695186784</v>
      </c>
      <c r="C11" s="81">
        <v>38.102348567242181</v>
      </c>
    </row>
    <row r="12" spans="1:3">
      <c r="A12" s="4" t="s">
        <v>73</v>
      </c>
      <c r="B12" s="82">
        <v>4054.3929877671503</v>
      </c>
      <c r="C12" s="81">
        <v>37.83015525424873</v>
      </c>
    </row>
    <row r="13" spans="1:3">
      <c r="A13" s="4" t="s">
        <v>74</v>
      </c>
      <c r="B13" s="82">
        <v>4249.1229974449489</v>
      </c>
      <c r="C13" s="81">
        <v>39.399232889110856</v>
      </c>
    </row>
    <row r="14" spans="1:3">
      <c r="A14" s="4" t="s">
        <v>75</v>
      </c>
      <c r="B14" s="82">
        <v>4019.8121885135538</v>
      </c>
      <c r="C14" s="81">
        <v>37.076197838196947</v>
      </c>
    </row>
    <row r="15" spans="1:3">
      <c r="A15" s="4" t="s">
        <v>76</v>
      </c>
      <c r="B15" s="82">
        <v>4092.5043103798016</v>
      </c>
      <c r="C15" s="81">
        <v>37.521871581728306</v>
      </c>
    </row>
    <row r="16" spans="1:3">
      <c r="A16" s="4" t="s">
        <v>38</v>
      </c>
      <c r="B16" s="82">
        <v>49098.373639479672</v>
      </c>
      <c r="C16" s="81">
        <v>451.25089592138494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A074B-155E-41C4-BDA5-E1FE74277006}">
  <sheetPr codeName="Sheet46"/>
  <dimension ref="C2:N7"/>
  <sheetViews>
    <sheetView workbookViewId="0">
      <selection activeCell="C5" sqref="C5:F5"/>
    </sheetView>
  </sheetViews>
  <sheetFormatPr defaultRowHeight="14.4"/>
  <cols>
    <col min="4" max="4" width="20" customWidth="1"/>
    <col min="5" max="5" width="13.88671875" customWidth="1"/>
    <col min="6" max="6" width="10.77734375" customWidth="1"/>
    <col min="9" max="9" width="9.88671875" customWidth="1"/>
    <col min="10" max="10" width="15.88671875" customWidth="1"/>
    <col min="13" max="13" width="12.44140625" customWidth="1"/>
  </cols>
  <sheetData>
    <row r="2" spans="3:14" ht="18">
      <c r="C2" s="116" t="s">
        <v>266</v>
      </c>
      <c r="D2" s="116"/>
      <c r="E2" s="95">
        <f>SUM(Table13[Forecasted_Units])</f>
        <v>49684</v>
      </c>
      <c r="I2" s="82"/>
      <c r="K2" s="117" t="s">
        <v>267</v>
      </c>
      <c r="L2" s="117"/>
      <c r="M2" s="117"/>
      <c r="N2" s="18" cm="1">
        <f t="array" ref="N2">AVERAGE(ABS(Table13[Units_Sold]-Table13[Forecasted_Units]))</f>
        <v>8.2078728680354729</v>
      </c>
    </row>
    <row r="3" spans="3:14">
      <c r="K3" t="s">
        <v>271</v>
      </c>
    </row>
    <row r="5" spans="3:14" ht="18">
      <c r="C5" s="118" t="s">
        <v>268</v>
      </c>
      <c r="D5" s="119"/>
      <c r="E5" s="119"/>
      <c r="F5" s="115" cm="1">
        <f t="array" ref="F5">AVERAGE(ABS((Table13[Units_Sold]-Table13[Forecasted_Units])/Table13[Units_Sold]))*100</f>
        <v>8.4002273207128102</v>
      </c>
      <c r="H5" s="23" t="s">
        <v>269</v>
      </c>
      <c r="I5" s="23"/>
      <c r="J5" s="23"/>
      <c r="K5" s="18" cm="1">
        <f t="array" ref="K5">SQRT(AVERAGE((Table13[Forecasted_Units]-Table13[Units_Sold])^2))</f>
        <v>10.215690851542359</v>
      </c>
    </row>
    <row r="7" spans="3:14">
      <c r="C7" t="s">
        <v>270</v>
      </c>
      <c r="H7" t="s">
        <v>272</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845D7-1BD8-4EFA-846B-5EE88B60E8AE}">
  <sheetPr codeName="Sheet47"/>
  <dimension ref="C2:AB13"/>
  <sheetViews>
    <sheetView topLeftCell="B1" zoomScale="68" workbookViewId="0">
      <selection activeCell="O23" sqref="O23"/>
    </sheetView>
  </sheetViews>
  <sheetFormatPr defaultRowHeight="14.4"/>
  <cols>
    <col min="1" max="3" width="8.88671875" style="114"/>
    <col min="4" max="4" width="15.44140625" style="114" customWidth="1"/>
    <col min="5" max="8" width="8.88671875" style="114"/>
    <col min="9" max="9" width="11.77734375" style="114" customWidth="1"/>
    <col min="10" max="12" width="8.88671875" style="114"/>
    <col min="13" max="13" width="11.44140625" style="114" customWidth="1"/>
    <col min="14" max="14" width="16.77734375" style="114" customWidth="1"/>
    <col min="15" max="15" width="10.21875" style="114" customWidth="1"/>
    <col min="16" max="18" width="8.88671875" style="114"/>
    <col min="19" max="19" width="17.5546875" style="114" customWidth="1"/>
    <col min="20" max="16384" width="8.88671875" style="114"/>
  </cols>
  <sheetData>
    <row r="2" spans="3:28" ht="25.8">
      <c r="F2" s="120" t="s">
        <v>406</v>
      </c>
      <c r="G2" s="120"/>
      <c r="H2" s="120"/>
      <c r="I2" s="120"/>
      <c r="J2" s="120"/>
      <c r="K2" s="120"/>
      <c r="L2" s="120"/>
      <c r="M2" s="120"/>
      <c r="N2" s="120"/>
      <c r="O2" s="120"/>
      <c r="P2" s="152"/>
      <c r="Q2" s="152"/>
      <c r="R2" s="152"/>
      <c r="S2" s="152"/>
      <c r="T2" s="152"/>
    </row>
    <row r="6" spans="3:28" ht="18">
      <c r="C6" s="116" t="s">
        <v>266</v>
      </c>
      <c r="D6" s="116"/>
      <c r="E6" s="95">
        <f>SUM(Table13[Forecasted_Units])</f>
        <v>49684</v>
      </c>
      <c r="G6" s="117" t="s">
        <v>267</v>
      </c>
      <c r="H6" s="117"/>
      <c r="I6" s="117"/>
      <c r="J6" s="18" cm="1">
        <f t="array" ref="J6">AVERAGE(ABS(Table13[Units_Sold]-Table13[Forecasted_Units]))</f>
        <v>8.2078728680354729</v>
      </c>
      <c r="L6" s="118" t="s">
        <v>268</v>
      </c>
      <c r="M6" s="119"/>
      <c r="N6" s="119"/>
      <c r="O6" s="115" cm="1">
        <f t="array" ref="O6">AVERAGE(ABS((Table13[Units_Sold]-Table13[Forecasted_Units])/Table13[Units_Sold]))*100</f>
        <v>8.4002273207128102</v>
      </c>
      <c r="Q6" s="23" t="s">
        <v>269</v>
      </c>
      <c r="R6" s="23"/>
      <c r="S6" s="23"/>
      <c r="T6" s="18" cm="1">
        <f t="array" ref="T6">SQRT(AVERAGE((Table13[Forecasted_Units]-Table13[Units_Sold])^2))</f>
        <v>10.215690851542359</v>
      </c>
    </row>
    <row r="8" spans="3:28">
      <c r="V8" s="126" t="s">
        <v>273</v>
      </c>
      <c r="W8" s="39"/>
      <c r="X8" s="39"/>
      <c r="Y8" s="126" t="s">
        <v>288</v>
      </c>
      <c r="Z8" s="39"/>
      <c r="AA8" s="39"/>
      <c r="AB8" s="39"/>
    </row>
    <row r="9" spans="3:28">
      <c r="V9" s="39"/>
      <c r="W9" s="39"/>
      <c r="X9" s="39"/>
      <c r="Y9" s="39"/>
      <c r="Z9" s="39"/>
      <c r="AA9" s="39"/>
      <c r="AB9" s="39"/>
    </row>
    <row r="10" spans="3:28">
      <c r="V10" s="39" t="s">
        <v>284</v>
      </c>
      <c r="W10" s="39"/>
      <c r="X10" s="39"/>
      <c r="Y10" s="39" t="s">
        <v>289</v>
      </c>
      <c r="Z10" s="39"/>
      <c r="AA10" s="39"/>
      <c r="AB10" s="39"/>
    </row>
    <row r="11" spans="3:28">
      <c r="V11" s="39" t="s">
        <v>285</v>
      </c>
      <c r="W11" s="39"/>
      <c r="X11" s="39"/>
      <c r="Y11" s="39" t="s">
        <v>290</v>
      </c>
      <c r="Z11" s="39"/>
      <c r="AA11" s="39"/>
      <c r="AB11" s="39"/>
    </row>
    <row r="12" spans="3:28">
      <c r="V12" s="39" t="s">
        <v>286</v>
      </c>
      <c r="W12" s="39"/>
      <c r="X12" s="39"/>
      <c r="Y12" s="39" t="s">
        <v>291</v>
      </c>
      <c r="Z12" s="39"/>
      <c r="AA12" s="39"/>
      <c r="AB12" s="39"/>
    </row>
    <row r="13" spans="3:28">
      <c r="V13" s="39" t="s">
        <v>287</v>
      </c>
      <c r="W13" s="39"/>
      <c r="X13" s="39"/>
      <c r="Y13" s="39" t="s">
        <v>292</v>
      </c>
      <c r="Z13" s="39"/>
      <c r="AA13" s="39"/>
      <c r="AB13" s="3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4B893-0AFF-48BB-AB96-D63B1D8D7A14}">
  <sheetPr codeName="Sheet52"/>
  <dimension ref="A3:B8"/>
  <sheetViews>
    <sheetView workbookViewId="0">
      <selection activeCell="C25" sqref="C25"/>
    </sheetView>
  </sheetViews>
  <sheetFormatPr defaultRowHeight="14.4"/>
  <cols>
    <col min="1" max="1" width="12.5546875" bestFit="1" customWidth="1"/>
    <col min="2" max="2" width="16.5546875" bestFit="1" customWidth="1"/>
  </cols>
  <sheetData>
    <row r="3" spans="1:2">
      <c r="A3" s="3" t="s">
        <v>37</v>
      </c>
      <c r="B3" t="s">
        <v>39</v>
      </c>
    </row>
    <row r="4" spans="1:2">
      <c r="A4" s="4" t="s">
        <v>44</v>
      </c>
      <c r="B4">
        <v>2156</v>
      </c>
    </row>
    <row r="5" spans="1:2">
      <c r="A5" s="4" t="s">
        <v>42</v>
      </c>
      <c r="B5">
        <v>3854</v>
      </c>
    </row>
    <row r="6" spans="1:2">
      <c r="A6" s="4" t="s">
        <v>43</v>
      </c>
      <c r="B6">
        <v>1868</v>
      </c>
    </row>
    <row r="7" spans="1:2">
      <c r="A7" s="4" t="s">
        <v>41</v>
      </c>
      <c r="B7">
        <v>4691</v>
      </c>
    </row>
    <row r="8" spans="1:2">
      <c r="A8" s="4" t="s">
        <v>38</v>
      </c>
      <c r="B8">
        <v>12569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02B79-C767-46D2-8A0C-2FDF191D0B4E}">
  <sheetPr codeName="Sheet13"/>
  <dimension ref="A3:G17"/>
  <sheetViews>
    <sheetView workbookViewId="0">
      <selection activeCell="N25" sqref="N25"/>
    </sheetView>
  </sheetViews>
  <sheetFormatPr defaultRowHeight="14.4"/>
  <cols>
    <col min="1" max="1" width="16.5546875" bestFit="1" customWidth="1"/>
    <col min="2" max="2" width="15.5546875" bestFit="1" customWidth="1"/>
    <col min="3" max="3" width="9.88671875" bestFit="1" customWidth="1"/>
    <col min="4" max="4" width="6.21875" bestFit="1" customWidth="1"/>
    <col min="5" max="5" width="5" bestFit="1" customWidth="1"/>
    <col min="6" max="6" width="5.6640625" bestFit="1" customWidth="1"/>
    <col min="7" max="7" width="10.77734375" bestFit="1" customWidth="1"/>
  </cols>
  <sheetData>
    <row r="3" spans="1:7">
      <c r="A3" s="3" t="s">
        <v>39</v>
      </c>
      <c r="B3" s="3" t="s">
        <v>111</v>
      </c>
    </row>
    <row r="4" spans="1:7">
      <c r="A4" s="3" t="s">
        <v>37</v>
      </c>
      <c r="B4" t="s">
        <v>13</v>
      </c>
      <c r="C4" t="s">
        <v>11</v>
      </c>
      <c r="D4" t="s">
        <v>10</v>
      </c>
      <c r="E4" t="s">
        <v>12</v>
      </c>
      <c r="F4" t="s">
        <v>14</v>
      </c>
      <c r="G4" t="s">
        <v>38</v>
      </c>
    </row>
    <row r="5" spans="1:7">
      <c r="A5" s="4" t="s">
        <v>100</v>
      </c>
      <c r="B5">
        <v>114</v>
      </c>
      <c r="C5">
        <v>186</v>
      </c>
      <c r="D5">
        <v>397</v>
      </c>
      <c r="F5">
        <v>202</v>
      </c>
      <c r="G5">
        <v>899</v>
      </c>
    </row>
    <row r="6" spans="1:7">
      <c r="A6" s="4" t="s">
        <v>101</v>
      </c>
      <c r="B6">
        <v>196</v>
      </c>
      <c r="C6">
        <v>270</v>
      </c>
      <c r="D6">
        <v>87</v>
      </c>
      <c r="E6">
        <v>1099</v>
      </c>
      <c r="F6">
        <v>222</v>
      </c>
      <c r="G6">
        <v>1874</v>
      </c>
    </row>
    <row r="7" spans="1:7">
      <c r="A7" s="4" t="s">
        <v>102</v>
      </c>
      <c r="B7">
        <v>98</v>
      </c>
      <c r="C7">
        <v>218</v>
      </c>
      <c r="D7">
        <v>99</v>
      </c>
      <c r="E7">
        <v>87</v>
      </c>
      <c r="F7">
        <v>268</v>
      </c>
      <c r="G7">
        <v>770</v>
      </c>
    </row>
    <row r="8" spans="1:7">
      <c r="A8" s="4" t="s">
        <v>103</v>
      </c>
      <c r="B8">
        <v>86</v>
      </c>
      <c r="D8">
        <v>300</v>
      </c>
      <c r="E8">
        <v>287</v>
      </c>
      <c r="F8">
        <v>291</v>
      </c>
      <c r="G8">
        <v>964</v>
      </c>
    </row>
    <row r="9" spans="1:7">
      <c r="A9" s="4" t="s">
        <v>65</v>
      </c>
      <c r="B9">
        <v>435</v>
      </c>
      <c r="C9">
        <v>192</v>
      </c>
      <c r="D9">
        <v>306</v>
      </c>
      <c r="E9">
        <v>203</v>
      </c>
      <c r="F9">
        <v>83</v>
      </c>
      <c r="G9">
        <v>1219</v>
      </c>
    </row>
    <row r="10" spans="1:7">
      <c r="A10" s="4" t="s">
        <v>104</v>
      </c>
      <c r="B10">
        <v>103</v>
      </c>
      <c r="C10">
        <v>210</v>
      </c>
      <c r="D10">
        <v>176</v>
      </c>
      <c r="E10">
        <v>350</v>
      </c>
      <c r="F10">
        <v>108</v>
      </c>
      <c r="G10">
        <v>947</v>
      </c>
    </row>
    <row r="11" spans="1:7">
      <c r="A11" s="4" t="s">
        <v>105</v>
      </c>
      <c r="B11">
        <v>293</v>
      </c>
      <c r="D11">
        <v>121</v>
      </c>
      <c r="G11">
        <v>414</v>
      </c>
    </row>
    <row r="12" spans="1:7">
      <c r="A12" s="4" t="s">
        <v>106</v>
      </c>
      <c r="B12">
        <v>226</v>
      </c>
      <c r="C12">
        <v>279</v>
      </c>
      <c r="D12">
        <v>189</v>
      </c>
      <c r="E12">
        <v>403</v>
      </c>
      <c r="F12">
        <v>104</v>
      </c>
      <c r="G12">
        <v>1201</v>
      </c>
    </row>
    <row r="13" spans="1:7">
      <c r="A13" s="4" t="s">
        <v>107</v>
      </c>
      <c r="B13">
        <v>84</v>
      </c>
      <c r="C13">
        <v>106</v>
      </c>
      <c r="D13">
        <v>286</v>
      </c>
      <c r="E13">
        <v>232</v>
      </c>
      <c r="F13">
        <v>277</v>
      </c>
      <c r="G13">
        <v>985</v>
      </c>
    </row>
    <row r="14" spans="1:7">
      <c r="A14" s="4" t="s">
        <v>108</v>
      </c>
      <c r="B14">
        <v>226</v>
      </c>
      <c r="C14">
        <v>390</v>
      </c>
      <c r="E14">
        <v>186</v>
      </c>
      <c r="F14">
        <v>310</v>
      </c>
      <c r="G14">
        <v>1112</v>
      </c>
    </row>
    <row r="15" spans="1:7">
      <c r="A15" s="4" t="s">
        <v>109</v>
      </c>
      <c r="B15">
        <v>204</v>
      </c>
      <c r="C15">
        <v>203</v>
      </c>
      <c r="D15">
        <v>291</v>
      </c>
      <c r="E15">
        <v>297</v>
      </c>
      <c r="F15">
        <v>186</v>
      </c>
      <c r="G15">
        <v>1181</v>
      </c>
    </row>
    <row r="16" spans="1:7">
      <c r="A16" s="4" t="s">
        <v>110</v>
      </c>
      <c r="B16">
        <v>91</v>
      </c>
      <c r="C16">
        <v>101</v>
      </c>
      <c r="D16">
        <v>1123</v>
      </c>
      <c r="E16">
        <v>98</v>
      </c>
      <c r="G16">
        <v>1413</v>
      </c>
    </row>
    <row r="17" spans="1:7">
      <c r="A17" s="4" t="s">
        <v>38</v>
      </c>
      <c r="B17">
        <v>2156</v>
      </c>
      <c r="C17">
        <v>2155</v>
      </c>
      <c r="D17">
        <v>3375</v>
      </c>
      <c r="E17">
        <v>3242</v>
      </c>
      <c r="F17">
        <v>2051</v>
      </c>
      <c r="G17">
        <v>12979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77AC9-0273-4515-B8A7-38034FF72E27}">
  <sheetPr codeName="Sheet53"/>
  <dimension ref="A3:C9"/>
  <sheetViews>
    <sheetView workbookViewId="0">
      <selection activeCell="C22" sqref="C22"/>
    </sheetView>
  </sheetViews>
  <sheetFormatPr defaultRowHeight="14.4"/>
  <cols>
    <col min="1" max="1" width="12.5546875" bestFit="1" customWidth="1"/>
    <col min="2" max="2" width="16.5546875" bestFit="1" customWidth="1"/>
    <col min="3" max="3" width="22.5546875" bestFit="1" customWidth="1"/>
  </cols>
  <sheetData>
    <row r="3" spans="1:3">
      <c r="A3" s="3" t="s">
        <v>37</v>
      </c>
      <c r="B3" t="s">
        <v>39</v>
      </c>
      <c r="C3" t="s">
        <v>293</v>
      </c>
    </row>
    <row r="4" spans="1:3">
      <c r="A4" s="4" t="s">
        <v>13</v>
      </c>
      <c r="B4">
        <v>12569</v>
      </c>
      <c r="C4">
        <v>11112</v>
      </c>
    </row>
    <row r="5" spans="1:3">
      <c r="A5" s="4" t="s">
        <v>11</v>
      </c>
      <c r="B5">
        <v>9022</v>
      </c>
      <c r="C5">
        <v>9278</v>
      </c>
    </row>
    <row r="6" spans="1:3">
      <c r="A6" s="4" t="s">
        <v>10</v>
      </c>
      <c r="B6">
        <v>13372</v>
      </c>
      <c r="C6">
        <v>13554</v>
      </c>
    </row>
    <row r="7" spans="1:3">
      <c r="A7" s="4" t="s">
        <v>12</v>
      </c>
      <c r="B7">
        <v>15647</v>
      </c>
      <c r="C7">
        <v>10987</v>
      </c>
    </row>
    <row r="8" spans="1:3">
      <c r="A8" s="4" t="s">
        <v>14</v>
      </c>
      <c r="B8">
        <v>10200</v>
      </c>
      <c r="C8">
        <v>8228</v>
      </c>
    </row>
    <row r="9" spans="1:3">
      <c r="A9" s="4" t="s">
        <v>38</v>
      </c>
      <c r="B9">
        <v>60810</v>
      </c>
      <c r="C9">
        <v>53159</v>
      </c>
    </row>
  </sheetData>
  <pageMargins left="0.7" right="0.7" top="0.75" bottom="0.75" header="0.3" footer="0.3"/>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F8BC0-EB27-4930-A2E9-812610E433C7}">
  <sheetPr codeName="Sheet55"/>
  <dimension ref="A3:C16"/>
  <sheetViews>
    <sheetView workbookViewId="0">
      <selection activeCell="C25" sqref="C25"/>
    </sheetView>
  </sheetViews>
  <sheetFormatPr defaultRowHeight="14.4"/>
  <cols>
    <col min="1" max="1" width="12.5546875" bestFit="1" customWidth="1"/>
    <col min="2" max="2" width="19.6640625" bestFit="1" customWidth="1"/>
    <col min="3" max="3" width="16.5546875" bestFit="1" customWidth="1"/>
  </cols>
  <sheetData>
    <row r="3" spans="1:3">
      <c r="A3" s="3" t="s">
        <v>37</v>
      </c>
      <c r="B3" t="s">
        <v>150</v>
      </c>
      <c r="C3" t="s">
        <v>39</v>
      </c>
    </row>
    <row r="4" spans="1:3">
      <c r="A4" s="4" t="s">
        <v>66</v>
      </c>
      <c r="B4">
        <v>1510964.109513277</v>
      </c>
      <c r="C4">
        <v>4796</v>
      </c>
    </row>
    <row r="5" spans="1:3">
      <c r="A5" s="4" t="s">
        <v>67</v>
      </c>
      <c r="B5">
        <v>1530311.79836983</v>
      </c>
      <c r="C5">
        <v>7164</v>
      </c>
    </row>
    <row r="6" spans="1:3">
      <c r="A6" s="4" t="s">
        <v>68</v>
      </c>
      <c r="B6">
        <v>1136212.0413990379</v>
      </c>
      <c r="C6">
        <v>5115</v>
      </c>
    </row>
    <row r="7" spans="1:3">
      <c r="A7" s="4" t="s">
        <v>69</v>
      </c>
      <c r="B7">
        <v>1794956.0077521685</v>
      </c>
      <c r="C7">
        <v>5740</v>
      </c>
    </row>
    <row r="8" spans="1:3">
      <c r="A8" s="4" t="s">
        <v>65</v>
      </c>
      <c r="B8">
        <v>1236415.7902482918</v>
      </c>
      <c r="C8">
        <v>5271</v>
      </c>
    </row>
    <row r="9" spans="1:3">
      <c r="A9" s="4" t="s">
        <v>70</v>
      </c>
      <c r="B9">
        <v>1691846.0618689926</v>
      </c>
      <c r="C9">
        <v>4595</v>
      </c>
    </row>
    <row r="10" spans="1:3">
      <c r="A10" s="4" t="s">
        <v>71</v>
      </c>
      <c r="B10">
        <v>1417073.2560505674</v>
      </c>
      <c r="C10">
        <v>4072</v>
      </c>
    </row>
    <row r="11" spans="1:3">
      <c r="A11" s="4" t="s">
        <v>72</v>
      </c>
      <c r="B11">
        <v>1771380.0878674947</v>
      </c>
      <c r="C11">
        <v>4909</v>
      </c>
    </row>
    <row r="12" spans="1:3">
      <c r="A12" s="4" t="s">
        <v>73</v>
      </c>
      <c r="B12">
        <v>1778231.0761216686</v>
      </c>
      <c r="C12">
        <v>4769</v>
      </c>
    </row>
    <row r="13" spans="1:3">
      <c r="A13" s="4" t="s">
        <v>74</v>
      </c>
      <c r="B13">
        <v>1186869.5589668078</v>
      </c>
      <c r="C13">
        <v>4290</v>
      </c>
    </row>
    <row r="14" spans="1:3">
      <c r="A14" s="4" t="s">
        <v>75</v>
      </c>
      <c r="B14">
        <v>1208660.0509476541</v>
      </c>
      <c r="C14">
        <v>4256</v>
      </c>
    </row>
    <row r="15" spans="1:3">
      <c r="A15" s="4" t="s">
        <v>76</v>
      </c>
      <c r="B15">
        <v>1837570.561772401</v>
      </c>
      <c r="C15">
        <v>5833</v>
      </c>
    </row>
    <row r="16" spans="1:3">
      <c r="A16" s="4" t="s">
        <v>38</v>
      </c>
      <c r="B16">
        <v>18100490.400878195</v>
      </c>
      <c r="C16">
        <v>60810</v>
      </c>
    </row>
  </sheetData>
  <pageMargins left="0.7" right="0.7" top="0.75" bottom="0.75" header="0.3" footer="0.3"/>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A9CA6-11AA-4CEE-ADB9-82310FDF381A}">
  <sheetPr codeName="Sheet54"/>
  <dimension ref="A3:C9"/>
  <sheetViews>
    <sheetView workbookViewId="0">
      <selection activeCell="L22" sqref="L22"/>
    </sheetView>
  </sheetViews>
  <sheetFormatPr defaultRowHeight="14.4"/>
  <cols>
    <col min="1" max="1" width="12.5546875" bestFit="1" customWidth="1"/>
    <col min="2" max="2" width="22.77734375" bestFit="1" customWidth="1"/>
    <col min="3" max="3" width="16.5546875" bestFit="1" customWidth="1"/>
  </cols>
  <sheetData>
    <row r="3" spans="1:3">
      <c r="A3" s="3" t="s">
        <v>37</v>
      </c>
      <c r="B3" t="s">
        <v>77</v>
      </c>
      <c r="C3" t="s">
        <v>39</v>
      </c>
    </row>
    <row r="4" spans="1:3">
      <c r="A4" s="4" t="s">
        <v>13</v>
      </c>
      <c r="B4">
        <v>10747350.710823013</v>
      </c>
      <c r="C4">
        <v>12569</v>
      </c>
    </row>
    <row r="5" spans="1:3">
      <c r="A5" s="4" t="s">
        <v>11</v>
      </c>
      <c r="B5">
        <v>10906035.748521531</v>
      </c>
      <c r="C5">
        <v>9022</v>
      </c>
    </row>
    <row r="6" spans="1:3">
      <c r="A6" s="4" t="s">
        <v>10</v>
      </c>
      <c r="B6">
        <v>14635516.742584277</v>
      </c>
      <c r="C6">
        <v>13372</v>
      </c>
    </row>
    <row r="7" spans="1:3">
      <c r="A7" s="4" t="s">
        <v>12</v>
      </c>
      <c r="B7">
        <v>14199248.640529215</v>
      </c>
      <c r="C7">
        <v>15647</v>
      </c>
    </row>
    <row r="8" spans="1:3">
      <c r="A8" s="4" t="s">
        <v>14</v>
      </c>
      <c r="B8">
        <v>10738060.589382561</v>
      </c>
      <c r="C8">
        <v>10200</v>
      </c>
    </row>
    <row r="9" spans="1:3">
      <c r="A9" s="4" t="s">
        <v>38</v>
      </c>
      <c r="B9">
        <v>61226212.431840599</v>
      </c>
      <c r="C9">
        <v>60810</v>
      </c>
    </row>
  </sheetData>
  <pageMargins left="0.7" right="0.7" top="0.75" bottom="0.75" header="0.3" footer="0.3"/>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98C24-C247-47DD-830B-F0633A7E2546}">
  <sheetPr codeName="Sheet56"/>
  <dimension ref="B2:L2"/>
  <sheetViews>
    <sheetView workbookViewId="0">
      <selection activeCell="L2" sqref="L2"/>
    </sheetView>
  </sheetViews>
  <sheetFormatPr defaultRowHeight="14.4"/>
  <cols>
    <col min="2" max="2" width="12.33203125" customWidth="1"/>
    <col min="5" max="5" width="15.77734375" customWidth="1"/>
    <col min="11" max="11" width="16" customWidth="1"/>
  </cols>
  <sheetData>
    <row r="2" spans="2:12" ht="18">
      <c r="B2" s="127" t="s">
        <v>294</v>
      </c>
      <c r="C2" s="18">
        <f>SUM(automotive_demand_forecasting_dataset567[Units_Sold])</f>
        <v>49650</v>
      </c>
      <c r="E2" s="128" t="s">
        <v>295</v>
      </c>
      <c r="F2" s="18">
        <f>AVERAGE(automotive_demand_forecasting_dataset567[Average_Price])</f>
        <v>30839.047633206559</v>
      </c>
      <c r="H2" s="129" t="s">
        <v>297</v>
      </c>
      <c r="I2" s="95" cm="1">
        <f t="array" ref="I2">AVERAGE(ABS((Table9[Units_Sold]-Table9[Forecasted_Units])/Table9[Units_Sold]))</f>
        <v>8.4002273207128109E-2</v>
      </c>
      <c r="K2" s="130" t="s">
        <v>296</v>
      </c>
      <c r="L2" s="95" cm="1">
        <f t="array" ref="L2">SUM(Table9[Units_Sold]-Table9[Forecasted_Units])</f>
        <v>3.2542857297812589E-12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076F5-F9F8-421D-BEBF-83C60761A596}">
  <sheetPr codeName="Sheet57"/>
  <dimension ref="C2:X13"/>
  <sheetViews>
    <sheetView zoomScale="71" workbookViewId="0"/>
  </sheetViews>
  <sheetFormatPr defaultRowHeight="14.4"/>
  <cols>
    <col min="1" max="2" width="8.88671875" style="55"/>
    <col min="3" max="3" width="12.44140625" style="55" customWidth="1"/>
    <col min="4" max="4" width="9" style="55" bestFit="1" customWidth="1"/>
    <col min="5" max="5" width="8.88671875" style="55"/>
    <col min="6" max="6" width="15.33203125" style="55" customWidth="1"/>
    <col min="7" max="7" width="12.6640625" style="55" bestFit="1" customWidth="1"/>
    <col min="8" max="9" width="8.88671875" style="55"/>
    <col min="10" max="10" width="9" style="55" bestFit="1" customWidth="1"/>
    <col min="11" max="11" width="8.88671875" style="55"/>
    <col min="12" max="12" width="15.6640625" style="55" customWidth="1"/>
    <col min="13" max="13" width="9" style="55" bestFit="1" customWidth="1"/>
    <col min="14" max="16384" width="8.88671875" style="55"/>
  </cols>
  <sheetData>
    <row r="2" spans="3:24" ht="25.8">
      <c r="D2" s="131" t="s">
        <v>399</v>
      </c>
      <c r="E2" s="131"/>
      <c r="F2" s="131"/>
      <c r="G2" s="131"/>
      <c r="H2" s="39"/>
      <c r="I2" s="39"/>
      <c r="J2" s="39"/>
      <c r="K2" s="87"/>
      <c r="L2" s="87"/>
    </row>
    <row r="6" spans="3:24" ht="18">
      <c r="C6" s="127" t="s">
        <v>294</v>
      </c>
      <c r="D6" s="18">
        <f>SUM(automotive_demand_forecasting_dataset567[Units_Sold])</f>
        <v>49650</v>
      </c>
      <c r="F6" s="128" t="s">
        <v>295</v>
      </c>
      <c r="G6" s="18">
        <f>AVERAGE(automotive_demand_forecasting_dataset567[Average_Price])</f>
        <v>30839.047633206559</v>
      </c>
      <c r="I6" s="129" t="s">
        <v>297</v>
      </c>
      <c r="J6" s="95" cm="1">
        <f t="array" ref="J6">AVERAGE(ABS((Table9[Units_Sold]-Table9[Forecasted_Units])/Table9[Units_Sold]))</f>
        <v>8.4002273207128109E-2</v>
      </c>
      <c r="L6" s="130" t="s">
        <v>296</v>
      </c>
      <c r="M6" s="95" cm="1">
        <f t="array" ref="M6">SUM(Table9[Units_Sold]-Table9[Forecasted_Units])</f>
        <v>3.2542857297812589E-12</v>
      </c>
    </row>
    <row r="9" spans="3:24">
      <c r="T9" s="132" t="s">
        <v>298</v>
      </c>
      <c r="U9" s="70"/>
      <c r="V9" s="70"/>
      <c r="W9" s="70"/>
      <c r="X9" s="70"/>
    </row>
    <row r="10" spans="3:24">
      <c r="T10" s="70"/>
      <c r="U10" s="70"/>
      <c r="V10" s="70"/>
      <c r="W10" s="70"/>
      <c r="X10" s="70"/>
    </row>
    <row r="11" spans="3:24">
      <c r="T11" s="70" t="s">
        <v>299</v>
      </c>
      <c r="U11" s="70"/>
      <c r="V11" s="70"/>
      <c r="W11" s="70"/>
      <c r="X11" s="70"/>
    </row>
    <row r="12" spans="3:24">
      <c r="T12" s="70" t="s">
        <v>300</v>
      </c>
      <c r="U12" s="70"/>
      <c r="V12" s="70"/>
      <c r="W12" s="70"/>
      <c r="X12" s="70"/>
    </row>
    <row r="13" spans="3:24">
      <c r="T13" s="70" t="s">
        <v>301</v>
      </c>
      <c r="U13" s="70"/>
      <c r="V13" s="70"/>
      <c r="W13" s="70"/>
      <c r="X13" s="70"/>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9329" r:id="rId3" name="Button 1">
              <controlPr defaultSize="0" print="0" autoFill="0" autoPict="0" macro="[0]!RefreshAll">
                <anchor moveWithCells="1" sizeWithCells="1">
                  <from>
                    <xdr:col>12</xdr:col>
                    <xdr:colOff>419100</xdr:colOff>
                    <xdr:row>1</xdr:row>
                    <xdr:rowOff>121920</xdr:rowOff>
                  </from>
                  <to>
                    <xdr:col>14</xdr:col>
                    <xdr:colOff>510540</xdr:colOff>
                    <xdr:row>3</xdr:row>
                    <xdr:rowOff>68580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41112-5B30-4C08-9F2D-CA13B2097F61}">
  <sheetPr codeName="Sheet60"/>
  <dimension ref="C2:M6"/>
  <sheetViews>
    <sheetView workbookViewId="0">
      <selection activeCell="C6" sqref="C6:E6"/>
    </sheetView>
  </sheetViews>
  <sheetFormatPr defaultRowHeight="14.4"/>
  <cols>
    <col min="2" max="2" width="12.44140625" customWidth="1"/>
    <col min="3" max="3" width="13.21875" customWidth="1"/>
    <col min="4" max="4" width="15.21875" customWidth="1"/>
    <col min="5" max="5" width="14.77734375" customWidth="1"/>
    <col min="8" max="8" width="7" customWidth="1"/>
    <col min="9" max="9" width="14.5546875" customWidth="1"/>
    <col min="10" max="10" width="20.109375" customWidth="1"/>
    <col min="12" max="12" width="13.6640625" customWidth="1"/>
    <col min="13" max="13" width="15.88671875" customWidth="1"/>
  </cols>
  <sheetData>
    <row r="2" spans="3:13" ht="18">
      <c r="C2" s="133" t="s">
        <v>304</v>
      </c>
      <c r="D2" s="134"/>
      <c r="E2" s="115" cm="1">
        <f t="array" ref="E2">AVERAGE(ABS((Table13[Units_Sold]-Table13[Forecasted_Units])/Table13[Units_Sold]))</f>
        <v>8.4002273207128109E-2</v>
      </c>
      <c r="G2" s="29" t="s">
        <v>274</v>
      </c>
      <c r="H2" s="29"/>
      <c r="I2" s="18" cm="1">
        <f t="array" ref="I2">SUM(automotive_demand_forecasting_dataset567[Units_Sold]*automotive_demand_forecasting_dataset567[Average_Price])</f>
        <v>1531263165.9894783</v>
      </c>
      <c r="K2" s="85" t="s">
        <v>302</v>
      </c>
      <c r="L2" s="85"/>
      <c r="M2" s="18">
        <f>AVERAGE(automotive_demand_forecasting_dataset5678[Online_Interest_Index])</f>
        <v>61.310416944020631</v>
      </c>
    </row>
    <row r="4" spans="3:13" ht="18">
      <c r="C4" s="25" t="s">
        <v>86</v>
      </c>
      <c r="D4" s="24"/>
      <c r="E4" s="18">
        <f>SUM(automotive_demand_forecasting_dataset567[Marketing_Spend])</f>
        <v>50428159.479048401</v>
      </c>
      <c r="G4" s="135" t="s">
        <v>305</v>
      </c>
      <c r="H4" s="135"/>
      <c r="I4" s="135"/>
      <c r="J4" s="18">
        <f>I2/E4</f>
        <v>30.365240012887615</v>
      </c>
    </row>
    <row r="6" spans="3:13" ht="18">
      <c r="C6" s="136" t="s">
        <v>306</v>
      </c>
      <c r="D6" s="136"/>
      <c r="E6" s="18" t="str">
        <f>INDEX(automotive_demand_forecasting_dataset5678[Vehicle_Type],MATCH(MAX(automotive_demand_forecasting_dataset5678[Units_Sold]),automotive_demand_forecasting_dataset5678[Units_Sold],0))</f>
        <v>Truck</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9769E-7057-4159-827E-F6DDA4661893}">
  <sheetPr codeName="Sheet59"/>
  <dimension ref="C2:Z5"/>
  <sheetViews>
    <sheetView zoomScale="54" workbookViewId="0">
      <selection activeCell="J2" sqref="J2"/>
    </sheetView>
  </sheetViews>
  <sheetFormatPr defaultRowHeight="14.4"/>
  <cols>
    <col min="1" max="3" width="8.88671875" style="36"/>
    <col min="4" max="4" width="23.33203125" style="36" customWidth="1"/>
    <col min="5" max="8" width="8.88671875" style="36"/>
    <col min="9" max="9" width="14.44140625" style="36" bestFit="1" customWidth="1"/>
    <col min="10" max="11" width="8.88671875" style="36"/>
    <col min="12" max="12" width="14.33203125" style="36" customWidth="1"/>
    <col min="13" max="14" width="8.88671875" style="36"/>
    <col min="15" max="15" width="12.77734375" style="36" customWidth="1"/>
    <col min="16" max="16" width="18" style="36" customWidth="1"/>
    <col min="17" max="17" width="15.77734375" style="36" bestFit="1" customWidth="1"/>
    <col min="18" max="20" width="8.88671875" style="36"/>
    <col min="21" max="21" width="12.6640625" style="36" customWidth="1"/>
    <col min="22" max="22" width="12.5546875" style="36" customWidth="1"/>
    <col min="23" max="24" width="8.88671875" style="36"/>
    <col min="25" max="25" width="20.109375" style="36" customWidth="1"/>
    <col min="26" max="16384" width="8.88671875" style="36"/>
  </cols>
  <sheetData>
    <row r="2" spans="3:26" ht="25.8">
      <c r="J2" s="98" t="s">
        <v>402</v>
      </c>
      <c r="K2" s="98"/>
      <c r="L2" s="98"/>
      <c r="M2" s="98"/>
      <c r="N2" s="70"/>
      <c r="O2" s="70"/>
      <c r="P2" s="151"/>
    </row>
    <row r="5" spans="3:26" ht="18">
      <c r="C5" s="133" t="s">
        <v>304</v>
      </c>
      <c r="D5" s="134"/>
      <c r="E5" s="115" cm="1">
        <f t="array" ref="E5">AVERAGE(ABS((Table13[Units_Sold]-Table13[Forecasted_Units])/Table13[Units_Sold]))</f>
        <v>8.4002273207128109E-2</v>
      </c>
      <c r="G5" s="29" t="s">
        <v>274</v>
      </c>
      <c r="H5" s="29"/>
      <c r="I5" s="18" cm="1">
        <f t="array" ref="I5">SUM(automotive_demand_forecasting_dataset567[Units_Sold]*automotive_demand_forecasting_dataset567[Average_Price])</f>
        <v>1531263165.9894783</v>
      </c>
      <c r="K5" s="85" t="s">
        <v>302</v>
      </c>
      <c r="L5" s="85"/>
      <c r="M5" s="18">
        <f>AVERAGE(automotive_demand_forecasting_dataset5678[Online_Interest_Index])</f>
        <v>61.310416944020631</v>
      </c>
      <c r="O5" s="25" t="s">
        <v>86</v>
      </c>
      <c r="P5" s="24"/>
      <c r="Q5" s="18">
        <f>SUM(automotive_demand_forecasting_dataset567[Marketing_Spend])</f>
        <v>50428159.479048401</v>
      </c>
      <c r="S5" s="135" t="s">
        <v>305</v>
      </c>
      <c r="T5" s="135"/>
      <c r="U5" s="135"/>
      <c r="V5" s="18">
        <f>I5/Q5</f>
        <v>30.365240012887615</v>
      </c>
      <c r="X5" s="136" t="s">
        <v>306</v>
      </c>
      <c r="Y5" s="136"/>
      <c r="Z5" s="18" t="str">
        <f>INDEX(automotive_demand_forecasting_dataset5678[Vehicle_Type],MATCH(MAX(automotive_demand_forecasting_dataset5678[Units_Sold]),automotive_demand_forecasting_dataset5678[Units_Sold],0))</f>
        <v>Truck</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35169" r:id="rId3" name="Button 1">
              <controlPr defaultSize="0" print="0" autoFill="0" autoPict="0" macro="[0]!RefreshDashboard">
                <anchor moveWithCells="1" sizeWithCells="1">
                  <from>
                    <xdr:col>24</xdr:col>
                    <xdr:colOff>556260</xdr:colOff>
                    <xdr:row>7</xdr:row>
                    <xdr:rowOff>167640</xdr:rowOff>
                  </from>
                  <to>
                    <xdr:col>25</xdr:col>
                    <xdr:colOff>586740</xdr:colOff>
                    <xdr:row>10</xdr:row>
                    <xdr:rowOff>60960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FC3E15-73A9-4968-9103-961BEF5E43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83</vt:i4>
      </vt:variant>
      <vt:variant>
        <vt:lpstr>Named Ranges</vt:lpstr>
      </vt:variant>
      <vt:variant>
        <vt:i4>5</vt:i4>
      </vt:variant>
    </vt:vector>
  </HeadingPairs>
  <TitlesOfParts>
    <vt:vector size="88" baseType="lpstr">
      <vt:lpstr>Original Data</vt:lpstr>
      <vt:lpstr>Finding Missing Values</vt:lpstr>
      <vt:lpstr>Fixing missing values</vt:lpstr>
      <vt:lpstr>Finding Outliers</vt:lpstr>
      <vt:lpstr>Fixing Outliers </vt:lpstr>
      <vt:lpstr>Removing Duplicates</vt:lpstr>
      <vt:lpstr>Data Representation</vt:lpstr>
      <vt:lpstr>Scenario Summary</vt:lpstr>
      <vt:lpstr>Scenario Summary 2</vt:lpstr>
      <vt:lpstr>Scenarios_For_Demand</vt:lpstr>
      <vt:lpstr>Inconsistensies</vt:lpstr>
      <vt:lpstr>Descriptive Statistic</vt:lpstr>
      <vt:lpstr>Histogram</vt:lpstr>
      <vt:lpstr>Correlation</vt:lpstr>
      <vt:lpstr>Hypothethis_1</vt:lpstr>
      <vt:lpstr>Hypothethis_2</vt:lpstr>
      <vt:lpstr>Dashboard Home</vt:lpstr>
      <vt:lpstr>VBA_macros</vt:lpstr>
      <vt:lpstr>Alerts for shifts</vt:lpstr>
      <vt:lpstr>Demand Forecasting Sheet</vt:lpstr>
      <vt:lpstr>Declining demand alerts.</vt:lpstr>
      <vt:lpstr>Optimizing production planning </vt:lpstr>
      <vt:lpstr>Solver for optimizing productio</vt:lpstr>
      <vt:lpstr>Pivot-Consumer prefrences.</vt:lpstr>
      <vt:lpstr>Pivot-Unit_Sold by time</vt:lpstr>
      <vt:lpstr>Pivot-AveragePrice Vs Time</vt:lpstr>
      <vt:lpstr>Online_Interest_Index VS Market</vt:lpstr>
      <vt:lpstr>KPI-Demand Trend Analysis</vt:lpstr>
      <vt:lpstr>Dashboard-Automate Demand Trend</vt:lpstr>
      <vt:lpstr>Pivot-Campaign Vs Units</vt:lpstr>
      <vt:lpstr>Pivot-Campaign Vs Spend</vt:lpstr>
      <vt:lpstr>Pivot-Spend by Channel</vt:lpstr>
      <vt:lpstr>Pivot-CostPerUnit Vs Campaign</vt:lpstr>
      <vt:lpstr>Campaign_Table</vt:lpstr>
      <vt:lpstr>KPI-Marketing Campaign</vt:lpstr>
      <vt:lpstr>Dashboard-Marketing Campaign</vt:lpstr>
      <vt:lpstr>Forecasting Table</vt:lpstr>
      <vt:lpstr>Pivot table-Units Sold by Vehic</vt:lpstr>
      <vt:lpstr>Pivot table-Sales over time</vt:lpstr>
      <vt:lpstr>Dashboard-Monitoring Demand Tre</vt:lpstr>
      <vt:lpstr>KPI- monitoring demand</vt:lpstr>
      <vt:lpstr>Pivot table-Market share by Veh</vt:lpstr>
      <vt:lpstr>Pivot table-Units Sold by Regio</vt:lpstr>
      <vt:lpstr>Units_Sold and Average_Price ov</vt:lpstr>
      <vt:lpstr>KPI-Market Demand Trends</vt:lpstr>
      <vt:lpstr>Dashbord-Market Demand Trends</vt:lpstr>
      <vt:lpstr>Report</vt:lpstr>
      <vt:lpstr>PivotTable – Vehicle Type Trend</vt:lpstr>
      <vt:lpstr> Pivot Chart – Sales Trend Over</vt:lpstr>
      <vt:lpstr>KPI- Total sales by veh_type</vt:lpstr>
      <vt:lpstr>Dashboard-Vehicle_type Trends</vt:lpstr>
      <vt:lpstr>Unit Sold Forecasting Table</vt:lpstr>
      <vt:lpstr>Pivot-Demand across regions</vt:lpstr>
      <vt:lpstr>Pivot-Forecasted Vs Unit_Sold</vt:lpstr>
      <vt:lpstr>Pivot-Trends Over Time</vt:lpstr>
      <vt:lpstr>Pivot-Sales by Vehicle_Type</vt:lpstr>
      <vt:lpstr>Forecasting KPI</vt:lpstr>
      <vt:lpstr>Dashboard-Automate Forecaste</vt:lpstr>
      <vt:lpstr>Pivot-Seasonal Demand Trend</vt:lpstr>
      <vt:lpstr>Seasonal KPIs</vt:lpstr>
      <vt:lpstr>Dashboard-market demand by seas</vt:lpstr>
      <vt:lpstr>Pivot-Production Capacity </vt:lpstr>
      <vt:lpstr>Pivot-Total Forecasted vs. Prod</vt:lpstr>
      <vt:lpstr>Pivot-Total Planned Production</vt:lpstr>
      <vt:lpstr>Pivot-Inventory Level Over Time</vt:lpstr>
      <vt:lpstr>KPI- Production Planning</vt:lpstr>
      <vt:lpstr>Dashboard-Optimizing Production</vt:lpstr>
      <vt:lpstr>Sales Feedback Table</vt:lpstr>
      <vt:lpstr>Feedback_Reference_Table</vt:lpstr>
      <vt:lpstr>Track Forecast Accuracy </vt:lpstr>
      <vt:lpstr>Pivot-Feedback_Adjustment</vt:lpstr>
      <vt:lpstr>Pivot-Tracking Accuracy</vt:lpstr>
      <vt:lpstr>KPI-Sales Feedback</vt:lpstr>
      <vt:lpstr>Dashboard-Improvement Automotiv</vt:lpstr>
      <vt:lpstr>Pivot-Units Sold by Region</vt:lpstr>
      <vt:lpstr>Pivot-Sales Trend</vt:lpstr>
      <vt:lpstr>Pivot-Competitor Sales Comparis</vt:lpstr>
      <vt:lpstr>Pivot-Average Price VS UnitSold</vt:lpstr>
      <vt:lpstr>Pivot-Marketing Spend vs. Deman</vt:lpstr>
      <vt:lpstr>KPI-Automate Market Data </vt:lpstr>
      <vt:lpstr>Dashboard-Automate Market Data</vt:lpstr>
      <vt:lpstr>KPI</vt:lpstr>
      <vt:lpstr>Dashboard-Real-Time Demand</vt:lpstr>
      <vt:lpstr>Forecasted_Units_Sold</vt:lpstr>
      <vt:lpstr>Fuel_Price</vt:lpstr>
      <vt:lpstr>GDP_Growth_Rate</vt:lpstr>
      <vt:lpstr>Marketing_Spend</vt:lpstr>
      <vt:lpstr>Online_Interest_Index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Sabhya Singh</dc:creator>
  <cp:lastModifiedBy>Sabhya Singh</cp:lastModifiedBy>
  <cp:lastPrinted>2025-05-21T14:41:29Z</cp:lastPrinted>
  <dcterms:created xsi:type="dcterms:W3CDTF">2025-05-05T05:29:18Z</dcterms:created>
  <dcterms:modified xsi:type="dcterms:W3CDTF">2025-07-26T07:38:50Z</dcterms:modified>
</cp:coreProperties>
</file>